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2.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ables/table8.xml" ContentType="application/vnd.openxmlformats-officedocument.spreadsheetml.table+xml"/>
  <Override PartName="/xl/drawings/drawing8.xml" ContentType="application/vnd.openxmlformats-officedocument.drawing+xml"/>
  <Override PartName="/xl/tables/table9.xml" ContentType="application/vnd.openxmlformats-officedocument.spreadsheetml.table+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tables/table13.xml" ContentType="application/vnd.openxmlformats-officedocument.spreadsheetml.table+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tables/table17.xml" ContentType="application/vnd.openxmlformats-officedocument.spreadsheetml.table+xml"/>
  <Override PartName="/xl/tables/table18.xml" ContentType="application/vnd.openxmlformats-officedocument.spreadsheetml.table+xml"/>
  <Override PartName="/xl/queryTables/queryTable1.xml" ContentType="application/vnd.openxmlformats-officedocument.spreadsheetml.queryTable+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8" codeName="{00000000-0000-0000-0000-000000000000}"/>
  <workbookPr codeName="ThisWorkbook" hidePivotFieldList="1" defaultThemeVersion="124226"/>
  <mc:AlternateContent xmlns:mc="http://schemas.openxmlformats.org/markup-compatibility/2006">
    <mc:Choice Requires="x15">
      <x15ac:absPath xmlns:x15ac="http://schemas.microsoft.com/office/spreadsheetml/2010/11/ac" url="C:\Users\karolina.kowalski\Downloads\"/>
    </mc:Choice>
  </mc:AlternateContent>
  <xr:revisionPtr revIDLastSave="0" documentId="13_ncr:1_{C1EF670B-93DC-4435-9070-0B4D80FD0F3E}" xr6:coauthVersionLast="47" xr6:coauthVersionMax="47" xr10:uidLastSave="{00000000-0000-0000-0000-000000000000}"/>
  <bookViews>
    <workbookView xWindow="-20740" yWindow="-54" windowWidth="20847" windowHeight="11101" tabRatio="870" xr2:uid="{00000000-000D-0000-FFFF-FFFF00000000}"/>
  </bookViews>
  <sheets>
    <sheet name="Validations" sheetId="25" r:id="rId1"/>
    <sheet name="PA Matrix" sheetId="42" r:id="rId2"/>
    <sheet name="Target Tracking" sheetId="36" r:id="rId3"/>
    <sheet name="Budget Tracking" sheetId="5" r:id="rId4"/>
    <sheet name="Vendor Listing" sheetId="41" r:id="rId5"/>
    <sheet name="Change Tracking" sheetId="46" r:id="rId6"/>
    <sheet name="Cost Tracking" sheetId="37" r:id="rId7"/>
    <sheet name="Financial Loader" sheetId="53" state="hidden" r:id="rId8"/>
    <sheet name="Budget Details (Rpt)" sheetId="27" r:id="rId9"/>
    <sheet name="Cashflow" sheetId="50" r:id="rId10"/>
    <sheet name="Summary (Rpt)" sheetId="29" r:id="rId11"/>
    <sheet name="EAC" sheetId="30" r:id="rId12"/>
    <sheet name="Audit (Rpt)" sheetId="75" r:id="rId13"/>
    <sheet name="SFC" sheetId="73" r:id="rId14"/>
    <sheet name="Prime Cont. Summary" sheetId="61" r:id="rId15"/>
    <sheet name="CA Tracking" sheetId="62" r:id="rId16"/>
    <sheet name="CAA Tracking" sheetId="63" r:id="rId17"/>
    <sheet name="EVM" sheetId="72" r:id="rId18"/>
    <sheet name="SP Fields" sheetId="65" r:id="rId19"/>
    <sheet name="SP Fund Src" sheetId="66" r:id="rId20"/>
    <sheet name="FundingLines Lookup" sheetId="69" r:id="rId21"/>
    <sheet name="Acronyms" sheetId="60" r:id="rId22"/>
    <sheet name="Sheet1" sheetId="70" r:id="rId23"/>
    <sheet name="Sheet4" sheetId="77" r:id="rId24"/>
    <sheet name="Sheet2" sheetId="71" r:id="rId25"/>
  </sheets>
  <definedNames>
    <definedName name="_xlnm._FilterDatabase" localSheetId="12" hidden="1">'Audit (Rpt)'!#REF!</definedName>
    <definedName name="_xlnm._FilterDatabase" localSheetId="8" hidden="1">'Budget Details (Rpt)'!$B$4:$S$4</definedName>
    <definedName name="_xlnm._FilterDatabase" localSheetId="3" hidden="1">'Budget Tracking'!$A$6:$AA$69</definedName>
    <definedName name="_xlnm._FilterDatabase" localSheetId="15" hidden="1">'CA Tracking'!$A$21:$AH$1503</definedName>
    <definedName name="_xlnm._FilterDatabase" localSheetId="16" hidden="1">'CAA Tracking'!$A$28:$Q$91</definedName>
    <definedName name="_xlnm._FilterDatabase" localSheetId="9" hidden="1">Cashflow!$A$7:$FT$140</definedName>
    <definedName name="_xlnm._FilterDatabase" localSheetId="5" hidden="1">'Change Tracking'!$B$10:$K$160</definedName>
    <definedName name="_xlnm._FilterDatabase" localSheetId="6" hidden="1">'Cost Tracking'!$B$12:$AD$12</definedName>
    <definedName name="_xlnm._FilterDatabase" localSheetId="11" hidden="1">EAC!$A$5:$R$5</definedName>
    <definedName name="_xlnm._FilterDatabase" localSheetId="10" hidden="1">'Summary (Rpt)'!$B$5:$R$11</definedName>
    <definedName name="_xlnm._FilterDatabase" localSheetId="2" hidden="1">'Target Tracking'!$C$6:$L$11</definedName>
    <definedName name="_xlnm._FilterDatabase" localSheetId="4" hidden="1">'Vendor Listing'!$B$5:$T$111</definedName>
    <definedName name="_xlpm.a" hidden="1" xlm="1">#NAME?</definedName>
    <definedName name="_xlpm.b" hidden="1" xlm="1">#NAME?</definedName>
    <definedName name="_xlpm.c" hidden="1" xlm="1">#NAME?</definedName>
    <definedName name="_xlpm.ce" hidden="1" xlm="1">#NAME?</definedName>
    <definedName name="_xlpm.cel" hidden="1" xlm="1">#NAME?</definedName>
    <definedName name="_xlpm.cell" hidden="1" xlm="1">#NAME?</definedName>
    <definedName name="_xlpm.cfData" hidden="1" xlm="1">#NAME?</definedName>
    <definedName name="_xlpm.cfDataFiltered" hidden="1" xlm="1">#NAME?</definedName>
    <definedName name="_xlpm.cfDataFilteredCols" hidden="1" xlm="1">#NAME?</definedName>
    <definedName name="_xlpm.cfDataFilteredRows" hidden="1" xlm="1">#NAME?</definedName>
    <definedName name="_xlpm.cfDataFilteredRowsHeader" hidden="1" xlm="1">#NAME?</definedName>
    <definedName name="_xlpm.cfDataFirstCol" hidden="1" xlm="1">#NAME?</definedName>
    <definedName name="_xlpm.cfDataMapped" hidden="1" xlm="1">#NAME?</definedName>
    <definedName name="_xlpm.cfFirstCol" hidden="1" xlm="1">#NAME?</definedName>
    <definedName name="_xlpm.colcount" hidden="1" xlm="1">#NAME?</definedName>
    <definedName name="_xlpm.firstColCheck" hidden="1" xlm="1">#NAME?</definedName>
    <definedName name="_xlpm.firstItem" hidden="1" xlm="1">#NAME?</definedName>
    <definedName name="_xlpm.fiscal" hidden="1" xlm="1">#NAME?</definedName>
    <definedName name="_xlpm.formulaCheck" hidden="1" xlm="1">#NAME?</definedName>
    <definedName name="_xlpm.P" hidden="1" xlm="1">#NAME?</definedName>
    <definedName name="_xlpm.p_one" hidden="1" xlm="1">#NAME?</definedName>
    <definedName name="_xlpm.p_two" hidden="1" xlm="1">#NAME?</definedName>
    <definedName name="_xlpm.pone" hidden="1" xlm="1">#NAME?</definedName>
    <definedName name="_xlpm.Pr" hidden="1" xlm="1">#NAME?</definedName>
    <definedName name="_xlpm.Pri" hidden="1" xlm="1">#NAME?</definedName>
    <definedName name="_xlpm.Prim" hidden="1" xlm="1">#NAME?</definedName>
    <definedName name="_xlpm.PrimC" hidden="1" xlm="1">#NAME?</definedName>
    <definedName name="_xlpm.PrimCo" hidden="1" xlm="1">#NAME?</definedName>
    <definedName name="_xlpm.PrimCon" hidden="1" xlm="1">#NAME?</definedName>
    <definedName name="_xlpm.PrimCont" hidden="1" xlm="1">#NAME?</definedName>
    <definedName name="_xlpm.PrimContr" hidden="1" xlm="1">#NAME?</definedName>
    <definedName name="_xlpm.PrimContra" hidden="1" xlm="1">#NAME?</definedName>
    <definedName name="_xlpm.PrimContrac" hidden="1" xlm="1">#NAME?</definedName>
    <definedName name="_xlpm.PrimContract" hidden="1" xlm="1">#NAME?</definedName>
    <definedName name="_xlpm.PrimContracto" hidden="1" xlm="1">#NAME?</definedName>
    <definedName name="_xlpm.PrimContractor" hidden="1" xlm="1">#NAME?</definedName>
    <definedName name="_xlpm.PrimContrc" hidden="1" xlm="1">#NAME?</definedName>
    <definedName name="_xlpm.PrimeContractor" hidden="1" xlm="1">#NAME?</definedName>
    <definedName name="_xlpm.ptwo" hidden="1" xlm="1">#NAME?</definedName>
    <definedName name="_xlpm.relDate" hidden="1" xlm="1">#NAME?</definedName>
    <definedName name="_xlpm.val" hidden="1" xlm="1">#NAME?</definedName>
    <definedName name="_xlpm.valu" hidden="1" xlm="1">#NAME?</definedName>
    <definedName name="_xlpm.value" hidden="1" xlm="1">#NAME?</definedName>
    <definedName name="Address1">"Return_range"</definedName>
    <definedName name="Administration">'PA Matrix'!$C$5:$C$24</definedName>
    <definedName name="ApprFiscalYr">FundingLinesTbl[Approved Fiscal Year]</definedName>
    <definedName name="AuditAllowPercent">'Audit (Rpt)'!$F$33</definedName>
    <definedName name="AuditBaseDate">'Audit (Rpt)'!$D$30</definedName>
    <definedName name="AuditBaseDateFlag">'Audit (Rpt)'!$F$30</definedName>
    <definedName name="AuditBgtDetBgtTrackVar">'Audit (Rpt)'!$G$6</definedName>
    <definedName name="AuditBgtDetEACVar">'Audit (Rpt)'!$G$10</definedName>
    <definedName name="AuditBgtDetInvValVar">'Audit (Rpt)'!$G$19</definedName>
    <definedName name="AuditBgtDetVendCommVar">'Audit (Rpt)'!$G$26</definedName>
    <definedName name="AuditBgtPercentEAC">'Audit (Rpt)'!$D$39</definedName>
    <definedName name="AuditBgtPercentTAF">'Audit (Rpt)'!$D$38</definedName>
    <definedName name="AuditBgtTrackEACVar">'Audit (Rpt)'!$G$9</definedName>
    <definedName name="AuditBgtTrackInvValVar">'Audit (Rpt)'!$G$17</definedName>
    <definedName name="AuditBgtTrackTAFVar">'Audit (Rpt)'!$G$5</definedName>
    <definedName name="AuditBudgetDetails">'Audit (Rpt)'!$D$6</definedName>
    <definedName name="AuditBudgetDetailsFlag">'Audit (Rpt)'!$F$6</definedName>
    <definedName name="AuditBudgetTrack">'Audit (Rpt)'!$D$5</definedName>
    <definedName name="AuditBudgetTrackFlag">'Audit (Rpt)'!$F$5</definedName>
    <definedName name="AuditCFlowEACVar">'Audit (Rpt)'!$G$28</definedName>
    <definedName name="AuditCommitBgtDetails">'Audit (Rpt)'!$D$26</definedName>
    <definedName name="AuditCommitBgtDetailsFlag">'Audit (Rpt)'!$F$26</definedName>
    <definedName name="AuditCommitEAC">'Audit (Rpt)'!$D$25</definedName>
    <definedName name="AuditCommitEACFlag">'Audit (Rpt)'!$F$25</definedName>
    <definedName name="AuditCommitVendListing">'Audit (Rpt)'!$D$24</definedName>
    <definedName name="AuditContExp30Days">'Audit (Rpt)'!$D$41</definedName>
    <definedName name="AuditContNoMR">'Audit (Rpt)'!$D$36</definedName>
    <definedName name="AuditContPercent">'Audit (Rpt)'!$F$32</definedName>
    <definedName name="AuditEAC">'Audit (Rpt)'!$D$8</definedName>
    <definedName name="AuditEACBgtDetails">'Audit (Rpt)'!$D$10</definedName>
    <definedName name="AuditEACBgtDetailsFlag">'Audit (Rpt)'!$F$10</definedName>
    <definedName name="AuditEACBgtTrack">'Audit (Rpt)'!$D$9</definedName>
    <definedName name="AuditEACBgtTrackFlag">'Audit (Rpt)'!$F$9</definedName>
    <definedName name="AuditEACFlag">'Audit (Rpt)'!$F$8</definedName>
    <definedName name="AuditEACInvValVar">'Audit (Rpt)'!$G$18</definedName>
    <definedName name="AuditEACTAFVar">'Audit (Rpt)'!$G$8</definedName>
    <definedName name="AuditEACVendCommVar">'Audit (Rpt)'!$G$25</definedName>
    <definedName name="AuditExpBgtDetails">'Audit (Rpt)'!$D$19</definedName>
    <definedName name="AuditExpBgtDetailsFlag">'Audit (Rpt)'!$F$19</definedName>
    <definedName name="AuditExpBgtTrack">'Audit (Rpt)'!$D$17</definedName>
    <definedName name="AuditExpBgtTrackFlag">'Audit (Rpt)'!$F$17</definedName>
    <definedName name="AuditExpEAC">'Audit (Rpt)'!$D$18</definedName>
    <definedName name="AuditExpEACFlag">'Audit (Rpt)'!$F$18</definedName>
    <definedName name="AuditExpVendor">'Audit (Rpt)'!$D$16</definedName>
    <definedName name="AuditExpVendorFlag">'Audit (Rpt)'!$F$16</definedName>
    <definedName name="AuditFormulaPullover">'Audit (Rpt)'!$D$48</definedName>
    <definedName name="AuditInvoiceVal">'Audit (Rpt)'!$D$12</definedName>
    <definedName name="AuditInvoiceValNoFiscal">'Audit (Rpt)'!$D$15</definedName>
    <definedName name="AuditInvoiceValNoRelease">'Audit (Rpt)'!$D$13</definedName>
    <definedName name="AuditInvoiceValOnHold">'Audit (Rpt)'!$D$14</definedName>
    <definedName name="AuditMgtRsvPercent">'Audit (Rpt)'!$F$34</definedName>
    <definedName name="AuditPAIDDupBgtTrack">'Audit (Rpt)'!$D$47</definedName>
    <definedName name="AuditPAIDNoVend">'Audit (Rpt)'!$D$44</definedName>
    <definedName name="AuditPrimeCATracking">'Audit (Rpt)'!$D$22</definedName>
    <definedName name="AuditPrimeChgCATrackingFlag">'Audit (Rpt)'!$F$21</definedName>
    <definedName name="AuditPrimeChgTracking">'Audit (Rpt)'!$D$21</definedName>
    <definedName name="AuditPrimeChgVar">'Audit (Rpt)'!$G$21</definedName>
    <definedName name="AuditSurplusPercent">'Audit (Rpt)'!$F$35</definedName>
    <definedName name="AuditTAFValue">'Audit (Rpt)'!$D$4</definedName>
    <definedName name="AuditTotalAllow">'Audit (Rpt)'!$D$33</definedName>
    <definedName name="AuditTotalCashflow">'Audit (Rpt)'!$D$28</definedName>
    <definedName name="AuditTotalCashflowFlag">'Audit (Rpt)'!$F$28</definedName>
    <definedName name="AuditTotalCont">'Audit (Rpt)'!$D$32</definedName>
    <definedName name="AuditTotalMgtRsv">'Audit (Rpt)'!$D$34</definedName>
    <definedName name="AuditTotalSurplus">'Audit (Rpt)'!$D$35</definedName>
    <definedName name="AuditUnallocCashflow">'Audit (Rpt)'!$D$29</definedName>
    <definedName name="AuditUnallocCashflowFlag">'Audit (Rpt)'!$F$29</definedName>
    <definedName name="AuditVendInvValVar">'Audit (Rpt)'!$G$16</definedName>
    <definedName name="AuditVendNoPAID">'Audit (Rpt)'!$D$43</definedName>
    <definedName name="AuditVendNotInEAC">'Audit (Rpt)'!$D$45</definedName>
    <definedName name="BudgetTrackPA_ID">BudgetTrack[PA ID]</definedName>
    <definedName name="CAApprBill">INDEX('CA Tracking'!$Y$21:$Y$22,2):INDEX('CA Tracking'!$Y$1504:$Y$1504,ROWS('CA Tracking'!$Y$1504:$Y$1504)-1)</definedName>
    <definedName name="CAApprDat">INDEX('CA Tracking'!$V$21:$V$22,2):INDEX('CA Tracking'!$V$1504:$V$1504,ROWS('CA Tracking'!$V$1504:$V$1504)-1)</definedName>
    <definedName name="CAApprRef">INDEX('CA Tracking'!$U$21:$U$22,2):INDEX('CA Tracking'!$U$1504:$U$1504,ROWS('CA Tracking'!$U$1504:$U$1504)-1)</definedName>
    <definedName name="CAApprRsn">INDEX('CA Tracking'!$W$21:$W$22,2):INDEX('CA Tracking'!$W$1504:$W$1504,ROWS('CA Tracking'!$W$1504:$W$1504)-1)</definedName>
    <definedName name="CAApprVal">INDEX('CA Tracking'!$X$21:$X$22,2):INDEX('CA Tracking'!$X$1504:$X$1504,ROWS('CA Tracking'!$X$1504:$X$1504)-1)</definedName>
    <definedName name="CAAuthRef">INDEX('CA Tracking'!$C$21:$C$22,2):INDEX('CA Tracking'!$C$1504:$C$1504,ROWS('CA Tracking'!$C$1504:$C$1504)-1)</definedName>
    <definedName name="CADefChgDat">INDEX('CA Tracking'!$L$21:$L$22,2):INDEX('CA Tracking'!$L$1504:$L$1504,ROWS('CA Tracking'!$L$1504:$L$1504)-1)</definedName>
    <definedName name="CADefChgRef">INDEX('CA Tracking'!$K$21:$K$22,2):INDEX('CA Tracking'!$K$1504:$K$1504,ROWS('CA Tracking'!$K$1504:$K$1504)-1)</definedName>
    <definedName name="CADefChgVal">INDEX('CA Tracking'!$M$21:$M$22,2):INDEX('CA Tracking'!$M$1504:$M$1504,ROWS('CA Tracking'!$M$1504:$M$1504)-1)</definedName>
    <definedName name="CADMCAmt">INDEX('CA Tracking'!$AG$21:$AG$22,2):INDEX('CA Tracking'!$AG$1504:$AG$1504,ROWS('CA Tracking'!$AG$1504:$AG$1504)-1)</definedName>
    <definedName name="CADMCDat">INDEX('CA Tracking'!$AH$21:$AH$22,2):INDEX('CA Tracking'!$AH$1504:$AH$1504,ROWS('CA Tracking'!$AH$1504:$AH$1504)-1)</definedName>
    <definedName name="CADMCID">INDEX('CA Tracking'!$AE$21:$AE$22,2):INDEX('CA Tracking'!$AE$1504:$AE$1504,ROWS('CA Tracking'!$AE$1504:$AE$1504)-1)</definedName>
    <definedName name="CADMCSta">INDEX('CA Tracking'!$AF$21:$AF$22,2):INDEX('CA Tracking'!$AF$1504:$AF$1504,ROWS('CA Tracking'!$AF$1504:$AF$1504)-1)</definedName>
    <definedName name="CAIdChgDat">INDEX('CA Tracking'!$G$21:$G$22,2):INDEX('CA Tracking'!$G$1504:$G$1504,ROWS('CA Tracking'!$G$1504:$G$1504)-1)</definedName>
    <definedName name="CAIdChgRef">INDEX('CA Tracking'!$F$21:$F$22,2):INDEX('CA Tracking'!$F$1504:$F$1504,ROWS('CA Tracking'!$F$1504:$F$1504)-1)</definedName>
    <definedName name="CAllowApprBill">INDEX('CAA Tracking'!$O$28:$O$29,2):INDEX('CAA Tracking'!$O$74:$O$91,ROWS('CAA Tracking'!$O$74:$O$91)-1)</definedName>
    <definedName name="CAllowApprDat">INDEX('CAA Tracking'!$M$28:$M$29,2):INDEX('CAA Tracking'!$M$74:$M$91,ROWS('CAA Tracking'!$M$74:$M$91)-1)</definedName>
    <definedName name="CAllowApprRef">INDEX('CAA Tracking'!$L$28:$L$29,2):INDEX('CAA Tracking'!$L$74:$L$91,ROWS('CAA Tracking'!$L$74:$L$91)-1)</definedName>
    <definedName name="CAllowApprVal">INDEX('CAA Tracking'!$N$28:$N$29,2):INDEX('CAA Tracking'!$N$74:$N$91,ROWS('CAA Tracking'!$N$74:$N$91)-1)</definedName>
    <definedName name="CAllowDefScpDat">INDEX('CAA Tracking'!$E$28:$E$29,2):INDEX('CAA Tracking'!$E$74:$E$91,ROWS('CAA Tracking'!$E$74:$E$91)-1)</definedName>
    <definedName name="CAllowDefScpRef">INDEX('CAA Tracking'!$D$28:$D$29,2):INDEX('CAA Tracking'!$D$74:$D$91,ROWS('CAA Tracking'!$D$74:$D$91)-1)</definedName>
    <definedName name="CAllowDefScpVal">INDEX('CAA Tracking'!$F$28:$F$29,2):INDEX('CAA Tracking'!$F$74:$F$91,ROWS('CAA Tracking'!$F$74:$F$91)-1)</definedName>
    <definedName name="CAllowDetail">'CAA Tracking'!$B$28:$Q$91</definedName>
    <definedName name="CAllowNum">INDEX('CAA Tracking'!$B$28:$B$29,2):INDEX('CAA Tracking'!$B$74:$B$91,ROWS('CAA Tracking'!$B$74:$B$91)-1)</definedName>
    <definedName name="CAllowPendApp">INDEX('CAA Tracking'!$G$7:$G$8,2):INDEX('CAA Tracking'!$G$20:$G$21,ROWS('CAA Tracking'!$G$20:$G$21)-1)</definedName>
    <definedName name="CAllowPendQuo">INDEX('CAA Tracking'!$F$7:$F$8,2):INDEX('CAA Tracking'!$F$20:$F$21,ROWS('CAA Tracking'!$F$20:$F$21)-1)</definedName>
    <definedName name="CAllowPreAuth">INDEX('CAA Tracking'!$E$7:$E$8,2):INDEX('CAA Tracking'!$E$20:$E$21,ROWS('CAA Tracking'!$E$20:$E$21)-1)</definedName>
    <definedName name="CAllowQuoWrkDat">INDEX('CAA Tracking'!$J$28:$J$29,2):INDEX('CAA Tracking'!$J$74:$J$91,ROWS('CAA Tracking'!$J$74:$J$91)-1)</definedName>
    <definedName name="CAllowQuoWrkRef">INDEX('CAA Tracking'!$I$28:$I$29,2):INDEX('CAA Tracking'!$I$74:$I$91,ROWS('CAA Tracking'!$I$74:$I$91)-1)</definedName>
    <definedName name="CAllowQuoWrkVal">INDEX('CAA Tracking'!$K$28:$K$29,2):INDEX('CAA Tracking'!$K$74:$K$91,ROWS('CAA Tracking'!$K$74:$K$91)-1)</definedName>
    <definedName name="CAllowReqPrcDat">INDEX('CAA Tracking'!$H$28:$H$29,2):INDEX('CAA Tracking'!$H$74:$H$91,ROWS('CAA Tracking'!$H$74:$H$91)-1)</definedName>
    <definedName name="CAllowReqPrcRef">INDEX('CAA Tracking'!$G$28:$G$29,2):INDEX('CAA Tracking'!$G$74:$G$91,ROWS('CAA Tracking'!$G$74:$G$91)-1)</definedName>
    <definedName name="CAllowStatus">INDEX('CAA Tracking'!$C$28:$C$29,2):INDEX('CAA Tracking'!$C$74:$C$91,ROWS('CAA Tracking'!$C$74:$C$91)-1)</definedName>
    <definedName name="CAllowSumm">'CAA Tracking'!$B$7:$Q$21</definedName>
    <definedName name="CAllowSummNum">INDEX('CAA Tracking'!$B$7:$B$8,2):INDEX('CAA Tracking'!$B$20:$B$21,ROWS('CAA Tracking'!$B$20:$B$21)-1)</definedName>
    <definedName name="CapitalPlanLine">FundingLinesTbl[Capital Plan Line]</definedName>
    <definedName name="CAPreAuthDat">INDEX('CA Tracking'!$I$21:$I$22,2):INDEX('CA Tracking'!$I$1504:$I$1504,ROWS('CA Tracking'!$I$1504:$I$1504)-1)</definedName>
    <definedName name="CAPreAuthRef">INDEX('CA Tracking'!$H$21:$H$22,2):INDEX('CA Tracking'!$H$1504:$H$1504,ROWS('CA Tracking'!$H$1504:$H$1504)-1)</definedName>
    <definedName name="CAPreAuthVal">INDEX('CA Tracking'!$J$21:$J$22,2):INDEX('CA Tracking'!$J$1504:$J$1504,ROWS('CA Tracking'!$J$1504:$J$1504)-1)</definedName>
    <definedName name="CAQuoWrkDat">INDEX('CA Tracking'!$Q$21:$Q$22,2):INDEX('CA Tracking'!$Q$1504:$Q$1504,ROWS('CA Tracking'!$Q$1504:$Q$1504)-1)</definedName>
    <definedName name="CAQuoWrkRef">INDEX('CA Tracking'!$P$21:$P$22,2):INDEX('CA Tracking'!$P$1504:$P$1504,ROWS('CA Tracking'!$P$1504:$P$1504)-1)</definedName>
    <definedName name="CAQuoWrkVal">INDEX('CA Tracking'!$T$21:$T$22,2):INDEX('CA Tracking'!$T$1504:$T$1504,ROWS('CA Tracking'!$T$1504:$T$1504)-1)</definedName>
    <definedName name="CAReqPrcDat">INDEX('CA Tracking'!$O$21:$O$22,2):INDEX('CA Tracking'!$O$1504:$O$1504,ROWS('CA Tracking'!$O$1504:$O$1504)-1)</definedName>
    <definedName name="CAReqPrcRef">INDEX('CA Tracking'!$N$21:$N$22,2):INDEX('CA Tracking'!$N$1504:$N$1504,ROWS('CA Tracking'!$N$1504:$N$1504)-1)</definedName>
    <definedName name="CAStatus">INDEX('CA Tracking'!$B$21:$B$22,2):INDEX('CA Tracking'!$B$1504:$B$1504,ROWS('CA Tracking'!$B$1504:$B$1504)-1)</definedName>
    <definedName name="CATrackChgCd">'CA Tracking'!$B$6:$P$13</definedName>
    <definedName name="CATrackList">'CA Tracking'!$B$21:$AH$1504</definedName>
    <definedName name="CFBaseline" localSheetId="7">Cashflows[Baseline]</definedName>
    <definedName name="CFBaselineCum" localSheetId="7">Cashflows[Baseline Cumulative]</definedName>
    <definedName name="CFCashflow" localSheetId="7">Cashflows[Cashflow]</definedName>
    <definedName name="CFCumulative" localSheetId="7">Cashflows[Cumulative]</definedName>
    <definedName name="CFlowFSrc">Cashflow!$G$150:$FS$157</definedName>
    <definedName name="CFlowFSrcID">INDEX(Cashflow!$H$150:$H$151,2):INDEX(Cashflow!$H$156:$H$157,ROWS(Cashflow!$H$156:$H$157)-1)</definedName>
    <definedName name="CFlowMain">Cashflow!$B$7:$FS$144</definedName>
    <definedName name="CFlowPCat">Cashflow!$H$164:$FS$171</definedName>
    <definedName name="CFMonthDate" localSheetId="7">Cashflows[MonthDate]</definedName>
    <definedName name="CMS_As_Of_Date">'Cost Tracking'!$K$6</definedName>
    <definedName name="CMS_Value">'Cost Tracking'!$J$6</definedName>
    <definedName name="CMS_Value_Variance">'Cost Tracking'!$L$6</definedName>
    <definedName name="CMSRecComments">'Cost Tracking'!$J$7</definedName>
    <definedName name="Construction">'PA Matrix'!$G$5:$G$24</definedName>
    <definedName name="CurrentYear">INDEX(Cashflow!$U$7:$FQ$7,,MATCH("Current Fiscal",Cashflow!$U$6:$FQ$6,0)+12)</definedName>
    <definedName name="CWS_Total">Cashflow!$FS$7</definedName>
    <definedName name="DeliveryMethod">Validations!$L$17</definedName>
    <definedName name="EndRow">'PA Matrix'!$B$27</definedName>
    <definedName name="ErrCodes">Validations!$B$60:$B$67</definedName>
    <definedName name="ExternalData_1" localSheetId="20" hidden="1">'FundingLines Lookup'!$A$1:$H$302</definedName>
    <definedName name="FE_IT">'PA Matrix'!$I$5:$I$24</definedName>
    <definedName name="FSrc1">'Target Tracking'!$B$27:$X$54</definedName>
    <definedName name="FSrc2">'Target Tracking'!$B$57:$X$81</definedName>
    <definedName name="FSrc3">'Target Tracking'!$B$84:$X$108</definedName>
    <definedName name="FSrc4">'Target Tracking'!$B$111:$X$135</definedName>
    <definedName name="FSrc5">'Target Tracking'!$B$138:$X$162</definedName>
    <definedName name="FSrcApprVal">INDEX('Target Tracking'!$F$6:$F$7,2):INDEX('Target Tracking'!$F$12:$F$13,ROWS('Target Tracking'!$F$12:$F$13)-1)</definedName>
    <definedName name="FSrcCYApprTgt">INDEX('Target Tracking'!$H$6:$H$7,2):INDEX('Target Tracking'!$H$12:$H$13,ROWS('Target Tracking'!$H$12:$H$13)-1)</definedName>
    <definedName name="FSrcCYPropTgt">INDEX('Target Tracking'!$I$6:$I$7,2):INDEX('Target Tracking'!$I$12:$I$13,ROWS('Target Tracking'!$I$12:$I$13)-1)</definedName>
    <definedName name="FSrcID">INDEX('Target Tracking'!$E$6:$E$7,2):INDEX('Target Tracking'!$E$12:$E$14,ROWS('Target Tracking'!$E$12:$E$14)-1)</definedName>
    <definedName name="FSrcStartTgt">INDEX('Target Tracking'!$G$6:$G$7,2):INDEX('Target Tracking'!$G$12:$G$13,ROWS('Target Tracking'!$G$12:$G$13)-1)</definedName>
    <definedName name="FSrcSumm">'Target Tracking'!$B$6:$Y$13</definedName>
    <definedName name="FundDesc">FundingLinesTbl[Funding Description]</definedName>
    <definedName name="FundingLines">FundingLinesTbl[Funding Line]</definedName>
    <definedName name="Land">'PA Matrix'!$K$5:$K$24</definedName>
    <definedName name="ManagementReserve">'PA Matrix'!$M$5:$M$24</definedName>
    <definedName name="OpenVendorList">INDEX(VendorList[Open Vendors without Blanks],1):INDEX(VendorList[Open Vendors without Blanks],COUNTIF(VendorList[Open Vendors without Blanks],"?*"))</definedName>
    <definedName name="Primary">Validations!$C$11:$C$16</definedName>
    <definedName name="PrimContRev">'Prime Cont. Summary'!$B$11:$X$18</definedName>
    <definedName name="PrimContSumm">'Prime Cont. Summary'!$B$26:$X$40</definedName>
    <definedName name="_xlnm.Print_Area" localSheetId="21">Acronyms!$A$1:$C$46</definedName>
    <definedName name="_xlnm.Print_Area" localSheetId="8">'Budget Details (Rpt)'!$A$1:$T$66</definedName>
    <definedName name="_xlnm.Print_Area" localSheetId="3">'Budget Tracking'!$A$1:$AB$77</definedName>
    <definedName name="_xlnm.Print_Area" localSheetId="15">'CA Tracking'!$A$1:$AD$1507</definedName>
    <definedName name="_xlnm.Print_Area" localSheetId="16">'CAA Tracking'!$A$1:$M$93</definedName>
    <definedName name="_xlnm.Print_Area" localSheetId="9">Cashflow!$A$1:$FS$178</definedName>
    <definedName name="_xlnm.Print_Area" localSheetId="5">'Change Tracking'!$A$1:$L$161</definedName>
    <definedName name="_xlnm.Print_Area" localSheetId="6">'Cost Tracking'!$A$1:$Y$834</definedName>
    <definedName name="_xlnm.Print_Area" localSheetId="11">EAC!$A$1:$R$39</definedName>
    <definedName name="_xlnm.Print_Area" localSheetId="1">'PA Matrix'!$A$1:$N$36</definedName>
    <definedName name="_xlnm.Print_Area" localSheetId="14">'Prime Cont. Summary'!$A$1:$Y$44</definedName>
    <definedName name="_xlnm.Print_Area" localSheetId="13">SFC!$B$1:$K$106</definedName>
    <definedName name="_xlnm.Print_Area" localSheetId="10">'Summary (Rpt)'!$A$1:$S$14</definedName>
    <definedName name="_xlnm.Print_Area" localSheetId="2">'Target Tracking'!$A$1:$Y$161</definedName>
    <definedName name="_xlnm.Print_Area" localSheetId="0">Validations!$A$3:$N$43</definedName>
    <definedName name="_xlnm.Print_Area" localSheetId="4">'Vendor Listing'!$A$1:$W$34</definedName>
    <definedName name="_xlnm.Print_Titles" localSheetId="8">'Budget Details (Rpt)'!$1:$4</definedName>
    <definedName name="_xlnm.Print_Titles" localSheetId="3">'Budget Tracking'!$1:$6</definedName>
    <definedName name="_xlnm.Print_Titles" localSheetId="15">'CA Tracking'!$1:$21</definedName>
    <definedName name="_xlnm.Print_Titles" localSheetId="16">'CAA Tracking'!$1:$28</definedName>
    <definedName name="_xlnm.Print_Titles" localSheetId="9">Cashflow!$1:$7</definedName>
    <definedName name="_xlnm.Print_Titles" localSheetId="5">'Change Tracking'!$1:$10</definedName>
    <definedName name="_xlnm.Print_Titles" localSheetId="6">'Cost Tracking'!$1:$12</definedName>
    <definedName name="_xlnm.Print_Titles" localSheetId="11">EAC!$1:$5</definedName>
    <definedName name="_xlnm.Print_Titles" localSheetId="14">'Prime Cont. Summary'!$1:$4</definedName>
    <definedName name="_xlnm.Print_Titles" localSheetId="13">SFC!$1:$8</definedName>
    <definedName name="_xlnm.Print_Titles" localSheetId="10">'Summary (Rpt)'!$1:$5</definedName>
    <definedName name="_xlnm.Print_Titles" localSheetId="2">'Target Tracking'!$1:$14</definedName>
    <definedName name="_xlnm.Print_Titles" localSheetId="4">'Vendor Listing'!$1:$5</definedName>
    <definedName name="ProfessionalServices">'PA Matrix'!$E$5:$E$24</definedName>
    <definedName name="ProjectID">FundingLinesTbl[Project ID]</definedName>
    <definedName name="SPOApprovedTPC">'SP Fields'!$B$2</definedName>
    <definedName name="SPOBudgetTotal">'SP Fields'!$B$3</definedName>
    <definedName name="SPOCashflowCurrentYearTotal">'SP Fields'!$B$4</definedName>
    <definedName name="SPOCashflowFutureYearTotal">'SP Fields'!$B$5</definedName>
    <definedName name="SPOCashflowPreviousYearsTotal">'SP Fields'!$B$17</definedName>
    <definedName name="SPOCurrentFiscalYearActuals">'SP Fields'!$B$16</definedName>
    <definedName name="SPOCurrentYearBudgetTarget">'SP Fields'!$B$18</definedName>
    <definedName name="SPOCurrentYearProposedTargetTotal">'SP Fields'!$B$8</definedName>
    <definedName name="SPOCurrentYearTargetTotal">'SP Fields'!$B$7</definedName>
    <definedName name="SPOEAC">'SP Fields'!$B$6</definedName>
    <definedName name="SPOFutureYearsApprovedTargets">'SP Fields'!$B$10</definedName>
    <definedName name="SPOPercentCompleteEACBudget">'SP Fields'!$B$12</definedName>
    <definedName name="SPOPercentCompleteTAFBudget">'SP Fields'!$B$11</definedName>
    <definedName name="SPOPreviousYearsApprovedTargets">'SP Fields'!$B$9</definedName>
    <definedName name="SPOTotalCashflow">'SP Fields'!$B$13</definedName>
    <definedName name="SPOTotalExpenditurestoDate">'SP Fields'!$B$15</definedName>
    <definedName name="SPOUnallocatedCashflowTotal">'SP Fields'!$B$14</definedName>
    <definedName name="TAFValue">'Summary (Rpt)'!$C$15</definedName>
    <definedName name="TAFVariance">'Summary (Rpt)'!$E$15</definedName>
    <definedName name="Targets">'Target Tracking'!$D$17:$W$24</definedName>
    <definedName name="TargetsApproved">'Target Tracking'!$E$18:INDEX('Target Tracking'!$V$18:$W$18,COLUMNS('Target Tracking'!$V$18:$W$18)-1)</definedName>
    <definedName name="TargetsProposed">'Target Tracking'!$E$22:INDEX('Target Tracking'!$V$22:$W$22,COLUMNS('Target Tracking'!$V$22:$W$22)-1)</definedName>
    <definedName name="TargetsYear">'Target Tracking'!$E$17:INDEX('Target Tracking'!$V$17:$W$17,COLUMNS('Target Tracking'!$V$17:$W$17)-1)</definedName>
    <definedName name="TodayLine" localSheetId="7">Cashflows[TodayLine]</definedName>
    <definedName name="TotalContAllowMR">'Summary (Rpt)'!$L$15</definedName>
    <definedName name="VendorListContractID">VendorList[Contract ID]</definedName>
    <definedName name="VendorListFullname">VendorList[Vendor / Org. with Contract ID]</definedName>
    <definedName name="WBS">FundingLinesTbl[WBS]</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29" i="37" l="1"/>
  <c r="H829" i="37" s="1"/>
  <c r="G830" i="37"/>
  <c r="H830" i="37" s="1"/>
  <c r="X829" i="37"/>
  <c r="X830" i="37"/>
  <c r="AA829" i="37"/>
  <c r="AA830" i="37"/>
  <c r="AD829" i="37"/>
  <c r="AD830" i="37"/>
  <c r="G820" i="37"/>
  <c r="H820" i="37" s="1"/>
  <c r="X820" i="37"/>
  <c r="AA820" i="37"/>
  <c r="AD820" i="37"/>
  <c r="K6" i="37"/>
  <c r="G801" i="37"/>
  <c r="H801" i="37" s="1"/>
  <c r="G827" i="37"/>
  <c r="H827" i="37" s="1"/>
  <c r="X801" i="37"/>
  <c r="X827" i="37"/>
  <c r="AA801" i="37"/>
  <c r="AA827" i="37"/>
  <c r="AD801" i="37"/>
  <c r="AD827" i="37"/>
  <c r="G828" i="37"/>
  <c r="H828" i="37" s="1"/>
  <c r="X828" i="37"/>
  <c r="AA828" i="37"/>
  <c r="AD828" i="37"/>
  <c r="G826" i="37"/>
  <c r="H826" i="37" s="1"/>
  <c r="X826" i="37"/>
  <c r="AA826" i="37"/>
  <c r="AD826" i="37"/>
  <c r="G809" i="37"/>
  <c r="H809" i="37" s="1"/>
  <c r="G810" i="37"/>
  <c r="H810" i="37" s="1"/>
  <c r="G811" i="37"/>
  <c r="H811" i="37" s="1"/>
  <c r="G812" i="37"/>
  <c r="H812" i="37" s="1"/>
  <c r="X809" i="37"/>
  <c r="X810" i="37"/>
  <c r="X811" i="37"/>
  <c r="X812" i="37"/>
  <c r="AA809" i="37"/>
  <c r="AA810" i="37"/>
  <c r="AA811" i="37"/>
  <c r="AA812" i="37"/>
  <c r="AD809" i="37"/>
  <c r="AD810" i="37"/>
  <c r="AD811" i="37"/>
  <c r="AD812" i="37"/>
  <c r="D107" i="41" l="1"/>
  <c r="U107" i="41" s="1"/>
  <c r="D108" i="41"/>
  <c r="U108" i="41" s="1"/>
  <c r="G815" i="37"/>
  <c r="H815" i="37" s="1"/>
  <c r="X815" i="37"/>
  <c r="AA815" i="37"/>
  <c r="AD815" i="37"/>
  <c r="G817" i="37"/>
  <c r="H817" i="37" s="1"/>
  <c r="X817" i="37"/>
  <c r="AA817" i="37"/>
  <c r="AD817" i="37"/>
  <c r="G818" i="37"/>
  <c r="H818" i="37" s="1"/>
  <c r="X818" i="37"/>
  <c r="AA818" i="37"/>
  <c r="AD818" i="37"/>
  <c r="G819" i="37"/>
  <c r="H819" i="37" s="1"/>
  <c r="X819" i="37"/>
  <c r="AA819" i="37"/>
  <c r="AD819" i="37"/>
  <c r="G814" i="37"/>
  <c r="H814" i="37" s="1"/>
  <c r="X814" i="37"/>
  <c r="AA814" i="37"/>
  <c r="AD814" i="37"/>
  <c r="G805" i="37"/>
  <c r="H805" i="37" s="1"/>
  <c r="X805" i="37"/>
  <c r="AA805" i="37"/>
  <c r="AD805" i="37"/>
  <c r="G806" i="37"/>
  <c r="H806" i="37" s="1"/>
  <c r="X806" i="37"/>
  <c r="AA806" i="37"/>
  <c r="AD806" i="37"/>
  <c r="G807" i="37"/>
  <c r="H807" i="37" s="1"/>
  <c r="X807" i="37"/>
  <c r="AA807" i="37"/>
  <c r="AD807" i="37"/>
  <c r="G821" i="37"/>
  <c r="H821" i="37" s="1"/>
  <c r="G822" i="37"/>
  <c r="H822" i="37" s="1"/>
  <c r="G823" i="37"/>
  <c r="H823" i="37" s="1"/>
  <c r="X821" i="37"/>
  <c r="X822" i="37"/>
  <c r="X823" i="37"/>
  <c r="AA821" i="37"/>
  <c r="AA822" i="37"/>
  <c r="AA823" i="37"/>
  <c r="AD821" i="37"/>
  <c r="AD822" i="37"/>
  <c r="AD823" i="37"/>
  <c r="F105" i="41"/>
  <c r="X804" i="37"/>
  <c r="X808" i="37"/>
  <c r="X813" i="37"/>
  <c r="G800" i="37"/>
  <c r="H800" i="37" s="1"/>
  <c r="G802" i="37"/>
  <c r="H802" i="37" s="1"/>
  <c r="G803" i="37"/>
  <c r="H803" i="37" s="1"/>
  <c r="X800" i="37"/>
  <c r="X802" i="37"/>
  <c r="X803" i="37"/>
  <c r="AA800" i="37"/>
  <c r="AA802" i="37"/>
  <c r="AA803" i="37"/>
  <c r="AD800" i="37"/>
  <c r="AD802" i="37"/>
  <c r="AD803" i="37"/>
  <c r="G804" i="37"/>
  <c r="H804" i="37" s="1"/>
  <c r="G808" i="37"/>
  <c r="H808" i="37" s="1"/>
  <c r="AA804" i="37"/>
  <c r="AA808" i="37"/>
  <c r="AD804" i="37"/>
  <c r="AD808" i="37"/>
  <c r="G813" i="37"/>
  <c r="H813" i="37" s="1"/>
  <c r="G816" i="37"/>
  <c r="H816" i="37" s="1"/>
  <c r="X816" i="37"/>
  <c r="AA813" i="37"/>
  <c r="AA816" i="37"/>
  <c r="AD813" i="37"/>
  <c r="AD816" i="37"/>
  <c r="G824" i="37"/>
  <c r="H824" i="37" s="1"/>
  <c r="G825" i="37"/>
  <c r="H825" i="37" s="1"/>
  <c r="X824" i="37"/>
  <c r="X825" i="37"/>
  <c r="AA824" i="37"/>
  <c r="AA825" i="37"/>
  <c r="AD824" i="37"/>
  <c r="AD825" i="37"/>
  <c r="G831" i="37"/>
  <c r="H831" i="37" s="1"/>
  <c r="X831" i="37"/>
  <c r="AA831" i="37"/>
  <c r="AD831" i="37"/>
  <c r="G795" i="37"/>
  <c r="H795" i="37" s="1"/>
  <c r="G796" i="37"/>
  <c r="H796" i="37" s="1"/>
  <c r="G798" i="37"/>
  <c r="H798" i="37" s="1"/>
  <c r="X795" i="37"/>
  <c r="X796" i="37"/>
  <c r="X798" i="37"/>
  <c r="AA795" i="37"/>
  <c r="AA796" i="37"/>
  <c r="AA798" i="37"/>
  <c r="AD795" i="37"/>
  <c r="AD796" i="37"/>
  <c r="AD798" i="37"/>
  <c r="G788" i="37"/>
  <c r="H788" i="37" s="1"/>
  <c r="X788" i="37"/>
  <c r="AA788" i="37"/>
  <c r="AD788" i="37"/>
  <c r="G789" i="37"/>
  <c r="H789" i="37" s="1"/>
  <c r="X789" i="37"/>
  <c r="AA789" i="37"/>
  <c r="AD789" i="37"/>
  <c r="G786" i="37"/>
  <c r="H786" i="37" s="1"/>
  <c r="X786" i="37"/>
  <c r="AA786" i="37"/>
  <c r="AD786" i="37"/>
  <c r="G787" i="37"/>
  <c r="H787" i="37" s="1"/>
  <c r="X787" i="37"/>
  <c r="AA787" i="37"/>
  <c r="AD787" i="37"/>
  <c r="G785" i="37"/>
  <c r="H785" i="37" s="1"/>
  <c r="X785" i="37"/>
  <c r="AA785" i="37"/>
  <c r="AD785" i="37"/>
  <c r="N123" i="30"/>
  <c r="G784" i="37"/>
  <c r="H784" i="37" s="1"/>
  <c r="X784" i="37"/>
  <c r="AA784" i="37"/>
  <c r="AD784" i="37"/>
  <c r="G783" i="37"/>
  <c r="H783" i="37" s="1"/>
  <c r="X783" i="37"/>
  <c r="AA783" i="37"/>
  <c r="AD783" i="37"/>
  <c r="K107" i="41" l="1"/>
  <c r="I107" i="41"/>
  <c r="K108" i="41"/>
  <c r="I108" i="41"/>
  <c r="G832" i="37"/>
  <c r="H832" i="37" s="1"/>
  <c r="Q832" i="37"/>
  <c r="R832" i="37"/>
  <c r="S832" i="37"/>
  <c r="T832" i="37"/>
  <c r="U832" i="37"/>
  <c r="V832" i="37"/>
  <c r="X832" i="37"/>
  <c r="AA832" i="37"/>
  <c r="AD832" i="37"/>
  <c r="G782" i="37"/>
  <c r="H782" i="37" s="1"/>
  <c r="X782" i="37"/>
  <c r="AA782" i="37"/>
  <c r="AD782" i="37"/>
  <c r="G779" i="37" l="1"/>
  <c r="H779" i="37" s="1"/>
  <c r="X779" i="37"/>
  <c r="AA779" i="37"/>
  <c r="AD779" i="37"/>
  <c r="G780" i="37"/>
  <c r="H780" i="37" s="1"/>
  <c r="G781" i="37"/>
  <c r="H781" i="37" s="1"/>
  <c r="X780" i="37"/>
  <c r="X781" i="37"/>
  <c r="AA780" i="37"/>
  <c r="AA781" i="37"/>
  <c r="AD780" i="37"/>
  <c r="AD781" i="37"/>
  <c r="G778" i="37" l="1"/>
  <c r="H778" i="37" s="1"/>
  <c r="X778" i="37"/>
  <c r="AA778" i="37"/>
  <c r="AD778" i="37"/>
  <c r="G776" i="37"/>
  <c r="H776" i="37" s="1"/>
  <c r="G777" i="37"/>
  <c r="H777" i="37" s="1"/>
  <c r="X776" i="37"/>
  <c r="X777" i="37"/>
  <c r="AA776" i="37"/>
  <c r="AA777" i="37"/>
  <c r="AD776" i="37"/>
  <c r="AD777" i="37"/>
  <c r="G775" i="37"/>
  <c r="H775" i="37" s="1"/>
  <c r="X775" i="37"/>
  <c r="AA775" i="37"/>
  <c r="AD775" i="37"/>
  <c r="G773" i="37"/>
  <c r="H773" i="37" s="1"/>
  <c r="X773" i="37"/>
  <c r="AA773" i="37"/>
  <c r="AD773" i="37"/>
  <c r="G769" i="37"/>
  <c r="H769" i="37" s="1"/>
  <c r="G770" i="37"/>
  <c r="H770" i="37" s="1"/>
  <c r="G771" i="37"/>
  <c r="H771" i="37" s="1"/>
  <c r="G772" i="37"/>
  <c r="H772" i="37" s="1"/>
  <c r="G774" i="37"/>
  <c r="H774" i="37" s="1"/>
  <c r="X769" i="37"/>
  <c r="X770" i="37"/>
  <c r="X771" i="37"/>
  <c r="X772" i="37"/>
  <c r="X774" i="37"/>
  <c r="AA769" i="37"/>
  <c r="AA770" i="37"/>
  <c r="AA771" i="37"/>
  <c r="AA772" i="37"/>
  <c r="AA774" i="37"/>
  <c r="AD769" i="37"/>
  <c r="AD770" i="37"/>
  <c r="AD771" i="37"/>
  <c r="AD772" i="37"/>
  <c r="AD774" i="37"/>
  <c r="W48" i="36"/>
  <c r="W49" i="36"/>
  <c r="W50" i="36"/>
  <c r="B127" i="50"/>
  <c r="B128" i="50"/>
  <c r="B129" i="50"/>
  <c r="B130" i="50"/>
  <c r="H127" i="50"/>
  <c r="H128" i="50"/>
  <c r="H129" i="50"/>
  <c r="H130" i="50"/>
  <c r="Z1397" i="62"/>
  <c r="G767" i="37"/>
  <c r="H767" i="37" s="1"/>
  <c r="X767" i="37"/>
  <c r="AA767" i="37"/>
  <c r="AD767" i="37"/>
  <c r="G768" i="37"/>
  <c r="H768" i="37" s="1"/>
  <c r="X768" i="37"/>
  <c r="AA768" i="37"/>
  <c r="AD768" i="37"/>
  <c r="G765" i="37"/>
  <c r="H765" i="37" s="1"/>
  <c r="G766" i="37"/>
  <c r="H766" i="37" s="1"/>
  <c r="X765" i="37"/>
  <c r="X766" i="37"/>
  <c r="AA765" i="37"/>
  <c r="AA766" i="37"/>
  <c r="AD765" i="37"/>
  <c r="AD766" i="37"/>
  <c r="G763" i="37"/>
  <c r="H763" i="37" s="1"/>
  <c r="X763" i="37"/>
  <c r="AA763" i="37"/>
  <c r="AD763" i="37"/>
  <c r="G762" i="37"/>
  <c r="H762" i="37" s="1"/>
  <c r="X762" i="37"/>
  <c r="AA762" i="37"/>
  <c r="AD762" i="37"/>
  <c r="G758" i="37"/>
  <c r="H758" i="37" s="1"/>
  <c r="G759" i="37"/>
  <c r="H759" i="37" s="1"/>
  <c r="G760" i="37"/>
  <c r="H760" i="37" s="1"/>
  <c r="G761" i="37"/>
  <c r="H761" i="37" s="1"/>
  <c r="X758" i="37"/>
  <c r="X759" i="37"/>
  <c r="X760" i="37"/>
  <c r="X761" i="37"/>
  <c r="AA758" i="37"/>
  <c r="AA759" i="37"/>
  <c r="AA760" i="37"/>
  <c r="AA761" i="37"/>
  <c r="AD758" i="37"/>
  <c r="AD759" i="37"/>
  <c r="AD760" i="37"/>
  <c r="AD761" i="37"/>
  <c r="G757" i="37"/>
  <c r="H757" i="37" s="1"/>
  <c r="X757" i="37"/>
  <c r="AA757" i="37"/>
  <c r="AD757" i="37"/>
  <c r="G756" i="37"/>
  <c r="H756" i="37" s="1"/>
  <c r="X756" i="37"/>
  <c r="AA756" i="37"/>
  <c r="AD756" i="37"/>
  <c r="Z774" i="62"/>
  <c r="Z773" i="62"/>
  <c r="Z772" i="62"/>
  <c r="Z771" i="62"/>
  <c r="Z672" i="62"/>
  <c r="Z668" i="62"/>
  <c r="Z664" i="62"/>
  <c r="Z648" i="62"/>
  <c r="Z645" i="62"/>
  <c r="Z642" i="62"/>
  <c r="Z1339" i="62"/>
  <c r="Z1338" i="62"/>
  <c r="Z1302" i="62"/>
  <c r="Z1290" i="62"/>
  <c r="Z1287" i="62"/>
  <c r="Z1282" i="62"/>
  <c r="Z1277" i="62"/>
  <c r="Z1273" i="62"/>
  <c r="Z1258" i="62"/>
  <c r="Z1257" i="62"/>
  <c r="Z1244" i="62"/>
  <c r="Z1243" i="62"/>
  <c r="Z1236" i="62"/>
  <c r="Z1235" i="62"/>
  <c r="Z1226" i="62"/>
  <c r="Z1217" i="62"/>
  <c r="Z1216" i="62"/>
  <c r="Z1211" i="62"/>
  <c r="Z1208" i="62"/>
  <c r="Z1204" i="62"/>
  <c r="Z1203" i="62"/>
  <c r="Z1202" i="62"/>
  <c r="Z1201" i="62"/>
  <c r="Z1199" i="62"/>
  <c r="Z1183" i="62"/>
  <c r="Z1178" i="62"/>
  <c r="Z1177" i="62"/>
  <c r="Z1171" i="62"/>
  <c r="Z1170" i="62"/>
  <c r="Z1167" i="62"/>
  <c r="Z1155" i="62"/>
  <c r="Z1148" i="62"/>
  <c r="Z1144" i="62"/>
  <c r="Z1142" i="62"/>
  <c r="Z1140" i="62"/>
  <c r="Z1139" i="62"/>
  <c r="Z1138" i="62"/>
  <c r="Z1137" i="62"/>
  <c r="Z1136" i="62"/>
  <c r="Z1135" i="62"/>
  <c r="Z1133" i="62"/>
  <c r="Z1132" i="62"/>
  <c r="Z1115" i="62"/>
  <c r="Z1110" i="62"/>
  <c r="Z1104" i="62"/>
  <c r="Z1102" i="62"/>
  <c r="Z1077" i="62"/>
  <c r="Z1076" i="62"/>
  <c r="Z1075" i="62"/>
  <c r="Z1073" i="62"/>
  <c r="Z1072" i="62"/>
  <c r="Z1066" i="62"/>
  <c r="Z1058" i="62"/>
  <c r="Z1056" i="62"/>
  <c r="Z1050" i="62"/>
  <c r="Z1043" i="62"/>
  <c r="Z1042" i="62"/>
  <c r="Z1035" i="62"/>
  <c r="Z1034" i="62"/>
  <c r="Z1033" i="62"/>
  <c r="Z1031" i="62"/>
  <c r="Z1030" i="62"/>
  <c r="Z1028" i="62"/>
  <c r="Z1014" i="62"/>
  <c r="Z1013" i="62"/>
  <c r="Z1010" i="62"/>
  <c r="Z1001" i="62"/>
  <c r="Z1000" i="62"/>
  <c r="Z999" i="62"/>
  <c r="Z985" i="62"/>
  <c r="Z984" i="62"/>
  <c r="Z980" i="62"/>
  <c r="Z978" i="62"/>
  <c r="Z972" i="62"/>
  <c r="Z970" i="62"/>
  <c r="Z966" i="62"/>
  <c r="Z965" i="62"/>
  <c r="Z964" i="62"/>
  <c r="Z957" i="62"/>
  <c r="Z956" i="62"/>
  <c r="Z955" i="62"/>
  <c r="Z954" i="62"/>
  <c r="Z953" i="62"/>
  <c r="Z952" i="62"/>
  <c r="Z940" i="62"/>
  <c r="Z935" i="62"/>
  <c r="Z925" i="62"/>
  <c r="Z924" i="62"/>
  <c r="Z915" i="62"/>
  <c r="Z912" i="62"/>
  <c r="Z895" i="62"/>
  <c r="Z885" i="62"/>
  <c r="Z884" i="62"/>
  <c r="Z874" i="62"/>
  <c r="Z865" i="62"/>
  <c r="Z846" i="62"/>
  <c r="Z840" i="62"/>
  <c r="Z822" i="62"/>
  <c r="Z816" i="62"/>
  <c r="Z815" i="62"/>
  <c r="Z802" i="62"/>
  <c r="Z803" i="62"/>
  <c r="Z801" i="62"/>
  <c r="Z796" i="62"/>
  <c r="Z791" i="62"/>
  <c r="Z1312" i="62"/>
  <c r="Z1328" i="62"/>
  <c r="Z1327" i="62"/>
  <c r="Z1318" i="62"/>
  <c r="Z1369" i="62"/>
  <c r="Z1368" i="62"/>
  <c r="Z1364" i="62"/>
  <c r="Z1363" i="62"/>
  <c r="Z1362" i="62"/>
  <c r="Z1361" i="62"/>
  <c r="Z1356" i="62"/>
  <c r="Z1353" i="62"/>
  <c r="Z1352" i="62"/>
  <c r="Z1346" i="62"/>
  <c r="Z1342" i="62"/>
  <c r="Z1386" i="62"/>
  <c r="Z1382" i="62"/>
  <c r="Z1381" i="62"/>
  <c r="Z1380" i="62"/>
  <c r="Z1379" i="62"/>
  <c r="Z1378" i="62"/>
  <c r="Z1377" i="62"/>
  <c r="Z1371" i="62"/>
  <c r="Z748" i="62"/>
  <c r="Z744" i="62"/>
  <c r="Z741" i="62"/>
  <c r="Z740" i="62"/>
  <c r="Z736" i="62"/>
  <c r="Z735" i="62"/>
  <c r="Z732" i="62"/>
  <c r="Z721" i="62"/>
  <c r="Z720" i="62"/>
  <c r="Z704" i="62"/>
  <c r="Z701" i="62"/>
  <c r="Z697" i="62"/>
  <c r="Z691" i="62"/>
  <c r="Z689" i="62"/>
  <c r="Z625" i="62"/>
  <c r="Z482" i="62"/>
  <c r="Z479" i="62"/>
  <c r="Z499" i="62"/>
  <c r="Z530" i="62"/>
  <c r="Z549" i="62"/>
  <c r="Z606" i="62"/>
  <c r="Z599" i="62"/>
  <c r="Z596" i="62"/>
  <c r="Z593" i="62"/>
  <c r="Z590" i="62"/>
  <c r="Z458" i="62"/>
  <c r="Z402" i="62"/>
  <c r="Z279" i="62"/>
  <c r="Z1314" i="62"/>
  <c r="Z1340" i="62"/>
  <c r="Z1256" i="62"/>
  <c r="Z1286" i="62"/>
  <c r="Z1309" i="62"/>
  <c r="Z1213" i="62"/>
  <c r="Z352" i="62"/>
  <c r="Z327" i="62"/>
  <c r="Z1336" i="62"/>
  <c r="Z1329" i="62"/>
  <c r="Z1341" i="62"/>
  <c r="Z1326" i="62"/>
  <c r="Z570" i="62"/>
  <c r="Z161" i="62"/>
  <c r="L45" i="36" l="1"/>
  <c r="G755" i="37"/>
  <c r="H755" i="37" s="1"/>
  <c r="X755" i="37"/>
  <c r="AA755" i="37"/>
  <c r="AD755" i="37"/>
  <c r="G754" i="37"/>
  <c r="H754" i="37" s="1"/>
  <c r="X754" i="37"/>
  <c r="AA754" i="37"/>
  <c r="AD754" i="37"/>
  <c r="G750" i="37"/>
  <c r="H750" i="37" s="1"/>
  <c r="X750" i="37"/>
  <c r="AA750" i="37"/>
  <c r="AD750" i="37"/>
  <c r="G764" i="37"/>
  <c r="H764" i="37" s="1"/>
  <c r="X764" i="37"/>
  <c r="AA764" i="37"/>
  <c r="AD764" i="37"/>
  <c r="G749" i="37" l="1"/>
  <c r="H749" i="37" s="1"/>
  <c r="X749" i="37"/>
  <c r="AA749" i="37"/>
  <c r="AD749" i="37"/>
  <c r="A80" i="63" l="1"/>
  <c r="G744" i="37"/>
  <c r="H744" i="37" s="1"/>
  <c r="X744" i="37"/>
  <c r="AA744" i="37"/>
  <c r="AD744" i="37"/>
  <c r="G740" i="37"/>
  <c r="H740" i="37" s="1"/>
  <c r="X740" i="37"/>
  <c r="AA740" i="37"/>
  <c r="AD740" i="37"/>
  <c r="G748" i="37"/>
  <c r="H748" i="37" s="1"/>
  <c r="X748" i="37"/>
  <c r="AA748" i="37"/>
  <c r="AD748" i="37"/>
  <c r="G746" i="37"/>
  <c r="H746" i="37" s="1"/>
  <c r="G745" i="37"/>
  <c r="H745" i="37" s="1"/>
  <c r="G747" i="37"/>
  <c r="H747" i="37" s="1"/>
  <c r="X746" i="37"/>
  <c r="X745" i="37"/>
  <c r="X747" i="37"/>
  <c r="AA746" i="37"/>
  <c r="AA745" i="37"/>
  <c r="AA747" i="37"/>
  <c r="AD746" i="37"/>
  <c r="AD745" i="37"/>
  <c r="AD747" i="37"/>
  <c r="G739" i="37" l="1"/>
  <c r="H739" i="37" s="1"/>
  <c r="X739" i="37"/>
  <c r="AA739" i="37"/>
  <c r="AD739" i="37"/>
  <c r="D37" i="41"/>
  <c r="G738" i="37" l="1"/>
  <c r="H738" i="37" s="1"/>
  <c r="X738" i="37"/>
  <c r="AA738" i="37"/>
  <c r="AD738" i="37"/>
  <c r="G731" i="37"/>
  <c r="H731" i="37" s="1"/>
  <c r="G735" i="37"/>
  <c r="H735" i="37" s="1"/>
  <c r="X731" i="37"/>
  <c r="X735" i="37"/>
  <c r="AA731" i="37"/>
  <c r="AA735" i="37"/>
  <c r="AD731" i="37"/>
  <c r="AD735" i="37"/>
  <c r="G736" i="37"/>
  <c r="H736" i="37" s="1"/>
  <c r="X736" i="37"/>
  <c r="AA736" i="37"/>
  <c r="AD736" i="37"/>
  <c r="G737" i="37"/>
  <c r="H737" i="37" s="1"/>
  <c r="X737" i="37"/>
  <c r="AA737" i="37"/>
  <c r="AD737" i="37"/>
  <c r="G728" i="37"/>
  <c r="H728" i="37" s="1"/>
  <c r="G729" i="37"/>
  <c r="H729" i="37" s="1"/>
  <c r="G730" i="37"/>
  <c r="H730" i="37" s="1"/>
  <c r="X728" i="37"/>
  <c r="X729" i="37"/>
  <c r="X730" i="37"/>
  <c r="AA728" i="37"/>
  <c r="AA729" i="37"/>
  <c r="AA730" i="37"/>
  <c r="AD728" i="37"/>
  <c r="AD729" i="37"/>
  <c r="AD730" i="37"/>
  <c r="K45" i="36" l="1"/>
  <c r="K42" i="36"/>
  <c r="K32" i="36"/>
  <c r="K34" i="36"/>
  <c r="I34" i="36"/>
  <c r="H34" i="36"/>
  <c r="G34" i="36"/>
  <c r="A79" i="63"/>
  <c r="A75" i="63" l="1"/>
  <c r="A76" i="63"/>
  <c r="A77" i="63"/>
  <c r="A78" i="63"/>
  <c r="A90" i="63"/>
  <c r="N72" i="30"/>
  <c r="G687" i="37" l="1"/>
  <c r="H687" i="37" s="1"/>
  <c r="X687" i="37"/>
  <c r="AA687" i="37"/>
  <c r="AD687" i="37"/>
  <c r="G695" i="37"/>
  <c r="H695" i="37" s="1"/>
  <c r="X695" i="37"/>
  <c r="AA695" i="37"/>
  <c r="AD695" i="37"/>
  <c r="G725" i="37"/>
  <c r="H725" i="37" s="1"/>
  <c r="X725" i="37"/>
  <c r="AA725" i="37"/>
  <c r="AD725" i="37"/>
  <c r="G723" i="37"/>
  <c r="H723" i="37" s="1"/>
  <c r="X723" i="37"/>
  <c r="AA723" i="37"/>
  <c r="AD723" i="37"/>
  <c r="G724" i="37"/>
  <c r="H724" i="37" s="1"/>
  <c r="G726" i="37"/>
  <c r="H726" i="37" s="1"/>
  <c r="X724" i="37"/>
  <c r="X726" i="37"/>
  <c r="AA724" i="37"/>
  <c r="AA726" i="37"/>
  <c r="AD724" i="37"/>
  <c r="AD726" i="37"/>
  <c r="FQ117" i="50" l="1"/>
  <c r="FQ118" i="50"/>
  <c r="FQ119" i="50"/>
  <c r="FQ120" i="50"/>
  <c r="FQ121" i="50"/>
  <c r="FQ122" i="50"/>
  <c r="FQ123" i="50"/>
  <c r="FQ124" i="50"/>
  <c r="FQ125" i="50"/>
  <c r="FQ126" i="50"/>
  <c r="FQ127" i="50"/>
  <c r="FQ128" i="50"/>
  <c r="FQ129" i="50"/>
  <c r="FQ130" i="50"/>
  <c r="FQ131" i="50"/>
  <c r="FQ132" i="50"/>
  <c r="FQ133" i="50"/>
  <c r="FQ134" i="50"/>
  <c r="FQ135" i="50"/>
  <c r="FQ136" i="50"/>
  <c r="FQ137" i="50"/>
  <c r="FQ138" i="50"/>
  <c r="FQ139" i="50"/>
  <c r="FC117" i="50"/>
  <c r="FC118" i="50"/>
  <c r="FC119" i="50"/>
  <c r="FC120" i="50"/>
  <c r="FC121" i="50"/>
  <c r="FC122" i="50"/>
  <c r="FC123" i="50"/>
  <c r="FC124" i="50"/>
  <c r="FC125" i="50"/>
  <c r="FC126" i="50"/>
  <c r="FC127" i="50"/>
  <c r="FC128" i="50"/>
  <c r="FC129" i="50"/>
  <c r="FC130" i="50"/>
  <c r="FC131" i="50"/>
  <c r="FC132" i="50"/>
  <c r="FC133" i="50"/>
  <c r="FC134" i="50"/>
  <c r="FC135" i="50"/>
  <c r="FC136" i="50"/>
  <c r="FC137" i="50"/>
  <c r="FC138" i="50"/>
  <c r="FC139" i="50"/>
  <c r="B124" i="50"/>
  <c r="H124" i="50"/>
  <c r="B125" i="50"/>
  <c r="H125" i="50"/>
  <c r="B126" i="50"/>
  <c r="H126" i="50"/>
  <c r="B131" i="50"/>
  <c r="H131" i="50"/>
  <c r="B132" i="50"/>
  <c r="H132" i="50"/>
  <c r="B133" i="50"/>
  <c r="H133" i="50"/>
  <c r="B134" i="50"/>
  <c r="H134" i="50"/>
  <c r="B135" i="50"/>
  <c r="H135" i="50"/>
  <c r="B136" i="50"/>
  <c r="H136" i="50"/>
  <c r="B137" i="50"/>
  <c r="H137" i="50"/>
  <c r="B138" i="50"/>
  <c r="H138" i="50"/>
  <c r="B139" i="50"/>
  <c r="H139" i="50"/>
  <c r="I123" i="30"/>
  <c r="L123" i="30"/>
  <c r="L127" i="30"/>
  <c r="L128" i="30"/>
  <c r="L129" i="30"/>
  <c r="C130" i="30"/>
  <c r="C132" i="50" s="1"/>
  <c r="C131" i="30"/>
  <c r="C133" i="50" s="1"/>
  <c r="C132" i="30"/>
  <c r="C134" i="50" s="1"/>
  <c r="C133" i="30"/>
  <c r="C135" i="50" s="1"/>
  <c r="D130" i="30"/>
  <c r="D132" i="50" s="1"/>
  <c r="D131" i="30"/>
  <c r="D133" i="50" s="1"/>
  <c r="D132" i="30"/>
  <c r="D134" i="50" s="1"/>
  <c r="D133" i="30"/>
  <c r="D135" i="50" s="1"/>
  <c r="E130" i="30"/>
  <c r="E132" i="50" s="1"/>
  <c r="E131" i="30"/>
  <c r="E133" i="50" s="1"/>
  <c r="E132" i="30"/>
  <c r="E134" i="50" s="1"/>
  <c r="E133" i="30"/>
  <c r="E135" i="50" s="1"/>
  <c r="F130" i="30"/>
  <c r="F132" i="50" s="1"/>
  <c r="F131" i="30"/>
  <c r="F133" i="50" s="1"/>
  <c r="F132" i="30"/>
  <c r="F134" i="50" s="1"/>
  <c r="F133" i="30"/>
  <c r="F135" i="50" s="1"/>
  <c r="G130" i="30"/>
  <c r="G132" i="50" s="1"/>
  <c r="G131" i="30"/>
  <c r="G133" i="50" s="1"/>
  <c r="G132" i="30"/>
  <c r="G134" i="50" s="1"/>
  <c r="G133" i="30"/>
  <c r="G135" i="50" s="1"/>
  <c r="I130" i="30"/>
  <c r="I131" i="30"/>
  <c r="I132" i="30"/>
  <c r="I133" i="30"/>
  <c r="K130" i="30"/>
  <c r="K131" i="30"/>
  <c r="K132" i="30"/>
  <c r="K133" i="30"/>
  <c r="L130" i="30"/>
  <c r="L131" i="30"/>
  <c r="L132" i="30"/>
  <c r="L133" i="30"/>
  <c r="C134" i="30"/>
  <c r="C136" i="50" s="1"/>
  <c r="C135" i="30"/>
  <c r="C137" i="50" s="1"/>
  <c r="D134" i="30"/>
  <c r="D136" i="50" s="1"/>
  <c r="D135" i="30"/>
  <c r="D137" i="50" s="1"/>
  <c r="E134" i="30"/>
  <c r="E136" i="50" s="1"/>
  <c r="E135" i="30"/>
  <c r="E137" i="50" s="1"/>
  <c r="F134" i="30"/>
  <c r="F136" i="50" s="1"/>
  <c r="F135" i="30"/>
  <c r="F137" i="50" s="1"/>
  <c r="G134" i="30"/>
  <c r="G136" i="50" s="1"/>
  <c r="G135" i="30"/>
  <c r="G137" i="50" s="1"/>
  <c r="I134" i="30"/>
  <c r="I135" i="30"/>
  <c r="K134" i="30"/>
  <c r="K135" i="30"/>
  <c r="L134" i="30"/>
  <c r="L135" i="30"/>
  <c r="C136" i="30"/>
  <c r="C138" i="50" s="1"/>
  <c r="D136" i="30"/>
  <c r="D138" i="50" s="1"/>
  <c r="E136" i="30"/>
  <c r="E138" i="50" s="1"/>
  <c r="F136" i="30"/>
  <c r="F138" i="50" s="1"/>
  <c r="G136" i="30"/>
  <c r="G138" i="50" s="1"/>
  <c r="I136" i="30"/>
  <c r="K136" i="30"/>
  <c r="L136" i="30"/>
  <c r="C137" i="30"/>
  <c r="C139" i="50" s="1"/>
  <c r="D137" i="30"/>
  <c r="D139" i="50" s="1"/>
  <c r="E137" i="30"/>
  <c r="E139" i="50" s="1"/>
  <c r="F137" i="30"/>
  <c r="F139" i="50" s="1"/>
  <c r="G137" i="30"/>
  <c r="G139" i="50" s="1"/>
  <c r="I137" i="30"/>
  <c r="K137" i="30"/>
  <c r="L137" i="30"/>
  <c r="S117" i="50" l="1"/>
  <c r="S126" i="50"/>
  <c r="S118" i="50"/>
  <c r="S131" i="50"/>
  <c r="S139" i="50"/>
  <c r="S132" i="50"/>
  <c r="S124" i="50"/>
  <c r="S130" i="50"/>
  <c r="S128" i="50"/>
  <c r="S129" i="50"/>
  <c r="S135" i="50"/>
  <c r="S127" i="50"/>
  <c r="S119" i="50"/>
  <c r="S137" i="50"/>
  <c r="S121" i="50"/>
  <c r="S136" i="50"/>
  <c r="S120" i="50"/>
  <c r="S133" i="50"/>
  <c r="S123" i="50"/>
  <c r="S122" i="50"/>
  <c r="J131" i="50"/>
  <c r="J125" i="50"/>
  <c r="J139" i="50"/>
  <c r="J138" i="50"/>
  <c r="J137" i="50"/>
  <c r="J129" i="50"/>
  <c r="J132" i="50"/>
  <c r="J133" i="50"/>
  <c r="J134" i="50"/>
  <c r="J130" i="50"/>
  <c r="J135" i="50"/>
  <c r="M136" i="30"/>
  <c r="O136" i="30" s="1"/>
  <c r="P136" i="30" s="1"/>
  <c r="J136" i="50"/>
  <c r="M132" i="30"/>
  <c r="O132" i="30" s="1"/>
  <c r="I134" i="50" s="1"/>
  <c r="M131" i="30"/>
  <c r="O131" i="30" s="1"/>
  <c r="S125" i="50"/>
  <c r="S138" i="50"/>
  <c r="S134" i="50"/>
  <c r="M137" i="30"/>
  <c r="O137" i="30" s="1"/>
  <c r="M133" i="30"/>
  <c r="O133" i="30" s="1"/>
  <c r="I135" i="50" s="1"/>
  <c r="M130" i="30"/>
  <c r="O130" i="30" s="1"/>
  <c r="M135" i="30"/>
  <c r="O135" i="30" s="1"/>
  <c r="M134" i="30"/>
  <c r="O134" i="30" s="1"/>
  <c r="FQ116" i="50"/>
  <c r="FC116" i="50"/>
  <c r="B123" i="50"/>
  <c r="H123" i="50"/>
  <c r="B122" i="50"/>
  <c r="H122" i="50"/>
  <c r="EB140" i="50"/>
  <c r="ED140" i="50"/>
  <c r="EE140" i="50"/>
  <c r="EF140" i="50"/>
  <c r="EG140" i="50"/>
  <c r="EH140" i="50"/>
  <c r="EI140" i="50"/>
  <c r="EJ140" i="50"/>
  <c r="EK140" i="50"/>
  <c r="EL140" i="50"/>
  <c r="EM140" i="50"/>
  <c r="EN140" i="50"/>
  <c r="EP140" i="50"/>
  <c r="EQ140" i="50"/>
  <c r="ER140" i="50"/>
  <c r="ES140" i="50"/>
  <c r="ET140" i="50"/>
  <c r="EU140" i="50"/>
  <c r="EV140" i="50"/>
  <c r="EW140" i="50"/>
  <c r="EX140" i="50"/>
  <c r="EY140" i="50"/>
  <c r="EZ140" i="50"/>
  <c r="FA140" i="50"/>
  <c r="FB140" i="50"/>
  <c r="FD140" i="50"/>
  <c r="FE140" i="50"/>
  <c r="FF140" i="50"/>
  <c r="FG140" i="50"/>
  <c r="FH140" i="50"/>
  <c r="FI140" i="50"/>
  <c r="FJ140" i="50"/>
  <c r="FK140" i="50"/>
  <c r="FL140" i="50"/>
  <c r="FM140" i="50"/>
  <c r="FN140" i="50"/>
  <c r="FO140" i="50"/>
  <c r="FP140" i="50"/>
  <c r="FR140" i="50"/>
  <c r="B116" i="50"/>
  <c r="H116" i="50"/>
  <c r="B117" i="50"/>
  <c r="H117" i="50"/>
  <c r="B118" i="50"/>
  <c r="H118" i="50"/>
  <c r="B119" i="50"/>
  <c r="H119" i="50"/>
  <c r="B120" i="50"/>
  <c r="H120" i="50"/>
  <c r="B121" i="50"/>
  <c r="H121" i="50"/>
  <c r="U109" i="41"/>
  <c r="D100" i="41"/>
  <c r="D101" i="41"/>
  <c r="D98" i="41"/>
  <c r="D99" i="41"/>
  <c r="D102" i="41"/>
  <c r="U102" i="41" s="1"/>
  <c r="D103" i="41"/>
  <c r="D104" i="41"/>
  <c r="U104" i="41" s="1"/>
  <c r="D105" i="41"/>
  <c r="D106" i="41"/>
  <c r="U106" i="41" s="1"/>
  <c r="D109" i="41"/>
  <c r="U105" i="41" l="1"/>
  <c r="U103" i="41"/>
  <c r="S116" i="50"/>
  <c r="I138" i="50"/>
  <c r="K138" i="50" s="1"/>
  <c r="P133" i="30"/>
  <c r="P132" i="30"/>
  <c r="K134" i="50"/>
  <c r="K135" i="50"/>
  <c r="P137" i="30"/>
  <c r="I139" i="50"/>
  <c r="K139" i="50" s="1"/>
  <c r="P130" i="30"/>
  <c r="I132" i="50"/>
  <c r="P134" i="30"/>
  <c r="I136" i="50"/>
  <c r="P131" i="30"/>
  <c r="I133" i="50"/>
  <c r="P135" i="30"/>
  <c r="I137" i="50"/>
  <c r="W109" i="41"/>
  <c r="U101" i="41"/>
  <c r="U100" i="41"/>
  <c r="U99" i="41"/>
  <c r="U98" i="41"/>
  <c r="G752" i="37"/>
  <c r="H752" i="37" s="1"/>
  <c r="G753" i="37"/>
  <c r="H753" i="37" s="1"/>
  <c r="G751" i="37"/>
  <c r="H751" i="37" s="1"/>
  <c r="X752" i="37"/>
  <c r="X753" i="37"/>
  <c r="X751" i="37"/>
  <c r="AA752" i="37"/>
  <c r="AA753" i="37"/>
  <c r="AA751" i="37"/>
  <c r="AD752" i="37"/>
  <c r="AD753" i="37"/>
  <c r="AD751" i="37"/>
  <c r="G720" i="37"/>
  <c r="H720" i="37" s="1"/>
  <c r="X720" i="37"/>
  <c r="AA720" i="37"/>
  <c r="AD720" i="37"/>
  <c r="G712" i="37"/>
  <c r="H712" i="37" s="1"/>
  <c r="X712" i="37"/>
  <c r="AA712" i="37"/>
  <c r="AD712" i="37"/>
  <c r="G709" i="37"/>
  <c r="H709" i="37" s="1"/>
  <c r="X709" i="37"/>
  <c r="AA709" i="37"/>
  <c r="AD709" i="37"/>
  <c r="G708" i="37"/>
  <c r="H708" i="37" s="1"/>
  <c r="X708" i="37"/>
  <c r="AA708" i="37"/>
  <c r="AD708" i="37"/>
  <c r="G710" i="37"/>
  <c r="H710" i="37" s="1"/>
  <c r="X710" i="37"/>
  <c r="AA710" i="37"/>
  <c r="AD710" i="37"/>
  <c r="G727" i="37"/>
  <c r="H727" i="37" s="1"/>
  <c r="X727" i="37"/>
  <c r="AA727" i="37"/>
  <c r="AD727" i="37"/>
  <c r="G792" i="37"/>
  <c r="H792" i="37" s="1"/>
  <c r="G793" i="37"/>
  <c r="H793" i="37" s="1"/>
  <c r="X792" i="37"/>
  <c r="X793" i="37"/>
  <c r="AA792" i="37"/>
  <c r="AA793" i="37"/>
  <c r="AD792" i="37"/>
  <c r="AD793" i="37"/>
  <c r="K136" i="50" l="1"/>
  <c r="K137" i="50"/>
  <c r="K132" i="50"/>
  <c r="K133" i="50"/>
  <c r="K99" i="41"/>
  <c r="K100" i="41"/>
  <c r="D94" i="41"/>
  <c r="U94" i="41" s="1"/>
  <c r="K94" i="41" l="1"/>
  <c r="H115" i="50" l="1"/>
  <c r="D95" i="41" l="1"/>
  <c r="U95" i="41" s="1"/>
  <c r="G716" i="37"/>
  <c r="H716" i="37" s="1"/>
  <c r="X716" i="37"/>
  <c r="AA716" i="37"/>
  <c r="AD716" i="37"/>
  <c r="G717" i="37"/>
  <c r="H717" i="37" s="1"/>
  <c r="G718" i="37"/>
  <c r="H718" i="37" s="1"/>
  <c r="G719" i="37"/>
  <c r="H719" i="37" s="1"/>
  <c r="X717" i="37"/>
  <c r="X718" i="37"/>
  <c r="X719" i="37"/>
  <c r="AA717" i="37"/>
  <c r="AA718" i="37"/>
  <c r="AA719" i="37"/>
  <c r="AD717" i="37"/>
  <c r="AD718" i="37"/>
  <c r="AD719" i="37"/>
  <c r="D96" i="41"/>
  <c r="U96" i="41" s="1"/>
  <c r="G688" i="37"/>
  <c r="H688" i="37" s="1"/>
  <c r="X688" i="37"/>
  <c r="AA688" i="37"/>
  <c r="AD688" i="37"/>
  <c r="G696" i="37"/>
  <c r="H696" i="37" s="1"/>
  <c r="X696" i="37"/>
  <c r="AA696" i="37"/>
  <c r="AD696" i="37"/>
  <c r="FQ111" i="50"/>
  <c r="FQ112" i="50"/>
  <c r="FQ113" i="50"/>
  <c r="FQ114" i="50"/>
  <c r="FQ115" i="50"/>
  <c r="FC111" i="50"/>
  <c r="FC112" i="50"/>
  <c r="FC113" i="50"/>
  <c r="FC114" i="50"/>
  <c r="FC115" i="50"/>
  <c r="F82" i="46"/>
  <c r="F88" i="46"/>
  <c r="B111" i="50"/>
  <c r="H111" i="50"/>
  <c r="B112" i="50"/>
  <c r="H112" i="50"/>
  <c r="B113" i="50"/>
  <c r="H113" i="50"/>
  <c r="B114" i="50"/>
  <c r="H114" i="50"/>
  <c r="B115" i="50"/>
  <c r="B109" i="50"/>
  <c r="H109" i="50"/>
  <c r="FC109" i="50"/>
  <c r="FQ109" i="50"/>
  <c r="B110" i="50"/>
  <c r="H110" i="50"/>
  <c r="FC110" i="50"/>
  <c r="FQ110" i="50"/>
  <c r="S112" i="50" l="1"/>
  <c r="S114" i="50"/>
  <c r="S111" i="50"/>
  <c r="S115" i="50"/>
  <c r="S113" i="50"/>
  <c r="S110" i="50"/>
  <c r="K96" i="41"/>
  <c r="S109" i="50"/>
  <c r="D93" i="41"/>
  <c r="U93" i="41" s="1"/>
  <c r="D92" i="41"/>
  <c r="D91" i="41"/>
  <c r="U91" i="41" s="1"/>
  <c r="D90" i="41"/>
  <c r="G741" i="37"/>
  <c r="H741" i="37" s="1"/>
  <c r="X741" i="37"/>
  <c r="AA741" i="37"/>
  <c r="AD741" i="37"/>
  <c r="G711" i="37"/>
  <c r="H711" i="37" s="1"/>
  <c r="X711" i="37"/>
  <c r="AA711" i="37"/>
  <c r="AD711" i="37"/>
  <c r="D88" i="41"/>
  <c r="U92" i="41" l="1"/>
  <c r="U90" i="41"/>
  <c r="K90" i="41"/>
  <c r="U88" i="41"/>
  <c r="G694" i="37"/>
  <c r="H694" i="37" s="1"/>
  <c r="X694" i="37"/>
  <c r="AA694" i="37"/>
  <c r="AD694" i="37"/>
  <c r="G693" i="37"/>
  <c r="H693" i="37" s="1"/>
  <c r="X693" i="37"/>
  <c r="AA693" i="37"/>
  <c r="AD693" i="37"/>
  <c r="G713" i="37"/>
  <c r="H713" i="37" s="1"/>
  <c r="X713" i="37"/>
  <c r="AA713" i="37"/>
  <c r="AD713" i="37"/>
  <c r="G691" i="37"/>
  <c r="H691" i="37" s="1"/>
  <c r="X691" i="37"/>
  <c r="AA691" i="37"/>
  <c r="AD691" i="37"/>
  <c r="G686" i="37"/>
  <c r="H686" i="37" s="1"/>
  <c r="X686" i="37"/>
  <c r="AA686" i="37"/>
  <c r="AD686" i="37"/>
  <c r="G690" i="37"/>
  <c r="H690" i="37" s="1"/>
  <c r="X690" i="37"/>
  <c r="AA690" i="37"/>
  <c r="AD690" i="37"/>
  <c r="G685" i="37"/>
  <c r="H685" i="37" s="1"/>
  <c r="X685" i="37"/>
  <c r="AA685" i="37"/>
  <c r="AD685" i="37"/>
  <c r="G702" i="37"/>
  <c r="H702" i="37" s="1"/>
  <c r="X702" i="37"/>
  <c r="AA702" i="37"/>
  <c r="AD702" i="37"/>
  <c r="K88" i="41" l="1"/>
  <c r="G683" i="37"/>
  <c r="H683" i="37" s="1"/>
  <c r="X683" i="37"/>
  <c r="AA683" i="37"/>
  <c r="AD683" i="37"/>
  <c r="G790" i="37"/>
  <c r="H790" i="37" s="1"/>
  <c r="X790" i="37"/>
  <c r="AA790" i="37"/>
  <c r="AD790" i="37"/>
  <c r="G706" i="37" l="1"/>
  <c r="H706" i="37" s="1"/>
  <c r="G707" i="37"/>
  <c r="H707" i="37" s="1"/>
  <c r="X706" i="37"/>
  <c r="X707" i="37"/>
  <c r="AA706" i="37"/>
  <c r="AA707" i="37"/>
  <c r="AD706" i="37"/>
  <c r="AD707" i="37"/>
  <c r="G701" i="37"/>
  <c r="H701" i="37" s="1"/>
  <c r="X701" i="37"/>
  <c r="AA701" i="37"/>
  <c r="AD701" i="37"/>
  <c r="G697" i="37"/>
  <c r="H697" i="37" s="1"/>
  <c r="G698" i="37"/>
  <c r="H698" i="37" s="1"/>
  <c r="G699" i="37"/>
  <c r="H699" i="37" s="1"/>
  <c r="X697" i="37"/>
  <c r="X698" i="37"/>
  <c r="X699" i="37"/>
  <c r="AA697" i="37"/>
  <c r="AA698" i="37"/>
  <c r="AA699" i="37"/>
  <c r="AD697" i="37"/>
  <c r="AD698" i="37"/>
  <c r="AD699" i="37"/>
  <c r="G680" i="37"/>
  <c r="H680" i="37" s="1"/>
  <c r="G681" i="37"/>
  <c r="H681" i="37" s="1"/>
  <c r="G682" i="37"/>
  <c r="H682" i="37" s="1"/>
  <c r="X680" i="37"/>
  <c r="X681" i="37"/>
  <c r="X682" i="37"/>
  <c r="AA680" i="37"/>
  <c r="AA681" i="37"/>
  <c r="AA682" i="37"/>
  <c r="AD680" i="37"/>
  <c r="AD681" i="37"/>
  <c r="AD682" i="37"/>
  <c r="G684" i="37"/>
  <c r="H684" i="37" s="1"/>
  <c r="G689" i="37"/>
  <c r="H689" i="37" s="1"/>
  <c r="G692" i="37"/>
  <c r="H692" i="37" s="1"/>
  <c r="G700" i="37"/>
  <c r="H700" i="37" s="1"/>
  <c r="X684" i="37"/>
  <c r="X689" i="37"/>
  <c r="X692" i="37"/>
  <c r="X700" i="37"/>
  <c r="AA684" i="37"/>
  <c r="AA689" i="37"/>
  <c r="AA692" i="37"/>
  <c r="AA700" i="37"/>
  <c r="AD684" i="37"/>
  <c r="AD689" i="37"/>
  <c r="AD692" i="37"/>
  <c r="AD700" i="37"/>
  <c r="FQ108" i="50"/>
  <c r="FC108" i="50"/>
  <c r="H108" i="50"/>
  <c r="B108" i="50"/>
  <c r="FQ107" i="50"/>
  <c r="FC107" i="50"/>
  <c r="H107" i="50"/>
  <c r="B107" i="50"/>
  <c r="FQ106" i="50"/>
  <c r="FC106" i="50"/>
  <c r="H106" i="50"/>
  <c r="B106" i="50"/>
  <c r="FQ104" i="50"/>
  <c r="FC104" i="50"/>
  <c r="H104" i="50"/>
  <c r="B104" i="50"/>
  <c r="FQ105" i="50"/>
  <c r="FC105" i="50"/>
  <c r="H105" i="50"/>
  <c r="B105" i="50"/>
  <c r="D84" i="41"/>
  <c r="D85" i="41"/>
  <c r="D86" i="41"/>
  <c r="U86" i="41" s="1"/>
  <c r="D89" i="41"/>
  <c r="U89" i="41" s="1"/>
  <c r="S105" i="50" l="1"/>
  <c r="S106" i="50"/>
  <c r="S107" i="50"/>
  <c r="S108" i="50"/>
  <c r="S104" i="50"/>
  <c r="U85" i="41"/>
  <c r="U84" i="41"/>
  <c r="G703" i="37"/>
  <c r="H703" i="37" s="1"/>
  <c r="X703" i="37"/>
  <c r="AA703" i="37"/>
  <c r="AD703" i="37"/>
  <c r="G679" i="37"/>
  <c r="H679" i="37" s="1"/>
  <c r="X679" i="37"/>
  <c r="AA679" i="37"/>
  <c r="AD679" i="37"/>
  <c r="G733" i="37"/>
  <c r="H733" i="37" s="1"/>
  <c r="X733" i="37"/>
  <c r="AA733" i="37"/>
  <c r="AD733" i="37"/>
  <c r="G742" i="37"/>
  <c r="H742" i="37" s="1"/>
  <c r="G721" i="37"/>
  <c r="H721" i="37" s="1"/>
  <c r="X742" i="37"/>
  <c r="X721" i="37"/>
  <c r="AA742" i="37"/>
  <c r="AA721" i="37"/>
  <c r="AD742" i="37"/>
  <c r="AD721" i="37"/>
  <c r="G678" i="37"/>
  <c r="H678" i="37" s="1"/>
  <c r="X678" i="37"/>
  <c r="AA678" i="37"/>
  <c r="AD678" i="37"/>
  <c r="G734" i="37"/>
  <c r="G722" i="37"/>
  <c r="X734" i="37"/>
  <c r="X722" i="37"/>
  <c r="AA734" i="37"/>
  <c r="AA722" i="37"/>
  <c r="AD734" i="37"/>
  <c r="AD722" i="37"/>
  <c r="G743" i="37"/>
  <c r="K98" i="41" s="1"/>
  <c r="G794" i="37"/>
  <c r="X743" i="37"/>
  <c r="X794" i="37"/>
  <c r="AA743" i="37"/>
  <c r="AA794" i="37"/>
  <c r="AD743" i="37"/>
  <c r="AD794" i="37"/>
  <c r="G797" i="37"/>
  <c r="X797" i="37"/>
  <c r="AA797" i="37"/>
  <c r="AD797" i="37"/>
  <c r="AA279" i="62"/>
  <c r="G677" i="37"/>
  <c r="H677" i="37" s="1"/>
  <c r="X677" i="37"/>
  <c r="AA677" i="37"/>
  <c r="AD677" i="37"/>
  <c r="G672" i="37"/>
  <c r="H672" i="37" s="1"/>
  <c r="G673" i="37"/>
  <c r="H673" i="37" s="1"/>
  <c r="X672" i="37"/>
  <c r="X673" i="37"/>
  <c r="AA672" i="37"/>
  <c r="AA673" i="37"/>
  <c r="AD672" i="37"/>
  <c r="AD673" i="37"/>
  <c r="G715" i="37"/>
  <c r="H715" i="37" s="1"/>
  <c r="X715" i="37"/>
  <c r="AA715" i="37"/>
  <c r="AD715" i="37"/>
  <c r="G669" i="37"/>
  <c r="H669" i="37" s="1"/>
  <c r="X669" i="37"/>
  <c r="AA669" i="37"/>
  <c r="AD669" i="37"/>
  <c r="G671" i="37"/>
  <c r="H671" i="37" s="1"/>
  <c r="X671" i="37"/>
  <c r="AA671" i="37"/>
  <c r="AD671" i="37"/>
  <c r="G667" i="37"/>
  <c r="H667" i="37" s="1"/>
  <c r="G668" i="37"/>
  <c r="H668" i="37" s="1"/>
  <c r="G670" i="37"/>
  <c r="H670" i="37" s="1"/>
  <c r="X667" i="37"/>
  <c r="X668" i="37"/>
  <c r="X670" i="37"/>
  <c r="AA667" i="37"/>
  <c r="AA668" i="37"/>
  <c r="AA670" i="37"/>
  <c r="AD667" i="37"/>
  <c r="AD668" i="37"/>
  <c r="AD670" i="37"/>
  <c r="H797" i="37" l="1"/>
  <c r="K101" i="41"/>
  <c r="H794" i="37"/>
  <c r="H743" i="37"/>
  <c r="K86" i="41"/>
  <c r="H722" i="37"/>
  <c r="K93" i="41"/>
  <c r="K92" i="41"/>
  <c r="H734" i="37"/>
  <c r="K91" i="41"/>
  <c r="K85" i="41"/>
  <c r="K84" i="41"/>
  <c r="F114" i="46"/>
  <c r="G705" i="37"/>
  <c r="H705" i="37" s="1"/>
  <c r="X705" i="37"/>
  <c r="AA705" i="37"/>
  <c r="AD705" i="37"/>
  <c r="G674" i="37" l="1"/>
  <c r="H674" i="37" s="1"/>
  <c r="X674" i="37"/>
  <c r="AA674" i="37"/>
  <c r="AD674" i="37"/>
  <c r="G675" i="37"/>
  <c r="H675" i="37" s="1"/>
  <c r="X675" i="37"/>
  <c r="AA675" i="37"/>
  <c r="AD675" i="37"/>
  <c r="G676" i="37"/>
  <c r="H676" i="37" s="1"/>
  <c r="X676" i="37"/>
  <c r="AA676" i="37"/>
  <c r="AD676" i="37"/>
  <c r="G665" i="37"/>
  <c r="H665" i="37" s="1"/>
  <c r="X665" i="37"/>
  <c r="AA665" i="37"/>
  <c r="AD665" i="37"/>
  <c r="G663" i="37"/>
  <c r="H663" i="37" s="1"/>
  <c r="X663" i="37"/>
  <c r="AA663" i="37"/>
  <c r="AD663" i="37"/>
  <c r="G659" i="37" l="1"/>
  <c r="H659" i="37" s="1"/>
  <c r="X659" i="37"/>
  <c r="AA659" i="37"/>
  <c r="AD659" i="37"/>
  <c r="G660" i="37"/>
  <c r="H660" i="37" s="1"/>
  <c r="G661" i="37"/>
  <c r="H661" i="37" s="1"/>
  <c r="X660" i="37"/>
  <c r="X661" i="37"/>
  <c r="AA660" i="37"/>
  <c r="AA661" i="37"/>
  <c r="AD660" i="37"/>
  <c r="AD661" i="37"/>
  <c r="G664" i="37"/>
  <c r="H664" i="37" s="1"/>
  <c r="G662" i="37"/>
  <c r="H662" i="37" s="1"/>
  <c r="X664" i="37"/>
  <c r="X662" i="37"/>
  <c r="AA664" i="37"/>
  <c r="AA662" i="37"/>
  <c r="AD664" i="37"/>
  <c r="AD662" i="37"/>
  <c r="G658" i="37" l="1"/>
  <c r="H658" i="37" s="1"/>
  <c r="X658" i="37"/>
  <c r="AA658" i="37"/>
  <c r="AD658" i="37"/>
  <c r="G666" i="37"/>
  <c r="H666" i="37" s="1"/>
  <c r="X666" i="37"/>
  <c r="AA666" i="37"/>
  <c r="AD666" i="37"/>
  <c r="G657" i="37"/>
  <c r="H657" i="37" s="1"/>
  <c r="X657" i="37"/>
  <c r="AA657" i="37"/>
  <c r="AD657" i="37"/>
  <c r="G656" i="37"/>
  <c r="H656" i="37" s="1"/>
  <c r="X656" i="37"/>
  <c r="AA656" i="37"/>
  <c r="AD656" i="37"/>
  <c r="G652" i="37"/>
  <c r="H652" i="37" s="1"/>
  <c r="X652" i="37"/>
  <c r="AA652" i="37"/>
  <c r="AD652" i="37"/>
  <c r="G653" i="37"/>
  <c r="H653" i="37" s="1"/>
  <c r="G654" i="37"/>
  <c r="H654" i="37" s="1"/>
  <c r="X653" i="37"/>
  <c r="X654" i="37"/>
  <c r="AA653" i="37"/>
  <c r="AA654" i="37"/>
  <c r="AD653" i="37"/>
  <c r="AD654" i="37"/>
  <c r="G648" i="37"/>
  <c r="H648" i="37" s="1"/>
  <c r="G649" i="37"/>
  <c r="H649" i="37" s="1"/>
  <c r="X648" i="37"/>
  <c r="X649" i="37"/>
  <c r="AA648" i="37"/>
  <c r="AA649" i="37"/>
  <c r="AD648" i="37"/>
  <c r="AD649" i="37"/>
  <c r="G650" i="37"/>
  <c r="H650" i="37" s="1"/>
  <c r="G651" i="37"/>
  <c r="H651" i="37" s="1"/>
  <c r="X650" i="37"/>
  <c r="X651" i="37"/>
  <c r="AA650" i="37"/>
  <c r="AA651" i="37"/>
  <c r="AD650" i="37"/>
  <c r="AD651" i="37"/>
  <c r="G655" i="37"/>
  <c r="H655" i="37" s="1"/>
  <c r="G704" i="37"/>
  <c r="H704" i="37" s="1"/>
  <c r="X655" i="37"/>
  <c r="X704" i="37"/>
  <c r="AA655" i="37"/>
  <c r="AA704" i="37"/>
  <c r="AD655" i="37"/>
  <c r="AD704" i="37"/>
  <c r="G791" i="37"/>
  <c r="H791" i="37" s="1"/>
  <c r="X791" i="37"/>
  <c r="AA791" i="37"/>
  <c r="AD791" i="37"/>
  <c r="F57" i="41"/>
  <c r="F54" i="41"/>
  <c r="G643" i="37"/>
  <c r="H643" i="37" s="1"/>
  <c r="X643" i="37"/>
  <c r="AA643" i="37"/>
  <c r="AD643" i="37"/>
  <c r="G645" i="37"/>
  <c r="H645" i="37" s="1"/>
  <c r="G646" i="37"/>
  <c r="H646" i="37" s="1"/>
  <c r="X645" i="37"/>
  <c r="X646" i="37"/>
  <c r="AA645" i="37"/>
  <c r="AA646" i="37"/>
  <c r="AD645" i="37"/>
  <c r="AD646" i="37"/>
  <c r="G636" i="37"/>
  <c r="H636" i="37" s="1"/>
  <c r="X636" i="37"/>
  <c r="AA636" i="37"/>
  <c r="AD636" i="37"/>
  <c r="G637" i="37"/>
  <c r="H637" i="37" s="1"/>
  <c r="X637" i="37"/>
  <c r="AA637" i="37"/>
  <c r="AD637" i="37"/>
  <c r="G641" i="37"/>
  <c r="H641" i="37" s="1"/>
  <c r="X641" i="37"/>
  <c r="AA641" i="37"/>
  <c r="AD641" i="37"/>
  <c r="G642" i="37"/>
  <c r="H642" i="37" s="1"/>
  <c r="X642" i="37"/>
  <c r="AA642" i="37"/>
  <c r="AD642" i="37"/>
  <c r="G644" i="37"/>
  <c r="H644" i="37" s="1"/>
  <c r="X644" i="37"/>
  <c r="AA644" i="37"/>
  <c r="AD644" i="37"/>
  <c r="G639" i="37" l="1"/>
  <c r="H639" i="37" s="1"/>
  <c r="G640" i="37"/>
  <c r="H640" i="37" s="1"/>
  <c r="G732" i="37"/>
  <c r="H732" i="37" s="1"/>
  <c r="X639" i="37"/>
  <c r="X640" i="37"/>
  <c r="X732" i="37"/>
  <c r="AA639" i="37"/>
  <c r="AA640" i="37"/>
  <c r="AA732" i="37"/>
  <c r="AD639" i="37"/>
  <c r="AD640" i="37"/>
  <c r="AD732" i="37"/>
  <c r="G635" i="37" l="1"/>
  <c r="H635" i="37" s="1"/>
  <c r="X635" i="37"/>
  <c r="AA635" i="37"/>
  <c r="AD635" i="37"/>
  <c r="G638" i="37"/>
  <c r="H638" i="37" s="1"/>
  <c r="X638" i="37"/>
  <c r="AA638" i="37"/>
  <c r="AD638" i="37"/>
  <c r="B101" i="50"/>
  <c r="CL140" i="50" l="1"/>
  <c r="B98" i="50" l="1"/>
  <c r="H98" i="50"/>
  <c r="FC98" i="50"/>
  <c r="FQ98" i="50"/>
  <c r="B99" i="50"/>
  <c r="H99" i="50"/>
  <c r="FC99" i="50"/>
  <c r="FQ99" i="50"/>
  <c r="B100" i="50"/>
  <c r="H100" i="50"/>
  <c r="FC100" i="50"/>
  <c r="FQ100" i="50"/>
  <c r="H101" i="50"/>
  <c r="FC101" i="50"/>
  <c r="FQ101" i="50"/>
  <c r="B102" i="50"/>
  <c r="H102" i="50"/>
  <c r="FC102" i="50"/>
  <c r="FQ102" i="50"/>
  <c r="B103" i="50"/>
  <c r="H103" i="50"/>
  <c r="FC103" i="50"/>
  <c r="FQ103" i="50"/>
  <c r="D78" i="41"/>
  <c r="D79" i="41"/>
  <c r="U79" i="41" s="1"/>
  <c r="D80" i="41"/>
  <c r="U80" i="41" s="1"/>
  <c r="D81" i="41"/>
  <c r="U81" i="41" s="1"/>
  <c r="D82" i="41"/>
  <c r="U82" i="41" s="1"/>
  <c r="D83" i="41"/>
  <c r="U83" i="41" s="1"/>
  <c r="D87" i="41"/>
  <c r="U87" i="41" s="1"/>
  <c r="D97" i="41"/>
  <c r="D75" i="41"/>
  <c r="U75" i="41" s="1"/>
  <c r="D76" i="41"/>
  <c r="U76" i="41" s="1"/>
  <c r="D77" i="41"/>
  <c r="U77" i="41" s="1"/>
  <c r="U97" i="41" l="1"/>
  <c r="S98" i="50"/>
  <c r="S100" i="50"/>
  <c r="S102" i="50"/>
  <c r="S103" i="50"/>
  <c r="S99" i="50"/>
  <c r="S101" i="50"/>
  <c r="K79" i="41"/>
  <c r="U78" i="41"/>
  <c r="K78" i="41"/>
  <c r="K77" i="41"/>
  <c r="K76" i="41"/>
  <c r="G627" i="37"/>
  <c r="H627" i="37" s="1"/>
  <c r="X627" i="37"/>
  <c r="AA627" i="37"/>
  <c r="AD627" i="37"/>
  <c r="G626" i="37"/>
  <c r="H626" i="37" s="1"/>
  <c r="X626" i="37"/>
  <c r="AA626" i="37"/>
  <c r="AD626" i="37"/>
  <c r="G628" i="37"/>
  <c r="H628" i="37" s="1"/>
  <c r="X628" i="37"/>
  <c r="AA628" i="37"/>
  <c r="AD628" i="37"/>
  <c r="G624" i="37"/>
  <c r="H624" i="37" s="1"/>
  <c r="X624" i="37"/>
  <c r="AA624" i="37"/>
  <c r="AD624" i="37"/>
  <c r="G619" i="37"/>
  <c r="H619" i="37" s="1"/>
  <c r="X619" i="37"/>
  <c r="AA619" i="37"/>
  <c r="AD619" i="37"/>
  <c r="G615" i="37"/>
  <c r="H615" i="37" s="1"/>
  <c r="G616" i="37"/>
  <c r="H616" i="37" s="1"/>
  <c r="X615" i="37"/>
  <c r="X616" i="37"/>
  <c r="AA615" i="37"/>
  <c r="AA616" i="37"/>
  <c r="AD615" i="37"/>
  <c r="AD616" i="37"/>
  <c r="G632" i="37"/>
  <c r="H632" i="37" s="1"/>
  <c r="G633" i="37"/>
  <c r="H633" i="37" s="1"/>
  <c r="X632" i="37"/>
  <c r="X633" i="37"/>
  <c r="AA632" i="37"/>
  <c r="AA633" i="37"/>
  <c r="AD632" i="37"/>
  <c r="AD633" i="37"/>
  <c r="G622" i="37"/>
  <c r="H622" i="37" s="1"/>
  <c r="G629" i="37"/>
  <c r="H629" i="37" s="1"/>
  <c r="G623" i="37"/>
  <c r="H623" i="37" s="1"/>
  <c r="G625" i="37"/>
  <c r="H625" i="37" s="1"/>
  <c r="X622" i="37"/>
  <c r="X629" i="37"/>
  <c r="X623" i="37"/>
  <c r="X625" i="37"/>
  <c r="AA622" i="37"/>
  <c r="AA629" i="37"/>
  <c r="AA623" i="37"/>
  <c r="AA625" i="37"/>
  <c r="AD622" i="37"/>
  <c r="AD629" i="37"/>
  <c r="AD623" i="37"/>
  <c r="AD625" i="37"/>
  <c r="G630" i="37"/>
  <c r="H630" i="37" s="1"/>
  <c r="G631" i="37"/>
  <c r="H631" i="37" s="1"/>
  <c r="G634" i="37"/>
  <c r="H634" i="37" s="1"/>
  <c r="X630" i="37"/>
  <c r="X631" i="37"/>
  <c r="X634" i="37"/>
  <c r="AA630" i="37"/>
  <c r="AA631" i="37"/>
  <c r="AA634" i="37"/>
  <c r="AD630" i="37"/>
  <c r="AD631" i="37"/>
  <c r="AD634" i="37"/>
  <c r="G621" i="37" l="1"/>
  <c r="H621" i="37" s="1"/>
  <c r="K75" i="41"/>
  <c r="X621" i="37"/>
  <c r="AA621" i="37"/>
  <c r="AD621" i="37"/>
  <c r="G611" i="37"/>
  <c r="H611" i="37" s="1"/>
  <c r="X611" i="37"/>
  <c r="AA611" i="37"/>
  <c r="AD611" i="37"/>
  <c r="G612" i="37"/>
  <c r="H612" i="37" s="1"/>
  <c r="G613" i="37"/>
  <c r="H613" i="37" s="1"/>
  <c r="X612" i="37"/>
  <c r="X613" i="37"/>
  <c r="AA612" i="37"/>
  <c r="AA613" i="37"/>
  <c r="AD612" i="37"/>
  <c r="AD613" i="37"/>
  <c r="G614" i="37"/>
  <c r="H614" i="37" s="1"/>
  <c r="X614" i="37"/>
  <c r="AA614" i="37"/>
  <c r="AD614" i="37"/>
  <c r="G617" i="37"/>
  <c r="H617" i="37" s="1"/>
  <c r="AA617" i="37"/>
  <c r="AD617" i="37"/>
  <c r="G610" i="37"/>
  <c r="H610" i="37" s="1"/>
  <c r="X610" i="37"/>
  <c r="AA610" i="37"/>
  <c r="AD610" i="37"/>
  <c r="G618" i="37"/>
  <c r="H618" i="37" s="1"/>
  <c r="G620" i="37"/>
  <c r="H620" i="37" s="1"/>
  <c r="X618" i="37"/>
  <c r="X620" i="37"/>
  <c r="AA618" i="37"/>
  <c r="AA620" i="37"/>
  <c r="AD618" i="37"/>
  <c r="AD620" i="37"/>
  <c r="L43" i="36" l="1"/>
  <c r="M43" i="36"/>
  <c r="G609" i="37"/>
  <c r="H609" i="37" s="1"/>
  <c r="G714" i="37"/>
  <c r="H714" i="37" s="1"/>
  <c r="X609" i="37"/>
  <c r="X714" i="37"/>
  <c r="AA609" i="37"/>
  <c r="AA714" i="37"/>
  <c r="AD609" i="37"/>
  <c r="AD714" i="37"/>
  <c r="D73" i="41" l="1"/>
  <c r="K73" i="41" s="1"/>
  <c r="Z232" i="62"/>
  <c r="U73" i="41" l="1"/>
  <c r="G607" i="37"/>
  <c r="H607" i="37" s="1"/>
  <c r="G608" i="37"/>
  <c r="H608" i="37" s="1"/>
  <c r="X607" i="37"/>
  <c r="X608" i="37"/>
  <c r="AA607" i="37"/>
  <c r="AA608" i="37"/>
  <c r="AD607" i="37"/>
  <c r="AD608" i="37"/>
  <c r="G597" i="37"/>
  <c r="H597" i="37" s="1"/>
  <c r="X597" i="37"/>
  <c r="AA597" i="37"/>
  <c r="AD597" i="37"/>
  <c r="G598" i="37"/>
  <c r="H598" i="37" s="1"/>
  <c r="X598" i="37"/>
  <c r="AA598" i="37"/>
  <c r="AD598" i="37"/>
  <c r="G589" i="37"/>
  <c r="H589" i="37" s="1"/>
  <c r="X589" i="37"/>
  <c r="AA589" i="37"/>
  <c r="AD589" i="37"/>
  <c r="G599" i="37"/>
  <c r="H599" i="37" s="1"/>
  <c r="G600" i="37"/>
  <c r="H600" i="37" s="1"/>
  <c r="G601" i="37"/>
  <c r="H601" i="37" s="1"/>
  <c r="X599" i="37"/>
  <c r="X600" i="37"/>
  <c r="X601" i="37"/>
  <c r="AA599" i="37"/>
  <c r="AA600" i="37"/>
  <c r="AA601" i="37"/>
  <c r="AD599" i="37"/>
  <c r="AD600" i="37"/>
  <c r="AD601" i="37"/>
  <c r="G602" i="37"/>
  <c r="H602" i="37" s="1"/>
  <c r="G603" i="37"/>
  <c r="H603" i="37" s="1"/>
  <c r="G604" i="37"/>
  <c r="H604" i="37" s="1"/>
  <c r="X602" i="37"/>
  <c r="X603" i="37"/>
  <c r="X604" i="37"/>
  <c r="AA602" i="37"/>
  <c r="AA603" i="37"/>
  <c r="AA604" i="37"/>
  <c r="AD602" i="37"/>
  <c r="AD603" i="37"/>
  <c r="AD604" i="37"/>
  <c r="AG26" i="72"/>
  <c r="AH26" i="72"/>
  <c r="AI26" i="72"/>
  <c r="AJ26" i="72"/>
  <c r="AD26" i="72"/>
  <c r="AE26" i="72"/>
  <c r="AF26" i="72"/>
  <c r="AC26" i="72"/>
  <c r="M26" i="72"/>
  <c r="N26" i="72"/>
  <c r="O26" i="72"/>
  <c r="P26" i="72"/>
  <c r="Q26" i="72"/>
  <c r="R26" i="72"/>
  <c r="S26" i="72"/>
  <c r="T26" i="72"/>
  <c r="U26" i="72"/>
  <c r="V26" i="72"/>
  <c r="W26" i="72"/>
  <c r="X26" i="72"/>
  <c r="Y26" i="72"/>
  <c r="Z26" i="72"/>
  <c r="AA26" i="72"/>
  <c r="AB26" i="72"/>
  <c r="L26" i="72"/>
  <c r="G26" i="72"/>
  <c r="G592" i="37" l="1"/>
  <c r="H592" i="37" s="1"/>
  <c r="G593" i="37"/>
  <c r="H593" i="37" s="1"/>
  <c r="G594" i="37"/>
  <c r="H594" i="37" s="1"/>
  <c r="X592" i="37"/>
  <c r="X593" i="37"/>
  <c r="X594" i="37"/>
  <c r="AA592" i="37"/>
  <c r="AA593" i="37"/>
  <c r="AA594" i="37"/>
  <c r="AD592" i="37"/>
  <c r="AD593" i="37"/>
  <c r="AD594" i="37"/>
  <c r="G590" i="37"/>
  <c r="H590" i="37" s="1"/>
  <c r="G591" i="37"/>
  <c r="H591" i="37" s="1"/>
  <c r="G595" i="37"/>
  <c r="H595" i="37" s="1"/>
  <c r="X590" i="37"/>
  <c r="X591" i="37"/>
  <c r="X595" i="37"/>
  <c r="AA590" i="37"/>
  <c r="AA591" i="37"/>
  <c r="AA595" i="37"/>
  <c r="AD590" i="37"/>
  <c r="AD591" i="37"/>
  <c r="AD595" i="37"/>
  <c r="D44" i="75" a="1"/>
  <c r="D44" i="75" s="1"/>
  <c r="D43" i="75" a="1"/>
  <c r="D43" i="75" s="1"/>
  <c r="D41" i="75"/>
  <c r="D14" i="75" a="1"/>
  <c r="D14" i="75" s="1"/>
  <c r="D2" i="75"/>
  <c r="W6" i="41"/>
  <c r="AA776" i="62"/>
  <c r="AA596" i="62"/>
  <c r="AA352" i="62"/>
  <c r="AA1504" i="62" s="1"/>
  <c r="AA1506" i="62"/>
  <c r="G588" i="37"/>
  <c r="H588" i="37" s="1"/>
  <c r="G596" i="37"/>
  <c r="H596" i="37" s="1"/>
  <c r="X588" i="37"/>
  <c r="X596" i="37"/>
  <c r="AA588" i="37"/>
  <c r="AA596" i="37"/>
  <c r="AD588" i="37"/>
  <c r="AD596" i="37"/>
  <c r="G584" i="37" l="1"/>
  <c r="H584" i="37" s="1"/>
  <c r="G585" i="37"/>
  <c r="H585" i="37" s="1"/>
  <c r="G586" i="37"/>
  <c r="H586" i="37" s="1"/>
  <c r="G587" i="37"/>
  <c r="H587" i="37" s="1"/>
  <c r="X584" i="37"/>
  <c r="X585" i="37"/>
  <c r="X586" i="37"/>
  <c r="X587" i="37"/>
  <c r="AA584" i="37"/>
  <c r="AA585" i="37"/>
  <c r="AA586" i="37"/>
  <c r="AA587" i="37"/>
  <c r="AD584" i="37"/>
  <c r="AD585" i="37"/>
  <c r="AD586" i="37"/>
  <c r="AD587" i="37"/>
  <c r="G605" i="37"/>
  <c r="H605" i="37" s="1"/>
  <c r="G606" i="37"/>
  <c r="H606" i="37" s="1"/>
  <c r="X605" i="37"/>
  <c r="X606" i="37"/>
  <c r="AA605" i="37"/>
  <c r="AA606" i="37"/>
  <c r="AD605" i="37"/>
  <c r="AD606" i="37"/>
  <c r="G647" i="37"/>
  <c r="X647" i="37"/>
  <c r="AA647" i="37"/>
  <c r="AD647" i="37"/>
  <c r="G580" i="37"/>
  <c r="H580" i="37" s="1"/>
  <c r="G581" i="37"/>
  <c r="H581" i="37" s="1"/>
  <c r="X580" i="37"/>
  <c r="X581" i="37"/>
  <c r="AA580" i="37"/>
  <c r="AA581" i="37"/>
  <c r="AD580" i="37"/>
  <c r="AD581" i="37"/>
  <c r="G582" i="37"/>
  <c r="H582" i="37" s="1"/>
  <c r="G583" i="37"/>
  <c r="H583" i="37" s="1"/>
  <c r="G799" i="37"/>
  <c r="K95" i="41" s="1"/>
  <c r="X582" i="37"/>
  <c r="X583" i="37"/>
  <c r="X799" i="37"/>
  <c r="AA582" i="37"/>
  <c r="AA583" i="37"/>
  <c r="AA799" i="37"/>
  <c r="AD582" i="37"/>
  <c r="AD583" i="37"/>
  <c r="AD799" i="37"/>
  <c r="Z776" i="62"/>
  <c r="G572" i="37"/>
  <c r="H572" i="37" s="1"/>
  <c r="G573" i="37"/>
  <c r="H573" i="37" s="1"/>
  <c r="X572" i="37"/>
  <c r="X573" i="37"/>
  <c r="AA572" i="37"/>
  <c r="AA573" i="37"/>
  <c r="AD572" i="37"/>
  <c r="AD573" i="37"/>
  <c r="G571" i="37"/>
  <c r="H571" i="37" s="1"/>
  <c r="X571" i="37"/>
  <c r="AA571" i="37"/>
  <c r="AD571" i="37"/>
  <c r="G576" i="37"/>
  <c r="H576" i="37" s="1"/>
  <c r="X576" i="37"/>
  <c r="AA576" i="37"/>
  <c r="AD576" i="37"/>
  <c r="G577" i="37"/>
  <c r="H577" i="37" s="1"/>
  <c r="X577" i="37"/>
  <c r="AA577" i="37"/>
  <c r="AD577" i="37"/>
  <c r="G578" i="37"/>
  <c r="H578" i="37" s="1"/>
  <c r="X578" i="37"/>
  <c r="AA578" i="37"/>
  <c r="AD578" i="37"/>
  <c r="G574" i="37"/>
  <c r="H574" i="37" s="1"/>
  <c r="X574" i="37"/>
  <c r="AA574" i="37"/>
  <c r="AD574" i="37"/>
  <c r="G575" i="37"/>
  <c r="H575" i="37" s="1"/>
  <c r="X575" i="37"/>
  <c r="AA575" i="37"/>
  <c r="AD575" i="37"/>
  <c r="G570" i="37"/>
  <c r="H570" i="37" s="1"/>
  <c r="X570" i="37"/>
  <c r="AA570" i="37"/>
  <c r="AD570" i="37"/>
  <c r="G561" i="37"/>
  <c r="H561" i="37" s="1"/>
  <c r="X561" i="37"/>
  <c r="AA561" i="37"/>
  <c r="AD561" i="37"/>
  <c r="G567" i="37"/>
  <c r="H567" i="37" s="1"/>
  <c r="X567" i="37"/>
  <c r="AA567" i="37"/>
  <c r="AD567" i="37"/>
  <c r="G568" i="37"/>
  <c r="H568" i="37" s="1"/>
  <c r="X568" i="37"/>
  <c r="AA568" i="37"/>
  <c r="AD568" i="37"/>
  <c r="G569" i="37"/>
  <c r="H569" i="37" s="1"/>
  <c r="X569" i="37"/>
  <c r="AA569" i="37"/>
  <c r="AD569" i="37"/>
  <c r="K102" i="41" l="1"/>
  <c r="K109" i="41"/>
  <c r="K104" i="41"/>
  <c r="K103" i="41"/>
  <c r="K105" i="41"/>
  <c r="K106" i="41"/>
  <c r="I106" i="41"/>
  <c r="H799" i="37"/>
  <c r="K89" i="41"/>
  <c r="H647" i="37"/>
  <c r="K82" i="41"/>
  <c r="K97" i="41"/>
  <c r="K87" i="41"/>
  <c r="K81" i="41"/>
  <c r="K80" i="41"/>
  <c r="K83" i="41"/>
  <c r="G566" i="37"/>
  <c r="H566" i="37" s="1"/>
  <c r="X566" i="37"/>
  <c r="AA566" i="37"/>
  <c r="AD566" i="37"/>
  <c r="G579" i="37"/>
  <c r="H579" i="37" s="1"/>
  <c r="X579" i="37"/>
  <c r="AA579" i="37"/>
  <c r="AD579" i="37"/>
  <c r="G563" i="37"/>
  <c r="H563" i="37" s="1"/>
  <c r="X563" i="37"/>
  <c r="AA563" i="37"/>
  <c r="AD563" i="37"/>
  <c r="G560" i="37"/>
  <c r="H560" i="37" s="1"/>
  <c r="X560" i="37"/>
  <c r="AA560" i="37"/>
  <c r="AD560" i="37"/>
  <c r="G562" i="37"/>
  <c r="H562" i="37" s="1"/>
  <c r="X562" i="37"/>
  <c r="AA562" i="37"/>
  <c r="AD562" i="37"/>
  <c r="G564" i="37"/>
  <c r="H564" i="37" s="1"/>
  <c r="X564" i="37"/>
  <c r="AA564" i="37"/>
  <c r="AD564" i="37"/>
  <c r="G565" i="37"/>
  <c r="H565" i="37" s="1"/>
  <c r="X565" i="37"/>
  <c r="AA565" i="37"/>
  <c r="AD565" i="37"/>
  <c r="G558" i="37"/>
  <c r="H558" i="37" s="1"/>
  <c r="X558" i="37"/>
  <c r="AA558" i="37"/>
  <c r="AD558" i="37"/>
  <c r="O9" i="5"/>
  <c r="FQ94" i="50" l="1"/>
  <c r="FQ95" i="50"/>
  <c r="FQ96" i="50"/>
  <c r="FQ97" i="50"/>
  <c r="FC94" i="50"/>
  <c r="FC95" i="50"/>
  <c r="FC96" i="50"/>
  <c r="FC97" i="50"/>
  <c r="B95" i="50"/>
  <c r="H95" i="50"/>
  <c r="B96" i="50"/>
  <c r="H96" i="50"/>
  <c r="B97" i="50"/>
  <c r="H97" i="50"/>
  <c r="S95" i="50" l="1"/>
  <c r="S97" i="50"/>
  <c r="S96" i="50"/>
  <c r="B94" i="50" l="1"/>
  <c r="H94" i="50"/>
  <c r="D70" i="41"/>
  <c r="U70" i="41" s="1"/>
  <c r="D71" i="41"/>
  <c r="U71" i="41" s="1"/>
  <c r="D72" i="41"/>
  <c r="U72" i="41" s="1"/>
  <c r="S94" i="50" l="1"/>
  <c r="G557" i="37"/>
  <c r="H557" i="37" s="1"/>
  <c r="X557" i="37"/>
  <c r="AA557" i="37"/>
  <c r="AD557" i="37"/>
  <c r="G551" i="37" l="1"/>
  <c r="H551" i="37" s="1"/>
  <c r="G552" i="37"/>
  <c r="H552" i="37" s="1"/>
  <c r="G553" i="37"/>
  <c r="H553" i="37" s="1"/>
  <c r="G554" i="37"/>
  <c r="H554" i="37" s="1"/>
  <c r="X551" i="37"/>
  <c r="X552" i="37"/>
  <c r="X553" i="37"/>
  <c r="X554" i="37"/>
  <c r="AA551" i="37"/>
  <c r="AA552" i="37"/>
  <c r="AA553" i="37"/>
  <c r="AA554" i="37"/>
  <c r="AD551" i="37"/>
  <c r="AD552" i="37"/>
  <c r="AD553" i="37"/>
  <c r="AD554" i="37"/>
  <c r="G544" i="37"/>
  <c r="H544" i="37" s="1"/>
  <c r="X544" i="37"/>
  <c r="AA544" i="37"/>
  <c r="AD544" i="37"/>
  <c r="G542" i="37"/>
  <c r="H542" i="37" s="1"/>
  <c r="G543" i="37"/>
  <c r="H543" i="37" s="1"/>
  <c r="G545" i="37"/>
  <c r="H545" i="37" s="1"/>
  <c r="G546" i="37"/>
  <c r="H546" i="37" s="1"/>
  <c r="G547" i="37"/>
  <c r="H547" i="37" s="1"/>
  <c r="G548" i="37"/>
  <c r="H548" i="37" s="1"/>
  <c r="X542" i="37"/>
  <c r="X543" i="37"/>
  <c r="X545" i="37"/>
  <c r="X546" i="37"/>
  <c r="X547" i="37"/>
  <c r="X548" i="37"/>
  <c r="AA542" i="37"/>
  <c r="AA543" i="37"/>
  <c r="AA545" i="37"/>
  <c r="AA546" i="37"/>
  <c r="AA547" i="37"/>
  <c r="AA548" i="37"/>
  <c r="AD542" i="37"/>
  <c r="AD543" i="37"/>
  <c r="AD545" i="37"/>
  <c r="AD546" i="37"/>
  <c r="AD547" i="37"/>
  <c r="AD548" i="37"/>
  <c r="FC91" i="50"/>
  <c r="FQ91" i="50"/>
  <c r="FC92" i="50"/>
  <c r="FQ92" i="50"/>
  <c r="FC93" i="50"/>
  <c r="FQ93" i="50"/>
  <c r="B29" i="50"/>
  <c r="H29" i="50"/>
  <c r="B67" i="50"/>
  <c r="H67" i="50"/>
  <c r="B68" i="50"/>
  <c r="H68" i="50"/>
  <c r="B69" i="50"/>
  <c r="H69" i="50"/>
  <c r="B70" i="50"/>
  <c r="H70" i="50"/>
  <c r="B71" i="50"/>
  <c r="H71" i="50"/>
  <c r="B72" i="50"/>
  <c r="H72" i="50"/>
  <c r="B73" i="50"/>
  <c r="H73" i="50"/>
  <c r="B74" i="50"/>
  <c r="H74" i="50"/>
  <c r="B75" i="50"/>
  <c r="H75" i="50"/>
  <c r="B76" i="50"/>
  <c r="H76" i="50"/>
  <c r="B77" i="50"/>
  <c r="H77" i="50"/>
  <c r="B78" i="50"/>
  <c r="H78" i="50"/>
  <c r="B79" i="50"/>
  <c r="H79" i="50"/>
  <c r="B80" i="50"/>
  <c r="H80" i="50"/>
  <c r="B81" i="50"/>
  <c r="H81" i="50"/>
  <c r="B82" i="50"/>
  <c r="H82" i="50"/>
  <c r="B83" i="50"/>
  <c r="H83" i="50"/>
  <c r="B84" i="50"/>
  <c r="H84" i="50"/>
  <c r="B85" i="50"/>
  <c r="H85" i="50"/>
  <c r="B86" i="50"/>
  <c r="H86" i="50"/>
  <c r="B87" i="50"/>
  <c r="H87" i="50"/>
  <c r="B88" i="50"/>
  <c r="H88" i="50"/>
  <c r="B89" i="50"/>
  <c r="H89" i="50"/>
  <c r="B90" i="50"/>
  <c r="H90" i="50"/>
  <c r="B91" i="50"/>
  <c r="H91" i="50"/>
  <c r="B92" i="50"/>
  <c r="H92" i="50"/>
  <c r="B93" i="50"/>
  <c r="H93" i="50"/>
  <c r="DZ29" i="50" l="1"/>
  <c r="S92" i="50"/>
  <c r="S91" i="50"/>
  <c r="S93" i="50"/>
  <c r="G515" i="37"/>
  <c r="H515" i="37" s="1"/>
  <c r="X515" i="37"/>
  <c r="AA515" i="37"/>
  <c r="AD515" i="37"/>
  <c r="G514" i="37"/>
  <c r="H514" i="37" s="1"/>
  <c r="X514" i="37"/>
  <c r="AA514" i="37"/>
  <c r="AD514" i="37"/>
  <c r="G513" i="37"/>
  <c r="H513" i="37" s="1"/>
  <c r="X513" i="37"/>
  <c r="AA513" i="37"/>
  <c r="AD513" i="37"/>
  <c r="G510" i="37"/>
  <c r="H510" i="37" s="1"/>
  <c r="X510" i="37"/>
  <c r="AA510" i="37"/>
  <c r="AD510" i="37"/>
  <c r="G511" i="37"/>
  <c r="H511" i="37" s="1"/>
  <c r="X511" i="37"/>
  <c r="AA511" i="37"/>
  <c r="AD511" i="37"/>
  <c r="G507" i="37"/>
  <c r="H507" i="37" s="1"/>
  <c r="G508" i="37"/>
  <c r="H508" i="37" s="1"/>
  <c r="X507" i="37"/>
  <c r="X508" i="37"/>
  <c r="AA507" i="37"/>
  <c r="AA508" i="37"/>
  <c r="AD507" i="37"/>
  <c r="AD508" i="37"/>
  <c r="G504" i="37"/>
  <c r="H504" i="37" s="1"/>
  <c r="G505" i="37"/>
  <c r="H505" i="37" s="1"/>
  <c r="X504" i="37"/>
  <c r="X505" i="37"/>
  <c r="AA504" i="37"/>
  <c r="AA505" i="37"/>
  <c r="AD504" i="37"/>
  <c r="AD505" i="37"/>
  <c r="G524" i="37"/>
  <c r="H524" i="37" s="1"/>
  <c r="X524" i="37"/>
  <c r="AA524" i="37"/>
  <c r="AD524" i="37"/>
  <c r="G525" i="37"/>
  <c r="H525" i="37" s="1"/>
  <c r="X525" i="37"/>
  <c r="AA525" i="37"/>
  <c r="AD525" i="37"/>
  <c r="G517" i="37"/>
  <c r="H517" i="37" s="1"/>
  <c r="X517" i="37"/>
  <c r="AA517" i="37"/>
  <c r="AD517" i="37"/>
  <c r="G518" i="37"/>
  <c r="H518" i="37" s="1"/>
  <c r="X518" i="37"/>
  <c r="AA518" i="37"/>
  <c r="AD518" i="37"/>
  <c r="G522" i="37"/>
  <c r="H522" i="37" s="1"/>
  <c r="X522" i="37"/>
  <c r="AA522" i="37"/>
  <c r="AD522" i="37"/>
  <c r="G520" i="37"/>
  <c r="H520" i="37" s="1"/>
  <c r="X520" i="37"/>
  <c r="AA520" i="37"/>
  <c r="AD520" i="37"/>
  <c r="G521" i="37"/>
  <c r="H521" i="37" s="1"/>
  <c r="X521" i="37"/>
  <c r="AA521" i="37"/>
  <c r="AD521" i="37"/>
  <c r="G531" i="37" l="1"/>
  <c r="H531" i="37" s="1"/>
  <c r="G532" i="37"/>
  <c r="H532" i="37" s="1"/>
  <c r="G533" i="37"/>
  <c r="H533" i="37" s="1"/>
  <c r="G534" i="37"/>
  <c r="H534" i="37" s="1"/>
  <c r="X531" i="37"/>
  <c r="X532" i="37"/>
  <c r="X533" i="37"/>
  <c r="X534" i="37"/>
  <c r="AA531" i="37"/>
  <c r="AA532" i="37"/>
  <c r="AA533" i="37"/>
  <c r="AA534" i="37"/>
  <c r="AD531" i="37"/>
  <c r="AD532" i="37"/>
  <c r="AD533" i="37"/>
  <c r="AD534" i="37"/>
  <c r="G530" i="37"/>
  <c r="H530" i="37" s="1"/>
  <c r="G535" i="37"/>
  <c r="H535" i="37" s="1"/>
  <c r="G536" i="37"/>
  <c r="H536" i="37" s="1"/>
  <c r="G537" i="37"/>
  <c r="H537" i="37" s="1"/>
  <c r="G538" i="37"/>
  <c r="H538" i="37" s="1"/>
  <c r="G539" i="37"/>
  <c r="H539" i="37" s="1"/>
  <c r="X530" i="37"/>
  <c r="X535" i="37"/>
  <c r="X536" i="37"/>
  <c r="X537" i="37"/>
  <c r="X538" i="37"/>
  <c r="X539" i="37"/>
  <c r="AA530" i="37"/>
  <c r="AA535" i="37"/>
  <c r="AA536" i="37"/>
  <c r="AA537" i="37"/>
  <c r="AA538" i="37"/>
  <c r="AA539" i="37"/>
  <c r="AD530" i="37"/>
  <c r="AD535" i="37"/>
  <c r="AD536" i="37"/>
  <c r="AD537" i="37"/>
  <c r="AD538" i="37"/>
  <c r="AD539" i="37"/>
  <c r="B68" i="73" l="1"/>
  <c r="B67" i="73"/>
  <c r="B66" i="73"/>
  <c r="B65" i="73"/>
  <c r="B60" i="73"/>
  <c r="B55" i="73"/>
  <c r="B50" i="73"/>
  <c r="B49" i="73"/>
  <c r="B48" i="73"/>
  <c r="B47" i="73"/>
  <c r="B46" i="73"/>
  <c r="B45" i="73"/>
  <c r="B40" i="73"/>
  <c r="B39" i="73"/>
  <c r="B38" i="73"/>
  <c r="B37" i="73"/>
  <c r="B36" i="73"/>
  <c r="B35" i="73"/>
  <c r="B34" i="73"/>
  <c r="B33" i="73"/>
  <c r="B32" i="73"/>
  <c r="B31" i="73"/>
  <c r="B26" i="73"/>
  <c r="B25" i="73"/>
  <c r="B24" i="73"/>
  <c r="B23" i="73"/>
  <c r="B22" i="73"/>
  <c r="B21" i="73"/>
  <c r="B20" i="73"/>
  <c r="B19" i="73"/>
  <c r="B18" i="73"/>
  <c r="B17" i="73"/>
  <c r="B16" i="73"/>
  <c r="B11" i="73"/>
  <c r="B10" i="73"/>
  <c r="B9" i="73"/>
  <c r="B8" i="73"/>
  <c r="B7" i="73"/>
  <c r="G503" i="37" l="1"/>
  <c r="H503" i="37" s="1"/>
  <c r="G506" i="37"/>
  <c r="H506" i="37" s="1"/>
  <c r="G509" i="37"/>
  <c r="H509" i="37" s="1"/>
  <c r="G512" i="37"/>
  <c r="H512" i="37" s="1"/>
  <c r="G516" i="37"/>
  <c r="H516" i="37" s="1"/>
  <c r="G519" i="37"/>
  <c r="H519" i="37" s="1"/>
  <c r="G523" i="37"/>
  <c r="H523" i="37" s="1"/>
  <c r="X503" i="37"/>
  <c r="X506" i="37"/>
  <c r="X509" i="37"/>
  <c r="X512" i="37"/>
  <c r="X516" i="37"/>
  <c r="X519" i="37"/>
  <c r="X523" i="37"/>
  <c r="AA503" i="37"/>
  <c r="AA506" i="37"/>
  <c r="AA509" i="37"/>
  <c r="AA512" i="37"/>
  <c r="AA516" i="37"/>
  <c r="AA519" i="37"/>
  <c r="AA523" i="37"/>
  <c r="AD503" i="37"/>
  <c r="AD506" i="37"/>
  <c r="AD509" i="37"/>
  <c r="AD512" i="37"/>
  <c r="AD516" i="37"/>
  <c r="AD519" i="37"/>
  <c r="AD523" i="37"/>
  <c r="G526" i="37"/>
  <c r="H526" i="37" s="1"/>
  <c r="G527" i="37"/>
  <c r="H527" i="37" s="1"/>
  <c r="G528" i="37"/>
  <c r="H528" i="37" s="1"/>
  <c r="G529" i="37"/>
  <c r="H529" i="37" s="1"/>
  <c r="G540" i="37"/>
  <c r="H540" i="37" s="1"/>
  <c r="G541" i="37"/>
  <c r="H541" i="37" s="1"/>
  <c r="X526" i="37"/>
  <c r="X527" i="37"/>
  <c r="X528" i="37"/>
  <c r="X529" i="37"/>
  <c r="X540" i="37"/>
  <c r="X541" i="37"/>
  <c r="AA526" i="37"/>
  <c r="AA527" i="37"/>
  <c r="AA528" i="37"/>
  <c r="AA529" i="37"/>
  <c r="AA540" i="37"/>
  <c r="AA541" i="37"/>
  <c r="AD526" i="37"/>
  <c r="AD527" i="37"/>
  <c r="AD528" i="37"/>
  <c r="AD529" i="37"/>
  <c r="AD540" i="37"/>
  <c r="AD541" i="37"/>
  <c r="G549" i="37"/>
  <c r="H549" i="37" s="1"/>
  <c r="G550" i="37"/>
  <c r="H550" i="37" s="1"/>
  <c r="G555" i="37"/>
  <c r="H555" i="37" s="1"/>
  <c r="X549" i="37"/>
  <c r="X550" i="37"/>
  <c r="X555" i="37"/>
  <c r="AA549" i="37"/>
  <c r="AA550" i="37"/>
  <c r="AA555" i="37"/>
  <c r="AD549" i="37"/>
  <c r="AD550" i="37"/>
  <c r="AD555" i="37"/>
  <c r="G490" i="37" l="1"/>
  <c r="H490" i="37" s="1"/>
  <c r="X490" i="37"/>
  <c r="AA490" i="37"/>
  <c r="AD490" i="37"/>
  <c r="G491" i="37"/>
  <c r="H491" i="37" s="1"/>
  <c r="X491" i="37"/>
  <c r="AA491" i="37"/>
  <c r="AD491" i="37"/>
  <c r="G498" i="37" l="1"/>
  <c r="H498" i="37" s="1"/>
  <c r="X498" i="37"/>
  <c r="AA498" i="37"/>
  <c r="AD498" i="37"/>
  <c r="G487" i="37"/>
  <c r="H487" i="37" s="1"/>
  <c r="X487" i="37"/>
  <c r="AA487" i="37"/>
  <c r="AD487" i="37"/>
  <c r="G485" i="37" l="1"/>
  <c r="H485" i="37" s="1"/>
  <c r="G486" i="37"/>
  <c r="H486" i="37" s="1"/>
  <c r="G488" i="37"/>
  <c r="H488" i="37" s="1"/>
  <c r="G489" i="37"/>
  <c r="H489" i="37" s="1"/>
  <c r="G492" i="37"/>
  <c r="H492" i="37" s="1"/>
  <c r="G493" i="37"/>
  <c r="H493" i="37" s="1"/>
  <c r="G494" i="37"/>
  <c r="H494" i="37" s="1"/>
  <c r="G495" i="37"/>
  <c r="H495" i="37" s="1"/>
  <c r="X485" i="37"/>
  <c r="X486" i="37"/>
  <c r="X488" i="37"/>
  <c r="X489" i="37"/>
  <c r="X492" i="37"/>
  <c r="X493" i="37"/>
  <c r="X494" i="37"/>
  <c r="X495" i="37"/>
  <c r="AA485" i="37"/>
  <c r="AA486" i="37"/>
  <c r="AA488" i="37"/>
  <c r="AA489" i="37"/>
  <c r="AA492" i="37"/>
  <c r="AA493" i="37"/>
  <c r="AA494" i="37"/>
  <c r="AA495" i="37"/>
  <c r="AD485" i="37"/>
  <c r="AD486" i="37"/>
  <c r="AD488" i="37"/>
  <c r="AD489" i="37"/>
  <c r="AD492" i="37"/>
  <c r="AD493" i="37"/>
  <c r="AD494" i="37"/>
  <c r="AD495" i="37"/>
  <c r="G496" i="37"/>
  <c r="H496" i="37" s="1"/>
  <c r="G499" i="37"/>
  <c r="H499" i="37" s="1"/>
  <c r="G500" i="37"/>
  <c r="H500" i="37" s="1"/>
  <c r="G501" i="37"/>
  <c r="H501" i="37" s="1"/>
  <c r="X496" i="37"/>
  <c r="X499" i="37"/>
  <c r="X500" i="37"/>
  <c r="X501" i="37"/>
  <c r="AA496" i="37"/>
  <c r="AA499" i="37"/>
  <c r="AA500" i="37"/>
  <c r="AA501" i="37"/>
  <c r="AD496" i="37"/>
  <c r="AD499" i="37"/>
  <c r="AD500" i="37"/>
  <c r="AD501" i="37"/>
  <c r="G502" i="37"/>
  <c r="H502" i="37" s="1"/>
  <c r="X502" i="37"/>
  <c r="AA502" i="37"/>
  <c r="AD502" i="37"/>
  <c r="CK146" i="50" l="1"/>
  <c r="CY146" i="50"/>
  <c r="J8" i="63" l="1"/>
  <c r="G483" i="37" l="1"/>
  <c r="H483" i="37" s="1"/>
  <c r="G484" i="37"/>
  <c r="H484" i="37" s="1"/>
  <c r="X483" i="37"/>
  <c r="X484" i="37"/>
  <c r="AA483" i="37"/>
  <c r="AA484" i="37"/>
  <c r="AD483" i="37"/>
  <c r="AD484" i="37"/>
  <c r="G479" i="37" l="1"/>
  <c r="H479" i="37" s="1"/>
  <c r="G480" i="37"/>
  <c r="H480" i="37" s="1"/>
  <c r="X479" i="37"/>
  <c r="X480" i="37"/>
  <c r="AA479" i="37"/>
  <c r="AA480" i="37"/>
  <c r="AD479" i="37"/>
  <c r="AD480" i="37"/>
  <c r="G481" i="37"/>
  <c r="H481" i="37" s="1"/>
  <c r="G482" i="37"/>
  <c r="H482" i="37" s="1"/>
  <c r="X481" i="37"/>
  <c r="X482" i="37"/>
  <c r="AA481" i="37"/>
  <c r="AA482" i="37"/>
  <c r="AD481" i="37"/>
  <c r="AD482" i="37"/>
  <c r="G477" i="37" l="1"/>
  <c r="H477" i="37" s="1"/>
  <c r="G478" i="37"/>
  <c r="H478" i="37" s="1"/>
  <c r="X477" i="37"/>
  <c r="X478" i="37"/>
  <c r="AA477" i="37"/>
  <c r="AA478" i="37"/>
  <c r="AD477" i="37"/>
  <c r="AD478" i="37"/>
  <c r="G475" i="37" l="1"/>
  <c r="H475" i="37" s="1"/>
  <c r="G476" i="37"/>
  <c r="H476" i="37" s="1"/>
  <c r="X475" i="37"/>
  <c r="X476" i="37"/>
  <c r="AA475" i="37"/>
  <c r="AA476" i="37"/>
  <c r="AD475" i="37"/>
  <c r="AD476" i="37"/>
  <c r="G556" i="37"/>
  <c r="H556" i="37" s="1"/>
  <c r="X556" i="37"/>
  <c r="AA556" i="37"/>
  <c r="AD556" i="37"/>
  <c r="J6" i="37" l="1"/>
  <c r="FC90" i="50" l="1"/>
  <c r="FQ90" i="50"/>
  <c r="FC89" i="50"/>
  <c r="FQ89" i="50"/>
  <c r="S90" i="50" l="1"/>
  <c r="S89" i="50"/>
  <c r="G472" i="37"/>
  <c r="H472" i="37" s="1"/>
  <c r="X472" i="37"/>
  <c r="AA472" i="37"/>
  <c r="AD472" i="37"/>
  <c r="G473" i="37"/>
  <c r="H473" i="37" s="1"/>
  <c r="X473" i="37"/>
  <c r="AA473" i="37"/>
  <c r="AD473" i="37"/>
  <c r="G474" i="37"/>
  <c r="H474" i="37" s="1"/>
  <c r="X474" i="37"/>
  <c r="AA474" i="37"/>
  <c r="AD474" i="37"/>
  <c r="G470" i="37" l="1"/>
  <c r="H470" i="37" s="1"/>
  <c r="X470" i="37"/>
  <c r="AA470" i="37"/>
  <c r="AD470" i="37"/>
  <c r="G471" i="37"/>
  <c r="H471" i="37" s="1"/>
  <c r="X471" i="37"/>
  <c r="AA471" i="37"/>
  <c r="AD471" i="37"/>
  <c r="G466" i="37" l="1"/>
  <c r="H466" i="37" s="1"/>
  <c r="X466" i="37"/>
  <c r="AA466" i="37"/>
  <c r="AD466" i="37"/>
  <c r="G467" i="37"/>
  <c r="H467" i="37" s="1"/>
  <c r="X467" i="37"/>
  <c r="AA467" i="37"/>
  <c r="AD467" i="37"/>
  <c r="G468" i="37"/>
  <c r="H468" i="37" s="1"/>
  <c r="X468" i="37"/>
  <c r="AA468" i="37"/>
  <c r="AD468" i="37"/>
  <c r="G469" i="37"/>
  <c r="H469" i="37" s="1"/>
  <c r="X469" i="37"/>
  <c r="AA469" i="37"/>
  <c r="AD469" i="37"/>
  <c r="G463" i="37" l="1"/>
  <c r="H463" i="37" s="1"/>
  <c r="G464" i="37"/>
  <c r="H464" i="37" s="1"/>
  <c r="X463" i="37"/>
  <c r="X464" i="37"/>
  <c r="AA463" i="37"/>
  <c r="AA464" i="37"/>
  <c r="AD463" i="37"/>
  <c r="AD464" i="37"/>
  <c r="G457" i="37" l="1"/>
  <c r="H457" i="37" s="1"/>
  <c r="G458" i="37"/>
  <c r="H458" i="37" s="1"/>
  <c r="G459" i="37"/>
  <c r="H459" i="37" s="1"/>
  <c r="G460" i="37"/>
  <c r="H460" i="37" s="1"/>
  <c r="X457" i="37"/>
  <c r="X458" i="37"/>
  <c r="X459" i="37"/>
  <c r="X460" i="37"/>
  <c r="AA457" i="37"/>
  <c r="AA458" i="37"/>
  <c r="AA459" i="37"/>
  <c r="AA460" i="37"/>
  <c r="AD457" i="37"/>
  <c r="AD458" i="37"/>
  <c r="AD459" i="37"/>
  <c r="AD460" i="37"/>
  <c r="G453" i="37"/>
  <c r="H453" i="37" s="1"/>
  <c r="G452" i="37"/>
  <c r="H452" i="37" s="1"/>
  <c r="X453" i="37"/>
  <c r="X452" i="37"/>
  <c r="AA453" i="37"/>
  <c r="AA452" i="37"/>
  <c r="AD453" i="37"/>
  <c r="AD452" i="37"/>
  <c r="G451" i="37"/>
  <c r="H451" i="37" s="1"/>
  <c r="G454" i="37"/>
  <c r="H454" i="37" s="1"/>
  <c r="X451" i="37"/>
  <c r="X454" i="37"/>
  <c r="AA451" i="37"/>
  <c r="AA454" i="37"/>
  <c r="AD451" i="37"/>
  <c r="AD454" i="37"/>
  <c r="G449" i="37" l="1"/>
  <c r="H449" i="37" s="1"/>
  <c r="G450" i="37"/>
  <c r="H450" i="37" s="1"/>
  <c r="X449" i="37"/>
  <c r="X450" i="37"/>
  <c r="AA449" i="37"/>
  <c r="AA450" i="37"/>
  <c r="AD449" i="37"/>
  <c r="AD450" i="37"/>
  <c r="G455" i="37"/>
  <c r="H455" i="37" s="1"/>
  <c r="G456" i="37"/>
  <c r="H456" i="37" s="1"/>
  <c r="G461" i="37"/>
  <c r="H461" i="37" s="1"/>
  <c r="X455" i="37"/>
  <c r="X456" i="37"/>
  <c r="X461" i="37"/>
  <c r="AA455" i="37"/>
  <c r="AA456" i="37"/>
  <c r="AA461" i="37"/>
  <c r="AD455" i="37"/>
  <c r="AD456" i="37"/>
  <c r="AD461" i="37"/>
  <c r="FC84" i="50" l="1"/>
  <c r="FQ84" i="50"/>
  <c r="FC85" i="50"/>
  <c r="FQ85" i="50"/>
  <c r="FC86" i="50"/>
  <c r="FQ86" i="50"/>
  <c r="FC87" i="50"/>
  <c r="FQ87" i="50"/>
  <c r="FC88" i="50"/>
  <c r="FQ88" i="50"/>
  <c r="S88" i="50" l="1"/>
  <c r="S86" i="50"/>
  <c r="S84" i="50"/>
  <c r="S85" i="50"/>
  <c r="S87" i="50"/>
  <c r="D63" i="41"/>
  <c r="D64" i="41"/>
  <c r="U64" i="41" s="1"/>
  <c r="D65" i="41"/>
  <c r="D66" i="41"/>
  <c r="D67" i="41"/>
  <c r="U67" i="41" s="1"/>
  <c r="D68" i="41"/>
  <c r="D69" i="41"/>
  <c r="U69" i="41" s="1"/>
  <c r="U68" i="41" l="1"/>
  <c r="U65" i="41"/>
  <c r="U66" i="41"/>
  <c r="U63" i="41"/>
  <c r="G446" i="37"/>
  <c r="H446" i="37" s="1"/>
  <c r="G447" i="37"/>
  <c r="H447" i="37" s="1"/>
  <c r="X446" i="37"/>
  <c r="X447" i="37"/>
  <c r="AA446" i="37"/>
  <c r="AA447" i="37"/>
  <c r="AD446" i="37"/>
  <c r="AD447" i="37"/>
  <c r="G448" i="37"/>
  <c r="H448" i="37" s="1"/>
  <c r="G462" i="37"/>
  <c r="X448" i="37"/>
  <c r="X462" i="37"/>
  <c r="AA448" i="37"/>
  <c r="AA462" i="37"/>
  <c r="AD448" i="37"/>
  <c r="AD462" i="37"/>
  <c r="H462" i="37" l="1"/>
  <c r="AA439" i="37"/>
  <c r="G465" i="37" l="1"/>
  <c r="X465" i="37"/>
  <c r="AA465" i="37"/>
  <c r="AD465" i="37"/>
  <c r="H465" i="37" l="1"/>
  <c r="AB833" i="37"/>
  <c r="G442" i="37"/>
  <c r="H442" i="37" s="1"/>
  <c r="X442" i="37"/>
  <c r="AA442" i="37"/>
  <c r="AD442" i="37"/>
  <c r="G443" i="37"/>
  <c r="H443" i="37" s="1"/>
  <c r="X443" i="37"/>
  <c r="AA443" i="37"/>
  <c r="AD443" i="37"/>
  <c r="G439" i="37" l="1"/>
  <c r="H439" i="37" s="1"/>
  <c r="G440" i="37"/>
  <c r="H440" i="37" s="1"/>
  <c r="G441" i="37"/>
  <c r="H441" i="37" s="1"/>
  <c r="X439" i="37"/>
  <c r="X440" i="37"/>
  <c r="X441" i="37"/>
  <c r="AA440" i="37"/>
  <c r="AA441" i="37"/>
  <c r="AD439" i="37"/>
  <c r="AD440" i="37"/>
  <c r="AD441" i="37"/>
  <c r="G437" i="37" l="1"/>
  <c r="H437" i="37" s="1"/>
  <c r="G438" i="37"/>
  <c r="H438" i="37" s="1"/>
  <c r="X437" i="37"/>
  <c r="X438" i="37"/>
  <c r="AA437" i="37"/>
  <c r="AA438" i="37"/>
  <c r="AD437" i="37"/>
  <c r="AD438" i="37"/>
  <c r="G434" i="37" l="1"/>
  <c r="H434" i="37" s="1"/>
  <c r="G435" i="37"/>
  <c r="H435" i="37" s="1"/>
  <c r="G436" i="37"/>
  <c r="H436" i="37" s="1"/>
  <c r="X434" i="37"/>
  <c r="X435" i="37"/>
  <c r="X436" i="37"/>
  <c r="AA434" i="37"/>
  <c r="AA435" i="37"/>
  <c r="AA436" i="37"/>
  <c r="AD434" i="37"/>
  <c r="AD435" i="37"/>
  <c r="AD436" i="37"/>
  <c r="G431" i="37"/>
  <c r="H431" i="37" s="1"/>
  <c r="G432" i="37"/>
  <c r="H432" i="37" s="1"/>
  <c r="X431" i="37"/>
  <c r="X432" i="37"/>
  <c r="AA431" i="37"/>
  <c r="AA432" i="37"/>
  <c r="AD431" i="37"/>
  <c r="AD432" i="37"/>
  <c r="G433" i="37"/>
  <c r="H433" i="37" s="1"/>
  <c r="G444" i="37"/>
  <c r="H444" i="37" s="1"/>
  <c r="X433" i="37"/>
  <c r="X444" i="37"/>
  <c r="AA433" i="37"/>
  <c r="AA444" i="37"/>
  <c r="AD433" i="37"/>
  <c r="AD444" i="37"/>
  <c r="B66" i="50" l="1"/>
  <c r="B63" i="50"/>
  <c r="H63" i="50"/>
  <c r="B64" i="50"/>
  <c r="H64" i="50"/>
  <c r="B65" i="50"/>
  <c r="H65" i="50"/>
  <c r="H66" i="50"/>
  <c r="DZ66" i="50" l="1"/>
  <c r="DW66" i="50"/>
  <c r="DV66" i="50"/>
  <c r="G426" i="37"/>
  <c r="H426" i="37" s="1"/>
  <c r="G427" i="37"/>
  <c r="H427" i="37" s="1"/>
  <c r="G428" i="37"/>
  <c r="H428" i="37" s="1"/>
  <c r="X426" i="37"/>
  <c r="X427" i="37"/>
  <c r="X428" i="37"/>
  <c r="AA426" i="37"/>
  <c r="AA427" i="37"/>
  <c r="AA428" i="37"/>
  <c r="AD426" i="37"/>
  <c r="AD427" i="37"/>
  <c r="AD428" i="37"/>
  <c r="G422" i="37" l="1"/>
  <c r="H422" i="37" s="1"/>
  <c r="G423" i="37"/>
  <c r="H423" i="37" s="1"/>
  <c r="G424" i="37"/>
  <c r="H424" i="37" s="1"/>
  <c r="G425" i="37"/>
  <c r="H425" i="37" s="1"/>
  <c r="X422" i="37"/>
  <c r="X423" i="37"/>
  <c r="X424" i="37"/>
  <c r="X425" i="37"/>
  <c r="AA422" i="37"/>
  <c r="AA423" i="37"/>
  <c r="AA424" i="37"/>
  <c r="AA425" i="37"/>
  <c r="AD422" i="37"/>
  <c r="AD423" i="37"/>
  <c r="AD424" i="37"/>
  <c r="AD425" i="37"/>
  <c r="G429" i="37"/>
  <c r="H429" i="37" s="1"/>
  <c r="G430" i="37"/>
  <c r="H430" i="37" s="1"/>
  <c r="X429" i="37"/>
  <c r="X430" i="37"/>
  <c r="AA429" i="37"/>
  <c r="AA430" i="37"/>
  <c r="AD429" i="37"/>
  <c r="AD430" i="37"/>
  <c r="G421" i="37" l="1"/>
  <c r="H421" i="37" s="1"/>
  <c r="X421" i="37"/>
  <c r="AA421" i="37"/>
  <c r="AD421" i="37"/>
  <c r="G445" i="37"/>
  <c r="H445" i="37" s="1"/>
  <c r="X445" i="37"/>
  <c r="AA445" i="37"/>
  <c r="AD445" i="37"/>
  <c r="G419" i="37"/>
  <c r="H419" i="37" s="1"/>
  <c r="X419" i="37"/>
  <c r="AA419" i="37"/>
  <c r="AD419" i="37"/>
  <c r="G416" i="37" l="1"/>
  <c r="H416" i="37" s="1"/>
  <c r="G417" i="37"/>
  <c r="H417" i="37" s="1"/>
  <c r="X416" i="37"/>
  <c r="X417" i="37"/>
  <c r="AA416" i="37"/>
  <c r="AA417" i="37"/>
  <c r="AD416" i="37"/>
  <c r="AD417" i="37"/>
  <c r="G413" i="37"/>
  <c r="H413" i="37" s="1"/>
  <c r="G414" i="37"/>
  <c r="H414" i="37" s="1"/>
  <c r="X413" i="37"/>
  <c r="X414" i="37"/>
  <c r="AA413" i="37"/>
  <c r="AA414" i="37"/>
  <c r="AD413" i="37"/>
  <c r="AD414" i="37"/>
  <c r="G415" i="37"/>
  <c r="H415" i="37" s="1"/>
  <c r="G418" i="37"/>
  <c r="H418" i="37" s="1"/>
  <c r="X415" i="37"/>
  <c r="X418" i="37"/>
  <c r="AA415" i="37"/>
  <c r="AA418" i="37"/>
  <c r="AD415" i="37"/>
  <c r="AD418" i="37"/>
  <c r="G420" i="37" l="1"/>
  <c r="H420" i="37" s="1"/>
  <c r="X420" i="37"/>
  <c r="AA420" i="37"/>
  <c r="AD420" i="37"/>
  <c r="G410" i="37"/>
  <c r="H410" i="37" s="1"/>
  <c r="X410" i="37"/>
  <c r="AA410" i="37"/>
  <c r="AD410" i="37"/>
  <c r="G409" i="37"/>
  <c r="H409" i="37" s="1"/>
  <c r="G411" i="37"/>
  <c r="H411" i="37" s="1"/>
  <c r="X409" i="37"/>
  <c r="X411" i="37"/>
  <c r="AA409" i="37"/>
  <c r="AA411" i="37"/>
  <c r="AD409" i="37"/>
  <c r="AD411" i="37"/>
  <c r="G407" i="37" l="1"/>
  <c r="H407" i="37" s="1"/>
  <c r="G408" i="37"/>
  <c r="H408" i="37" s="1"/>
  <c r="X407" i="37"/>
  <c r="X408" i="37"/>
  <c r="AA407" i="37"/>
  <c r="AA408" i="37"/>
  <c r="AD407" i="37"/>
  <c r="AD408" i="37"/>
  <c r="G404" i="37" l="1"/>
  <c r="H404" i="37" s="1"/>
  <c r="X404" i="37"/>
  <c r="AA404" i="37"/>
  <c r="AD404" i="37"/>
  <c r="G405" i="37"/>
  <c r="H405" i="37" s="1"/>
  <c r="X405" i="37"/>
  <c r="AA405" i="37"/>
  <c r="AD405" i="37"/>
  <c r="G406" i="37"/>
  <c r="H406" i="37" s="1"/>
  <c r="X406" i="37"/>
  <c r="AA406" i="37"/>
  <c r="AD406" i="37"/>
  <c r="G412" i="37"/>
  <c r="H412" i="37" s="1"/>
  <c r="X412" i="37"/>
  <c r="AA412" i="37"/>
  <c r="AD412" i="37"/>
  <c r="G402" i="37" l="1"/>
  <c r="H402" i="37" s="1"/>
  <c r="X402" i="37"/>
  <c r="AA402" i="37"/>
  <c r="AD402" i="37"/>
  <c r="G403" i="37"/>
  <c r="H403" i="37" s="1"/>
  <c r="X403" i="37"/>
  <c r="AA403" i="37"/>
  <c r="AD403" i="37"/>
  <c r="G399" i="37"/>
  <c r="H399" i="37" s="1"/>
  <c r="X399" i="37"/>
  <c r="AA399" i="37"/>
  <c r="AD399" i="37"/>
  <c r="G400" i="37"/>
  <c r="H400" i="37" s="1"/>
  <c r="X400" i="37"/>
  <c r="AA400" i="37"/>
  <c r="AD400" i="37"/>
  <c r="G401" i="37"/>
  <c r="H401" i="37" s="1"/>
  <c r="X401" i="37"/>
  <c r="AA401" i="37"/>
  <c r="AD401" i="37"/>
  <c r="G394" i="37" l="1"/>
  <c r="H394" i="37" s="1"/>
  <c r="G395" i="37"/>
  <c r="H395" i="37" s="1"/>
  <c r="X394" i="37"/>
  <c r="X395" i="37"/>
  <c r="AA394" i="37"/>
  <c r="AA395" i="37"/>
  <c r="AD394" i="37"/>
  <c r="AD395" i="37"/>
  <c r="G396" i="37"/>
  <c r="H396" i="37" s="1"/>
  <c r="G397" i="37"/>
  <c r="H397" i="37" s="1"/>
  <c r="X396" i="37"/>
  <c r="X397" i="37"/>
  <c r="AA396" i="37"/>
  <c r="AA397" i="37"/>
  <c r="AD396" i="37"/>
  <c r="AD397" i="37"/>
  <c r="F33" i="41" l="1"/>
  <c r="FC82" i="50"/>
  <c r="FC83" i="50"/>
  <c r="FQ81" i="50"/>
  <c r="FQ82" i="50"/>
  <c r="FQ83" i="50"/>
  <c r="FC81" i="50"/>
  <c r="S83" i="50" l="1"/>
  <c r="S82" i="50"/>
  <c r="S81" i="50"/>
  <c r="G388" i="37"/>
  <c r="H388" i="37" s="1"/>
  <c r="G389" i="37"/>
  <c r="H389" i="37" s="1"/>
  <c r="G390" i="37"/>
  <c r="H390" i="37" s="1"/>
  <c r="G391" i="37"/>
  <c r="H391" i="37" s="1"/>
  <c r="X388" i="37"/>
  <c r="X389" i="37"/>
  <c r="X390" i="37"/>
  <c r="X391" i="37"/>
  <c r="AA388" i="37"/>
  <c r="AA389" i="37"/>
  <c r="AA390" i="37"/>
  <c r="AA391" i="37"/>
  <c r="AD388" i="37"/>
  <c r="AD389" i="37"/>
  <c r="AD390" i="37"/>
  <c r="AD391" i="37"/>
  <c r="G392" i="37"/>
  <c r="H392" i="37" s="1"/>
  <c r="G393" i="37"/>
  <c r="H393" i="37" s="1"/>
  <c r="X392" i="37"/>
  <c r="X393" i="37"/>
  <c r="AA392" i="37"/>
  <c r="AA393" i="37"/>
  <c r="AD392" i="37"/>
  <c r="AD393" i="37"/>
  <c r="EA142" i="50" l="1"/>
  <c r="O17" i="5"/>
  <c r="O14" i="5"/>
  <c r="FQ72" i="50"/>
  <c r="FQ73" i="50"/>
  <c r="FQ74" i="50"/>
  <c r="FQ75" i="50"/>
  <c r="FQ76" i="50"/>
  <c r="FQ77" i="50"/>
  <c r="FQ78" i="50"/>
  <c r="FQ79" i="50"/>
  <c r="FQ80" i="50"/>
  <c r="FC72" i="50"/>
  <c r="FC73" i="50"/>
  <c r="FC74" i="50"/>
  <c r="FC75" i="50"/>
  <c r="FC76" i="50"/>
  <c r="FC77" i="50"/>
  <c r="FC78" i="50"/>
  <c r="FC79" i="50"/>
  <c r="FC80" i="50"/>
  <c r="G384" i="37" l="1"/>
  <c r="H384" i="37" s="1"/>
  <c r="G385" i="37"/>
  <c r="H385" i="37" s="1"/>
  <c r="X384" i="37"/>
  <c r="X385" i="37"/>
  <c r="AA384" i="37"/>
  <c r="AA385" i="37"/>
  <c r="AD384" i="37"/>
  <c r="AD385" i="37"/>
  <c r="G386" i="37"/>
  <c r="H386" i="37" s="1"/>
  <c r="G387" i="37"/>
  <c r="H387" i="37" s="1"/>
  <c r="X386" i="37"/>
  <c r="X387" i="37"/>
  <c r="AA386" i="37"/>
  <c r="AA387" i="37"/>
  <c r="AD386" i="37"/>
  <c r="AD387" i="37"/>
  <c r="G383" i="37"/>
  <c r="H383" i="37" s="1"/>
  <c r="X383" i="37"/>
  <c r="AA383" i="37"/>
  <c r="AD383" i="37"/>
  <c r="G398" i="37"/>
  <c r="H398" i="37" s="1"/>
  <c r="X398" i="37"/>
  <c r="AA398" i="37"/>
  <c r="AD398" i="37"/>
  <c r="G381" i="37" l="1"/>
  <c r="H381" i="37" s="1"/>
  <c r="X381" i="37"/>
  <c r="AA381" i="37"/>
  <c r="AD381" i="37"/>
  <c r="G382" i="37"/>
  <c r="H382" i="37" s="1"/>
  <c r="X382" i="37"/>
  <c r="AA382" i="37"/>
  <c r="AD382" i="37"/>
  <c r="G559" i="37"/>
  <c r="X559" i="37"/>
  <c r="AA559" i="37"/>
  <c r="AD559" i="37"/>
  <c r="K71" i="41" l="1"/>
  <c r="K72" i="41"/>
  <c r="K70" i="41"/>
  <c r="H559" i="37"/>
  <c r="K69" i="41"/>
  <c r="K63" i="41"/>
  <c r="K67" i="41"/>
  <c r="K64" i="41"/>
  <c r="K66" i="41"/>
  <c r="K68" i="41"/>
  <c r="K65" i="41"/>
  <c r="G378" i="37"/>
  <c r="H378" i="37" s="1"/>
  <c r="X378" i="37"/>
  <c r="AA378" i="37"/>
  <c r="AD378" i="37"/>
  <c r="G379" i="37"/>
  <c r="H379" i="37" s="1"/>
  <c r="X379" i="37"/>
  <c r="AA379" i="37"/>
  <c r="AD379" i="37"/>
  <c r="G376" i="37"/>
  <c r="H376" i="37" s="1"/>
  <c r="X376" i="37"/>
  <c r="AA376" i="37"/>
  <c r="AD376" i="37"/>
  <c r="G377" i="37"/>
  <c r="H377" i="37" s="1"/>
  <c r="X377" i="37"/>
  <c r="AA377" i="37"/>
  <c r="AD377" i="37"/>
  <c r="G380" i="37"/>
  <c r="H380" i="37" s="1"/>
  <c r="X380" i="37"/>
  <c r="AA380" i="37"/>
  <c r="AD380" i="37"/>
  <c r="G374" i="37" l="1"/>
  <c r="H374" i="37" s="1"/>
  <c r="X374" i="37"/>
  <c r="AA374" i="37"/>
  <c r="AD374" i="37"/>
  <c r="G373" i="37" l="1"/>
  <c r="H373" i="37" s="1"/>
  <c r="X373" i="37"/>
  <c r="AA373" i="37"/>
  <c r="AD373" i="37"/>
  <c r="G369" i="37" l="1"/>
  <c r="H369" i="37" s="1"/>
  <c r="X369" i="37"/>
  <c r="AA369" i="37"/>
  <c r="AD369" i="37"/>
  <c r="G370" i="37"/>
  <c r="H370" i="37" s="1"/>
  <c r="X370" i="37"/>
  <c r="AA370" i="37"/>
  <c r="AD370" i="37"/>
  <c r="G371" i="37"/>
  <c r="H371" i="37" s="1"/>
  <c r="X371" i="37"/>
  <c r="AA371" i="37"/>
  <c r="AD371" i="37"/>
  <c r="G372" i="37"/>
  <c r="H372" i="37" s="1"/>
  <c r="X372" i="37"/>
  <c r="AA372" i="37"/>
  <c r="AD372" i="37"/>
  <c r="G375" i="37"/>
  <c r="H375" i="37" s="1"/>
  <c r="X375" i="37"/>
  <c r="AA375" i="37"/>
  <c r="AD375" i="37"/>
  <c r="D56" i="41" l="1"/>
  <c r="U56" i="41" s="1"/>
  <c r="D57" i="41"/>
  <c r="D58" i="41"/>
  <c r="D59" i="41"/>
  <c r="D60" i="41"/>
  <c r="U60" i="41" s="1"/>
  <c r="D61" i="41"/>
  <c r="K61" i="41" s="1"/>
  <c r="D62" i="41"/>
  <c r="U62" i="41" s="1"/>
  <c r="U61" i="41" l="1"/>
  <c r="U59" i="41"/>
  <c r="U58" i="41"/>
  <c r="K57" i="41"/>
  <c r="K56" i="41"/>
  <c r="U57" i="41"/>
  <c r="K59" i="41"/>
  <c r="K60" i="41"/>
  <c r="K58" i="41"/>
  <c r="K62" i="41"/>
  <c r="B53" i="50"/>
  <c r="H53" i="50"/>
  <c r="FC53" i="50"/>
  <c r="FQ53" i="50"/>
  <c r="F53" i="41"/>
  <c r="S53" i="50" l="1"/>
  <c r="Z777" i="62" l="1"/>
  <c r="AD363" i="37" l="1"/>
  <c r="Z591" i="62" l="1"/>
  <c r="Z754" i="62"/>
  <c r="Z753" i="62"/>
  <c r="Z683" i="62"/>
  <c r="Z674" i="62"/>
  <c r="Z673" i="62"/>
  <c r="Z651" i="62"/>
  <c r="Z611" i="62"/>
  <c r="Z610" i="62"/>
  <c r="Z609" i="62"/>
  <c r="Z607" i="62"/>
  <c r="Z588" i="62"/>
  <c r="Z580" i="62"/>
  <c r="Z568" i="62"/>
  <c r="Z565" i="62"/>
  <c r="Z558" i="62"/>
  <c r="Z557" i="62"/>
  <c r="Z550" i="62"/>
  <c r="Z546" i="62"/>
  <c r="Z544" i="62"/>
  <c r="Z540" i="62"/>
  <c r="Z537" i="62"/>
  <c r="Z534" i="62"/>
  <c r="Z531" i="62"/>
  <c r="Z529" i="62"/>
  <c r="Z528" i="62"/>
  <c r="Z527" i="62"/>
  <c r="Z526" i="62"/>
  <c r="Z525" i="62"/>
  <c r="Z520" i="62"/>
  <c r="Z506" i="62"/>
  <c r="Z505" i="62"/>
  <c r="Z498" i="62"/>
  <c r="Z491" i="62"/>
  <c r="Z490" i="62"/>
  <c r="Z488" i="62"/>
  <c r="Z486" i="62"/>
  <c r="Z470" i="62"/>
  <c r="Z453" i="62"/>
  <c r="Z452" i="62"/>
  <c r="Z450" i="62"/>
  <c r="Z444" i="62"/>
  <c r="Z433" i="62"/>
  <c r="Z432" i="62"/>
  <c r="Z431" i="62"/>
  <c r="Z429" i="62"/>
  <c r="Z425" i="62"/>
  <c r="Z410" i="62"/>
  <c r="Z399" i="62"/>
  <c r="Z398" i="62"/>
  <c r="Z394" i="62"/>
  <c r="Z388" i="62"/>
  <c r="Z381" i="62"/>
  <c r="Z380" i="62"/>
  <c r="Z376" i="62"/>
  <c r="Z375" i="62"/>
  <c r="Z374" i="62"/>
  <c r="Z367" i="62"/>
  <c r="Z347" i="62"/>
  <c r="Z346" i="62"/>
  <c r="Z345" i="62"/>
  <c r="Z344" i="62"/>
  <c r="Z343" i="62"/>
  <c r="Z334" i="62"/>
  <c r="Z333" i="62"/>
  <c r="Z332" i="62"/>
  <c r="Z331" i="62"/>
  <c r="Z328" i="62"/>
  <c r="Z319" i="62"/>
  <c r="Z318" i="62"/>
  <c r="Z311" i="62"/>
  <c r="Z298" i="62"/>
  <c r="Z281" i="62"/>
  <c r="Z280" i="62"/>
  <c r="Z274" i="62"/>
  <c r="Z269" i="62"/>
  <c r="Z267" i="62"/>
  <c r="Z266" i="62"/>
  <c r="Z264" i="62"/>
  <c r="Z259" i="62"/>
  <c r="Z245" i="62"/>
  <c r="Z241" i="62"/>
  <c r="Z231" i="62"/>
  <c r="Z223" i="62"/>
  <c r="Z222" i="62"/>
  <c r="Z213" i="62"/>
  <c r="Z212" i="62"/>
  <c r="Z202" i="62"/>
  <c r="Z198" i="62"/>
  <c r="Z197" i="62"/>
  <c r="Z196" i="62"/>
  <c r="Z192" i="62"/>
  <c r="Z186" i="62"/>
  <c r="Z184" i="62"/>
  <c r="Z174" i="62"/>
  <c r="Z164" i="62"/>
  <c r="Z162" i="62"/>
  <c r="Z160" i="62"/>
  <c r="Z154" i="62"/>
  <c r="Z152" i="62"/>
  <c r="Z151" i="62"/>
  <c r="Z139" i="62"/>
  <c r="Z136" i="62"/>
  <c r="Z135" i="62"/>
  <c r="Z133" i="62"/>
  <c r="Z128" i="62"/>
  <c r="Z120" i="62"/>
  <c r="Z112" i="62"/>
  <c r="Z105" i="62"/>
  <c r="Z100" i="62"/>
  <c r="Z96" i="62"/>
  <c r="Z90" i="62"/>
  <c r="Z89" i="62"/>
  <c r="Z88" i="62"/>
  <c r="Z78" i="62"/>
  <c r="Z77" i="62"/>
  <c r="Z75" i="62"/>
  <c r="Z72" i="62"/>
  <c r="Z70" i="62"/>
  <c r="Z67" i="62"/>
  <c r="Z66" i="62"/>
  <c r="Z65" i="62"/>
  <c r="Z64" i="62"/>
  <c r="Z59" i="62"/>
  <c r="Z53" i="62"/>
  <c r="Z45" i="62"/>
  <c r="Z44" i="62"/>
  <c r="Z41" i="62"/>
  <c r="Z28" i="62"/>
  <c r="Y23" i="62"/>
  <c r="Y1504" i="62" s="1"/>
  <c r="G362" i="37" l="1"/>
  <c r="H362" i="37" s="1"/>
  <c r="G363" i="37"/>
  <c r="H363" i="37" s="1"/>
  <c r="G364" i="37"/>
  <c r="H364" i="37" s="1"/>
  <c r="X362" i="37"/>
  <c r="X363" i="37"/>
  <c r="X364" i="37"/>
  <c r="AA362" i="37"/>
  <c r="AA363" i="37"/>
  <c r="AA364" i="37"/>
  <c r="AD362" i="37"/>
  <c r="AD266" i="37"/>
  <c r="AD364" i="37"/>
  <c r="G365" i="37"/>
  <c r="H365" i="37" s="1"/>
  <c r="G366" i="37"/>
  <c r="H366" i="37" s="1"/>
  <c r="X365" i="37"/>
  <c r="X366" i="37"/>
  <c r="AA365" i="37"/>
  <c r="AA366" i="37"/>
  <c r="AD365" i="37"/>
  <c r="AD366" i="37"/>
  <c r="G367" i="37"/>
  <c r="H367" i="37" s="1"/>
  <c r="X367" i="37"/>
  <c r="AA367" i="37"/>
  <c r="AD367" i="37"/>
  <c r="G497" i="37" l="1"/>
  <c r="H497" i="37" s="1"/>
  <c r="X497" i="37"/>
  <c r="AA497" i="37"/>
  <c r="AD497" i="37"/>
  <c r="G358" i="37" l="1"/>
  <c r="H358" i="37" s="1"/>
  <c r="G339" i="37" l="1"/>
  <c r="H339" i="37" s="1"/>
  <c r="X339" i="37"/>
  <c r="AA339" i="37"/>
  <c r="AD339" i="37"/>
  <c r="G337" i="37"/>
  <c r="H337" i="37" s="1"/>
  <c r="G338" i="37"/>
  <c r="H338" i="37" s="1"/>
  <c r="X337" i="37"/>
  <c r="X338" i="37"/>
  <c r="AA337" i="37"/>
  <c r="AA338" i="37"/>
  <c r="AD337" i="37"/>
  <c r="AD338" i="37"/>
  <c r="S76" i="50" l="1"/>
  <c r="S73" i="50"/>
  <c r="S75" i="50"/>
  <c r="S72" i="50"/>
  <c r="S74" i="50"/>
  <c r="G348" i="37" l="1"/>
  <c r="H348" i="37" s="1"/>
  <c r="X348" i="37"/>
  <c r="AA348" i="37"/>
  <c r="AD348" i="37"/>
  <c r="G347" i="37"/>
  <c r="H347" i="37" s="1"/>
  <c r="X347" i="37"/>
  <c r="AA347" i="37"/>
  <c r="AD347" i="37"/>
  <c r="G349" i="37"/>
  <c r="H349" i="37" s="1"/>
  <c r="X349" i="37"/>
  <c r="AA349" i="37"/>
  <c r="AD349" i="37"/>
  <c r="G355" i="37" l="1"/>
  <c r="H355" i="37" s="1"/>
  <c r="G356" i="37"/>
  <c r="H356" i="37" s="1"/>
  <c r="G357" i="37"/>
  <c r="H357" i="37" s="1"/>
  <c r="G359" i="37"/>
  <c r="H359" i="37" s="1"/>
  <c r="G360" i="37"/>
  <c r="H360" i="37" s="1"/>
  <c r="G361" i="37"/>
  <c r="H361" i="37" s="1"/>
  <c r="X355" i="37"/>
  <c r="X356" i="37"/>
  <c r="X357" i="37"/>
  <c r="X358" i="37"/>
  <c r="X359" i="37"/>
  <c r="X360" i="37"/>
  <c r="X361" i="37"/>
  <c r="AA355" i="37"/>
  <c r="AA356" i="37"/>
  <c r="AA357" i="37"/>
  <c r="AA358" i="37"/>
  <c r="AA359" i="37"/>
  <c r="AA360" i="37"/>
  <c r="AA361" i="37"/>
  <c r="AD355" i="37"/>
  <c r="AD356" i="37"/>
  <c r="AD357" i="37"/>
  <c r="AD358" i="37"/>
  <c r="AD359" i="37"/>
  <c r="AD360" i="37"/>
  <c r="AD361" i="37"/>
  <c r="G344" i="37"/>
  <c r="H344" i="37" s="1"/>
  <c r="G345" i="37"/>
  <c r="H345" i="37" s="1"/>
  <c r="X344" i="37"/>
  <c r="X345" i="37"/>
  <c r="AA344" i="37"/>
  <c r="AA345" i="37"/>
  <c r="AD344" i="37"/>
  <c r="AD345" i="37"/>
  <c r="G334" i="37"/>
  <c r="H334" i="37" s="1"/>
  <c r="G335" i="37"/>
  <c r="H335" i="37" s="1"/>
  <c r="X334" i="37"/>
  <c r="X335" i="37"/>
  <c r="AA334" i="37"/>
  <c r="AA335" i="37"/>
  <c r="AD334" i="37"/>
  <c r="AD335" i="37"/>
  <c r="G342" i="37"/>
  <c r="H342" i="37" s="1"/>
  <c r="G343" i="37"/>
  <c r="H343" i="37" s="1"/>
  <c r="X342" i="37"/>
  <c r="X343" i="37"/>
  <c r="AA342" i="37"/>
  <c r="AA343" i="37"/>
  <c r="AD342" i="37"/>
  <c r="AD343" i="37"/>
  <c r="G351" i="37"/>
  <c r="H351" i="37" s="1"/>
  <c r="X351" i="37"/>
  <c r="AA351" i="37"/>
  <c r="AD351" i="37"/>
  <c r="G352" i="37"/>
  <c r="H352" i="37" s="1"/>
  <c r="X352" i="37"/>
  <c r="AA352" i="37"/>
  <c r="AD352" i="37"/>
  <c r="G353" i="37"/>
  <c r="H353" i="37" s="1"/>
  <c r="X353" i="37"/>
  <c r="AA353" i="37"/>
  <c r="AD353" i="37"/>
  <c r="G350" i="37" l="1"/>
  <c r="H350" i="37" s="1"/>
  <c r="X350" i="37"/>
  <c r="AA350" i="37"/>
  <c r="AD350" i="37"/>
  <c r="G354" i="37"/>
  <c r="H354" i="37" s="1"/>
  <c r="X354" i="37"/>
  <c r="AA354" i="37"/>
  <c r="AD354" i="37"/>
  <c r="G340" i="37" l="1"/>
  <c r="H340" i="37" s="1"/>
  <c r="X340" i="37"/>
  <c r="AA340" i="37"/>
  <c r="AD340" i="37"/>
  <c r="G341" i="37"/>
  <c r="H341" i="37" s="1"/>
  <c r="X341" i="37"/>
  <c r="AA341" i="37"/>
  <c r="AD341" i="37"/>
  <c r="G346" i="37"/>
  <c r="H346" i="37" s="1"/>
  <c r="X346" i="37"/>
  <c r="AA346" i="37"/>
  <c r="AD346" i="37"/>
  <c r="G333" i="37" l="1"/>
  <c r="H333" i="37" s="1"/>
  <c r="G336" i="37"/>
  <c r="H336" i="37" s="1"/>
  <c r="X333" i="37"/>
  <c r="X336" i="37"/>
  <c r="AA333" i="37"/>
  <c r="AA336" i="37"/>
  <c r="AD333" i="37"/>
  <c r="AD336" i="37"/>
  <c r="G331" i="37" l="1"/>
  <c r="H331" i="37" s="1"/>
  <c r="G332" i="37"/>
  <c r="H332" i="37" s="1"/>
  <c r="X331" i="37"/>
  <c r="X332" i="37"/>
  <c r="AA331" i="37"/>
  <c r="AA332" i="37"/>
  <c r="AD331" i="37"/>
  <c r="AD332" i="37"/>
  <c r="G328" i="37" l="1"/>
  <c r="H328" i="37" s="1"/>
  <c r="G329" i="37"/>
  <c r="H329" i="37" s="1"/>
  <c r="X328" i="37"/>
  <c r="X329" i="37"/>
  <c r="AA328" i="37"/>
  <c r="AA329" i="37"/>
  <c r="AD328" i="37"/>
  <c r="AD329" i="37"/>
  <c r="G326" i="37" l="1"/>
  <c r="H326" i="37" s="1"/>
  <c r="G327" i="37"/>
  <c r="H327" i="37" s="1"/>
  <c r="X326" i="37"/>
  <c r="X327" i="37"/>
  <c r="AA326" i="37"/>
  <c r="AA327" i="37"/>
  <c r="AD326" i="37"/>
  <c r="AD327" i="37"/>
  <c r="B2" i="70" l="1"/>
  <c r="G324" i="37" l="1"/>
  <c r="H324" i="37" s="1"/>
  <c r="G325" i="37"/>
  <c r="H325" i="37" s="1"/>
  <c r="X324" i="37"/>
  <c r="X325" i="37"/>
  <c r="AA324" i="37"/>
  <c r="AA325" i="37"/>
  <c r="AD324" i="37"/>
  <c r="AD325" i="37"/>
  <c r="G323" i="37" l="1"/>
  <c r="H323" i="37" s="1"/>
  <c r="X323" i="37"/>
  <c r="AA323" i="37"/>
  <c r="AD323" i="37"/>
  <c r="G330" i="37"/>
  <c r="H330" i="37" s="1"/>
  <c r="X330" i="37"/>
  <c r="AA330" i="37"/>
  <c r="AD330" i="37"/>
  <c r="G368" i="37"/>
  <c r="H368" i="37" s="1"/>
  <c r="X368" i="37"/>
  <c r="AA368" i="37"/>
  <c r="AD368" i="37"/>
  <c r="G320" i="37" l="1"/>
  <c r="H320" i="37" s="1"/>
  <c r="X320" i="37"/>
  <c r="AA320" i="37"/>
  <c r="AD320" i="37"/>
  <c r="G319" i="37"/>
  <c r="H319" i="37" s="1"/>
  <c r="X319" i="37"/>
  <c r="AA319" i="37"/>
  <c r="AD319" i="37"/>
  <c r="G321" i="37"/>
  <c r="H321" i="37" s="1"/>
  <c r="X321" i="37"/>
  <c r="AA321" i="37"/>
  <c r="AD321" i="37"/>
  <c r="G316" i="37" l="1"/>
  <c r="H316" i="37" s="1"/>
  <c r="X316" i="37"/>
  <c r="AA316" i="37"/>
  <c r="AD316" i="37"/>
  <c r="G317" i="37"/>
  <c r="H317" i="37" s="1"/>
  <c r="X317" i="37"/>
  <c r="AA317" i="37"/>
  <c r="AD317" i="37"/>
  <c r="G318" i="37"/>
  <c r="H318" i="37" s="1"/>
  <c r="X318" i="37"/>
  <c r="AA318" i="37"/>
  <c r="AD318" i="37"/>
  <c r="G322" i="37"/>
  <c r="H322" i="37" s="1"/>
  <c r="X322" i="37"/>
  <c r="AA322" i="37"/>
  <c r="AD322" i="37"/>
  <c r="G299" i="37" l="1"/>
  <c r="H299" i="37" s="1"/>
  <c r="G300" i="37"/>
  <c r="H300" i="37" s="1"/>
  <c r="G301" i="37"/>
  <c r="H301" i="37" s="1"/>
  <c r="G302" i="37"/>
  <c r="H302" i="37" s="1"/>
  <c r="G303" i="37"/>
  <c r="H303" i="37" s="1"/>
  <c r="G304" i="37"/>
  <c r="H304" i="37" s="1"/>
  <c r="G305" i="37"/>
  <c r="H305" i="37" s="1"/>
  <c r="G307" i="37"/>
  <c r="H307" i="37" s="1"/>
  <c r="G308" i="37"/>
  <c r="H308" i="37" s="1"/>
  <c r="G306" i="37"/>
  <c r="H306" i="37" s="1"/>
  <c r="G309" i="37"/>
  <c r="H309" i="37" s="1"/>
  <c r="G310" i="37"/>
  <c r="H310" i="37" s="1"/>
  <c r="G311" i="37"/>
  <c r="H311" i="37" s="1"/>
  <c r="G312" i="37"/>
  <c r="H312" i="37" s="1"/>
  <c r="G313" i="37"/>
  <c r="H313" i="37" s="1"/>
  <c r="G314" i="37"/>
  <c r="H314" i="37" s="1"/>
  <c r="X299" i="37"/>
  <c r="X300" i="37"/>
  <c r="X301" i="37"/>
  <c r="X302" i="37"/>
  <c r="X303" i="37"/>
  <c r="X304" i="37"/>
  <c r="X305" i="37"/>
  <c r="X307" i="37"/>
  <c r="X308" i="37"/>
  <c r="X306" i="37"/>
  <c r="X309" i="37"/>
  <c r="X310" i="37"/>
  <c r="X311" i="37"/>
  <c r="X312" i="37"/>
  <c r="X313" i="37"/>
  <c r="X314" i="37"/>
  <c r="AA299" i="37"/>
  <c r="AA300" i="37"/>
  <c r="AA301" i="37"/>
  <c r="AA302" i="37"/>
  <c r="AA303" i="37"/>
  <c r="AA304" i="37"/>
  <c r="AA305" i="37"/>
  <c r="AA307" i="37"/>
  <c r="AA308" i="37"/>
  <c r="AA306" i="37"/>
  <c r="AA309" i="37"/>
  <c r="AA310" i="37"/>
  <c r="AA311" i="37"/>
  <c r="AA312" i="37"/>
  <c r="AA313" i="37"/>
  <c r="AA314" i="37"/>
  <c r="AD299" i="37"/>
  <c r="AD300" i="37"/>
  <c r="AD301" i="37"/>
  <c r="AD302" i="37"/>
  <c r="AD303" i="37"/>
  <c r="AD304" i="37"/>
  <c r="AD305" i="37"/>
  <c r="AD307" i="37"/>
  <c r="AD308" i="37"/>
  <c r="AD306" i="37"/>
  <c r="AD309" i="37"/>
  <c r="AD310" i="37"/>
  <c r="AD311" i="37"/>
  <c r="AD312" i="37"/>
  <c r="AD313" i="37"/>
  <c r="AD314" i="37"/>
  <c r="G298" i="37" l="1"/>
  <c r="H298" i="37" s="1"/>
  <c r="X298" i="37"/>
  <c r="AA298" i="37"/>
  <c r="AD298" i="37"/>
  <c r="G315" i="37"/>
  <c r="H315" i="37" s="1"/>
  <c r="X315" i="37"/>
  <c r="AA315" i="37"/>
  <c r="AD315" i="37"/>
  <c r="G296" i="37" l="1"/>
  <c r="H296" i="37" s="1"/>
  <c r="X296" i="37"/>
  <c r="AA296" i="37"/>
  <c r="AD296" i="37"/>
  <c r="G293" i="37" l="1"/>
  <c r="H293" i="37" s="1"/>
  <c r="X293" i="37"/>
  <c r="AA293" i="37"/>
  <c r="AD293" i="37"/>
  <c r="X23" i="62" l="1"/>
  <c r="Z23" i="62" s="1"/>
  <c r="G291" i="37"/>
  <c r="H291" i="37" s="1"/>
  <c r="G294" i="37"/>
  <c r="H294" i="37" s="1"/>
  <c r="X291" i="37"/>
  <c r="X294" i="37"/>
  <c r="AA291" i="37"/>
  <c r="AA294" i="37"/>
  <c r="AD291" i="37"/>
  <c r="AD294" i="37"/>
  <c r="G292" i="37" l="1"/>
  <c r="H292" i="37" s="1"/>
  <c r="X292" i="37"/>
  <c r="AA292" i="37"/>
  <c r="AD292" i="37"/>
  <c r="P35" i="72" l="1"/>
  <c r="Q35" i="72"/>
  <c r="R35" i="72"/>
  <c r="S35" i="72"/>
  <c r="T35" i="72"/>
  <c r="U35" i="72"/>
  <c r="V35" i="72"/>
  <c r="W35" i="72"/>
  <c r="X35" i="72"/>
  <c r="Y35" i="72"/>
  <c r="Z35" i="72"/>
  <c r="AA35" i="72"/>
  <c r="AB35" i="72"/>
  <c r="AC35" i="72"/>
  <c r="AD35" i="72"/>
  <c r="AE35" i="72"/>
  <c r="AF35" i="72"/>
  <c r="AG35" i="72"/>
  <c r="AH35" i="72"/>
  <c r="AI35" i="72"/>
  <c r="AJ35" i="72"/>
  <c r="O35" i="72"/>
  <c r="I16" i="72"/>
  <c r="J16" i="72"/>
  <c r="K16" i="72"/>
  <c r="L16" i="72"/>
  <c r="G290" i="37" l="1"/>
  <c r="H290" i="37" s="1"/>
  <c r="X290" i="37"/>
  <c r="AA290" i="37"/>
  <c r="AD290" i="37"/>
  <c r="G295" i="37"/>
  <c r="H295" i="37" s="1"/>
  <c r="X295" i="37"/>
  <c r="AA295" i="37"/>
  <c r="AD295" i="37"/>
  <c r="G288" i="37" l="1"/>
  <c r="H288" i="37" s="1"/>
  <c r="X288" i="37"/>
  <c r="AA288" i="37"/>
  <c r="AD288" i="37"/>
  <c r="G289" i="37"/>
  <c r="H289" i="37" s="1"/>
  <c r="X289" i="37"/>
  <c r="AA289" i="37"/>
  <c r="AD289" i="37"/>
  <c r="FQ70" i="50" l="1"/>
  <c r="FC70" i="50"/>
  <c r="FQ71" i="50"/>
  <c r="FC71" i="50"/>
  <c r="FQ69" i="50"/>
  <c r="FC69" i="50"/>
  <c r="FC68" i="50"/>
  <c r="FQ68" i="50"/>
  <c r="N12" i="5"/>
  <c r="S69" i="50" l="1"/>
  <c r="S68" i="50"/>
  <c r="S71" i="50"/>
  <c r="S70" i="50"/>
  <c r="N23" i="5" l="1"/>
  <c r="G287" i="37" l="1"/>
  <c r="H287" i="37" s="1"/>
  <c r="X287" i="37"/>
  <c r="AA287" i="37"/>
  <c r="AD287" i="37"/>
  <c r="B24" i="72" l="1"/>
  <c r="G24" i="72" l="1"/>
  <c r="G27" i="72" s="1"/>
  <c r="F24" i="72"/>
  <c r="F27" i="72" s="1"/>
  <c r="P27" i="72"/>
  <c r="Q27" i="72"/>
  <c r="R27" i="72"/>
  <c r="S27" i="72"/>
  <c r="T27" i="72"/>
  <c r="U27" i="72"/>
  <c r="V27" i="72"/>
  <c r="W27" i="72"/>
  <c r="X27" i="72"/>
  <c r="Y27" i="72"/>
  <c r="Z27" i="72"/>
  <c r="AA27" i="72"/>
  <c r="AB27" i="72"/>
  <c r="AC27" i="72"/>
  <c r="AD27" i="72"/>
  <c r="AE27" i="72"/>
  <c r="AF27" i="72"/>
  <c r="AG27" i="72"/>
  <c r="AH27" i="72"/>
  <c r="AI27" i="72"/>
  <c r="AJ27" i="72"/>
  <c r="AK27" i="72"/>
  <c r="AL27" i="72"/>
  <c r="B27" i="72"/>
  <c r="E24" i="72"/>
  <c r="E27" i="72" s="1"/>
  <c r="D24" i="72"/>
  <c r="D27" i="72" s="1"/>
  <c r="C24" i="72"/>
  <c r="C27" i="72" s="1"/>
  <c r="K23" i="72"/>
  <c r="K26" i="72" s="1"/>
  <c r="J23" i="72"/>
  <c r="J26" i="72" s="1"/>
  <c r="I23" i="72"/>
  <c r="I26" i="72" s="1"/>
  <c r="H23" i="72"/>
  <c r="H26" i="72" s="1"/>
  <c r="M24" i="72" l="1"/>
  <c r="M27" i="72" s="1"/>
  <c r="N24" i="72"/>
  <c r="O24" i="72"/>
  <c r="O27" i="72" s="1"/>
  <c r="J24" i="72"/>
  <c r="J27" i="72" s="1"/>
  <c r="L24" i="72"/>
  <c r="K24" i="72"/>
  <c r="K27" i="72" s="1"/>
  <c r="H24" i="72"/>
  <c r="H27" i="72" s="1"/>
  <c r="I24" i="72"/>
  <c r="I27" i="72" s="1"/>
  <c r="G256" i="37"/>
  <c r="H256" i="37" s="1"/>
  <c r="G257" i="37"/>
  <c r="H257" i="37" s="1"/>
  <c r="G258" i="37"/>
  <c r="H258" i="37" s="1"/>
  <c r="G259" i="37"/>
  <c r="H259" i="37" s="1"/>
  <c r="G260" i="37"/>
  <c r="H260" i="37" s="1"/>
  <c r="G261" i="37"/>
  <c r="H261" i="37" s="1"/>
  <c r="G262" i="37"/>
  <c r="H262" i="37" s="1"/>
  <c r="G263" i="37"/>
  <c r="H263" i="37" s="1"/>
  <c r="G264" i="37"/>
  <c r="H264" i="37" s="1"/>
  <c r="G265" i="37"/>
  <c r="H265" i="37" s="1"/>
  <c r="G266" i="37"/>
  <c r="G267" i="37"/>
  <c r="H267" i="37" s="1"/>
  <c r="G268" i="37"/>
  <c r="H268" i="37" s="1"/>
  <c r="G269" i="37"/>
  <c r="H269" i="37" s="1"/>
  <c r="G270" i="37"/>
  <c r="H270" i="37" s="1"/>
  <c r="G271" i="37"/>
  <c r="H271" i="37" s="1"/>
  <c r="X256" i="37"/>
  <c r="X257" i="37"/>
  <c r="X258" i="37"/>
  <c r="X259" i="37"/>
  <c r="X260" i="37"/>
  <c r="X261" i="37"/>
  <c r="X262" i="37"/>
  <c r="X263" i="37"/>
  <c r="X264" i="37"/>
  <c r="X265" i="37"/>
  <c r="X266" i="37"/>
  <c r="X267" i="37"/>
  <c r="X268" i="37"/>
  <c r="X269" i="37"/>
  <c r="X270" i="37"/>
  <c r="X271" i="37"/>
  <c r="AA256" i="37"/>
  <c r="AA257" i="37"/>
  <c r="AA258" i="37"/>
  <c r="AA259" i="37"/>
  <c r="AA260" i="37"/>
  <c r="AA261" i="37"/>
  <c r="AA262" i="37"/>
  <c r="AA263" i="37"/>
  <c r="AA264" i="37"/>
  <c r="AA265" i="37"/>
  <c r="AA266" i="37"/>
  <c r="AA267" i="37"/>
  <c r="AA268" i="37"/>
  <c r="AA269" i="37"/>
  <c r="AA270" i="37"/>
  <c r="AA271" i="37"/>
  <c r="AD256" i="37"/>
  <c r="AD257" i="37"/>
  <c r="AD258" i="37"/>
  <c r="AD259" i="37"/>
  <c r="AD260" i="37"/>
  <c r="AD261" i="37"/>
  <c r="AD262" i="37"/>
  <c r="AD263" i="37"/>
  <c r="AD264" i="37"/>
  <c r="AD265" i="37"/>
  <c r="AD267" i="37"/>
  <c r="AD268" i="37"/>
  <c r="AD269" i="37"/>
  <c r="AD270" i="37"/>
  <c r="AD271" i="37"/>
  <c r="G272" i="37"/>
  <c r="H272" i="37" s="1"/>
  <c r="G273" i="37"/>
  <c r="H273" i="37" s="1"/>
  <c r="G274" i="37"/>
  <c r="H274" i="37" s="1"/>
  <c r="G275" i="37"/>
  <c r="H275" i="37" s="1"/>
  <c r="G276" i="37"/>
  <c r="H276" i="37" s="1"/>
  <c r="G277" i="37"/>
  <c r="H277" i="37" s="1"/>
  <c r="G278" i="37"/>
  <c r="H278" i="37" s="1"/>
  <c r="G279" i="37"/>
  <c r="H279" i="37" s="1"/>
  <c r="X272" i="37"/>
  <c r="X273" i="37"/>
  <c r="X274" i="37"/>
  <c r="X275" i="37"/>
  <c r="X276" i="37"/>
  <c r="X277" i="37"/>
  <c r="X278" i="37"/>
  <c r="X279" i="37"/>
  <c r="AA272" i="37"/>
  <c r="AA273" i="37"/>
  <c r="AA274" i="37"/>
  <c r="AA275" i="37"/>
  <c r="AA276" i="37"/>
  <c r="AA277" i="37"/>
  <c r="AA278" i="37"/>
  <c r="AA279" i="37"/>
  <c r="AD272" i="37"/>
  <c r="AD273" i="37"/>
  <c r="AD274" i="37"/>
  <c r="AD275" i="37"/>
  <c r="AD276" i="37"/>
  <c r="AD277" i="37"/>
  <c r="AD278" i="37"/>
  <c r="AD279" i="37"/>
  <c r="G280" i="37"/>
  <c r="H280" i="37" s="1"/>
  <c r="G281" i="37"/>
  <c r="H281" i="37" s="1"/>
  <c r="G282" i="37"/>
  <c r="H282" i="37" s="1"/>
  <c r="G283" i="37"/>
  <c r="H283" i="37" s="1"/>
  <c r="X280" i="37"/>
  <c r="X281" i="37"/>
  <c r="X282" i="37"/>
  <c r="X283" i="37"/>
  <c r="AA280" i="37"/>
  <c r="AA281" i="37"/>
  <c r="AA282" i="37"/>
  <c r="AA283" i="37"/>
  <c r="AD280" i="37"/>
  <c r="AD281" i="37"/>
  <c r="AD282" i="37"/>
  <c r="AD283" i="37"/>
  <c r="G284" i="37"/>
  <c r="H284" i="37" s="1"/>
  <c r="G285" i="37"/>
  <c r="H285" i="37" s="1"/>
  <c r="X284" i="37"/>
  <c r="X285" i="37"/>
  <c r="AA284" i="37"/>
  <c r="AA285" i="37"/>
  <c r="AD284" i="37"/>
  <c r="AD285" i="37"/>
  <c r="G286" i="37"/>
  <c r="H286" i="37" s="1"/>
  <c r="X286" i="37"/>
  <c r="AA286" i="37"/>
  <c r="AD286" i="37"/>
  <c r="G231" i="37" l="1"/>
  <c r="H231" i="37" s="1"/>
  <c r="X231" i="37"/>
  <c r="AA231" i="37"/>
  <c r="AD231" i="37"/>
  <c r="G232" i="37"/>
  <c r="H232" i="37" s="1"/>
  <c r="X232" i="37"/>
  <c r="AA232" i="37"/>
  <c r="AD232" i="37"/>
  <c r="G233" i="37"/>
  <c r="H233" i="37" s="1"/>
  <c r="X233" i="37"/>
  <c r="AA233" i="37"/>
  <c r="AD233" i="37"/>
  <c r="G248" i="37" l="1"/>
  <c r="H248" i="37" s="1"/>
  <c r="X248" i="37"/>
  <c r="AA248" i="37"/>
  <c r="AD248" i="37"/>
  <c r="G249" i="37"/>
  <c r="H249" i="37" s="1"/>
  <c r="X249" i="37"/>
  <c r="AA249" i="37"/>
  <c r="AD249" i="37"/>
  <c r="G244" i="37"/>
  <c r="H244" i="37" s="1"/>
  <c r="X244" i="37"/>
  <c r="AA244" i="37"/>
  <c r="AD244" i="37"/>
  <c r="G245" i="37"/>
  <c r="H245" i="37" s="1"/>
  <c r="X245" i="37"/>
  <c r="AA245" i="37"/>
  <c r="AD245" i="37"/>
  <c r="G246" i="37"/>
  <c r="H246" i="37" s="1"/>
  <c r="X246" i="37"/>
  <c r="AA246" i="37"/>
  <c r="AD246" i="37"/>
  <c r="G238" i="37"/>
  <c r="H238" i="37" s="1"/>
  <c r="X238" i="37"/>
  <c r="AA238" i="37"/>
  <c r="AD238" i="37"/>
  <c r="G239" i="37"/>
  <c r="H239" i="37" s="1"/>
  <c r="X239" i="37"/>
  <c r="AA239" i="37"/>
  <c r="AD239" i="37"/>
  <c r="G241" i="37" l="1"/>
  <c r="H241" i="37" s="1"/>
  <c r="X241" i="37"/>
  <c r="AA241" i="37"/>
  <c r="AD241" i="37"/>
  <c r="G242" i="37"/>
  <c r="H242" i="37" s="1"/>
  <c r="X242" i="37"/>
  <c r="AA242" i="37"/>
  <c r="AD242" i="37"/>
  <c r="G235" i="37" l="1"/>
  <c r="H235" i="37" s="1"/>
  <c r="X235" i="37"/>
  <c r="AA235" i="37"/>
  <c r="AD235" i="37"/>
  <c r="G236" i="37"/>
  <c r="H236" i="37" s="1"/>
  <c r="X236" i="37"/>
  <c r="AA236" i="37"/>
  <c r="AD236" i="37"/>
  <c r="G228" i="37"/>
  <c r="H228" i="37" s="1"/>
  <c r="X228" i="37"/>
  <c r="AA228" i="37"/>
  <c r="AD228" i="37"/>
  <c r="G229" i="37"/>
  <c r="H229" i="37" s="1"/>
  <c r="X229" i="37"/>
  <c r="AA229" i="37"/>
  <c r="AD229" i="37"/>
  <c r="X250" i="37" l="1"/>
  <c r="X243" i="37"/>
  <c r="G250" i="37"/>
  <c r="H250" i="37" s="1"/>
  <c r="AA250" i="37"/>
  <c r="AD250" i="37"/>
  <c r="G252" i="37"/>
  <c r="H252" i="37" s="1"/>
  <c r="X252" i="37"/>
  <c r="AA252" i="37"/>
  <c r="AD252" i="37"/>
  <c r="G253" i="37"/>
  <c r="H253" i="37" s="1"/>
  <c r="X253" i="37"/>
  <c r="AA253" i="37"/>
  <c r="AD253" i="37"/>
  <c r="G254" i="37"/>
  <c r="H254" i="37" s="1"/>
  <c r="X254" i="37"/>
  <c r="AA254" i="37"/>
  <c r="AD254" i="37"/>
  <c r="G255" i="37"/>
  <c r="H255" i="37" s="1"/>
  <c r="X255" i="37"/>
  <c r="AA255" i="37"/>
  <c r="AD255" i="37"/>
  <c r="G220" i="37" l="1"/>
  <c r="H220" i="37" s="1"/>
  <c r="G221" i="37"/>
  <c r="H221" i="37" s="1"/>
  <c r="G222" i="37"/>
  <c r="H222" i="37" s="1"/>
  <c r="G223" i="37"/>
  <c r="H223" i="37" s="1"/>
  <c r="G224" i="37"/>
  <c r="H224" i="37" s="1"/>
  <c r="G225" i="37"/>
  <c r="H225" i="37" s="1"/>
  <c r="G226" i="37"/>
  <c r="H226" i="37" s="1"/>
  <c r="G227" i="37"/>
  <c r="H227" i="37" s="1"/>
  <c r="X220" i="37"/>
  <c r="X221" i="37"/>
  <c r="X222" i="37"/>
  <c r="X223" i="37"/>
  <c r="X224" i="37"/>
  <c r="X225" i="37"/>
  <c r="X226" i="37"/>
  <c r="X227" i="37"/>
  <c r="AA220" i="37"/>
  <c r="AA221" i="37"/>
  <c r="AA222" i="37"/>
  <c r="AA223" i="37"/>
  <c r="AA224" i="37"/>
  <c r="AA225" i="37"/>
  <c r="AA226" i="37"/>
  <c r="AA227" i="37"/>
  <c r="AD220" i="37"/>
  <c r="AD221" i="37"/>
  <c r="AD222" i="37"/>
  <c r="AD223" i="37"/>
  <c r="AD224" i="37"/>
  <c r="AD225" i="37"/>
  <c r="AD226" i="37"/>
  <c r="AD227" i="37"/>
  <c r="G230" i="37"/>
  <c r="H230" i="37" s="1"/>
  <c r="G234" i="37"/>
  <c r="H234" i="37" s="1"/>
  <c r="G237" i="37"/>
  <c r="H237" i="37" s="1"/>
  <c r="G240" i="37"/>
  <c r="H240" i="37" s="1"/>
  <c r="X230" i="37"/>
  <c r="X234" i="37"/>
  <c r="X237" i="37"/>
  <c r="X240" i="37"/>
  <c r="AA230" i="37"/>
  <c r="AA234" i="37"/>
  <c r="AA237" i="37"/>
  <c r="AA240" i="37"/>
  <c r="AD230" i="37"/>
  <c r="AD234" i="37"/>
  <c r="AD237" i="37"/>
  <c r="AD240" i="37"/>
  <c r="G243" i="37"/>
  <c r="H243" i="37" s="1"/>
  <c r="G247" i="37"/>
  <c r="H247" i="37" s="1"/>
  <c r="X247" i="37"/>
  <c r="AA243" i="37"/>
  <c r="AA247" i="37"/>
  <c r="AD243" i="37"/>
  <c r="AD247" i="37"/>
  <c r="G251" i="37"/>
  <c r="H251" i="37" s="1"/>
  <c r="X251" i="37"/>
  <c r="AA251" i="37"/>
  <c r="AD251" i="37"/>
  <c r="G219" i="37" l="1"/>
  <c r="H219" i="37" s="1"/>
  <c r="X219" i="37"/>
  <c r="AA219" i="37"/>
  <c r="AD219" i="37"/>
  <c r="G217" i="37" l="1"/>
  <c r="H217" i="37" s="1"/>
  <c r="X217" i="37"/>
  <c r="AA217" i="37"/>
  <c r="AD217" i="37"/>
  <c r="G218" i="37"/>
  <c r="H218" i="37" s="1"/>
  <c r="X218" i="37"/>
  <c r="AA218" i="37"/>
  <c r="AD218" i="37"/>
  <c r="G216" i="37" l="1"/>
  <c r="H216" i="37" s="1"/>
  <c r="X216" i="37"/>
  <c r="AA216" i="37"/>
  <c r="AD216" i="37"/>
  <c r="C26" i="72" l="1"/>
  <c r="D26" i="72"/>
  <c r="E26" i="72"/>
  <c r="F26" i="72"/>
  <c r="B26" i="72"/>
  <c r="G215" i="37" l="1"/>
  <c r="H215" i="37" s="1"/>
  <c r="X215" i="37"/>
  <c r="AA215" i="37"/>
  <c r="AD215" i="37"/>
  <c r="G214" i="37" l="1"/>
  <c r="H214" i="37" s="1"/>
  <c r="X214" i="37"/>
  <c r="AA214" i="37"/>
  <c r="AD214" i="37"/>
  <c r="G212" i="37" l="1"/>
  <c r="H212" i="37" s="1"/>
  <c r="X212" i="37"/>
  <c r="AA212" i="37"/>
  <c r="AD212" i="37"/>
  <c r="G211" i="37" l="1"/>
  <c r="H211" i="37" s="1"/>
  <c r="X211" i="37"/>
  <c r="AA211" i="37"/>
  <c r="AD211" i="37"/>
  <c r="AA208" i="37" l="1"/>
  <c r="AA203" i="37"/>
  <c r="AA210" i="37"/>
  <c r="AA213" i="37"/>
  <c r="AA297" i="37"/>
  <c r="G208" i="37"/>
  <c r="H208" i="37" s="1"/>
  <c r="X208" i="37"/>
  <c r="AD208" i="37"/>
  <c r="G203" i="37"/>
  <c r="H203" i="37" s="1"/>
  <c r="X203" i="37"/>
  <c r="AD203" i="37"/>
  <c r="G210" i="37"/>
  <c r="H210" i="37" s="1"/>
  <c r="X210" i="37"/>
  <c r="AD210" i="37"/>
  <c r="G213" i="37"/>
  <c r="H213" i="37" s="1"/>
  <c r="X213" i="37"/>
  <c r="AD213" i="37"/>
  <c r="G207" i="37" l="1"/>
  <c r="H207" i="37" s="1"/>
  <c r="X207" i="37"/>
  <c r="AA207" i="37"/>
  <c r="AD207" i="37"/>
  <c r="G200" i="37" l="1"/>
  <c r="H200" i="37" s="1"/>
  <c r="X200" i="37"/>
  <c r="AA200" i="37"/>
  <c r="AD200" i="37"/>
  <c r="X61" i="62" l="1"/>
  <c r="Z61" i="62" s="1"/>
  <c r="G205" i="37" l="1"/>
  <c r="H205" i="37" s="1"/>
  <c r="X205" i="37"/>
  <c r="AA205" i="37"/>
  <c r="AD205" i="37"/>
  <c r="G196" i="37" l="1"/>
  <c r="H196" i="37" s="1"/>
  <c r="X196" i="37"/>
  <c r="AA196" i="37"/>
  <c r="AD196" i="37"/>
  <c r="L12" i="5" l="1"/>
  <c r="I64" i="30" l="1"/>
  <c r="G186" i="37" l="1"/>
  <c r="H186" i="37" s="1"/>
  <c r="G206" i="37"/>
  <c r="H206" i="37" s="1"/>
  <c r="G209" i="37"/>
  <c r="H209" i="37" s="1"/>
  <c r="X186" i="37"/>
  <c r="X206" i="37"/>
  <c r="X209" i="37"/>
  <c r="AA186" i="37"/>
  <c r="AA206" i="37"/>
  <c r="AA209" i="37"/>
  <c r="AD186" i="37"/>
  <c r="AD206" i="37"/>
  <c r="AD209" i="37"/>
  <c r="G154" i="37"/>
  <c r="H154" i="37" s="1"/>
  <c r="G183" i="37"/>
  <c r="H183" i="37" s="1"/>
  <c r="X154" i="37"/>
  <c r="X183" i="37"/>
  <c r="AA154" i="37"/>
  <c r="AA183" i="37"/>
  <c r="AD154" i="37"/>
  <c r="AD183" i="37"/>
  <c r="G172" i="37"/>
  <c r="H172" i="37" s="1"/>
  <c r="X172" i="37"/>
  <c r="AA172" i="37"/>
  <c r="AD172" i="37"/>
  <c r="G182" i="37" l="1"/>
  <c r="H182" i="37" s="1"/>
  <c r="G195" i="37"/>
  <c r="H195" i="37" s="1"/>
  <c r="X182" i="37"/>
  <c r="X195" i="37"/>
  <c r="AA182" i="37"/>
  <c r="AA195" i="37"/>
  <c r="AD182" i="37"/>
  <c r="AD195" i="37"/>
  <c r="G199" i="37"/>
  <c r="H199" i="37" s="1"/>
  <c r="X199" i="37"/>
  <c r="AA199" i="37"/>
  <c r="AD199" i="37"/>
  <c r="G198" i="37" l="1"/>
  <c r="H198" i="37" s="1"/>
  <c r="X198" i="37"/>
  <c r="AA198" i="37"/>
  <c r="AD198" i="37"/>
  <c r="G153" i="37"/>
  <c r="H153" i="37" s="1"/>
  <c r="G156" i="37"/>
  <c r="H156" i="37" s="1"/>
  <c r="X153" i="37"/>
  <c r="X156" i="37"/>
  <c r="AA153" i="37"/>
  <c r="AA156" i="37"/>
  <c r="AD153" i="37"/>
  <c r="AD156" i="37"/>
  <c r="G171" i="37"/>
  <c r="H171" i="37" s="1"/>
  <c r="X171" i="37"/>
  <c r="AA171" i="37"/>
  <c r="AD171" i="37"/>
  <c r="D9" i="63" l="1"/>
  <c r="D10" i="63"/>
  <c r="D11" i="63"/>
  <c r="D12" i="63"/>
  <c r="D13" i="63"/>
  <c r="D14" i="63"/>
  <c r="D15" i="63"/>
  <c r="D16" i="63"/>
  <c r="D17" i="63"/>
  <c r="D18" i="63"/>
  <c r="D19" i="63"/>
  <c r="D20" i="63"/>
  <c r="D8" i="63"/>
  <c r="DM142" i="50" l="1"/>
  <c r="CY142" i="50"/>
  <c r="CK142" i="50"/>
  <c r="BW142" i="50"/>
  <c r="G37" i="37" l="1"/>
  <c r="H37" i="37" s="1"/>
  <c r="X37" i="37"/>
  <c r="AA37" i="37"/>
  <c r="AD37" i="37"/>
  <c r="G38" i="37"/>
  <c r="H38" i="37" s="1"/>
  <c r="X38" i="37"/>
  <c r="AA38" i="37"/>
  <c r="AD38" i="37"/>
  <c r="B9" i="72" l="1"/>
  <c r="C16" i="72"/>
  <c r="C22" i="72" s="1"/>
  <c r="C25" i="72" s="1"/>
  <c r="D16" i="72"/>
  <c r="D22" i="72" s="1"/>
  <c r="E16" i="72"/>
  <c r="E22" i="72" s="1"/>
  <c r="E25" i="72" s="1"/>
  <c r="F16" i="72"/>
  <c r="G16" i="72"/>
  <c r="G22" i="72" s="1"/>
  <c r="G25" i="72" s="1"/>
  <c r="H16" i="72"/>
  <c r="H22" i="72" s="1"/>
  <c r="H25" i="72" s="1"/>
  <c r="I22" i="72"/>
  <c r="I25" i="72" s="1"/>
  <c r="J22" i="72"/>
  <c r="J25" i="72" s="1"/>
  <c r="K22" i="72"/>
  <c r="K25" i="72" s="1"/>
  <c r="M16" i="72"/>
  <c r="M22" i="72" s="1"/>
  <c r="M25" i="72" s="1"/>
  <c r="N16" i="72"/>
  <c r="N22" i="72" s="1"/>
  <c r="N25" i="72" s="1"/>
  <c r="P16" i="72"/>
  <c r="P22" i="72" s="1"/>
  <c r="P25" i="72" s="1"/>
  <c r="Q16" i="72"/>
  <c r="Q22" i="72" s="1"/>
  <c r="Q25" i="72" s="1"/>
  <c r="R16" i="72"/>
  <c r="R22" i="72" s="1"/>
  <c r="R25" i="72" s="1"/>
  <c r="S16" i="72"/>
  <c r="S22" i="72" s="1"/>
  <c r="S25" i="72" s="1"/>
  <c r="T16" i="72"/>
  <c r="T22" i="72" s="1"/>
  <c r="T25" i="72" s="1"/>
  <c r="U16" i="72"/>
  <c r="V16" i="72"/>
  <c r="V22" i="72" s="1"/>
  <c r="V25" i="72" s="1"/>
  <c r="W16" i="72"/>
  <c r="W22" i="72" s="1"/>
  <c r="W25" i="72" s="1"/>
  <c r="X16" i="72"/>
  <c r="X22" i="72" s="1"/>
  <c r="X25" i="72" s="1"/>
  <c r="Y16" i="72"/>
  <c r="Y22" i="72" s="1"/>
  <c r="Y25" i="72" s="1"/>
  <c r="Z16" i="72"/>
  <c r="Z22" i="72" s="1"/>
  <c r="Z25" i="72" s="1"/>
  <c r="AA16" i="72"/>
  <c r="AA22" i="72" s="1"/>
  <c r="AA25" i="72" s="1"/>
  <c r="AB16" i="72"/>
  <c r="AB22" i="72" s="1"/>
  <c r="AB25" i="72" s="1"/>
  <c r="AC16" i="72"/>
  <c r="AC22" i="72" s="1"/>
  <c r="AC25" i="72" s="1"/>
  <c r="AD16" i="72"/>
  <c r="AD22" i="72" s="1"/>
  <c r="AD25" i="72" s="1"/>
  <c r="AE16" i="72"/>
  <c r="AE22" i="72" s="1"/>
  <c r="AE25" i="72" s="1"/>
  <c r="AF16" i="72"/>
  <c r="AF22" i="72" s="1"/>
  <c r="AF25" i="72" s="1"/>
  <c r="AG16" i="72"/>
  <c r="AG22" i="72" s="1"/>
  <c r="AG25" i="72" s="1"/>
  <c r="AH16" i="72"/>
  <c r="AH22" i="72" s="1"/>
  <c r="AH25" i="72" s="1"/>
  <c r="AI16" i="72"/>
  <c r="AI22" i="72" s="1"/>
  <c r="AI25" i="72" s="1"/>
  <c r="AJ16" i="72"/>
  <c r="AJ22" i="72" s="1"/>
  <c r="AJ25" i="72" s="1"/>
  <c r="AK16" i="72"/>
  <c r="AK22" i="72" s="1"/>
  <c r="B16" i="72"/>
  <c r="B22" i="72" s="1"/>
  <c r="B25" i="72" s="1"/>
  <c r="D29" i="72"/>
  <c r="E29" i="72"/>
  <c r="F29" i="72"/>
  <c r="G29" i="72"/>
  <c r="H29" i="72"/>
  <c r="I29" i="72"/>
  <c r="J29" i="72"/>
  <c r="K29" i="72"/>
  <c r="L29" i="72"/>
  <c r="M29" i="72"/>
  <c r="N29" i="72"/>
  <c r="O29" i="72"/>
  <c r="P29" i="72"/>
  <c r="Q29" i="72"/>
  <c r="R29" i="72"/>
  <c r="S29" i="72"/>
  <c r="T29" i="72"/>
  <c r="U29" i="72"/>
  <c r="V29" i="72"/>
  <c r="W29" i="72"/>
  <c r="X29" i="72"/>
  <c r="Y29" i="72"/>
  <c r="Z29" i="72"/>
  <c r="AA29" i="72"/>
  <c r="AB29" i="72"/>
  <c r="AC29" i="72"/>
  <c r="AD29" i="72"/>
  <c r="AE29" i="72"/>
  <c r="AF29" i="72"/>
  <c r="AG29" i="72"/>
  <c r="AH29" i="72"/>
  <c r="AI29" i="72"/>
  <c r="AJ29" i="72"/>
  <c r="AK29" i="72"/>
  <c r="C29" i="72"/>
  <c r="B29" i="72"/>
  <c r="AM15" i="72"/>
  <c r="L22" i="72"/>
  <c r="L25" i="72" s="1"/>
  <c r="AM23" i="72"/>
  <c r="F22" i="72" l="1"/>
  <c r="F25" i="72" s="1"/>
  <c r="U22" i="72"/>
  <c r="U25" i="72" s="1"/>
  <c r="D25" i="72"/>
  <c r="E160" i="37" l="1"/>
  <c r="D8" i="37"/>
  <c r="G8" i="37" a="1"/>
  <c r="G8" i="37" s="1"/>
  <c r="F31" i="41"/>
  <c r="D13" i="75" l="1"/>
  <c r="D12" i="75"/>
  <c r="D15" i="75" a="1"/>
  <c r="D15" i="75" s="1"/>
  <c r="E833" i="37"/>
  <c r="E835" i="37"/>
  <c r="K19" i="5"/>
  <c r="K16" i="5"/>
  <c r="K13" i="5"/>
  <c r="J16" i="5"/>
  <c r="P12" i="25" l="1"/>
  <c r="Z4" i="66" s="1"/>
  <c r="P13" i="25"/>
  <c r="Z5" i="66" s="1"/>
  <c r="P14" i="25"/>
  <c r="Z6" i="66" s="1"/>
  <c r="P15" i="25"/>
  <c r="Z7" i="66" s="1"/>
  <c r="P11" i="25"/>
  <c r="Z3" i="66" s="1"/>
  <c r="O12" i="25"/>
  <c r="Y4" i="66" s="1"/>
  <c r="O13" i="25"/>
  <c r="Y5" i="66" s="1"/>
  <c r="O14" i="25"/>
  <c r="Y6" i="66" s="1"/>
  <c r="O15" i="25"/>
  <c r="Y7" i="66" s="1"/>
  <c r="O11" i="25"/>
  <c r="Y3" i="66" s="1"/>
  <c r="L14" i="25"/>
  <c r="L15" i="25"/>
  <c r="K14" i="25"/>
  <c r="K15" i="25"/>
  <c r="J12" i="25"/>
  <c r="J13" i="25"/>
  <c r="J14" i="25"/>
  <c r="J15" i="25"/>
  <c r="K13" i="25"/>
  <c r="L13" i="25"/>
  <c r="L12" i="25"/>
  <c r="L11" i="25"/>
  <c r="K12" i="25"/>
  <c r="K11" i="25"/>
  <c r="J11" i="25"/>
  <c r="G13" i="36" l="1"/>
  <c r="B18" i="65" s="1"/>
  <c r="B5" i="61" l="1"/>
  <c r="G7" i="63" l="1"/>
  <c r="G17" i="63" s="1"/>
  <c r="F7" i="63"/>
  <c r="F17" i="63" s="1"/>
  <c r="M20" i="61" l="1"/>
  <c r="M28" i="61" s="1"/>
  <c r="K20" i="61"/>
  <c r="K35" i="61" s="1"/>
  <c r="J20" i="61"/>
  <c r="J31" i="61" s="1"/>
  <c r="I20" i="61"/>
  <c r="J35" i="61" l="1"/>
  <c r="J32" i="61"/>
  <c r="J38" i="61"/>
  <c r="J30" i="61"/>
  <c r="K36" i="61"/>
  <c r="K34" i="61"/>
  <c r="J28" i="61"/>
  <c r="J37" i="61"/>
  <c r="J29" i="61"/>
  <c r="K33" i="61"/>
  <c r="J36" i="61"/>
  <c r="K28" i="61"/>
  <c r="K32" i="61"/>
  <c r="K39" i="61"/>
  <c r="K31" i="61"/>
  <c r="J34" i="61"/>
  <c r="K38" i="61"/>
  <c r="K30" i="61"/>
  <c r="J33" i="61"/>
  <c r="K37" i="61"/>
  <c r="K29" i="61"/>
  <c r="J39" i="61"/>
  <c r="M30" i="61"/>
  <c r="F30" i="61" s="1"/>
  <c r="G30" i="61" s="1"/>
  <c r="M38" i="61"/>
  <c r="F38" i="61" s="1"/>
  <c r="G38" i="61" s="1"/>
  <c r="M31" i="61"/>
  <c r="F31" i="61" s="1"/>
  <c r="G31" i="61" s="1"/>
  <c r="M39" i="61"/>
  <c r="M32" i="61"/>
  <c r="F32" i="61" s="1"/>
  <c r="G32" i="61" s="1"/>
  <c r="M29" i="61"/>
  <c r="F29" i="61" s="1"/>
  <c r="G29" i="61" s="1"/>
  <c r="M33" i="61"/>
  <c r="F33" i="61" s="1"/>
  <c r="G33" i="61" s="1"/>
  <c r="M37" i="61"/>
  <c r="F37" i="61" s="1"/>
  <c r="G37" i="61" s="1"/>
  <c r="M34" i="61"/>
  <c r="F34" i="61" s="1"/>
  <c r="G34" i="61" s="1"/>
  <c r="M35" i="61"/>
  <c r="F35" i="61" s="1"/>
  <c r="G35" i="61" s="1"/>
  <c r="M36" i="61"/>
  <c r="F36" i="61" s="1"/>
  <c r="G36" i="61" s="1"/>
  <c r="O6" i="62"/>
  <c r="N6" i="62"/>
  <c r="M6" i="62"/>
  <c r="L6" i="62"/>
  <c r="K6" i="62"/>
  <c r="J6" i="62"/>
  <c r="I6" i="62"/>
  <c r="A3" i="66" l="1"/>
  <c r="A4" i="66"/>
  <c r="A5" i="66"/>
  <c r="A6" i="66"/>
  <c r="A7" i="66"/>
  <c r="C3" i="66"/>
  <c r="C4" i="66"/>
  <c r="C5" i="66"/>
  <c r="C6" i="66"/>
  <c r="C7" i="66"/>
  <c r="B3" i="66"/>
  <c r="B4" i="66"/>
  <c r="B5" i="66"/>
  <c r="B6" i="66"/>
  <c r="B7" i="66"/>
  <c r="C25" i="25" l="1"/>
  <c r="H6" i="62" s="1"/>
  <c r="B2" i="62"/>
  <c r="J9" i="63" l="1"/>
  <c r="J10" i="63"/>
  <c r="J11" i="63"/>
  <c r="J12" i="63"/>
  <c r="J13" i="63"/>
  <c r="J14" i="63"/>
  <c r="J15" i="63"/>
  <c r="J16" i="63"/>
  <c r="J17" i="63"/>
  <c r="J18" i="63"/>
  <c r="J19" i="63"/>
  <c r="J20" i="63"/>
  <c r="H8" i="50" l="1"/>
  <c r="J2" i="63" l="1"/>
  <c r="M2" i="62"/>
  <c r="F2" i="61"/>
  <c r="F2" i="29"/>
  <c r="H2" i="27"/>
  <c r="K2" i="50"/>
  <c r="B2" i="73" s="1"/>
  <c r="H2" i="30"/>
  <c r="G2" i="37"/>
  <c r="G2" i="46"/>
  <c r="F2" i="41"/>
  <c r="E2" i="5"/>
  <c r="B3" i="36"/>
  <c r="F2" i="42"/>
  <c r="D3" i="63"/>
  <c r="L27" i="63" s="1"/>
  <c r="C3" i="62"/>
  <c r="C3" i="61"/>
  <c r="E3" i="62" l="1"/>
  <c r="Y21" i="62"/>
  <c r="Q7" i="61"/>
  <c r="I7" i="61"/>
  <c r="K8" i="61" s="1"/>
  <c r="C7" i="61"/>
  <c r="U29" i="61" l="1"/>
  <c r="U30" i="61"/>
  <c r="U31" i="61"/>
  <c r="U32" i="61"/>
  <c r="U33" i="61"/>
  <c r="U34" i="61"/>
  <c r="U35" i="61"/>
  <c r="U36" i="61"/>
  <c r="U37" i="61"/>
  <c r="U38" i="61"/>
  <c r="U28" i="61"/>
  <c r="V28" i="61" l="1"/>
  <c r="V29" i="61"/>
  <c r="V30" i="61"/>
  <c r="V31" i="61"/>
  <c r="V32" i="61"/>
  <c r="V33" i="61"/>
  <c r="V34" i="61"/>
  <c r="V35" i="61"/>
  <c r="V36" i="61"/>
  <c r="V37" i="61"/>
  <c r="V38" i="61"/>
  <c r="V27" i="61"/>
  <c r="X28" i="61"/>
  <c r="X29" i="61"/>
  <c r="X30" i="61"/>
  <c r="X31" i="61"/>
  <c r="X32" i="61"/>
  <c r="X33" i="61"/>
  <c r="X34" i="61"/>
  <c r="X35" i="61"/>
  <c r="X36" i="61"/>
  <c r="X37" i="61"/>
  <c r="X38" i="61"/>
  <c r="X27" i="61"/>
  <c r="Q30" i="61"/>
  <c r="Q31" i="61"/>
  <c r="Q32" i="61"/>
  <c r="Q33" i="61"/>
  <c r="Q34" i="61"/>
  <c r="Q35" i="61"/>
  <c r="Q36" i="61"/>
  <c r="Q37" i="61"/>
  <c r="Q38" i="61"/>
  <c r="Q29" i="61"/>
  <c r="H9" i="50" l="1"/>
  <c r="H10" i="50"/>
  <c r="H11" i="50"/>
  <c r="H12" i="50"/>
  <c r="H13" i="50"/>
  <c r="H14" i="50"/>
  <c r="H15" i="50"/>
  <c r="H16" i="50"/>
  <c r="H17" i="50"/>
  <c r="H18" i="50"/>
  <c r="H19" i="50"/>
  <c r="H20" i="50"/>
  <c r="H21" i="50"/>
  <c r="H22" i="50"/>
  <c r="H23" i="50"/>
  <c r="H24" i="50"/>
  <c r="H25" i="50"/>
  <c r="H26" i="50"/>
  <c r="H27" i="50"/>
  <c r="H28" i="50"/>
  <c r="H30" i="50"/>
  <c r="H31" i="50"/>
  <c r="H32" i="50"/>
  <c r="H33" i="50"/>
  <c r="H34" i="50"/>
  <c r="H35" i="50"/>
  <c r="H36" i="50"/>
  <c r="H37" i="50"/>
  <c r="H38" i="50"/>
  <c r="H39" i="50"/>
  <c r="H40" i="50"/>
  <c r="H41" i="50"/>
  <c r="H42" i="50"/>
  <c r="H43" i="50"/>
  <c r="H44" i="50"/>
  <c r="H45" i="50"/>
  <c r="H46" i="50"/>
  <c r="H47" i="50"/>
  <c r="H48" i="50"/>
  <c r="H49" i="50"/>
  <c r="H50" i="50"/>
  <c r="H51" i="50"/>
  <c r="H52" i="50"/>
  <c r="H54" i="50"/>
  <c r="H55" i="50"/>
  <c r="H56" i="50"/>
  <c r="H57" i="50"/>
  <c r="H58" i="50"/>
  <c r="H59" i="50"/>
  <c r="H60" i="50"/>
  <c r="H61" i="50"/>
  <c r="H62" i="50"/>
  <c r="B9" i="50"/>
  <c r="B10" i="50"/>
  <c r="B11" i="50"/>
  <c r="B12" i="50"/>
  <c r="B13" i="50"/>
  <c r="B14" i="50"/>
  <c r="B15" i="50"/>
  <c r="B16" i="50"/>
  <c r="B17" i="50"/>
  <c r="B18" i="50"/>
  <c r="B19" i="50"/>
  <c r="B20" i="50"/>
  <c r="B21" i="50"/>
  <c r="B22" i="50"/>
  <c r="B23" i="50"/>
  <c r="B24" i="50"/>
  <c r="B25" i="50"/>
  <c r="B26" i="50"/>
  <c r="B27" i="50"/>
  <c r="B28" i="50"/>
  <c r="B30" i="50"/>
  <c r="B31" i="50"/>
  <c r="B32" i="50"/>
  <c r="B33" i="50"/>
  <c r="B34" i="50"/>
  <c r="B35" i="50"/>
  <c r="B36" i="50"/>
  <c r="B37" i="50"/>
  <c r="B38" i="50"/>
  <c r="B39" i="50"/>
  <c r="B40" i="50"/>
  <c r="B41" i="50"/>
  <c r="B42" i="50"/>
  <c r="B43" i="50"/>
  <c r="B44" i="50"/>
  <c r="B45" i="50"/>
  <c r="B46" i="50"/>
  <c r="B47" i="50"/>
  <c r="B48" i="50"/>
  <c r="B49" i="50"/>
  <c r="B50" i="50"/>
  <c r="B51" i="50"/>
  <c r="B52" i="50"/>
  <c r="B54" i="50"/>
  <c r="B55" i="50"/>
  <c r="B56" i="50"/>
  <c r="B57" i="50"/>
  <c r="B58" i="50"/>
  <c r="B59" i="50"/>
  <c r="B60" i="50"/>
  <c r="B61" i="50"/>
  <c r="B62" i="50"/>
  <c r="B8" i="50"/>
  <c r="I19" i="30"/>
  <c r="I20" i="30"/>
  <c r="I27" i="30"/>
  <c r="I29" i="30"/>
  <c r="I31" i="30"/>
  <c r="I32" i="30"/>
  <c r="I34" i="30"/>
  <c r="I37" i="30"/>
  <c r="I40" i="30"/>
  <c r="I41" i="30"/>
  <c r="I42" i="30"/>
  <c r="I44" i="30"/>
  <c r="I45" i="30"/>
  <c r="I46" i="30"/>
  <c r="I55" i="30"/>
  <c r="I57" i="30"/>
  <c r="DZ59" i="50" l="1"/>
  <c r="DZ46" i="50"/>
  <c r="DZ21" i="50"/>
  <c r="DZ57" i="50"/>
  <c r="DZ48" i="50"/>
  <c r="DZ33" i="50"/>
  <c r="DZ47" i="50"/>
  <c r="DZ39" i="50"/>
  <c r="DZ31" i="50"/>
  <c r="DZ22" i="50"/>
  <c r="DY44" i="50"/>
  <c r="DZ44" i="50"/>
  <c r="DY36" i="50"/>
  <c r="DZ36" i="50"/>
  <c r="DY43" i="50"/>
  <c r="DZ43" i="50"/>
  <c r="DW42" i="50"/>
  <c r="DZ42" i="50"/>
  <c r="DW34" i="50"/>
  <c r="DZ34" i="50"/>
  <c r="DY57" i="50"/>
  <c r="DW59" i="50"/>
  <c r="DY59" i="50"/>
  <c r="DY33" i="50"/>
  <c r="DY21" i="50"/>
  <c r="DW57" i="50"/>
  <c r="DW48" i="50"/>
  <c r="DW47" i="50"/>
  <c r="DW39" i="50"/>
  <c r="DW31" i="50"/>
  <c r="DW22" i="50"/>
  <c r="DW46" i="50"/>
  <c r="DW21" i="50"/>
  <c r="DV44" i="50"/>
  <c r="DW44" i="50"/>
  <c r="DV36" i="50"/>
  <c r="DW36" i="50"/>
  <c r="DV43" i="50"/>
  <c r="DW43" i="50"/>
  <c r="DW33" i="50"/>
  <c r="DV46" i="50"/>
  <c r="DV21" i="50"/>
  <c r="DV59" i="50"/>
  <c r="DV42" i="50"/>
  <c r="DV34" i="50"/>
  <c r="DV47" i="50"/>
  <c r="DV39" i="50"/>
  <c r="DV31" i="50"/>
  <c r="DV22" i="50"/>
  <c r="DV33" i="50"/>
  <c r="DV57" i="50"/>
  <c r="DV48" i="50"/>
  <c r="AA165" i="37"/>
  <c r="AA194" i="37"/>
  <c r="AA152" i="37"/>
  <c r="AA155" i="37"/>
  <c r="AA202" i="37"/>
  <c r="AA170" i="37"/>
  <c r="AA197" i="37"/>
  <c r="AA181" i="37"/>
  <c r="AA166" i="37"/>
  <c r="AA193" i="37"/>
  <c r="AA169" i="37"/>
  <c r="AA164" i="37"/>
  <c r="AA151" i="37"/>
  <c r="AA180" i="37"/>
  <c r="AA192" i="37"/>
  <c r="AA175" i="37"/>
  <c r="AA150" i="37"/>
  <c r="AA179" i="37"/>
  <c r="AA191" i="37"/>
  <c r="AA178" i="37"/>
  <c r="AA185" i="37"/>
  <c r="AA190" i="37"/>
  <c r="AA168" i="37"/>
  <c r="AA177" i="37"/>
  <c r="AA189" i="37"/>
  <c r="AA201" i="37"/>
  <c r="AA176" i="37"/>
  <c r="AA163" i="37"/>
  <c r="AA162" i="37"/>
  <c r="AA161" i="37"/>
  <c r="AA160" i="37"/>
  <c r="AA159" i="37"/>
  <c r="AA158" i="37"/>
  <c r="AA157" i="37"/>
  <c r="AA204" i="37"/>
  <c r="AA188" i="37"/>
  <c r="AA148" i="37"/>
  <c r="AA174" i="37"/>
  <c r="AA184" i="37"/>
  <c r="AA187" i="37"/>
  <c r="AA167" i="37"/>
  <c r="AA149" i="37"/>
  <c r="AA173" i="37"/>
  <c r="AA147" i="37"/>
  <c r="AA146" i="37"/>
  <c r="AA145" i="37"/>
  <c r="AA144" i="37"/>
  <c r="AA143" i="37"/>
  <c r="AA142" i="37"/>
  <c r="AA141" i="37"/>
  <c r="AA140" i="37"/>
  <c r="AA139" i="37"/>
  <c r="AA138" i="37"/>
  <c r="AA137" i="37"/>
  <c r="AA136" i="37"/>
  <c r="AA135" i="37"/>
  <c r="AA134" i="37"/>
  <c r="AA133" i="37"/>
  <c r="AA132" i="37"/>
  <c r="AA131" i="37"/>
  <c r="AA130" i="37"/>
  <c r="AA129" i="37"/>
  <c r="AA128" i="37"/>
  <c r="AA127" i="37"/>
  <c r="AA126" i="37"/>
  <c r="AA125" i="37"/>
  <c r="AA124" i="37"/>
  <c r="AA123" i="37"/>
  <c r="AA122" i="37"/>
  <c r="AA121" i="37"/>
  <c r="AA120" i="37"/>
  <c r="AA119" i="37"/>
  <c r="AA118" i="37"/>
  <c r="AA117" i="37"/>
  <c r="AA116" i="37"/>
  <c r="AA115" i="37"/>
  <c r="AA114" i="37"/>
  <c r="AA113" i="37"/>
  <c r="AA112" i="37"/>
  <c r="AA111" i="37"/>
  <c r="AA110" i="37"/>
  <c r="AA109" i="37"/>
  <c r="AA108" i="37"/>
  <c r="AA107" i="37"/>
  <c r="AA106" i="37"/>
  <c r="AA105" i="37"/>
  <c r="AA104" i="37"/>
  <c r="AA103" i="37"/>
  <c r="AA102" i="37"/>
  <c r="AA101" i="37"/>
  <c r="AA100" i="37"/>
  <c r="AA99" i="37"/>
  <c r="AA98" i="37"/>
  <c r="AA97" i="37"/>
  <c r="AA96" i="37"/>
  <c r="AA95" i="37"/>
  <c r="AA94" i="37"/>
  <c r="AA93" i="37"/>
  <c r="AA92" i="37"/>
  <c r="AA91" i="37"/>
  <c r="AA90" i="37"/>
  <c r="AA89" i="37"/>
  <c r="AA88" i="37"/>
  <c r="AA87" i="37"/>
  <c r="AA86" i="37"/>
  <c r="AA85" i="37"/>
  <c r="AA84" i="37"/>
  <c r="AA83" i="37"/>
  <c r="AA82" i="37"/>
  <c r="AA81" i="37"/>
  <c r="AA80" i="37"/>
  <c r="AA79" i="37"/>
  <c r="AA78" i="37"/>
  <c r="AA77" i="37"/>
  <c r="AA76" i="37"/>
  <c r="AA75" i="37"/>
  <c r="AA74" i="37"/>
  <c r="AA73" i="37"/>
  <c r="AA72" i="37"/>
  <c r="AA71" i="37"/>
  <c r="AA70" i="37"/>
  <c r="AA69" i="37"/>
  <c r="AA68" i="37"/>
  <c r="AA67" i="37"/>
  <c r="AA66" i="37"/>
  <c r="AA65" i="37"/>
  <c r="AA64" i="37"/>
  <c r="AA63" i="37"/>
  <c r="AA62" i="37"/>
  <c r="AA61" i="37"/>
  <c r="AA60" i="37"/>
  <c r="AA59" i="37"/>
  <c r="AA58" i="37"/>
  <c r="AA57" i="37"/>
  <c r="AA56" i="37"/>
  <c r="AA55" i="37"/>
  <c r="AA54" i="37"/>
  <c r="AA53" i="37"/>
  <c r="AA52" i="37"/>
  <c r="AA51" i="37"/>
  <c r="AA50" i="37"/>
  <c r="AA49" i="37"/>
  <c r="AA48" i="37"/>
  <c r="AA47" i="37"/>
  <c r="AA46" i="37"/>
  <c r="AA45" i="37"/>
  <c r="AA44" i="37"/>
  <c r="AA43" i="37"/>
  <c r="AA42" i="37"/>
  <c r="AA41" i="37"/>
  <c r="AA40" i="37"/>
  <c r="AA39" i="37"/>
  <c r="AA36" i="37"/>
  <c r="AA35" i="37"/>
  <c r="AA34" i="37"/>
  <c r="AA33" i="37"/>
  <c r="AA32" i="37"/>
  <c r="AA31" i="37"/>
  <c r="AA30" i="37"/>
  <c r="AA29" i="37"/>
  <c r="AA28" i="37"/>
  <c r="AA27" i="37"/>
  <c r="AA26" i="37"/>
  <c r="AA25" i="37"/>
  <c r="AA24" i="37"/>
  <c r="AA23" i="37"/>
  <c r="AA22" i="37"/>
  <c r="AA21" i="37"/>
  <c r="AA20" i="37"/>
  <c r="AA19" i="37"/>
  <c r="AA18" i="37"/>
  <c r="AA17" i="37"/>
  <c r="AA16" i="37"/>
  <c r="AA15" i="37"/>
  <c r="AA14" i="37"/>
  <c r="AA13" i="37"/>
  <c r="AD13" i="37"/>
  <c r="AD14" i="37"/>
  <c r="AD15" i="37"/>
  <c r="AD16" i="37"/>
  <c r="AD17" i="37"/>
  <c r="AD18" i="37"/>
  <c r="AD19" i="37"/>
  <c r="AD20" i="37"/>
  <c r="AD21" i="37"/>
  <c r="AD22" i="37"/>
  <c r="AD23" i="37"/>
  <c r="AD24" i="37"/>
  <c r="AD25" i="37"/>
  <c r="AD26" i="37"/>
  <c r="AD27" i="37"/>
  <c r="AD28" i="37"/>
  <c r="AD29" i="37"/>
  <c r="AD30" i="37"/>
  <c r="AD31" i="37"/>
  <c r="AD32" i="37"/>
  <c r="AD33" i="37"/>
  <c r="AD34" i="37"/>
  <c r="AD35" i="37"/>
  <c r="AD36" i="37"/>
  <c r="AD39" i="37"/>
  <c r="AD40" i="37"/>
  <c r="AD41" i="37"/>
  <c r="AD42" i="37"/>
  <c r="AD43" i="37"/>
  <c r="AD44" i="37"/>
  <c r="AD45" i="37"/>
  <c r="AD46" i="37"/>
  <c r="AD47" i="37"/>
  <c r="AD48" i="37"/>
  <c r="AD49" i="37"/>
  <c r="AD50" i="37"/>
  <c r="AD51" i="37"/>
  <c r="AD52" i="37"/>
  <c r="AD53" i="37"/>
  <c r="AD54" i="37"/>
  <c r="AD55" i="37"/>
  <c r="AD56" i="37"/>
  <c r="AD57" i="37"/>
  <c r="AD58" i="37"/>
  <c r="AD59" i="37"/>
  <c r="AD60" i="37"/>
  <c r="AD61" i="37"/>
  <c r="AD62" i="37"/>
  <c r="AD63" i="37"/>
  <c r="AD64" i="37"/>
  <c r="AD65" i="37"/>
  <c r="AD66" i="37"/>
  <c r="AD67" i="37"/>
  <c r="AD68" i="37"/>
  <c r="AD69" i="37"/>
  <c r="AD70" i="37"/>
  <c r="AD71" i="37"/>
  <c r="AD72" i="37"/>
  <c r="AD73" i="37"/>
  <c r="AD74" i="37"/>
  <c r="AD75" i="37"/>
  <c r="AD76" i="37"/>
  <c r="AD77" i="37"/>
  <c r="AD78" i="37"/>
  <c r="AD79" i="37"/>
  <c r="AD80" i="37"/>
  <c r="AD81" i="37"/>
  <c r="AD82" i="37"/>
  <c r="AD83" i="37"/>
  <c r="AD84" i="37"/>
  <c r="AD85" i="37"/>
  <c r="AD86" i="37"/>
  <c r="AD87" i="37"/>
  <c r="AD88" i="37"/>
  <c r="AD89" i="37"/>
  <c r="AD90" i="37"/>
  <c r="AD91" i="37"/>
  <c r="AD92" i="37"/>
  <c r="AD93" i="37"/>
  <c r="AD94" i="37"/>
  <c r="AD95" i="37"/>
  <c r="AD96" i="37"/>
  <c r="AD97" i="37"/>
  <c r="AD98" i="37"/>
  <c r="AD99" i="37"/>
  <c r="AD100" i="37"/>
  <c r="AD101" i="37"/>
  <c r="AD102" i="37"/>
  <c r="AD103" i="37"/>
  <c r="AD104" i="37"/>
  <c r="AD105" i="37"/>
  <c r="AD106" i="37"/>
  <c r="AD107" i="37"/>
  <c r="AD108" i="37"/>
  <c r="AD109" i="37"/>
  <c r="AD110" i="37"/>
  <c r="AD111" i="37"/>
  <c r="AD112" i="37"/>
  <c r="AD113" i="37"/>
  <c r="AD114" i="37"/>
  <c r="AD115" i="37"/>
  <c r="AD116" i="37"/>
  <c r="AD117" i="37"/>
  <c r="AD118" i="37"/>
  <c r="AD119" i="37"/>
  <c r="AD120" i="37"/>
  <c r="AD121" i="37"/>
  <c r="AD122" i="37"/>
  <c r="AD123" i="37"/>
  <c r="AD124" i="37"/>
  <c r="AD125" i="37"/>
  <c r="AD126" i="37"/>
  <c r="AD127" i="37"/>
  <c r="AD128" i="37"/>
  <c r="AD129" i="37"/>
  <c r="AD130" i="37"/>
  <c r="AD131" i="37"/>
  <c r="AD132" i="37"/>
  <c r="AD133" i="37"/>
  <c r="AD134" i="37"/>
  <c r="AD135" i="37"/>
  <c r="AD136" i="37"/>
  <c r="AD137" i="37"/>
  <c r="AD138" i="37"/>
  <c r="AD139" i="37"/>
  <c r="AD140" i="37"/>
  <c r="AD141" i="37"/>
  <c r="AD142" i="37"/>
  <c r="AD143" i="37"/>
  <c r="AD144" i="37"/>
  <c r="AD145" i="37"/>
  <c r="AD146" i="37"/>
  <c r="AD147" i="37"/>
  <c r="AD173" i="37"/>
  <c r="AD149" i="37"/>
  <c r="AD167" i="37"/>
  <c r="AD187" i="37"/>
  <c r="AD184" i="37"/>
  <c r="AD174" i="37"/>
  <c r="AD148" i="37"/>
  <c r="AD188" i="37"/>
  <c r="AD204" i="37"/>
  <c r="AD157" i="37"/>
  <c r="AD158" i="37"/>
  <c r="AD159" i="37"/>
  <c r="AD160" i="37"/>
  <c r="AD161" i="37"/>
  <c r="AD162" i="37"/>
  <c r="AD163" i="37"/>
  <c r="AD176" i="37"/>
  <c r="AD201" i="37"/>
  <c r="AD189" i="37"/>
  <c r="AD177" i="37"/>
  <c r="AD168" i="37"/>
  <c r="AD190" i="37"/>
  <c r="AD185" i="37"/>
  <c r="AD178" i="37"/>
  <c r="AD191" i="37"/>
  <c r="AD179" i="37"/>
  <c r="AD150" i="37"/>
  <c r="AD175" i="37"/>
  <c r="AD192" i="37"/>
  <c r="AD180" i="37"/>
  <c r="AD151" i="37"/>
  <c r="AD164" i="37"/>
  <c r="AD169" i="37"/>
  <c r="AD193" i="37"/>
  <c r="AD166" i="37"/>
  <c r="AD181" i="37"/>
  <c r="AD197" i="37"/>
  <c r="AD170" i="37"/>
  <c r="AD202" i="37"/>
  <c r="AD155" i="37"/>
  <c r="AD152" i="37"/>
  <c r="AD194" i="37"/>
  <c r="AD165" i="37"/>
  <c r="AD297" i="37"/>
  <c r="X13" i="37"/>
  <c r="X14" i="37"/>
  <c r="X15" i="37"/>
  <c r="X16" i="37"/>
  <c r="X17" i="37"/>
  <c r="X18" i="37"/>
  <c r="X19" i="37"/>
  <c r="X20" i="37"/>
  <c r="X21" i="37"/>
  <c r="X22" i="37"/>
  <c r="X23" i="37"/>
  <c r="X24" i="37"/>
  <c r="X25" i="37"/>
  <c r="X26" i="37"/>
  <c r="X27" i="37"/>
  <c r="X28" i="37"/>
  <c r="X29" i="37"/>
  <c r="X30" i="37"/>
  <c r="X31" i="37"/>
  <c r="X32" i="37"/>
  <c r="X33" i="37"/>
  <c r="X34" i="37"/>
  <c r="X35" i="37"/>
  <c r="X36" i="37"/>
  <c r="X39" i="37"/>
  <c r="X40" i="37"/>
  <c r="X41" i="37"/>
  <c r="X42" i="37"/>
  <c r="X43" i="37"/>
  <c r="X44" i="37"/>
  <c r="X45" i="37"/>
  <c r="X46" i="37"/>
  <c r="X47" i="37"/>
  <c r="X48" i="37"/>
  <c r="X49" i="37"/>
  <c r="X50" i="37"/>
  <c r="X51" i="37"/>
  <c r="X52" i="37"/>
  <c r="X53" i="37"/>
  <c r="X54" i="37"/>
  <c r="X55" i="37"/>
  <c r="X56" i="37"/>
  <c r="X57" i="37"/>
  <c r="X58" i="37"/>
  <c r="X59" i="37"/>
  <c r="X60" i="37"/>
  <c r="X61" i="37"/>
  <c r="X62" i="37"/>
  <c r="X63" i="37"/>
  <c r="X64" i="37"/>
  <c r="X65" i="37"/>
  <c r="X66" i="37"/>
  <c r="X67" i="37"/>
  <c r="X68" i="37"/>
  <c r="X69" i="37"/>
  <c r="X70" i="37"/>
  <c r="X71" i="37"/>
  <c r="X72" i="37"/>
  <c r="X73" i="37"/>
  <c r="X74" i="37"/>
  <c r="X75" i="37"/>
  <c r="X76" i="37"/>
  <c r="X77" i="37"/>
  <c r="X78" i="37"/>
  <c r="X79" i="37"/>
  <c r="X80" i="37"/>
  <c r="X81" i="37"/>
  <c r="X82" i="37"/>
  <c r="X83" i="37"/>
  <c r="X84" i="37"/>
  <c r="X85" i="37"/>
  <c r="X86" i="37"/>
  <c r="X87" i="37"/>
  <c r="X88" i="37"/>
  <c r="X89" i="37"/>
  <c r="X90" i="37"/>
  <c r="X91" i="37"/>
  <c r="X92" i="37"/>
  <c r="X93" i="37"/>
  <c r="X94" i="37"/>
  <c r="X95" i="37"/>
  <c r="X96" i="37"/>
  <c r="X97" i="37"/>
  <c r="X98" i="37"/>
  <c r="X99" i="37"/>
  <c r="X100" i="37"/>
  <c r="X101" i="37"/>
  <c r="X102" i="37"/>
  <c r="X103" i="37"/>
  <c r="X104" i="37"/>
  <c r="X105" i="37"/>
  <c r="X106" i="37"/>
  <c r="X107" i="37"/>
  <c r="X108" i="37"/>
  <c r="X109" i="37"/>
  <c r="X110" i="37"/>
  <c r="X111" i="37"/>
  <c r="X112" i="37"/>
  <c r="X113" i="37"/>
  <c r="X114" i="37"/>
  <c r="X115" i="37"/>
  <c r="X116" i="37"/>
  <c r="X117" i="37"/>
  <c r="X118" i="37"/>
  <c r="X119" i="37"/>
  <c r="X120" i="37"/>
  <c r="X121" i="37"/>
  <c r="X122" i="37"/>
  <c r="X123" i="37"/>
  <c r="X124" i="37"/>
  <c r="X125" i="37"/>
  <c r="X126" i="37"/>
  <c r="X127" i="37"/>
  <c r="X128" i="37"/>
  <c r="X129" i="37"/>
  <c r="X130" i="37"/>
  <c r="X131" i="37"/>
  <c r="X132" i="37"/>
  <c r="X133" i="37"/>
  <c r="X134" i="37"/>
  <c r="X135" i="37"/>
  <c r="X136" i="37"/>
  <c r="X137" i="37"/>
  <c r="X138" i="37"/>
  <c r="X139" i="37"/>
  <c r="X140" i="37"/>
  <c r="X141" i="37"/>
  <c r="X142" i="37"/>
  <c r="X143" i="37"/>
  <c r="X144" i="37"/>
  <c r="X145" i="37"/>
  <c r="X146" i="37"/>
  <c r="X147" i="37"/>
  <c r="X173" i="37"/>
  <c r="X149" i="37"/>
  <c r="X167" i="37"/>
  <c r="X187" i="37"/>
  <c r="X184" i="37"/>
  <c r="X174" i="37"/>
  <c r="X148" i="37"/>
  <c r="X188" i="37"/>
  <c r="X204" i="37"/>
  <c r="X157" i="37"/>
  <c r="X158" i="37"/>
  <c r="X159" i="37"/>
  <c r="X160" i="37"/>
  <c r="X161" i="37"/>
  <c r="X162" i="37"/>
  <c r="X163" i="37"/>
  <c r="X176" i="37"/>
  <c r="X201" i="37"/>
  <c r="X189" i="37"/>
  <c r="X177" i="37"/>
  <c r="X168" i="37"/>
  <c r="X190" i="37"/>
  <c r="X185" i="37"/>
  <c r="X178" i="37"/>
  <c r="X191" i="37"/>
  <c r="X179" i="37"/>
  <c r="X150" i="37"/>
  <c r="X175" i="37"/>
  <c r="X192" i="37"/>
  <c r="X180" i="37"/>
  <c r="X151" i="37"/>
  <c r="X164" i="37"/>
  <c r="X169" i="37"/>
  <c r="X193" i="37"/>
  <c r="X166" i="37"/>
  <c r="X181" i="37"/>
  <c r="X197" i="37"/>
  <c r="X170" i="37"/>
  <c r="X202" i="37"/>
  <c r="X155" i="37"/>
  <c r="X152" i="37"/>
  <c r="X194" i="37"/>
  <c r="X165" i="37"/>
  <c r="X297" i="37"/>
  <c r="H147" i="37"/>
  <c r="G297" i="37"/>
  <c r="H297" i="37" s="1"/>
  <c r="G165" i="37"/>
  <c r="H165" i="37" s="1"/>
  <c r="G194" i="37"/>
  <c r="H194" i="37" s="1"/>
  <c r="G152" i="37"/>
  <c r="H152" i="37" s="1"/>
  <c r="G155" i="37"/>
  <c r="H155" i="37" s="1"/>
  <c r="G202" i="37"/>
  <c r="H202" i="37" s="1"/>
  <c r="G170" i="37"/>
  <c r="H170" i="37" s="1"/>
  <c r="G197" i="37"/>
  <c r="H197" i="37" s="1"/>
  <c r="G181" i="37"/>
  <c r="H181" i="37" s="1"/>
  <c r="G166" i="37"/>
  <c r="H166" i="37" s="1"/>
  <c r="G193" i="37"/>
  <c r="H193" i="37" s="1"/>
  <c r="G169" i="37"/>
  <c r="H169" i="37" s="1"/>
  <c r="G164" i="37"/>
  <c r="H164" i="37" s="1"/>
  <c r="G151" i="37"/>
  <c r="H151" i="37" s="1"/>
  <c r="G180" i="37"/>
  <c r="H180" i="37" s="1"/>
  <c r="G192" i="37"/>
  <c r="H192" i="37" s="1"/>
  <c r="G175" i="37"/>
  <c r="H175" i="37" s="1"/>
  <c r="G150" i="37"/>
  <c r="H150" i="37" s="1"/>
  <c r="G179" i="37"/>
  <c r="H179" i="37" s="1"/>
  <c r="G191" i="37"/>
  <c r="H191" i="37" s="1"/>
  <c r="G178" i="37"/>
  <c r="H178" i="37" s="1"/>
  <c r="G185" i="37"/>
  <c r="H185" i="37" s="1"/>
  <c r="G190" i="37"/>
  <c r="H190" i="37" s="1"/>
  <c r="G168" i="37"/>
  <c r="H168" i="37" s="1"/>
  <c r="G177" i="37"/>
  <c r="H177" i="37" s="1"/>
  <c r="G189" i="37"/>
  <c r="H189" i="37" s="1"/>
  <c r="G201" i="37"/>
  <c r="H201" i="37" s="1"/>
  <c r="G176" i="37"/>
  <c r="H176" i="37" s="1"/>
  <c r="G163" i="37"/>
  <c r="H163" i="37" s="1"/>
  <c r="G162" i="37"/>
  <c r="H162" i="37" s="1"/>
  <c r="G161" i="37"/>
  <c r="H161" i="37" s="1"/>
  <c r="G160" i="37"/>
  <c r="H160" i="37" s="1"/>
  <c r="G159" i="37"/>
  <c r="H159" i="37" s="1"/>
  <c r="G158" i="37"/>
  <c r="H158" i="37" s="1"/>
  <c r="G157" i="37"/>
  <c r="H157" i="37" s="1"/>
  <c r="G204" i="37"/>
  <c r="H204" i="37" s="1"/>
  <c r="G188" i="37"/>
  <c r="H188" i="37" s="1"/>
  <c r="G148" i="37"/>
  <c r="H148" i="37" s="1"/>
  <c r="G174" i="37"/>
  <c r="H174" i="37" s="1"/>
  <c r="G184" i="37"/>
  <c r="H184" i="37" s="1"/>
  <c r="G187" i="37"/>
  <c r="H187" i="37" s="1"/>
  <c r="G167" i="37"/>
  <c r="H167" i="37" s="1"/>
  <c r="G149" i="37"/>
  <c r="H149" i="37" s="1"/>
  <c r="G173" i="37"/>
  <c r="H173" i="37" s="1"/>
  <c r="G147" i="37"/>
  <c r="G146" i="37"/>
  <c r="H146" i="37" s="1"/>
  <c r="G145" i="37"/>
  <c r="H145" i="37" s="1"/>
  <c r="G144" i="37"/>
  <c r="H144" i="37" s="1"/>
  <c r="G143" i="37"/>
  <c r="H143" i="37" s="1"/>
  <c r="G142" i="37"/>
  <c r="H142" i="37" s="1"/>
  <c r="G141" i="37"/>
  <c r="H141" i="37" s="1"/>
  <c r="G140" i="37"/>
  <c r="H140" i="37" s="1"/>
  <c r="G139" i="37"/>
  <c r="H139" i="37" s="1"/>
  <c r="G138" i="37"/>
  <c r="H138" i="37" s="1"/>
  <c r="G137" i="37"/>
  <c r="H137" i="37" s="1"/>
  <c r="G136" i="37"/>
  <c r="H136" i="37" s="1"/>
  <c r="G135" i="37"/>
  <c r="H135" i="37" s="1"/>
  <c r="G134" i="37"/>
  <c r="H134" i="37" s="1"/>
  <c r="G133" i="37"/>
  <c r="H133" i="37" s="1"/>
  <c r="G132" i="37"/>
  <c r="H132" i="37" s="1"/>
  <c r="G131" i="37"/>
  <c r="H131" i="37" s="1"/>
  <c r="G130" i="37"/>
  <c r="H130" i="37" s="1"/>
  <c r="G129" i="37"/>
  <c r="H129" i="37" s="1"/>
  <c r="G128" i="37"/>
  <c r="H128" i="37" s="1"/>
  <c r="G127" i="37"/>
  <c r="H127" i="37" s="1"/>
  <c r="G126" i="37"/>
  <c r="H126" i="37" s="1"/>
  <c r="G125" i="37"/>
  <c r="H125" i="37" s="1"/>
  <c r="G124" i="37"/>
  <c r="H124" i="37" s="1"/>
  <c r="G123" i="37"/>
  <c r="H123" i="37" s="1"/>
  <c r="G122" i="37"/>
  <c r="H122" i="37" s="1"/>
  <c r="G121" i="37"/>
  <c r="H121" i="37" s="1"/>
  <c r="G120" i="37"/>
  <c r="H120" i="37" s="1"/>
  <c r="G119" i="37"/>
  <c r="H119" i="37" s="1"/>
  <c r="G118" i="37"/>
  <c r="H118" i="37" s="1"/>
  <c r="G117" i="37"/>
  <c r="H117" i="37" s="1"/>
  <c r="G116" i="37"/>
  <c r="H116" i="37" s="1"/>
  <c r="G115" i="37"/>
  <c r="H115" i="37" s="1"/>
  <c r="G114" i="37"/>
  <c r="H114" i="37" s="1"/>
  <c r="G113" i="37"/>
  <c r="H113" i="37" s="1"/>
  <c r="G112" i="37"/>
  <c r="H112" i="37" s="1"/>
  <c r="G111" i="37"/>
  <c r="H111" i="37" s="1"/>
  <c r="G110" i="37"/>
  <c r="H110" i="37" s="1"/>
  <c r="G109" i="37"/>
  <c r="H109" i="37" s="1"/>
  <c r="G108" i="37"/>
  <c r="H108" i="37" s="1"/>
  <c r="G107" i="37"/>
  <c r="H107" i="37" s="1"/>
  <c r="G106" i="37"/>
  <c r="H106" i="37" s="1"/>
  <c r="G105" i="37"/>
  <c r="H105" i="37" s="1"/>
  <c r="G104" i="37"/>
  <c r="H104" i="37" s="1"/>
  <c r="G103" i="37"/>
  <c r="H103" i="37" s="1"/>
  <c r="G102" i="37"/>
  <c r="H102" i="37" s="1"/>
  <c r="G101" i="37"/>
  <c r="H101" i="37" s="1"/>
  <c r="G100" i="37"/>
  <c r="H100" i="37" s="1"/>
  <c r="G99" i="37"/>
  <c r="H99" i="37" s="1"/>
  <c r="G98" i="37"/>
  <c r="H98" i="37" s="1"/>
  <c r="G97" i="37"/>
  <c r="H97" i="37" s="1"/>
  <c r="G96" i="37"/>
  <c r="H96" i="37" s="1"/>
  <c r="G95" i="37"/>
  <c r="H95" i="37" s="1"/>
  <c r="G94" i="37"/>
  <c r="H94" i="37" s="1"/>
  <c r="G93" i="37"/>
  <c r="H93" i="37" s="1"/>
  <c r="G92" i="37"/>
  <c r="H92" i="37" s="1"/>
  <c r="G91" i="37"/>
  <c r="H91" i="37" s="1"/>
  <c r="G90" i="37"/>
  <c r="H90" i="37" s="1"/>
  <c r="G89" i="37"/>
  <c r="H89" i="37" s="1"/>
  <c r="G88" i="37"/>
  <c r="H88" i="37" s="1"/>
  <c r="G87" i="37"/>
  <c r="H87" i="37" s="1"/>
  <c r="G86" i="37"/>
  <c r="H86" i="37" s="1"/>
  <c r="G85" i="37"/>
  <c r="H85" i="37" s="1"/>
  <c r="G84" i="37"/>
  <c r="H84" i="37" s="1"/>
  <c r="G83" i="37"/>
  <c r="H83" i="37" s="1"/>
  <c r="G82" i="37"/>
  <c r="H82" i="37" s="1"/>
  <c r="G81" i="37"/>
  <c r="H81" i="37" s="1"/>
  <c r="G80" i="37"/>
  <c r="H80" i="37" s="1"/>
  <c r="G79" i="37"/>
  <c r="H79" i="37" s="1"/>
  <c r="G78" i="37"/>
  <c r="H78" i="37" s="1"/>
  <c r="G77" i="37"/>
  <c r="H77" i="37" s="1"/>
  <c r="G76" i="37"/>
  <c r="H76" i="37" s="1"/>
  <c r="G75" i="37"/>
  <c r="H75" i="37" s="1"/>
  <c r="G74" i="37"/>
  <c r="H74" i="37" s="1"/>
  <c r="G73" i="37"/>
  <c r="H73" i="37" s="1"/>
  <c r="G72" i="37"/>
  <c r="H72" i="37" s="1"/>
  <c r="G71" i="37"/>
  <c r="H71" i="37" s="1"/>
  <c r="G70" i="37"/>
  <c r="H70" i="37" s="1"/>
  <c r="G69" i="37"/>
  <c r="H69" i="37" s="1"/>
  <c r="G68" i="37"/>
  <c r="H68" i="37" s="1"/>
  <c r="G67" i="37"/>
  <c r="H67" i="37" s="1"/>
  <c r="G66" i="37"/>
  <c r="H66" i="37" s="1"/>
  <c r="G65" i="37"/>
  <c r="H65" i="37" s="1"/>
  <c r="G64" i="37"/>
  <c r="H64" i="37" s="1"/>
  <c r="G63" i="37"/>
  <c r="H63" i="37" s="1"/>
  <c r="G62" i="37"/>
  <c r="H62" i="37" s="1"/>
  <c r="G61" i="37"/>
  <c r="H61" i="37" s="1"/>
  <c r="G60" i="37"/>
  <c r="H60" i="37" s="1"/>
  <c r="G59" i="37"/>
  <c r="H59" i="37" s="1"/>
  <c r="G58" i="37"/>
  <c r="H58" i="37" s="1"/>
  <c r="G57" i="37"/>
  <c r="H57" i="37" s="1"/>
  <c r="G56" i="37"/>
  <c r="H56" i="37" s="1"/>
  <c r="G55" i="37"/>
  <c r="H55" i="37" s="1"/>
  <c r="G54" i="37"/>
  <c r="H54" i="37" s="1"/>
  <c r="G53" i="37"/>
  <c r="H53" i="37" s="1"/>
  <c r="G52" i="37"/>
  <c r="H52" i="37" s="1"/>
  <c r="G51" i="37"/>
  <c r="H51" i="37" s="1"/>
  <c r="G50" i="37"/>
  <c r="H50" i="37" s="1"/>
  <c r="G49" i="37"/>
  <c r="H49" i="37" s="1"/>
  <c r="G48" i="37"/>
  <c r="H48" i="37" s="1"/>
  <c r="G47" i="37"/>
  <c r="G46" i="37"/>
  <c r="H46" i="37" s="1"/>
  <c r="G45" i="37"/>
  <c r="H45" i="37" s="1"/>
  <c r="G44" i="37"/>
  <c r="H44" i="37" s="1"/>
  <c r="G43" i="37"/>
  <c r="H43" i="37" s="1"/>
  <c r="G42" i="37"/>
  <c r="H42" i="37" s="1"/>
  <c r="G41" i="37"/>
  <c r="H41" i="37" s="1"/>
  <c r="G40" i="37"/>
  <c r="H40" i="37" s="1"/>
  <c r="G39" i="37"/>
  <c r="H39" i="37" s="1"/>
  <c r="G36" i="37"/>
  <c r="H36" i="37" s="1"/>
  <c r="G35" i="37"/>
  <c r="H35" i="37" s="1"/>
  <c r="G34" i="37"/>
  <c r="H34" i="37" s="1"/>
  <c r="G33" i="37"/>
  <c r="H33" i="37" s="1"/>
  <c r="G32" i="37"/>
  <c r="H32" i="37" s="1"/>
  <c r="G31" i="37"/>
  <c r="H31" i="37" s="1"/>
  <c r="G30" i="37"/>
  <c r="H30" i="37" s="1"/>
  <c r="G29" i="37"/>
  <c r="H29" i="37" s="1"/>
  <c r="G28" i="37"/>
  <c r="H28" i="37" s="1"/>
  <c r="G27" i="37"/>
  <c r="H27" i="37" s="1"/>
  <c r="G26" i="37"/>
  <c r="H26" i="37" s="1"/>
  <c r="G25" i="37"/>
  <c r="H25" i="37" s="1"/>
  <c r="G24" i="37"/>
  <c r="H24" i="37" s="1"/>
  <c r="G23" i="37"/>
  <c r="H23" i="37" s="1"/>
  <c r="G22" i="37"/>
  <c r="H22" i="37" s="1"/>
  <c r="G21" i="37"/>
  <c r="H21" i="37" s="1"/>
  <c r="G20" i="37"/>
  <c r="H20" i="37" s="1"/>
  <c r="G19" i="37"/>
  <c r="H19" i="37" s="1"/>
  <c r="G18" i="37"/>
  <c r="H18" i="37" s="1"/>
  <c r="G17" i="37"/>
  <c r="H17" i="37" s="1"/>
  <c r="G16" i="37"/>
  <c r="H16" i="37" s="1"/>
  <c r="G15" i="37"/>
  <c r="H15" i="37" s="1"/>
  <c r="G14" i="37"/>
  <c r="H14" i="37" s="1"/>
  <c r="G13" i="37"/>
  <c r="G833" i="37" l="1"/>
  <c r="H13" i="37"/>
  <c r="I6" i="37"/>
  <c r="L6" i="37" s="1"/>
  <c r="H47" i="37"/>
  <c r="F8" i="37"/>
  <c r="D7" i="41"/>
  <c r="D8" i="41"/>
  <c r="D9" i="41"/>
  <c r="D10" i="41"/>
  <c r="D11" i="41"/>
  <c r="D12" i="41"/>
  <c r="D13" i="41"/>
  <c r="D14" i="41"/>
  <c r="D15" i="41"/>
  <c r="D16" i="41"/>
  <c r="D17" i="41"/>
  <c r="D18" i="41"/>
  <c r="D19" i="41"/>
  <c r="D20" i="41"/>
  <c r="D21" i="41"/>
  <c r="D22" i="41"/>
  <c r="D23" i="41"/>
  <c r="D24" i="41"/>
  <c r="D25" i="41"/>
  <c r="D26" i="41"/>
  <c r="D27" i="41"/>
  <c r="D28" i="41"/>
  <c r="D29" i="41"/>
  <c r="D30" i="41"/>
  <c r="D31" i="41"/>
  <c r="D32" i="41"/>
  <c r="D33" i="41"/>
  <c r="D34" i="41"/>
  <c r="D35" i="41"/>
  <c r="D36" i="41"/>
  <c r="D38" i="41"/>
  <c r="D39" i="41"/>
  <c r="D40" i="41"/>
  <c r="D41" i="41"/>
  <c r="D42" i="41"/>
  <c r="D43" i="41"/>
  <c r="D44" i="41"/>
  <c r="D45" i="41"/>
  <c r="D46" i="41"/>
  <c r="D47" i="41"/>
  <c r="D48" i="41"/>
  <c r="D49" i="41"/>
  <c r="D50" i="41"/>
  <c r="D51" i="41"/>
  <c r="D52" i="41"/>
  <c r="D53" i="41"/>
  <c r="D54" i="41"/>
  <c r="D55" i="41"/>
  <c r="D74" i="41"/>
  <c r="Q830" i="37" l="1"/>
  <c r="Q831" i="37"/>
  <c r="C157" i="46"/>
  <c r="K157" i="46" s="1"/>
  <c r="Q826" i="37"/>
  <c r="Q820" i="37"/>
  <c r="Q827" i="37"/>
  <c r="Q828" i="37"/>
  <c r="Q829" i="37"/>
  <c r="Q801" i="37"/>
  <c r="Q809" i="37"/>
  <c r="Q810" i="37"/>
  <c r="Q811" i="37"/>
  <c r="Q812" i="37"/>
  <c r="I109" i="41" s="1"/>
  <c r="I128" i="30"/>
  <c r="I129" i="30"/>
  <c r="C155" i="46"/>
  <c r="K155" i="46" s="1"/>
  <c r="Q817" i="37"/>
  <c r="Q823" i="37"/>
  <c r="C156" i="46"/>
  <c r="K156" i="46" s="1"/>
  <c r="Q822" i="37"/>
  <c r="Q806" i="37"/>
  <c r="Q824" i="37"/>
  <c r="C154" i="46"/>
  <c r="K154" i="46" s="1"/>
  <c r="Q815" i="37"/>
  <c r="Q819" i="37"/>
  <c r="Q825" i="37"/>
  <c r="Q821" i="37"/>
  <c r="Q805" i="37"/>
  <c r="Q818" i="37"/>
  <c r="Q807" i="37"/>
  <c r="Q814" i="37"/>
  <c r="Q800" i="37"/>
  <c r="Q804" i="37"/>
  <c r="Q808" i="37"/>
  <c r="Q813" i="37"/>
  <c r="Q816" i="37"/>
  <c r="Q802" i="37"/>
  <c r="Q803" i="37"/>
  <c r="I127" i="30"/>
  <c r="Q795" i="37"/>
  <c r="Q796" i="37"/>
  <c r="C151" i="46"/>
  <c r="K151" i="46" s="1"/>
  <c r="C152" i="46"/>
  <c r="K152" i="46" s="1"/>
  <c r="Q798" i="37"/>
  <c r="EC29" i="50" s="1"/>
  <c r="C153" i="46"/>
  <c r="K153" i="46" s="1"/>
  <c r="I126" i="30"/>
  <c r="Q797" i="37"/>
  <c r="Q799" i="37"/>
  <c r="Q792" i="37"/>
  <c r="Q793" i="37"/>
  <c r="Q794" i="37"/>
  <c r="Q789" i="37"/>
  <c r="Q788" i="37"/>
  <c r="Q787" i="37"/>
  <c r="Q786" i="37"/>
  <c r="C149" i="46"/>
  <c r="K149" i="46" s="1"/>
  <c r="C148" i="46"/>
  <c r="K148" i="46" s="1"/>
  <c r="Q785" i="37"/>
  <c r="I125" i="30"/>
  <c r="C150" i="46"/>
  <c r="K150" i="46" s="1"/>
  <c r="Q783" i="37"/>
  <c r="Q784" i="37"/>
  <c r="Q782" i="37"/>
  <c r="DX57" i="50" s="1"/>
  <c r="Q781" i="37"/>
  <c r="Q779" i="37"/>
  <c r="Q780" i="37"/>
  <c r="Q773" i="37"/>
  <c r="Q765" i="37"/>
  <c r="DV74" i="50" s="1"/>
  <c r="Q763" i="37"/>
  <c r="Q778" i="37"/>
  <c r="Q774" i="37"/>
  <c r="Q769" i="37"/>
  <c r="Q776" i="37"/>
  <c r="Q770" i="37"/>
  <c r="Q766" i="37"/>
  <c r="Q777" i="37"/>
  <c r="Q775" i="37"/>
  <c r="Q771" i="37"/>
  <c r="Q768" i="37"/>
  <c r="Q767" i="37"/>
  <c r="C146" i="46"/>
  <c r="K146" i="46" s="1"/>
  <c r="Q772" i="37"/>
  <c r="C147" i="46"/>
  <c r="K147" i="46" s="1"/>
  <c r="Q762" i="37"/>
  <c r="Q758" i="37"/>
  <c r="Q759" i="37"/>
  <c r="Q760" i="37"/>
  <c r="Q761" i="37"/>
  <c r="Q757" i="37"/>
  <c r="Q756" i="37"/>
  <c r="C141" i="46"/>
  <c r="K141" i="46" s="1"/>
  <c r="C145" i="46"/>
  <c r="K145" i="46" s="1"/>
  <c r="C139" i="46"/>
  <c r="K139" i="46" s="1"/>
  <c r="C140" i="46"/>
  <c r="K140" i="46" s="1"/>
  <c r="C142" i="46"/>
  <c r="K142" i="46" s="1"/>
  <c r="C144" i="46"/>
  <c r="K144" i="46" s="1"/>
  <c r="C143" i="46"/>
  <c r="K143" i="46" s="1"/>
  <c r="Q764" i="37"/>
  <c r="EC126" i="50" s="1"/>
  <c r="Q755" i="37"/>
  <c r="Q750" i="37"/>
  <c r="Q754" i="37"/>
  <c r="C137" i="46"/>
  <c r="K137" i="46" s="1"/>
  <c r="C138" i="46"/>
  <c r="K138" i="46" s="1"/>
  <c r="I124" i="30"/>
  <c r="Q749" i="37"/>
  <c r="I33" i="30"/>
  <c r="C136" i="46"/>
  <c r="K136" i="46" s="1"/>
  <c r="C135" i="46"/>
  <c r="K135" i="46" s="1"/>
  <c r="C134" i="46"/>
  <c r="K134" i="46" s="1"/>
  <c r="Q747" i="37"/>
  <c r="C130" i="46"/>
  <c r="K130" i="46" s="1"/>
  <c r="C133" i="46"/>
  <c r="K133" i="46" s="1"/>
  <c r="Q748" i="37"/>
  <c r="C132" i="46"/>
  <c r="K132" i="46" s="1"/>
  <c r="Q740" i="37"/>
  <c r="C129" i="46"/>
  <c r="K129" i="46" s="1"/>
  <c r="C131" i="46"/>
  <c r="K131" i="46" s="1"/>
  <c r="Q744" i="37"/>
  <c r="C128" i="46"/>
  <c r="K128" i="46" s="1"/>
  <c r="Q746" i="37"/>
  <c r="Q745" i="37"/>
  <c r="C127" i="46"/>
  <c r="K127" i="46" s="1"/>
  <c r="Q739" i="37"/>
  <c r="Q731" i="37"/>
  <c r="Q738" i="37"/>
  <c r="Q735" i="37"/>
  <c r="Q736" i="37"/>
  <c r="Q729" i="37"/>
  <c r="Q728" i="37"/>
  <c r="Q737" i="37"/>
  <c r="Q730" i="37"/>
  <c r="C125" i="46"/>
  <c r="K125" i="46" s="1"/>
  <c r="C126" i="46"/>
  <c r="K126" i="46" s="1"/>
  <c r="Q695" i="37"/>
  <c r="Q687" i="37"/>
  <c r="K123" i="30"/>
  <c r="M123" i="30" s="1"/>
  <c r="O123" i="30" s="1"/>
  <c r="Q725" i="37"/>
  <c r="Q724" i="37"/>
  <c r="Q726" i="37"/>
  <c r="Q723" i="37"/>
  <c r="I122" i="30"/>
  <c r="Q751" i="37"/>
  <c r="EC118" i="50" s="1"/>
  <c r="Q752" i="37"/>
  <c r="Q753" i="37"/>
  <c r="EC117" i="50" s="1"/>
  <c r="Q743" i="37"/>
  <c r="EC119" i="50" s="1"/>
  <c r="I120" i="30"/>
  <c r="I118" i="30"/>
  <c r="I119" i="30"/>
  <c r="I116" i="30"/>
  <c r="I115" i="30"/>
  <c r="I117" i="30"/>
  <c r="K114" i="30"/>
  <c r="I114" i="30"/>
  <c r="I121" i="30"/>
  <c r="Q727" i="37"/>
  <c r="Q712" i="37"/>
  <c r="Q720" i="37"/>
  <c r="Q709" i="37"/>
  <c r="Q710" i="37"/>
  <c r="Q708" i="37"/>
  <c r="I113" i="30"/>
  <c r="Q716" i="37"/>
  <c r="Q718" i="37"/>
  <c r="Q719" i="37"/>
  <c r="Q717" i="37"/>
  <c r="Q688" i="37"/>
  <c r="Q696" i="37"/>
  <c r="I110" i="30"/>
  <c r="I111" i="30"/>
  <c r="I107" i="30"/>
  <c r="I108" i="30"/>
  <c r="I112" i="30"/>
  <c r="I109" i="30"/>
  <c r="Q741" i="37"/>
  <c r="Q722" i="37"/>
  <c r="Q734" i="37"/>
  <c r="Q711" i="37"/>
  <c r="Q713" i="37"/>
  <c r="Q790" i="37"/>
  <c r="DZ113" i="50" s="1"/>
  <c r="C124" i="46"/>
  <c r="K124" i="46" s="1"/>
  <c r="Q694" i="37"/>
  <c r="Q693" i="37"/>
  <c r="Q685" i="37"/>
  <c r="Q691" i="37"/>
  <c r="Q690" i="37"/>
  <c r="Q686" i="37"/>
  <c r="Q702" i="37"/>
  <c r="Q683" i="37"/>
  <c r="Q701" i="37"/>
  <c r="Q698" i="37"/>
  <c r="Q682" i="37"/>
  <c r="Q692" i="37"/>
  <c r="Q699" i="37"/>
  <c r="Q700" i="37"/>
  <c r="Q706" i="37"/>
  <c r="EC103" i="50" s="1"/>
  <c r="Q697" i="37"/>
  <c r="Q681" i="37"/>
  <c r="Q689" i="37"/>
  <c r="Q707" i="37"/>
  <c r="EC94" i="50" s="1"/>
  <c r="Q680" i="37"/>
  <c r="Q684" i="37"/>
  <c r="C122" i="46"/>
  <c r="K122" i="46" s="1"/>
  <c r="I104" i="30"/>
  <c r="I105" i="30"/>
  <c r="I106" i="30"/>
  <c r="I103" i="30"/>
  <c r="C120" i="46"/>
  <c r="K120" i="46" s="1"/>
  <c r="C121" i="46"/>
  <c r="K121" i="46" s="1"/>
  <c r="C123" i="46"/>
  <c r="K123" i="46" s="1"/>
  <c r="Q721" i="37"/>
  <c r="Q742" i="37"/>
  <c r="Q703" i="37"/>
  <c r="Q679" i="37"/>
  <c r="Q733" i="37"/>
  <c r="DZ105" i="50" s="1"/>
  <c r="Q678" i="37"/>
  <c r="Q715" i="37"/>
  <c r="Q677" i="37"/>
  <c r="Q668" i="37"/>
  <c r="Q669" i="37"/>
  <c r="Q670" i="37"/>
  <c r="Q671" i="37"/>
  <c r="Q667" i="37"/>
  <c r="Q672" i="37"/>
  <c r="Q673" i="37"/>
  <c r="Q674" i="37"/>
  <c r="Q675" i="37"/>
  <c r="Q676" i="37"/>
  <c r="C119" i="46"/>
  <c r="K119" i="46" s="1"/>
  <c r="Q705" i="37"/>
  <c r="Q665" i="37"/>
  <c r="Q663" i="37"/>
  <c r="Q666" i="37"/>
  <c r="I102" i="30"/>
  <c r="Q662" i="37"/>
  <c r="Q664" i="37"/>
  <c r="C112" i="46"/>
  <c r="K112" i="46" s="1"/>
  <c r="C111" i="46"/>
  <c r="K111" i="46" s="1"/>
  <c r="C113" i="46"/>
  <c r="K113" i="46" s="1"/>
  <c r="C118" i="46"/>
  <c r="K118" i="46" s="1"/>
  <c r="C114" i="46"/>
  <c r="K114" i="46" s="1"/>
  <c r="C115" i="46"/>
  <c r="K115" i="46" s="1"/>
  <c r="C116" i="46"/>
  <c r="K116" i="46" s="1"/>
  <c r="C110" i="46"/>
  <c r="K110" i="46" s="1"/>
  <c r="C117" i="46"/>
  <c r="K117" i="46" s="1"/>
  <c r="Q661" i="37"/>
  <c r="Q659" i="37"/>
  <c r="Q660" i="37"/>
  <c r="I101" i="30"/>
  <c r="Q658" i="37"/>
  <c r="Q657" i="37"/>
  <c r="Q704" i="37"/>
  <c r="Q791" i="37"/>
  <c r="Q656" i="37"/>
  <c r="Q652" i="37"/>
  <c r="Q654" i="37"/>
  <c r="EC102" i="50" s="1"/>
  <c r="Q651" i="37"/>
  <c r="Q655" i="37"/>
  <c r="Q653" i="37"/>
  <c r="Q649" i="37"/>
  <c r="Q650" i="37"/>
  <c r="Q648" i="37"/>
  <c r="I100" i="30"/>
  <c r="Q645" i="37"/>
  <c r="Q646" i="37"/>
  <c r="Q647" i="37"/>
  <c r="Q643" i="37"/>
  <c r="Q642" i="37"/>
  <c r="Q636" i="37"/>
  <c r="Q641" i="37"/>
  <c r="EC86" i="50" s="1"/>
  <c r="Q637" i="37"/>
  <c r="Q732" i="37"/>
  <c r="Q644" i="37"/>
  <c r="Q639" i="37"/>
  <c r="Q640" i="37"/>
  <c r="C109" i="46"/>
  <c r="K109" i="46" s="1"/>
  <c r="Q638" i="37"/>
  <c r="Q635" i="37"/>
  <c r="I99" i="30"/>
  <c r="I96" i="30"/>
  <c r="I98" i="30"/>
  <c r="C107" i="46"/>
  <c r="K107" i="46" s="1"/>
  <c r="C106" i="46"/>
  <c r="K106" i="46" s="1"/>
  <c r="C108" i="46"/>
  <c r="K108" i="46" s="1"/>
  <c r="I85" i="30"/>
  <c r="I95" i="30"/>
  <c r="I30" i="30"/>
  <c r="Q624" i="37"/>
  <c r="Q616" i="37"/>
  <c r="Q633" i="37"/>
  <c r="Q627" i="37"/>
  <c r="Q622" i="37"/>
  <c r="Q625" i="37"/>
  <c r="Q630" i="37"/>
  <c r="Q634" i="37"/>
  <c r="Q629" i="37"/>
  <c r="Q615" i="37"/>
  <c r="Q628" i="37"/>
  <c r="Q623" i="37"/>
  <c r="Q619" i="37"/>
  <c r="Q632" i="37"/>
  <c r="Q631" i="37"/>
  <c r="Q626" i="37"/>
  <c r="C101" i="46"/>
  <c r="K101" i="46" s="1"/>
  <c r="C102" i="46"/>
  <c r="K102" i="46" s="1"/>
  <c r="C103" i="46"/>
  <c r="K103" i="46" s="1"/>
  <c r="C104" i="46"/>
  <c r="K104" i="46" s="1"/>
  <c r="C105" i="46"/>
  <c r="K105" i="46" s="1"/>
  <c r="Q611" i="37"/>
  <c r="Q621" i="37"/>
  <c r="EC101" i="50" s="1"/>
  <c r="Q618" i="37"/>
  <c r="Q620" i="37"/>
  <c r="Q617" i="37"/>
  <c r="Q614" i="37"/>
  <c r="Q612" i="37"/>
  <c r="Q613" i="37"/>
  <c r="Q610" i="37"/>
  <c r="Q609" i="37"/>
  <c r="Q714" i="37"/>
  <c r="I83" i="30"/>
  <c r="C98" i="46"/>
  <c r="K98" i="46" s="1"/>
  <c r="C96" i="46"/>
  <c r="K96" i="46" s="1"/>
  <c r="C97" i="46"/>
  <c r="K97" i="46" s="1"/>
  <c r="Q601" i="37"/>
  <c r="Q603" i="37"/>
  <c r="Q598" i="37"/>
  <c r="Q599" i="37"/>
  <c r="Q607" i="37"/>
  <c r="Q602" i="37"/>
  <c r="Q608" i="37"/>
  <c r="Q597" i="37"/>
  <c r="Q589" i="37"/>
  <c r="Q600" i="37"/>
  <c r="Q604" i="37"/>
  <c r="Q591" i="37"/>
  <c r="Q596" i="37"/>
  <c r="Q590" i="37"/>
  <c r="Q595" i="37"/>
  <c r="Q592" i="37"/>
  <c r="Q593" i="37"/>
  <c r="Q594" i="37"/>
  <c r="Q605" i="37"/>
  <c r="Q606" i="37"/>
  <c r="Q588" i="37"/>
  <c r="Q583" i="37"/>
  <c r="Q580" i="37"/>
  <c r="Q581" i="37"/>
  <c r="Q584" i="37"/>
  <c r="Q585" i="37"/>
  <c r="Q587" i="37"/>
  <c r="Q586" i="37"/>
  <c r="Q582" i="37"/>
  <c r="I92" i="30"/>
  <c r="Q576" i="37"/>
  <c r="Q570" i="37"/>
  <c r="Q575" i="37"/>
  <c r="Q567" i="37"/>
  <c r="Q561" i="37"/>
  <c r="Q572" i="37"/>
  <c r="DZ91" i="50" s="1"/>
  <c r="Q578" i="37"/>
  <c r="Q573" i="37"/>
  <c r="Q571" i="37"/>
  <c r="Q569" i="37"/>
  <c r="Q577" i="37"/>
  <c r="C92" i="46"/>
  <c r="K92" i="46" s="1"/>
  <c r="I89" i="30"/>
  <c r="C93" i="46"/>
  <c r="K93" i="46" s="1"/>
  <c r="Q574" i="37"/>
  <c r="Q579" i="37"/>
  <c r="Q568" i="37"/>
  <c r="C94" i="46"/>
  <c r="K94" i="46" s="1"/>
  <c r="C99" i="46"/>
  <c r="K99" i="46" s="1"/>
  <c r="C95" i="46"/>
  <c r="K95" i="46" s="1"/>
  <c r="I97" i="30"/>
  <c r="Q558" i="37"/>
  <c r="Q563" i="37"/>
  <c r="Q566" i="37"/>
  <c r="Q562" i="37"/>
  <c r="Q564" i="37"/>
  <c r="Q565" i="37"/>
  <c r="Q560" i="37"/>
  <c r="I94" i="30"/>
  <c r="I93" i="30"/>
  <c r="Q557" i="37"/>
  <c r="Q554" i="37"/>
  <c r="Q555" i="37"/>
  <c r="Q556" i="37"/>
  <c r="C91" i="46"/>
  <c r="K91" i="46" s="1"/>
  <c r="K100" i="46"/>
  <c r="C90" i="46"/>
  <c r="K90" i="46" s="1"/>
  <c r="Q546" i="37"/>
  <c r="Q552" i="37"/>
  <c r="Q553" i="37"/>
  <c r="Q547" i="37"/>
  <c r="Q548" i="37"/>
  <c r="Q543" i="37"/>
  <c r="Q544" i="37"/>
  <c r="Q551" i="37"/>
  <c r="Q542" i="37"/>
  <c r="Q545" i="37"/>
  <c r="Q550" i="37"/>
  <c r="Q549" i="37"/>
  <c r="I91" i="30"/>
  <c r="Q511" i="37"/>
  <c r="Q514" i="37"/>
  <c r="Q505" i="37"/>
  <c r="Q524" i="37"/>
  <c r="Q520" i="37"/>
  <c r="Q510" i="37"/>
  <c r="Q517" i="37"/>
  <c r="Q515" i="37"/>
  <c r="Q522" i="37"/>
  <c r="Q513" i="37"/>
  <c r="Q507" i="37"/>
  <c r="Q525" i="37"/>
  <c r="Q521" i="37"/>
  <c r="Q504" i="37"/>
  <c r="Q518" i="37"/>
  <c r="Q508" i="37"/>
  <c r="Q531" i="37"/>
  <c r="Q530" i="37"/>
  <c r="Q536" i="37"/>
  <c r="Q535" i="37"/>
  <c r="Q532" i="37"/>
  <c r="Q537" i="37"/>
  <c r="Q533" i="37"/>
  <c r="Q538" i="37"/>
  <c r="Q534" i="37"/>
  <c r="Q539" i="37"/>
  <c r="Q540" i="37"/>
  <c r="Q541" i="37"/>
  <c r="I90" i="30"/>
  <c r="Q506" i="37"/>
  <c r="Q526" i="37"/>
  <c r="Q509" i="37"/>
  <c r="Q512" i="37"/>
  <c r="Q529" i="37"/>
  <c r="Q516" i="37"/>
  <c r="Q527" i="37"/>
  <c r="Q519" i="37"/>
  <c r="Q528" i="37"/>
  <c r="Q523" i="37"/>
  <c r="Q503" i="37"/>
  <c r="I84" i="30"/>
  <c r="Q490" i="37"/>
  <c r="Q491" i="37"/>
  <c r="Q498" i="37"/>
  <c r="Q487" i="37"/>
  <c r="Q485" i="37"/>
  <c r="Q486" i="37"/>
  <c r="Q488" i="37"/>
  <c r="Q502" i="37"/>
  <c r="Q489" i="37"/>
  <c r="Q496" i="37"/>
  <c r="Q499" i="37"/>
  <c r="Q492" i="37"/>
  <c r="Q495" i="37"/>
  <c r="Q493" i="37"/>
  <c r="Q500" i="37"/>
  <c r="Q494" i="37"/>
  <c r="Q501" i="37"/>
  <c r="Q480" i="37"/>
  <c r="Q482" i="37"/>
  <c r="Q477" i="37"/>
  <c r="Q478" i="37"/>
  <c r="Q475" i="37"/>
  <c r="Q474" i="37"/>
  <c r="Q484" i="37"/>
  <c r="Q483" i="37"/>
  <c r="Q479" i="37"/>
  <c r="Q481" i="37"/>
  <c r="Q476" i="37"/>
  <c r="I88" i="30"/>
  <c r="Q473" i="37"/>
  <c r="Q472" i="37"/>
  <c r="Q470" i="37"/>
  <c r="Q471" i="37"/>
  <c r="Q466" i="37"/>
  <c r="Q467" i="37"/>
  <c r="Q468" i="37"/>
  <c r="Q469" i="37"/>
  <c r="EC84" i="50" s="1"/>
  <c r="Q463" i="37"/>
  <c r="Q464" i="37"/>
  <c r="Q458" i="37"/>
  <c r="Q454" i="37"/>
  <c r="Q460" i="37"/>
  <c r="Q451" i="37"/>
  <c r="Q459" i="37"/>
  <c r="Q453" i="37"/>
  <c r="Q452" i="37"/>
  <c r="Q456" i="37"/>
  <c r="Q461" i="37"/>
  <c r="Q455" i="37"/>
  <c r="Q462" i="37"/>
  <c r="Q457" i="37"/>
  <c r="DZ89" i="50" s="1"/>
  <c r="I86" i="30"/>
  <c r="I87" i="30"/>
  <c r="Q465" i="37"/>
  <c r="Q449" i="37"/>
  <c r="Q450" i="37"/>
  <c r="Q448" i="37"/>
  <c r="Q447" i="37"/>
  <c r="Q446" i="37"/>
  <c r="I82" i="30"/>
  <c r="C86" i="46"/>
  <c r="K86" i="46" s="1"/>
  <c r="C87" i="46"/>
  <c r="K87" i="46" s="1"/>
  <c r="Q442" i="37"/>
  <c r="Q443" i="37"/>
  <c r="Q440" i="37"/>
  <c r="Q439" i="37"/>
  <c r="DZ83" i="50" s="1"/>
  <c r="Q441" i="37"/>
  <c r="Q444" i="37"/>
  <c r="Q445" i="37"/>
  <c r="I81" i="30"/>
  <c r="Q437" i="37"/>
  <c r="Q438" i="37"/>
  <c r="Q435" i="37"/>
  <c r="Q436" i="37"/>
  <c r="Q431" i="37"/>
  <c r="Q432" i="37"/>
  <c r="Q434" i="37"/>
  <c r="Q433" i="37"/>
  <c r="Q427" i="37"/>
  <c r="Q426" i="37"/>
  <c r="Q428" i="37"/>
  <c r="Q425" i="37"/>
  <c r="Q430" i="37"/>
  <c r="Q429" i="37"/>
  <c r="Q422" i="37"/>
  <c r="Q423" i="37"/>
  <c r="Q424" i="37"/>
  <c r="Q421" i="37"/>
  <c r="Q419" i="37"/>
  <c r="Q413" i="37"/>
  <c r="Q416" i="37"/>
  <c r="Q417" i="37"/>
  <c r="Q414" i="37"/>
  <c r="Q418" i="37"/>
  <c r="Q415" i="37"/>
  <c r="Q409" i="37"/>
  <c r="Q410" i="37"/>
  <c r="Q420" i="37"/>
  <c r="Q411" i="37"/>
  <c r="C83" i="46"/>
  <c r="K83" i="46" s="1"/>
  <c r="C84" i="46"/>
  <c r="K84" i="46" s="1"/>
  <c r="C85" i="46"/>
  <c r="K85" i="46" s="1"/>
  <c r="Q412" i="37"/>
  <c r="Q559" i="37"/>
  <c r="Q407" i="37"/>
  <c r="Q408" i="37"/>
  <c r="Q405" i="37"/>
  <c r="Q404" i="37"/>
  <c r="Q406" i="37"/>
  <c r="Q400" i="37"/>
  <c r="Q401" i="37"/>
  <c r="Q399" i="37"/>
  <c r="Q402" i="37"/>
  <c r="Q403" i="37"/>
  <c r="Q397" i="37"/>
  <c r="Q398" i="37"/>
  <c r="I80" i="30"/>
  <c r="Q396" i="37"/>
  <c r="Q395" i="37"/>
  <c r="Q394" i="37"/>
  <c r="Q388" i="37"/>
  <c r="Q390" i="37"/>
  <c r="EC20" i="50" s="1"/>
  <c r="Q392" i="37"/>
  <c r="Q391" i="37"/>
  <c r="Q393" i="37"/>
  <c r="Q389" i="37"/>
  <c r="Q386" i="37"/>
  <c r="Q387" i="37"/>
  <c r="Q383" i="37"/>
  <c r="Q384" i="37"/>
  <c r="Q385" i="37"/>
  <c r="Q381" i="37"/>
  <c r="Q382" i="37"/>
  <c r="Q377" i="37"/>
  <c r="Q379" i="37"/>
  <c r="Q376" i="37"/>
  <c r="Q378" i="37"/>
  <c r="Q380" i="37"/>
  <c r="I79" i="30"/>
  <c r="I22" i="30"/>
  <c r="I76" i="30"/>
  <c r="Q374" i="37"/>
  <c r="Q373" i="37"/>
  <c r="EC78" i="50" s="1"/>
  <c r="Q372" i="37"/>
  <c r="Q369" i="37"/>
  <c r="Q375" i="37"/>
  <c r="Q370" i="37"/>
  <c r="Q371" i="37"/>
  <c r="I77" i="30"/>
  <c r="I78" i="30"/>
  <c r="I75" i="30"/>
  <c r="I74" i="30"/>
  <c r="I72" i="30"/>
  <c r="I73" i="30"/>
  <c r="Q366" i="37"/>
  <c r="Q365" i="37"/>
  <c r="Q367" i="37"/>
  <c r="Q368" i="37"/>
  <c r="Q364" i="37"/>
  <c r="Q363" i="37"/>
  <c r="Q362" i="37"/>
  <c r="Q497" i="37"/>
  <c r="Q358" i="37"/>
  <c r="Q338" i="37"/>
  <c r="Q337" i="37"/>
  <c r="Q339" i="37"/>
  <c r="I71" i="30"/>
  <c r="Q348" i="37"/>
  <c r="Q347" i="37"/>
  <c r="Q349" i="37"/>
  <c r="Q357" i="37"/>
  <c r="Q345" i="37"/>
  <c r="Q343" i="37"/>
  <c r="Q351" i="37"/>
  <c r="Q355" i="37"/>
  <c r="Q353" i="37"/>
  <c r="Q356" i="37"/>
  <c r="Q342" i="37"/>
  <c r="Q359" i="37"/>
  <c r="Q334" i="37"/>
  <c r="Q352" i="37"/>
  <c r="Q360" i="37"/>
  <c r="Q335" i="37"/>
  <c r="Q361" i="37"/>
  <c r="Q344" i="37"/>
  <c r="I68" i="30"/>
  <c r="I69" i="30"/>
  <c r="Q350" i="37"/>
  <c r="Q354" i="37"/>
  <c r="Q341" i="37"/>
  <c r="Q346" i="37"/>
  <c r="I67" i="30"/>
  <c r="I70" i="30"/>
  <c r="K72" i="30"/>
  <c r="Q340" i="37"/>
  <c r="Q333" i="37"/>
  <c r="Q336" i="37"/>
  <c r="C79" i="46"/>
  <c r="K79" i="46" s="1"/>
  <c r="C76" i="46"/>
  <c r="K76" i="46" s="1"/>
  <c r="C80" i="46"/>
  <c r="K80" i="46" s="1"/>
  <c r="C77" i="46"/>
  <c r="K77" i="46" s="1"/>
  <c r="C81" i="46"/>
  <c r="K81" i="46" s="1"/>
  <c r="C78" i="46"/>
  <c r="K78" i="46" s="1"/>
  <c r="Q331" i="37"/>
  <c r="Q332" i="37"/>
  <c r="Q328" i="37"/>
  <c r="Q329" i="37"/>
  <c r="Q326" i="37"/>
  <c r="Q327" i="37"/>
  <c r="C72" i="46"/>
  <c r="K72" i="46" s="1"/>
  <c r="C82" i="46"/>
  <c r="K82" i="46" s="1"/>
  <c r="C73" i="46"/>
  <c r="K73" i="46" s="1"/>
  <c r="C74" i="46"/>
  <c r="K74" i="46" s="1"/>
  <c r="C89" i="46"/>
  <c r="K89" i="46" s="1"/>
  <c r="C75" i="46"/>
  <c r="K75" i="46" s="1"/>
  <c r="C88" i="46"/>
  <c r="K88" i="46" s="1"/>
  <c r="Q324" i="37"/>
  <c r="Q325" i="37"/>
  <c r="Q323" i="37"/>
  <c r="Q330" i="37"/>
  <c r="Q320" i="37"/>
  <c r="Q322" i="37"/>
  <c r="Q321" i="37"/>
  <c r="Q319" i="37"/>
  <c r="Q317" i="37"/>
  <c r="Q316" i="37"/>
  <c r="Q318" i="37"/>
  <c r="C71" i="46"/>
  <c r="K71" i="46" s="1"/>
  <c r="Q299" i="37"/>
  <c r="Q303" i="37"/>
  <c r="Q300" i="37"/>
  <c r="Q304" i="37"/>
  <c r="Q306" i="37"/>
  <c r="Q312" i="37"/>
  <c r="Q301" i="37"/>
  <c r="Q305" i="37"/>
  <c r="Q309" i="37"/>
  <c r="Q313" i="37"/>
  <c r="Q302" i="37"/>
  <c r="Q307" i="37"/>
  <c r="Q310" i="37"/>
  <c r="Q314" i="37"/>
  <c r="Q308" i="37"/>
  <c r="Q311" i="37"/>
  <c r="Q298" i="37"/>
  <c r="Q315" i="37"/>
  <c r="Q296" i="37"/>
  <c r="Q293" i="37"/>
  <c r="Q294" i="37"/>
  <c r="Q291" i="37"/>
  <c r="Q292" i="37"/>
  <c r="Q290" i="37"/>
  <c r="Q295" i="37"/>
  <c r="Q288" i="37"/>
  <c r="Q289" i="37"/>
  <c r="Q297" i="37"/>
  <c r="I18" i="30"/>
  <c r="I66" i="30"/>
  <c r="C67" i="46"/>
  <c r="K67" i="46" s="1"/>
  <c r="C69" i="46"/>
  <c r="K69" i="46" s="1"/>
  <c r="C70" i="46"/>
  <c r="K70" i="46" s="1"/>
  <c r="C65" i="46"/>
  <c r="K65" i="46" s="1"/>
  <c r="C68" i="46"/>
  <c r="K68" i="46" s="1"/>
  <c r="C64" i="46"/>
  <c r="K64" i="46" s="1"/>
  <c r="C66" i="46"/>
  <c r="K66" i="46" s="1"/>
  <c r="Q287" i="37"/>
  <c r="C63" i="46"/>
  <c r="K63" i="46" s="1"/>
  <c r="I65" i="30"/>
  <c r="C60" i="46"/>
  <c r="K60" i="46" s="1"/>
  <c r="Q257" i="37"/>
  <c r="Q261" i="37"/>
  <c r="Q265" i="37"/>
  <c r="Q269" i="37"/>
  <c r="Q274" i="37"/>
  <c r="Q278" i="37"/>
  <c r="Q282" i="37"/>
  <c r="Q284" i="37"/>
  <c r="Q279" i="37"/>
  <c r="Q285" i="37"/>
  <c r="Q259" i="37"/>
  <c r="Q267" i="37"/>
  <c r="Q272" i="37"/>
  <c r="Q280" i="37"/>
  <c r="Q258" i="37"/>
  <c r="Q262" i="37"/>
  <c r="Q266" i="37"/>
  <c r="Q270" i="37"/>
  <c r="Q275" i="37"/>
  <c r="Q283" i="37"/>
  <c r="Q286" i="37"/>
  <c r="Q263" i="37"/>
  <c r="Q271" i="37"/>
  <c r="Q276" i="37"/>
  <c r="Q256" i="37"/>
  <c r="Q260" i="37"/>
  <c r="Q264" i="37"/>
  <c r="Q268" i="37"/>
  <c r="Q273" i="37"/>
  <c r="Q277" i="37"/>
  <c r="DZ67" i="50" s="1"/>
  <c r="Q281" i="37"/>
  <c r="Q231" i="37"/>
  <c r="Q232" i="37"/>
  <c r="Q233" i="37"/>
  <c r="Q245" i="37"/>
  <c r="Q246" i="37"/>
  <c r="Q238" i="37"/>
  <c r="Q239" i="37"/>
  <c r="Q248" i="37"/>
  <c r="Q249" i="37"/>
  <c r="Q244" i="37"/>
  <c r="Q241" i="37"/>
  <c r="Q242" i="37"/>
  <c r="Q229" i="37"/>
  <c r="Q236" i="37"/>
  <c r="Q235" i="37"/>
  <c r="Q228" i="37"/>
  <c r="Q253" i="37"/>
  <c r="Q254" i="37"/>
  <c r="Q250" i="37"/>
  <c r="Q255" i="37"/>
  <c r="Q252" i="37"/>
  <c r="Q227" i="37"/>
  <c r="Q240" i="37"/>
  <c r="Q247" i="37"/>
  <c r="Q237" i="37"/>
  <c r="Q251" i="37"/>
  <c r="Q230" i="37"/>
  <c r="Q234" i="37"/>
  <c r="Q243" i="37"/>
  <c r="C61" i="46"/>
  <c r="K61" i="46" s="1"/>
  <c r="Q223" i="37"/>
  <c r="Q226" i="37"/>
  <c r="Q220" i="37"/>
  <c r="Q224" i="37"/>
  <c r="Q221" i="37"/>
  <c r="Q225" i="37"/>
  <c r="Q222" i="37"/>
  <c r="Q219" i="37"/>
  <c r="Q217" i="37"/>
  <c r="Q218" i="37"/>
  <c r="Q216" i="37"/>
  <c r="C54" i="46"/>
  <c r="K54" i="46" s="1"/>
  <c r="C59" i="46"/>
  <c r="K59" i="46" s="1"/>
  <c r="C56" i="46"/>
  <c r="K56" i="46" s="1"/>
  <c r="C62" i="46"/>
  <c r="K62" i="46" s="1"/>
  <c r="C55" i="46"/>
  <c r="K55" i="46" s="1"/>
  <c r="C57" i="46"/>
  <c r="K57" i="46" s="1"/>
  <c r="C58" i="46"/>
  <c r="K58" i="46" s="1"/>
  <c r="Q215" i="37"/>
  <c r="Q214" i="37"/>
  <c r="Q212" i="37"/>
  <c r="Q213" i="37"/>
  <c r="H833" i="37"/>
  <c r="Q211" i="37"/>
  <c r="C52" i="46"/>
  <c r="K52" i="46" s="1"/>
  <c r="C53" i="46"/>
  <c r="K53" i="46" s="1"/>
  <c r="Q210" i="37"/>
  <c r="Q203" i="37"/>
  <c r="Q208" i="37"/>
  <c r="Q207" i="37"/>
  <c r="Q200" i="37"/>
  <c r="Q205" i="37"/>
  <c r="Q196" i="37"/>
  <c r="I63" i="30"/>
  <c r="Q172" i="37"/>
  <c r="I62" i="30"/>
  <c r="I17" i="30"/>
  <c r="Q183" i="37"/>
  <c r="Q206" i="37"/>
  <c r="Q209" i="37"/>
  <c r="Q154" i="37"/>
  <c r="Q186" i="37"/>
  <c r="Q165" i="37"/>
  <c r="Q195" i="37"/>
  <c r="Q199" i="37"/>
  <c r="Q182" i="37"/>
  <c r="C50" i="46"/>
  <c r="K50" i="46" s="1"/>
  <c r="C51" i="46"/>
  <c r="K51" i="46" s="1"/>
  <c r="C48" i="46"/>
  <c r="K48" i="46" s="1"/>
  <c r="C49" i="46"/>
  <c r="K49" i="46" s="1"/>
  <c r="Q156" i="37"/>
  <c r="Q171" i="37"/>
  <c r="Q153" i="37"/>
  <c r="Q198" i="37"/>
  <c r="Q194" i="37"/>
  <c r="Q202" i="37"/>
  <c r="Q155" i="37"/>
  <c r="Q152" i="37"/>
  <c r="Q37" i="37"/>
  <c r="Q38" i="37"/>
  <c r="K20" i="30"/>
  <c r="K29" i="30"/>
  <c r="K41" i="30"/>
  <c r="K46" i="30"/>
  <c r="I9" i="30"/>
  <c r="I13" i="30"/>
  <c r="I21" i="30"/>
  <c r="I25" i="30"/>
  <c r="I49" i="30"/>
  <c r="I53" i="30"/>
  <c r="I61" i="30"/>
  <c r="K27" i="30"/>
  <c r="K37" i="30"/>
  <c r="K57" i="30"/>
  <c r="I11" i="30"/>
  <c r="I35" i="30"/>
  <c r="I39" i="30"/>
  <c r="I47" i="30"/>
  <c r="K19" i="30"/>
  <c r="K32" i="30"/>
  <c r="K45" i="30"/>
  <c r="I12" i="30"/>
  <c r="I28" i="30"/>
  <c r="I36" i="30"/>
  <c r="I52" i="30"/>
  <c r="I60" i="30"/>
  <c r="K34" i="30"/>
  <c r="K42" i="30"/>
  <c r="K55" i="30"/>
  <c r="I10" i="30"/>
  <c r="I14" i="30"/>
  <c r="I26" i="30"/>
  <c r="I38" i="30"/>
  <c r="I50" i="30"/>
  <c r="I54" i="30"/>
  <c r="I58" i="30"/>
  <c r="K31" i="30"/>
  <c r="K44" i="30"/>
  <c r="I7" i="30"/>
  <c r="I15" i="30"/>
  <c r="I23" i="30"/>
  <c r="I43" i="30"/>
  <c r="I51" i="30"/>
  <c r="I59" i="30"/>
  <c r="K28" i="30"/>
  <c r="K40" i="30"/>
  <c r="I8" i="30"/>
  <c r="I16" i="30"/>
  <c r="I24" i="30"/>
  <c r="I48" i="30"/>
  <c r="I56" i="30"/>
  <c r="Q55" i="37"/>
  <c r="Q59" i="37"/>
  <c r="Q63" i="37"/>
  <c r="Q67" i="37"/>
  <c r="Q71" i="37"/>
  <c r="Q75" i="37"/>
  <c r="Q79" i="37"/>
  <c r="Q83" i="37"/>
  <c r="Q87" i="37"/>
  <c r="Q91" i="37"/>
  <c r="DZ49" i="50" s="1"/>
  <c r="Q95" i="37"/>
  <c r="Q99" i="37"/>
  <c r="Q103" i="37"/>
  <c r="Q107" i="37"/>
  <c r="Q111" i="37"/>
  <c r="Q115" i="37"/>
  <c r="Q119" i="37"/>
  <c r="Q123" i="37"/>
  <c r="Q127" i="37"/>
  <c r="DZ52" i="50" s="1"/>
  <c r="Q131" i="37"/>
  <c r="Q135" i="37"/>
  <c r="Q139" i="37"/>
  <c r="Q143" i="37"/>
  <c r="Q147" i="37"/>
  <c r="Q187" i="37"/>
  <c r="Q188" i="37"/>
  <c r="Q159" i="37"/>
  <c r="Q163" i="37"/>
  <c r="DZ61" i="50" s="1"/>
  <c r="Q177" i="37"/>
  <c r="Q178" i="37"/>
  <c r="Q175" i="37"/>
  <c r="EC63" i="50" s="1"/>
  <c r="Q164" i="37"/>
  <c r="Q57" i="37"/>
  <c r="Q65" i="37"/>
  <c r="Q73" i="37"/>
  <c r="Q81" i="37"/>
  <c r="Q89" i="37"/>
  <c r="Q97" i="37"/>
  <c r="Q105" i="37"/>
  <c r="Q117" i="37"/>
  <c r="Q125" i="37"/>
  <c r="Q133" i="37"/>
  <c r="Q141" i="37"/>
  <c r="Q149" i="37"/>
  <c r="Q157" i="37"/>
  <c r="Q201" i="37"/>
  <c r="EC62" i="50" s="1"/>
  <c r="Q179" i="37"/>
  <c r="Q193" i="37"/>
  <c r="Q58" i="37"/>
  <c r="Q66" i="37"/>
  <c r="Q74" i="37"/>
  <c r="Q82" i="37"/>
  <c r="Q90" i="37"/>
  <c r="Q98" i="37"/>
  <c r="Q106" i="37"/>
  <c r="Q114" i="37"/>
  <c r="Q122" i="37"/>
  <c r="Q130" i="37"/>
  <c r="Q138" i="37"/>
  <c r="Q146" i="37"/>
  <c r="Q148" i="37"/>
  <c r="Q162" i="37"/>
  <c r="Q185" i="37"/>
  <c r="Q166" i="37"/>
  <c r="Q56" i="37"/>
  <c r="Q60" i="37"/>
  <c r="Q64" i="37"/>
  <c r="Q68" i="37"/>
  <c r="Q72" i="37"/>
  <c r="Q76" i="37"/>
  <c r="Q80" i="37"/>
  <c r="Q84" i="37"/>
  <c r="Q88" i="37"/>
  <c r="Q92" i="37"/>
  <c r="Q96" i="37"/>
  <c r="Q100" i="37"/>
  <c r="Q104" i="37"/>
  <c r="Q108" i="37"/>
  <c r="Q112" i="37"/>
  <c r="Q116" i="37"/>
  <c r="Q120" i="37"/>
  <c r="Q124" i="37"/>
  <c r="Q128" i="37"/>
  <c r="Q132" i="37"/>
  <c r="Q136" i="37"/>
  <c r="Q140" i="37"/>
  <c r="Q144" i="37"/>
  <c r="Q173" i="37"/>
  <c r="Q184" i="37"/>
  <c r="Q204" i="37"/>
  <c r="DZ51" i="50" s="1"/>
  <c r="Q160" i="37"/>
  <c r="Q176" i="37"/>
  <c r="Q168" i="37"/>
  <c r="Q191" i="37"/>
  <c r="Q192" i="37"/>
  <c r="Q169" i="37"/>
  <c r="Q181" i="37"/>
  <c r="Q61" i="37"/>
  <c r="Q69" i="37"/>
  <c r="Q77" i="37"/>
  <c r="Q85" i="37"/>
  <c r="Q93" i="37"/>
  <c r="Q101" i="37"/>
  <c r="Q109" i="37"/>
  <c r="Q113" i="37"/>
  <c r="Q121" i="37"/>
  <c r="Q129" i="37"/>
  <c r="Q137" i="37"/>
  <c r="Q145" i="37"/>
  <c r="Q174" i="37"/>
  <c r="Q161" i="37"/>
  <c r="Q190" i="37"/>
  <c r="Q180" i="37"/>
  <c r="Q197" i="37"/>
  <c r="Q62" i="37"/>
  <c r="Q70" i="37"/>
  <c r="Q78" i="37"/>
  <c r="Q86" i="37"/>
  <c r="Q94" i="37"/>
  <c r="Q102" i="37"/>
  <c r="Q110" i="37"/>
  <c r="Q118" i="37"/>
  <c r="Q126" i="37"/>
  <c r="Q134" i="37"/>
  <c r="Q142" i="37"/>
  <c r="Q167" i="37"/>
  <c r="Q158" i="37"/>
  <c r="Q189" i="37"/>
  <c r="Q150" i="37"/>
  <c r="Q151" i="37"/>
  <c r="Q170" i="37"/>
  <c r="C19" i="46"/>
  <c r="K19" i="46" s="1"/>
  <c r="I6" i="30"/>
  <c r="Q14" i="37"/>
  <c r="Q18" i="37"/>
  <c r="Q22" i="37"/>
  <c r="Q26" i="37"/>
  <c r="Q30" i="37"/>
  <c r="Q34" i="37"/>
  <c r="Q40" i="37"/>
  <c r="Q44" i="37"/>
  <c r="Q48" i="37"/>
  <c r="Q52" i="37"/>
  <c r="Q17" i="37"/>
  <c r="Q25" i="37"/>
  <c r="Q33" i="37"/>
  <c r="Q39" i="37"/>
  <c r="Q47" i="37"/>
  <c r="Q15" i="37"/>
  <c r="Q19" i="37"/>
  <c r="DZ13" i="50" s="1"/>
  <c r="Q23" i="37"/>
  <c r="Q27" i="37"/>
  <c r="Q31" i="37"/>
  <c r="Q35" i="37"/>
  <c r="Q41" i="37"/>
  <c r="Q45" i="37"/>
  <c r="Q49" i="37"/>
  <c r="Q53" i="37"/>
  <c r="Q13" i="37"/>
  <c r="Q21" i="37"/>
  <c r="Q29" i="37"/>
  <c r="DZ41" i="50" s="1"/>
  <c r="Q43" i="37"/>
  <c r="Q51" i="37"/>
  <c r="Q16" i="37"/>
  <c r="Q20" i="37"/>
  <c r="Q24" i="37"/>
  <c r="Q28" i="37"/>
  <c r="Q32" i="37"/>
  <c r="EC38" i="50" s="1"/>
  <c r="Q36" i="37"/>
  <c r="Q42" i="37"/>
  <c r="Q46" i="37"/>
  <c r="Q50" i="37"/>
  <c r="Q54" i="37"/>
  <c r="C36" i="46"/>
  <c r="K36" i="46" s="1"/>
  <c r="C28" i="46"/>
  <c r="K28" i="46" s="1"/>
  <c r="C20" i="46"/>
  <c r="K20" i="46" s="1"/>
  <c r="C12" i="46"/>
  <c r="K12" i="46" s="1"/>
  <c r="C6" i="46"/>
  <c r="C39" i="46"/>
  <c r="K39" i="46" s="1"/>
  <c r="C27" i="46"/>
  <c r="K27" i="46" s="1"/>
  <c r="C47" i="46"/>
  <c r="K47" i="46" s="1"/>
  <c r="C43" i="46"/>
  <c r="K43" i="46" s="1"/>
  <c r="C42" i="46"/>
  <c r="K42" i="46" s="1"/>
  <c r="C38" i="46"/>
  <c r="K38" i="46" s="1"/>
  <c r="C34" i="46"/>
  <c r="K34" i="46" s="1"/>
  <c r="C30" i="46"/>
  <c r="K30" i="46" s="1"/>
  <c r="C26" i="46"/>
  <c r="K26" i="46" s="1"/>
  <c r="C22" i="46"/>
  <c r="K22" i="46" s="1"/>
  <c r="C18" i="46"/>
  <c r="K18" i="46" s="1"/>
  <c r="C14" i="46"/>
  <c r="K14" i="46" s="1"/>
  <c r="C8" i="46"/>
  <c r="C45" i="46"/>
  <c r="K45" i="46" s="1"/>
  <c r="C40" i="46"/>
  <c r="K40" i="46" s="1"/>
  <c r="C32" i="46"/>
  <c r="K32" i="46" s="1"/>
  <c r="C24" i="46"/>
  <c r="K24" i="46" s="1"/>
  <c r="C16" i="46"/>
  <c r="K16" i="46" s="1"/>
  <c r="C44" i="46"/>
  <c r="K44" i="46" s="1"/>
  <c r="C35" i="46"/>
  <c r="K35" i="46" s="1"/>
  <c r="C31" i="46"/>
  <c r="K31" i="46" s="1"/>
  <c r="C23" i="46"/>
  <c r="K23" i="46" s="1"/>
  <c r="C15" i="46"/>
  <c r="K15" i="46" s="1"/>
  <c r="C46" i="46"/>
  <c r="K46" i="46" s="1"/>
  <c r="C41" i="46"/>
  <c r="K41" i="46" s="1"/>
  <c r="C37" i="46"/>
  <c r="K37" i="46" s="1"/>
  <c r="C33" i="46"/>
  <c r="K33" i="46" s="1"/>
  <c r="C29" i="46"/>
  <c r="K29" i="46" s="1"/>
  <c r="C25" i="46"/>
  <c r="K25" i="46" s="1"/>
  <c r="C21" i="46"/>
  <c r="K21" i="46" s="1"/>
  <c r="C17" i="46"/>
  <c r="K17" i="46" s="1"/>
  <c r="C13" i="46"/>
  <c r="K13" i="46" s="1"/>
  <c r="C7" i="46"/>
  <c r="K6" i="41"/>
  <c r="E7" i="36"/>
  <c r="E8" i="36"/>
  <c r="E9" i="36"/>
  <c r="E10" i="36"/>
  <c r="E11" i="36"/>
  <c r="EC71" i="50" l="1"/>
  <c r="EC37" i="50"/>
  <c r="EC87" i="50"/>
  <c r="EC44" i="50"/>
  <c r="EC125" i="50"/>
  <c r="EC46" i="50"/>
  <c r="EC21" i="50"/>
  <c r="EC47" i="50"/>
  <c r="EC22" i="50"/>
  <c r="EC36" i="50"/>
  <c r="EC31" i="50"/>
  <c r="EC39" i="50"/>
  <c r="EC30" i="50"/>
  <c r="DZ111" i="50"/>
  <c r="EC111" i="50"/>
  <c r="EO111" i="50" s="1"/>
  <c r="EC55" i="50"/>
  <c r="DZ45" i="50"/>
  <c r="EC45" i="50"/>
  <c r="EC79" i="50"/>
  <c r="EO79" i="50" s="1"/>
  <c r="EC35" i="50"/>
  <c r="EC43" i="50"/>
  <c r="EC92" i="50"/>
  <c r="EO92" i="50" s="1"/>
  <c r="EC100" i="50"/>
  <c r="EO100" i="50" s="1"/>
  <c r="EC108" i="50"/>
  <c r="EO108" i="50" s="1"/>
  <c r="EC116" i="50"/>
  <c r="EO116" i="50" s="1"/>
  <c r="EC124" i="50"/>
  <c r="EO124" i="50" s="1"/>
  <c r="EC61" i="50"/>
  <c r="EC69" i="50"/>
  <c r="EO69" i="50" s="1"/>
  <c r="EC77" i="50"/>
  <c r="EC85" i="50"/>
  <c r="EO85" i="50" s="1"/>
  <c r="EC93" i="50"/>
  <c r="EO93" i="50" s="1"/>
  <c r="EC104" i="50"/>
  <c r="EO104" i="50" s="1"/>
  <c r="EC112" i="50"/>
  <c r="EO112" i="50" s="1"/>
  <c r="EC120" i="50"/>
  <c r="EO120" i="50" s="1"/>
  <c r="EC128" i="50"/>
  <c r="EC24" i="50"/>
  <c r="EC32" i="50"/>
  <c r="EC40" i="50"/>
  <c r="EC48" i="50"/>
  <c r="EC25" i="50"/>
  <c r="EC33" i="50"/>
  <c r="EC41" i="50"/>
  <c r="EC49" i="50"/>
  <c r="EC90" i="50"/>
  <c r="EO90" i="50" s="1"/>
  <c r="EC106" i="50"/>
  <c r="EO106" i="50" s="1"/>
  <c r="EC122" i="50"/>
  <c r="EO122" i="50" s="1"/>
  <c r="EC26" i="50"/>
  <c r="EC42" i="50"/>
  <c r="EC58" i="50"/>
  <c r="EC66" i="50"/>
  <c r="EC74" i="50"/>
  <c r="EO74" i="50" s="1"/>
  <c r="EC82" i="50"/>
  <c r="EO82" i="50" s="1"/>
  <c r="EC98" i="50"/>
  <c r="EC114" i="50"/>
  <c r="EC18" i="50"/>
  <c r="EC34" i="50"/>
  <c r="EC50" i="50"/>
  <c r="EC23" i="50"/>
  <c r="EC51" i="50"/>
  <c r="EC59" i="50"/>
  <c r="EC67" i="50"/>
  <c r="EC75" i="50"/>
  <c r="EO75" i="50" s="1"/>
  <c r="EC83" i="50"/>
  <c r="EO83" i="50" s="1"/>
  <c r="EC91" i="50"/>
  <c r="EO91" i="50" s="1"/>
  <c r="EC99" i="50"/>
  <c r="EO99" i="50" s="1"/>
  <c r="EC107" i="50"/>
  <c r="EO107" i="50" s="1"/>
  <c r="EC115" i="50"/>
  <c r="EO115" i="50" s="1"/>
  <c r="EC123" i="50"/>
  <c r="EO123" i="50" s="1"/>
  <c r="EC19" i="50"/>
  <c r="EC27" i="50"/>
  <c r="EC52" i="50"/>
  <c r="EC60" i="50"/>
  <c r="EC68" i="50"/>
  <c r="EO68" i="50" s="1"/>
  <c r="EC76" i="50"/>
  <c r="EO76" i="50" s="1"/>
  <c r="EC53" i="50"/>
  <c r="EC56" i="50"/>
  <c r="EC64" i="50"/>
  <c r="EC72" i="50"/>
  <c r="EO72" i="50" s="1"/>
  <c r="EC80" i="50"/>
  <c r="EO80" i="50" s="1"/>
  <c r="EC88" i="50"/>
  <c r="EO88" i="50" s="1"/>
  <c r="EC96" i="50"/>
  <c r="EO96" i="50" s="1"/>
  <c r="EC57" i="50"/>
  <c r="EC65" i="50"/>
  <c r="EC73" i="50"/>
  <c r="EO73" i="50" s="1"/>
  <c r="EC81" i="50"/>
  <c r="EC89" i="50"/>
  <c r="EO89" i="50" s="1"/>
  <c r="EC97" i="50"/>
  <c r="EO97" i="50" s="1"/>
  <c r="EC105" i="50"/>
  <c r="EO105" i="50" s="1"/>
  <c r="EC113" i="50"/>
  <c r="EO113" i="50" s="1"/>
  <c r="EC121" i="50"/>
  <c r="EO121" i="50" s="1"/>
  <c r="EC17" i="50"/>
  <c r="EO98" i="50"/>
  <c r="DZ70" i="50"/>
  <c r="EC70" i="50"/>
  <c r="EO70" i="50" s="1"/>
  <c r="DZ109" i="50"/>
  <c r="EC109" i="50"/>
  <c r="EO109" i="50" s="1"/>
  <c r="EC28" i="50"/>
  <c r="EC54" i="50"/>
  <c r="EC95" i="50"/>
  <c r="EO95" i="50" s="1"/>
  <c r="EC110" i="50"/>
  <c r="EO110" i="50" s="1"/>
  <c r="EC127" i="50"/>
  <c r="EO127" i="50" s="1"/>
  <c r="EC16" i="50"/>
  <c r="EC8" i="50"/>
  <c r="EC130" i="50"/>
  <c r="EO130" i="50" s="1"/>
  <c r="DZ112" i="50"/>
  <c r="DZ102" i="50"/>
  <c r="EO102" i="50"/>
  <c r="DZ94" i="50"/>
  <c r="EO94" i="50"/>
  <c r="DZ114" i="50"/>
  <c r="EO114" i="50"/>
  <c r="DZ118" i="50"/>
  <c r="EO118" i="50"/>
  <c r="DY126" i="50"/>
  <c r="EO126" i="50"/>
  <c r="DZ104" i="50"/>
  <c r="EC129" i="50"/>
  <c r="EO129" i="50" s="1"/>
  <c r="EC137" i="50"/>
  <c r="EO137" i="50" s="1"/>
  <c r="EC131" i="50"/>
  <c r="EO131" i="50" s="1"/>
  <c r="EC139" i="50"/>
  <c r="EO139" i="50" s="1"/>
  <c r="EO84" i="50"/>
  <c r="EO128" i="50"/>
  <c r="EC132" i="50"/>
  <c r="EO132" i="50" s="1"/>
  <c r="EC138" i="50"/>
  <c r="EO138" i="50" s="1"/>
  <c r="EO77" i="50"/>
  <c r="EO101" i="50"/>
  <c r="EO117" i="50"/>
  <c r="EO125" i="50"/>
  <c r="EC133" i="50"/>
  <c r="EO133" i="50" s="1"/>
  <c r="EO78" i="50"/>
  <c r="EO86" i="50"/>
  <c r="EC134" i="50"/>
  <c r="EO134" i="50" s="1"/>
  <c r="EC136" i="50"/>
  <c r="EO136" i="50" s="1"/>
  <c r="EO71" i="50"/>
  <c r="EO87" i="50"/>
  <c r="EO103" i="50"/>
  <c r="EO119" i="50"/>
  <c r="EC135" i="50"/>
  <c r="EO135" i="50" s="1"/>
  <c r="EC9" i="50"/>
  <c r="EO81" i="50"/>
  <c r="EC10" i="50"/>
  <c r="EO10" i="50" s="1"/>
  <c r="EC11" i="50"/>
  <c r="EC12" i="50"/>
  <c r="EC13" i="50"/>
  <c r="EO53" i="50"/>
  <c r="EC14" i="50"/>
  <c r="EC15" i="50"/>
  <c r="DZ117" i="50"/>
  <c r="DZ15" i="50"/>
  <c r="DZ23" i="50"/>
  <c r="DZ50" i="50"/>
  <c r="DZ93" i="50"/>
  <c r="DZ56" i="50"/>
  <c r="DZ18" i="50"/>
  <c r="DZ87" i="50"/>
  <c r="DZ74" i="50"/>
  <c r="DV29" i="50"/>
  <c r="DY29" i="50"/>
  <c r="DW74" i="50"/>
  <c r="DW29" i="50"/>
  <c r="DV87" i="50"/>
  <c r="DW87" i="50"/>
  <c r="DZ14" i="50"/>
  <c r="DZ28" i="50"/>
  <c r="DZ16" i="50"/>
  <c r="DZ75" i="50"/>
  <c r="DZ19" i="50"/>
  <c r="DZ20" i="50"/>
  <c r="DZ82" i="50"/>
  <c r="DZ35" i="50"/>
  <c r="DZ60" i="50"/>
  <c r="DZ80" i="50"/>
  <c r="DZ77" i="50"/>
  <c r="DZ53" i="50"/>
  <c r="DZ76" i="50"/>
  <c r="DZ68" i="50"/>
  <c r="DZ71" i="50"/>
  <c r="DZ10" i="50"/>
  <c r="DW121" i="50"/>
  <c r="DZ121" i="50"/>
  <c r="DX40" i="50"/>
  <c r="DZ40" i="50"/>
  <c r="DX92" i="50"/>
  <c r="DZ92" i="50"/>
  <c r="DX99" i="50"/>
  <c r="DZ99" i="50"/>
  <c r="DX85" i="50"/>
  <c r="DZ85" i="50"/>
  <c r="DW120" i="50"/>
  <c r="DZ120" i="50"/>
  <c r="DX100" i="50"/>
  <c r="DZ100" i="50"/>
  <c r="DX26" i="50"/>
  <c r="DZ26" i="50"/>
  <c r="DZ37" i="50"/>
  <c r="DZ79" i="50"/>
  <c r="DZ69" i="50"/>
  <c r="DY101" i="50"/>
  <c r="DZ101" i="50"/>
  <c r="DX86" i="50"/>
  <c r="DZ86" i="50"/>
  <c r="DX64" i="50"/>
  <c r="DZ64" i="50"/>
  <c r="DX38" i="50"/>
  <c r="DZ38" i="50"/>
  <c r="DZ88" i="50"/>
  <c r="DX106" i="50"/>
  <c r="DZ106" i="50"/>
  <c r="DZ90" i="50"/>
  <c r="DX81" i="50"/>
  <c r="DZ81" i="50"/>
  <c r="DW122" i="50"/>
  <c r="DZ122" i="50"/>
  <c r="DZ27" i="50"/>
  <c r="DZ30" i="50"/>
  <c r="DZ11" i="50"/>
  <c r="DZ55" i="50"/>
  <c r="DZ130" i="50"/>
  <c r="DZ129" i="50"/>
  <c r="DZ128" i="50"/>
  <c r="DZ127" i="50"/>
  <c r="DZ133" i="50"/>
  <c r="DZ131" i="50"/>
  <c r="DZ125" i="50"/>
  <c r="DZ138" i="50"/>
  <c r="DZ137" i="50"/>
  <c r="DZ134" i="50"/>
  <c r="DZ136" i="50"/>
  <c r="DZ132" i="50"/>
  <c r="DZ135" i="50"/>
  <c r="DX63" i="50"/>
  <c r="DZ63" i="50"/>
  <c r="DZ25" i="50"/>
  <c r="DY97" i="50"/>
  <c r="DZ97" i="50"/>
  <c r="DX32" i="50"/>
  <c r="DZ32" i="50"/>
  <c r="DX107" i="50"/>
  <c r="DZ107" i="50"/>
  <c r="DX103" i="50"/>
  <c r="DZ103" i="50"/>
  <c r="DZ126" i="50"/>
  <c r="DX115" i="50"/>
  <c r="DZ115" i="50"/>
  <c r="DZ124" i="50"/>
  <c r="DZ116" i="50"/>
  <c r="DZ12" i="50"/>
  <c r="DX62" i="50"/>
  <c r="DZ62" i="50"/>
  <c r="DZ17" i="50"/>
  <c r="DZ58" i="50"/>
  <c r="DX78" i="50"/>
  <c r="DZ78" i="50"/>
  <c r="DX24" i="50"/>
  <c r="DZ24" i="50"/>
  <c r="DX108" i="50"/>
  <c r="DZ108" i="50"/>
  <c r="DZ123" i="50"/>
  <c r="DZ8" i="50"/>
  <c r="DZ9" i="50"/>
  <c r="DZ54" i="50"/>
  <c r="DX65" i="50"/>
  <c r="DZ65" i="50"/>
  <c r="DZ95" i="50"/>
  <c r="DZ96" i="50"/>
  <c r="DY110" i="50"/>
  <c r="DZ110" i="50"/>
  <c r="DY119" i="50"/>
  <c r="DZ119" i="50"/>
  <c r="DY127" i="50"/>
  <c r="DX73" i="50"/>
  <c r="DZ73" i="50"/>
  <c r="DZ139" i="50"/>
  <c r="DX72" i="50"/>
  <c r="DZ72" i="50"/>
  <c r="DY84" i="50"/>
  <c r="DZ84" i="50"/>
  <c r="DX98" i="50"/>
  <c r="DZ98" i="50"/>
  <c r="DW93" i="50"/>
  <c r="I102" i="41"/>
  <c r="DY35" i="50"/>
  <c r="DV35" i="50"/>
  <c r="DW35" i="50"/>
  <c r="DY76" i="50"/>
  <c r="DY25" i="50"/>
  <c r="DY28" i="50"/>
  <c r="DY16" i="50"/>
  <c r="DY20" i="50"/>
  <c r="DY53" i="50"/>
  <c r="DY17" i="50"/>
  <c r="DY9" i="50"/>
  <c r="DY19" i="50"/>
  <c r="DY75" i="50"/>
  <c r="DY8" i="50"/>
  <c r="DY60" i="50"/>
  <c r="DY80" i="50"/>
  <c r="L126" i="30"/>
  <c r="J128" i="50"/>
  <c r="I105" i="41"/>
  <c r="DY37" i="50"/>
  <c r="DY82" i="50"/>
  <c r="DY124" i="50"/>
  <c r="DY96" i="50"/>
  <c r="L122" i="30"/>
  <c r="L114" i="30"/>
  <c r="M114" i="30" s="1"/>
  <c r="O114" i="30" s="1"/>
  <c r="J124" i="50"/>
  <c r="DW116" i="50"/>
  <c r="J116" i="50"/>
  <c r="I101" i="41"/>
  <c r="DY71" i="50"/>
  <c r="DX61" i="50"/>
  <c r="DY61" i="50"/>
  <c r="DY27" i="50"/>
  <c r="DX52" i="50"/>
  <c r="DY52" i="50"/>
  <c r="DX70" i="50"/>
  <c r="DY70" i="50"/>
  <c r="DY90" i="50"/>
  <c r="DY98" i="50"/>
  <c r="DY77" i="50"/>
  <c r="DY85" i="50"/>
  <c r="DY91" i="50"/>
  <c r="DY99" i="50"/>
  <c r="DY78" i="50"/>
  <c r="DY65" i="50"/>
  <c r="DY73" i="50"/>
  <c r="DY129" i="50"/>
  <c r="DY108" i="50"/>
  <c r="DY116" i="50"/>
  <c r="DY86" i="50"/>
  <c r="DY94" i="50"/>
  <c r="DY11" i="50"/>
  <c r="DX51" i="50"/>
  <c r="DY51" i="50"/>
  <c r="DX49" i="50"/>
  <c r="DY49" i="50"/>
  <c r="DX67" i="50"/>
  <c r="DY67" i="50"/>
  <c r="DX89" i="50"/>
  <c r="DY89" i="50"/>
  <c r="DX111" i="50"/>
  <c r="DY111" i="50"/>
  <c r="DW118" i="50"/>
  <c r="DY118" i="50"/>
  <c r="DY72" i="50"/>
  <c r="DY54" i="50"/>
  <c r="DY62" i="50"/>
  <c r="DY22" i="50"/>
  <c r="DY30" i="50"/>
  <c r="DY38" i="50"/>
  <c r="DY46" i="50"/>
  <c r="DY14" i="50"/>
  <c r="DY64" i="50"/>
  <c r="DY32" i="50"/>
  <c r="DY55" i="50"/>
  <c r="DY63" i="50"/>
  <c r="DY23" i="50"/>
  <c r="DY31" i="50"/>
  <c r="DY39" i="50"/>
  <c r="DY47" i="50"/>
  <c r="DY15" i="50"/>
  <c r="DY79" i="50"/>
  <c r="DY74" i="50"/>
  <c r="DY24" i="50"/>
  <c r="DY48" i="50"/>
  <c r="DY134" i="50"/>
  <c r="DY137" i="50"/>
  <c r="DY106" i="50"/>
  <c r="DY114" i="50"/>
  <c r="DY122" i="50"/>
  <c r="DY92" i="50"/>
  <c r="DY100" i="50"/>
  <c r="DY66" i="50"/>
  <c r="DY56" i="50"/>
  <c r="DY40" i="50"/>
  <c r="DY93" i="50"/>
  <c r="DY102" i="50"/>
  <c r="DY81" i="50"/>
  <c r="DY68" i="50"/>
  <c r="DY50" i="50"/>
  <c r="DY58" i="50"/>
  <c r="DY18" i="50"/>
  <c r="DY26" i="50"/>
  <c r="DY34" i="50"/>
  <c r="DY42" i="50"/>
  <c r="DY10" i="50"/>
  <c r="DY69" i="50"/>
  <c r="DY133" i="50"/>
  <c r="DX45" i="50"/>
  <c r="DY45" i="50"/>
  <c r="DX83" i="50"/>
  <c r="DY83" i="50"/>
  <c r="DY88" i="50"/>
  <c r="DX59" i="50"/>
  <c r="DY139" i="50"/>
  <c r="DY135" i="50"/>
  <c r="DY104" i="50"/>
  <c r="DY112" i="50"/>
  <c r="DY120" i="50"/>
  <c r="DY128" i="50"/>
  <c r="DY136" i="50"/>
  <c r="DY105" i="50"/>
  <c r="DY113" i="50"/>
  <c r="DY121" i="50"/>
  <c r="DY130" i="50"/>
  <c r="DY138" i="50"/>
  <c r="DY107" i="50"/>
  <c r="DY115" i="50"/>
  <c r="DY123" i="50"/>
  <c r="DY131" i="50"/>
  <c r="DY132" i="50"/>
  <c r="DY125" i="50"/>
  <c r="DY109" i="50"/>
  <c r="DY117" i="50"/>
  <c r="DY87" i="50"/>
  <c r="DY95" i="50"/>
  <c r="DY103" i="50"/>
  <c r="DX41" i="50"/>
  <c r="DY41" i="50"/>
  <c r="DX13" i="50"/>
  <c r="DY13" i="50"/>
  <c r="DY12" i="50"/>
  <c r="DX55" i="50"/>
  <c r="DX123" i="50"/>
  <c r="DX95" i="50"/>
  <c r="L125" i="30"/>
  <c r="J127" i="50"/>
  <c r="I104" i="41"/>
  <c r="DX80" i="50"/>
  <c r="DX11" i="50"/>
  <c r="DX10" i="50"/>
  <c r="DX25" i="50"/>
  <c r="DX8" i="50"/>
  <c r="DX28" i="50"/>
  <c r="DX109" i="50"/>
  <c r="DX36" i="50"/>
  <c r="DX116" i="50"/>
  <c r="DX48" i="50"/>
  <c r="DX33" i="50"/>
  <c r="DX46" i="50"/>
  <c r="DX35" i="50"/>
  <c r="DX17" i="50"/>
  <c r="DX19" i="50"/>
  <c r="DX39" i="50"/>
  <c r="DX21" i="50"/>
  <c r="DX124" i="50"/>
  <c r="DX53" i="50"/>
  <c r="DX34" i="50"/>
  <c r="DX9" i="50"/>
  <c r="DX43" i="50"/>
  <c r="DX127" i="50"/>
  <c r="DX58" i="50"/>
  <c r="DX87" i="50"/>
  <c r="DX75" i="50"/>
  <c r="DX66" i="50"/>
  <c r="DX42" i="50"/>
  <c r="DX22" i="50"/>
  <c r="DX71" i="50"/>
  <c r="DX23" i="50"/>
  <c r="DX18" i="50"/>
  <c r="DX50" i="50"/>
  <c r="DX77" i="50"/>
  <c r="DX47" i="50"/>
  <c r="DX29" i="50"/>
  <c r="DX31" i="50"/>
  <c r="DX44" i="50"/>
  <c r="DX68" i="50"/>
  <c r="DX37" i="50"/>
  <c r="DX20" i="50"/>
  <c r="DX15" i="50"/>
  <c r="DX60" i="50"/>
  <c r="DX88" i="50"/>
  <c r="DW125" i="50"/>
  <c r="DX117" i="50"/>
  <c r="DX125" i="50"/>
  <c r="DX133" i="50"/>
  <c r="DX101" i="50"/>
  <c r="DX136" i="50"/>
  <c r="DX118" i="50"/>
  <c r="DX126" i="50"/>
  <c r="DX138" i="50"/>
  <c r="DX120" i="50"/>
  <c r="DX128" i="50"/>
  <c r="DX104" i="50"/>
  <c r="DX139" i="50"/>
  <c r="DX121" i="50"/>
  <c r="DX129" i="50"/>
  <c r="DX114" i="50"/>
  <c r="DX122" i="50"/>
  <c r="DX130" i="50"/>
  <c r="DX12" i="50"/>
  <c r="DX14" i="50"/>
  <c r="DX54" i="50"/>
  <c r="DX96" i="50"/>
  <c r="DW119" i="50"/>
  <c r="DX119" i="50"/>
  <c r="DX56" i="50"/>
  <c r="DX27" i="50"/>
  <c r="DX30" i="50"/>
  <c r="DX90" i="50"/>
  <c r="DX76" i="50"/>
  <c r="DX84" i="50"/>
  <c r="DX134" i="50"/>
  <c r="DX102" i="50"/>
  <c r="DX110" i="50"/>
  <c r="DX112" i="50"/>
  <c r="DX93" i="50"/>
  <c r="DX79" i="50"/>
  <c r="DX97" i="50"/>
  <c r="DX105" i="50"/>
  <c r="DX113" i="50"/>
  <c r="DX74" i="50"/>
  <c r="DX91" i="50"/>
  <c r="DX137" i="50"/>
  <c r="DX135" i="50"/>
  <c r="DX16" i="50"/>
  <c r="DX69" i="50"/>
  <c r="DX131" i="50"/>
  <c r="DX132" i="50"/>
  <c r="DX94" i="50"/>
  <c r="DX82" i="50"/>
  <c r="DW113" i="50"/>
  <c r="DV113" i="50"/>
  <c r="DW20" i="50"/>
  <c r="DW80" i="50"/>
  <c r="DW117" i="50"/>
  <c r="DW50" i="50"/>
  <c r="DW71" i="50"/>
  <c r="DW77" i="50"/>
  <c r="DW76" i="50"/>
  <c r="DW15" i="50"/>
  <c r="DW14" i="50"/>
  <c r="DW8" i="50"/>
  <c r="DW19" i="50"/>
  <c r="DW68" i="50"/>
  <c r="DW69" i="50"/>
  <c r="DW25" i="50"/>
  <c r="DW55" i="50"/>
  <c r="DW58" i="50"/>
  <c r="DW16" i="50"/>
  <c r="DW53" i="50"/>
  <c r="DW17" i="50"/>
  <c r="DW75" i="50"/>
  <c r="DW9" i="50"/>
  <c r="DW18" i="50"/>
  <c r="DW23" i="50"/>
  <c r="DW11" i="50"/>
  <c r="DW60" i="50"/>
  <c r="DW123" i="50"/>
  <c r="DW28" i="50"/>
  <c r="DW134" i="50"/>
  <c r="DW95" i="50"/>
  <c r="DW37" i="50"/>
  <c r="DW54" i="50"/>
  <c r="DV61" i="50"/>
  <c r="DW61" i="50"/>
  <c r="DV72" i="50"/>
  <c r="DW72" i="50"/>
  <c r="DV84" i="50"/>
  <c r="DW84" i="50"/>
  <c r="DV98" i="50"/>
  <c r="DW98" i="50"/>
  <c r="DV112" i="50"/>
  <c r="DW112" i="50"/>
  <c r="DW56" i="50"/>
  <c r="DW30" i="50"/>
  <c r="DW27" i="50"/>
  <c r="DV52" i="50"/>
  <c r="DW52" i="50"/>
  <c r="DV70" i="50"/>
  <c r="DW70" i="50"/>
  <c r="DV73" i="50"/>
  <c r="DW73" i="50"/>
  <c r="DV100" i="50"/>
  <c r="DW100" i="50"/>
  <c r="DV102" i="50"/>
  <c r="DW102" i="50"/>
  <c r="DV94" i="50"/>
  <c r="DW94" i="50"/>
  <c r="DV114" i="50"/>
  <c r="DW114" i="50"/>
  <c r="DV115" i="50"/>
  <c r="DW115" i="50"/>
  <c r="DV40" i="50"/>
  <c r="DW40" i="50"/>
  <c r="DV51" i="50"/>
  <c r="DW51" i="50"/>
  <c r="DV49" i="50"/>
  <c r="DW49" i="50"/>
  <c r="DV67" i="50"/>
  <c r="DW67" i="50"/>
  <c r="DV89" i="50"/>
  <c r="DW89" i="50"/>
  <c r="DV92" i="50"/>
  <c r="DW92" i="50"/>
  <c r="DV99" i="50"/>
  <c r="DW99" i="50"/>
  <c r="DV91" i="50"/>
  <c r="DW91" i="50"/>
  <c r="DV85" i="50"/>
  <c r="DW85" i="50"/>
  <c r="DV105" i="50"/>
  <c r="DW105" i="50"/>
  <c r="DV111" i="50"/>
  <c r="DW111" i="50"/>
  <c r="DV41" i="50"/>
  <c r="DW41" i="50"/>
  <c r="DV45" i="50"/>
  <c r="DW45" i="50"/>
  <c r="DW79" i="50"/>
  <c r="DV83" i="50"/>
  <c r="DW83" i="50"/>
  <c r="DW82" i="50"/>
  <c r="DV101" i="50"/>
  <c r="DW101" i="50"/>
  <c r="DV86" i="50"/>
  <c r="DW86" i="50"/>
  <c r="DV104" i="50"/>
  <c r="DW104" i="50"/>
  <c r="DV64" i="50"/>
  <c r="DW64" i="50"/>
  <c r="DV38" i="50"/>
  <c r="DW38" i="50"/>
  <c r="DW88" i="50"/>
  <c r="DV106" i="50"/>
  <c r="DW106" i="50"/>
  <c r="DW90" i="50"/>
  <c r="DV81" i="50"/>
  <c r="DW81" i="50"/>
  <c r="DW127" i="50"/>
  <c r="DW129" i="50"/>
  <c r="DW128" i="50"/>
  <c r="DW130" i="50"/>
  <c r="DW135" i="50"/>
  <c r="DW126" i="50"/>
  <c r="DW136" i="50"/>
  <c r="DW137" i="50"/>
  <c r="DW132" i="50"/>
  <c r="DW133" i="50"/>
  <c r="DW124" i="50"/>
  <c r="DW131" i="50"/>
  <c r="DV63" i="50"/>
  <c r="DW63" i="50"/>
  <c r="DV97" i="50"/>
  <c r="DW97" i="50"/>
  <c r="DV32" i="50"/>
  <c r="DW32" i="50"/>
  <c r="DV107" i="50"/>
  <c r="DW107" i="50"/>
  <c r="DV103" i="50"/>
  <c r="DW103" i="50"/>
  <c r="DV26" i="50"/>
  <c r="DW26" i="50"/>
  <c r="DV13" i="50"/>
  <c r="DW13" i="50"/>
  <c r="DW12" i="50"/>
  <c r="DV62" i="50"/>
  <c r="DW62" i="50"/>
  <c r="DV78" i="50"/>
  <c r="DW78" i="50"/>
  <c r="DV24" i="50"/>
  <c r="DW24" i="50"/>
  <c r="DV108" i="50"/>
  <c r="DW108" i="50"/>
  <c r="DV109" i="50"/>
  <c r="DW109" i="50"/>
  <c r="DV65" i="50"/>
  <c r="DW65" i="50"/>
  <c r="DW96" i="50"/>
  <c r="DV110" i="50"/>
  <c r="DW110" i="50"/>
  <c r="DW139" i="50"/>
  <c r="DW138" i="50"/>
  <c r="DW10" i="50"/>
  <c r="DV93" i="50"/>
  <c r="DV14" i="50"/>
  <c r="DV28" i="50"/>
  <c r="DV54" i="50"/>
  <c r="DV19" i="50"/>
  <c r="DV75" i="50"/>
  <c r="DV95" i="50"/>
  <c r="DV96" i="50"/>
  <c r="DV71" i="50"/>
  <c r="DV58" i="50"/>
  <c r="DV55" i="50"/>
  <c r="DV80" i="50"/>
  <c r="DV123" i="50"/>
  <c r="DV77" i="50"/>
  <c r="DV76" i="50"/>
  <c r="DV68" i="50"/>
  <c r="DV69" i="50"/>
  <c r="DV8" i="50"/>
  <c r="DV53" i="50"/>
  <c r="DV17" i="50"/>
  <c r="DV25" i="50"/>
  <c r="DV23" i="50"/>
  <c r="DV50" i="50"/>
  <c r="DV56" i="50"/>
  <c r="DV10" i="50"/>
  <c r="DV20" i="50"/>
  <c r="DV15" i="50"/>
  <c r="DV135" i="50"/>
  <c r="DV30" i="50"/>
  <c r="DV27" i="50"/>
  <c r="DV9" i="50"/>
  <c r="DV18" i="50"/>
  <c r="DV37" i="50"/>
  <c r="DV79" i="50"/>
  <c r="DV82" i="50"/>
  <c r="DV11" i="50"/>
  <c r="DV60" i="50"/>
  <c r="DV88" i="50"/>
  <c r="DV90" i="50"/>
  <c r="DV128" i="50"/>
  <c r="DV127" i="50"/>
  <c r="DV130" i="50"/>
  <c r="DV129" i="50"/>
  <c r="DV132" i="50"/>
  <c r="DV124" i="50"/>
  <c r="DV134" i="50"/>
  <c r="DV137" i="50"/>
  <c r="DV133" i="50"/>
  <c r="DV136" i="50"/>
  <c r="DV138" i="50"/>
  <c r="DV131" i="50"/>
  <c r="DV126" i="50"/>
  <c r="DV139" i="50"/>
  <c r="DV125" i="50"/>
  <c r="DV119" i="50"/>
  <c r="DV118" i="50"/>
  <c r="DV122" i="50"/>
  <c r="DV120" i="50"/>
  <c r="DV121" i="50"/>
  <c r="DV117" i="50"/>
  <c r="DV116" i="50"/>
  <c r="DV16" i="50"/>
  <c r="DV12" i="50"/>
  <c r="L124" i="30"/>
  <c r="J126" i="50"/>
  <c r="I103" i="41"/>
  <c r="J26" i="50"/>
  <c r="J72" i="50"/>
  <c r="J40" i="50"/>
  <c r="J64" i="50"/>
  <c r="J106" i="50"/>
  <c r="J45" i="50"/>
  <c r="J108" i="50"/>
  <c r="J109" i="50"/>
  <c r="L121" i="30"/>
  <c r="J123" i="50"/>
  <c r="I95" i="41"/>
  <c r="P123" i="30"/>
  <c r="I125" i="50"/>
  <c r="L117" i="30"/>
  <c r="J119" i="50"/>
  <c r="I98" i="41"/>
  <c r="L115" i="30"/>
  <c r="J117" i="50"/>
  <c r="I100" i="41"/>
  <c r="L113" i="30"/>
  <c r="I94" i="41"/>
  <c r="L116" i="30"/>
  <c r="J118" i="50"/>
  <c r="I99" i="41"/>
  <c r="L108" i="30"/>
  <c r="J110" i="50"/>
  <c r="L120" i="30"/>
  <c r="J122" i="50"/>
  <c r="L119" i="30"/>
  <c r="J121" i="50"/>
  <c r="I96" i="41"/>
  <c r="L118" i="30"/>
  <c r="J120" i="50"/>
  <c r="J81" i="50"/>
  <c r="I58" i="41"/>
  <c r="L79" i="30"/>
  <c r="I90" i="41"/>
  <c r="J111" i="50"/>
  <c r="L109" i="30"/>
  <c r="I92" i="41"/>
  <c r="L111" i="30"/>
  <c r="J113" i="50"/>
  <c r="I91" i="41"/>
  <c r="L110" i="30"/>
  <c r="J112" i="50"/>
  <c r="I93" i="41"/>
  <c r="L112" i="30"/>
  <c r="J114" i="50"/>
  <c r="J107" i="50"/>
  <c r="I87" i="41"/>
  <c r="J105" i="50"/>
  <c r="L103" i="30"/>
  <c r="L107" i="30"/>
  <c r="I88" i="41"/>
  <c r="I77" i="41"/>
  <c r="J87" i="50"/>
  <c r="L85" i="30"/>
  <c r="I89" i="41"/>
  <c r="I97" i="41"/>
  <c r="J74" i="50"/>
  <c r="J29" i="50"/>
  <c r="J66" i="50"/>
  <c r="L72" i="30"/>
  <c r="M72" i="30" s="1"/>
  <c r="O72" i="30" s="1"/>
  <c r="J57" i="50"/>
  <c r="J48" i="50"/>
  <c r="J39" i="50"/>
  <c r="J47" i="50"/>
  <c r="J42" i="50"/>
  <c r="J22" i="50"/>
  <c r="J31" i="50"/>
  <c r="J21" i="50"/>
  <c r="J46" i="50"/>
  <c r="J36" i="50"/>
  <c r="J44" i="50"/>
  <c r="J35" i="50"/>
  <c r="J43" i="50"/>
  <c r="J34" i="50"/>
  <c r="J59" i="50"/>
  <c r="J33" i="50"/>
  <c r="J90" i="50"/>
  <c r="L88" i="30"/>
  <c r="L101" i="30"/>
  <c r="J103" i="50"/>
  <c r="I82" i="41"/>
  <c r="I86" i="41"/>
  <c r="L104" i="30"/>
  <c r="I85" i="41"/>
  <c r="L105" i="30"/>
  <c r="I84" i="41"/>
  <c r="L106" i="30"/>
  <c r="J115" i="50"/>
  <c r="J104" i="50"/>
  <c r="L96" i="30"/>
  <c r="J98" i="50"/>
  <c r="I79" i="41"/>
  <c r="J93" i="50"/>
  <c r="L91" i="30"/>
  <c r="L102" i="30"/>
  <c r="I83" i="41"/>
  <c r="J80" i="50"/>
  <c r="L100" i="30"/>
  <c r="J102" i="50"/>
  <c r="I81" i="41"/>
  <c r="J61" i="50"/>
  <c r="J52" i="50"/>
  <c r="J51" i="50"/>
  <c r="J49" i="50"/>
  <c r="J73" i="50"/>
  <c r="J41" i="50"/>
  <c r="J99" i="50"/>
  <c r="L95" i="30"/>
  <c r="I76" i="41"/>
  <c r="L98" i="30"/>
  <c r="J100" i="50"/>
  <c r="I78" i="41"/>
  <c r="J86" i="50"/>
  <c r="L84" i="30"/>
  <c r="I75" i="41"/>
  <c r="J32" i="50"/>
  <c r="I59" i="41"/>
  <c r="J24" i="50"/>
  <c r="I80" i="41"/>
  <c r="L99" i="30"/>
  <c r="J101" i="50"/>
  <c r="I73" i="41"/>
  <c r="J85" i="50"/>
  <c r="L83" i="30"/>
  <c r="J78" i="50"/>
  <c r="J55" i="50"/>
  <c r="J62" i="50"/>
  <c r="J38" i="50"/>
  <c r="J13" i="50"/>
  <c r="J63" i="50"/>
  <c r="J96" i="50"/>
  <c r="L94" i="30"/>
  <c r="L92" i="30"/>
  <c r="J94" i="50"/>
  <c r="J91" i="50"/>
  <c r="L89" i="30"/>
  <c r="J95" i="50"/>
  <c r="L93" i="30"/>
  <c r="J71" i="50"/>
  <c r="L97" i="30"/>
  <c r="J97" i="50"/>
  <c r="J82" i="50"/>
  <c r="J50" i="50"/>
  <c r="J77" i="50"/>
  <c r="J88" i="50"/>
  <c r="J23" i="50"/>
  <c r="J12" i="50"/>
  <c r="J25" i="50"/>
  <c r="J20" i="50"/>
  <c r="J17" i="50"/>
  <c r="J14" i="50"/>
  <c r="J28" i="50"/>
  <c r="J9" i="50"/>
  <c r="J18" i="50"/>
  <c r="J56" i="50"/>
  <c r="J30" i="50"/>
  <c r="J27" i="50"/>
  <c r="L63" i="30"/>
  <c r="J65" i="50"/>
  <c r="J19" i="50"/>
  <c r="J75" i="50"/>
  <c r="J11" i="50"/>
  <c r="L68" i="30"/>
  <c r="J70" i="50"/>
  <c r="J76" i="50"/>
  <c r="J37" i="50"/>
  <c r="J15" i="50"/>
  <c r="J60" i="50"/>
  <c r="L65" i="30"/>
  <c r="J67" i="50"/>
  <c r="J68" i="50"/>
  <c r="J69" i="50"/>
  <c r="L82" i="30"/>
  <c r="J84" i="50"/>
  <c r="J16" i="50"/>
  <c r="J10" i="50"/>
  <c r="J53" i="50"/>
  <c r="J58" i="50"/>
  <c r="J79" i="50"/>
  <c r="L81" i="30"/>
  <c r="J83" i="50"/>
  <c r="L87" i="30"/>
  <c r="J89" i="50"/>
  <c r="J54" i="50"/>
  <c r="L90" i="30"/>
  <c r="J92" i="50"/>
  <c r="I72" i="41"/>
  <c r="I71" i="41"/>
  <c r="I70" i="41"/>
  <c r="L86" i="30"/>
  <c r="I60" i="41"/>
  <c r="L80" i="30"/>
  <c r="I63" i="41"/>
  <c r="I64" i="41"/>
  <c r="I65" i="41"/>
  <c r="I66" i="41"/>
  <c r="I69" i="41"/>
  <c r="I68" i="41"/>
  <c r="I67" i="41"/>
  <c r="L75" i="30"/>
  <c r="L67" i="30"/>
  <c r="L69" i="30"/>
  <c r="L74" i="30"/>
  <c r="I62" i="41"/>
  <c r="I61" i="41"/>
  <c r="L77" i="30"/>
  <c r="I57" i="41"/>
  <c r="L78" i="30"/>
  <c r="L70" i="30"/>
  <c r="L71" i="30"/>
  <c r="I56" i="41"/>
  <c r="L76" i="30"/>
  <c r="L66" i="30"/>
  <c r="G6" i="66"/>
  <c r="F7" i="66"/>
  <c r="G7" i="66"/>
  <c r="F5" i="66"/>
  <c r="G5" i="66"/>
  <c r="F6" i="66"/>
  <c r="E7" i="66"/>
  <c r="D6" i="66"/>
  <c r="E5" i="66"/>
  <c r="E4" i="66"/>
  <c r="D7" i="66"/>
  <c r="D4" i="66"/>
  <c r="E6" i="66"/>
  <c r="D5" i="66"/>
  <c r="E3" i="66"/>
  <c r="K7" i="41"/>
  <c r="EC140" i="50" l="1"/>
  <c r="DZ140" i="50"/>
  <c r="P114" i="30"/>
  <c r="I116" i="50"/>
  <c r="K116" i="50" s="1"/>
  <c r="W101" i="41"/>
  <c r="DY140" i="50"/>
  <c r="DX140" i="50"/>
  <c r="DW140" i="50"/>
  <c r="DV140" i="50"/>
  <c r="K125" i="50"/>
  <c r="I74" i="50"/>
  <c r="K74" i="50" s="1"/>
  <c r="P72" i="30"/>
  <c r="E834" i="37"/>
  <c r="AB834" i="37"/>
  <c r="G834" i="37"/>
  <c r="F111" i="41"/>
  <c r="J68" i="5"/>
  <c r="K68" i="5"/>
  <c r="L68" i="5"/>
  <c r="M68" i="5"/>
  <c r="N68" i="5"/>
  <c r="O68" i="5"/>
  <c r="P68" i="5"/>
  <c r="Q68" i="5"/>
  <c r="R68" i="5"/>
  <c r="I68" i="5"/>
  <c r="H68" i="5"/>
  <c r="J8" i="50"/>
  <c r="J140" i="50" s="1"/>
  <c r="I6" i="41"/>
  <c r="L6" i="30"/>
  <c r="L7" i="30"/>
  <c r="L8" i="30"/>
  <c r="L9" i="30"/>
  <c r="L10" i="30"/>
  <c r="L11" i="30"/>
  <c r="L12" i="30"/>
  <c r="L13" i="30"/>
  <c r="L14" i="30"/>
  <c r="L15" i="30"/>
  <c r="L16" i="30"/>
  <c r="L17" i="30"/>
  <c r="L18" i="30"/>
  <c r="L19" i="30"/>
  <c r="M19" i="30" s="1"/>
  <c r="O19" i="30" s="1"/>
  <c r="L20" i="30"/>
  <c r="M20" i="30" s="1"/>
  <c r="O20" i="30" s="1"/>
  <c r="L21" i="30"/>
  <c r="L22" i="30"/>
  <c r="L23" i="30"/>
  <c r="L24" i="30"/>
  <c r="L25" i="30"/>
  <c r="L26" i="30"/>
  <c r="L27" i="30"/>
  <c r="M27" i="30" s="1"/>
  <c r="L28" i="30"/>
  <c r="M28" i="30" s="1"/>
  <c r="O28" i="30" s="1"/>
  <c r="L29" i="30"/>
  <c r="M29" i="30" s="1"/>
  <c r="O29" i="30" s="1"/>
  <c r="L30" i="30"/>
  <c r="L31" i="30"/>
  <c r="M31" i="30" s="1"/>
  <c r="O31" i="30" s="1"/>
  <c r="L32" i="30"/>
  <c r="M32" i="30" s="1"/>
  <c r="O32" i="30" s="1"/>
  <c r="L33" i="30"/>
  <c r="L34" i="30"/>
  <c r="M34" i="30" s="1"/>
  <c r="O34" i="30" s="1"/>
  <c r="L35" i="30"/>
  <c r="L36" i="30"/>
  <c r="L37" i="30"/>
  <c r="M37" i="30" s="1"/>
  <c r="O37" i="30" s="1"/>
  <c r="L38" i="30"/>
  <c r="L39" i="30"/>
  <c r="L40" i="30"/>
  <c r="M40" i="30" s="1"/>
  <c r="O40" i="30" s="1"/>
  <c r="L41" i="30"/>
  <c r="M41" i="30" s="1"/>
  <c r="O41" i="30" s="1"/>
  <c r="L42" i="30"/>
  <c r="M42" i="30" s="1"/>
  <c r="O42" i="30" s="1"/>
  <c r="L43" i="30"/>
  <c r="L44" i="30"/>
  <c r="M44" i="30" s="1"/>
  <c r="O44" i="30" s="1"/>
  <c r="L45" i="30"/>
  <c r="M45" i="30" s="1"/>
  <c r="O45" i="30" s="1"/>
  <c r="L46" i="30"/>
  <c r="M46" i="30" s="1"/>
  <c r="O46" i="30" s="1"/>
  <c r="L47" i="30"/>
  <c r="L48" i="30"/>
  <c r="L49" i="30"/>
  <c r="L50" i="30"/>
  <c r="L51" i="30"/>
  <c r="L52" i="30"/>
  <c r="L53" i="30"/>
  <c r="L54" i="30"/>
  <c r="L55" i="30"/>
  <c r="M55" i="30" s="1"/>
  <c r="O55" i="30" s="1"/>
  <c r="L56" i="30"/>
  <c r="L57" i="30"/>
  <c r="M57" i="30" s="1"/>
  <c r="O57" i="30" s="1"/>
  <c r="L58" i="30"/>
  <c r="L59" i="30"/>
  <c r="L60" i="30"/>
  <c r="L61" i="30"/>
  <c r="L62" i="30"/>
  <c r="L64" i="30"/>
  <c r="L73" i="30"/>
  <c r="D18" i="75" l="1"/>
  <c r="I33" i="50"/>
  <c r="K33" i="50" s="1"/>
  <c r="P31" i="30"/>
  <c r="I21" i="50"/>
  <c r="K21" i="50" s="1"/>
  <c r="P19" i="30"/>
  <c r="I44" i="50"/>
  <c r="K44" i="50" s="1"/>
  <c r="P42" i="30"/>
  <c r="I59" i="50"/>
  <c r="K59" i="50" s="1"/>
  <c r="P57" i="30"/>
  <c r="I47" i="50"/>
  <c r="K47" i="50" s="1"/>
  <c r="P45" i="30"/>
  <c r="P41" i="30"/>
  <c r="I43" i="50"/>
  <c r="K43" i="50" s="1"/>
  <c r="I39" i="50"/>
  <c r="K39" i="50" s="1"/>
  <c r="P37" i="30"/>
  <c r="I31" i="50"/>
  <c r="K31" i="50" s="1"/>
  <c r="P29" i="30"/>
  <c r="I57" i="50"/>
  <c r="K57" i="50" s="1"/>
  <c r="P55" i="30"/>
  <c r="I48" i="50"/>
  <c r="K48" i="50" s="1"/>
  <c r="P46" i="30"/>
  <c r="I36" i="50"/>
  <c r="K36" i="50" s="1"/>
  <c r="P34" i="30"/>
  <c r="I46" i="50"/>
  <c r="K46" i="50" s="1"/>
  <c r="P44" i="30"/>
  <c r="I42" i="50"/>
  <c r="K42" i="50" s="1"/>
  <c r="P40" i="30"/>
  <c r="I34" i="50"/>
  <c r="K34" i="50" s="1"/>
  <c r="P32" i="30"/>
  <c r="I30" i="50"/>
  <c r="K30" i="50" s="1"/>
  <c r="P28" i="30"/>
  <c r="I22" i="50"/>
  <c r="K22" i="50" s="1"/>
  <c r="P20" i="30"/>
  <c r="L139" i="30"/>
  <c r="C28" i="29"/>
  <c r="C29" i="29"/>
  <c r="C30" i="29"/>
  <c r="C31" i="29"/>
  <c r="C32" i="29"/>
  <c r="F110" i="41" l="1"/>
  <c r="G6" i="37" l="1" a="1"/>
  <c r="G6" i="37" s="1"/>
  <c r="G7" i="37" a="1"/>
  <c r="G7" i="37" s="1"/>
  <c r="G9" i="37" a="1"/>
  <c r="G9" i="37" s="1"/>
  <c r="F6" i="37"/>
  <c r="F7" i="37"/>
  <c r="F9" i="37"/>
  <c r="D6" i="37"/>
  <c r="D7" i="37"/>
  <c r="D9" i="37"/>
  <c r="O159" i="46" l="1"/>
  <c r="L67" i="5"/>
  <c r="M67" i="5"/>
  <c r="N67" i="5"/>
  <c r="O67" i="5"/>
  <c r="P67" i="5"/>
  <c r="Q67" i="5"/>
  <c r="R67" i="5"/>
  <c r="I67" i="5"/>
  <c r="J67" i="5"/>
  <c r="K67" i="5"/>
  <c r="H67" i="5"/>
  <c r="AA67"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D5" i="75" l="1"/>
  <c r="B3" i="65"/>
  <c r="T68" i="5"/>
  <c r="T67" i="5"/>
  <c r="U8" i="41"/>
  <c r="U10" i="41"/>
  <c r="U11" i="41"/>
  <c r="U12" i="41"/>
  <c r="U13" i="41"/>
  <c r="U14" i="41"/>
  <c r="U15" i="41"/>
  <c r="U16" i="41"/>
  <c r="U17" i="41"/>
  <c r="U18" i="41"/>
  <c r="U19" i="41"/>
  <c r="U20" i="41"/>
  <c r="U21" i="41"/>
  <c r="U22" i="41"/>
  <c r="U23" i="41"/>
  <c r="U24" i="41"/>
  <c r="U25" i="41"/>
  <c r="U26" i="41"/>
  <c r="U27" i="41"/>
  <c r="U28" i="41"/>
  <c r="U29" i="41"/>
  <c r="U30" i="41"/>
  <c r="U31" i="41"/>
  <c r="U32" i="41"/>
  <c r="U33" i="41"/>
  <c r="U34" i="41"/>
  <c r="U35" i="41"/>
  <c r="U36" i="41"/>
  <c r="U37" i="41"/>
  <c r="U38" i="41"/>
  <c r="U39" i="41"/>
  <c r="U40" i="41"/>
  <c r="U41" i="41"/>
  <c r="U42" i="41"/>
  <c r="U43" i="41"/>
  <c r="U44" i="41"/>
  <c r="U45" i="41"/>
  <c r="U46" i="41"/>
  <c r="U47" i="41"/>
  <c r="U48" i="41"/>
  <c r="U49" i="41"/>
  <c r="U50" i="41"/>
  <c r="U51" i="41"/>
  <c r="U52" i="41"/>
  <c r="U53" i="41"/>
  <c r="U54" i="41"/>
  <c r="U55" i="41"/>
  <c r="U74" i="41"/>
  <c r="U6" i="41"/>
  <c r="J1506" i="62" l="1"/>
  <c r="E7" i="63" l="1"/>
  <c r="E12" i="63" l="1"/>
  <c r="E16" i="63"/>
  <c r="E20" i="63"/>
  <c r="E10" i="63"/>
  <c r="E18" i="63"/>
  <c r="E15" i="63"/>
  <c r="E19" i="63"/>
  <c r="E9" i="63"/>
  <c r="E13" i="63"/>
  <c r="E17" i="63"/>
  <c r="E8" i="63"/>
  <c r="E14" i="63"/>
  <c r="E11" i="63"/>
  <c r="E21" i="63" l="1"/>
  <c r="F11" i="63"/>
  <c r="F15" i="63"/>
  <c r="F19" i="63"/>
  <c r="F10" i="63"/>
  <c r="F12" i="63"/>
  <c r="F16" i="63"/>
  <c r="F20" i="63"/>
  <c r="F18" i="63"/>
  <c r="F9" i="63"/>
  <c r="F13" i="63"/>
  <c r="F8" i="63"/>
  <c r="F14" i="63"/>
  <c r="G12" i="63"/>
  <c r="G16" i="63"/>
  <c r="G20" i="63"/>
  <c r="G11" i="63"/>
  <c r="G9" i="63"/>
  <c r="G13" i="63"/>
  <c r="G8" i="63"/>
  <c r="G19" i="63"/>
  <c r="G10" i="63"/>
  <c r="G14" i="63"/>
  <c r="G18" i="63"/>
  <c r="G15" i="63"/>
  <c r="G6" i="62"/>
  <c r="G8" i="62" s="1"/>
  <c r="F6" i="62"/>
  <c r="E6" i="62"/>
  <c r="E8" i="62" s="1"/>
  <c r="D6" i="62"/>
  <c r="C6" i="62"/>
  <c r="C14" i="61"/>
  <c r="C15" i="61"/>
  <c r="R29" i="61" l="1"/>
  <c r="R34" i="61"/>
  <c r="R37" i="61"/>
  <c r="R35" i="61"/>
  <c r="R33" i="61"/>
  <c r="R32" i="61"/>
  <c r="R30" i="61"/>
  <c r="R31" i="61"/>
  <c r="R36" i="61"/>
  <c r="R38" i="61"/>
  <c r="E11" i="62"/>
  <c r="E10" i="62"/>
  <c r="E12" i="62"/>
  <c r="E9" i="62"/>
  <c r="E13" i="62"/>
  <c r="F10" i="62"/>
  <c r="F9" i="62"/>
  <c r="F13" i="62"/>
  <c r="F8" i="62"/>
  <c r="F11" i="62"/>
  <c r="F12" i="62"/>
  <c r="C9" i="62"/>
  <c r="C13" i="62"/>
  <c r="C10" i="62"/>
  <c r="C8" i="62"/>
  <c r="C12" i="62"/>
  <c r="C11" i="62"/>
  <c r="G9" i="62"/>
  <c r="G13" i="62"/>
  <c r="G10" i="62"/>
  <c r="G11" i="62"/>
  <c r="G12" i="62"/>
  <c r="D12" i="62"/>
  <c r="D9" i="62"/>
  <c r="D13" i="62"/>
  <c r="D8" i="62"/>
  <c r="D11" i="62"/>
  <c r="D10" i="62"/>
  <c r="H12" i="62"/>
  <c r="H11" i="62"/>
  <c r="H9" i="62"/>
  <c r="H13" i="62"/>
  <c r="H8" i="62"/>
  <c r="H10" i="62"/>
  <c r="I9" i="41"/>
  <c r="K9" i="41"/>
  <c r="K8" i="41"/>
  <c r="I8" i="41"/>
  <c r="U7" i="41"/>
  <c r="U9" i="41"/>
  <c r="O160" i="46"/>
  <c r="AG1504" i="62"/>
  <c r="V108" i="41" l="1"/>
  <c r="V107" i="41"/>
  <c r="V106" i="41"/>
  <c r="V105" i="41"/>
  <c r="V104" i="41"/>
  <c r="V102" i="41"/>
  <c r="V109" i="41"/>
  <c r="V103" i="41"/>
  <c r="V101" i="41"/>
  <c r="V100" i="41"/>
  <c r="V99" i="41"/>
  <c r="V98" i="41"/>
  <c r="V94" i="41"/>
  <c r="V96" i="41"/>
  <c r="V95" i="41"/>
  <c r="V93" i="41"/>
  <c r="V91" i="41"/>
  <c r="V92" i="41"/>
  <c r="V88" i="41"/>
  <c r="V90" i="41"/>
  <c r="V86" i="41"/>
  <c r="V84" i="41"/>
  <c r="V85" i="41"/>
  <c r="V89" i="41"/>
  <c r="V79" i="41"/>
  <c r="V81" i="41"/>
  <c r="V78" i="41"/>
  <c r="V80" i="41"/>
  <c r="V87" i="41"/>
  <c r="V82" i="41"/>
  <c r="V83" i="41"/>
  <c r="V75" i="41"/>
  <c r="V52" i="41"/>
  <c r="V13" i="41"/>
  <c r="V44" i="41"/>
  <c r="V43" i="41"/>
  <c r="V68" i="41"/>
  <c r="V47" i="41"/>
  <c r="V54" i="41"/>
  <c r="V55" i="41"/>
  <c r="V66" i="41"/>
  <c r="V38" i="41"/>
  <c r="V18" i="41"/>
  <c r="V64" i="41"/>
  <c r="V27" i="41"/>
  <c r="V56" i="41"/>
  <c r="V59" i="41"/>
  <c r="V69" i="41"/>
  <c r="V15" i="41"/>
  <c r="V30" i="41"/>
  <c r="V34" i="41"/>
  <c r="V11" i="41"/>
  <c r="V39" i="41"/>
  <c r="V72" i="41"/>
  <c r="V45" i="41"/>
  <c r="V62" i="41"/>
  <c r="V49" i="41"/>
  <c r="V53" i="41"/>
  <c r="V26" i="41"/>
  <c r="V36" i="41"/>
  <c r="V14" i="41"/>
  <c r="V35" i="41"/>
  <c r="V33" i="41"/>
  <c r="V77" i="41"/>
  <c r="V48" i="41"/>
  <c r="V23" i="41"/>
  <c r="V40" i="41"/>
  <c r="V7" i="41"/>
  <c r="V25" i="41"/>
  <c r="V76" i="41"/>
  <c r="V28" i="41"/>
  <c r="V74" i="41"/>
  <c r="V51" i="41"/>
  <c r="V10" i="41"/>
  <c r="V21" i="41"/>
  <c r="V20" i="41"/>
  <c r="V71" i="41"/>
  <c r="V60" i="41"/>
  <c r="V31" i="41"/>
  <c r="V70" i="41"/>
  <c r="V41" i="41"/>
  <c r="V19" i="41"/>
  <c r="V57" i="41"/>
  <c r="V17" i="41"/>
  <c r="V24" i="41"/>
  <c r="V46" i="41"/>
  <c r="V32" i="41"/>
  <c r="V6" i="41"/>
  <c r="V29" i="41"/>
  <c r="V50" i="41"/>
  <c r="V73" i="41"/>
  <c r="V42" i="41"/>
  <c r="V63" i="41"/>
  <c r="V12" i="41"/>
  <c r="V61" i="41"/>
  <c r="V9" i="41"/>
  <c r="V37" i="41"/>
  <c r="V8" i="41"/>
  <c r="V67" i="41"/>
  <c r="V97" i="41"/>
  <c r="V58" i="41"/>
  <c r="V16" i="41"/>
  <c r="V65" i="41"/>
  <c r="V22" i="41"/>
  <c r="U143" i="50"/>
  <c r="V143" i="50" l="1"/>
  <c r="W143" i="50" l="1"/>
  <c r="X143" i="50" l="1"/>
  <c r="P20" i="62"/>
  <c r="T21" i="62" s="1"/>
  <c r="F39" i="61"/>
  <c r="G39" i="61" s="1"/>
  <c r="O93" i="63"/>
  <c r="N93" i="63"/>
  <c r="K93" i="63"/>
  <c r="J93" i="63"/>
  <c r="H93" i="63"/>
  <c r="F93" i="63"/>
  <c r="A74" i="63"/>
  <c r="A73" i="63"/>
  <c r="A72" i="63"/>
  <c r="A71" i="63"/>
  <c r="A70" i="63"/>
  <c r="A69" i="63"/>
  <c r="A68" i="63"/>
  <c r="A67" i="63"/>
  <c r="A66" i="63"/>
  <c r="A65" i="63"/>
  <c r="A64" i="63"/>
  <c r="A63" i="63"/>
  <c r="A62" i="63"/>
  <c r="A61" i="63"/>
  <c r="A60" i="63"/>
  <c r="A59" i="63"/>
  <c r="A58" i="63"/>
  <c r="A57" i="63"/>
  <c r="A56" i="63"/>
  <c r="A54" i="63"/>
  <c r="A53" i="63"/>
  <c r="A52" i="63"/>
  <c r="A51" i="63"/>
  <c r="A50" i="63"/>
  <c r="A49" i="63"/>
  <c r="A48" i="63"/>
  <c r="A47" i="63"/>
  <c r="A46" i="63"/>
  <c r="A45" i="63"/>
  <c r="A44" i="63"/>
  <c r="A43" i="63"/>
  <c r="A42" i="63"/>
  <c r="A41" i="63"/>
  <c r="A40" i="63"/>
  <c r="I27" i="63"/>
  <c r="G27" i="63"/>
  <c r="D27" i="63"/>
  <c r="C21" i="63"/>
  <c r="K20" i="63"/>
  <c r="I20" i="63"/>
  <c r="H20" i="63"/>
  <c r="K19" i="63"/>
  <c r="I19" i="63"/>
  <c r="H19" i="63"/>
  <c r="K18" i="63"/>
  <c r="I18" i="63"/>
  <c r="H18" i="63"/>
  <c r="K17" i="63"/>
  <c r="H17" i="63"/>
  <c r="I17" i="63" s="1"/>
  <c r="K16" i="63"/>
  <c r="H16" i="63"/>
  <c r="I16" i="63" s="1"/>
  <c r="K15" i="63"/>
  <c r="H15" i="63"/>
  <c r="I15" i="63" s="1"/>
  <c r="K14" i="63"/>
  <c r="H14" i="63"/>
  <c r="I14" i="63" s="1"/>
  <c r="H12" i="63"/>
  <c r="H10" i="63"/>
  <c r="H9" i="63"/>
  <c r="K8" i="63"/>
  <c r="Y1506" i="62"/>
  <c r="X1506" i="62"/>
  <c r="T1506" i="62"/>
  <c r="M1506" i="62"/>
  <c r="X1504" i="62"/>
  <c r="T1504" i="62"/>
  <c r="M1504" i="62"/>
  <c r="J1504" i="62"/>
  <c r="P40" i="61"/>
  <c r="E40" i="61"/>
  <c r="G28" i="61"/>
  <c r="G27" i="61"/>
  <c r="I18" i="61"/>
  <c r="C17" i="61"/>
  <c r="C16" i="61"/>
  <c r="C13" i="61"/>
  <c r="C12" i="61"/>
  <c r="R7" i="61"/>
  <c r="Z1504" i="62" l="1"/>
  <c r="H28" i="63"/>
  <c r="G28" i="63"/>
  <c r="K28" i="63"/>
  <c r="J28" i="63"/>
  <c r="I28" i="63"/>
  <c r="L28" i="63"/>
  <c r="O28" i="63"/>
  <c r="N28" i="63"/>
  <c r="M28" i="63"/>
  <c r="D28" i="63"/>
  <c r="F28" i="63"/>
  <c r="E28" i="63"/>
  <c r="I11" i="62"/>
  <c r="I12" i="62"/>
  <c r="I10" i="62"/>
  <c r="I9" i="62"/>
  <c r="I13" i="62"/>
  <c r="I8" i="62"/>
  <c r="N10" i="62"/>
  <c r="N11" i="62"/>
  <c r="N9" i="62"/>
  <c r="N13" i="62"/>
  <c r="N8" i="62"/>
  <c r="N12" i="62"/>
  <c r="W33" i="61"/>
  <c r="W37" i="61"/>
  <c r="I32" i="61"/>
  <c r="I36" i="61"/>
  <c r="W36" i="61"/>
  <c r="I31" i="61"/>
  <c r="W34" i="61"/>
  <c r="W38" i="61"/>
  <c r="I29" i="61"/>
  <c r="I33" i="61"/>
  <c r="I37" i="61"/>
  <c r="I28" i="61"/>
  <c r="W31" i="61"/>
  <c r="W35" i="61"/>
  <c r="H28" i="61"/>
  <c r="I30" i="61"/>
  <c r="I34" i="61"/>
  <c r="I38" i="61"/>
  <c r="W32" i="61"/>
  <c r="I35" i="61"/>
  <c r="K9" i="62"/>
  <c r="K13" i="62"/>
  <c r="K8" i="62"/>
  <c r="K12" i="62"/>
  <c r="K10" i="62"/>
  <c r="K11" i="62"/>
  <c r="O9" i="62"/>
  <c r="O13" i="62"/>
  <c r="O8" i="62"/>
  <c r="O10" i="62"/>
  <c r="O12" i="62"/>
  <c r="O11" i="62"/>
  <c r="L12" i="62"/>
  <c r="L9" i="62"/>
  <c r="L13" i="62"/>
  <c r="L8" i="62"/>
  <c r="L10" i="62"/>
  <c r="L11" i="62"/>
  <c r="J10" i="62"/>
  <c r="J11" i="62"/>
  <c r="J12" i="62"/>
  <c r="J9" i="62"/>
  <c r="J13" i="62"/>
  <c r="J8" i="62"/>
  <c r="M11" i="62"/>
  <c r="M12" i="62"/>
  <c r="M9" i="62"/>
  <c r="M13" i="62"/>
  <c r="M8" i="62"/>
  <c r="M10" i="62"/>
  <c r="J26" i="61"/>
  <c r="M26" i="61"/>
  <c r="L26" i="61"/>
  <c r="Q21" i="62"/>
  <c r="P21" i="62"/>
  <c r="K20" i="62"/>
  <c r="N20" i="62"/>
  <c r="I26" i="61"/>
  <c r="K26" i="61"/>
  <c r="K13" i="63"/>
  <c r="H13" i="63"/>
  <c r="K11" i="63"/>
  <c r="K10" i="63"/>
  <c r="H11" i="63"/>
  <c r="K12" i="63"/>
  <c r="D21" i="63"/>
  <c r="K9" i="63"/>
  <c r="J21" i="63"/>
  <c r="H8" i="63"/>
  <c r="U21" i="62"/>
  <c r="H20" i="62"/>
  <c r="S36" i="61"/>
  <c r="S38" i="61"/>
  <c r="S35" i="61"/>
  <c r="S37" i="61"/>
  <c r="I39" i="61"/>
  <c r="Y143" i="50"/>
  <c r="X40" i="61"/>
  <c r="F20" i="62"/>
  <c r="Q40" i="61"/>
  <c r="P8" i="62" l="1"/>
  <c r="H7" i="62" s="1"/>
  <c r="G40" i="61"/>
  <c r="S31" i="61"/>
  <c r="M40" i="61"/>
  <c r="F40" i="61"/>
  <c r="I21" i="62"/>
  <c r="H21" i="62"/>
  <c r="J21" i="62"/>
  <c r="X21" i="62"/>
  <c r="V21" i="62"/>
  <c r="W21" i="62"/>
  <c r="O21" i="62"/>
  <c r="N21" i="62"/>
  <c r="M21" i="62"/>
  <c r="L21" i="62"/>
  <c r="K21" i="62"/>
  <c r="G21" i="62"/>
  <c r="F21" i="62"/>
  <c r="S34" i="61"/>
  <c r="S32" i="61"/>
  <c r="S29" i="61"/>
  <c r="S30" i="61"/>
  <c r="I12" i="63"/>
  <c r="S33" i="61"/>
  <c r="I10" i="63"/>
  <c r="I13" i="63"/>
  <c r="K21" i="63"/>
  <c r="I9" i="63"/>
  <c r="I11" i="63"/>
  <c r="H21" i="63"/>
  <c r="I8" i="63"/>
  <c r="L37" i="61"/>
  <c r="N37" i="61" s="1"/>
  <c r="L28" i="61"/>
  <c r="N28" i="61" s="1"/>
  <c r="L36" i="61"/>
  <c r="N36" i="61" s="1"/>
  <c r="L33" i="61"/>
  <c r="N33" i="61" s="1"/>
  <c r="Z143" i="50"/>
  <c r="G21" i="63"/>
  <c r="L32" i="61"/>
  <c r="N32" i="61" s="1"/>
  <c r="K40" i="61"/>
  <c r="F21" i="63"/>
  <c r="L29" i="61"/>
  <c r="I40" i="61"/>
  <c r="J40" i="61"/>
  <c r="L35" i="61"/>
  <c r="N35" i="61" s="1"/>
  <c r="L31" i="61"/>
  <c r="N31" i="61" s="1"/>
  <c r="L38" i="61"/>
  <c r="N38" i="61" s="1"/>
  <c r="L34" i="61"/>
  <c r="N34" i="61" s="1"/>
  <c r="L30" i="61"/>
  <c r="N30" i="61" s="1"/>
  <c r="D22" i="75" l="1" a="1"/>
  <c r="D22" i="75" s="1"/>
  <c r="K7" i="62"/>
  <c r="F7" i="62"/>
  <c r="N7" i="62"/>
  <c r="O7" i="62"/>
  <c r="M7" i="62"/>
  <c r="G7" i="62"/>
  <c r="E7" i="62"/>
  <c r="I7" i="62"/>
  <c r="L7" i="62"/>
  <c r="J7" i="62"/>
  <c r="M7" i="61"/>
  <c r="N7" i="61" s="1"/>
  <c r="S40" i="61"/>
  <c r="R40" i="61"/>
  <c r="I21" i="63"/>
  <c r="AA143" i="50"/>
  <c r="N29" i="61"/>
  <c r="N40" i="61" s="1"/>
  <c r="L40" i="61"/>
  <c r="P12" i="62" l="1"/>
  <c r="P11" i="62"/>
  <c r="P13" i="62"/>
  <c r="P9" i="62"/>
  <c r="P10" i="62"/>
  <c r="AB143" i="50"/>
  <c r="B76" i="5"/>
  <c r="B77" i="5"/>
  <c r="B78" i="5"/>
  <c r="B79" i="5"/>
  <c r="B80" i="5"/>
  <c r="B81" i="5"/>
  <c r="B82" i="5"/>
  <c r="B83" i="5"/>
  <c r="B84" i="5"/>
  <c r="B85" i="5"/>
  <c r="AC143" i="50" l="1"/>
  <c r="C84" i="5"/>
  <c r="C83" i="5"/>
  <c r="C82" i="5"/>
  <c r="C81" i="5"/>
  <c r="C80" i="5"/>
  <c r="C76" i="5"/>
  <c r="C75" i="5"/>
  <c r="B75" i="5"/>
  <c r="AD143" i="50" l="1"/>
  <c r="AE143" i="50" l="1"/>
  <c r="AF143" i="50" l="1"/>
  <c r="B10" i="5"/>
  <c r="B48" i="5"/>
  <c r="B7" i="5"/>
  <c r="B44" i="5"/>
  <c r="B49" i="5"/>
  <c r="B31" i="5"/>
  <c r="B25" i="5"/>
  <c r="B35" i="5"/>
  <c r="B20" i="5"/>
  <c r="B62" i="5"/>
  <c r="B29" i="5"/>
  <c r="B19" i="5"/>
  <c r="B61" i="5"/>
  <c r="B50" i="5"/>
  <c r="B30" i="5"/>
  <c r="B45" i="5"/>
  <c r="B33" i="5"/>
  <c r="B13" i="5"/>
  <c r="B9" i="5"/>
  <c r="B46" i="5"/>
  <c r="B17" i="5"/>
  <c r="B12" i="5"/>
  <c r="B43" i="5"/>
  <c r="B41" i="5"/>
  <c r="B32" i="5"/>
  <c r="B56" i="5"/>
  <c r="B23" i="5"/>
  <c r="B38" i="5"/>
  <c r="B15" i="5"/>
  <c r="B36" i="5"/>
  <c r="B26" i="5"/>
  <c r="B18" i="5"/>
  <c r="B63" i="5"/>
  <c r="B34" i="5"/>
  <c r="B64" i="5"/>
  <c r="B65" i="5"/>
  <c r="B22" i="5"/>
  <c r="B53" i="5"/>
  <c r="B42" i="5"/>
  <c r="B59" i="5"/>
  <c r="B47" i="5"/>
  <c r="B37" i="5"/>
  <c r="B14" i="5"/>
  <c r="B21" i="5"/>
  <c r="B55" i="5"/>
  <c r="B27" i="5"/>
  <c r="B8" i="5"/>
  <c r="B51" i="5"/>
  <c r="B40" i="5"/>
  <c r="B52" i="5"/>
  <c r="B24" i="5"/>
  <c r="B16" i="5"/>
  <c r="B57" i="5"/>
  <c r="B54" i="5"/>
  <c r="B28" i="5"/>
  <c r="B11" i="5"/>
  <c r="B39" i="5"/>
  <c r="B60" i="5"/>
  <c r="B58" i="5"/>
  <c r="C129" i="30" l="1"/>
  <c r="C131" i="50" s="1"/>
  <c r="D129" i="30"/>
  <c r="D131" i="50" s="1"/>
  <c r="F129" i="30"/>
  <c r="F131" i="50" s="1"/>
  <c r="E129" i="30"/>
  <c r="E131" i="50" s="1"/>
  <c r="G129" i="30"/>
  <c r="G131" i="50" s="1"/>
  <c r="C128" i="30"/>
  <c r="C130" i="50" s="1"/>
  <c r="G128" i="30"/>
  <c r="G130" i="50" s="1"/>
  <c r="D128" i="30"/>
  <c r="D130" i="50" s="1"/>
  <c r="F128" i="30"/>
  <c r="F130" i="50" s="1"/>
  <c r="E128" i="30"/>
  <c r="E130" i="50" s="1"/>
  <c r="Q107" i="41"/>
  <c r="R107" i="41"/>
  <c r="S107" i="41"/>
  <c r="P107" i="41"/>
  <c r="T107" i="41"/>
  <c r="Q108" i="41"/>
  <c r="R108" i="41"/>
  <c r="S108" i="41"/>
  <c r="T108" i="41"/>
  <c r="P108" i="41"/>
  <c r="C127" i="30"/>
  <c r="C129" i="50" s="1"/>
  <c r="F127" i="30"/>
  <c r="F129" i="50" s="1"/>
  <c r="E127" i="30"/>
  <c r="E129" i="50" s="1"/>
  <c r="D127" i="30"/>
  <c r="D129" i="50" s="1"/>
  <c r="G127" i="30"/>
  <c r="G129" i="50" s="1"/>
  <c r="F126" i="30"/>
  <c r="F128" i="50" s="1"/>
  <c r="C126" i="30"/>
  <c r="C128" i="50" s="1"/>
  <c r="E126" i="30"/>
  <c r="E128" i="50" s="1"/>
  <c r="G126" i="30"/>
  <c r="G128" i="50" s="1"/>
  <c r="D126" i="30"/>
  <c r="D128" i="50" s="1"/>
  <c r="F125" i="30"/>
  <c r="F127" i="50" s="1"/>
  <c r="C125" i="30"/>
  <c r="C127" i="50" s="1"/>
  <c r="E125" i="30"/>
  <c r="E127" i="50" s="1"/>
  <c r="G125" i="30"/>
  <c r="G127" i="50" s="1"/>
  <c r="D125" i="30"/>
  <c r="D127" i="50" s="1"/>
  <c r="C124" i="30"/>
  <c r="C126" i="50" s="1"/>
  <c r="G124" i="30"/>
  <c r="G126" i="50" s="1"/>
  <c r="F124" i="30"/>
  <c r="F126" i="50" s="1"/>
  <c r="E124" i="30"/>
  <c r="E126" i="50" s="1"/>
  <c r="D124" i="30"/>
  <c r="D126" i="50" s="1"/>
  <c r="F123" i="30"/>
  <c r="F125" i="50" s="1"/>
  <c r="E123" i="30"/>
  <c r="E125" i="50" s="1"/>
  <c r="D123" i="30"/>
  <c r="D125" i="50" s="1"/>
  <c r="G123" i="30"/>
  <c r="G125" i="50" s="1"/>
  <c r="C123" i="30"/>
  <c r="C125" i="50" s="1"/>
  <c r="D122" i="30"/>
  <c r="D124" i="50" s="1"/>
  <c r="E122" i="30"/>
  <c r="E124" i="50" s="1"/>
  <c r="C122" i="30"/>
  <c r="C124" i="50" s="1"/>
  <c r="G122" i="30"/>
  <c r="G124" i="50" s="1"/>
  <c r="F122" i="30"/>
  <c r="F124" i="50" s="1"/>
  <c r="G120" i="30"/>
  <c r="C120" i="30"/>
  <c r="D120" i="30"/>
  <c r="E120" i="30"/>
  <c r="F120" i="30"/>
  <c r="C119" i="30"/>
  <c r="C121" i="50" s="1"/>
  <c r="D119" i="30"/>
  <c r="D121" i="50" s="1"/>
  <c r="E119" i="30"/>
  <c r="E121" i="50" s="1"/>
  <c r="F119" i="30"/>
  <c r="F121" i="50" s="1"/>
  <c r="G119" i="30"/>
  <c r="G121" i="50" s="1"/>
  <c r="D118" i="30"/>
  <c r="F118" i="30"/>
  <c r="G118" i="30"/>
  <c r="C118" i="30"/>
  <c r="E118" i="30"/>
  <c r="E117" i="30"/>
  <c r="E119" i="50" s="1"/>
  <c r="F117" i="30"/>
  <c r="F119" i="50" s="1"/>
  <c r="C117" i="30"/>
  <c r="C119" i="50" s="1"/>
  <c r="G117" i="30"/>
  <c r="G119" i="50" s="1"/>
  <c r="D117" i="30"/>
  <c r="D119" i="50" s="1"/>
  <c r="G116" i="30"/>
  <c r="G118" i="50" s="1"/>
  <c r="C116" i="30"/>
  <c r="C118" i="50" s="1"/>
  <c r="D116" i="30"/>
  <c r="D118" i="50" s="1"/>
  <c r="E116" i="30"/>
  <c r="E118" i="50" s="1"/>
  <c r="F116" i="30"/>
  <c r="F118" i="50" s="1"/>
  <c r="C115" i="30"/>
  <c r="C117" i="50" s="1"/>
  <c r="D115" i="30"/>
  <c r="D117" i="50" s="1"/>
  <c r="E115" i="30"/>
  <c r="E117" i="50" s="1"/>
  <c r="F115" i="30"/>
  <c r="F117" i="50" s="1"/>
  <c r="G115" i="30"/>
  <c r="G117" i="50" s="1"/>
  <c r="Q100" i="41"/>
  <c r="R100" i="41"/>
  <c r="P100" i="41"/>
  <c r="S100" i="41"/>
  <c r="T100" i="41"/>
  <c r="Q101" i="41"/>
  <c r="S797" i="37" s="1"/>
  <c r="R101" i="41"/>
  <c r="T797" i="37" s="1"/>
  <c r="S101" i="41"/>
  <c r="U797" i="37" s="1"/>
  <c r="T101" i="41"/>
  <c r="V797" i="37" s="1"/>
  <c r="P101" i="41"/>
  <c r="R797" i="37" s="1"/>
  <c r="C114" i="30"/>
  <c r="C116" i="50" s="1"/>
  <c r="G114" i="30"/>
  <c r="G116" i="50" s="1"/>
  <c r="D114" i="30"/>
  <c r="D116" i="50" s="1"/>
  <c r="E114" i="30"/>
  <c r="E116" i="50" s="1"/>
  <c r="F114" i="30"/>
  <c r="F116" i="50" s="1"/>
  <c r="G121" i="30"/>
  <c r="C121" i="30"/>
  <c r="E121" i="30"/>
  <c r="F121" i="30"/>
  <c r="D121" i="30"/>
  <c r="Q98" i="41"/>
  <c r="S743" i="37" s="1"/>
  <c r="S98" i="41"/>
  <c r="U743" i="37" s="1"/>
  <c r="Q99" i="41"/>
  <c r="S751" i="37" s="1"/>
  <c r="S99" i="41"/>
  <c r="U751" i="37" s="1"/>
  <c r="Q102" i="41"/>
  <c r="S822" i="37" s="1"/>
  <c r="S102" i="41"/>
  <c r="U822" i="37" s="1"/>
  <c r="R99" i="41"/>
  <c r="T751" i="37" s="1"/>
  <c r="T102" i="41"/>
  <c r="V822" i="37" s="1"/>
  <c r="Q103" i="41"/>
  <c r="S764" i="37" s="1"/>
  <c r="S103" i="41"/>
  <c r="U764" i="37" s="1"/>
  <c r="T99" i="41"/>
  <c r="V751" i="37" s="1"/>
  <c r="R102" i="41"/>
  <c r="T822" i="37" s="1"/>
  <c r="P98" i="41"/>
  <c r="R743" i="37" s="1"/>
  <c r="R98" i="41"/>
  <c r="T743" i="37" s="1"/>
  <c r="T98" i="41"/>
  <c r="V743" i="37" s="1"/>
  <c r="P99" i="41"/>
  <c r="R751" i="37" s="1"/>
  <c r="P102" i="41"/>
  <c r="R822" i="37" s="1"/>
  <c r="P103" i="41"/>
  <c r="R764" i="37" s="1"/>
  <c r="R103" i="41"/>
  <c r="T764" i="37" s="1"/>
  <c r="T103" i="41"/>
  <c r="V764" i="37" s="1"/>
  <c r="Q105" i="41"/>
  <c r="S104" i="41"/>
  <c r="U829" i="37" s="1"/>
  <c r="R104" i="41"/>
  <c r="T829" i="37" s="1"/>
  <c r="R105" i="41"/>
  <c r="S105" i="41"/>
  <c r="P104" i="41"/>
  <c r="R829" i="37" s="1"/>
  <c r="T104" i="41"/>
  <c r="V829" i="37" s="1"/>
  <c r="P105" i="41"/>
  <c r="T105" i="41"/>
  <c r="Q104" i="41"/>
  <c r="S829" i="37" s="1"/>
  <c r="Q106" i="41"/>
  <c r="R106" i="41"/>
  <c r="S106" i="41"/>
  <c r="T106" i="41"/>
  <c r="P106" i="41"/>
  <c r="Q109" i="41"/>
  <c r="R109" i="41"/>
  <c r="T109" i="41"/>
  <c r="P109" i="41"/>
  <c r="S109" i="41"/>
  <c r="C113" i="30"/>
  <c r="D113" i="30"/>
  <c r="E113" i="30"/>
  <c r="F113" i="30"/>
  <c r="G113" i="30"/>
  <c r="Q94" i="41"/>
  <c r="S752" i="37" s="1"/>
  <c r="P94" i="41"/>
  <c r="R752" i="37" s="1"/>
  <c r="R94" i="41"/>
  <c r="T752" i="37" s="1"/>
  <c r="S94" i="41"/>
  <c r="U752" i="37" s="1"/>
  <c r="T94" i="41"/>
  <c r="V752" i="37" s="1"/>
  <c r="Q95" i="41"/>
  <c r="R95" i="41"/>
  <c r="P95" i="41"/>
  <c r="S95" i="41"/>
  <c r="T95" i="41"/>
  <c r="Q96" i="41"/>
  <c r="R96" i="41"/>
  <c r="S96" i="41"/>
  <c r="T96" i="41"/>
  <c r="P96" i="41"/>
  <c r="C110" i="30"/>
  <c r="C112" i="50" s="1"/>
  <c r="G110" i="30"/>
  <c r="G112" i="50" s="1"/>
  <c r="C112" i="30"/>
  <c r="C114" i="50" s="1"/>
  <c r="C111" i="30"/>
  <c r="C113" i="50" s="1"/>
  <c r="G111" i="30"/>
  <c r="G113" i="50" s="1"/>
  <c r="D112" i="30"/>
  <c r="D114" i="50" s="1"/>
  <c r="D110" i="30"/>
  <c r="D112" i="50" s="1"/>
  <c r="E112" i="30"/>
  <c r="E114" i="50" s="1"/>
  <c r="D111" i="30"/>
  <c r="D113" i="50" s="1"/>
  <c r="F112" i="30"/>
  <c r="F114" i="50" s="1"/>
  <c r="E110" i="30"/>
  <c r="E112" i="50" s="1"/>
  <c r="G112" i="30"/>
  <c r="G114" i="50" s="1"/>
  <c r="F110" i="30"/>
  <c r="F112" i="50" s="1"/>
  <c r="F111" i="30"/>
  <c r="F113" i="50" s="1"/>
  <c r="E111" i="30"/>
  <c r="E113" i="50" s="1"/>
  <c r="E109" i="30"/>
  <c r="E111" i="50" s="1"/>
  <c r="D109" i="30"/>
  <c r="D111" i="50" s="1"/>
  <c r="F109" i="30"/>
  <c r="F111" i="50" s="1"/>
  <c r="G109" i="30"/>
  <c r="G111" i="50" s="1"/>
  <c r="C109" i="30"/>
  <c r="C111" i="50" s="1"/>
  <c r="Q93" i="41"/>
  <c r="S722" i="37" s="1"/>
  <c r="R93" i="41"/>
  <c r="T722" i="37" s="1"/>
  <c r="S93" i="41"/>
  <c r="U722" i="37" s="1"/>
  <c r="T93" i="41"/>
  <c r="V722" i="37" s="1"/>
  <c r="P93" i="41"/>
  <c r="R722" i="37" s="1"/>
  <c r="Q92" i="41"/>
  <c r="R92" i="41"/>
  <c r="S92" i="41"/>
  <c r="T92" i="41"/>
  <c r="P92" i="41"/>
  <c r="Q91" i="41"/>
  <c r="S734" i="37" s="1"/>
  <c r="R91" i="41"/>
  <c r="T734" i="37" s="1"/>
  <c r="S91" i="41"/>
  <c r="U734" i="37" s="1"/>
  <c r="T91" i="41"/>
  <c r="V734" i="37" s="1"/>
  <c r="P91" i="41"/>
  <c r="R734" i="37" s="1"/>
  <c r="Q90" i="41"/>
  <c r="S741" i="37" s="1"/>
  <c r="R90" i="41"/>
  <c r="T741" i="37" s="1"/>
  <c r="S90" i="41"/>
  <c r="U741" i="37" s="1"/>
  <c r="T90" i="41"/>
  <c r="V741" i="37" s="1"/>
  <c r="P90" i="41"/>
  <c r="R741" i="37" s="1"/>
  <c r="C108" i="30"/>
  <c r="C110" i="50" s="1"/>
  <c r="D108" i="30"/>
  <c r="D110" i="50" s="1"/>
  <c r="E108" i="30"/>
  <c r="E110" i="50" s="1"/>
  <c r="F108" i="30"/>
  <c r="F110" i="50" s="1"/>
  <c r="G108" i="30"/>
  <c r="G110" i="50" s="1"/>
  <c r="F107" i="30"/>
  <c r="F109" i="50" s="1"/>
  <c r="G107" i="30"/>
  <c r="G109" i="50" s="1"/>
  <c r="D107" i="30"/>
  <c r="D109" i="50" s="1"/>
  <c r="E107" i="30"/>
  <c r="E109" i="50" s="1"/>
  <c r="C107" i="30"/>
  <c r="C109" i="50" s="1"/>
  <c r="Q88" i="41"/>
  <c r="R88" i="41"/>
  <c r="T88" i="41"/>
  <c r="S88" i="41"/>
  <c r="P88" i="41"/>
  <c r="C106" i="30"/>
  <c r="D106" i="30"/>
  <c r="E106" i="30"/>
  <c r="F106" i="30"/>
  <c r="G106" i="30"/>
  <c r="D105" i="30"/>
  <c r="E105" i="30"/>
  <c r="G105" i="30"/>
  <c r="C105" i="30"/>
  <c r="F105" i="30"/>
  <c r="C104" i="30"/>
  <c r="D104" i="30"/>
  <c r="E104" i="30"/>
  <c r="F104" i="30"/>
  <c r="G104" i="30"/>
  <c r="Q84" i="41"/>
  <c r="S721" i="37" s="1"/>
  <c r="R85" i="41"/>
  <c r="T742" i="37" s="1"/>
  <c r="Q85" i="41"/>
  <c r="S742" i="37" s="1"/>
  <c r="R84" i="41"/>
  <c r="T721" i="37" s="1"/>
  <c r="S84" i="41"/>
  <c r="U721" i="37" s="1"/>
  <c r="T84" i="41"/>
  <c r="V721" i="37" s="1"/>
  <c r="S85" i="41"/>
  <c r="U742" i="37" s="1"/>
  <c r="P84" i="41"/>
  <c r="R721" i="37" s="1"/>
  <c r="P85" i="41"/>
  <c r="R742" i="37" s="1"/>
  <c r="T85" i="41"/>
  <c r="V742" i="37" s="1"/>
  <c r="Q86" i="41"/>
  <c r="S703" i="37" s="1"/>
  <c r="R86" i="41"/>
  <c r="T703" i="37" s="1"/>
  <c r="P86" i="41"/>
  <c r="R703" i="37" s="1"/>
  <c r="S86" i="41"/>
  <c r="U703" i="37" s="1"/>
  <c r="T86" i="41"/>
  <c r="V703" i="37" s="1"/>
  <c r="Q89" i="41"/>
  <c r="R89" i="41"/>
  <c r="S89" i="41"/>
  <c r="T89" i="41"/>
  <c r="P89" i="41"/>
  <c r="E103" i="30"/>
  <c r="D103" i="30"/>
  <c r="F103" i="30"/>
  <c r="C103" i="30"/>
  <c r="G103" i="30"/>
  <c r="F102" i="30"/>
  <c r="G102" i="30"/>
  <c r="E102" i="30"/>
  <c r="C102" i="30"/>
  <c r="D102" i="30"/>
  <c r="D101" i="30"/>
  <c r="F101" i="30"/>
  <c r="E101" i="30"/>
  <c r="C101" i="30"/>
  <c r="G101" i="30"/>
  <c r="D100" i="30"/>
  <c r="D102" i="50" s="1"/>
  <c r="E100" i="30"/>
  <c r="E102" i="50" s="1"/>
  <c r="C100" i="30"/>
  <c r="C102" i="50" s="1"/>
  <c r="F100" i="30"/>
  <c r="F102" i="50" s="1"/>
  <c r="G100" i="30"/>
  <c r="G102" i="50" s="1"/>
  <c r="C99" i="30"/>
  <c r="C101" i="50" s="1"/>
  <c r="F99" i="30"/>
  <c r="F101" i="50" s="1"/>
  <c r="D99" i="30"/>
  <c r="D101" i="50" s="1"/>
  <c r="E99" i="30"/>
  <c r="E101" i="50" s="1"/>
  <c r="G99" i="30"/>
  <c r="G101" i="50" s="1"/>
  <c r="D98" i="30"/>
  <c r="D100" i="50" s="1"/>
  <c r="E98" i="30"/>
  <c r="E100" i="50" s="1"/>
  <c r="G98" i="30"/>
  <c r="G100" i="50" s="1"/>
  <c r="F98" i="30"/>
  <c r="F100" i="50" s="1"/>
  <c r="C98" i="30"/>
  <c r="C100" i="50" s="1"/>
  <c r="Q78" i="41"/>
  <c r="S732" i="37" s="1"/>
  <c r="S78" i="41"/>
  <c r="U732" i="37" s="1"/>
  <c r="Q79" i="41"/>
  <c r="S715" i="37" s="1"/>
  <c r="S79" i="41"/>
  <c r="U715" i="37" s="1"/>
  <c r="P79" i="41"/>
  <c r="R715" i="37" s="1"/>
  <c r="R79" i="41"/>
  <c r="T715" i="37" s="1"/>
  <c r="T79" i="41"/>
  <c r="V715" i="37" s="1"/>
  <c r="P81" i="41"/>
  <c r="R654" i="37" s="1"/>
  <c r="R81" i="41"/>
  <c r="T654" i="37" s="1"/>
  <c r="T81" i="41"/>
  <c r="V654" i="37" s="1"/>
  <c r="Q80" i="41"/>
  <c r="S80" i="41"/>
  <c r="Q81" i="41"/>
  <c r="S654" i="37" s="1"/>
  <c r="S81" i="41"/>
  <c r="U654" i="37" s="1"/>
  <c r="P78" i="41"/>
  <c r="R732" i="37" s="1"/>
  <c r="R78" i="41"/>
  <c r="T732" i="37" s="1"/>
  <c r="T78" i="41"/>
  <c r="V732" i="37" s="1"/>
  <c r="P80" i="41"/>
  <c r="R80" i="41"/>
  <c r="T80" i="41"/>
  <c r="Q82" i="41"/>
  <c r="S706" i="37" s="1"/>
  <c r="Q83" i="41"/>
  <c r="S705" i="37" s="1"/>
  <c r="R82" i="41"/>
  <c r="T706" i="37" s="1"/>
  <c r="P83" i="41"/>
  <c r="R705" i="37" s="1"/>
  <c r="T83" i="41"/>
  <c r="V705" i="37" s="1"/>
  <c r="R83" i="41"/>
  <c r="T705" i="37" s="1"/>
  <c r="S82" i="41"/>
  <c r="U706" i="37" s="1"/>
  <c r="S83" i="41"/>
  <c r="U705" i="37" s="1"/>
  <c r="P82" i="41"/>
  <c r="R706" i="37" s="1"/>
  <c r="T82" i="41"/>
  <c r="V706" i="37" s="1"/>
  <c r="Q87" i="41"/>
  <c r="S733" i="37" s="1"/>
  <c r="R87" i="41"/>
  <c r="T733" i="37" s="1"/>
  <c r="S87" i="41"/>
  <c r="U733" i="37" s="1"/>
  <c r="T87" i="41"/>
  <c r="V733" i="37" s="1"/>
  <c r="P87" i="41"/>
  <c r="R733" i="37" s="1"/>
  <c r="Q97" i="41"/>
  <c r="S696" i="37" s="1"/>
  <c r="P97" i="41"/>
  <c r="R696" i="37" s="1"/>
  <c r="R97" i="41"/>
  <c r="T696" i="37" s="1"/>
  <c r="S97" i="41"/>
  <c r="U696" i="37" s="1"/>
  <c r="T97" i="41"/>
  <c r="V696" i="37" s="1"/>
  <c r="C96" i="30"/>
  <c r="C98" i="50" s="1"/>
  <c r="D96" i="30"/>
  <c r="D98" i="50" s="1"/>
  <c r="E96" i="30"/>
  <c r="E98" i="50" s="1"/>
  <c r="G96" i="30"/>
  <c r="G98" i="50" s="1"/>
  <c r="F96" i="30"/>
  <c r="F98" i="50" s="1"/>
  <c r="E95" i="30"/>
  <c r="F95" i="30"/>
  <c r="G95" i="30"/>
  <c r="C95" i="30"/>
  <c r="D95" i="30"/>
  <c r="Q75" i="41"/>
  <c r="T75" i="41"/>
  <c r="P75" i="41"/>
  <c r="R75" i="41"/>
  <c r="S75" i="41"/>
  <c r="R76" i="41"/>
  <c r="S76" i="41"/>
  <c r="T76" i="41"/>
  <c r="P76" i="41"/>
  <c r="Q76" i="41"/>
  <c r="Q77" i="41"/>
  <c r="S712" i="37" s="1"/>
  <c r="R77" i="41"/>
  <c r="T712" i="37" s="1"/>
  <c r="S77" i="41"/>
  <c r="U712" i="37" s="1"/>
  <c r="T77" i="41"/>
  <c r="V712" i="37" s="1"/>
  <c r="P77" i="41"/>
  <c r="R712" i="37" s="1"/>
  <c r="R73" i="41"/>
  <c r="S73" i="41"/>
  <c r="T73" i="41"/>
  <c r="P73" i="41"/>
  <c r="Q73" i="41"/>
  <c r="D47" i="75" a="1"/>
  <c r="D47" i="75" s="1"/>
  <c r="D97" i="30"/>
  <c r="D99" i="50" s="1"/>
  <c r="E97" i="30"/>
  <c r="E99" i="50" s="1"/>
  <c r="F97" i="30"/>
  <c r="F99" i="50" s="1"/>
  <c r="C97" i="30"/>
  <c r="C99" i="50" s="1"/>
  <c r="G97" i="30"/>
  <c r="G99" i="50" s="1"/>
  <c r="C94" i="30"/>
  <c r="D94" i="30"/>
  <c r="E94" i="30"/>
  <c r="F94" i="30"/>
  <c r="G94" i="30"/>
  <c r="G93" i="30"/>
  <c r="C93" i="30"/>
  <c r="E93" i="30"/>
  <c r="D93" i="30"/>
  <c r="F93" i="30"/>
  <c r="F92" i="30"/>
  <c r="C92" i="30"/>
  <c r="G92" i="30"/>
  <c r="D92" i="30"/>
  <c r="E92" i="30"/>
  <c r="Q70" i="41"/>
  <c r="S568" i="37" s="1"/>
  <c r="R71" i="41"/>
  <c r="T70" i="41"/>
  <c r="V568" i="37" s="1"/>
  <c r="P71" i="41"/>
  <c r="T71" i="41"/>
  <c r="Q71" i="41"/>
  <c r="R70" i="41"/>
  <c r="T568" i="37" s="1"/>
  <c r="P70" i="41"/>
  <c r="R568" i="37" s="1"/>
  <c r="S70" i="41"/>
  <c r="U568" i="37" s="1"/>
  <c r="S71" i="41"/>
  <c r="Q72" i="41"/>
  <c r="S558" i="37" s="1"/>
  <c r="R72" i="41"/>
  <c r="T558" i="37" s="1"/>
  <c r="S72" i="41"/>
  <c r="U558" i="37" s="1"/>
  <c r="T72" i="41"/>
  <c r="V558" i="37" s="1"/>
  <c r="P72" i="41"/>
  <c r="R558" i="37" s="1"/>
  <c r="G91" i="30"/>
  <c r="E91" i="30"/>
  <c r="F91" i="30"/>
  <c r="D91" i="30"/>
  <c r="C91" i="30"/>
  <c r="D90" i="30"/>
  <c r="C90" i="30"/>
  <c r="E90" i="30"/>
  <c r="F90" i="30"/>
  <c r="G90" i="30"/>
  <c r="G89" i="30"/>
  <c r="E89" i="30"/>
  <c r="F89" i="30"/>
  <c r="C89" i="30"/>
  <c r="D89" i="30"/>
  <c r="F88" i="30"/>
  <c r="E88" i="30"/>
  <c r="C88" i="30"/>
  <c r="G88" i="30"/>
  <c r="D88" i="30"/>
  <c r="F87" i="30"/>
  <c r="F89" i="50" s="1"/>
  <c r="C87" i="30"/>
  <c r="C89" i="50" s="1"/>
  <c r="G87" i="30"/>
  <c r="G89" i="50" s="1"/>
  <c r="D87" i="30"/>
  <c r="D89" i="50" s="1"/>
  <c r="E87" i="30"/>
  <c r="E89" i="50" s="1"/>
  <c r="C86" i="30"/>
  <c r="C88" i="50" s="1"/>
  <c r="E86" i="30"/>
  <c r="E88" i="50" s="1"/>
  <c r="G86" i="30"/>
  <c r="G88" i="50" s="1"/>
  <c r="D86" i="30"/>
  <c r="D88" i="50" s="1"/>
  <c r="F86" i="30"/>
  <c r="F88" i="50" s="1"/>
  <c r="F85" i="30"/>
  <c r="F87" i="50" s="1"/>
  <c r="C85" i="30"/>
  <c r="C87" i="50" s="1"/>
  <c r="G85" i="30"/>
  <c r="G87" i="50" s="1"/>
  <c r="D85" i="30"/>
  <c r="D87" i="50" s="1"/>
  <c r="E85" i="30"/>
  <c r="E87" i="50" s="1"/>
  <c r="E84" i="30"/>
  <c r="E86" i="50" s="1"/>
  <c r="C84" i="30"/>
  <c r="C86" i="50" s="1"/>
  <c r="G84" i="30"/>
  <c r="G86" i="50" s="1"/>
  <c r="D84" i="30"/>
  <c r="D86" i="50" s="1"/>
  <c r="F84" i="30"/>
  <c r="F86" i="50" s="1"/>
  <c r="D83" i="30"/>
  <c r="D85" i="50" s="1"/>
  <c r="C83" i="30"/>
  <c r="C85" i="50" s="1"/>
  <c r="G83" i="30"/>
  <c r="G85" i="50" s="1"/>
  <c r="F83" i="30"/>
  <c r="F85" i="50" s="1"/>
  <c r="E83" i="30"/>
  <c r="E85" i="50" s="1"/>
  <c r="P63" i="41"/>
  <c r="R457" i="37" s="1"/>
  <c r="Q63" i="41"/>
  <c r="S457" i="37" s="1"/>
  <c r="R63" i="41"/>
  <c r="T457" i="37" s="1"/>
  <c r="S63" i="41"/>
  <c r="U457" i="37" s="1"/>
  <c r="T63" i="41"/>
  <c r="V457" i="37" s="1"/>
  <c r="P64" i="41"/>
  <c r="Q64" i="41"/>
  <c r="R64" i="41"/>
  <c r="S64" i="41"/>
  <c r="T64" i="41"/>
  <c r="P65" i="41"/>
  <c r="Q65" i="41"/>
  <c r="R65" i="41"/>
  <c r="S65" i="41"/>
  <c r="T65" i="41"/>
  <c r="P66" i="41"/>
  <c r="Q66" i="41"/>
  <c r="R66" i="41"/>
  <c r="S66" i="41"/>
  <c r="T66" i="41"/>
  <c r="Q67" i="41"/>
  <c r="S546" i="37" s="1"/>
  <c r="S67" i="41"/>
  <c r="U546" i="37" s="1"/>
  <c r="R67" i="41"/>
  <c r="T546" i="37" s="1"/>
  <c r="P68" i="41"/>
  <c r="R572" i="37" s="1"/>
  <c r="R68" i="41"/>
  <c r="T572" i="37" s="1"/>
  <c r="T68" i="41"/>
  <c r="V572" i="37" s="1"/>
  <c r="Q68" i="41"/>
  <c r="S572" i="37" s="1"/>
  <c r="S68" i="41"/>
  <c r="U572" i="37" s="1"/>
  <c r="P67" i="41"/>
  <c r="R546" i="37" s="1"/>
  <c r="T67" i="41"/>
  <c r="V546" i="37" s="1"/>
  <c r="Q69" i="41"/>
  <c r="S744" i="37" s="1"/>
  <c r="R69" i="41"/>
  <c r="T744" i="37" s="1"/>
  <c r="S69" i="41"/>
  <c r="U744" i="37" s="1"/>
  <c r="P69" i="41"/>
  <c r="R744" i="37" s="1"/>
  <c r="T69" i="41"/>
  <c r="V744" i="37" s="1"/>
  <c r="C82" i="30"/>
  <c r="C84" i="50" s="1"/>
  <c r="E82" i="30"/>
  <c r="E84" i="50" s="1"/>
  <c r="F82" i="30"/>
  <c r="F84" i="50" s="1"/>
  <c r="D82" i="30"/>
  <c r="D84" i="50" s="1"/>
  <c r="G82" i="30"/>
  <c r="G84" i="50" s="1"/>
  <c r="E81" i="30"/>
  <c r="E83" i="50" s="1"/>
  <c r="D81" i="30"/>
  <c r="D83" i="50" s="1"/>
  <c r="F81" i="30"/>
  <c r="F83" i="50" s="1"/>
  <c r="C81" i="30"/>
  <c r="C83" i="50" s="1"/>
  <c r="G81" i="30"/>
  <c r="G83" i="50" s="1"/>
  <c r="E80" i="30"/>
  <c r="E82" i="50" s="1"/>
  <c r="D80" i="30"/>
  <c r="D82" i="50" s="1"/>
  <c r="F80" i="30"/>
  <c r="F82" i="50" s="1"/>
  <c r="C80" i="30"/>
  <c r="C82" i="50" s="1"/>
  <c r="G80" i="30"/>
  <c r="G82" i="50" s="1"/>
  <c r="E79" i="30"/>
  <c r="E81" i="50" s="1"/>
  <c r="G79" i="30"/>
  <c r="G81" i="50" s="1"/>
  <c r="D79" i="30"/>
  <c r="D81" i="50" s="1"/>
  <c r="F79" i="30"/>
  <c r="F81" i="50" s="1"/>
  <c r="C79" i="30"/>
  <c r="C81" i="50" s="1"/>
  <c r="F78" i="30"/>
  <c r="F80" i="50" s="1"/>
  <c r="C78" i="30"/>
  <c r="C80" i="50" s="1"/>
  <c r="G78" i="30"/>
  <c r="G80" i="50" s="1"/>
  <c r="E78" i="30"/>
  <c r="E80" i="50" s="1"/>
  <c r="D78" i="30"/>
  <c r="D80" i="50" s="1"/>
  <c r="D77" i="30"/>
  <c r="D79" i="50" s="1"/>
  <c r="E77" i="30"/>
  <c r="E79" i="50" s="1"/>
  <c r="F77" i="30"/>
  <c r="F79" i="50" s="1"/>
  <c r="C77" i="30"/>
  <c r="C79" i="50" s="1"/>
  <c r="G77" i="30"/>
  <c r="G79" i="50" s="1"/>
  <c r="C76" i="30"/>
  <c r="C78" i="50" s="1"/>
  <c r="G76" i="30"/>
  <c r="G78" i="50" s="1"/>
  <c r="F76" i="30"/>
  <c r="F78" i="50" s="1"/>
  <c r="D76" i="30"/>
  <c r="D78" i="50" s="1"/>
  <c r="E76" i="30"/>
  <c r="E78" i="50" s="1"/>
  <c r="P56" i="41"/>
  <c r="R373" i="37" s="1"/>
  <c r="Q56" i="41"/>
  <c r="S373" i="37" s="1"/>
  <c r="R56" i="41"/>
  <c r="T373" i="37" s="1"/>
  <c r="S56" i="41"/>
  <c r="U373" i="37" s="1"/>
  <c r="T56" i="41"/>
  <c r="V373" i="37" s="1"/>
  <c r="T59" i="41"/>
  <c r="V640" i="37" s="1"/>
  <c r="P57" i="41"/>
  <c r="R657" i="37" s="1"/>
  <c r="Q57" i="41"/>
  <c r="S657" i="37" s="1"/>
  <c r="R57" i="41"/>
  <c r="T657" i="37" s="1"/>
  <c r="S57" i="41"/>
  <c r="U657" i="37" s="1"/>
  <c r="T57" i="41"/>
  <c r="V657" i="37" s="1"/>
  <c r="P58" i="41"/>
  <c r="R719" i="37" s="1"/>
  <c r="Q58" i="41"/>
  <c r="S719" i="37" s="1"/>
  <c r="R58" i="41"/>
  <c r="T719" i="37" s="1"/>
  <c r="S58" i="41"/>
  <c r="U719" i="37" s="1"/>
  <c r="T58" i="41"/>
  <c r="V719" i="37" s="1"/>
  <c r="P59" i="41"/>
  <c r="R640" i="37" s="1"/>
  <c r="Q59" i="41"/>
  <c r="S640" i="37" s="1"/>
  <c r="R59" i="41"/>
  <c r="T640" i="37" s="1"/>
  <c r="S59" i="41"/>
  <c r="U640" i="37" s="1"/>
  <c r="Q60" i="41"/>
  <c r="S60" i="41"/>
  <c r="T60" i="41"/>
  <c r="Q61" i="41"/>
  <c r="S439" i="37" s="1"/>
  <c r="S61" i="41"/>
  <c r="U439" i="37" s="1"/>
  <c r="P60" i="41"/>
  <c r="R60" i="41"/>
  <c r="P61" i="41"/>
  <c r="R439" i="37" s="1"/>
  <c r="R61" i="41"/>
  <c r="T439" i="37" s="1"/>
  <c r="T61" i="41"/>
  <c r="V439" i="37" s="1"/>
  <c r="Q62" i="41"/>
  <c r="S469" i="37" s="1"/>
  <c r="R62" i="41"/>
  <c r="T469" i="37" s="1"/>
  <c r="S62" i="41"/>
  <c r="U469" i="37" s="1"/>
  <c r="P62" i="41"/>
  <c r="R469" i="37" s="1"/>
  <c r="T62" i="41"/>
  <c r="V469" i="37" s="1"/>
  <c r="C68" i="30"/>
  <c r="C70" i="50" s="1"/>
  <c r="G68" i="30"/>
  <c r="G70" i="50" s="1"/>
  <c r="F69" i="30"/>
  <c r="F71" i="50" s="1"/>
  <c r="E70" i="30"/>
  <c r="E72" i="50" s="1"/>
  <c r="D71" i="30"/>
  <c r="D73" i="50" s="1"/>
  <c r="C72" i="30"/>
  <c r="C74" i="50" s="1"/>
  <c r="G72" i="30"/>
  <c r="G74" i="50" s="1"/>
  <c r="F73" i="30"/>
  <c r="F75" i="50" s="1"/>
  <c r="E74" i="30"/>
  <c r="E76" i="50" s="1"/>
  <c r="D75" i="30"/>
  <c r="D77" i="50" s="1"/>
  <c r="D68" i="30"/>
  <c r="D70" i="50" s="1"/>
  <c r="C69" i="30"/>
  <c r="C71" i="50" s="1"/>
  <c r="G69" i="30"/>
  <c r="G71" i="50" s="1"/>
  <c r="F70" i="30"/>
  <c r="F72" i="50" s="1"/>
  <c r="E71" i="30"/>
  <c r="E73" i="50" s="1"/>
  <c r="D72" i="30"/>
  <c r="D74" i="50" s="1"/>
  <c r="C73" i="30"/>
  <c r="C75" i="50" s="1"/>
  <c r="G73" i="30"/>
  <c r="G75" i="50" s="1"/>
  <c r="F74" i="30"/>
  <c r="F76" i="50" s="1"/>
  <c r="E75" i="30"/>
  <c r="E77" i="50" s="1"/>
  <c r="E68" i="30"/>
  <c r="E70" i="50" s="1"/>
  <c r="D69" i="30"/>
  <c r="D71" i="50" s="1"/>
  <c r="C70" i="30"/>
  <c r="C72" i="50" s="1"/>
  <c r="G70" i="30"/>
  <c r="G72" i="50" s="1"/>
  <c r="F71" i="30"/>
  <c r="F73" i="50" s="1"/>
  <c r="E72" i="30"/>
  <c r="E74" i="50" s="1"/>
  <c r="D73" i="30"/>
  <c r="D75" i="50" s="1"/>
  <c r="C74" i="30"/>
  <c r="C76" i="50" s="1"/>
  <c r="G74" i="30"/>
  <c r="G76" i="50" s="1"/>
  <c r="F75" i="30"/>
  <c r="F77" i="50" s="1"/>
  <c r="F68" i="30"/>
  <c r="F70" i="50" s="1"/>
  <c r="E69" i="30"/>
  <c r="E71" i="50" s="1"/>
  <c r="D70" i="30"/>
  <c r="D72" i="50" s="1"/>
  <c r="C71" i="30"/>
  <c r="C73" i="50" s="1"/>
  <c r="G71" i="30"/>
  <c r="G73" i="50" s="1"/>
  <c r="F72" i="30"/>
  <c r="F74" i="50" s="1"/>
  <c r="E73" i="30"/>
  <c r="E75" i="50" s="1"/>
  <c r="D74" i="30"/>
  <c r="D76" i="50" s="1"/>
  <c r="C75" i="30"/>
  <c r="C77" i="50" s="1"/>
  <c r="G75" i="30"/>
  <c r="G77" i="50" s="1"/>
  <c r="F67" i="30"/>
  <c r="F69" i="50" s="1"/>
  <c r="C67" i="30"/>
  <c r="C69" i="50" s="1"/>
  <c r="G67" i="30"/>
  <c r="G69" i="50" s="1"/>
  <c r="D67" i="30"/>
  <c r="D69" i="50" s="1"/>
  <c r="E67" i="30"/>
  <c r="E69" i="50" s="1"/>
  <c r="C66" i="30"/>
  <c r="C68" i="50" s="1"/>
  <c r="D66" i="30"/>
  <c r="D68" i="50" s="1"/>
  <c r="G66" i="30"/>
  <c r="G68" i="50" s="1"/>
  <c r="E66" i="30"/>
  <c r="E68" i="50" s="1"/>
  <c r="F66" i="30"/>
  <c r="F68" i="50" s="1"/>
  <c r="C65" i="30"/>
  <c r="C67" i="50" s="1"/>
  <c r="G65" i="30"/>
  <c r="G67" i="50" s="1"/>
  <c r="F65" i="30"/>
  <c r="F67" i="50" s="1"/>
  <c r="D65" i="30"/>
  <c r="D67" i="50" s="1"/>
  <c r="E65" i="30"/>
  <c r="E67" i="50" s="1"/>
  <c r="G64" i="30"/>
  <c r="G66" i="50" s="1"/>
  <c r="F64" i="30"/>
  <c r="F66" i="50" s="1"/>
  <c r="D64" i="30"/>
  <c r="D66" i="50" s="1"/>
  <c r="C64" i="30"/>
  <c r="C66" i="50" s="1"/>
  <c r="E64" i="30"/>
  <c r="E66" i="50" s="1"/>
  <c r="G63" i="30"/>
  <c r="G65" i="50" s="1"/>
  <c r="C63" i="30"/>
  <c r="C65" i="50" s="1"/>
  <c r="D63" i="30"/>
  <c r="D65" i="50" s="1"/>
  <c r="E63" i="30"/>
  <c r="E65" i="50" s="1"/>
  <c r="F63" i="30"/>
  <c r="F65" i="50" s="1"/>
  <c r="G12" i="30"/>
  <c r="G14" i="50" s="1"/>
  <c r="G16" i="30"/>
  <c r="G18" i="50" s="1"/>
  <c r="G20" i="30"/>
  <c r="G22" i="50" s="1"/>
  <c r="G24" i="30"/>
  <c r="G26" i="50" s="1"/>
  <c r="G28" i="30"/>
  <c r="G30" i="50" s="1"/>
  <c r="G32" i="30"/>
  <c r="G34" i="50" s="1"/>
  <c r="G36" i="30"/>
  <c r="G38" i="50" s="1"/>
  <c r="G40" i="30"/>
  <c r="G42" i="50" s="1"/>
  <c r="G44" i="30"/>
  <c r="G46" i="50" s="1"/>
  <c r="G48" i="30"/>
  <c r="G50" i="50" s="1"/>
  <c r="G52" i="30"/>
  <c r="G54" i="50" s="1"/>
  <c r="G56" i="30"/>
  <c r="G58" i="50" s="1"/>
  <c r="G60" i="30"/>
  <c r="G62" i="50" s="1"/>
  <c r="F13" i="30"/>
  <c r="F15" i="50" s="1"/>
  <c r="F17" i="30"/>
  <c r="F19" i="50" s="1"/>
  <c r="F21" i="30"/>
  <c r="F23" i="50" s="1"/>
  <c r="F25" i="30"/>
  <c r="F27" i="50" s="1"/>
  <c r="F29" i="30"/>
  <c r="F31" i="50" s="1"/>
  <c r="F33" i="30"/>
  <c r="F35" i="50" s="1"/>
  <c r="F37" i="30"/>
  <c r="F39" i="50" s="1"/>
  <c r="F41" i="30"/>
  <c r="F43" i="50" s="1"/>
  <c r="F45" i="30"/>
  <c r="F47" i="50" s="1"/>
  <c r="F49" i="30"/>
  <c r="F51" i="50" s="1"/>
  <c r="F53" i="30"/>
  <c r="F55" i="50" s="1"/>
  <c r="F57" i="30"/>
  <c r="F59" i="50" s="1"/>
  <c r="F61" i="30"/>
  <c r="F63" i="50" s="1"/>
  <c r="E14" i="30"/>
  <c r="E16" i="50" s="1"/>
  <c r="E18" i="30"/>
  <c r="E20" i="50" s="1"/>
  <c r="E22" i="30"/>
  <c r="E24" i="50" s="1"/>
  <c r="E26" i="30"/>
  <c r="E28" i="50" s="1"/>
  <c r="E30" i="30"/>
  <c r="E32" i="50" s="1"/>
  <c r="E34" i="30"/>
  <c r="E36" i="50" s="1"/>
  <c r="E38" i="30"/>
  <c r="E40" i="50" s="1"/>
  <c r="E42" i="30"/>
  <c r="E44" i="50" s="1"/>
  <c r="E46" i="30"/>
  <c r="E48" i="50" s="1"/>
  <c r="E50" i="30"/>
  <c r="E52" i="50" s="1"/>
  <c r="E54" i="30"/>
  <c r="E56" i="50" s="1"/>
  <c r="E58" i="30"/>
  <c r="E60" i="50" s="1"/>
  <c r="E62" i="30"/>
  <c r="E64" i="50" s="1"/>
  <c r="D11" i="30"/>
  <c r="D13" i="50" s="1"/>
  <c r="D15" i="30"/>
  <c r="D17" i="50" s="1"/>
  <c r="D19" i="30"/>
  <c r="D21" i="50" s="1"/>
  <c r="D23" i="30"/>
  <c r="D25" i="50" s="1"/>
  <c r="D27" i="30"/>
  <c r="D29" i="50" s="1"/>
  <c r="D31" i="30"/>
  <c r="D33" i="50" s="1"/>
  <c r="D35" i="30"/>
  <c r="D37" i="50" s="1"/>
  <c r="D39" i="30"/>
  <c r="D41" i="50" s="1"/>
  <c r="D43" i="30"/>
  <c r="D45" i="50" s="1"/>
  <c r="D47" i="30"/>
  <c r="D49" i="50" s="1"/>
  <c r="D51" i="30"/>
  <c r="D53" i="50" s="1"/>
  <c r="D55" i="30"/>
  <c r="D57" i="50" s="1"/>
  <c r="D59" i="30"/>
  <c r="D61" i="50" s="1"/>
  <c r="C12" i="30"/>
  <c r="C14" i="50" s="1"/>
  <c r="C16" i="30"/>
  <c r="C18" i="50" s="1"/>
  <c r="C20" i="30"/>
  <c r="C22" i="50" s="1"/>
  <c r="C24" i="30"/>
  <c r="C26" i="50" s="1"/>
  <c r="C28" i="30"/>
  <c r="C30" i="50" s="1"/>
  <c r="C32" i="30"/>
  <c r="C34" i="50" s="1"/>
  <c r="C36" i="30"/>
  <c r="C38" i="50" s="1"/>
  <c r="C40" i="30"/>
  <c r="C42" i="50" s="1"/>
  <c r="C44" i="30"/>
  <c r="C46" i="50" s="1"/>
  <c r="C48" i="30"/>
  <c r="C50" i="50" s="1"/>
  <c r="C52" i="30"/>
  <c r="C54" i="50" s="1"/>
  <c r="C56" i="30"/>
  <c r="C58" i="50" s="1"/>
  <c r="C60" i="30"/>
  <c r="C62" i="50" s="1"/>
  <c r="C41" i="30"/>
  <c r="C43" i="50" s="1"/>
  <c r="C49" i="30"/>
  <c r="C51" i="50" s="1"/>
  <c r="C57" i="30"/>
  <c r="C59" i="50" s="1"/>
  <c r="C61" i="30"/>
  <c r="C63" i="50" s="1"/>
  <c r="G14" i="30"/>
  <c r="G16" i="50" s="1"/>
  <c r="G22" i="30"/>
  <c r="G24" i="50" s="1"/>
  <c r="G26" i="30"/>
  <c r="G28" i="50" s="1"/>
  <c r="G30" i="30"/>
  <c r="G32" i="50" s="1"/>
  <c r="G38" i="30"/>
  <c r="G40" i="50" s="1"/>
  <c r="G42" i="30"/>
  <c r="G44" i="50" s="1"/>
  <c r="G50" i="30"/>
  <c r="G52" i="50" s="1"/>
  <c r="G58" i="30"/>
  <c r="G60" i="50" s="1"/>
  <c r="G62" i="30"/>
  <c r="G64" i="50" s="1"/>
  <c r="F15" i="30"/>
  <c r="F17" i="50" s="1"/>
  <c r="F23" i="30"/>
  <c r="F25" i="50" s="1"/>
  <c r="F31" i="30"/>
  <c r="F33" i="50" s="1"/>
  <c r="F35" i="30"/>
  <c r="F37" i="50" s="1"/>
  <c r="F43" i="30"/>
  <c r="F45" i="50" s="1"/>
  <c r="F47" i="30"/>
  <c r="F49" i="50" s="1"/>
  <c r="F55" i="30"/>
  <c r="F57" i="50" s="1"/>
  <c r="G13" i="30"/>
  <c r="G15" i="50" s="1"/>
  <c r="G17" i="30"/>
  <c r="G19" i="50" s="1"/>
  <c r="G21" i="30"/>
  <c r="G23" i="50" s="1"/>
  <c r="G25" i="30"/>
  <c r="G27" i="50" s="1"/>
  <c r="G29" i="30"/>
  <c r="G31" i="50" s="1"/>
  <c r="G33" i="30"/>
  <c r="G35" i="50" s="1"/>
  <c r="G37" i="30"/>
  <c r="G39" i="50" s="1"/>
  <c r="G41" i="30"/>
  <c r="G43" i="50" s="1"/>
  <c r="G45" i="30"/>
  <c r="G47" i="50" s="1"/>
  <c r="G49" i="30"/>
  <c r="G51" i="50" s="1"/>
  <c r="G53" i="30"/>
  <c r="G55" i="50" s="1"/>
  <c r="G57" i="30"/>
  <c r="G59" i="50" s="1"/>
  <c r="G61" i="30"/>
  <c r="G63" i="50" s="1"/>
  <c r="F14" i="30"/>
  <c r="F16" i="50" s="1"/>
  <c r="F18" i="30"/>
  <c r="F20" i="50" s="1"/>
  <c r="F22" i="30"/>
  <c r="F24" i="50" s="1"/>
  <c r="F26" i="30"/>
  <c r="F28" i="50" s="1"/>
  <c r="F30" i="30"/>
  <c r="F32" i="50" s="1"/>
  <c r="F34" i="30"/>
  <c r="F36" i="50" s="1"/>
  <c r="F38" i="30"/>
  <c r="F40" i="50" s="1"/>
  <c r="F42" i="30"/>
  <c r="F44" i="50" s="1"/>
  <c r="F46" i="30"/>
  <c r="F48" i="50" s="1"/>
  <c r="F50" i="30"/>
  <c r="F52" i="50" s="1"/>
  <c r="F54" i="30"/>
  <c r="F56" i="50" s="1"/>
  <c r="F58" i="30"/>
  <c r="F60" i="50" s="1"/>
  <c r="F62" i="30"/>
  <c r="F64" i="50" s="1"/>
  <c r="E11" i="30"/>
  <c r="E13" i="50" s="1"/>
  <c r="E15" i="30"/>
  <c r="E17" i="50" s="1"/>
  <c r="E19" i="30"/>
  <c r="E21" i="50" s="1"/>
  <c r="E23" i="30"/>
  <c r="E25" i="50" s="1"/>
  <c r="E27" i="30"/>
  <c r="E29" i="50" s="1"/>
  <c r="E31" i="30"/>
  <c r="E33" i="50" s="1"/>
  <c r="E35" i="30"/>
  <c r="E37" i="50" s="1"/>
  <c r="E39" i="30"/>
  <c r="E41" i="50" s="1"/>
  <c r="E43" i="30"/>
  <c r="E45" i="50" s="1"/>
  <c r="E47" i="30"/>
  <c r="E49" i="50" s="1"/>
  <c r="E51" i="30"/>
  <c r="E53" i="50" s="1"/>
  <c r="E55" i="30"/>
  <c r="E57" i="50" s="1"/>
  <c r="E59" i="30"/>
  <c r="E61" i="50" s="1"/>
  <c r="D12" i="30"/>
  <c r="D14" i="50" s="1"/>
  <c r="D16" i="30"/>
  <c r="D18" i="50" s="1"/>
  <c r="D20" i="30"/>
  <c r="D22" i="50" s="1"/>
  <c r="D24" i="30"/>
  <c r="D26" i="50" s="1"/>
  <c r="D28" i="30"/>
  <c r="D30" i="50" s="1"/>
  <c r="D32" i="30"/>
  <c r="D34" i="50" s="1"/>
  <c r="D36" i="30"/>
  <c r="D38" i="50" s="1"/>
  <c r="D40" i="30"/>
  <c r="D42" i="50" s="1"/>
  <c r="D44" i="30"/>
  <c r="D46" i="50" s="1"/>
  <c r="D48" i="30"/>
  <c r="D50" i="50" s="1"/>
  <c r="D52" i="30"/>
  <c r="D54" i="50" s="1"/>
  <c r="D56" i="30"/>
  <c r="D58" i="50" s="1"/>
  <c r="D60" i="30"/>
  <c r="D62" i="50" s="1"/>
  <c r="C13" i="30"/>
  <c r="C15" i="50" s="1"/>
  <c r="C17" i="30"/>
  <c r="C19" i="50" s="1"/>
  <c r="C21" i="30"/>
  <c r="C23" i="50" s="1"/>
  <c r="C25" i="30"/>
  <c r="C27" i="50" s="1"/>
  <c r="C29" i="30"/>
  <c r="C31" i="50" s="1"/>
  <c r="C33" i="30"/>
  <c r="C35" i="50" s="1"/>
  <c r="C37" i="30"/>
  <c r="C39" i="50" s="1"/>
  <c r="C45" i="30"/>
  <c r="C47" i="50" s="1"/>
  <c r="C53" i="30"/>
  <c r="C55" i="50" s="1"/>
  <c r="G18" i="30"/>
  <c r="G20" i="50" s="1"/>
  <c r="G34" i="30"/>
  <c r="G36" i="50" s="1"/>
  <c r="G46" i="30"/>
  <c r="G48" i="50" s="1"/>
  <c r="G54" i="30"/>
  <c r="G56" i="50" s="1"/>
  <c r="F11" i="30"/>
  <c r="F13" i="50" s="1"/>
  <c r="F19" i="30"/>
  <c r="F21" i="50" s="1"/>
  <c r="F27" i="30"/>
  <c r="F29" i="50" s="1"/>
  <c r="F39" i="30"/>
  <c r="F41" i="50" s="1"/>
  <c r="F51" i="30"/>
  <c r="F53" i="50" s="1"/>
  <c r="F59" i="30"/>
  <c r="F61" i="50" s="1"/>
  <c r="G15" i="30"/>
  <c r="G17" i="50" s="1"/>
  <c r="G31" i="30"/>
  <c r="G33" i="50" s="1"/>
  <c r="G47" i="30"/>
  <c r="G49" i="50" s="1"/>
  <c r="F16" i="30"/>
  <c r="F18" i="50" s="1"/>
  <c r="F32" i="30"/>
  <c r="F34" i="50" s="1"/>
  <c r="F48" i="30"/>
  <c r="F50" i="50" s="1"/>
  <c r="E13" i="30"/>
  <c r="E15" i="50" s="1"/>
  <c r="E21" i="30"/>
  <c r="E23" i="50" s="1"/>
  <c r="E29" i="30"/>
  <c r="E31" i="50" s="1"/>
  <c r="E37" i="30"/>
  <c r="E39" i="50" s="1"/>
  <c r="E45" i="30"/>
  <c r="E47" i="50" s="1"/>
  <c r="E53" i="30"/>
  <c r="E55" i="50" s="1"/>
  <c r="E61" i="30"/>
  <c r="E63" i="50" s="1"/>
  <c r="D13" i="30"/>
  <c r="D15" i="50" s="1"/>
  <c r="D21" i="30"/>
  <c r="D23" i="50" s="1"/>
  <c r="D29" i="30"/>
  <c r="D31" i="50" s="1"/>
  <c r="D37" i="30"/>
  <c r="D39" i="50" s="1"/>
  <c r="D45" i="30"/>
  <c r="D47" i="50" s="1"/>
  <c r="D53" i="30"/>
  <c r="D55" i="50" s="1"/>
  <c r="D61" i="30"/>
  <c r="D63" i="50" s="1"/>
  <c r="C18" i="30"/>
  <c r="C20" i="50" s="1"/>
  <c r="C26" i="30"/>
  <c r="C28" i="50" s="1"/>
  <c r="C34" i="30"/>
  <c r="C36" i="50" s="1"/>
  <c r="C42" i="30"/>
  <c r="C44" i="50" s="1"/>
  <c r="C50" i="30"/>
  <c r="C52" i="50" s="1"/>
  <c r="C58" i="30"/>
  <c r="C60" i="50" s="1"/>
  <c r="C51" i="30"/>
  <c r="C53" i="50" s="1"/>
  <c r="G23" i="30"/>
  <c r="G25" i="50" s="1"/>
  <c r="G39" i="30"/>
  <c r="G41" i="50" s="1"/>
  <c r="F24" i="30"/>
  <c r="F26" i="50" s="1"/>
  <c r="F40" i="30"/>
  <c r="F42" i="50" s="1"/>
  <c r="F56" i="30"/>
  <c r="F58" i="50" s="1"/>
  <c r="E17" i="30"/>
  <c r="E19" i="50" s="1"/>
  <c r="E41" i="30"/>
  <c r="E43" i="50" s="1"/>
  <c r="E49" i="30"/>
  <c r="E51" i="50" s="1"/>
  <c r="D25" i="30"/>
  <c r="D27" i="50" s="1"/>
  <c r="D49" i="30"/>
  <c r="D51" i="50" s="1"/>
  <c r="D57" i="30"/>
  <c r="D59" i="50" s="1"/>
  <c r="C22" i="30"/>
  <c r="C24" i="50" s="1"/>
  <c r="C30" i="30"/>
  <c r="C32" i="50" s="1"/>
  <c r="C46" i="30"/>
  <c r="C48" i="50" s="1"/>
  <c r="C62" i="30"/>
  <c r="C64" i="50" s="1"/>
  <c r="G11" i="30"/>
  <c r="G13" i="50" s="1"/>
  <c r="G43" i="30"/>
  <c r="G45" i="50" s="1"/>
  <c r="F12" i="30"/>
  <c r="F14" i="50" s="1"/>
  <c r="F28" i="30"/>
  <c r="F30" i="50" s="1"/>
  <c r="F60" i="30"/>
  <c r="F62" i="50" s="1"/>
  <c r="E12" i="30"/>
  <c r="E14" i="50" s="1"/>
  <c r="E28" i="30"/>
  <c r="E30" i="50" s="1"/>
  <c r="E44" i="30"/>
  <c r="E46" i="50" s="1"/>
  <c r="E52" i="30"/>
  <c r="E54" i="50" s="1"/>
  <c r="D34" i="30"/>
  <c r="D36" i="50" s="1"/>
  <c r="D50" i="30"/>
  <c r="D52" i="50" s="1"/>
  <c r="C15" i="30"/>
  <c r="C17" i="50" s="1"/>
  <c r="C31" i="30"/>
  <c r="C33" i="50" s="1"/>
  <c r="C39" i="30"/>
  <c r="C41" i="50" s="1"/>
  <c r="C55" i="30"/>
  <c r="C57" i="50" s="1"/>
  <c r="G19" i="30"/>
  <c r="G21" i="50" s="1"/>
  <c r="G35" i="30"/>
  <c r="G37" i="50" s="1"/>
  <c r="G51" i="30"/>
  <c r="G53" i="50" s="1"/>
  <c r="F20" i="30"/>
  <c r="F22" i="50" s="1"/>
  <c r="F36" i="30"/>
  <c r="F38" i="50" s="1"/>
  <c r="F52" i="30"/>
  <c r="F54" i="50" s="1"/>
  <c r="E16" i="30"/>
  <c r="E18" i="50" s="1"/>
  <c r="E24" i="30"/>
  <c r="E26" i="50" s="1"/>
  <c r="E32" i="30"/>
  <c r="E34" i="50" s="1"/>
  <c r="E40" i="30"/>
  <c r="E42" i="50" s="1"/>
  <c r="E48" i="30"/>
  <c r="E50" i="50" s="1"/>
  <c r="E56" i="30"/>
  <c r="E58" i="50" s="1"/>
  <c r="D14" i="30"/>
  <c r="D16" i="50" s="1"/>
  <c r="D22" i="30"/>
  <c r="D24" i="50" s="1"/>
  <c r="D30" i="30"/>
  <c r="D32" i="50" s="1"/>
  <c r="D38" i="30"/>
  <c r="D40" i="50" s="1"/>
  <c r="D46" i="30"/>
  <c r="D48" i="50" s="1"/>
  <c r="D54" i="30"/>
  <c r="D56" i="50" s="1"/>
  <c r="D62" i="30"/>
  <c r="D64" i="50" s="1"/>
  <c r="C11" i="30"/>
  <c r="C13" i="50" s="1"/>
  <c r="C19" i="30"/>
  <c r="C21" i="50" s="1"/>
  <c r="C27" i="30"/>
  <c r="C29" i="50" s="1"/>
  <c r="C35" i="30"/>
  <c r="C37" i="50" s="1"/>
  <c r="C43" i="30"/>
  <c r="C45" i="50" s="1"/>
  <c r="C59" i="30"/>
  <c r="C61" i="50" s="1"/>
  <c r="G55" i="30"/>
  <c r="G57" i="50" s="1"/>
  <c r="E25" i="30"/>
  <c r="E27" i="50" s="1"/>
  <c r="E33" i="30"/>
  <c r="E35" i="50" s="1"/>
  <c r="E57" i="30"/>
  <c r="E59" i="50" s="1"/>
  <c r="D17" i="30"/>
  <c r="D19" i="50" s="1"/>
  <c r="D33" i="30"/>
  <c r="D35" i="50" s="1"/>
  <c r="D41" i="30"/>
  <c r="D43" i="50" s="1"/>
  <c r="C14" i="30"/>
  <c r="C16" i="50" s="1"/>
  <c r="C38" i="30"/>
  <c r="C40" i="50" s="1"/>
  <c r="C54" i="30"/>
  <c r="C56" i="50" s="1"/>
  <c r="G27" i="30"/>
  <c r="G29" i="50" s="1"/>
  <c r="G59" i="30"/>
  <c r="G61" i="50" s="1"/>
  <c r="F44" i="30"/>
  <c r="F46" i="50" s="1"/>
  <c r="E20" i="30"/>
  <c r="E22" i="50" s="1"/>
  <c r="E36" i="30"/>
  <c r="E38" i="50" s="1"/>
  <c r="E60" i="30"/>
  <c r="E62" i="50" s="1"/>
  <c r="D18" i="30"/>
  <c r="D20" i="50" s="1"/>
  <c r="D26" i="30"/>
  <c r="D28" i="50" s="1"/>
  <c r="D42" i="30"/>
  <c r="D44" i="50" s="1"/>
  <c r="D58" i="30"/>
  <c r="D60" i="50" s="1"/>
  <c r="C23" i="30"/>
  <c r="C25" i="50" s="1"/>
  <c r="C47" i="30"/>
  <c r="C49" i="50" s="1"/>
  <c r="B5" i="27"/>
  <c r="G6" i="30"/>
  <c r="G10" i="30"/>
  <c r="G12" i="50" s="1"/>
  <c r="G9" i="30"/>
  <c r="G11" i="50" s="1"/>
  <c r="G7" i="30"/>
  <c r="G9" i="50" s="1"/>
  <c r="G8" i="30"/>
  <c r="G10" i="50" s="1"/>
  <c r="F6" i="30"/>
  <c r="F8" i="50" s="1"/>
  <c r="F10" i="30"/>
  <c r="F12" i="50" s="1"/>
  <c r="F7" i="30"/>
  <c r="F9" i="50" s="1"/>
  <c r="F8" i="30"/>
  <c r="F10" i="50" s="1"/>
  <c r="F9" i="30"/>
  <c r="F11" i="50" s="1"/>
  <c r="E6" i="30"/>
  <c r="E8" i="50" s="1"/>
  <c r="E10" i="30"/>
  <c r="E12" i="50" s="1"/>
  <c r="E8" i="30"/>
  <c r="E10" i="50" s="1"/>
  <c r="E7" i="30"/>
  <c r="E9" i="50" s="1"/>
  <c r="E9" i="30"/>
  <c r="E11" i="50" s="1"/>
  <c r="D6" i="30"/>
  <c r="D8" i="50" s="1"/>
  <c r="D10" i="30"/>
  <c r="D12" i="50" s="1"/>
  <c r="D9" i="30"/>
  <c r="D11" i="50" s="1"/>
  <c r="D7" i="30"/>
  <c r="D9" i="50" s="1"/>
  <c r="D8" i="30"/>
  <c r="D10" i="50" s="1"/>
  <c r="C6" i="30"/>
  <c r="C10" i="30"/>
  <c r="C12" i="50" s="1"/>
  <c r="C7" i="30"/>
  <c r="C9" i="50" s="1"/>
  <c r="C8" i="30"/>
  <c r="C10" i="50" s="1"/>
  <c r="C9" i="30"/>
  <c r="C11" i="50" s="1"/>
  <c r="T10" i="41"/>
  <c r="T14" i="41"/>
  <c r="T18" i="41"/>
  <c r="T22" i="41"/>
  <c r="T26" i="41"/>
  <c r="T30" i="41"/>
  <c r="T34" i="41"/>
  <c r="T38" i="41"/>
  <c r="T42" i="41"/>
  <c r="T46" i="41"/>
  <c r="V728" i="37" s="1"/>
  <c r="T50" i="41"/>
  <c r="V444" i="37" s="1"/>
  <c r="T54" i="41"/>
  <c r="T17" i="41"/>
  <c r="T33" i="41"/>
  <c r="T49" i="41"/>
  <c r="V445" i="37" s="1"/>
  <c r="T7" i="41"/>
  <c r="T11" i="41"/>
  <c r="T15" i="41"/>
  <c r="T19" i="41"/>
  <c r="T23" i="41"/>
  <c r="T27" i="41"/>
  <c r="T31" i="41"/>
  <c r="V825" i="37" s="1"/>
  <c r="T35" i="41"/>
  <c r="T39" i="41"/>
  <c r="V679" i="37" s="1"/>
  <c r="T43" i="41"/>
  <c r="V730" i="37" s="1"/>
  <c r="T47" i="41"/>
  <c r="T51" i="41"/>
  <c r="V748" i="37" s="1"/>
  <c r="T55" i="41"/>
  <c r="T13" i="41"/>
  <c r="T21" i="41"/>
  <c r="T29" i="41"/>
  <c r="T41" i="41"/>
  <c r="T53" i="41"/>
  <c r="V631" i="37" s="1"/>
  <c r="T8" i="41"/>
  <c r="T12" i="41"/>
  <c r="T16" i="41"/>
  <c r="T20" i="41"/>
  <c r="T24" i="41"/>
  <c r="T28" i="41"/>
  <c r="T32" i="41"/>
  <c r="T36" i="41"/>
  <c r="T40" i="41"/>
  <c r="V447" i="37" s="1"/>
  <c r="T44" i="41"/>
  <c r="T48" i="41"/>
  <c r="T52" i="41"/>
  <c r="T74" i="41"/>
  <c r="V707" i="37" s="1"/>
  <c r="T9" i="41"/>
  <c r="T25" i="41"/>
  <c r="T37" i="41"/>
  <c r="V745" i="37" s="1"/>
  <c r="T45" i="41"/>
  <c r="S10" i="41"/>
  <c r="S14" i="41"/>
  <c r="S18" i="41"/>
  <c r="S22" i="41"/>
  <c r="S26" i="41"/>
  <c r="S30" i="41"/>
  <c r="S34" i="41"/>
  <c r="S38" i="41"/>
  <c r="S42" i="41"/>
  <c r="S46" i="41"/>
  <c r="U728" i="37" s="1"/>
  <c r="S50" i="41"/>
  <c r="U444" i="37" s="1"/>
  <c r="S54" i="41"/>
  <c r="S17" i="41"/>
  <c r="S29" i="41"/>
  <c r="S41" i="41"/>
  <c r="S53" i="41"/>
  <c r="U631" i="37" s="1"/>
  <c r="S7" i="41"/>
  <c r="S11" i="41"/>
  <c r="S15" i="41"/>
  <c r="S19" i="41"/>
  <c r="S23" i="41"/>
  <c r="S27" i="41"/>
  <c r="S31" i="41"/>
  <c r="U825" i="37" s="1"/>
  <c r="S35" i="41"/>
  <c r="S39" i="41"/>
  <c r="U679" i="37" s="1"/>
  <c r="S43" i="41"/>
  <c r="U730" i="37" s="1"/>
  <c r="S47" i="41"/>
  <c r="S51" i="41"/>
  <c r="U748" i="37" s="1"/>
  <c r="S55" i="41"/>
  <c r="S13" i="41"/>
  <c r="S21" i="41"/>
  <c r="S33" i="41"/>
  <c r="S45" i="41"/>
  <c r="S8" i="41"/>
  <c r="S12" i="41"/>
  <c r="S16" i="41"/>
  <c r="S20" i="41"/>
  <c r="S24" i="41"/>
  <c r="S28" i="41"/>
  <c r="S32" i="41"/>
  <c r="S36" i="41"/>
  <c r="S40" i="41"/>
  <c r="U447" i="37" s="1"/>
  <c r="S44" i="41"/>
  <c r="S48" i="41"/>
  <c r="S52" i="41"/>
  <c r="S74" i="41"/>
  <c r="U707" i="37" s="1"/>
  <c r="S9" i="41"/>
  <c r="S25" i="41"/>
  <c r="S37" i="41"/>
  <c r="U745" i="37" s="1"/>
  <c r="S49" i="41"/>
  <c r="U445" i="37" s="1"/>
  <c r="R10" i="41"/>
  <c r="R14" i="41"/>
  <c r="R18" i="41"/>
  <c r="R22" i="41"/>
  <c r="R26" i="41"/>
  <c r="R30" i="41"/>
  <c r="R34" i="41"/>
  <c r="R38" i="41"/>
  <c r="R42" i="41"/>
  <c r="R46" i="41"/>
  <c r="T728" i="37" s="1"/>
  <c r="R50" i="41"/>
  <c r="T444" i="37" s="1"/>
  <c r="R54" i="41"/>
  <c r="R11" i="41"/>
  <c r="R19" i="41"/>
  <c r="R27" i="41"/>
  <c r="R35" i="41"/>
  <c r="R43" i="41"/>
  <c r="T730" i="37" s="1"/>
  <c r="R51" i="41"/>
  <c r="T748" i="37" s="1"/>
  <c r="R8" i="41"/>
  <c r="R20" i="41"/>
  <c r="R28" i="41"/>
  <c r="R40" i="41"/>
  <c r="T447" i="37" s="1"/>
  <c r="R52" i="41"/>
  <c r="R9" i="41"/>
  <c r="R21" i="41"/>
  <c r="R29" i="41"/>
  <c r="R41" i="41"/>
  <c r="R53" i="41"/>
  <c r="T631" i="37" s="1"/>
  <c r="R7" i="41"/>
  <c r="R15" i="41"/>
  <c r="R23" i="41"/>
  <c r="R31" i="41"/>
  <c r="T825" i="37" s="1"/>
  <c r="R39" i="41"/>
  <c r="T679" i="37" s="1"/>
  <c r="R47" i="41"/>
  <c r="R55" i="41"/>
  <c r="R12" i="41"/>
  <c r="R16" i="41"/>
  <c r="R24" i="41"/>
  <c r="R32" i="41"/>
  <c r="R36" i="41"/>
  <c r="R44" i="41"/>
  <c r="R48" i="41"/>
  <c r="R74" i="41"/>
  <c r="T707" i="37" s="1"/>
  <c r="R13" i="41"/>
  <c r="R17" i="41"/>
  <c r="R25" i="41"/>
  <c r="R33" i="41"/>
  <c r="R37" i="41"/>
  <c r="T745" i="37" s="1"/>
  <c r="R45" i="41"/>
  <c r="R49" i="41"/>
  <c r="T445" i="37" s="1"/>
  <c r="Q10" i="41"/>
  <c r="Q14" i="41"/>
  <c r="Q18" i="41"/>
  <c r="Q22" i="41"/>
  <c r="Q26" i="41"/>
  <c r="Q30" i="41"/>
  <c r="Q34" i="41"/>
  <c r="Q38" i="41"/>
  <c r="Q42" i="41"/>
  <c r="Q46" i="41"/>
  <c r="S728" i="37" s="1"/>
  <c r="Q50" i="41"/>
  <c r="S444" i="37" s="1"/>
  <c r="Q54" i="41"/>
  <c r="Q17" i="41"/>
  <c r="Q25" i="41"/>
  <c r="Q37" i="41"/>
  <c r="S745" i="37" s="1"/>
  <c r="Q49" i="41"/>
  <c r="S445" i="37" s="1"/>
  <c r="Q7" i="41"/>
  <c r="Q11" i="41"/>
  <c r="Q15" i="41"/>
  <c r="Q19" i="41"/>
  <c r="Q23" i="41"/>
  <c r="Q27" i="41"/>
  <c r="Q31" i="41"/>
  <c r="S825" i="37" s="1"/>
  <c r="Q35" i="41"/>
  <c r="Q39" i="41"/>
  <c r="S679" i="37" s="1"/>
  <c r="Q43" i="41"/>
  <c r="S730" i="37" s="1"/>
  <c r="Q47" i="41"/>
  <c r="Q51" i="41"/>
  <c r="S748" i="37" s="1"/>
  <c r="Q55" i="41"/>
  <c r="Q13" i="41"/>
  <c r="Q21" i="41"/>
  <c r="Q33" i="41"/>
  <c r="Q45" i="41"/>
  <c r="Q53" i="41"/>
  <c r="S631" i="37" s="1"/>
  <c r="Q8" i="41"/>
  <c r="Q12" i="41"/>
  <c r="Q16" i="41"/>
  <c r="Q20" i="41"/>
  <c r="Q24" i="41"/>
  <c r="Q28" i="41"/>
  <c r="Q32" i="41"/>
  <c r="Q36" i="41"/>
  <c r="Q40" i="41"/>
  <c r="S447" i="37" s="1"/>
  <c r="Q44" i="41"/>
  <c r="Q48" i="41"/>
  <c r="Q52" i="41"/>
  <c r="Q74" i="41"/>
  <c r="S707" i="37" s="1"/>
  <c r="Q9" i="41"/>
  <c r="Q29" i="41"/>
  <c r="Q41" i="41"/>
  <c r="P10" i="41"/>
  <c r="P14" i="41"/>
  <c r="P18" i="41"/>
  <c r="P22" i="41"/>
  <c r="P26" i="41"/>
  <c r="P30" i="41"/>
  <c r="P34" i="41"/>
  <c r="P38" i="41"/>
  <c r="P42" i="41"/>
  <c r="P46" i="41"/>
  <c r="R728" i="37" s="1"/>
  <c r="P50" i="41"/>
  <c r="R444" i="37" s="1"/>
  <c r="P54" i="41"/>
  <c r="P47" i="41"/>
  <c r="P51" i="41"/>
  <c r="R748" i="37" s="1"/>
  <c r="P55" i="41"/>
  <c r="P8" i="41"/>
  <c r="P12" i="41"/>
  <c r="P16" i="41"/>
  <c r="P20" i="41"/>
  <c r="P24" i="41"/>
  <c r="P28" i="41"/>
  <c r="P32" i="41"/>
  <c r="P36" i="41"/>
  <c r="P40" i="41"/>
  <c r="R447" i="37" s="1"/>
  <c r="P44" i="41"/>
  <c r="P48" i="41"/>
  <c r="P52" i="41"/>
  <c r="P74" i="41"/>
  <c r="R707" i="37" s="1"/>
  <c r="P9" i="41"/>
  <c r="P13" i="41"/>
  <c r="P17" i="41"/>
  <c r="P21" i="41"/>
  <c r="P25" i="41"/>
  <c r="P29" i="41"/>
  <c r="P33" i="41"/>
  <c r="P37" i="41"/>
  <c r="R745" i="37" s="1"/>
  <c r="P41" i="41"/>
  <c r="P45" i="41"/>
  <c r="P49" i="41"/>
  <c r="R445" i="37" s="1"/>
  <c r="P53" i="41"/>
  <c r="R631" i="37" s="1"/>
  <c r="P7" i="41"/>
  <c r="P11" i="41"/>
  <c r="P15" i="41"/>
  <c r="P19" i="41"/>
  <c r="P23" i="41"/>
  <c r="P27" i="41"/>
  <c r="P31" i="41"/>
  <c r="R825" i="37" s="1"/>
  <c r="P35" i="41"/>
  <c r="P39" i="41"/>
  <c r="R679" i="37" s="1"/>
  <c r="P43" i="41"/>
  <c r="R730" i="37" s="1"/>
  <c r="V23" i="5"/>
  <c r="V18" i="5"/>
  <c r="AI143" i="50"/>
  <c r="F18" i="36"/>
  <c r="G18" i="36"/>
  <c r="H18" i="36"/>
  <c r="I18" i="36"/>
  <c r="J18" i="36"/>
  <c r="K18" i="36"/>
  <c r="L18" i="36"/>
  <c r="M18" i="36"/>
  <c r="N18" i="36"/>
  <c r="O18" i="36"/>
  <c r="P18" i="36"/>
  <c r="Q18" i="36"/>
  <c r="R18" i="36"/>
  <c r="S18" i="36"/>
  <c r="T18" i="36"/>
  <c r="U18" i="36"/>
  <c r="V18" i="36"/>
  <c r="E18" i="36"/>
  <c r="W140" i="36"/>
  <c r="W141" i="36"/>
  <c r="W142" i="36"/>
  <c r="W143" i="36"/>
  <c r="W144" i="36"/>
  <c r="W145" i="36"/>
  <c r="W146" i="36"/>
  <c r="W147" i="36"/>
  <c r="W148" i="36"/>
  <c r="W149" i="36"/>
  <c r="W150" i="36"/>
  <c r="W151" i="36"/>
  <c r="W152" i="36"/>
  <c r="W153" i="36"/>
  <c r="W154" i="36"/>
  <c r="W155" i="36"/>
  <c r="W156" i="36"/>
  <c r="W157" i="36"/>
  <c r="W158" i="36"/>
  <c r="W113" i="36"/>
  <c r="W114" i="36"/>
  <c r="W115" i="36"/>
  <c r="W116" i="36"/>
  <c r="W117" i="36"/>
  <c r="W118" i="36"/>
  <c r="W119" i="36"/>
  <c r="W120" i="36"/>
  <c r="W121" i="36"/>
  <c r="W122" i="36"/>
  <c r="W123" i="36"/>
  <c r="W124" i="36"/>
  <c r="W125" i="36"/>
  <c r="W126" i="36"/>
  <c r="W127" i="36"/>
  <c r="W128" i="36"/>
  <c r="W129" i="36"/>
  <c r="W130" i="36"/>
  <c r="W131" i="36"/>
  <c r="W86" i="36"/>
  <c r="W87" i="36"/>
  <c r="W88" i="36"/>
  <c r="W89" i="36"/>
  <c r="W90" i="36"/>
  <c r="W91" i="36"/>
  <c r="W92" i="36"/>
  <c r="W93" i="36"/>
  <c r="W94" i="36"/>
  <c r="W95" i="36"/>
  <c r="W96" i="36"/>
  <c r="W97" i="36"/>
  <c r="W98" i="36"/>
  <c r="W99" i="36"/>
  <c r="W100" i="36"/>
  <c r="W101" i="36"/>
  <c r="W102" i="36"/>
  <c r="W103" i="36"/>
  <c r="W104" i="36"/>
  <c r="W59" i="36"/>
  <c r="W60" i="36"/>
  <c r="W61" i="36"/>
  <c r="W62" i="36"/>
  <c r="W63" i="36"/>
  <c r="W64" i="36"/>
  <c r="W65" i="36"/>
  <c r="W66" i="36"/>
  <c r="W67" i="36"/>
  <c r="W68" i="36"/>
  <c r="W69" i="36"/>
  <c r="W70" i="36"/>
  <c r="W71" i="36"/>
  <c r="W72" i="36"/>
  <c r="W73" i="36"/>
  <c r="W74" i="36"/>
  <c r="W75" i="36"/>
  <c r="W76" i="36"/>
  <c r="W77" i="36"/>
  <c r="F11" i="36"/>
  <c r="U831" i="37" l="1"/>
  <c r="V831" i="37"/>
  <c r="R831" i="37"/>
  <c r="T831" i="37"/>
  <c r="S831" i="37"/>
  <c r="T820" i="37"/>
  <c r="T830" i="37"/>
  <c r="S820" i="37"/>
  <c r="S830" i="37"/>
  <c r="U820" i="37"/>
  <c r="U830" i="37"/>
  <c r="R820" i="37"/>
  <c r="R830" i="37"/>
  <c r="V820" i="37"/>
  <c r="V830" i="37"/>
  <c r="V827" i="37"/>
  <c r="V828" i="37"/>
  <c r="T827" i="37"/>
  <c r="T828" i="37"/>
  <c r="U827" i="37"/>
  <c r="U828" i="37"/>
  <c r="S827" i="37"/>
  <c r="S828" i="37"/>
  <c r="R827" i="37"/>
  <c r="R828" i="37"/>
  <c r="R793" i="37"/>
  <c r="R801" i="37"/>
  <c r="T793" i="37"/>
  <c r="T801" i="37"/>
  <c r="V793" i="37"/>
  <c r="V801" i="37"/>
  <c r="S793" i="37"/>
  <c r="S801" i="37"/>
  <c r="U793" i="37"/>
  <c r="U801" i="37"/>
  <c r="R807" i="37"/>
  <c r="R826" i="37"/>
  <c r="S807" i="37"/>
  <c r="S826" i="37"/>
  <c r="U807" i="37"/>
  <c r="U826" i="37"/>
  <c r="T807" i="37"/>
  <c r="T826" i="37"/>
  <c r="V807" i="37"/>
  <c r="V826" i="37"/>
  <c r="S811" i="37"/>
  <c r="S812" i="37"/>
  <c r="V811" i="37"/>
  <c r="V812" i="37"/>
  <c r="R811" i="37"/>
  <c r="R812" i="37"/>
  <c r="T811" i="37"/>
  <c r="T812" i="37"/>
  <c r="U811" i="37"/>
  <c r="U812" i="37"/>
  <c r="S809" i="37"/>
  <c r="S810" i="37"/>
  <c r="R809" i="37"/>
  <c r="R810" i="37"/>
  <c r="V809" i="37"/>
  <c r="V810" i="37"/>
  <c r="T809" i="37"/>
  <c r="T810" i="37"/>
  <c r="U809" i="37"/>
  <c r="U810" i="37"/>
  <c r="S815" i="37"/>
  <c r="V815" i="37"/>
  <c r="R815" i="37"/>
  <c r="T815" i="37"/>
  <c r="U815" i="37"/>
  <c r="T818" i="37"/>
  <c r="T819" i="37"/>
  <c r="R818" i="37"/>
  <c r="R819" i="37"/>
  <c r="U818" i="37"/>
  <c r="U819" i="37"/>
  <c r="S818" i="37"/>
  <c r="S819" i="37"/>
  <c r="V818" i="37"/>
  <c r="V819" i="37"/>
  <c r="S816" i="37"/>
  <c r="S817" i="37"/>
  <c r="R816" i="37"/>
  <c r="R817" i="37"/>
  <c r="U816" i="37"/>
  <c r="U817" i="37"/>
  <c r="T816" i="37"/>
  <c r="T817" i="37"/>
  <c r="V816" i="37"/>
  <c r="V817" i="37"/>
  <c r="R813" i="37"/>
  <c r="R814" i="37"/>
  <c r="T813" i="37"/>
  <c r="T814" i="37"/>
  <c r="V813" i="37"/>
  <c r="V814" i="37"/>
  <c r="U813" i="37"/>
  <c r="U814" i="37"/>
  <c r="S813" i="37"/>
  <c r="S814" i="37"/>
  <c r="T824" i="37"/>
  <c r="T806" i="37"/>
  <c r="R824" i="37"/>
  <c r="R806" i="37"/>
  <c r="U824" i="37"/>
  <c r="U806" i="37"/>
  <c r="V824" i="37"/>
  <c r="V806" i="37"/>
  <c r="S824" i="37"/>
  <c r="S806" i="37"/>
  <c r="U804" i="37"/>
  <c r="U805" i="37"/>
  <c r="R804" i="37"/>
  <c r="R805" i="37"/>
  <c r="V804" i="37"/>
  <c r="V805" i="37"/>
  <c r="T804" i="37"/>
  <c r="T805" i="37"/>
  <c r="S804" i="37"/>
  <c r="S805" i="37"/>
  <c r="T785" i="37"/>
  <c r="T823" i="37"/>
  <c r="S785" i="37"/>
  <c r="S823" i="37"/>
  <c r="R785" i="37"/>
  <c r="R823" i="37"/>
  <c r="V785" i="37"/>
  <c r="V823" i="37"/>
  <c r="U785" i="37"/>
  <c r="U823" i="37"/>
  <c r="V802" i="37"/>
  <c r="V821" i="37"/>
  <c r="U802" i="37"/>
  <c r="U821" i="37"/>
  <c r="S802" i="37"/>
  <c r="S821" i="37"/>
  <c r="T802" i="37"/>
  <c r="T821" i="37"/>
  <c r="R802" i="37"/>
  <c r="R821" i="37"/>
  <c r="U783" i="37"/>
  <c r="U803" i="37"/>
  <c r="S783" i="37"/>
  <c r="S803" i="37"/>
  <c r="V783" i="37"/>
  <c r="V803" i="37"/>
  <c r="T783" i="37"/>
  <c r="T803" i="37"/>
  <c r="R783" i="37"/>
  <c r="R803" i="37"/>
  <c r="V798" i="37"/>
  <c r="V800" i="37"/>
  <c r="S798" i="37"/>
  <c r="S800" i="37"/>
  <c r="R798" i="37"/>
  <c r="R800" i="37"/>
  <c r="U798" i="37"/>
  <c r="U800" i="37"/>
  <c r="T798" i="37"/>
  <c r="T800" i="37"/>
  <c r="V792" i="37"/>
  <c r="V808" i="37"/>
  <c r="R792" i="37"/>
  <c r="R808" i="37"/>
  <c r="T792" i="37"/>
  <c r="T808" i="37"/>
  <c r="S792" i="37"/>
  <c r="S808" i="37"/>
  <c r="U792" i="37"/>
  <c r="U808" i="37"/>
  <c r="R794" i="37"/>
  <c r="R799" i="37"/>
  <c r="T794" i="37"/>
  <c r="T799" i="37"/>
  <c r="S794" i="37"/>
  <c r="S799" i="37"/>
  <c r="V794" i="37"/>
  <c r="V799" i="37"/>
  <c r="U794" i="37"/>
  <c r="U799" i="37"/>
  <c r="T788" i="37"/>
  <c r="T796" i="37"/>
  <c r="U788" i="37"/>
  <c r="U796" i="37"/>
  <c r="V788" i="37"/>
  <c r="V796" i="37"/>
  <c r="S788" i="37"/>
  <c r="S796" i="37"/>
  <c r="R788" i="37"/>
  <c r="R796" i="37"/>
  <c r="R787" i="37"/>
  <c r="R795" i="37"/>
  <c r="V787" i="37"/>
  <c r="V795" i="37"/>
  <c r="T787" i="37"/>
  <c r="T795" i="37"/>
  <c r="S787" i="37"/>
  <c r="S795" i="37"/>
  <c r="U787" i="37"/>
  <c r="U795" i="37"/>
  <c r="U771" i="37"/>
  <c r="U789" i="37"/>
  <c r="S771" i="37"/>
  <c r="S789" i="37"/>
  <c r="T771" i="37"/>
  <c r="T789" i="37"/>
  <c r="R771" i="37"/>
  <c r="R789" i="37"/>
  <c r="V771" i="37"/>
  <c r="V789" i="37"/>
  <c r="S782" i="37"/>
  <c r="S786" i="37"/>
  <c r="T782" i="37"/>
  <c r="T786" i="37"/>
  <c r="U782" i="37"/>
  <c r="U786" i="37"/>
  <c r="R782" i="37"/>
  <c r="R786" i="37"/>
  <c r="V782" i="37"/>
  <c r="V786" i="37"/>
  <c r="T776" i="37"/>
  <c r="T784" i="37"/>
  <c r="S776" i="37"/>
  <c r="S784" i="37"/>
  <c r="R776" i="37"/>
  <c r="R784" i="37"/>
  <c r="U776" i="37"/>
  <c r="U784" i="37"/>
  <c r="V776" i="37"/>
  <c r="V784" i="37"/>
  <c r="U775" i="37"/>
  <c r="U781" i="37"/>
  <c r="V775" i="37"/>
  <c r="V781" i="37"/>
  <c r="S775" i="37"/>
  <c r="S781" i="37"/>
  <c r="R775" i="37"/>
  <c r="R781" i="37"/>
  <c r="T775" i="37"/>
  <c r="T781" i="37"/>
  <c r="U779" i="37"/>
  <c r="U780" i="37"/>
  <c r="R779" i="37"/>
  <c r="R780" i="37"/>
  <c r="V779" i="37"/>
  <c r="V780" i="37"/>
  <c r="S779" i="37"/>
  <c r="S780" i="37"/>
  <c r="T779" i="37"/>
  <c r="T780" i="37"/>
  <c r="S766" i="37"/>
  <c r="S778" i="37"/>
  <c r="R766" i="37"/>
  <c r="R778" i="37"/>
  <c r="T766" i="37"/>
  <c r="T778" i="37"/>
  <c r="V766" i="37"/>
  <c r="V778" i="37"/>
  <c r="U766" i="37"/>
  <c r="U778" i="37"/>
  <c r="T739" i="37"/>
  <c r="T777" i="37"/>
  <c r="S739" i="37"/>
  <c r="S777" i="37"/>
  <c r="U739" i="37"/>
  <c r="U777" i="37"/>
  <c r="R739" i="37"/>
  <c r="R777" i="37"/>
  <c r="V739" i="37"/>
  <c r="V777" i="37"/>
  <c r="S773" i="37"/>
  <c r="S774" i="37"/>
  <c r="R773" i="37"/>
  <c r="R774" i="37"/>
  <c r="V773" i="37"/>
  <c r="V774" i="37"/>
  <c r="U773" i="37"/>
  <c r="U774" i="37"/>
  <c r="T773" i="37"/>
  <c r="T774" i="37"/>
  <c r="T753" i="37"/>
  <c r="T772" i="37"/>
  <c r="S753" i="37"/>
  <c r="S772" i="37"/>
  <c r="R753" i="37"/>
  <c r="R772" i="37"/>
  <c r="V753" i="37"/>
  <c r="V772" i="37"/>
  <c r="U753" i="37"/>
  <c r="U772" i="37"/>
  <c r="S769" i="37"/>
  <c r="S770" i="37"/>
  <c r="T769" i="37"/>
  <c r="T770" i="37"/>
  <c r="U769" i="37"/>
  <c r="U770" i="37"/>
  <c r="R769" i="37"/>
  <c r="R770" i="37"/>
  <c r="V769" i="37"/>
  <c r="V770" i="37"/>
  <c r="V737" i="37"/>
  <c r="V768" i="37"/>
  <c r="U737" i="37"/>
  <c r="U768" i="37"/>
  <c r="R737" i="37"/>
  <c r="R768" i="37"/>
  <c r="T737" i="37"/>
  <c r="T768" i="37"/>
  <c r="S737" i="37"/>
  <c r="S768" i="37"/>
  <c r="S761" i="37"/>
  <c r="S767" i="37"/>
  <c r="U761" i="37"/>
  <c r="U767" i="37"/>
  <c r="R761" i="37"/>
  <c r="R767" i="37"/>
  <c r="T761" i="37"/>
  <c r="T767" i="37"/>
  <c r="V761" i="37"/>
  <c r="V767" i="37"/>
  <c r="U760" i="37"/>
  <c r="U765" i="37"/>
  <c r="R760" i="37"/>
  <c r="R765" i="37"/>
  <c r="V760" i="37"/>
  <c r="V765" i="37"/>
  <c r="S760" i="37"/>
  <c r="S765" i="37"/>
  <c r="T760" i="37"/>
  <c r="T765" i="37"/>
  <c r="R756" i="37"/>
  <c r="R763" i="37"/>
  <c r="S756" i="37"/>
  <c r="S763" i="37"/>
  <c r="U756" i="37"/>
  <c r="U763" i="37"/>
  <c r="T756" i="37"/>
  <c r="T763" i="37"/>
  <c r="V756" i="37"/>
  <c r="V763" i="37"/>
  <c r="V759" i="37"/>
  <c r="V762" i="37"/>
  <c r="U759" i="37"/>
  <c r="U762" i="37"/>
  <c r="S759" i="37"/>
  <c r="S762" i="37"/>
  <c r="T759" i="37"/>
  <c r="T762" i="37"/>
  <c r="R759" i="37"/>
  <c r="R762" i="37"/>
  <c r="V747" i="37"/>
  <c r="V758" i="37"/>
  <c r="S747" i="37"/>
  <c r="S758" i="37"/>
  <c r="U747" i="37"/>
  <c r="U758" i="37"/>
  <c r="T747" i="37"/>
  <c r="T758" i="37"/>
  <c r="R747" i="37"/>
  <c r="R758" i="37"/>
  <c r="S735" i="37"/>
  <c r="S757" i="37"/>
  <c r="R735" i="37"/>
  <c r="R757" i="37"/>
  <c r="T735" i="37"/>
  <c r="T757" i="37"/>
  <c r="U735" i="37"/>
  <c r="U757" i="37"/>
  <c r="V735" i="37"/>
  <c r="V757" i="37"/>
  <c r="R749" i="37"/>
  <c r="R755" i="37"/>
  <c r="T749" i="37"/>
  <c r="T755" i="37"/>
  <c r="U749" i="37"/>
  <c r="U755" i="37"/>
  <c r="V749" i="37"/>
  <c r="V755" i="37"/>
  <c r="S749" i="37"/>
  <c r="S755" i="37"/>
  <c r="S740" i="37"/>
  <c r="S754" i="37"/>
  <c r="R740" i="37"/>
  <c r="R754" i="37"/>
  <c r="T740" i="37"/>
  <c r="T754" i="37"/>
  <c r="U740" i="37"/>
  <c r="U754" i="37"/>
  <c r="V740" i="37"/>
  <c r="V754" i="37"/>
  <c r="S629" i="37"/>
  <c r="S750" i="37"/>
  <c r="V629" i="37"/>
  <c r="V750" i="37"/>
  <c r="R629" i="37"/>
  <c r="R750" i="37"/>
  <c r="U629" i="37"/>
  <c r="U750" i="37"/>
  <c r="T629" i="37"/>
  <c r="T750" i="37"/>
  <c r="R716" i="37"/>
  <c r="R746" i="37"/>
  <c r="V716" i="37"/>
  <c r="V746" i="37"/>
  <c r="S716" i="37"/>
  <c r="S746" i="37"/>
  <c r="T716" i="37"/>
  <c r="T746" i="37"/>
  <c r="U716" i="37"/>
  <c r="U746" i="37"/>
  <c r="R687" i="37"/>
  <c r="R738" i="37"/>
  <c r="T687" i="37"/>
  <c r="T738" i="37"/>
  <c r="V687" i="37"/>
  <c r="V738" i="37"/>
  <c r="S687" i="37"/>
  <c r="S738" i="37"/>
  <c r="U687" i="37"/>
  <c r="U738" i="37"/>
  <c r="S670" i="37"/>
  <c r="S736" i="37"/>
  <c r="V670" i="37"/>
  <c r="V736" i="37"/>
  <c r="R670" i="37"/>
  <c r="R736" i="37"/>
  <c r="T670" i="37"/>
  <c r="T736" i="37"/>
  <c r="U670" i="37"/>
  <c r="U736" i="37"/>
  <c r="U702" i="37"/>
  <c r="U731" i="37"/>
  <c r="V702" i="37"/>
  <c r="V731" i="37"/>
  <c r="T702" i="37"/>
  <c r="T731" i="37"/>
  <c r="R702" i="37"/>
  <c r="R731" i="37"/>
  <c r="S702" i="37"/>
  <c r="S731" i="37"/>
  <c r="V592" i="37"/>
  <c r="V729" i="37"/>
  <c r="T592" i="37"/>
  <c r="T729" i="37"/>
  <c r="S592" i="37"/>
  <c r="S729" i="37"/>
  <c r="U592" i="37"/>
  <c r="U729" i="37"/>
  <c r="R592" i="37"/>
  <c r="R729" i="37"/>
  <c r="V695" i="37"/>
  <c r="U695" i="37"/>
  <c r="T695" i="37"/>
  <c r="R695" i="37"/>
  <c r="S695" i="37"/>
  <c r="U717" i="37"/>
  <c r="U725" i="37"/>
  <c r="R717" i="37"/>
  <c r="R725" i="37"/>
  <c r="T717" i="37"/>
  <c r="T725" i="37"/>
  <c r="V717" i="37"/>
  <c r="V725" i="37"/>
  <c r="S717" i="37"/>
  <c r="S725" i="37"/>
  <c r="U701" i="37"/>
  <c r="U726" i="37"/>
  <c r="T701" i="37"/>
  <c r="T726" i="37"/>
  <c r="S701" i="37"/>
  <c r="S726" i="37"/>
  <c r="R701" i="37"/>
  <c r="R726" i="37"/>
  <c r="V701" i="37"/>
  <c r="V726" i="37"/>
  <c r="R723" i="37"/>
  <c r="R724" i="37"/>
  <c r="V723" i="37"/>
  <c r="V724" i="37"/>
  <c r="S723" i="37"/>
  <c r="S724" i="37"/>
  <c r="T723" i="37"/>
  <c r="T724" i="37"/>
  <c r="U723" i="37"/>
  <c r="U724" i="37"/>
  <c r="R791" i="37"/>
  <c r="F122" i="50"/>
  <c r="F123" i="50"/>
  <c r="E122" i="50"/>
  <c r="E123" i="50"/>
  <c r="D122" i="50"/>
  <c r="D123" i="50"/>
  <c r="C122" i="50"/>
  <c r="C123" i="50"/>
  <c r="G122" i="50"/>
  <c r="G123" i="50"/>
  <c r="E120" i="50"/>
  <c r="C120" i="50"/>
  <c r="G120" i="50"/>
  <c r="D120" i="50"/>
  <c r="F120" i="50"/>
  <c r="U727" i="37"/>
  <c r="T710" i="37"/>
  <c r="U710" i="37"/>
  <c r="R710" i="37"/>
  <c r="R727" i="37"/>
  <c r="V727" i="37"/>
  <c r="S727" i="37"/>
  <c r="T727" i="37"/>
  <c r="S487" i="37"/>
  <c r="S720" i="37"/>
  <c r="R487" i="37"/>
  <c r="R720" i="37"/>
  <c r="V487" i="37"/>
  <c r="V720" i="37"/>
  <c r="T487" i="37"/>
  <c r="T720" i="37"/>
  <c r="U487" i="37"/>
  <c r="U720" i="37"/>
  <c r="S710" i="37"/>
  <c r="V710" i="37"/>
  <c r="R708" i="37"/>
  <c r="R709" i="37"/>
  <c r="V708" i="37"/>
  <c r="V709" i="37"/>
  <c r="S708" i="37"/>
  <c r="S709" i="37"/>
  <c r="T708" i="37"/>
  <c r="T709" i="37"/>
  <c r="U708" i="37"/>
  <c r="U709" i="37"/>
  <c r="V593" i="37"/>
  <c r="V718" i="37"/>
  <c r="S593" i="37"/>
  <c r="S718" i="37"/>
  <c r="T593" i="37"/>
  <c r="T718" i="37"/>
  <c r="R593" i="37"/>
  <c r="R718" i="37"/>
  <c r="U593" i="37"/>
  <c r="U718" i="37"/>
  <c r="R686" i="37"/>
  <c r="R688" i="37"/>
  <c r="T686" i="37"/>
  <c r="T688" i="37"/>
  <c r="S686" i="37"/>
  <c r="S688" i="37"/>
  <c r="U686" i="37"/>
  <c r="U688" i="37"/>
  <c r="V686" i="37"/>
  <c r="V688" i="37"/>
  <c r="U711" i="37"/>
  <c r="U791" i="37"/>
  <c r="T791" i="37"/>
  <c r="S791" i="37"/>
  <c r="V791" i="37"/>
  <c r="T713" i="37"/>
  <c r="S713" i="37"/>
  <c r="R713" i="37"/>
  <c r="U713" i="37"/>
  <c r="V713" i="37"/>
  <c r="S711" i="37"/>
  <c r="T711" i="37"/>
  <c r="R711" i="37"/>
  <c r="V711" i="37"/>
  <c r="S693" i="37"/>
  <c r="S694" i="37"/>
  <c r="T693" i="37"/>
  <c r="T694" i="37"/>
  <c r="U693" i="37"/>
  <c r="U694" i="37"/>
  <c r="R693" i="37"/>
  <c r="R694" i="37"/>
  <c r="V693" i="37"/>
  <c r="V694" i="37"/>
  <c r="S690" i="37"/>
  <c r="S691" i="37"/>
  <c r="T690" i="37"/>
  <c r="T691" i="37"/>
  <c r="U690" i="37"/>
  <c r="U691" i="37"/>
  <c r="R690" i="37"/>
  <c r="R691" i="37"/>
  <c r="V690" i="37"/>
  <c r="V691" i="37"/>
  <c r="S684" i="37"/>
  <c r="S685" i="37"/>
  <c r="V684" i="37"/>
  <c r="V685" i="37"/>
  <c r="U684" i="37"/>
  <c r="U685" i="37"/>
  <c r="R684" i="37"/>
  <c r="R685" i="37"/>
  <c r="T684" i="37"/>
  <c r="T685" i="37"/>
  <c r="U790" i="37"/>
  <c r="U683" i="37"/>
  <c r="R790" i="37"/>
  <c r="R683" i="37"/>
  <c r="V790" i="37"/>
  <c r="V683" i="37"/>
  <c r="S790" i="37"/>
  <c r="S683" i="37"/>
  <c r="T790" i="37"/>
  <c r="T683" i="37"/>
  <c r="R682" i="37"/>
  <c r="V682" i="37"/>
  <c r="T682" i="37"/>
  <c r="S682" i="37"/>
  <c r="U682" i="37"/>
  <c r="V698" i="37"/>
  <c r="V699" i="37"/>
  <c r="U698" i="37"/>
  <c r="U699" i="37"/>
  <c r="T698" i="37"/>
  <c r="T699" i="37"/>
  <c r="S698" i="37"/>
  <c r="S699" i="37"/>
  <c r="R698" i="37"/>
  <c r="R699" i="37"/>
  <c r="V700" i="37"/>
  <c r="V697" i="37"/>
  <c r="U700" i="37"/>
  <c r="U697" i="37"/>
  <c r="T700" i="37"/>
  <c r="T697" i="37"/>
  <c r="S700" i="37"/>
  <c r="S697" i="37"/>
  <c r="R700" i="37"/>
  <c r="R697" i="37"/>
  <c r="R680" i="37"/>
  <c r="R681" i="37"/>
  <c r="V680" i="37"/>
  <c r="V681" i="37"/>
  <c r="S680" i="37"/>
  <c r="S681" i="37"/>
  <c r="T680" i="37"/>
  <c r="T681" i="37"/>
  <c r="U680" i="37"/>
  <c r="U681" i="37"/>
  <c r="S689" i="37"/>
  <c r="S692" i="37"/>
  <c r="T689" i="37"/>
  <c r="T692" i="37"/>
  <c r="U689" i="37"/>
  <c r="U692" i="37"/>
  <c r="R689" i="37"/>
  <c r="R692" i="37"/>
  <c r="V689" i="37"/>
  <c r="V692" i="37"/>
  <c r="G106" i="50"/>
  <c r="G108" i="50"/>
  <c r="G107" i="50"/>
  <c r="C106" i="50"/>
  <c r="C108" i="50"/>
  <c r="C107" i="50"/>
  <c r="F106" i="50"/>
  <c r="F108" i="50"/>
  <c r="F107" i="50"/>
  <c r="D106" i="50"/>
  <c r="D107" i="50"/>
  <c r="D108" i="50"/>
  <c r="E106" i="50"/>
  <c r="E107" i="50"/>
  <c r="E108" i="50"/>
  <c r="G105" i="50"/>
  <c r="G104" i="50"/>
  <c r="C105" i="50"/>
  <c r="C104" i="50"/>
  <c r="E105" i="50"/>
  <c r="E104" i="50"/>
  <c r="F105" i="50"/>
  <c r="F104" i="50"/>
  <c r="D105" i="50"/>
  <c r="D104" i="50"/>
  <c r="R667" i="37"/>
  <c r="R678" i="37"/>
  <c r="T667" i="37"/>
  <c r="T678" i="37"/>
  <c r="U667" i="37"/>
  <c r="U678" i="37"/>
  <c r="V667" i="37"/>
  <c r="V678" i="37"/>
  <c r="S667" i="37"/>
  <c r="S678" i="37"/>
  <c r="U672" i="37"/>
  <c r="U666" i="37"/>
  <c r="U677" i="37"/>
  <c r="R666" i="37"/>
  <c r="R677" i="37"/>
  <c r="T666" i="37"/>
  <c r="T677" i="37"/>
  <c r="S666" i="37"/>
  <c r="S677" i="37"/>
  <c r="V666" i="37"/>
  <c r="V677" i="37"/>
  <c r="T672" i="37"/>
  <c r="S675" i="37"/>
  <c r="S673" i="37"/>
  <c r="R675" i="37"/>
  <c r="R673" i="37"/>
  <c r="V675" i="37"/>
  <c r="V673" i="37"/>
  <c r="T675" i="37"/>
  <c r="T673" i="37"/>
  <c r="U675" i="37"/>
  <c r="U673" i="37"/>
  <c r="R672" i="37"/>
  <c r="V672" i="37"/>
  <c r="S672" i="37"/>
  <c r="S669" i="37"/>
  <c r="T669" i="37"/>
  <c r="U669" i="37"/>
  <c r="R669" i="37"/>
  <c r="V669" i="37"/>
  <c r="S662" i="37"/>
  <c r="S671" i="37"/>
  <c r="U662" i="37"/>
  <c r="U671" i="37"/>
  <c r="T662" i="37"/>
  <c r="T671" i="37"/>
  <c r="V662" i="37"/>
  <c r="V671" i="37"/>
  <c r="R662" i="37"/>
  <c r="R671" i="37"/>
  <c r="U664" i="37"/>
  <c r="U676" i="37"/>
  <c r="R664" i="37"/>
  <c r="R676" i="37"/>
  <c r="U668" i="37"/>
  <c r="V664" i="37"/>
  <c r="V676" i="37"/>
  <c r="S664" i="37"/>
  <c r="S676" i="37"/>
  <c r="T664" i="37"/>
  <c r="T676" i="37"/>
  <c r="R668" i="37"/>
  <c r="V668" i="37"/>
  <c r="R659" i="37"/>
  <c r="R674" i="37"/>
  <c r="V659" i="37"/>
  <c r="V674" i="37"/>
  <c r="S659" i="37"/>
  <c r="S674" i="37"/>
  <c r="T659" i="37"/>
  <c r="T674" i="37"/>
  <c r="U659" i="37"/>
  <c r="U674" i="37"/>
  <c r="S668" i="37"/>
  <c r="T637" i="37"/>
  <c r="T668" i="37"/>
  <c r="E103" i="50"/>
  <c r="E115" i="50"/>
  <c r="F103" i="50"/>
  <c r="F115" i="50"/>
  <c r="D103" i="50"/>
  <c r="D115" i="50"/>
  <c r="G103" i="50"/>
  <c r="G115" i="50"/>
  <c r="C103" i="50"/>
  <c r="C115" i="50"/>
  <c r="U663" i="37"/>
  <c r="U665" i="37"/>
  <c r="T663" i="37"/>
  <c r="T665" i="37"/>
  <c r="V663" i="37"/>
  <c r="V665" i="37"/>
  <c r="S663" i="37"/>
  <c r="S665" i="37"/>
  <c r="R663" i="37"/>
  <c r="R665" i="37"/>
  <c r="R625" i="37"/>
  <c r="R661" i="37"/>
  <c r="V625" i="37"/>
  <c r="V661" i="37"/>
  <c r="S625" i="37"/>
  <c r="S661" i="37"/>
  <c r="T625" i="37"/>
  <c r="T661" i="37"/>
  <c r="U625" i="37"/>
  <c r="U661" i="37"/>
  <c r="V624" i="37"/>
  <c r="V660" i="37"/>
  <c r="U624" i="37"/>
  <c r="U660" i="37"/>
  <c r="S624" i="37"/>
  <c r="S660" i="37"/>
  <c r="T624" i="37"/>
  <c r="T660" i="37"/>
  <c r="R624" i="37"/>
  <c r="R660" i="37"/>
  <c r="S651" i="37"/>
  <c r="S658" i="37"/>
  <c r="T651" i="37"/>
  <c r="T658" i="37"/>
  <c r="U651" i="37"/>
  <c r="U658" i="37"/>
  <c r="R651" i="37"/>
  <c r="R658" i="37"/>
  <c r="V651" i="37"/>
  <c r="V658" i="37"/>
  <c r="U704" i="37"/>
  <c r="T704" i="37"/>
  <c r="R704" i="37"/>
  <c r="V704" i="37"/>
  <c r="S704" i="37"/>
  <c r="R644" i="37"/>
  <c r="R656" i="37"/>
  <c r="V644" i="37"/>
  <c r="V656" i="37"/>
  <c r="S644" i="37"/>
  <c r="S656" i="37"/>
  <c r="T644" i="37"/>
  <c r="T656" i="37"/>
  <c r="U644" i="37"/>
  <c r="U656" i="37"/>
  <c r="U646" i="37"/>
  <c r="U655" i="37"/>
  <c r="T646" i="37"/>
  <c r="T655" i="37"/>
  <c r="R646" i="37"/>
  <c r="R655" i="37"/>
  <c r="V646" i="37"/>
  <c r="V655" i="37"/>
  <c r="S646" i="37"/>
  <c r="S655" i="37"/>
  <c r="V378" i="37"/>
  <c r="T378" i="37"/>
  <c r="S378" i="37"/>
  <c r="U378" i="37"/>
  <c r="R378" i="37"/>
  <c r="R645" i="37"/>
  <c r="R653" i="37"/>
  <c r="T645" i="37"/>
  <c r="T653" i="37"/>
  <c r="U645" i="37"/>
  <c r="U653" i="37"/>
  <c r="V645" i="37"/>
  <c r="V653" i="37"/>
  <c r="S645" i="37"/>
  <c r="S653" i="37"/>
  <c r="V647" i="37"/>
  <c r="V652" i="37"/>
  <c r="R647" i="37"/>
  <c r="R652" i="37"/>
  <c r="T647" i="37"/>
  <c r="T652" i="37"/>
  <c r="S647" i="37"/>
  <c r="S652" i="37"/>
  <c r="U647" i="37"/>
  <c r="U652" i="37"/>
  <c r="R649" i="37"/>
  <c r="R650" i="37"/>
  <c r="V649" i="37"/>
  <c r="V650" i="37"/>
  <c r="S649" i="37"/>
  <c r="S650" i="37"/>
  <c r="T649" i="37"/>
  <c r="T650" i="37"/>
  <c r="U649" i="37"/>
  <c r="U650" i="37"/>
  <c r="U643" i="37"/>
  <c r="U648" i="37"/>
  <c r="T643" i="37"/>
  <c r="T648" i="37"/>
  <c r="V643" i="37"/>
  <c r="V648" i="37"/>
  <c r="S643" i="37"/>
  <c r="S648" i="37"/>
  <c r="R643" i="37"/>
  <c r="R648" i="37"/>
  <c r="U635" i="37"/>
  <c r="U636" i="37"/>
  <c r="R635" i="37"/>
  <c r="R636" i="37"/>
  <c r="V635" i="37"/>
  <c r="V636" i="37"/>
  <c r="S635" i="37"/>
  <c r="S636" i="37"/>
  <c r="T635" i="37"/>
  <c r="T636" i="37"/>
  <c r="R541" i="37"/>
  <c r="R637" i="37"/>
  <c r="V541" i="37"/>
  <c r="V637" i="37"/>
  <c r="S541" i="37"/>
  <c r="S637" i="37"/>
  <c r="U541" i="37"/>
  <c r="U637" i="37"/>
  <c r="R641" i="37"/>
  <c r="R642" i="37"/>
  <c r="V641" i="37"/>
  <c r="V642" i="37"/>
  <c r="U641" i="37"/>
  <c r="U642" i="37"/>
  <c r="T641" i="37"/>
  <c r="T642" i="37"/>
  <c r="S641" i="37"/>
  <c r="S642" i="37"/>
  <c r="C8" i="50"/>
  <c r="T623" i="37"/>
  <c r="T639" i="37"/>
  <c r="S623" i="37"/>
  <c r="S639" i="37"/>
  <c r="V623" i="37"/>
  <c r="V639" i="37"/>
  <c r="R623" i="37"/>
  <c r="R639" i="37"/>
  <c r="U623" i="37"/>
  <c r="U639" i="37"/>
  <c r="U619" i="37"/>
  <c r="U638" i="37"/>
  <c r="R619" i="37"/>
  <c r="R638" i="37"/>
  <c r="V619" i="37"/>
  <c r="V638" i="37"/>
  <c r="S619" i="37"/>
  <c r="S638" i="37"/>
  <c r="T619" i="37"/>
  <c r="T638" i="37"/>
  <c r="R620" i="37"/>
  <c r="R634" i="37"/>
  <c r="T620" i="37"/>
  <c r="T634" i="37"/>
  <c r="S620" i="37"/>
  <c r="S634" i="37"/>
  <c r="V620" i="37"/>
  <c r="V634" i="37"/>
  <c r="U620" i="37"/>
  <c r="U634" i="37"/>
  <c r="R632" i="37"/>
  <c r="R633" i="37"/>
  <c r="V632" i="37"/>
  <c r="V633" i="37"/>
  <c r="T632" i="37"/>
  <c r="T633" i="37"/>
  <c r="S632" i="37"/>
  <c r="S633" i="37"/>
  <c r="U632" i="37"/>
  <c r="U633" i="37"/>
  <c r="R618" i="37"/>
  <c r="R630" i="37"/>
  <c r="T618" i="37"/>
  <c r="T630" i="37"/>
  <c r="U618" i="37"/>
  <c r="U630" i="37"/>
  <c r="V618" i="37"/>
  <c r="V630" i="37"/>
  <c r="S618" i="37"/>
  <c r="S630" i="37"/>
  <c r="T628" i="37"/>
  <c r="T627" i="37"/>
  <c r="U628" i="37"/>
  <c r="U627" i="37"/>
  <c r="R628" i="37"/>
  <c r="R627" i="37"/>
  <c r="V628" i="37"/>
  <c r="V627" i="37"/>
  <c r="S628" i="37"/>
  <c r="S627" i="37"/>
  <c r="V610" i="37"/>
  <c r="V626" i="37"/>
  <c r="U610" i="37"/>
  <c r="U626" i="37"/>
  <c r="S610" i="37"/>
  <c r="S626" i="37"/>
  <c r="T610" i="37"/>
  <c r="T626" i="37"/>
  <c r="R610" i="37"/>
  <c r="R626" i="37"/>
  <c r="R615" i="37"/>
  <c r="R616" i="37"/>
  <c r="V615" i="37"/>
  <c r="V616" i="37"/>
  <c r="S615" i="37"/>
  <c r="S616" i="37"/>
  <c r="T615" i="37"/>
  <c r="T616" i="37"/>
  <c r="U615" i="37"/>
  <c r="U616" i="37"/>
  <c r="R603" i="37"/>
  <c r="R622" i="37"/>
  <c r="V603" i="37"/>
  <c r="V622" i="37"/>
  <c r="S603" i="37"/>
  <c r="S622" i="37"/>
  <c r="T603" i="37"/>
  <c r="T622" i="37"/>
  <c r="U603" i="37"/>
  <c r="U622" i="37"/>
  <c r="S714" i="37"/>
  <c r="S621" i="37"/>
  <c r="R714" i="37"/>
  <c r="R621" i="37"/>
  <c r="V714" i="37"/>
  <c r="V621" i="37"/>
  <c r="U714" i="37"/>
  <c r="U621" i="37"/>
  <c r="T714" i="37"/>
  <c r="T621" i="37"/>
  <c r="T599" i="37"/>
  <c r="T611" i="37"/>
  <c r="R599" i="37"/>
  <c r="R611" i="37"/>
  <c r="V599" i="37"/>
  <c r="V611" i="37"/>
  <c r="U599" i="37"/>
  <c r="U611" i="37"/>
  <c r="S599" i="37"/>
  <c r="S611" i="37"/>
  <c r="U604" i="37"/>
  <c r="U617" i="37"/>
  <c r="V604" i="37"/>
  <c r="V617" i="37"/>
  <c r="R604" i="37"/>
  <c r="R617" i="37"/>
  <c r="S604" i="37"/>
  <c r="S617" i="37"/>
  <c r="T604" i="37"/>
  <c r="T617" i="37"/>
  <c r="R613" i="37"/>
  <c r="R614" i="37"/>
  <c r="V613" i="37"/>
  <c r="V614" i="37"/>
  <c r="T613" i="37"/>
  <c r="T614" i="37"/>
  <c r="U613" i="37"/>
  <c r="U614" i="37"/>
  <c r="S613" i="37"/>
  <c r="S614" i="37"/>
  <c r="U589" i="37"/>
  <c r="U612" i="37"/>
  <c r="T589" i="37"/>
  <c r="T612" i="37"/>
  <c r="S589" i="37"/>
  <c r="S612" i="37"/>
  <c r="V589" i="37"/>
  <c r="V612" i="37"/>
  <c r="R589" i="37"/>
  <c r="R612" i="37"/>
  <c r="T598" i="37"/>
  <c r="T609" i="37"/>
  <c r="U598" i="37"/>
  <c r="U609" i="37"/>
  <c r="S598" i="37"/>
  <c r="S609" i="37"/>
  <c r="R598" i="37"/>
  <c r="R609" i="37"/>
  <c r="V598" i="37"/>
  <c r="V609" i="37"/>
  <c r="U597" i="37"/>
  <c r="U608" i="37"/>
  <c r="R597" i="37"/>
  <c r="R608" i="37"/>
  <c r="V597" i="37"/>
  <c r="V608" i="37"/>
  <c r="S597" i="37"/>
  <c r="S608" i="37"/>
  <c r="T597" i="37"/>
  <c r="T608" i="37"/>
  <c r="S594" i="37"/>
  <c r="S607" i="37"/>
  <c r="V594" i="37"/>
  <c r="V607" i="37"/>
  <c r="U594" i="37"/>
  <c r="U607" i="37"/>
  <c r="R594" i="37"/>
  <c r="R607" i="37"/>
  <c r="T594" i="37"/>
  <c r="T607" i="37"/>
  <c r="R576" i="37"/>
  <c r="R606" i="37"/>
  <c r="U576" i="37"/>
  <c r="U606" i="37"/>
  <c r="T576" i="37"/>
  <c r="T606" i="37"/>
  <c r="S576" i="37"/>
  <c r="S606" i="37"/>
  <c r="V576" i="37"/>
  <c r="V606" i="37"/>
  <c r="V591" i="37"/>
  <c r="V605" i="37"/>
  <c r="U591" i="37"/>
  <c r="U605" i="37"/>
  <c r="S591" i="37"/>
  <c r="S605" i="37"/>
  <c r="R591" i="37"/>
  <c r="R605" i="37"/>
  <c r="T591" i="37"/>
  <c r="T605" i="37"/>
  <c r="S601" i="37"/>
  <c r="S602" i="37"/>
  <c r="T601" i="37"/>
  <c r="T602" i="37"/>
  <c r="U601" i="37"/>
  <c r="U602" i="37"/>
  <c r="R601" i="37"/>
  <c r="R602" i="37"/>
  <c r="V601" i="37"/>
  <c r="V602" i="37"/>
  <c r="V565" i="37"/>
  <c r="V600" i="37"/>
  <c r="U565" i="37"/>
  <c r="U600" i="37"/>
  <c r="S565" i="37"/>
  <c r="S600" i="37"/>
  <c r="R565" i="37"/>
  <c r="R600" i="37"/>
  <c r="T565" i="37"/>
  <c r="T600" i="37"/>
  <c r="U587" i="37"/>
  <c r="U596" i="37"/>
  <c r="V587" i="37"/>
  <c r="V596" i="37"/>
  <c r="R587" i="37"/>
  <c r="R596" i="37"/>
  <c r="S587" i="37"/>
  <c r="S596" i="37"/>
  <c r="T587" i="37"/>
  <c r="T596" i="37"/>
  <c r="S577" i="37"/>
  <c r="S595" i="37"/>
  <c r="R577" i="37"/>
  <c r="R595" i="37"/>
  <c r="T577" i="37"/>
  <c r="T595" i="37"/>
  <c r="V577" i="37"/>
  <c r="V595" i="37"/>
  <c r="U577" i="37"/>
  <c r="U595" i="37"/>
  <c r="T578" i="37"/>
  <c r="T590" i="37"/>
  <c r="U578" i="37"/>
  <c r="U590" i="37"/>
  <c r="R578" i="37"/>
  <c r="R590" i="37"/>
  <c r="S578" i="37"/>
  <c r="S590" i="37"/>
  <c r="V578" i="37"/>
  <c r="V590" i="37"/>
  <c r="W23" i="5"/>
  <c r="D34" i="75" a="1"/>
  <c r="D34" i="75" s="1"/>
  <c r="F34" i="75" s="1"/>
  <c r="W18" i="5"/>
  <c r="D33" i="75" a="1"/>
  <c r="D33" i="75" s="1"/>
  <c r="F33" i="75" s="1"/>
  <c r="S547" i="37"/>
  <c r="S588" i="37"/>
  <c r="T547" i="37"/>
  <c r="T588" i="37"/>
  <c r="U547" i="37"/>
  <c r="U588" i="37"/>
  <c r="R547" i="37"/>
  <c r="R588" i="37"/>
  <c r="V547" i="37"/>
  <c r="V588" i="37"/>
  <c r="S585" i="37"/>
  <c r="S586" i="37"/>
  <c r="R585" i="37"/>
  <c r="R586" i="37"/>
  <c r="T585" i="37"/>
  <c r="T586" i="37"/>
  <c r="V585" i="37"/>
  <c r="V586" i="37"/>
  <c r="U585" i="37"/>
  <c r="U586" i="37"/>
  <c r="T573" i="37"/>
  <c r="T584" i="37"/>
  <c r="S573" i="37"/>
  <c r="S584" i="37"/>
  <c r="R573" i="37"/>
  <c r="R584" i="37"/>
  <c r="V573" i="37"/>
  <c r="V584" i="37"/>
  <c r="U573" i="37"/>
  <c r="U584" i="37"/>
  <c r="T582" i="37"/>
  <c r="T583" i="37"/>
  <c r="S582" i="37"/>
  <c r="S583" i="37"/>
  <c r="U582" i="37"/>
  <c r="U583" i="37"/>
  <c r="R582" i="37"/>
  <c r="R583" i="37"/>
  <c r="V582" i="37"/>
  <c r="V583" i="37"/>
  <c r="R566" i="37"/>
  <c r="R581" i="37"/>
  <c r="V566" i="37"/>
  <c r="V581" i="37"/>
  <c r="U566" i="37"/>
  <c r="U581" i="37"/>
  <c r="S566" i="37"/>
  <c r="S581" i="37"/>
  <c r="T566" i="37"/>
  <c r="T581" i="37"/>
  <c r="V561" i="37"/>
  <c r="V580" i="37"/>
  <c r="U561" i="37"/>
  <c r="U580" i="37"/>
  <c r="S561" i="37"/>
  <c r="S580" i="37"/>
  <c r="T561" i="37"/>
  <c r="T580" i="37"/>
  <c r="R561" i="37"/>
  <c r="R580" i="37"/>
  <c r="T567" i="37"/>
  <c r="T579" i="37"/>
  <c r="U567" i="37"/>
  <c r="U579" i="37"/>
  <c r="R567" i="37"/>
  <c r="R579" i="37"/>
  <c r="V567" i="37"/>
  <c r="V579" i="37"/>
  <c r="S567" i="37"/>
  <c r="S579" i="37"/>
  <c r="T480" i="37"/>
  <c r="T571" i="37"/>
  <c r="U480" i="37"/>
  <c r="U571" i="37"/>
  <c r="V480" i="37"/>
  <c r="V571" i="37"/>
  <c r="S480" i="37"/>
  <c r="S571" i="37"/>
  <c r="R480" i="37"/>
  <c r="R571" i="37"/>
  <c r="R545" i="37"/>
  <c r="R575" i="37"/>
  <c r="T545" i="37"/>
  <c r="T575" i="37"/>
  <c r="U545" i="37"/>
  <c r="U575" i="37"/>
  <c r="V545" i="37"/>
  <c r="V575" i="37"/>
  <c r="S545" i="37"/>
  <c r="S575" i="37"/>
  <c r="V562" i="37"/>
  <c r="V574" i="37"/>
  <c r="S562" i="37"/>
  <c r="S574" i="37"/>
  <c r="U562" i="37"/>
  <c r="U574" i="37"/>
  <c r="R562" i="37"/>
  <c r="R574" i="37"/>
  <c r="T562" i="37"/>
  <c r="T574" i="37"/>
  <c r="S569" i="37"/>
  <c r="S570" i="37"/>
  <c r="T569" i="37"/>
  <c r="T570" i="37"/>
  <c r="U569" i="37"/>
  <c r="U570" i="37"/>
  <c r="R569" i="37"/>
  <c r="R570" i="37"/>
  <c r="V569" i="37"/>
  <c r="V570" i="37"/>
  <c r="R542" i="37"/>
  <c r="R564" i="37"/>
  <c r="S542" i="37"/>
  <c r="S564" i="37"/>
  <c r="U542" i="37"/>
  <c r="U564" i="37"/>
  <c r="V542" i="37"/>
  <c r="V564" i="37"/>
  <c r="T542" i="37"/>
  <c r="T564" i="37"/>
  <c r="U557" i="37"/>
  <c r="U563" i="37"/>
  <c r="R557" i="37"/>
  <c r="R563" i="37"/>
  <c r="V557" i="37"/>
  <c r="V563" i="37"/>
  <c r="S557" i="37"/>
  <c r="S563" i="37"/>
  <c r="T557" i="37"/>
  <c r="T563" i="37"/>
  <c r="T555" i="37"/>
  <c r="T560" i="37"/>
  <c r="R555" i="37"/>
  <c r="R560" i="37"/>
  <c r="U555" i="37"/>
  <c r="U560" i="37"/>
  <c r="S555" i="37"/>
  <c r="S560" i="37"/>
  <c r="V555" i="37"/>
  <c r="V560" i="37"/>
  <c r="E94" i="50"/>
  <c r="E97" i="50"/>
  <c r="E95" i="50"/>
  <c r="E96" i="50"/>
  <c r="D94" i="50"/>
  <c r="D95" i="50"/>
  <c r="D97" i="50"/>
  <c r="D96" i="50"/>
  <c r="G94" i="50"/>
  <c r="G95" i="50"/>
  <c r="G97" i="50"/>
  <c r="G96" i="50"/>
  <c r="C94" i="50"/>
  <c r="C95" i="50"/>
  <c r="C96" i="50"/>
  <c r="C97" i="50"/>
  <c r="F94" i="50"/>
  <c r="F95" i="50"/>
  <c r="F97" i="50"/>
  <c r="F96" i="50"/>
  <c r="S522" i="37"/>
  <c r="S556" i="37"/>
  <c r="T522" i="37"/>
  <c r="T556" i="37"/>
  <c r="U522" i="37"/>
  <c r="U556" i="37"/>
  <c r="R522" i="37"/>
  <c r="R556" i="37"/>
  <c r="V522" i="37"/>
  <c r="V556" i="37"/>
  <c r="S548" i="37"/>
  <c r="S554" i="37"/>
  <c r="U548" i="37"/>
  <c r="U554" i="37"/>
  <c r="R548" i="37"/>
  <c r="R554" i="37"/>
  <c r="V548" i="37"/>
  <c r="V554" i="37"/>
  <c r="T548" i="37"/>
  <c r="T554" i="37"/>
  <c r="F93" i="50"/>
  <c r="D93" i="50"/>
  <c r="C93" i="50"/>
  <c r="T552" i="37"/>
  <c r="T553" i="37"/>
  <c r="U552" i="37"/>
  <c r="U553" i="37"/>
  <c r="R552" i="37"/>
  <c r="R553" i="37"/>
  <c r="V552" i="37"/>
  <c r="V553" i="37"/>
  <c r="S552" i="37"/>
  <c r="S553" i="37"/>
  <c r="S508" i="37"/>
  <c r="S551" i="37"/>
  <c r="T508" i="37"/>
  <c r="T551" i="37"/>
  <c r="U508" i="37"/>
  <c r="U551" i="37"/>
  <c r="R508" i="37"/>
  <c r="R551" i="37"/>
  <c r="V508" i="37"/>
  <c r="V551" i="37"/>
  <c r="T550" i="37"/>
  <c r="S550" i="37"/>
  <c r="U550" i="37"/>
  <c r="R550" i="37"/>
  <c r="V550" i="37"/>
  <c r="S518" i="37"/>
  <c r="S549" i="37"/>
  <c r="T518" i="37"/>
  <c r="T549" i="37"/>
  <c r="U518" i="37"/>
  <c r="U549" i="37"/>
  <c r="R518" i="37"/>
  <c r="R549" i="37"/>
  <c r="V518" i="37"/>
  <c r="V549" i="37"/>
  <c r="R494" i="37"/>
  <c r="R544" i="37"/>
  <c r="T494" i="37"/>
  <c r="T544" i="37"/>
  <c r="U494" i="37"/>
  <c r="U544" i="37"/>
  <c r="V494" i="37"/>
  <c r="V544" i="37"/>
  <c r="S494" i="37"/>
  <c r="S544" i="37"/>
  <c r="T543" i="37"/>
  <c r="U543" i="37"/>
  <c r="R543" i="37"/>
  <c r="V543" i="37"/>
  <c r="S543" i="37"/>
  <c r="D90" i="50"/>
  <c r="D91" i="50"/>
  <c r="D92" i="50"/>
  <c r="E93" i="50"/>
  <c r="G90" i="50"/>
  <c r="G91" i="50"/>
  <c r="G92" i="50"/>
  <c r="G93" i="50"/>
  <c r="C90" i="50"/>
  <c r="C91" i="50"/>
  <c r="C92" i="50"/>
  <c r="E90" i="50"/>
  <c r="E91" i="50"/>
  <c r="E92" i="50"/>
  <c r="F90" i="50"/>
  <c r="F92" i="50"/>
  <c r="F91" i="50"/>
  <c r="S514" i="37"/>
  <c r="S515" i="37"/>
  <c r="V514" i="37"/>
  <c r="V515" i="37"/>
  <c r="T514" i="37"/>
  <c r="T515" i="37"/>
  <c r="R514" i="37"/>
  <c r="R515" i="37"/>
  <c r="U514" i="37"/>
  <c r="U515" i="37"/>
  <c r="U512" i="37"/>
  <c r="U513" i="37"/>
  <c r="S512" i="37"/>
  <c r="S513" i="37"/>
  <c r="V512" i="37"/>
  <c r="V513" i="37"/>
  <c r="T512" i="37"/>
  <c r="T513" i="37"/>
  <c r="R512" i="37"/>
  <c r="R513" i="37"/>
  <c r="V506" i="37"/>
  <c r="S510" i="37"/>
  <c r="S511" i="37"/>
  <c r="T510" i="37"/>
  <c r="T511" i="37"/>
  <c r="U510" i="37"/>
  <c r="U511" i="37"/>
  <c r="R510" i="37"/>
  <c r="R511" i="37"/>
  <c r="V510" i="37"/>
  <c r="V511" i="37"/>
  <c r="S505" i="37"/>
  <c r="S507" i="37"/>
  <c r="T505" i="37"/>
  <c r="T507" i="37"/>
  <c r="U505" i="37"/>
  <c r="U507" i="37"/>
  <c r="R505" i="37"/>
  <c r="R507" i="37"/>
  <c r="V505" i="37"/>
  <c r="V507" i="37"/>
  <c r="R503" i="37"/>
  <c r="R504" i="37"/>
  <c r="S503" i="37"/>
  <c r="S504" i="37"/>
  <c r="T503" i="37"/>
  <c r="T504" i="37"/>
  <c r="U503" i="37"/>
  <c r="U504" i="37"/>
  <c r="V503" i="37"/>
  <c r="V504" i="37"/>
  <c r="V524" i="37"/>
  <c r="V525" i="37"/>
  <c r="S524" i="37"/>
  <c r="S525" i="37"/>
  <c r="U524" i="37"/>
  <c r="U525" i="37"/>
  <c r="R524" i="37"/>
  <c r="R525" i="37"/>
  <c r="T524" i="37"/>
  <c r="T525" i="37"/>
  <c r="T516" i="37"/>
  <c r="T517" i="37"/>
  <c r="U516" i="37"/>
  <c r="U517" i="37"/>
  <c r="S516" i="37"/>
  <c r="S517" i="37"/>
  <c r="R516" i="37"/>
  <c r="R517" i="37"/>
  <c r="V516" i="37"/>
  <c r="V517" i="37"/>
  <c r="R521" i="37"/>
  <c r="V521" i="37"/>
  <c r="U521" i="37"/>
  <c r="S521" i="37"/>
  <c r="T521" i="37"/>
  <c r="V523" i="37"/>
  <c r="V520" i="37"/>
  <c r="S523" i="37"/>
  <c r="S520" i="37"/>
  <c r="U523" i="37"/>
  <c r="U520" i="37"/>
  <c r="R523" i="37"/>
  <c r="R520" i="37"/>
  <c r="T523" i="37"/>
  <c r="T520" i="37"/>
  <c r="T527" i="37"/>
  <c r="T541" i="37"/>
  <c r="S527" i="37"/>
  <c r="U537" i="37"/>
  <c r="U538" i="37"/>
  <c r="U539" i="37"/>
  <c r="U540" i="37"/>
  <c r="V539" i="37"/>
  <c r="V537" i="37"/>
  <c r="V538" i="37"/>
  <c r="V540" i="37"/>
  <c r="S537" i="37"/>
  <c r="S538" i="37"/>
  <c r="S539" i="37"/>
  <c r="S540" i="37"/>
  <c r="R537" i="37"/>
  <c r="R538" i="37"/>
  <c r="R539" i="37"/>
  <c r="R540" i="37"/>
  <c r="T537" i="37"/>
  <c r="T539" i="37"/>
  <c r="T538" i="37"/>
  <c r="T540" i="37"/>
  <c r="T530" i="37"/>
  <c r="T531" i="37"/>
  <c r="T532" i="37"/>
  <c r="T533" i="37"/>
  <c r="T534" i="37"/>
  <c r="S530" i="37"/>
  <c r="S534" i="37"/>
  <c r="S532" i="37"/>
  <c r="S531" i="37"/>
  <c r="S533" i="37"/>
  <c r="R530" i="37"/>
  <c r="R531" i="37"/>
  <c r="R532" i="37"/>
  <c r="R533" i="37"/>
  <c r="R534" i="37"/>
  <c r="V530" i="37"/>
  <c r="V532" i="37"/>
  <c r="V533" i="37"/>
  <c r="V534" i="37"/>
  <c r="V531" i="37"/>
  <c r="U530" i="37"/>
  <c r="U531" i="37"/>
  <c r="U532" i="37"/>
  <c r="U533" i="37"/>
  <c r="U534" i="37"/>
  <c r="U491" i="37"/>
  <c r="U536" i="37"/>
  <c r="V491" i="37"/>
  <c r="V536" i="37"/>
  <c r="S491" i="37"/>
  <c r="S536" i="37"/>
  <c r="T491" i="37"/>
  <c r="T536" i="37"/>
  <c r="R491" i="37"/>
  <c r="R536" i="37"/>
  <c r="T440" i="37"/>
  <c r="T535" i="37"/>
  <c r="U440" i="37"/>
  <c r="U535" i="37"/>
  <c r="V440" i="37"/>
  <c r="V535" i="37"/>
  <c r="S440" i="37"/>
  <c r="S535" i="37"/>
  <c r="R440" i="37"/>
  <c r="R535" i="37"/>
  <c r="V527" i="37"/>
  <c r="U527" i="37"/>
  <c r="R527" i="37"/>
  <c r="R529" i="37"/>
  <c r="V529" i="37"/>
  <c r="U529" i="37"/>
  <c r="S529" i="37"/>
  <c r="T529" i="37"/>
  <c r="T506" i="37"/>
  <c r="V479" i="37"/>
  <c r="V528" i="37"/>
  <c r="U479" i="37"/>
  <c r="U528" i="37"/>
  <c r="S479" i="37"/>
  <c r="S528" i="37"/>
  <c r="T479" i="37"/>
  <c r="T528" i="37"/>
  <c r="R479" i="37"/>
  <c r="R528" i="37"/>
  <c r="V493" i="37"/>
  <c r="V526" i="37"/>
  <c r="S493" i="37"/>
  <c r="S526" i="37"/>
  <c r="R493" i="37"/>
  <c r="R526" i="37"/>
  <c r="T493" i="37"/>
  <c r="T526" i="37"/>
  <c r="U493" i="37"/>
  <c r="U526" i="37"/>
  <c r="V502" i="37"/>
  <c r="V519" i="37"/>
  <c r="S502" i="37"/>
  <c r="S519" i="37"/>
  <c r="T502" i="37"/>
  <c r="T519" i="37"/>
  <c r="R502" i="37"/>
  <c r="R519" i="37"/>
  <c r="U502" i="37"/>
  <c r="U519" i="37"/>
  <c r="T468" i="37"/>
  <c r="T509" i="37"/>
  <c r="U468" i="37"/>
  <c r="U509" i="37"/>
  <c r="R468" i="37"/>
  <c r="R509" i="37"/>
  <c r="V468" i="37"/>
  <c r="V509" i="37"/>
  <c r="S468" i="37"/>
  <c r="S509" i="37"/>
  <c r="R506" i="37"/>
  <c r="S506" i="37"/>
  <c r="U506" i="37"/>
  <c r="V456" i="37"/>
  <c r="V490" i="37"/>
  <c r="S456" i="37"/>
  <c r="S490" i="37"/>
  <c r="T456" i="37"/>
  <c r="T490" i="37"/>
  <c r="R456" i="37"/>
  <c r="R490" i="37"/>
  <c r="U456" i="37"/>
  <c r="U490" i="37"/>
  <c r="T478" i="37"/>
  <c r="T501" i="37"/>
  <c r="U478" i="37"/>
  <c r="U501" i="37"/>
  <c r="R478" i="37"/>
  <c r="R501" i="37"/>
  <c r="V478" i="37"/>
  <c r="V501" i="37"/>
  <c r="S478" i="37"/>
  <c r="S501" i="37"/>
  <c r="R482" i="37"/>
  <c r="R500" i="37"/>
  <c r="T482" i="37"/>
  <c r="T500" i="37"/>
  <c r="V482" i="37"/>
  <c r="V500" i="37"/>
  <c r="S482" i="37"/>
  <c r="S500" i="37"/>
  <c r="U482" i="37"/>
  <c r="U500" i="37"/>
  <c r="R499" i="37"/>
  <c r="R498" i="37"/>
  <c r="U499" i="37"/>
  <c r="U498" i="37"/>
  <c r="S499" i="37"/>
  <c r="S498" i="37"/>
  <c r="V499" i="37"/>
  <c r="V498" i="37"/>
  <c r="T499" i="37"/>
  <c r="T498" i="37"/>
  <c r="R495" i="37"/>
  <c r="R496" i="37"/>
  <c r="U495" i="37"/>
  <c r="U496" i="37"/>
  <c r="S495" i="37"/>
  <c r="S496" i="37"/>
  <c r="V495" i="37"/>
  <c r="V496" i="37"/>
  <c r="T495" i="37"/>
  <c r="T496" i="37"/>
  <c r="U484" i="37"/>
  <c r="U492" i="37"/>
  <c r="V484" i="37"/>
  <c r="V492" i="37"/>
  <c r="R484" i="37"/>
  <c r="R492" i="37"/>
  <c r="S484" i="37"/>
  <c r="S492" i="37"/>
  <c r="T484" i="37"/>
  <c r="T492" i="37"/>
  <c r="V489" i="37"/>
  <c r="R489" i="37"/>
  <c r="T489" i="37"/>
  <c r="U489" i="37"/>
  <c r="S489" i="37"/>
  <c r="R477" i="37"/>
  <c r="R488" i="37"/>
  <c r="S477" i="37"/>
  <c r="S488" i="37"/>
  <c r="V477" i="37"/>
  <c r="V488" i="37"/>
  <c r="T477" i="37"/>
  <c r="T488" i="37"/>
  <c r="U477" i="37"/>
  <c r="U488" i="37"/>
  <c r="S485" i="37"/>
  <c r="S486" i="37"/>
  <c r="T485" i="37"/>
  <c r="T486" i="37"/>
  <c r="U485" i="37"/>
  <c r="U486" i="37"/>
  <c r="R485" i="37"/>
  <c r="R486" i="37"/>
  <c r="V485" i="37"/>
  <c r="V486" i="37"/>
  <c r="V471" i="37"/>
  <c r="V483" i="37"/>
  <c r="S471" i="37"/>
  <c r="S483" i="37"/>
  <c r="T471" i="37"/>
  <c r="T483" i="37"/>
  <c r="R471" i="37"/>
  <c r="R483" i="37"/>
  <c r="U471" i="37"/>
  <c r="U483" i="37"/>
  <c r="R472" i="37"/>
  <c r="R481" i="37"/>
  <c r="T472" i="37"/>
  <c r="T481" i="37"/>
  <c r="U472" i="37"/>
  <c r="U481" i="37"/>
  <c r="V472" i="37"/>
  <c r="V481" i="37"/>
  <c r="S472" i="37"/>
  <c r="S481" i="37"/>
  <c r="T466" i="37"/>
  <c r="T476" i="37"/>
  <c r="S466" i="37"/>
  <c r="S476" i="37"/>
  <c r="U466" i="37"/>
  <c r="U476" i="37"/>
  <c r="R466" i="37"/>
  <c r="R476" i="37"/>
  <c r="V466" i="37"/>
  <c r="V476" i="37"/>
  <c r="U450" i="37"/>
  <c r="U475" i="37"/>
  <c r="S450" i="37"/>
  <c r="S475" i="37"/>
  <c r="V450" i="37"/>
  <c r="V475" i="37"/>
  <c r="T450" i="37"/>
  <c r="T475" i="37"/>
  <c r="R450" i="37"/>
  <c r="R475" i="37"/>
  <c r="R464" i="37"/>
  <c r="R474" i="37"/>
  <c r="V464" i="37"/>
  <c r="V474" i="37"/>
  <c r="T464" i="37"/>
  <c r="T474" i="37"/>
  <c r="U464" i="37"/>
  <c r="U474" i="37"/>
  <c r="S464" i="37"/>
  <c r="S474" i="37"/>
  <c r="U438" i="37"/>
  <c r="U473" i="37"/>
  <c r="V438" i="37"/>
  <c r="V473" i="37"/>
  <c r="R438" i="37"/>
  <c r="R473" i="37"/>
  <c r="S438" i="37"/>
  <c r="S473" i="37"/>
  <c r="T438" i="37"/>
  <c r="T473" i="37"/>
  <c r="U425" i="37"/>
  <c r="U470" i="37"/>
  <c r="R425" i="37"/>
  <c r="R470" i="37"/>
  <c r="T425" i="37"/>
  <c r="T470" i="37"/>
  <c r="V425" i="37"/>
  <c r="V470" i="37"/>
  <c r="S425" i="37"/>
  <c r="S470" i="37"/>
  <c r="R427" i="37"/>
  <c r="R467" i="37"/>
  <c r="V427" i="37"/>
  <c r="V467" i="37"/>
  <c r="U427" i="37"/>
  <c r="U467" i="37"/>
  <c r="S427" i="37"/>
  <c r="S467" i="37"/>
  <c r="T427" i="37"/>
  <c r="T467" i="37"/>
  <c r="S465" i="37"/>
  <c r="U465" i="37"/>
  <c r="R465" i="37"/>
  <c r="V465" i="37"/>
  <c r="T465" i="37"/>
  <c r="V436" i="37"/>
  <c r="V463" i="37"/>
  <c r="T436" i="37"/>
  <c r="T463" i="37"/>
  <c r="U436" i="37"/>
  <c r="U463" i="37"/>
  <c r="R436" i="37"/>
  <c r="R463" i="37"/>
  <c r="S436" i="37"/>
  <c r="S463" i="37"/>
  <c r="U415" i="37"/>
  <c r="U461" i="37"/>
  <c r="R415" i="37"/>
  <c r="R461" i="37"/>
  <c r="V415" i="37"/>
  <c r="V461" i="37"/>
  <c r="S415" i="37"/>
  <c r="S461" i="37"/>
  <c r="T415" i="37"/>
  <c r="T461" i="37"/>
  <c r="V448" i="37"/>
  <c r="V460" i="37"/>
  <c r="S448" i="37"/>
  <c r="S460" i="37"/>
  <c r="T448" i="37"/>
  <c r="T460" i="37"/>
  <c r="U448" i="37"/>
  <c r="U460" i="37"/>
  <c r="R448" i="37"/>
  <c r="R460" i="37"/>
  <c r="S458" i="37"/>
  <c r="S459" i="37"/>
  <c r="T458" i="37"/>
  <c r="T459" i="37"/>
  <c r="U458" i="37"/>
  <c r="U459" i="37"/>
  <c r="R458" i="37"/>
  <c r="R459" i="37"/>
  <c r="V458" i="37"/>
  <c r="V459" i="37"/>
  <c r="S454" i="37"/>
  <c r="S455" i="37"/>
  <c r="R454" i="37"/>
  <c r="R455" i="37"/>
  <c r="T454" i="37"/>
  <c r="T455" i="37"/>
  <c r="U454" i="37"/>
  <c r="U455" i="37"/>
  <c r="V454" i="37"/>
  <c r="V455" i="37"/>
  <c r="T452" i="37"/>
  <c r="T451" i="37"/>
  <c r="R452" i="37"/>
  <c r="R451" i="37"/>
  <c r="U452" i="37"/>
  <c r="U451" i="37"/>
  <c r="S452" i="37"/>
  <c r="S451" i="37"/>
  <c r="V452" i="37"/>
  <c r="V451" i="37"/>
  <c r="S443" i="37"/>
  <c r="S453" i="37"/>
  <c r="R443" i="37"/>
  <c r="R453" i="37"/>
  <c r="T443" i="37"/>
  <c r="T453" i="37"/>
  <c r="U443" i="37"/>
  <c r="U453" i="37"/>
  <c r="V443" i="37"/>
  <c r="V453" i="37"/>
  <c r="U462" i="37"/>
  <c r="U449" i="37"/>
  <c r="S462" i="37"/>
  <c r="S449" i="37"/>
  <c r="V462" i="37"/>
  <c r="V449" i="37"/>
  <c r="T462" i="37"/>
  <c r="T449" i="37"/>
  <c r="R462" i="37"/>
  <c r="R449" i="37"/>
  <c r="S435" i="37"/>
  <c r="S446" i="37"/>
  <c r="T435" i="37"/>
  <c r="T446" i="37"/>
  <c r="U435" i="37"/>
  <c r="U446" i="37"/>
  <c r="R435" i="37"/>
  <c r="R446" i="37"/>
  <c r="V435" i="37"/>
  <c r="V446" i="37"/>
  <c r="U441" i="37"/>
  <c r="U442" i="37"/>
  <c r="V441" i="37"/>
  <c r="V442" i="37"/>
  <c r="S441" i="37"/>
  <c r="S442" i="37"/>
  <c r="R441" i="37"/>
  <c r="R442" i="37"/>
  <c r="T441" i="37"/>
  <c r="T442" i="37"/>
  <c r="V398" i="37"/>
  <c r="V437" i="37"/>
  <c r="S398" i="37"/>
  <c r="S437" i="37"/>
  <c r="R398" i="37"/>
  <c r="R437" i="37"/>
  <c r="T398" i="37"/>
  <c r="T437" i="37"/>
  <c r="U398" i="37"/>
  <c r="U437" i="37"/>
  <c r="R421" i="37"/>
  <c r="R434" i="37"/>
  <c r="V421" i="37"/>
  <c r="V434" i="37"/>
  <c r="S421" i="37"/>
  <c r="S434" i="37"/>
  <c r="T421" i="37"/>
  <c r="T434" i="37"/>
  <c r="U421" i="37"/>
  <c r="U434" i="37"/>
  <c r="U432" i="37"/>
  <c r="T431" i="37"/>
  <c r="T433" i="37"/>
  <c r="U431" i="37"/>
  <c r="U433" i="37"/>
  <c r="S431" i="37"/>
  <c r="S433" i="37"/>
  <c r="S432" i="37"/>
  <c r="R431" i="37"/>
  <c r="R433" i="37"/>
  <c r="R432" i="37"/>
  <c r="V431" i="37"/>
  <c r="V433" i="37"/>
  <c r="T432" i="37"/>
  <c r="V432" i="37"/>
  <c r="U429" i="37"/>
  <c r="U430" i="37"/>
  <c r="T429" i="37"/>
  <c r="T430" i="37"/>
  <c r="V429" i="37"/>
  <c r="V430" i="37"/>
  <c r="S429" i="37"/>
  <c r="S430" i="37"/>
  <c r="R429" i="37"/>
  <c r="R430" i="37"/>
  <c r="R412" i="37"/>
  <c r="R428" i="37"/>
  <c r="T412" i="37"/>
  <c r="T428" i="37"/>
  <c r="U412" i="37"/>
  <c r="U428" i="37"/>
  <c r="S412" i="37"/>
  <c r="S428" i="37"/>
  <c r="V412" i="37"/>
  <c r="V428" i="37"/>
  <c r="R411" i="37"/>
  <c r="R426" i="37"/>
  <c r="V411" i="37"/>
  <c r="V426" i="37"/>
  <c r="S411" i="37"/>
  <c r="S426" i="37"/>
  <c r="T411" i="37"/>
  <c r="T426" i="37"/>
  <c r="U411" i="37"/>
  <c r="U426" i="37"/>
  <c r="S413" i="37"/>
  <c r="S424" i="37"/>
  <c r="T413" i="37"/>
  <c r="T424" i="37"/>
  <c r="R413" i="37"/>
  <c r="R424" i="37"/>
  <c r="V413" i="37"/>
  <c r="V424" i="37"/>
  <c r="U413" i="37"/>
  <c r="U424" i="37"/>
  <c r="V559" i="37"/>
  <c r="V423" i="37"/>
  <c r="S559" i="37"/>
  <c r="S423" i="37"/>
  <c r="T559" i="37"/>
  <c r="T423" i="37"/>
  <c r="U559" i="37"/>
  <c r="U423" i="37"/>
  <c r="R559" i="37"/>
  <c r="R423" i="37"/>
  <c r="U407" i="37"/>
  <c r="U422" i="37"/>
  <c r="R407" i="37"/>
  <c r="R422" i="37"/>
  <c r="T407" i="37"/>
  <c r="T422" i="37"/>
  <c r="V407" i="37"/>
  <c r="V422" i="37"/>
  <c r="S407" i="37"/>
  <c r="S422" i="37"/>
  <c r="T389" i="37"/>
  <c r="T419" i="37"/>
  <c r="R389" i="37"/>
  <c r="R419" i="37"/>
  <c r="U389" i="37"/>
  <c r="U419" i="37"/>
  <c r="V389" i="37"/>
  <c r="V419" i="37"/>
  <c r="S389" i="37"/>
  <c r="S419" i="37"/>
  <c r="R417" i="37"/>
  <c r="R418" i="37"/>
  <c r="V417" i="37"/>
  <c r="V418" i="37"/>
  <c r="S417" i="37"/>
  <c r="S418" i="37"/>
  <c r="T417" i="37"/>
  <c r="T418" i="37"/>
  <c r="U417" i="37"/>
  <c r="U418" i="37"/>
  <c r="U409" i="37"/>
  <c r="U416" i="37"/>
  <c r="V409" i="37"/>
  <c r="V416" i="37"/>
  <c r="R409" i="37"/>
  <c r="R416" i="37"/>
  <c r="S409" i="37"/>
  <c r="S416" i="37"/>
  <c r="T409" i="37"/>
  <c r="T416" i="37"/>
  <c r="U402" i="37"/>
  <c r="U414" i="37"/>
  <c r="R402" i="37"/>
  <c r="R414" i="37"/>
  <c r="V402" i="37"/>
  <c r="V414" i="37"/>
  <c r="S402" i="37"/>
  <c r="S414" i="37"/>
  <c r="T402" i="37"/>
  <c r="T414" i="37"/>
  <c r="V406" i="37"/>
  <c r="V420" i="37"/>
  <c r="R406" i="37"/>
  <c r="R420" i="37"/>
  <c r="S406" i="37"/>
  <c r="S420" i="37"/>
  <c r="T406" i="37"/>
  <c r="T420" i="37"/>
  <c r="U406" i="37"/>
  <c r="U420" i="37"/>
  <c r="R397" i="37"/>
  <c r="R410" i="37"/>
  <c r="V397" i="37"/>
  <c r="V410" i="37"/>
  <c r="S397" i="37"/>
  <c r="S410" i="37"/>
  <c r="T397" i="37"/>
  <c r="T410" i="37"/>
  <c r="U397" i="37"/>
  <c r="U410" i="37"/>
  <c r="U401" i="37"/>
  <c r="U408" i="37"/>
  <c r="T401" i="37"/>
  <c r="T408" i="37"/>
  <c r="R401" i="37"/>
  <c r="R408" i="37"/>
  <c r="V401" i="37"/>
  <c r="V408" i="37"/>
  <c r="S401" i="37"/>
  <c r="S408" i="37"/>
  <c r="V403" i="37"/>
  <c r="V404" i="37"/>
  <c r="S403" i="37"/>
  <c r="S404" i="37"/>
  <c r="R403" i="37"/>
  <c r="R404" i="37"/>
  <c r="T403" i="37"/>
  <c r="T404" i="37"/>
  <c r="U403" i="37"/>
  <c r="U404" i="37"/>
  <c r="U392" i="37"/>
  <c r="U405" i="37"/>
  <c r="T392" i="37"/>
  <c r="T405" i="37"/>
  <c r="V392" i="37"/>
  <c r="V405" i="37"/>
  <c r="S392" i="37"/>
  <c r="S405" i="37"/>
  <c r="R392" i="37"/>
  <c r="R405" i="37"/>
  <c r="S387" i="37"/>
  <c r="S400" i="37"/>
  <c r="T387" i="37"/>
  <c r="T400" i="37"/>
  <c r="U387" i="37"/>
  <c r="U400" i="37"/>
  <c r="R387" i="37"/>
  <c r="R400" i="37"/>
  <c r="V387" i="37"/>
  <c r="V400" i="37"/>
  <c r="R390" i="37"/>
  <c r="R399" i="37"/>
  <c r="U390" i="37"/>
  <c r="U399" i="37"/>
  <c r="V390" i="37"/>
  <c r="V399" i="37"/>
  <c r="S390" i="37"/>
  <c r="S399" i="37"/>
  <c r="T390" i="37"/>
  <c r="T399" i="37"/>
  <c r="R383" i="37"/>
  <c r="R396" i="37"/>
  <c r="U383" i="37"/>
  <c r="U396" i="37"/>
  <c r="S383" i="37"/>
  <c r="S396" i="37"/>
  <c r="V383" i="37"/>
  <c r="V396" i="37"/>
  <c r="T383" i="37"/>
  <c r="T396" i="37"/>
  <c r="U386" i="37"/>
  <c r="U395" i="37"/>
  <c r="V386" i="37"/>
  <c r="V395" i="37"/>
  <c r="R386" i="37"/>
  <c r="R395" i="37"/>
  <c r="S386" i="37"/>
  <c r="S395" i="37"/>
  <c r="T386" i="37"/>
  <c r="T395" i="37"/>
  <c r="T393" i="37"/>
  <c r="T394" i="37"/>
  <c r="U393" i="37"/>
  <c r="U394" i="37"/>
  <c r="R393" i="37"/>
  <c r="R394" i="37"/>
  <c r="V393" i="37"/>
  <c r="V394" i="37"/>
  <c r="S393" i="37"/>
  <c r="S394" i="37"/>
  <c r="U377" i="37"/>
  <c r="U391" i="37"/>
  <c r="T377" i="37"/>
  <c r="T391" i="37"/>
  <c r="V377" i="37"/>
  <c r="V391" i="37"/>
  <c r="S377" i="37"/>
  <c r="S391" i="37"/>
  <c r="R377" i="37"/>
  <c r="R391" i="37"/>
  <c r="S381" i="37"/>
  <c r="S388" i="37"/>
  <c r="U381" i="37"/>
  <c r="U388" i="37"/>
  <c r="R381" i="37"/>
  <c r="R388" i="37"/>
  <c r="T381" i="37"/>
  <c r="T388" i="37"/>
  <c r="V381" i="37"/>
  <c r="V388" i="37"/>
  <c r="T379" i="37"/>
  <c r="T385" i="37"/>
  <c r="U379" i="37"/>
  <c r="U385" i="37"/>
  <c r="R379" i="37"/>
  <c r="R385" i="37"/>
  <c r="V379" i="37"/>
  <c r="V385" i="37"/>
  <c r="S379" i="37"/>
  <c r="S385" i="37"/>
  <c r="U380" i="37"/>
  <c r="U384" i="37"/>
  <c r="V380" i="37"/>
  <c r="V384" i="37"/>
  <c r="R380" i="37"/>
  <c r="R384" i="37"/>
  <c r="S380" i="37"/>
  <c r="S384" i="37"/>
  <c r="T380" i="37"/>
  <c r="T384" i="37"/>
  <c r="U374" i="37"/>
  <c r="U382" i="37"/>
  <c r="V374" i="37"/>
  <c r="V382" i="37"/>
  <c r="R374" i="37"/>
  <c r="R382" i="37"/>
  <c r="S374" i="37"/>
  <c r="S382" i="37"/>
  <c r="T374" i="37"/>
  <c r="T382" i="37"/>
  <c r="S367" i="37"/>
  <c r="S376" i="37"/>
  <c r="T367" i="37"/>
  <c r="T376" i="37"/>
  <c r="R367" i="37"/>
  <c r="R376" i="37"/>
  <c r="U367" i="37"/>
  <c r="U376" i="37"/>
  <c r="V367" i="37"/>
  <c r="V376" i="37"/>
  <c r="T365" i="37"/>
  <c r="T375" i="37"/>
  <c r="S365" i="37"/>
  <c r="S375" i="37"/>
  <c r="U365" i="37"/>
  <c r="U375" i="37"/>
  <c r="R365" i="37"/>
  <c r="R375" i="37"/>
  <c r="V365" i="37"/>
  <c r="V375" i="37"/>
  <c r="U372" i="37"/>
  <c r="T372" i="37"/>
  <c r="V372" i="37"/>
  <c r="S372" i="37"/>
  <c r="R372" i="37"/>
  <c r="R370" i="37"/>
  <c r="V370" i="37"/>
  <c r="U370" i="37"/>
  <c r="S370" i="37"/>
  <c r="T370" i="37"/>
  <c r="S366" i="37"/>
  <c r="S371" i="37"/>
  <c r="T366" i="37"/>
  <c r="T371" i="37"/>
  <c r="U366" i="37"/>
  <c r="U371" i="37"/>
  <c r="R366" i="37"/>
  <c r="R371" i="37"/>
  <c r="V366" i="37"/>
  <c r="V371" i="37"/>
  <c r="S368" i="37"/>
  <c r="S369" i="37"/>
  <c r="U368" i="37"/>
  <c r="U369" i="37"/>
  <c r="R368" i="37"/>
  <c r="R369" i="37"/>
  <c r="T368" i="37"/>
  <c r="T369" i="37"/>
  <c r="V368" i="37"/>
  <c r="V369" i="37"/>
  <c r="S354" i="37"/>
  <c r="T229" i="37"/>
  <c r="T261" i="37"/>
  <c r="U239" i="37"/>
  <c r="U277" i="37"/>
  <c r="U351" i="37"/>
  <c r="R340" i="37"/>
  <c r="R361" i="37"/>
  <c r="R354" i="37"/>
  <c r="V277" i="37"/>
  <c r="R351" i="37"/>
  <c r="U340" i="37"/>
  <c r="U497" i="37"/>
  <c r="U261" i="37"/>
  <c r="V239" i="37"/>
  <c r="V361" i="37"/>
  <c r="V351" i="37"/>
  <c r="S497" i="37"/>
  <c r="S361" i="37"/>
  <c r="U229" i="37"/>
  <c r="V497" i="37"/>
  <c r="V358" i="37"/>
  <c r="R261" i="37"/>
  <c r="S277" i="37"/>
  <c r="S351" i="37"/>
  <c r="T497" i="37"/>
  <c r="V261" i="37"/>
  <c r="R229" i="37"/>
  <c r="R277" i="37"/>
  <c r="T354" i="37"/>
  <c r="U354" i="37"/>
  <c r="V340" i="37"/>
  <c r="R497" i="37"/>
  <c r="S340" i="37"/>
  <c r="S239" i="37"/>
  <c r="S261" i="37"/>
  <c r="T277" i="37"/>
  <c r="T361" i="37"/>
  <c r="T351" i="37"/>
  <c r="V229" i="37"/>
  <c r="R239" i="37"/>
  <c r="S229" i="37"/>
  <c r="T239" i="37"/>
  <c r="T340" i="37"/>
  <c r="U361" i="37"/>
  <c r="V354" i="37"/>
  <c r="S352" i="37"/>
  <c r="S364" i="37"/>
  <c r="T352" i="37"/>
  <c r="T364" i="37"/>
  <c r="R352" i="37"/>
  <c r="R364" i="37"/>
  <c r="V352" i="37"/>
  <c r="V364" i="37"/>
  <c r="U352" i="37"/>
  <c r="U364" i="37"/>
  <c r="T344" i="37"/>
  <c r="T363" i="37"/>
  <c r="R344" i="37"/>
  <c r="R363" i="37"/>
  <c r="V344" i="37"/>
  <c r="V363" i="37"/>
  <c r="S344" i="37"/>
  <c r="S363" i="37"/>
  <c r="U344" i="37"/>
  <c r="U363" i="37"/>
  <c r="U362" i="37"/>
  <c r="V362" i="37"/>
  <c r="R362" i="37"/>
  <c r="S362" i="37"/>
  <c r="T362" i="37"/>
  <c r="U335" i="37"/>
  <c r="U358" i="37"/>
  <c r="R335" i="37"/>
  <c r="R358" i="37"/>
  <c r="T335" i="37"/>
  <c r="T358" i="37"/>
  <c r="S335" i="37"/>
  <c r="S358" i="37"/>
  <c r="U349" i="37"/>
  <c r="U360" i="37"/>
  <c r="S349" i="37"/>
  <c r="S360" i="37"/>
  <c r="V349" i="37"/>
  <c r="V360" i="37"/>
  <c r="T349" i="37"/>
  <c r="T360" i="37"/>
  <c r="R349" i="37"/>
  <c r="R360" i="37"/>
  <c r="T339" i="37"/>
  <c r="T359" i="37"/>
  <c r="S339" i="37"/>
  <c r="S359" i="37"/>
  <c r="U339" i="37"/>
  <c r="U359" i="37"/>
  <c r="R339" i="37"/>
  <c r="R359" i="37"/>
  <c r="V339" i="37"/>
  <c r="V359" i="37"/>
  <c r="R331" i="37"/>
  <c r="T331" i="37"/>
  <c r="U331" i="37"/>
  <c r="V331" i="37"/>
  <c r="S331" i="37"/>
  <c r="R355" i="37"/>
  <c r="R357" i="37"/>
  <c r="V355" i="37"/>
  <c r="V357" i="37"/>
  <c r="S355" i="37"/>
  <c r="S357" i="37"/>
  <c r="T355" i="37"/>
  <c r="T357" i="37"/>
  <c r="U355" i="37"/>
  <c r="U357" i="37"/>
  <c r="S350" i="37"/>
  <c r="S356" i="37"/>
  <c r="T350" i="37"/>
  <c r="T356" i="37"/>
  <c r="U350" i="37"/>
  <c r="U356" i="37"/>
  <c r="V350" i="37"/>
  <c r="V356" i="37"/>
  <c r="R350" i="37"/>
  <c r="R356" i="37"/>
  <c r="T337" i="37"/>
  <c r="T338" i="37"/>
  <c r="U337" i="37"/>
  <c r="U338" i="37"/>
  <c r="S337" i="37"/>
  <c r="S338" i="37"/>
  <c r="R337" i="37"/>
  <c r="R338" i="37"/>
  <c r="V337" i="37"/>
  <c r="V338" i="37"/>
  <c r="U346" i="37"/>
  <c r="U348" i="37"/>
  <c r="S346" i="37"/>
  <c r="S348" i="37"/>
  <c r="V346" i="37"/>
  <c r="V348" i="37"/>
  <c r="T346" i="37"/>
  <c r="T348" i="37"/>
  <c r="R346" i="37"/>
  <c r="R348" i="37"/>
  <c r="R345" i="37"/>
  <c r="R347" i="37"/>
  <c r="V345" i="37"/>
  <c r="V347" i="37"/>
  <c r="S345" i="37"/>
  <c r="S347" i="37"/>
  <c r="T345" i="37"/>
  <c r="T347" i="37"/>
  <c r="U345" i="37"/>
  <c r="U347" i="37"/>
  <c r="R323" i="37"/>
  <c r="R353" i="37"/>
  <c r="V323" i="37"/>
  <c r="V353" i="37"/>
  <c r="S323" i="37"/>
  <c r="S353" i="37"/>
  <c r="T323" i="37"/>
  <c r="T353" i="37"/>
  <c r="U323" i="37"/>
  <c r="U353" i="37"/>
  <c r="R342" i="37"/>
  <c r="R343" i="37"/>
  <c r="V342" i="37"/>
  <c r="V343" i="37"/>
  <c r="S342" i="37"/>
  <c r="S343" i="37"/>
  <c r="T342" i="37"/>
  <c r="T343" i="37"/>
  <c r="U342" i="37"/>
  <c r="U343" i="37"/>
  <c r="V334" i="37"/>
  <c r="V335" i="37"/>
  <c r="T333" i="37"/>
  <c r="T334" i="37"/>
  <c r="R333" i="37"/>
  <c r="R334" i="37"/>
  <c r="S333" i="37"/>
  <c r="S334" i="37"/>
  <c r="U333" i="37"/>
  <c r="U334" i="37"/>
  <c r="V336" i="37"/>
  <c r="U328" i="37"/>
  <c r="U341" i="37"/>
  <c r="R328" i="37"/>
  <c r="R341" i="37"/>
  <c r="V328" i="37"/>
  <c r="V341" i="37"/>
  <c r="S328" i="37"/>
  <c r="S341" i="37"/>
  <c r="T328" i="37"/>
  <c r="T341" i="37"/>
  <c r="S336" i="37"/>
  <c r="T336" i="37"/>
  <c r="R336" i="37"/>
  <c r="U336" i="37"/>
  <c r="S321" i="37"/>
  <c r="T321" i="37"/>
  <c r="V321" i="37"/>
  <c r="U321" i="37"/>
  <c r="R321" i="37"/>
  <c r="V325" i="37"/>
  <c r="V333" i="37"/>
  <c r="T316" i="37"/>
  <c r="T332" i="37"/>
  <c r="U316" i="37"/>
  <c r="U332" i="37"/>
  <c r="V316" i="37"/>
  <c r="V332" i="37"/>
  <c r="R316" i="37"/>
  <c r="R332" i="37"/>
  <c r="S316" i="37"/>
  <c r="S332" i="37"/>
  <c r="U329" i="37"/>
  <c r="U330" i="37"/>
  <c r="S329" i="37"/>
  <c r="S330" i="37"/>
  <c r="V329" i="37"/>
  <c r="V330" i="37"/>
  <c r="T329" i="37"/>
  <c r="T330" i="37"/>
  <c r="R329" i="37"/>
  <c r="R330" i="37"/>
  <c r="S326" i="37"/>
  <c r="T326" i="37"/>
  <c r="R326" i="37"/>
  <c r="U326" i="37"/>
  <c r="V326" i="37"/>
  <c r="U313" i="37"/>
  <c r="U327" i="37"/>
  <c r="R313" i="37"/>
  <c r="R327" i="37"/>
  <c r="V313" i="37"/>
  <c r="V327" i="37"/>
  <c r="S313" i="37"/>
  <c r="S327" i="37"/>
  <c r="T313" i="37"/>
  <c r="T327" i="37"/>
  <c r="U314" i="37"/>
  <c r="U325" i="37"/>
  <c r="R314" i="37"/>
  <c r="R325" i="37"/>
  <c r="T314" i="37"/>
  <c r="T325" i="37"/>
  <c r="S314" i="37"/>
  <c r="S325" i="37"/>
  <c r="U318" i="37"/>
  <c r="U324" i="37"/>
  <c r="T318" i="37"/>
  <c r="T324" i="37"/>
  <c r="V318" i="37"/>
  <c r="V324" i="37"/>
  <c r="S318" i="37"/>
  <c r="S324" i="37"/>
  <c r="R318" i="37"/>
  <c r="R324" i="37"/>
  <c r="R312" i="37"/>
  <c r="R322" i="37"/>
  <c r="S312" i="37"/>
  <c r="S322" i="37"/>
  <c r="T312" i="37"/>
  <c r="T322" i="37"/>
  <c r="U312" i="37"/>
  <c r="U322" i="37"/>
  <c r="V312" i="37"/>
  <c r="V322" i="37"/>
  <c r="T311" i="37"/>
  <c r="T320" i="37"/>
  <c r="U311" i="37"/>
  <c r="U320" i="37"/>
  <c r="S311" i="37"/>
  <c r="S320" i="37"/>
  <c r="V311" i="37"/>
  <c r="V320" i="37"/>
  <c r="R311" i="37"/>
  <c r="R320" i="37"/>
  <c r="T303" i="37"/>
  <c r="T319" i="37"/>
  <c r="S303" i="37"/>
  <c r="S319" i="37"/>
  <c r="U303" i="37"/>
  <c r="U319" i="37"/>
  <c r="R303" i="37"/>
  <c r="R319" i="37"/>
  <c r="V303" i="37"/>
  <c r="V319" i="37"/>
  <c r="U310" i="37"/>
  <c r="U317" i="37"/>
  <c r="S310" i="37"/>
  <c r="S317" i="37"/>
  <c r="V310" i="37"/>
  <c r="V317" i="37"/>
  <c r="T310" i="37"/>
  <c r="T317" i="37"/>
  <c r="R310" i="37"/>
  <c r="R317" i="37"/>
  <c r="T306" i="37"/>
  <c r="T315" i="37"/>
  <c r="V306" i="37"/>
  <c r="V315" i="37"/>
  <c r="U306" i="37"/>
  <c r="U315" i="37"/>
  <c r="S306" i="37"/>
  <c r="S315" i="37"/>
  <c r="R306" i="37"/>
  <c r="R315" i="37"/>
  <c r="V308" i="37"/>
  <c r="V314" i="37"/>
  <c r="U301" i="37"/>
  <c r="U309" i="37"/>
  <c r="V301" i="37"/>
  <c r="V309" i="37"/>
  <c r="R301" i="37"/>
  <c r="R309" i="37"/>
  <c r="S301" i="37"/>
  <c r="S309" i="37"/>
  <c r="T301" i="37"/>
  <c r="T309" i="37"/>
  <c r="R302" i="37"/>
  <c r="R308" i="37"/>
  <c r="T302" i="37"/>
  <c r="T308" i="37"/>
  <c r="U302" i="37"/>
  <c r="U308" i="37"/>
  <c r="S302" i="37"/>
  <c r="S308" i="37"/>
  <c r="R299" i="37"/>
  <c r="R307" i="37"/>
  <c r="U299" i="37"/>
  <c r="U307" i="37"/>
  <c r="S299" i="37"/>
  <c r="S307" i="37"/>
  <c r="T299" i="37"/>
  <c r="T307" i="37"/>
  <c r="V299" i="37"/>
  <c r="V307" i="37"/>
  <c r="U298" i="37"/>
  <c r="U305" i="37"/>
  <c r="S298" i="37"/>
  <c r="S305" i="37"/>
  <c r="V298" i="37"/>
  <c r="V305" i="37"/>
  <c r="T298" i="37"/>
  <c r="T305" i="37"/>
  <c r="R298" i="37"/>
  <c r="R305" i="37"/>
  <c r="V300" i="37"/>
  <c r="V304" i="37"/>
  <c r="T300" i="37"/>
  <c r="T304" i="37"/>
  <c r="S300" i="37"/>
  <c r="S304" i="37"/>
  <c r="U300" i="37"/>
  <c r="U304" i="37"/>
  <c r="R300" i="37"/>
  <c r="R304" i="37"/>
  <c r="V296" i="37"/>
  <c r="V302" i="37"/>
  <c r="T294" i="37"/>
  <c r="T297" i="37"/>
  <c r="V294" i="37"/>
  <c r="V297" i="37"/>
  <c r="S294" i="37"/>
  <c r="S297" i="37"/>
  <c r="U294" i="37"/>
  <c r="U297" i="37"/>
  <c r="R294" i="37"/>
  <c r="R297" i="37"/>
  <c r="U290" i="37"/>
  <c r="U296" i="37"/>
  <c r="R290" i="37"/>
  <c r="R296" i="37"/>
  <c r="T290" i="37"/>
  <c r="T296" i="37"/>
  <c r="S290" i="37"/>
  <c r="S296" i="37"/>
  <c r="V287" i="37"/>
  <c r="V295" i="37"/>
  <c r="S287" i="37"/>
  <c r="S295" i="37"/>
  <c r="T287" i="37"/>
  <c r="T295" i="37"/>
  <c r="U287" i="37"/>
  <c r="U295" i="37"/>
  <c r="R287" i="37"/>
  <c r="R295" i="37"/>
  <c r="S272" i="37"/>
  <c r="S293" i="37"/>
  <c r="T272" i="37"/>
  <c r="T293" i="37"/>
  <c r="U272" i="37"/>
  <c r="U293" i="37"/>
  <c r="R272" i="37"/>
  <c r="R293" i="37"/>
  <c r="V272" i="37"/>
  <c r="V293" i="37"/>
  <c r="S286" i="37"/>
  <c r="S291" i="37"/>
  <c r="T286" i="37"/>
  <c r="T291" i="37"/>
  <c r="U286" i="37"/>
  <c r="U291" i="37"/>
  <c r="R286" i="37"/>
  <c r="R291" i="37"/>
  <c r="V286" i="37"/>
  <c r="V291" i="37"/>
  <c r="U285" i="37"/>
  <c r="U292" i="37"/>
  <c r="S285" i="37"/>
  <c r="S292" i="37"/>
  <c r="V285" i="37"/>
  <c r="V292" i="37"/>
  <c r="T285" i="37"/>
  <c r="T292" i="37"/>
  <c r="R285" i="37"/>
  <c r="R292" i="37"/>
  <c r="V283" i="37"/>
  <c r="V290" i="37"/>
  <c r="U281" i="37"/>
  <c r="U289" i="37"/>
  <c r="R281" i="37"/>
  <c r="R289" i="37"/>
  <c r="V281" i="37"/>
  <c r="V289" i="37"/>
  <c r="S281" i="37"/>
  <c r="S289" i="37"/>
  <c r="T281" i="37"/>
  <c r="T289" i="37"/>
  <c r="R284" i="37"/>
  <c r="R288" i="37"/>
  <c r="V284" i="37"/>
  <c r="V288" i="37"/>
  <c r="U284" i="37"/>
  <c r="U288" i="37"/>
  <c r="S284" i="37"/>
  <c r="S288" i="37"/>
  <c r="T284" i="37"/>
  <c r="T288" i="37"/>
  <c r="U273" i="37"/>
  <c r="U283" i="37"/>
  <c r="R273" i="37"/>
  <c r="R283" i="37"/>
  <c r="T273" i="37"/>
  <c r="T283" i="37"/>
  <c r="S273" i="37"/>
  <c r="S283" i="37"/>
  <c r="T275" i="37"/>
  <c r="T282" i="37"/>
  <c r="V275" i="37"/>
  <c r="V282" i="37"/>
  <c r="S275" i="37"/>
  <c r="S282" i="37"/>
  <c r="R275" i="37"/>
  <c r="R282" i="37"/>
  <c r="U275" i="37"/>
  <c r="U282" i="37"/>
  <c r="R271" i="37"/>
  <c r="R280" i="37"/>
  <c r="V271" i="37"/>
  <c r="V280" i="37"/>
  <c r="U271" i="37"/>
  <c r="U280" i="37"/>
  <c r="S271" i="37"/>
  <c r="S280" i="37"/>
  <c r="T271" i="37"/>
  <c r="T280" i="37"/>
  <c r="S269" i="37"/>
  <c r="S279" i="37"/>
  <c r="U269" i="37"/>
  <c r="U279" i="37"/>
  <c r="R269" i="37"/>
  <c r="R279" i="37"/>
  <c r="V269" i="37"/>
  <c r="V279" i="37"/>
  <c r="T269" i="37"/>
  <c r="T279" i="37"/>
  <c r="V270" i="37"/>
  <c r="V278" i="37"/>
  <c r="T270" i="37"/>
  <c r="T278" i="37"/>
  <c r="R270" i="37"/>
  <c r="R278" i="37"/>
  <c r="S270" i="37"/>
  <c r="S278" i="37"/>
  <c r="U270" i="37"/>
  <c r="U278" i="37"/>
  <c r="S260" i="37"/>
  <c r="S276" i="37"/>
  <c r="T260" i="37"/>
  <c r="T276" i="37"/>
  <c r="U260" i="37"/>
  <c r="U276" i="37"/>
  <c r="R260" i="37"/>
  <c r="R276" i="37"/>
  <c r="V260" i="37"/>
  <c r="V276" i="37"/>
  <c r="R264" i="37"/>
  <c r="R274" i="37"/>
  <c r="U264" i="37"/>
  <c r="U274" i="37"/>
  <c r="T264" i="37"/>
  <c r="T274" i="37"/>
  <c r="V264" i="37"/>
  <c r="V274" i="37"/>
  <c r="S264" i="37"/>
  <c r="S274" i="37"/>
  <c r="V268" i="37"/>
  <c r="V273" i="37"/>
  <c r="U262" i="37"/>
  <c r="U268" i="37"/>
  <c r="R262" i="37"/>
  <c r="R268" i="37"/>
  <c r="T262" i="37"/>
  <c r="T268" i="37"/>
  <c r="S262" i="37"/>
  <c r="S268" i="37"/>
  <c r="T259" i="37"/>
  <c r="T267" i="37"/>
  <c r="U259" i="37"/>
  <c r="U267" i="37"/>
  <c r="R259" i="37"/>
  <c r="R267" i="37"/>
  <c r="V259" i="37"/>
  <c r="V267" i="37"/>
  <c r="S259" i="37"/>
  <c r="S267" i="37"/>
  <c r="V262" i="37"/>
  <c r="G8" i="50"/>
  <c r="V252" i="37"/>
  <c r="V266" i="37"/>
  <c r="S252" i="37"/>
  <c r="S266" i="37"/>
  <c r="T252" i="37"/>
  <c r="T266" i="37"/>
  <c r="R252" i="37"/>
  <c r="R266" i="37"/>
  <c r="U252" i="37"/>
  <c r="U266" i="37"/>
  <c r="U253" i="37"/>
  <c r="U265" i="37"/>
  <c r="V253" i="37"/>
  <c r="V265" i="37"/>
  <c r="S253" i="37"/>
  <c r="S265" i="37"/>
  <c r="T253" i="37"/>
  <c r="T265" i="37"/>
  <c r="R253" i="37"/>
  <c r="R265" i="37"/>
  <c r="R255" i="37"/>
  <c r="R263" i="37"/>
  <c r="V255" i="37"/>
  <c r="V263" i="37"/>
  <c r="S255" i="37"/>
  <c r="S263" i="37"/>
  <c r="T255" i="37"/>
  <c r="T263" i="37"/>
  <c r="U255" i="37"/>
  <c r="U263" i="37"/>
  <c r="T257" i="37"/>
  <c r="V257" i="37"/>
  <c r="S257" i="37"/>
  <c r="U257" i="37"/>
  <c r="R257" i="37"/>
  <c r="R236" i="37"/>
  <c r="R258" i="37"/>
  <c r="T236" i="37"/>
  <c r="T258" i="37"/>
  <c r="V236" i="37"/>
  <c r="V258" i="37"/>
  <c r="S236" i="37"/>
  <c r="S258" i="37"/>
  <c r="U236" i="37"/>
  <c r="U258" i="37"/>
  <c r="S249" i="37"/>
  <c r="S256" i="37"/>
  <c r="R249" i="37"/>
  <c r="R256" i="37"/>
  <c r="U249" i="37"/>
  <c r="U256" i="37"/>
  <c r="T249" i="37"/>
  <c r="T256" i="37"/>
  <c r="V249" i="37"/>
  <c r="V256" i="37"/>
  <c r="T242" i="37"/>
  <c r="T254" i="37"/>
  <c r="V242" i="37"/>
  <c r="V254" i="37"/>
  <c r="R242" i="37"/>
  <c r="R254" i="37"/>
  <c r="S242" i="37"/>
  <c r="S254" i="37"/>
  <c r="U242" i="37"/>
  <c r="U254" i="37"/>
  <c r="V250" i="37"/>
  <c r="V251" i="37"/>
  <c r="S250" i="37"/>
  <c r="S251" i="37"/>
  <c r="T250" i="37"/>
  <c r="T251" i="37"/>
  <c r="R250" i="37"/>
  <c r="R251" i="37"/>
  <c r="U250" i="37"/>
  <c r="U251" i="37"/>
  <c r="R232" i="37"/>
  <c r="R233" i="37"/>
  <c r="U232" i="37"/>
  <c r="U233" i="37"/>
  <c r="S232" i="37"/>
  <c r="S233" i="37"/>
  <c r="V232" i="37"/>
  <c r="V233" i="37"/>
  <c r="T232" i="37"/>
  <c r="T233" i="37"/>
  <c r="U230" i="37"/>
  <c r="U231" i="37"/>
  <c r="S230" i="37"/>
  <c r="S231" i="37"/>
  <c r="V230" i="37"/>
  <c r="V231" i="37"/>
  <c r="R230" i="37"/>
  <c r="R231" i="37"/>
  <c r="T230" i="37"/>
  <c r="T231" i="37"/>
  <c r="U247" i="37"/>
  <c r="U248" i="37"/>
  <c r="T247" i="37"/>
  <c r="T248" i="37"/>
  <c r="V247" i="37"/>
  <c r="V248" i="37"/>
  <c r="S247" i="37"/>
  <c r="S248" i="37"/>
  <c r="R247" i="37"/>
  <c r="R248" i="37"/>
  <c r="R245" i="37"/>
  <c r="R246" i="37"/>
  <c r="V245" i="37"/>
  <c r="V246" i="37"/>
  <c r="S245" i="37"/>
  <c r="S246" i="37"/>
  <c r="T245" i="37"/>
  <c r="T246" i="37"/>
  <c r="U245" i="37"/>
  <c r="U246" i="37"/>
  <c r="R243" i="37"/>
  <c r="R244" i="37"/>
  <c r="V243" i="37"/>
  <c r="V244" i="37"/>
  <c r="S243" i="37"/>
  <c r="S244" i="37"/>
  <c r="T243" i="37"/>
  <c r="T244" i="37"/>
  <c r="U243" i="37"/>
  <c r="U244" i="37"/>
  <c r="S237" i="37"/>
  <c r="S238" i="37"/>
  <c r="R237" i="37"/>
  <c r="R238" i="37"/>
  <c r="T237" i="37"/>
  <c r="T238" i="37"/>
  <c r="U237" i="37"/>
  <c r="U238" i="37"/>
  <c r="V237" i="37"/>
  <c r="V238" i="37"/>
  <c r="U240" i="37"/>
  <c r="U241" i="37"/>
  <c r="R240" i="37"/>
  <c r="R241" i="37"/>
  <c r="T240" i="37"/>
  <c r="T241" i="37"/>
  <c r="V240" i="37"/>
  <c r="V241" i="37"/>
  <c r="S240" i="37"/>
  <c r="S241" i="37"/>
  <c r="T234" i="37"/>
  <c r="T235" i="37"/>
  <c r="U234" i="37"/>
  <c r="U235" i="37"/>
  <c r="R234" i="37"/>
  <c r="R235" i="37"/>
  <c r="V234" i="37"/>
  <c r="V235" i="37"/>
  <c r="S234" i="37"/>
  <c r="S235" i="37"/>
  <c r="V227" i="37"/>
  <c r="V228" i="37"/>
  <c r="S227" i="37"/>
  <c r="S228" i="37"/>
  <c r="T227" i="37"/>
  <c r="T228" i="37"/>
  <c r="U227" i="37"/>
  <c r="U228" i="37"/>
  <c r="R227" i="37"/>
  <c r="R228" i="37"/>
  <c r="T203" i="37"/>
  <c r="T226" i="37"/>
  <c r="U221" i="37"/>
  <c r="V223" i="37"/>
  <c r="S223" i="37"/>
  <c r="V203" i="37"/>
  <c r="R203" i="37"/>
  <c r="S221" i="37"/>
  <c r="U226" i="37"/>
  <c r="S226" i="37"/>
  <c r="U203" i="37"/>
  <c r="S203" i="37"/>
  <c r="T221" i="37"/>
  <c r="V221" i="37"/>
  <c r="R221" i="37"/>
  <c r="R223" i="37"/>
  <c r="T223" i="37"/>
  <c r="R226" i="37"/>
  <c r="U223" i="37"/>
  <c r="V226" i="37"/>
  <c r="R216" i="37"/>
  <c r="R225" i="37"/>
  <c r="U216" i="37"/>
  <c r="U225" i="37"/>
  <c r="S216" i="37"/>
  <c r="S225" i="37"/>
  <c r="V216" i="37"/>
  <c r="V225" i="37"/>
  <c r="T216" i="37"/>
  <c r="T225" i="37"/>
  <c r="T214" i="37"/>
  <c r="T224" i="37"/>
  <c r="U214" i="37"/>
  <c r="U224" i="37"/>
  <c r="R214" i="37"/>
  <c r="R224" i="37"/>
  <c r="V214" i="37"/>
  <c r="V224" i="37"/>
  <c r="S214" i="37"/>
  <c r="S224" i="37"/>
  <c r="U215" i="37"/>
  <c r="U222" i="37"/>
  <c r="R215" i="37"/>
  <c r="R222" i="37"/>
  <c r="T215" i="37"/>
  <c r="T222" i="37"/>
  <c r="V215" i="37"/>
  <c r="V222" i="37"/>
  <c r="S215" i="37"/>
  <c r="S222" i="37"/>
  <c r="V213" i="37"/>
  <c r="V220" i="37"/>
  <c r="S213" i="37"/>
  <c r="S220" i="37"/>
  <c r="T213" i="37"/>
  <c r="T220" i="37"/>
  <c r="R213" i="37"/>
  <c r="R220" i="37"/>
  <c r="U213" i="37"/>
  <c r="U220" i="37"/>
  <c r="S212" i="37"/>
  <c r="S219" i="37"/>
  <c r="T212" i="37"/>
  <c r="T219" i="37"/>
  <c r="U212" i="37"/>
  <c r="U219" i="37"/>
  <c r="R212" i="37"/>
  <c r="R219" i="37"/>
  <c r="V212" i="37"/>
  <c r="V219" i="37"/>
  <c r="T217" i="37"/>
  <c r="T218" i="37"/>
  <c r="V217" i="37"/>
  <c r="V218" i="37"/>
  <c r="S217" i="37"/>
  <c r="S218" i="37"/>
  <c r="R217" i="37"/>
  <c r="R218" i="37"/>
  <c r="U217" i="37"/>
  <c r="U218" i="37"/>
  <c r="U211" i="37"/>
  <c r="S211" i="37"/>
  <c r="T211" i="37"/>
  <c r="R211" i="37"/>
  <c r="V211" i="37"/>
  <c r="R122" i="37"/>
  <c r="R127" i="37"/>
  <c r="R66" i="37"/>
  <c r="T91" i="37"/>
  <c r="T87" i="37"/>
  <c r="T205" i="37"/>
  <c r="U91" i="37"/>
  <c r="U122" i="37"/>
  <c r="U163" i="37"/>
  <c r="U175" i="37"/>
  <c r="V205" i="37"/>
  <c r="V66" i="37"/>
  <c r="U204" i="37"/>
  <c r="V166" i="37"/>
  <c r="R175" i="37"/>
  <c r="S201" i="37"/>
  <c r="S66" i="37"/>
  <c r="U87" i="37"/>
  <c r="U202" i="37"/>
  <c r="U127" i="37"/>
  <c r="V91" i="37"/>
  <c r="V175" i="37"/>
  <c r="T204" i="37"/>
  <c r="V172" i="37"/>
  <c r="R205" i="37"/>
  <c r="R201" i="37"/>
  <c r="R186" i="37"/>
  <c r="S127" i="37"/>
  <c r="S172" i="37"/>
  <c r="U154" i="37"/>
  <c r="V204" i="37"/>
  <c r="V127" i="37"/>
  <c r="V163" i="37"/>
  <c r="V186" i="37"/>
  <c r="T154" i="37"/>
  <c r="U186" i="37"/>
  <c r="R163" i="37"/>
  <c r="R202" i="37"/>
  <c r="S204" i="37"/>
  <c r="S122" i="37"/>
  <c r="S163" i="37"/>
  <c r="S175" i="37"/>
  <c r="T127" i="37"/>
  <c r="T66" i="37"/>
  <c r="V87" i="37"/>
  <c r="V122" i="37"/>
  <c r="R91" i="37"/>
  <c r="S205" i="37"/>
  <c r="R204" i="37"/>
  <c r="R154" i="37"/>
  <c r="S87" i="37"/>
  <c r="S166" i="37"/>
  <c r="S186" i="37"/>
  <c r="T172" i="37"/>
  <c r="V202" i="37"/>
  <c r="V154" i="37"/>
  <c r="V201" i="37"/>
  <c r="R166" i="37"/>
  <c r="R87" i="37"/>
  <c r="S202" i="37"/>
  <c r="S91" i="37"/>
  <c r="T166" i="37"/>
  <c r="T201" i="37"/>
  <c r="T163" i="37"/>
  <c r="T175" i="37"/>
  <c r="U205" i="37"/>
  <c r="U66" i="37"/>
  <c r="R172" i="37"/>
  <c r="S154" i="37"/>
  <c r="T122" i="37"/>
  <c r="T202" i="37"/>
  <c r="T186" i="37"/>
  <c r="U166" i="37"/>
  <c r="U201" i="37"/>
  <c r="U172" i="37"/>
  <c r="T196" i="37"/>
  <c r="T210" i="37"/>
  <c r="V196" i="37"/>
  <c r="V210" i="37"/>
  <c r="R196" i="37"/>
  <c r="R210" i="37"/>
  <c r="S196" i="37"/>
  <c r="S210" i="37"/>
  <c r="U196" i="37"/>
  <c r="U210" i="37"/>
  <c r="V183" i="37"/>
  <c r="V208" i="37"/>
  <c r="S183" i="37"/>
  <c r="S208" i="37"/>
  <c r="T183" i="37"/>
  <c r="T208" i="37"/>
  <c r="R183" i="37"/>
  <c r="R208" i="37"/>
  <c r="U183" i="37"/>
  <c r="U208" i="37"/>
  <c r="U165" i="37"/>
  <c r="U207" i="37"/>
  <c r="V165" i="37"/>
  <c r="V207" i="37"/>
  <c r="R165" i="37"/>
  <c r="R207" i="37"/>
  <c r="S165" i="37"/>
  <c r="S207" i="37"/>
  <c r="T165" i="37"/>
  <c r="T207" i="37"/>
  <c r="U199" i="37"/>
  <c r="U200" i="37"/>
  <c r="S199" i="37"/>
  <c r="S200" i="37"/>
  <c r="V199" i="37"/>
  <c r="V200" i="37"/>
  <c r="T199" i="37"/>
  <c r="T200" i="37"/>
  <c r="R199" i="37"/>
  <c r="R200" i="37"/>
  <c r="U206" i="37"/>
  <c r="U209" i="37"/>
  <c r="T206" i="37"/>
  <c r="T209" i="37"/>
  <c r="V206" i="37"/>
  <c r="V209" i="37"/>
  <c r="S206" i="37"/>
  <c r="S209" i="37"/>
  <c r="R206" i="37"/>
  <c r="R209" i="37"/>
  <c r="R194" i="37"/>
  <c r="R195" i="37"/>
  <c r="T194" i="37"/>
  <c r="T195" i="37"/>
  <c r="V194" i="37"/>
  <c r="V195" i="37"/>
  <c r="S194" i="37"/>
  <c r="S195" i="37"/>
  <c r="U194" i="37"/>
  <c r="U195" i="37"/>
  <c r="T182" i="37"/>
  <c r="U182" i="37"/>
  <c r="V182" i="37"/>
  <c r="S182" i="37"/>
  <c r="R182" i="37"/>
  <c r="T170" i="37"/>
  <c r="T171" i="37"/>
  <c r="U170" i="37"/>
  <c r="U171" i="37"/>
  <c r="S170" i="37"/>
  <c r="S171" i="37"/>
  <c r="R170" i="37"/>
  <c r="R171" i="37"/>
  <c r="V170" i="37"/>
  <c r="V171" i="37"/>
  <c r="V155" i="37"/>
  <c r="V156" i="37"/>
  <c r="S155" i="37"/>
  <c r="S156" i="37"/>
  <c r="R155" i="37"/>
  <c r="R156" i="37"/>
  <c r="T155" i="37"/>
  <c r="T156" i="37"/>
  <c r="U155" i="37"/>
  <c r="U156" i="37"/>
  <c r="U152" i="37"/>
  <c r="U153" i="37"/>
  <c r="R152" i="37"/>
  <c r="R153" i="37"/>
  <c r="V152" i="37"/>
  <c r="V153" i="37"/>
  <c r="S152" i="37"/>
  <c r="S153" i="37"/>
  <c r="T152" i="37"/>
  <c r="T153" i="37"/>
  <c r="T197" i="37"/>
  <c r="T198" i="37"/>
  <c r="U197" i="37"/>
  <c r="U198" i="37"/>
  <c r="R197" i="37"/>
  <c r="R198" i="37"/>
  <c r="S197" i="37"/>
  <c r="S198" i="37"/>
  <c r="V197" i="37"/>
  <c r="V198" i="37"/>
  <c r="U37" i="37"/>
  <c r="U38" i="37"/>
  <c r="T37" i="37"/>
  <c r="T38" i="37"/>
  <c r="V37" i="37"/>
  <c r="V38" i="37"/>
  <c r="S37" i="37"/>
  <c r="S38" i="37"/>
  <c r="R37" i="37"/>
  <c r="R38" i="37"/>
  <c r="R108" i="37"/>
  <c r="R120" i="37"/>
  <c r="R160" i="37"/>
  <c r="R105" i="37"/>
  <c r="R109" i="37"/>
  <c r="R106" i="37"/>
  <c r="R110" i="37"/>
  <c r="R107" i="37"/>
  <c r="R56" i="37"/>
  <c r="R60" i="37"/>
  <c r="R68" i="37"/>
  <c r="R84" i="37"/>
  <c r="R96" i="37"/>
  <c r="R116" i="37"/>
  <c r="R173" i="37"/>
  <c r="R176" i="37"/>
  <c r="R181" i="37"/>
  <c r="R57" i="37"/>
  <c r="R65" i="37"/>
  <c r="R85" i="37"/>
  <c r="R174" i="37"/>
  <c r="R179" i="37"/>
  <c r="R180" i="37"/>
  <c r="R58" i="37"/>
  <c r="R118" i="37"/>
  <c r="R146" i="37"/>
  <c r="R59" i="37"/>
  <c r="R139" i="37"/>
  <c r="R178" i="37"/>
  <c r="R131" i="37"/>
  <c r="R63" i="37"/>
  <c r="R95" i="37"/>
  <c r="R111" i="37"/>
  <c r="R159" i="37"/>
  <c r="R55" i="37"/>
  <c r="R177" i="37"/>
  <c r="R184" i="37"/>
  <c r="R138" i="37"/>
  <c r="R185" i="37"/>
  <c r="S103" i="37"/>
  <c r="S149" i="37"/>
  <c r="S104" i="37"/>
  <c r="S90" i="37"/>
  <c r="S75" i="37"/>
  <c r="S115" i="37"/>
  <c r="S140" i="37"/>
  <c r="S164" i="37"/>
  <c r="S132" i="37"/>
  <c r="S92" i="37"/>
  <c r="S61" i="37"/>
  <c r="S62" i="37"/>
  <c r="S70" i="37"/>
  <c r="S78" i="37"/>
  <c r="S86" i="37"/>
  <c r="S94" i="37"/>
  <c r="S126" i="37"/>
  <c r="S67" i="37"/>
  <c r="S79" i="37"/>
  <c r="S187" i="37"/>
  <c r="S188" i="37"/>
  <c r="S117" i="37"/>
  <c r="S112" i="37"/>
  <c r="S145" i="37"/>
  <c r="S161" i="37"/>
  <c r="S189" i="37"/>
  <c r="S64" i="37"/>
  <c r="S97" i="37"/>
  <c r="S141" i="37"/>
  <c r="S162" i="37"/>
  <c r="S191" i="37"/>
  <c r="S192" i="37"/>
  <c r="S190" i="37"/>
  <c r="S137" i="37"/>
  <c r="S158" i="37"/>
  <c r="S193" i="37"/>
  <c r="S102" i="37"/>
  <c r="S130" i="37"/>
  <c r="S99" i="37"/>
  <c r="S101" i="37"/>
  <c r="S150" i="37"/>
  <c r="S151" i="37"/>
  <c r="S113" i="37"/>
  <c r="S121" i="37"/>
  <c r="S157" i="37"/>
  <c r="S100" i="37"/>
  <c r="S114" i="37"/>
  <c r="S71" i="37"/>
  <c r="S135" i="37"/>
  <c r="S143" i="37"/>
  <c r="S167" i="37"/>
  <c r="S136" i="37"/>
  <c r="S168" i="37"/>
  <c r="S169" i="37"/>
  <c r="T104" i="37"/>
  <c r="T149" i="37"/>
  <c r="T103" i="37"/>
  <c r="T90" i="37"/>
  <c r="T115" i="37"/>
  <c r="T164" i="37"/>
  <c r="T75" i="37"/>
  <c r="T132" i="37"/>
  <c r="T140" i="37"/>
  <c r="T92" i="37"/>
  <c r="T144" i="37"/>
  <c r="T128" i="37"/>
  <c r="T184" i="37"/>
  <c r="T138" i="37"/>
  <c r="T185" i="37"/>
  <c r="U55" i="37"/>
  <c r="U59" i="37"/>
  <c r="U63" i="37"/>
  <c r="U95" i="37"/>
  <c r="U111" i="37"/>
  <c r="U131" i="37"/>
  <c r="U139" i="37"/>
  <c r="U159" i="37"/>
  <c r="U177" i="37"/>
  <c r="U178" i="37"/>
  <c r="U56" i="37"/>
  <c r="U60" i="37"/>
  <c r="U68" i="37"/>
  <c r="U84" i="37"/>
  <c r="U96" i="37"/>
  <c r="U116" i="37"/>
  <c r="U173" i="37"/>
  <c r="U176" i="37"/>
  <c r="U181" i="37"/>
  <c r="U58" i="37"/>
  <c r="U146" i="37"/>
  <c r="U85" i="37"/>
  <c r="U179" i="37"/>
  <c r="U118" i="37"/>
  <c r="U57" i="37"/>
  <c r="U174" i="37"/>
  <c r="U65" i="37"/>
  <c r="U180" i="37"/>
  <c r="U75" i="37"/>
  <c r="U115" i="37"/>
  <c r="U164" i="37"/>
  <c r="U92" i="37"/>
  <c r="U132" i="37"/>
  <c r="U140" i="37"/>
  <c r="U90" i="37"/>
  <c r="U67" i="37"/>
  <c r="U79" i="37"/>
  <c r="U187" i="37"/>
  <c r="U188" i="37"/>
  <c r="U64" i="37"/>
  <c r="U112" i="37"/>
  <c r="U191" i="37"/>
  <c r="U192" i="37"/>
  <c r="U162" i="37"/>
  <c r="U61" i="37"/>
  <c r="U117" i="37"/>
  <c r="U141" i="37"/>
  <c r="U193" i="37"/>
  <c r="U62" i="37"/>
  <c r="U70" i="37"/>
  <c r="U78" i="37"/>
  <c r="U86" i="37"/>
  <c r="U94" i="37"/>
  <c r="U126" i="37"/>
  <c r="U158" i="37"/>
  <c r="U189" i="37"/>
  <c r="U97" i="37"/>
  <c r="U161" i="37"/>
  <c r="U137" i="37"/>
  <c r="U190" i="37"/>
  <c r="U145" i="37"/>
  <c r="U99" i="37"/>
  <c r="U100" i="37"/>
  <c r="U130" i="37"/>
  <c r="U151" i="37"/>
  <c r="U101" i="37"/>
  <c r="U157" i="37"/>
  <c r="U102" i="37"/>
  <c r="U150" i="37"/>
  <c r="U121" i="37"/>
  <c r="U113" i="37"/>
  <c r="U71" i="37"/>
  <c r="U135" i="37"/>
  <c r="U143" i="37"/>
  <c r="U136" i="37"/>
  <c r="U168" i="37"/>
  <c r="U169" i="37"/>
  <c r="U114" i="37"/>
  <c r="U167" i="37"/>
  <c r="V77" i="37"/>
  <c r="V72" i="37"/>
  <c r="V76" i="37"/>
  <c r="V138" i="37"/>
  <c r="V185" i="37"/>
  <c r="V184" i="37"/>
  <c r="R128" i="37"/>
  <c r="R144" i="37"/>
  <c r="R104" i="37"/>
  <c r="R149" i="37"/>
  <c r="R103" i="37"/>
  <c r="R129" i="37"/>
  <c r="R133" i="37"/>
  <c r="R134" i="37"/>
  <c r="S77" i="37"/>
  <c r="S72" i="37"/>
  <c r="S76" i="37"/>
  <c r="S74" i="37"/>
  <c r="S82" i="37"/>
  <c r="S98" i="37"/>
  <c r="S83" i="37"/>
  <c r="S119" i="37"/>
  <c r="S147" i="37"/>
  <c r="S148" i="37"/>
  <c r="S88" i="37"/>
  <c r="S142" i="37"/>
  <c r="T77" i="37"/>
  <c r="T72" i="37"/>
  <c r="T76" i="37"/>
  <c r="T129" i="37"/>
  <c r="T133" i="37"/>
  <c r="T134" i="37"/>
  <c r="U103" i="37"/>
  <c r="U104" i="37"/>
  <c r="U149" i="37"/>
  <c r="U72" i="37"/>
  <c r="U76" i="37"/>
  <c r="U77" i="37"/>
  <c r="U83" i="37"/>
  <c r="U119" i="37"/>
  <c r="U147" i="37"/>
  <c r="U88" i="37"/>
  <c r="U74" i="37"/>
  <c r="U82" i="37"/>
  <c r="U98" i="37"/>
  <c r="U148" i="37"/>
  <c r="U142" i="37"/>
  <c r="V69" i="37"/>
  <c r="V73" i="37"/>
  <c r="V81" i="37"/>
  <c r="V89" i="37"/>
  <c r="V93" i="37"/>
  <c r="V125" i="37"/>
  <c r="V80" i="37"/>
  <c r="V123" i="37"/>
  <c r="V124" i="37"/>
  <c r="V105" i="37"/>
  <c r="V109" i="37"/>
  <c r="V106" i="37"/>
  <c r="V110" i="37"/>
  <c r="V107" i="37"/>
  <c r="V108" i="37"/>
  <c r="V120" i="37"/>
  <c r="V160" i="37"/>
  <c r="V129" i="37"/>
  <c r="V133" i="37"/>
  <c r="V134" i="37"/>
  <c r="R92" i="37"/>
  <c r="R132" i="37"/>
  <c r="R140" i="37"/>
  <c r="R90" i="37"/>
  <c r="R75" i="37"/>
  <c r="R164" i="37"/>
  <c r="R115" i="37"/>
  <c r="R64" i="37"/>
  <c r="R112" i="37"/>
  <c r="R191" i="37"/>
  <c r="R192" i="37"/>
  <c r="R61" i="37"/>
  <c r="R97" i="37"/>
  <c r="R117" i="37"/>
  <c r="R137" i="37"/>
  <c r="R141" i="37"/>
  <c r="R145" i="37"/>
  <c r="R161" i="37"/>
  <c r="R190" i="37"/>
  <c r="R193" i="37"/>
  <c r="R62" i="37"/>
  <c r="R70" i="37"/>
  <c r="R78" i="37"/>
  <c r="R86" i="37"/>
  <c r="R94" i="37"/>
  <c r="R126" i="37"/>
  <c r="R158" i="37"/>
  <c r="R162" i="37"/>
  <c r="R189" i="37"/>
  <c r="R188" i="37"/>
  <c r="R67" i="37"/>
  <c r="R187" i="37"/>
  <c r="R79" i="37"/>
  <c r="R100" i="37"/>
  <c r="R101" i="37"/>
  <c r="R113" i="37"/>
  <c r="R121" i="37"/>
  <c r="R157" i="37"/>
  <c r="R102" i="37"/>
  <c r="R130" i="37"/>
  <c r="R150" i="37"/>
  <c r="R151" i="37"/>
  <c r="R99" i="37"/>
  <c r="R136" i="37"/>
  <c r="R168" i="37"/>
  <c r="R169" i="37"/>
  <c r="R114" i="37"/>
  <c r="R167" i="37"/>
  <c r="R71" i="37"/>
  <c r="R135" i="37"/>
  <c r="R143" i="37"/>
  <c r="S69" i="37"/>
  <c r="S73" i="37"/>
  <c r="S81" i="37"/>
  <c r="S123" i="37"/>
  <c r="S93" i="37"/>
  <c r="S125" i="37"/>
  <c r="S80" i="37"/>
  <c r="S89" i="37"/>
  <c r="S124" i="37"/>
  <c r="S106" i="37"/>
  <c r="S110" i="37"/>
  <c r="S107" i="37"/>
  <c r="S109" i="37"/>
  <c r="S160" i="37"/>
  <c r="S120" i="37"/>
  <c r="S105" i="37"/>
  <c r="S108" i="37"/>
  <c r="S138" i="37"/>
  <c r="S185" i="37"/>
  <c r="S184" i="37"/>
  <c r="T61" i="37"/>
  <c r="T97" i="37"/>
  <c r="T117" i="37"/>
  <c r="T62" i="37"/>
  <c r="T70" i="37"/>
  <c r="T78" i="37"/>
  <c r="T86" i="37"/>
  <c r="T94" i="37"/>
  <c r="T64" i="37"/>
  <c r="T126" i="37"/>
  <c r="T187" i="37"/>
  <c r="T188" i="37"/>
  <c r="T67" i="37"/>
  <c r="T191" i="37"/>
  <c r="T192" i="37"/>
  <c r="T112" i="37"/>
  <c r="T137" i="37"/>
  <c r="T141" i="37"/>
  <c r="T145" i="37"/>
  <c r="T161" i="37"/>
  <c r="T190" i="37"/>
  <c r="T193" i="37"/>
  <c r="T189" i="37"/>
  <c r="T158" i="37"/>
  <c r="T79" i="37"/>
  <c r="T162" i="37"/>
  <c r="T69" i="37"/>
  <c r="T73" i="37"/>
  <c r="T81" i="37"/>
  <c r="T89" i="37"/>
  <c r="T93" i="37"/>
  <c r="T125" i="37"/>
  <c r="T80" i="37"/>
  <c r="T123" i="37"/>
  <c r="T124" i="37"/>
  <c r="T101" i="37"/>
  <c r="T113" i="37"/>
  <c r="T121" i="37"/>
  <c r="T102" i="37"/>
  <c r="T99" i="37"/>
  <c r="T100" i="37"/>
  <c r="T157" i="37"/>
  <c r="T150" i="37"/>
  <c r="T151" i="37"/>
  <c r="T130" i="37"/>
  <c r="T135" i="37"/>
  <c r="T143" i="37"/>
  <c r="T136" i="37"/>
  <c r="T168" i="37"/>
  <c r="T169" i="37"/>
  <c r="T114" i="37"/>
  <c r="T167" i="37"/>
  <c r="T71" i="37"/>
  <c r="U123" i="37"/>
  <c r="U80" i="37"/>
  <c r="U124" i="37"/>
  <c r="U69" i="37"/>
  <c r="U93" i="37"/>
  <c r="U125" i="37"/>
  <c r="U89" i="37"/>
  <c r="U73" i="37"/>
  <c r="U81" i="37"/>
  <c r="U107" i="37"/>
  <c r="U108" i="37"/>
  <c r="U120" i="37"/>
  <c r="U160" i="37"/>
  <c r="U106" i="37"/>
  <c r="U109" i="37"/>
  <c r="U110" i="37"/>
  <c r="U105" i="37"/>
  <c r="U184" i="37"/>
  <c r="U138" i="37"/>
  <c r="U185" i="37"/>
  <c r="V57" i="37"/>
  <c r="V65" i="37"/>
  <c r="V85" i="37"/>
  <c r="V174" i="37"/>
  <c r="V179" i="37"/>
  <c r="V180" i="37"/>
  <c r="V58" i="37"/>
  <c r="V118" i="37"/>
  <c r="V146" i="37"/>
  <c r="V55" i="37"/>
  <c r="V59" i="37"/>
  <c r="V63" i="37"/>
  <c r="V131" i="37"/>
  <c r="V139" i="37"/>
  <c r="V178" i="37"/>
  <c r="V68" i="37"/>
  <c r="V84" i="37"/>
  <c r="V116" i="37"/>
  <c r="V173" i="37"/>
  <c r="V176" i="37"/>
  <c r="V56" i="37"/>
  <c r="V95" i="37"/>
  <c r="V111" i="37"/>
  <c r="V159" i="37"/>
  <c r="V177" i="37"/>
  <c r="V181" i="37"/>
  <c r="V96" i="37"/>
  <c r="V60" i="37"/>
  <c r="V128" i="37"/>
  <c r="V144" i="37"/>
  <c r="V101" i="37"/>
  <c r="V113" i="37"/>
  <c r="V121" i="37"/>
  <c r="V157" i="37"/>
  <c r="V102" i="37"/>
  <c r="V130" i="37"/>
  <c r="V150" i="37"/>
  <c r="V151" i="37"/>
  <c r="V99" i="37"/>
  <c r="V100" i="37"/>
  <c r="V114" i="37"/>
  <c r="V167" i="37"/>
  <c r="V71" i="37"/>
  <c r="V169" i="37"/>
  <c r="V135" i="37"/>
  <c r="V143" i="37"/>
  <c r="V136" i="37"/>
  <c r="V168" i="37"/>
  <c r="R72" i="37"/>
  <c r="R76" i="37"/>
  <c r="R77" i="37"/>
  <c r="R80" i="37"/>
  <c r="R124" i="37"/>
  <c r="R69" i="37"/>
  <c r="R73" i="37"/>
  <c r="R81" i="37"/>
  <c r="R89" i="37"/>
  <c r="R93" i="37"/>
  <c r="R125" i="37"/>
  <c r="R123" i="37"/>
  <c r="R88" i="37"/>
  <c r="R74" i="37"/>
  <c r="R82" i="37"/>
  <c r="R98" i="37"/>
  <c r="R142" i="37"/>
  <c r="R148" i="37"/>
  <c r="R147" i="37"/>
  <c r="R83" i="37"/>
  <c r="R119" i="37"/>
  <c r="S57" i="37"/>
  <c r="S65" i="37"/>
  <c r="S58" i="37"/>
  <c r="S118" i="37"/>
  <c r="S55" i="37"/>
  <c r="S59" i="37"/>
  <c r="S63" i="37"/>
  <c r="S95" i="37"/>
  <c r="S111" i="37"/>
  <c r="S131" i="37"/>
  <c r="S139" i="37"/>
  <c r="S159" i="37"/>
  <c r="S177" i="37"/>
  <c r="S56" i="37"/>
  <c r="S85" i="37"/>
  <c r="S60" i="37"/>
  <c r="S96" i="37"/>
  <c r="S178" i="37"/>
  <c r="S146" i="37"/>
  <c r="S181" i="37"/>
  <c r="S174" i="37"/>
  <c r="S179" i="37"/>
  <c r="S84" i="37"/>
  <c r="S116" i="37"/>
  <c r="S176" i="37"/>
  <c r="S68" i="37"/>
  <c r="S180" i="37"/>
  <c r="S173" i="37"/>
  <c r="S144" i="37"/>
  <c r="S128" i="37"/>
  <c r="S133" i="37"/>
  <c r="S134" i="37"/>
  <c r="S129" i="37"/>
  <c r="T105" i="37"/>
  <c r="T109" i="37"/>
  <c r="T110" i="37"/>
  <c r="T120" i="37"/>
  <c r="T106" i="37"/>
  <c r="T160" i="37"/>
  <c r="T107" i="37"/>
  <c r="T108" i="37"/>
  <c r="T57" i="37"/>
  <c r="T65" i="37"/>
  <c r="T85" i="37"/>
  <c r="T58" i="37"/>
  <c r="T56" i="37"/>
  <c r="T96" i="37"/>
  <c r="T131" i="37"/>
  <c r="T139" i="37"/>
  <c r="T159" i="37"/>
  <c r="T177" i="37"/>
  <c r="T178" i="37"/>
  <c r="T59" i="37"/>
  <c r="T111" i="37"/>
  <c r="T116" i="37"/>
  <c r="T173" i="37"/>
  <c r="T176" i="37"/>
  <c r="T181" i="37"/>
  <c r="T60" i="37"/>
  <c r="T68" i="37"/>
  <c r="T84" i="37"/>
  <c r="T118" i="37"/>
  <c r="T174" i="37"/>
  <c r="T179" i="37"/>
  <c r="T180" i="37"/>
  <c r="T55" i="37"/>
  <c r="T63" i="37"/>
  <c r="T95" i="37"/>
  <c r="T146" i="37"/>
  <c r="T74" i="37"/>
  <c r="T82" i="37"/>
  <c r="T98" i="37"/>
  <c r="T88" i="37"/>
  <c r="T147" i="37"/>
  <c r="T83" i="37"/>
  <c r="T119" i="37"/>
  <c r="T148" i="37"/>
  <c r="T142" i="37"/>
  <c r="U128" i="37"/>
  <c r="U144" i="37"/>
  <c r="U133" i="37"/>
  <c r="U134" i="37"/>
  <c r="U129" i="37"/>
  <c r="V149" i="37"/>
  <c r="V103" i="37"/>
  <c r="V104" i="37"/>
  <c r="V90" i="37"/>
  <c r="V75" i="37"/>
  <c r="V115" i="37"/>
  <c r="V164" i="37"/>
  <c r="V92" i="37"/>
  <c r="V132" i="37"/>
  <c r="V140" i="37"/>
  <c r="V61" i="37"/>
  <c r="V97" i="37"/>
  <c r="V117" i="37"/>
  <c r="V137" i="37"/>
  <c r="V141" i="37"/>
  <c r="V145" i="37"/>
  <c r="V161" i="37"/>
  <c r="V190" i="37"/>
  <c r="V193" i="37"/>
  <c r="V62" i="37"/>
  <c r="V70" i="37"/>
  <c r="V78" i="37"/>
  <c r="V86" i="37"/>
  <c r="V94" i="37"/>
  <c r="V126" i="37"/>
  <c r="V158" i="37"/>
  <c r="V162" i="37"/>
  <c r="V189" i="37"/>
  <c r="V67" i="37"/>
  <c r="V79" i="37"/>
  <c r="V64" i="37"/>
  <c r="V188" i="37"/>
  <c r="V191" i="37"/>
  <c r="V187" i="37"/>
  <c r="V112" i="37"/>
  <c r="V192" i="37"/>
  <c r="V74" i="37"/>
  <c r="V82" i="37"/>
  <c r="V98" i="37"/>
  <c r="V142" i="37"/>
  <c r="V148" i="37"/>
  <c r="V83" i="37"/>
  <c r="V147" i="37"/>
  <c r="V119" i="37"/>
  <c r="V88" i="37"/>
  <c r="B11" i="46"/>
  <c r="I170" i="50"/>
  <c r="V13" i="37"/>
  <c r="V17" i="37"/>
  <c r="V21" i="37"/>
  <c r="V25" i="37"/>
  <c r="V29" i="37"/>
  <c r="V33" i="37"/>
  <c r="V39" i="37"/>
  <c r="V43" i="37"/>
  <c r="V47" i="37"/>
  <c r="V51" i="37"/>
  <c r="V20" i="37"/>
  <c r="V32" i="37"/>
  <c r="V46" i="37"/>
  <c r="V54" i="37"/>
  <c r="V14" i="37"/>
  <c r="V18" i="37"/>
  <c r="V22" i="37"/>
  <c r="V26" i="37"/>
  <c r="V30" i="37"/>
  <c r="V34" i="37"/>
  <c r="V40" i="37"/>
  <c r="V44" i="37"/>
  <c r="V48" i="37"/>
  <c r="V52" i="37"/>
  <c r="V53" i="37"/>
  <c r="V16" i="37"/>
  <c r="V28" i="37"/>
  <c r="V42" i="37"/>
  <c r="V15" i="37"/>
  <c r="V19" i="37"/>
  <c r="V23" i="37"/>
  <c r="V27" i="37"/>
  <c r="V31" i="37"/>
  <c r="V35" i="37"/>
  <c r="V41" i="37"/>
  <c r="V45" i="37"/>
  <c r="V49" i="37"/>
  <c r="V24" i="37"/>
  <c r="V36" i="37"/>
  <c r="V50" i="37"/>
  <c r="U13" i="37"/>
  <c r="U17" i="37"/>
  <c r="U21" i="37"/>
  <c r="U25" i="37"/>
  <c r="U29" i="37"/>
  <c r="U33" i="37"/>
  <c r="U39" i="37"/>
  <c r="U43" i="37"/>
  <c r="U47" i="37"/>
  <c r="U51" i="37"/>
  <c r="U14" i="37"/>
  <c r="U18" i="37"/>
  <c r="U22" i="37"/>
  <c r="U26" i="37"/>
  <c r="U30" i="37"/>
  <c r="U34" i="37"/>
  <c r="U40" i="37"/>
  <c r="U44" i="37"/>
  <c r="U48" i="37"/>
  <c r="U52" i="37"/>
  <c r="U15" i="37"/>
  <c r="U19" i="37"/>
  <c r="U23" i="37"/>
  <c r="U27" i="37"/>
  <c r="U31" i="37"/>
  <c r="U35" i="37"/>
  <c r="U41" i="37"/>
  <c r="U45" i="37"/>
  <c r="U49" i="37"/>
  <c r="U53" i="37"/>
  <c r="U16" i="37"/>
  <c r="U28" i="37"/>
  <c r="U32" i="37"/>
  <c r="U36" i="37"/>
  <c r="U42" i="37"/>
  <c r="U46" i="37"/>
  <c r="U20" i="37"/>
  <c r="U54" i="37"/>
  <c r="U24" i="37"/>
  <c r="U50" i="37"/>
  <c r="T13" i="37"/>
  <c r="T17" i="37"/>
  <c r="T21" i="37"/>
  <c r="T25" i="37"/>
  <c r="T29" i="37"/>
  <c r="T33" i="37"/>
  <c r="T39" i="37"/>
  <c r="T43" i="37"/>
  <c r="T47" i="37"/>
  <c r="T51" i="37"/>
  <c r="T24" i="37"/>
  <c r="T32" i="37"/>
  <c r="T46" i="37"/>
  <c r="T14" i="37"/>
  <c r="T18" i="37"/>
  <c r="T22" i="37"/>
  <c r="T26" i="37"/>
  <c r="T30" i="37"/>
  <c r="T34" i="37"/>
  <c r="T40" i="37"/>
  <c r="T44" i="37"/>
  <c r="T48" i="37"/>
  <c r="T52" i="37"/>
  <c r="T20" i="37"/>
  <c r="T36" i="37"/>
  <c r="T50" i="37"/>
  <c r="T15" i="37"/>
  <c r="T19" i="37"/>
  <c r="T23" i="37"/>
  <c r="T27" i="37"/>
  <c r="T31" i="37"/>
  <c r="T35" i="37"/>
  <c r="T41" i="37"/>
  <c r="T45" i="37"/>
  <c r="T49" i="37"/>
  <c r="T53" i="37"/>
  <c r="T16" i="37"/>
  <c r="T28" i="37"/>
  <c r="T42" i="37"/>
  <c r="T54" i="37"/>
  <c r="S13" i="37"/>
  <c r="S17" i="37"/>
  <c r="S21" i="37"/>
  <c r="S25" i="37"/>
  <c r="S29" i="37"/>
  <c r="S33" i="37"/>
  <c r="S39" i="37"/>
  <c r="S43" i="37"/>
  <c r="S47" i="37"/>
  <c r="S51" i="37"/>
  <c r="S24" i="37"/>
  <c r="S32" i="37"/>
  <c r="S42" i="37"/>
  <c r="S54" i="37"/>
  <c r="S14" i="37"/>
  <c r="S18" i="37"/>
  <c r="S22" i="37"/>
  <c r="S26" i="37"/>
  <c r="S30" i="37"/>
  <c r="S34" i="37"/>
  <c r="S40" i="37"/>
  <c r="S44" i="37"/>
  <c r="S48" i="37"/>
  <c r="S52" i="37"/>
  <c r="S20" i="37"/>
  <c r="S36" i="37"/>
  <c r="S50" i="37"/>
  <c r="S15" i="37"/>
  <c r="S19" i="37"/>
  <c r="S23" i="37"/>
  <c r="S27" i="37"/>
  <c r="S31" i="37"/>
  <c r="S35" i="37"/>
  <c r="S41" i="37"/>
  <c r="S45" i="37"/>
  <c r="S49" i="37"/>
  <c r="S53" i="37"/>
  <c r="S16" i="37"/>
  <c r="S28" i="37"/>
  <c r="S46" i="37"/>
  <c r="R13" i="37"/>
  <c r="R17" i="37"/>
  <c r="R21" i="37"/>
  <c r="R25" i="37"/>
  <c r="R29" i="37"/>
  <c r="R33" i="37"/>
  <c r="R39" i="37"/>
  <c r="R43" i="37"/>
  <c r="R47" i="37"/>
  <c r="R51" i="37"/>
  <c r="R24" i="37"/>
  <c r="R32" i="37"/>
  <c r="R46" i="37"/>
  <c r="R14" i="37"/>
  <c r="R18" i="37"/>
  <c r="R22" i="37"/>
  <c r="R26" i="37"/>
  <c r="R30" i="37"/>
  <c r="R34" i="37"/>
  <c r="R40" i="37"/>
  <c r="R44" i="37"/>
  <c r="R48" i="37"/>
  <c r="R52" i="37"/>
  <c r="R20" i="37"/>
  <c r="R28" i="37"/>
  <c r="R42" i="37"/>
  <c r="R54" i="37"/>
  <c r="R15" i="37"/>
  <c r="R19" i="37"/>
  <c r="R23" i="37"/>
  <c r="R27" i="37"/>
  <c r="R31" i="37"/>
  <c r="R35" i="37"/>
  <c r="R41" i="37"/>
  <c r="R45" i="37"/>
  <c r="R49" i="37"/>
  <c r="R53" i="37"/>
  <c r="R16" i="37"/>
  <c r="R36" i="37"/>
  <c r="R50" i="37"/>
  <c r="AJ143" i="50"/>
  <c r="G108" i="41" l="1"/>
  <c r="H108" i="41" s="1"/>
  <c r="G107" i="41"/>
  <c r="H107" i="41" s="1"/>
  <c r="K128" i="30" s="1"/>
  <c r="M128" i="30" s="1"/>
  <c r="O128" i="30" s="1"/>
  <c r="DU156" i="50"/>
  <c r="DW165" i="50"/>
  <c r="DX165" i="50"/>
  <c r="DY165" i="50"/>
  <c r="DZ165" i="50"/>
  <c r="FE166" i="50"/>
  <c r="FI167" i="50"/>
  <c r="FM168" i="50"/>
  <c r="FE170" i="50"/>
  <c r="FK167" i="50"/>
  <c r="FF166" i="50"/>
  <c r="FJ167" i="50"/>
  <c r="FN168" i="50"/>
  <c r="FF170" i="50"/>
  <c r="FO168" i="50"/>
  <c r="FG166" i="50"/>
  <c r="FG170" i="50"/>
  <c r="FH166" i="50"/>
  <c r="FL167" i="50"/>
  <c r="FP168" i="50"/>
  <c r="FH170" i="50"/>
  <c r="FI166" i="50"/>
  <c r="FM167" i="50"/>
  <c r="FE169" i="50"/>
  <c r="FI170" i="50"/>
  <c r="FJ166" i="50"/>
  <c r="FN167" i="50"/>
  <c r="FF169" i="50"/>
  <c r="FJ170" i="50"/>
  <c r="FO170" i="50"/>
  <c r="FK166" i="50"/>
  <c r="FO167" i="50"/>
  <c r="FG169" i="50"/>
  <c r="FK170" i="50"/>
  <c r="FL166" i="50"/>
  <c r="FP167" i="50"/>
  <c r="FH169" i="50"/>
  <c r="FL170" i="50"/>
  <c r="FJ169" i="50"/>
  <c r="FM166" i="50"/>
  <c r="FE168" i="50"/>
  <c r="FI169" i="50"/>
  <c r="FM170" i="50"/>
  <c r="FF168" i="50"/>
  <c r="FN166" i="50"/>
  <c r="FN170" i="50"/>
  <c r="FO166" i="50"/>
  <c r="FG168" i="50"/>
  <c r="FK169" i="50"/>
  <c r="FP166" i="50"/>
  <c r="FH168" i="50"/>
  <c r="FL169" i="50"/>
  <c r="FP170" i="50"/>
  <c r="FH167" i="50"/>
  <c r="FE167" i="50"/>
  <c r="FI168" i="50"/>
  <c r="FM169" i="50"/>
  <c r="FL168" i="50"/>
  <c r="FF167" i="50"/>
  <c r="FJ168" i="50"/>
  <c r="FN169" i="50"/>
  <c r="FP169" i="50"/>
  <c r="FG167" i="50"/>
  <c r="FK168" i="50"/>
  <c r="FO169" i="50"/>
  <c r="FF165" i="50"/>
  <c r="FG165" i="50"/>
  <c r="FH165" i="50"/>
  <c r="FI165" i="50"/>
  <c r="FJ165" i="50"/>
  <c r="FK165" i="50"/>
  <c r="FL165" i="50"/>
  <c r="FM165" i="50"/>
  <c r="FN165" i="50"/>
  <c r="FO165" i="50"/>
  <c r="FP165" i="50"/>
  <c r="FE165" i="50"/>
  <c r="FE156" i="50"/>
  <c r="FF156" i="50"/>
  <c r="FG156" i="50"/>
  <c r="FH156" i="50"/>
  <c r="FI156" i="50"/>
  <c r="FK156" i="50"/>
  <c r="FL156" i="50"/>
  <c r="FM156" i="50"/>
  <c r="FN156" i="50"/>
  <c r="FP156" i="50"/>
  <c r="FO156" i="50"/>
  <c r="FJ156" i="50"/>
  <c r="EQ166" i="50"/>
  <c r="EU167" i="50"/>
  <c r="EY168" i="50"/>
  <c r="EQ170" i="50"/>
  <c r="EX167" i="50"/>
  <c r="EY167" i="50"/>
  <c r="ER166" i="50"/>
  <c r="EV167" i="50"/>
  <c r="EZ168" i="50"/>
  <c r="ER170" i="50"/>
  <c r="ES170" i="50"/>
  <c r="FB168" i="50"/>
  <c r="EU170" i="50"/>
  <c r="ES166" i="50"/>
  <c r="EW167" i="50"/>
  <c r="FA168" i="50"/>
  <c r="ET166" i="50"/>
  <c r="ET170" i="50"/>
  <c r="EU166" i="50"/>
  <c r="EQ169" i="50"/>
  <c r="EV166" i="50"/>
  <c r="EZ167" i="50"/>
  <c r="ER169" i="50"/>
  <c r="EV170" i="50"/>
  <c r="EW166" i="50"/>
  <c r="FA167" i="50"/>
  <c r="ES169" i="50"/>
  <c r="EW170" i="50"/>
  <c r="EX166" i="50"/>
  <c r="FB167" i="50"/>
  <c r="ET169" i="50"/>
  <c r="EX170" i="50"/>
  <c r="ET168" i="50"/>
  <c r="ET167" i="50"/>
  <c r="EY166" i="50"/>
  <c r="EQ168" i="50"/>
  <c r="EU169" i="50"/>
  <c r="EY170" i="50"/>
  <c r="FB166" i="50"/>
  <c r="EZ166" i="50"/>
  <c r="ER168" i="50"/>
  <c r="EV169" i="50"/>
  <c r="EZ170" i="50"/>
  <c r="EX169" i="50"/>
  <c r="FB169" i="50"/>
  <c r="FA166" i="50"/>
  <c r="ES168" i="50"/>
  <c r="EW169" i="50"/>
  <c r="FA170" i="50"/>
  <c r="FB170" i="50"/>
  <c r="EQ167" i="50"/>
  <c r="EU168" i="50"/>
  <c r="EY169" i="50"/>
  <c r="ES167" i="50"/>
  <c r="FA169" i="50"/>
  <c r="ER167" i="50"/>
  <c r="EV168" i="50"/>
  <c r="EZ169" i="50"/>
  <c r="EW168" i="50"/>
  <c r="EX168" i="50"/>
  <c r="ER165" i="50"/>
  <c r="ES165" i="50"/>
  <c r="ET165" i="50"/>
  <c r="EU165" i="50"/>
  <c r="EV165" i="50"/>
  <c r="EW165" i="50"/>
  <c r="EX165" i="50"/>
  <c r="EY165" i="50"/>
  <c r="EZ165" i="50"/>
  <c r="FA165" i="50"/>
  <c r="FB165" i="50"/>
  <c r="EQ165" i="50"/>
  <c r="EQ156" i="50"/>
  <c r="ER156" i="50"/>
  <c r="ES156" i="50"/>
  <c r="ET156" i="50"/>
  <c r="EU156" i="50"/>
  <c r="EV156" i="50"/>
  <c r="EZ156" i="50"/>
  <c r="EW156" i="50"/>
  <c r="EX156" i="50"/>
  <c r="EY156" i="50"/>
  <c r="FA156" i="50"/>
  <c r="FB156" i="50"/>
  <c r="EC166" i="50"/>
  <c r="EG167" i="50"/>
  <c r="EK168" i="50"/>
  <c r="EC170" i="50"/>
  <c r="EL168" i="50"/>
  <c r="EI167" i="50"/>
  <c r="ED166" i="50"/>
  <c r="EH167" i="50"/>
  <c r="ED170" i="50"/>
  <c r="EE166" i="50"/>
  <c r="EM168" i="50"/>
  <c r="EE170" i="50"/>
  <c r="EF166" i="50"/>
  <c r="EJ167" i="50"/>
  <c r="EN168" i="50"/>
  <c r="EF170" i="50"/>
  <c r="EG166" i="50"/>
  <c r="EK167" i="50"/>
  <c r="EC169" i="50"/>
  <c r="EG170" i="50"/>
  <c r="EH166" i="50"/>
  <c r="EL167" i="50"/>
  <c r="ED169" i="50"/>
  <c r="EH170" i="50"/>
  <c r="EI166" i="50"/>
  <c r="EM167" i="50"/>
  <c r="EE169" i="50"/>
  <c r="EI170" i="50"/>
  <c r="EJ166" i="50"/>
  <c r="EN167" i="50"/>
  <c r="EF169" i="50"/>
  <c r="EJ170" i="50"/>
  <c r="EK166" i="50"/>
  <c r="EC168" i="50"/>
  <c r="EG169" i="50"/>
  <c r="EK170" i="50"/>
  <c r="EH169" i="50"/>
  <c r="EL166" i="50"/>
  <c r="ED168" i="50"/>
  <c r="EL170" i="50"/>
  <c r="EM166" i="50"/>
  <c r="EE168" i="50"/>
  <c r="EI169" i="50"/>
  <c r="EM170" i="50"/>
  <c r="EN166" i="50"/>
  <c r="EF168" i="50"/>
  <c r="EJ169" i="50"/>
  <c r="EN170" i="50"/>
  <c r="EM169" i="50"/>
  <c r="EF167" i="50"/>
  <c r="EC167" i="50"/>
  <c r="EG168" i="50"/>
  <c r="EK169" i="50"/>
  <c r="EN169" i="50"/>
  <c r="ED167" i="50"/>
  <c r="EH168" i="50"/>
  <c r="EL169" i="50"/>
  <c r="EE167" i="50"/>
  <c r="EI168" i="50"/>
  <c r="EJ168" i="50"/>
  <c r="ED165" i="50"/>
  <c r="EF165" i="50"/>
  <c r="EE165" i="50"/>
  <c r="EI165" i="50"/>
  <c r="EJ165" i="50"/>
  <c r="EK165" i="50"/>
  <c r="EL165" i="50"/>
  <c r="EM165" i="50"/>
  <c r="EN165" i="50"/>
  <c r="EH165" i="50"/>
  <c r="EG165" i="50"/>
  <c r="EC165" i="50"/>
  <c r="EC156" i="50"/>
  <c r="ED156" i="50"/>
  <c r="EE156" i="50"/>
  <c r="EF156" i="50"/>
  <c r="EG156" i="50"/>
  <c r="EH156" i="50"/>
  <c r="EI156" i="50"/>
  <c r="EJ156" i="50"/>
  <c r="EK156" i="50"/>
  <c r="EL156" i="50"/>
  <c r="EM156" i="50"/>
  <c r="EN156" i="50"/>
  <c r="DW168" i="50"/>
  <c r="DX168" i="50"/>
  <c r="DY168" i="50"/>
  <c r="DV167" i="50"/>
  <c r="DZ168" i="50"/>
  <c r="DW167" i="50"/>
  <c r="DX167" i="50"/>
  <c r="DY167" i="50"/>
  <c r="DV166" i="50"/>
  <c r="DZ167" i="50"/>
  <c r="DV170" i="50"/>
  <c r="DW166" i="50"/>
  <c r="DW170" i="50"/>
  <c r="DY170" i="50"/>
  <c r="DX166" i="50"/>
  <c r="DX170" i="50"/>
  <c r="DX169" i="50"/>
  <c r="DY166" i="50"/>
  <c r="DZ166" i="50"/>
  <c r="DV169" i="50"/>
  <c r="DZ170" i="50"/>
  <c r="DW169" i="50"/>
  <c r="DY169" i="50"/>
  <c r="DV168" i="50"/>
  <c r="DZ169" i="50"/>
  <c r="DV165" i="50"/>
  <c r="DO156" i="50"/>
  <c r="DP156" i="50"/>
  <c r="DQ156" i="50"/>
  <c r="DT156" i="50"/>
  <c r="DV156" i="50"/>
  <c r="DW156" i="50"/>
  <c r="DX156" i="50"/>
  <c r="DY156" i="50"/>
  <c r="DZ156" i="50"/>
  <c r="DS156" i="50"/>
  <c r="DR156" i="50"/>
  <c r="DA156" i="50"/>
  <c r="DB156" i="50"/>
  <c r="DC156" i="50"/>
  <c r="DD156" i="50"/>
  <c r="DF156" i="50"/>
  <c r="DE156" i="50"/>
  <c r="DG156" i="50"/>
  <c r="DI156" i="50"/>
  <c r="DH156" i="50"/>
  <c r="DJ156" i="50"/>
  <c r="DK156" i="50"/>
  <c r="DL156" i="50"/>
  <c r="CM156" i="50"/>
  <c r="CN156" i="50"/>
  <c r="CO156" i="50"/>
  <c r="CP156" i="50"/>
  <c r="CQ156" i="50"/>
  <c r="CR156" i="50"/>
  <c r="CS156" i="50"/>
  <c r="CT156" i="50"/>
  <c r="CU156" i="50"/>
  <c r="CV156" i="50"/>
  <c r="CX156" i="50"/>
  <c r="CW156" i="50"/>
  <c r="BZ156" i="50"/>
  <c r="CA156" i="50"/>
  <c r="CD156" i="50"/>
  <c r="CB156" i="50"/>
  <c r="CC156" i="50"/>
  <c r="CE156" i="50"/>
  <c r="CF156" i="50"/>
  <c r="CG156" i="50"/>
  <c r="CH156" i="50"/>
  <c r="CI156" i="50"/>
  <c r="CJ156" i="50"/>
  <c r="BY156" i="50"/>
  <c r="BK156" i="50"/>
  <c r="BM156" i="50"/>
  <c r="BP156" i="50"/>
  <c r="BL156" i="50"/>
  <c r="BN156" i="50"/>
  <c r="BO156" i="50"/>
  <c r="BQ156" i="50"/>
  <c r="BR156" i="50"/>
  <c r="BS156" i="50"/>
  <c r="BT156" i="50"/>
  <c r="BV156" i="50"/>
  <c r="BU156" i="50"/>
  <c r="AW156" i="50"/>
  <c r="AX156" i="50"/>
  <c r="AY156" i="50"/>
  <c r="AZ156" i="50"/>
  <c r="BA156" i="50"/>
  <c r="BB156" i="50"/>
  <c r="BC156" i="50"/>
  <c r="BD156" i="50"/>
  <c r="BE156" i="50"/>
  <c r="BF156" i="50"/>
  <c r="BG156" i="50"/>
  <c r="BH156" i="50"/>
  <c r="AI156" i="50"/>
  <c r="AJ156" i="50"/>
  <c r="AK156" i="50"/>
  <c r="AL156" i="50"/>
  <c r="AM156" i="50"/>
  <c r="AQ156" i="50"/>
  <c r="AR156" i="50"/>
  <c r="AS156" i="50"/>
  <c r="AT156" i="50"/>
  <c r="AO156" i="50"/>
  <c r="AN156" i="50"/>
  <c r="AP156" i="50"/>
  <c r="U156" i="50"/>
  <c r="Z156" i="50"/>
  <c r="V156" i="50"/>
  <c r="W156" i="50"/>
  <c r="X156" i="50"/>
  <c r="Y156" i="50"/>
  <c r="AA156" i="50"/>
  <c r="AB156" i="50"/>
  <c r="AC156" i="50"/>
  <c r="AD156" i="50"/>
  <c r="AE156" i="50"/>
  <c r="AF156" i="50"/>
  <c r="P156" i="50"/>
  <c r="J167" i="50"/>
  <c r="J168" i="50"/>
  <c r="J169" i="50"/>
  <c r="J170" i="50"/>
  <c r="J166" i="50"/>
  <c r="J165" i="50"/>
  <c r="J156" i="50"/>
  <c r="G101" i="41"/>
  <c r="H101" i="41" s="1"/>
  <c r="G100" i="41"/>
  <c r="H100" i="41" s="1"/>
  <c r="K115" i="30" s="1"/>
  <c r="M115" i="30" s="1"/>
  <c r="O115" i="30" s="1"/>
  <c r="I117" i="50" s="1"/>
  <c r="G98" i="41"/>
  <c r="H98" i="41" s="1"/>
  <c r="K117" i="30" s="1"/>
  <c r="M117" i="30" s="1"/>
  <c r="O117" i="30" s="1"/>
  <c r="I119" i="50" s="1"/>
  <c r="G103" i="41"/>
  <c r="H103" i="41" s="1"/>
  <c r="K124" i="30" s="1"/>
  <c r="G99" i="41"/>
  <c r="H99" i="41" s="1"/>
  <c r="K116" i="30" s="1"/>
  <c r="M116" i="30" s="1"/>
  <c r="O116" i="30" s="1"/>
  <c r="I118" i="50" s="1"/>
  <c r="G102" i="41"/>
  <c r="H102" i="41" s="1"/>
  <c r="K33" i="30" s="1"/>
  <c r="G106" i="41"/>
  <c r="H106" i="41" s="1"/>
  <c r="G105" i="41"/>
  <c r="H105" i="41" s="1"/>
  <c r="K126" i="30" s="1"/>
  <c r="M126" i="30" s="1"/>
  <c r="O126" i="30" s="1"/>
  <c r="G104" i="41"/>
  <c r="H104" i="41" s="1"/>
  <c r="K125" i="30" s="1"/>
  <c r="M125" i="30" s="1"/>
  <c r="O125" i="30" s="1"/>
  <c r="G94" i="41"/>
  <c r="H94" i="41" s="1"/>
  <c r="K113" i="30" s="1"/>
  <c r="M113" i="30" s="1"/>
  <c r="O113" i="30" s="1"/>
  <c r="W94" i="41" s="1"/>
  <c r="G109" i="41"/>
  <c r="H109" i="41" s="1"/>
  <c r="G95" i="41"/>
  <c r="H95" i="41" s="1"/>
  <c r="K121" i="30" s="1"/>
  <c r="G93" i="41"/>
  <c r="H93" i="41" s="1"/>
  <c r="K112" i="30" s="1"/>
  <c r="M112" i="30" s="1"/>
  <c r="O112" i="30" s="1"/>
  <c r="I114" i="50" s="1"/>
  <c r="G96" i="41"/>
  <c r="H96" i="41" s="1"/>
  <c r="K118" i="30" s="1"/>
  <c r="M118" i="30" s="1"/>
  <c r="O118" i="30" s="1"/>
  <c r="G91" i="41"/>
  <c r="H91" i="41" s="1"/>
  <c r="G92" i="41"/>
  <c r="H92" i="41" s="1"/>
  <c r="K111" i="30" s="1"/>
  <c r="M111" i="30" s="1"/>
  <c r="O111" i="30" s="1"/>
  <c r="I113" i="50" s="1"/>
  <c r="G88" i="41"/>
  <c r="H88" i="41" s="1"/>
  <c r="K107" i="30" s="1"/>
  <c r="M107" i="30" s="1"/>
  <c r="O107" i="30" s="1"/>
  <c r="G90" i="41"/>
  <c r="H90" i="41" s="1"/>
  <c r="K109" i="30" s="1"/>
  <c r="M109" i="30" s="1"/>
  <c r="O109" i="30" s="1"/>
  <c r="I111" i="50" s="1"/>
  <c r="G86" i="41"/>
  <c r="H86" i="41" s="1"/>
  <c r="G85" i="41"/>
  <c r="H85" i="41" s="1"/>
  <c r="K105" i="30" s="1"/>
  <c r="G84" i="41"/>
  <c r="H84" i="41" s="1"/>
  <c r="K106" i="30" s="1"/>
  <c r="G89" i="41"/>
  <c r="H89" i="41" s="1"/>
  <c r="Q156" i="50"/>
  <c r="G81" i="41"/>
  <c r="H81" i="41" s="1"/>
  <c r="K100" i="30" s="1"/>
  <c r="G80" i="41"/>
  <c r="H80" i="41" s="1"/>
  <c r="K99" i="30" s="1"/>
  <c r="G79" i="41"/>
  <c r="H79" i="41" s="1"/>
  <c r="G78" i="41"/>
  <c r="H78" i="41" s="1"/>
  <c r="K98" i="30" s="1"/>
  <c r="M98" i="30" s="1"/>
  <c r="O98" i="30" s="1"/>
  <c r="I100" i="50" s="1"/>
  <c r="G83" i="41"/>
  <c r="H83" i="41" s="1"/>
  <c r="K102" i="30" s="1"/>
  <c r="M102" i="30" s="1"/>
  <c r="O102" i="30" s="1"/>
  <c r="G82" i="41"/>
  <c r="H82" i="41" s="1"/>
  <c r="K101" i="30" s="1"/>
  <c r="M101" i="30" s="1"/>
  <c r="O101" i="30" s="1"/>
  <c r="G97" i="41"/>
  <c r="H97" i="41" s="1"/>
  <c r="G87" i="41"/>
  <c r="H87" i="41" s="1"/>
  <c r="K103" i="30" s="1"/>
  <c r="M103" i="30" s="1"/>
  <c r="O103" i="30" s="1"/>
  <c r="G76" i="41"/>
  <c r="H76" i="41" s="1"/>
  <c r="G75" i="41"/>
  <c r="H75" i="41" s="1"/>
  <c r="K30" i="30" s="1"/>
  <c r="G73" i="41"/>
  <c r="H73" i="41" s="1"/>
  <c r="K83" i="30" s="1"/>
  <c r="M83" i="30" s="1"/>
  <c r="O83" i="30" s="1"/>
  <c r="P83" i="30" s="1"/>
  <c r="G77" i="41"/>
  <c r="H77" i="41" s="1"/>
  <c r="K120" i="30" s="1"/>
  <c r="G72" i="41"/>
  <c r="H72" i="41" s="1"/>
  <c r="G71" i="41"/>
  <c r="H71" i="41" s="1"/>
  <c r="K94" i="30" s="1"/>
  <c r="G70" i="41"/>
  <c r="H70" i="41" s="1"/>
  <c r="K93" i="30" s="1"/>
  <c r="G63" i="41"/>
  <c r="H63" i="41" s="1"/>
  <c r="K87" i="30" s="1"/>
  <c r="M87" i="30" s="1"/>
  <c r="O87" i="30" s="1"/>
  <c r="G64" i="41"/>
  <c r="H64" i="41" s="1"/>
  <c r="G65" i="41"/>
  <c r="H65" i="41" s="1"/>
  <c r="G66" i="41"/>
  <c r="H66" i="41" s="1"/>
  <c r="K84" i="30" s="1"/>
  <c r="G69" i="41"/>
  <c r="H69" i="41" s="1"/>
  <c r="G68" i="41"/>
  <c r="H68" i="41" s="1"/>
  <c r="K89" i="30" s="1"/>
  <c r="G67" i="41"/>
  <c r="H67" i="41" s="1"/>
  <c r="K90" i="30" s="1"/>
  <c r="M90" i="30" s="1"/>
  <c r="O90" i="30" s="1"/>
  <c r="W67" i="41" s="1"/>
  <c r="G56" i="41"/>
  <c r="H56" i="41" s="1"/>
  <c r="K76" i="30" s="1"/>
  <c r="M76" i="30" s="1"/>
  <c r="O76" i="30" s="1"/>
  <c r="W56" i="41" s="1"/>
  <c r="G57" i="41"/>
  <c r="H57" i="41" s="1"/>
  <c r="K78" i="30" s="1"/>
  <c r="G58" i="41"/>
  <c r="H58" i="41" s="1"/>
  <c r="G59" i="41"/>
  <c r="H59" i="41" s="1"/>
  <c r="K22" i="30" s="1"/>
  <c r="G61" i="41"/>
  <c r="H61" i="41" s="1"/>
  <c r="K81" i="30" s="1"/>
  <c r="G60" i="41"/>
  <c r="H60" i="41" s="1"/>
  <c r="K80" i="30" s="1"/>
  <c r="F11" i="46"/>
  <c r="G62" i="41"/>
  <c r="H62" i="41" s="1"/>
  <c r="K82" i="30" s="1"/>
  <c r="M82" i="30" s="1"/>
  <c r="O82" i="30" s="1"/>
  <c r="G11" i="46"/>
  <c r="G7" i="41"/>
  <c r="H7" i="41" s="1"/>
  <c r="G13" i="41"/>
  <c r="H13" i="41" s="1"/>
  <c r="K12" i="30" s="1"/>
  <c r="G25" i="41"/>
  <c r="H25" i="41" s="1"/>
  <c r="K47" i="30" s="1"/>
  <c r="G37" i="41"/>
  <c r="H37" i="41" s="1"/>
  <c r="K58" i="30" s="1"/>
  <c r="G12" i="41"/>
  <c r="H12" i="41" s="1"/>
  <c r="K11" i="30" s="1"/>
  <c r="G14" i="41"/>
  <c r="G20" i="41"/>
  <c r="H20" i="41" s="1"/>
  <c r="G26" i="41"/>
  <c r="H26" i="41" s="1"/>
  <c r="K7" i="30" s="1"/>
  <c r="G38" i="41"/>
  <c r="H38" i="41" s="1"/>
  <c r="K61" i="30" s="1"/>
  <c r="G50" i="41"/>
  <c r="H50" i="41" s="1"/>
  <c r="G30" i="41"/>
  <c r="H30" i="41" s="1"/>
  <c r="K21" i="30" s="1"/>
  <c r="G9" i="41"/>
  <c r="H9" i="41" s="1"/>
  <c r="K24" i="30" s="1"/>
  <c r="G21" i="41"/>
  <c r="H21" i="41" s="1"/>
  <c r="K16" i="30" s="1"/>
  <c r="G27" i="41"/>
  <c r="H27" i="41" s="1"/>
  <c r="K48" i="30" s="1"/>
  <c r="G33" i="41"/>
  <c r="H33" i="41" s="1"/>
  <c r="K53" i="30" s="1"/>
  <c r="G6" i="41"/>
  <c r="H6" i="41" s="1"/>
  <c r="G18" i="41"/>
  <c r="H18" i="41" s="1"/>
  <c r="K36" i="30" s="1"/>
  <c r="G36" i="41"/>
  <c r="H36" i="41" s="1"/>
  <c r="K60" i="30" s="1"/>
  <c r="G16" i="41"/>
  <c r="H16" i="41" s="1"/>
  <c r="K39" i="30" s="1"/>
  <c r="G28" i="41"/>
  <c r="H28" i="41" s="1"/>
  <c r="K49" i="30" s="1"/>
  <c r="G34" i="41"/>
  <c r="H34" i="41" s="1"/>
  <c r="K54" i="30" s="1"/>
  <c r="G40" i="41"/>
  <c r="H40" i="41" s="1"/>
  <c r="K56" i="30" s="1"/>
  <c r="G17" i="41"/>
  <c r="H17" i="41" s="1"/>
  <c r="K38" i="30" s="1"/>
  <c r="G23" i="41"/>
  <c r="H23" i="41" s="1"/>
  <c r="K15" i="30" s="1"/>
  <c r="G29" i="41"/>
  <c r="H29" i="41" s="1"/>
  <c r="K50" i="30" s="1"/>
  <c r="G24" i="41"/>
  <c r="H24" i="41" s="1"/>
  <c r="K43" i="30" s="1"/>
  <c r="C11" i="46"/>
  <c r="K11" i="46" s="1"/>
  <c r="E6" i="46"/>
  <c r="F6" i="46"/>
  <c r="AK143" i="50"/>
  <c r="J108" i="41" l="1"/>
  <c r="K129" i="30"/>
  <c r="P128" i="30"/>
  <c r="W107" i="41"/>
  <c r="I130" i="50"/>
  <c r="K130" i="50" s="1"/>
  <c r="L108" i="41"/>
  <c r="J107" i="41"/>
  <c r="L107" i="41"/>
  <c r="L106" i="41"/>
  <c r="K127" i="30"/>
  <c r="P126" i="30"/>
  <c r="W105" i="41"/>
  <c r="I128" i="50"/>
  <c r="K128" i="50" s="1"/>
  <c r="P125" i="30"/>
  <c r="W104" i="41"/>
  <c r="I127" i="50"/>
  <c r="K127" i="50" s="1"/>
  <c r="M124" i="30"/>
  <c r="O124" i="30" s="1"/>
  <c r="P124" i="30" s="1"/>
  <c r="M33" i="30"/>
  <c r="O33" i="30" s="1"/>
  <c r="P33" i="30" s="1"/>
  <c r="J101" i="41"/>
  <c r="K122" i="30"/>
  <c r="M122" i="30" s="1"/>
  <c r="O122" i="30" s="1"/>
  <c r="K114" i="50"/>
  <c r="K118" i="50"/>
  <c r="K119" i="50"/>
  <c r="K117" i="50"/>
  <c r="M120" i="30"/>
  <c r="O120" i="30" s="1"/>
  <c r="J97" i="41"/>
  <c r="K119" i="30"/>
  <c r="M119" i="30" s="1"/>
  <c r="O119" i="30" s="1"/>
  <c r="I121" i="50" s="1"/>
  <c r="P118" i="30"/>
  <c r="W96" i="41"/>
  <c r="P117" i="30"/>
  <c r="W98" i="41"/>
  <c r="P116" i="30"/>
  <c r="W99" i="41"/>
  <c r="P115" i="30"/>
  <c r="W100" i="41"/>
  <c r="L101" i="41"/>
  <c r="J100" i="41"/>
  <c r="L100" i="41"/>
  <c r="M121" i="30"/>
  <c r="O121" i="30" s="1"/>
  <c r="J106" i="41"/>
  <c r="J102" i="41"/>
  <c r="L102" i="41"/>
  <c r="J99" i="41"/>
  <c r="L99" i="41"/>
  <c r="J103" i="41"/>
  <c r="L103" i="41"/>
  <c r="J98" i="41"/>
  <c r="L98" i="41"/>
  <c r="L104" i="41"/>
  <c r="J104" i="41"/>
  <c r="J105" i="41"/>
  <c r="L105" i="41"/>
  <c r="J94" i="41"/>
  <c r="L94" i="41"/>
  <c r="J109" i="41"/>
  <c r="L109" i="41"/>
  <c r="P113" i="30"/>
  <c r="L95" i="41"/>
  <c r="J95" i="41"/>
  <c r="I115" i="50"/>
  <c r="G41" i="41"/>
  <c r="H41" i="41" s="1"/>
  <c r="L93" i="41"/>
  <c r="J93" i="41"/>
  <c r="W93" i="41"/>
  <c r="P112" i="30"/>
  <c r="J96" i="41"/>
  <c r="L96" i="41"/>
  <c r="K113" i="50"/>
  <c r="K111" i="50"/>
  <c r="P111" i="30"/>
  <c r="W92" i="41"/>
  <c r="J91" i="41"/>
  <c r="K110" i="30"/>
  <c r="M110" i="30" s="1"/>
  <c r="O110" i="30" s="1"/>
  <c r="I112" i="50" s="1"/>
  <c r="P109" i="30"/>
  <c r="W90" i="41"/>
  <c r="W88" i="41"/>
  <c r="I109" i="50"/>
  <c r="L91" i="41"/>
  <c r="L92" i="41"/>
  <c r="J92" i="41"/>
  <c r="L88" i="41"/>
  <c r="J88" i="41"/>
  <c r="P107" i="30"/>
  <c r="J90" i="41"/>
  <c r="L90" i="41"/>
  <c r="L89" i="41"/>
  <c r="K108" i="30"/>
  <c r="M108" i="30" s="1"/>
  <c r="O108" i="30" s="1"/>
  <c r="I110" i="50" s="1"/>
  <c r="M106" i="30"/>
  <c r="O106" i="30" s="1"/>
  <c r="W84" i="41" s="1"/>
  <c r="M105" i="30"/>
  <c r="O105" i="30" s="1"/>
  <c r="W85" i="41" s="1"/>
  <c r="L86" i="41"/>
  <c r="K104" i="30"/>
  <c r="P103" i="30"/>
  <c r="W87" i="41"/>
  <c r="I105" i="50"/>
  <c r="K105" i="50" s="1"/>
  <c r="I104" i="50"/>
  <c r="J86" i="41"/>
  <c r="J84" i="41"/>
  <c r="L84" i="41"/>
  <c r="J85" i="41"/>
  <c r="L85" i="41"/>
  <c r="J89" i="41"/>
  <c r="FC170" i="50"/>
  <c r="FC169" i="50"/>
  <c r="FC168" i="50"/>
  <c r="FC167" i="50"/>
  <c r="FC166" i="50"/>
  <c r="AG156" i="50"/>
  <c r="P102" i="30"/>
  <c r="W83" i="41"/>
  <c r="P101" i="30"/>
  <c r="W82" i="41"/>
  <c r="I103" i="50"/>
  <c r="K103" i="50" s="1"/>
  <c r="M100" i="30"/>
  <c r="O100" i="30" s="1"/>
  <c r="P100" i="30" s="1"/>
  <c r="EO168" i="50"/>
  <c r="M99" i="30"/>
  <c r="O99" i="30" s="1"/>
  <c r="P99" i="30" s="1"/>
  <c r="DM156" i="50"/>
  <c r="K100" i="50"/>
  <c r="P98" i="30"/>
  <c r="W78" i="41"/>
  <c r="J78" i="41"/>
  <c r="L78" i="41"/>
  <c r="J79" i="41"/>
  <c r="L79" i="41"/>
  <c r="J80" i="41"/>
  <c r="L80" i="41"/>
  <c r="J81" i="41"/>
  <c r="L81" i="41"/>
  <c r="J82" i="41"/>
  <c r="L82" i="41"/>
  <c r="J83" i="41"/>
  <c r="L83" i="41"/>
  <c r="L97" i="41"/>
  <c r="J87" i="41"/>
  <c r="L87" i="41"/>
  <c r="K96" i="30"/>
  <c r="M96" i="30" s="1"/>
  <c r="O96" i="30" s="1"/>
  <c r="I98" i="50" s="1"/>
  <c r="K85" i="30"/>
  <c r="J76" i="41"/>
  <c r="K95" i="30"/>
  <c r="M95" i="30" s="1"/>
  <c r="O95" i="30" s="1"/>
  <c r="M30" i="30"/>
  <c r="O30" i="30" s="1"/>
  <c r="L73" i="41"/>
  <c r="L76" i="41"/>
  <c r="L75" i="41"/>
  <c r="J75" i="41"/>
  <c r="J73" i="41"/>
  <c r="J77" i="41"/>
  <c r="L77" i="41"/>
  <c r="I85" i="50"/>
  <c r="K85" i="50" s="1"/>
  <c r="W73" i="41"/>
  <c r="K64" i="30"/>
  <c r="M64" i="30" s="1"/>
  <c r="O64" i="30" s="1"/>
  <c r="I66" i="50" s="1"/>
  <c r="K66" i="50" s="1"/>
  <c r="I84" i="50"/>
  <c r="K84" i="50" s="1"/>
  <c r="W62" i="41"/>
  <c r="I89" i="50"/>
  <c r="K89" i="50" s="1"/>
  <c r="W63" i="41"/>
  <c r="J72" i="41"/>
  <c r="K97" i="30"/>
  <c r="M97" i="30" s="1"/>
  <c r="O97" i="30" s="1"/>
  <c r="M94" i="30"/>
  <c r="O94" i="30" s="1"/>
  <c r="M93" i="30"/>
  <c r="O93" i="30" s="1"/>
  <c r="L72" i="41"/>
  <c r="J70" i="41"/>
  <c r="L70" i="41"/>
  <c r="J71" i="41"/>
  <c r="L71" i="41"/>
  <c r="J69" i="41"/>
  <c r="K91" i="30"/>
  <c r="M91" i="30" s="1"/>
  <c r="O91" i="30" s="1"/>
  <c r="W69" i="41" s="1"/>
  <c r="I78" i="50"/>
  <c r="K78" i="50" s="1"/>
  <c r="P90" i="30"/>
  <c r="M89" i="30"/>
  <c r="O89" i="30" s="1"/>
  <c r="W68" i="41" s="1"/>
  <c r="K79" i="30"/>
  <c r="M79" i="30" s="1"/>
  <c r="O79" i="30" s="1"/>
  <c r="W58" i="41" s="1"/>
  <c r="M84" i="30"/>
  <c r="O84" i="30" s="1"/>
  <c r="W66" i="41" s="1"/>
  <c r="K88" i="30"/>
  <c r="M88" i="30" s="1"/>
  <c r="O88" i="30" s="1"/>
  <c r="W65" i="41" s="1"/>
  <c r="K86" i="30"/>
  <c r="P87" i="30"/>
  <c r="P82" i="30"/>
  <c r="L69" i="41"/>
  <c r="J66" i="41"/>
  <c r="L66" i="41"/>
  <c r="J65" i="41"/>
  <c r="L65" i="41"/>
  <c r="L64" i="41"/>
  <c r="J64" i="41"/>
  <c r="J63" i="41"/>
  <c r="L63" i="41"/>
  <c r="J67" i="41"/>
  <c r="L67" i="41"/>
  <c r="J68" i="41"/>
  <c r="L68" i="41"/>
  <c r="M81" i="30"/>
  <c r="O81" i="30" s="1"/>
  <c r="M80" i="30"/>
  <c r="O80" i="30" s="1"/>
  <c r="M22" i="30"/>
  <c r="O22" i="30" s="1"/>
  <c r="W59" i="41" s="1"/>
  <c r="M78" i="30"/>
  <c r="O78" i="30" s="1"/>
  <c r="P76" i="30"/>
  <c r="J59" i="41"/>
  <c r="L59" i="41"/>
  <c r="J58" i="41"/>
  <c r="L58" i="41"/>
  <c r="J57" i="41"/>
  <c r="L57" i="41"/>
  <c r="J56" i="41"/>
  <c r="L56" i="41"/>
  <c r="J60" i="41"/>
  <c r="L60" i="41"/>
  <c r="J61" i="41"/>
  <c r="L61" i="41"/>
  <c r="J62" i="41"/>
  <c r="L62" i="41"/>
  <c r="K71" i="30"/>
  <c r="M71" i="30" s="1"/>
  <c r="O71" i="30" s="1"/>
  <c r="H14" i="41"/>
  <c r="K35" i="30" s="1"/>
  <c r="M35" i="30" s="1"/>
  <c r="O35" i="30" s="1"/>
  <c r="N27" i="72"/>
  <c r="C8" i="37"/>
  <c r="E8" i="37" s="1"/>
  <c r="F7" i="46"/>
  <c r="E8" i="46"/>
  <c r="M43" i="30"/>
  <c r="O43" i="30" s="1"/>
  <c r="W24" i="41" s="1"/>
  <c r="M56" i="30"/>
  <c r="O56" i="30" s="1"/>
  <c r="M60" i="30"/>
  <c r="O60" i="30" s="1"/>
  <c r="M48" i="30"/>
  <c r="O48" i="30" s="1"/>
  <c r="M12" i="30"/>
  <c r="O12" i="30" s="1"/>
  <c r="M50" i="30"/>
  <c r="O50" i="30" s="1"/>
  <c r="M54" i="30"/>
  <c r="O54" i="30" s="1"/>
  <c r="M36" i="30"/>
  <c r="O36" i="30" s="1"/>
  <c r="W18" i="41" s="1"/>
  <c r="M16" i="30"/>
  <c r="O16" i="30" s="1"/>
  <c r="M61" i="30"/>
  <c r="O61" i="30" s="1"/>
  <c r="M11" i="30"/>
  <c r="O11" i="30" s="1"/>
  <c r="K6" i="30"/>
  <c r="K8" i="30"/>
  <c r="C6" i="37"/>
  <c r="E6" i="37" s="1"/>
  <c r="E7" i="46"/>
  <c r="F8" i="46"/>
  <c r="M15" i="30"/>
  <c r="O15" i="30" s="1"/>
  <c r="M49" i="30"/>
  <c r="O49" i="30" s="1"/>
  <c r="M24" i="30"/>
  <c r="O24" i="30" s="1"/>
  <c r="M7" i="30"/>
  <c r="O7" i="30" s="1"/>
  <c r="M58" i="30"/>
  <c r="O58" i="30" s="1"/>
  <c r="W37" i="41" s="1"/>
  <c r="M38" i="30"/>
  <c r="O38" i="30" s="1"/>
  <c r="W17" i="41" s="1"/>
  <c r="M39" i="30"/>
  <c r="O39" i="30" s="1"/>
  <c r="M53" i="30"/>
  <c r="O53" i="30" s="1"/>
  <c r="M21" i="30"/>
  <c r="O21" i="30" s="1"/>
  <c r="M47" i="30"/>
  <c r="O47" i="30" s="1"/>
  <c r="G49" i="41"/>
  <c r="H49" i="41" s="1"/>
  <c r="G42" i="41"/>
  <c r="H42" i="41" s="1"/>
  <c r="G74" i="41"/>
  <c r="H74" i="41" s="1"/>
  <c r="G43" i="41"/>
  <c r="H43" i="41" s="1"/>
  <c r="G53" i="41"/>
  <c r="H53" i="41" s="1"/>
  <c r="G52" i="41"/>
  <c r="H52" i="41" s="1"/>
  <c r="K67" i="30" s="1"/>
  <c r="G45" i="41"/>
  <c r="H45" i="41" s="1"/>
  <c r="K65" i="30" s="1"/>
  <c r="M65" i="30" s="1"/>
  <c r="O65" i="30" s="1"/>
  <c r="Y41" i="5"/>
  <c r="Y15" i="5"/>
  <c r="D21" i="75" s="1"/>
  <c r="Y21" i="5"/>
  <c r="Y10" i="5"/>
  <c r="Y12" i="5"/>
  <c r="Y43" i="5"/>
  <c r="Y53" i="5"/>
  <c r="Y31" i="5"/>
  <c r="Y16" i="5"/>
  <c r="Y25" i="5"/>
  <c r="Y34" i="5"/>
  <c r="Y37" i="5"/>
  <c r="Y50" i="5"/>
  <c r="Y20" i="5"/>
  <c r="Y8" i="5"/>
  <c r="Y13" i="5"/>
  <c r="Y61" i="5"/>
  <c r="Y27" i="5"/>
  <c r="Y49" i="5"/>
  <c r="Y66" i="5"/>
  <c r="Y57" i="5"/>
  <c r="Y62" i="5"/>
  <c r="Y22" i="5"/>
  <c r="Y9" i="5"/>
  <c r="Y52" i="5"/>
  <c r="Y58" i="5"/>
  <c r="Y7" i="5"/>
  <c r="Y40" i="5"/>
  <c r="Y24" i="5"/>
  <c r="Y42" i="5"/>
  <c r="Y39" i="5"/>
  <c r="Y29" i="5"/>
  <c r="Y48" i="5"/>
  <c r="Y26" i="5"/>
  <c r="Y11" i="5"/>
  <c r="Y47" i="5"/>
  <c r="Y18" i="5"/>
  <c r="Y38" i="5"/>
  <c r="Y19" i="5"/>
  <c r="Y56" i="5"/>
  <c r="Y45" i="5"/>
  <c r="Y14" i="5"/>
  <c r="Y64" i="5"/>
  <c r="Y55" i="5"/>
  <c r="Y63" i="5"/>
  <c r="Y35" i="5"/>
  <c r="Y28" i="5"/>
  <c r="Y65" i="5"/>
  <c r="Y32" i="5"/>
  <c r="Y60" i="5"/>
  <c r="Y54" i="5"/>
  <c r="Y36" i="5"/>
  <c r="Y33" i="5"/>
  <c r="Y44" i="5"/>
  <c r="Y59" i="5"/>
  <c r="Y51" i="5"/>
  <c r="Y30" i="5"/>
  <c r="Y46" i="5"/>
  <c r="Y23" i="5"/>
  <c r="Y17" i="5"/>
  <c r="G8" i="41"/>
  <c r="H8" i="41" s="1"/>
  <c r="G35" i="41"/>
  <c r="H35" i="41" s="1"/>
  <c r="K59" i="30" s="1"/>
  <c r="G46" i="41"/>
  <c r="H46" i="41" s="1"/>
  <c r="G10" i="41"/>
  <c r="H10" i="41" s="1"/>
  <c r="G39" i="41"/>
  <c r="H39" i="41" s="1"/>
  <c r="K62" i="30" s="1"/>
  <c r="G54" i="41"/>
  <c r="H54" i="41" s="1"/>
  <c r="G32" i="41"/>
  <c r="H32" i="41" s="1"/>
  <c r="K52" i="30" s="1"/>
  <c r="G55" i="41"/>
  <c r="H55" i="41" s="1"/>
  <c r="G19" i="41"/>
  <c r="H19" i="41" s="1"/>
  <c r="K26" i="30" s="1"/>
  <c r="G47" i="41"/>
  <c r="H47" i="41" s="1"/>
  <c r="K18" i="30" s="1"/>
  <c r="G11" i="41"/>
  <c r="H11" i="41" s="1"/>
  <c r="K10" i="30" s="1"/>
  <c r="G22" i="41"/>
  <c r="H22" i="41" s="1"/>
  <c r="K25" i="30" s="1"/>
  <c r="G51" i="41"/>
  <c r="H51" i="41" s="1"/>
  <c r="G15" i="41"/>
  <c r="H15" i="41" s="1"/>
  <c r="K13" i="30" s="1"/>
  <c r="G44" i="41"/>
  <c r="H44" i="41" s="1"/>
  <c r="G48" i="41"/>
  <c r="H48" i="41" s="1"/>
  <c r="G31" i="41"/>
  <c r="H31" i="41" s="1"/>
  <c r="K51" i="30" s="1"/>
  <c r="J6" i="41"/>
  <c r="L6" i="41"/>
  <c r="F160" i="46"/>
  <c r="F159" i="46"/>
  <c r="J9" i="41"/>
  <c r="L9" i="41"/>
  <c r="AL143" i="50"/>
  <c r="M129" i="30" l="1"/>
  <c r="O129" i="30" s="1"/>
  <c r="P129" i="30" s="1"/>
  <c r="M127" i="30"/>
  <c r="O127" i="30" s="1"/>
  <c r="P127" i="30" s="1"/>
  <c r="I126" i="50"/>
  <c r="W103" i="41"/>
  <c r="W102" i="41"/>
  <c r="I35" i="50"/>
  <c r="K35" i="50" s="1"/>
  <c r="P122" i="30"/>
  <c r="I124" i="50"/>
  <c r="K124" i="50" s="1"/>
  <c r="K121" i="50"/>
  <c r="I123" i="50"/>
  <c r="P120" i="30"/>
  <c r="I122" i="50"/>
  <c r="P119" i="30"/>
  <c r="W97" i="41"/>
  <c r="P121" i="30"/>
  <c r="I120" i="50"/>
  <c r="W95" i="41"/>
  <c r="K112" i="50"/>
  <c r="W23" i="41"/>
  <c r="P110" i="30"/>
  <c r="W91" i="41"/>
  <c r="K110" i="50"/>
  <c r="K109" i="50"/>
  <c r="P108" i="30"/>
  <c r="W89" i="41"/>
  <c r="I108" i="50"/>
  <c r="K108" i="50" s="1"/>
  <c r="I107" i="50"/>
  <c r="K107" i="50" s="1"/>
  <c r="P106" i="30"/>
  <c r="P105" i="30"/>
  <c r="M104" i="30"/>
  <c r="O104" i="30" s="1"/>
  <c r="K104" i="50"/>
  <c r="W81" i="41"/>
  <c r="I102" i="50"/>
  <c r="K102" i="50" s="1"/>
  <c r="P30" i="30"/>
  <c r="W80" i="41"/>
  <c r="I101" i="50"/>
  <c r="K101" i="50" s="1"/>
  <c r="W72" i="41"/>
  <c r="I99" i="50"/>
  <c r="K98" i="50"/>
  <c r="P96" i="30"/>
  <c r="W79" i="41"/>
  <c r="M85" i="30"/>
  <c r="O85" i="30" s="1"/>
  <c r="P85" i="30" s="1"/>
  <c r="P95" i="30"/>
  <c r="W76" i="41"/>
  <c r="W75" i="41"/>
  <c r="I32" i="50"/>
  <c r="K32" i="50" s="1"/>
  <c r="D24" i="75"/>
  <c r="G21" i="75"/>
  <c r="F21" i="75" s="1"/>
  <c r="P7" i="30"/>
  <c r="W26" i="41"/>
  <c r="P48" i="30"/>
  <c r="W27" i="41"/>
  <c r="I95" i="50"/>
  <c r="K95" i="50" s="1"/>
  <c r="W70" i="41"/>
  <c r="P24" i="30"/>
  <c r="W9" i="41"/>
  <c r="P11" i="30"/>
  <c r="W12" i="41"/>
  <c r="P60" i="30"/>
  <c r="W36" i="41"/>
  <c r="P35" i="30"/>
  <c r="W14" i="41"/>
  <c r="P94" i="30"/>
  <c r="W71" i="41"/>
  <c r="P47" i="30"/>
  <c r="W25" i="41"/>
  <c r="P49" i="30"/>
  <c r="W28" i="41"/>
  <c r="I63" i="50"/>
  <c r="K63" i="50" s="1"/>
  <c r="W38" i="41"/>
  <c r="P56" i="30"/>
  <c r="W40" i="41"/>
  <c r="I73" i="50"/>
  <c r="K73" i="50" s="1"/>
  <c r="W50" i="41"/>
  <c r="I67" i="50"/>
  <c r="K67" i="50" s="1"/>
  <c r="W45" i="41"/>
  <c r="P21" i="30"/>
  <c r="W30" i="41"/>
  <c r="P16" i="30"/>
  <c r="W21" i="41"/>
  <c r="I80" i="50"/>
  <c r="K80" i="50" s="1"/>
  <c r="W57" i="41"/>
  <c r="P53" i="30"/>
  <c r="W33" i="41"/>
  <c r="P39" i="30"/>
  <c r="W16" i="41"/>
  <c r="P54" i="30"/>
  <c r="W34" i="41"/>
  <c r="I82" i="50"/>
  <c r="K82" i="50" s="1"/>
  <c r="W60" i="41"/>
  <c r="P50" i="30"/>
  <c r="W29" i="41"/>
  <c r="I83" i="50"/>
  <c r="K83" i="50" s="1"/>
  <c r="W61" i="41"/>
  <c r="P12" i="30"/>
  <c r="W13" i="41"/>
  <c r="K92" i="30"/>
  <c r="P97" i="30"/>
  <c r="I97" i="50"/>
  <c r="K97" i="50" s="1"/>
  <c r="I96" i="50"/>
  <c r="K96" i="50" s="1"/>
  <c r="V21" i="5"/>
  <c r="W21" i="5" s="1"/>
  <c r="P93" i="30"/>
  <c r="P91" i="30"/>
  <c r="I91" i="50"/>
  <c r="K91" i="50" s="1"/>
  <c r="I92" i="50"/>
  <c r="K92" i="50" s="1"/>
  <c r="I93" i="50"/>
  <c r="K93" i="50" s="1"/>
  <c r="I90" i="50"/>
  <c r="K90" i="50" s="1"/>
  <c r="P84" i="30"/>
  <c r="I86" i="50"/>
  <c r="K86" i="50" s="1"/>
  <c r="I81" i="50"/>
  <c r="K81" i="50" s="1"/>
  <c r="P89" i="30"/>
  <c r="P79" i="30"/>
  <c r="P88" i="30"/>
  <c r="M86" i="30"/>
  <c r="O86" i="30" s="1"/>
  <c r="W64" i="41" s="1"/>
  <c r="I24" i="50"/>
  <c r="K24" i="50" s="1"/>
  <c r="P81" i="30"/>
  <c r="P80" i="30"/>
  <c r="P22" i="30"/>
  <c r="P78" i="30"/>
  <c r="P64" i="30"/>
  <c r="K77" i="30"/>
  <c r="K75" i="30"/>
  <c r="M75" i="30" s="1"/>
  <c r="O75" i="30" s="1"/>
  <c r="K74" i="30"/>
  <c r="M74" i="30" s="1"/>
  <c r="O74" i="30" s="1"/>
  <c r="K73" i="30"/>
  <c r="M67" i="30"/>
  <c r="O67" i="30" s="1"/>
  <c r="P71" i="30"/>
  <c r="K70" i="30"/>
  <c r="M70" i="30" s="1"/>
  <c r="O70" i="30" s="1"/>
  <c r="K69" i="30"/>
  <c r="M69" i="30" s="1"/>
  <c r="O69" i="30" s="1"/>
  <c r="W48" i="41" s="1"/>
  <c r="K68" i="30"/>
  <c r="M68" i="30" s="1"/>
  <c r="O68" i="30" s="1"/>
  <c r="M18" i="30"/>
  <c r="O18" i="30" s="1"/>
  <c r="K66" i="30"/>
  <c r="M66" i="30" s="1"/>
  <c r="O66" i="30" s="1"/>
  <c r="P65" i="30"/>
  <c r="AR3" i="66"/>
  <c r="AR6" i="66"/>
  <c r="AR7" i="66"/>
  <c r="AR4" i="66"/>
  <c r="AR5" i="66"/>
  <c r="C9" i="72"/>
  <c r="L27" i="72" s="1"/>
  <c r="K23" i="30"/>
  <c r="M6" i="30"/>
  <c r="C9" i="37"/>
  <c r="E9" i="37" s="1"/>
  <c r="K63" i="30"/>
  <c r="M63" i="30" s="1"/>
  <c r="K17" i="30"/>
  <c r="M26" i="30"/>
  <c r="O26" i="30" s="1"/>
  <c r="M13" i="30"/>
  <c r="O13" i="30" s="1"/>
  <c r="M59" i="30"/>
  <c r="O59" i="30" s="1"/>
  <c r="I41" i="50"/>
  <c r="K41" i="50" s="1"/>
  <c r="I51" i="50"/>
  <c r="K51" i="50" s="1"/>
  <c r="V14" i="5"/>
  <c r="W14" i="5" s="1"/>
  <c r="I14" i="50"/>
  <c r="K14" i="50" s="1"/>
  <c r="I40" i="50"/>
  <c r="K40" i="50" s="1"/>
  <c r="I60" i="50"/>
  <c r="K60" i="50" s="1"/>
  <c r="I17" i="50"/>
  <c r="K17" i="50" s="1"/>
  <c r="I13" i="50"/>
  <c r="K13" i="50" s="1"/>
  <c r="I18" i="50"/>
  <c r="K18" i="50" s="1"/>
  <c r="I56" i="50"/>
  <c r="K56" i="50" s="1"/>
  <c r="I50" i="50"/>
  <c r="K50" i="50" s="1"/>
  <c r="I58" i="50"/>
  <c r="K58" i="50" s="1"/>
  <c r="L8" i="41"/>
  <c r="K9" i="30"/>
  <c r="M25" i="30"/>
  <c r="O25" i="30" s="1"/>
  <c r="W22" i="41" s="1"/>
  <c r="K14" i="30"/>
  <c r="C7" i="37"/>
  <c r="E7" i="37" s="1"/>
  <c r="I49" i="50"/>
  <c r="K49" i="50" s="1"/>
  <c r="I55" i="50"/>
  <c r="K55" i="50" s="1"/>
  <c r="P38" i="30"/>
  <c r="P58" i="30"/>
  <c r="I26" i="50"/>
  <c r="K26" i="50" s="1"/>
  <c r="P15" i="30"/>
  <c r="M8" i="30"/>
  <c r="O8" i="30" s="1"/>
  <c r="I38" i="50"/>
  <c r="K38" i="50" s="1"/>
  <c r="I45" i="50"/>
  <c r="K45" i="50" s="1"/>
  <c r="M51" i="30"/>
  <c r="O51" i="30" s="1"/>
  <c r="W31" i="41" s="1"/>
  <c r="M62" i="30"/>
  <c r="O62" i="30" s="1"/>
  <c r="M10" i="30"/>
  <c r="O10" i="30" s="1"/>
  <c r="M52" i="30"/>
  <c r="O52" i="30" s="1"/>
  <c r="W32" i="41" s="1"/>
  <c r="I23" i="50"/>
  <c r="K23" i="50" s="1"/>
  <c r="I9" i="50"/>
  <c r="K9" i="50" s="1"/>
  <c r="P61" i="30"/>
  <c r="P36" i="30"/>
  <c r="I52" i="50"/>
  <c r="I37" i="50"/>
  <c r="K37" i="50" s="1"/>
  <c r="V22" i="5"/>
  <c r="W22" i="5" s="1"/>
  <c r="I169" i="50"/>
  <c r="I62" i="50"/>
  <c r="K62" i="50" s="1"/>
  <c r="P43" i="30"/>
  <c r="J7" i="61"/>
  <c r="J8" i="41"/>
  <c r="AM143" i="50"/>
  <c r="FQ7" i="50"/>
  <c r="FC7" i="50"/>
  <c r="EO7" i="50"/>
  <c r="EA7" i="50"/>
  <c r="DM7" i="50"/>
  <c r="CK7" i="50"/>
  <c r="CY7" i="50"/>
  <c r="BW7" i="50"/>
  <c r="BI7" i="50"/>
  <c r="AU7" i="50"/>
  <c r="AG7" i="50"/>
  <c r="K52" i="50" l="1"/>
  <c r="W108" i="41"/>
  <c r="I131" i="50"/>
  <c r="K131" i="50" s="1"/>
  <c r="I129" i="50"/>
  <c r="K129" i="50" s="1"/>
  <c r="W106" i="41"/>
  <c r="K126" i="50"/>
  <c r="K120" i="50"/>
  <c r="K122" i="50"/>
  <c r="K123" i="50"/>
  <c r="P104" i="30"/>
  <c r="I106" i="50"/>
  <c r="K106" i="50" s="1"/>
  <c r="W86" i="41"/>
  <c r="K115" i="50"/>
  <c r="K99" i="50"/>
  <c r="I87" i="50"/>
  <c r="K87" i="50" s="1"/>
  <c r="W77" i="41"/>
  <c r="D25" i="75"/>
  <c r="G25" i="75" s="1"/>
  <c r="F25" i="75" s="1"/>
  <c r="I69" i="50"/>
  <c r="K69" i="50" s="1"/>
  <c r="W52" i="41"/>
  <c r="P59" i="30"/>
  <c r="W35" i="41"/>
  <c r="I68" i="50"/>
  <c r="K68" i="50" s="1"/>
  <c r="W46" i="41"/>
  <c r="I76" i="50"/>
  <c r="K76" i="50" s="1"/>
  <c r="W54" i="41"/>
  <c r="P13" i="30"/>
  <c r="W15" i="41"/>
  <c r="P18" i="30"/>
  <c r="W47" i="41"/>
  <c r="I77" i="50"/>
  <c r="K77" i="50" s="1"/>
  <c r="W55" i="41"/>
  <c r="P10" i="30"/>
  <c r="W11" i="41"/>
  <c r="P8" i="30"/>
  <c r="W7" i="41"/>
  <c r="P26" i="30"/>
  <c r="W19" i="41"/>
  <c r="I70" i="50"/>
  <c r="K70" i="50" s="1"/>
  <c r="W42" i="41"/>
  <c r="I64" i="50"/>
  <c r="K64" i="50" s="1"/>
  <c r="W39" i="41"/>
  <c r="I72" i="50"/>
  <c r="K72" i="50" s="1"/>
  <c r="W49" i="41"/>
  <c r="M92" i="30"/>
  <c r="O92" i="30" s="1"/>
  <c r="I168" i="50" s="1"/>
  <c r="P86" i="30"/>
  <c r="I88" i="50"/>
  <c r="K88" i="50" s="1"/>
  <c r="I71" i="50"/>
  <c r="K71" i="50" s="1"/>
  <c r="P67" i="30"/>
  <c r="M23" i="30"/>
  <c r="O23" i="30" s="1"/>
  <c r="N138" i="30"/>
  <c r="P62" i="30"/>
  <c r="M77" i="30"/>
  <c r="O77" i="30" s="1"/>
  <c r="W51" i="41" s="1"/>
  <c r="P51" i="30"/>
  <c r="I53" i="50"/>
  <c r="P75" i="30"/>
  <c r="P74" i="30"/>
  <c r="M73" i="30"/>
  <c r="O73" i="30" s="1"/>
  <c r="W53" i="41" s="1"/>
  <c r="L7" i="61"/>
  <c r="K7" i="61"/>
  <c r="P70" i="30"/>
  <c r="AB6" i="66"/>
  <c r="AB7" i="66"/>
  <c r="AB4" i="66"/>
  <c r="AB5" i="66"/>
  <c r="P69" i="30"/>
  <c r="V24" i="5"/>
  <c r="W24" i="5" s="1"/>
  <c r="P68" i="30"/>
  <c r="I20" i="50"/>
  <c r="K20" i="50" s="1"/>
  <c r="P66" i="30"/>
  <c r="AA3" i="66"/>
  <c r="AA7" i="66"/>
  <c r="AA4" i="66"/>
  <c r="AA5" i="66"/>
  <c r="AA6" i="66"/>
  <c r="O6" i="30"/>
  <c r="M17" i="30"/>
  <c r="O17" i="30" s="1"/>
  <c r="O63" i="30"/>
  <c r="V8" i="5"/>
  <c r="W8" i="5" s="1"/>
  <c r="P52" i="30"/>
  <c r="I10" i="50"/>
  <c r="V9" i="5"/>
  <c r="W9" i="5" s="1"/>
  <c r="M14" i="30"/>
  <c r="O14" i="30" s="1"/>
  <c r="I54" i="50"/>
  <c r="K54" i="50" s="1"/>
  <c r="I27" i="50"/>
  <c r="K27" i="50" s="1"/>
  <c r="I15" i="50"/>
  <c r="K15" i="50" s="1"/>
  <c r="P25" i="30"/>
  <c r="I28" i="50"/>
  <c r="K28" i="50" s="1"/>
  <c r="I12" i="50"/>
  <c r="K12" i="50" s="1"/>
  <c r="M9" i="30"/>
  <c r="O9" i="30" s="1"/>
  <c r="W8" i="41" s="1"/>
  <c r="I61" i="50"/>
  <c r="K61" i="50" s="1"/>
  <c r="B7" i="65"/>
  <c r="B10" i="65"/>
  <c r="B9" i="65"/>
  <c r="AN143" i="50"/>
  <c r="EL7" i="50"/>
  <c r="EH7" i="50"/>
  <c r="ED7" i="50"/>
  <c r="EK7" i="50"/>
  <c r="EG7" i="50"/>
  <c r="EC7" i="50"/>
  <c r="EN7" i="50"/>
  <c r="EJ7" i="50"/>
  <c r="EF7" i="50"/>
  <c r="EE7" i="50"/>
  <c r="EI7" i="50"/>
  <c r="EM7" i="50"/>
  <c r="BT7" i="50"/>
  <c r="BP7" i="50"/>
  <c r="BL7" i="50"/>
  <c r="BS7" i="50"/>
  <c r="BO7" i="50"/>
  <c r="BK7" i="50"/>
  <c r="BU7" i="50"/>
  <c r="BM7" i="50"/>
  <c r="BV7" i="50"/>
  <c r="BR7" i="50"/>
  <c r="BQ7" i="50"/>
  <c r="BN7" i="50"/>
  <c r="AD7" i="50"/>
  <c r="Z7" i="50"/>
  <c r="V7" i="50"/>
  <c r="AC7" i="50"/>
  <c r="Y7" i="50"/>
  <c r="U7" i="50"/>
  <c r="AA7" i="50"/>
  <c r="AF7" i="50"/>
  <c r="AE7" i="50"/>
  <c r="X7" i="50"/>
  <c r="AB7" i="50"/>
  <c r="W7" i="50"/>
  <c r="AR7" i="50"/>
  <c r="AN7" i="50"/>
  <c r="AJ7" i="50"/>
  <c r="AQ7" i="50"/>
  <c r="AM7" i="50"/>
  <c r="AI7" i="50"/>
  <c r="AS7" i="50"/>
  <c r="AK7" i="50"/>
  <c r="AP7" i="50"/>
  <c r="AT7" i="50"/>
  <c r="AO7" i="50"/>
  <c r="AL7" i="50"/>
  <c r="EZ7" i="50"/>
  <c r="EV7" i="50"/>
  <c r="ER7" i="50"/>
  <c r="EY7" i="50"/>
  <c r="EU7" i="50"/>
  <c r="EQ7" i="50"/>
  <c r="FB7" i="50"/>
  <c r="EX7" i="50"/>
  <c r="ET7" i="50"/>
  <c r="EW7" i="50"/>
  <c r="FA7" i="50"/>
  <c r="ES7" i="50"/>
  <c r="DX7" i="50"/>
  <c r="DT7" i="50"/>
  <c r="DP7" i="50"/>
  <c r="DW7" i="50"/>
  <c r="DS7" i="50"/>
  <c r="DO7" i="50"/>
  <c r="DZ7" i="50"/>
  <c r="DV7" i="50"/>
  <c r="DR7" i="50"/>
  <c r="DY7" i="50"/>
  <c r="DU7" i="50"/>
  <c r="DQ7" i="50"/>
  <c r="CV7" i="50"/>
  <c r="CR7" i="50"/>
  <c r="CN7" i="50"/>
  <c r="CU7" i="50"/>
  <c r="CQ7" i="50"/>
  <c r="CM7" i="50"/>
  <c r="CX7" i="50"/>
  <c r="CT7" i="50"/>
  <c r="CP7" i="50"/>
  <c r="CS7" i="50"/>
  <c r="CW7" i="50"/>
  <c r="CO7" i="50"/>
  <c r="CH7" i="50"/>
  <c r="CD7" i="50"/>
  <c r="BZ7" i="50"/>
  <c r="CG7" i="50"/>
  <c r="CC7" i="50"/>
  <c r="BY7" i="50"/>
  <c r="CJ7" i="50"/>
  <c r="CE7" i="50"/>
  <c r="CB7" i="50"/>
  <c r="CF7" i="50"/>
  <c r="CI7" i="50"/>
  <c r="CA7" i="50"/>
  <c r="BF7" i="50"/>
  <c r="BB7" i="50"/>
  <c r="AX7" i="50"/>
  <c r="BE7" i="50"/>
  <c r="BA7" i="50"/>
  <c r="AW7" i="50"/>
  <c r="BC7" i="50"/>
  <c r="BH7" i="50"/>
  <c r="AZ7" i="50"/>
  <c r="BD7" i="50"/>
  <c r="BG7" i="50"/>
  <c r="AY7" i="50"/>
  <c r="DJ7" i="50"/>
  <c r="DF7" i="50"/>
  <c r="DB7" i="50"/>
  <c r="DI7" i="50"/>
  <c r="DE7" i="50"/>
  <c r="DA7" i="50"/>
  <c r="DL7" i="50"/>
  <c r="DH7" i="50"/>
  <c r="DD7" i="50"/>
  <c r="DK7" i="50"/>
  <c r="DG7" i="50"/>
  <c r="DC7" i="50"/>
  <c r="FN7" i="50"/>
  <c r="FJ7" i="50"/>
  <c r="FF7" i="50"/>
  <c r="FM7" i="50"/>
  <c r="FI7" i="50"/>
  <c r="FE7" i="50"/>
  <c r="FP7" i="50"/>
  <c r="FL7" i="50"/>
  <c r="FH7" i="50"/>
  <c r="FO7" i="50"/>
  <c r="FK7" i="50"/>
  <c r="FG7" i="50"/>
  <c r="AU160" i="50"/>
  <c r="BI160" i="50"/>
  <c r="K53" i="50" l="1"/>
  <c r="K10" i="50"/>
  <c r="DT116" i="50"/>
  <c r="DT113" i="50"/>
  <c r="DT74" i="50"/>
  <c r="DT29" i="50"/>
  <c r="DT87" i="50"/>
  <c r="DT66" i="50"/>
  <c r="DT59" i="50"/>
  <c r="DT46" i="50"/>
  <c r="DT22" i="50"/>
  <c r="DT43" i="50"/>
  <c r="DT21" i="50"/>
  <c r="DT35" i="50"/>
  <c r="DT33" i="50"/>
  <c r="DT34" i="50"/>
  <c r="DT57" i="50"/>
  <c r="DT47" i="50"/>
  <c r="DT48" i="50"/>
  <c r="DT170" i="50" s="1"/>
  <c r="DT42" i="50"/>
  <c r="DT44" i="50"/>
  <c r="DT39" i="50"/>
  <c r="DT36" i="50"/>
  <c r="DT31" i="50"/>
  <c r="DT13" i="50"/>
  <c r="DT95" i="50"/>
  <c r="DT61" i="50"/>
  <c r="DT93" i="50"/>
  <c r="DT73" i="50"/>
  <c r="DT99" i="50"/>
  <c r="DT55" i="50"/>
  <c r="DT80" i="50"/>
  <c r="DT58" i="50"/>
  <c r="DT68" i="50"/>
  <c r="DT129" i="50"/>
  <c r="DT131" i="50"/>
  <c r="DT50" i="50"/>
  <c r="DT82" i="50"/>
  <c r="DT20" i="50"/>
  <c r="DT38" i="50"/>
  <c r="DT62" i="50"/>
  <c r="DT110" i="50"/>
  <c r="DT72" i="50"/>
  <c r="DT94" i="50"/>
  <c r="DT26" i="50"/>
  <c r="DT91" i="50"/>
  <c r="DT45" i="50"/>
  <c r="DT106" i="50"/>
  <c r="DT10" i="50"/>
  <c r="DT69" i="50"/>
  <c r="DT128" i="50"/>
  <c r="DT126" i="50"/>
  <c r="DT56" i="50"/>
  <c r="DT11" i="50"/>
  <c r="DT133" i="50"/>
  <c r="DT78" i="50"/>
  <c r="DT119" i="50"/>
  <c r="DT84" i="50"/>
  <c r="DT114" i="50"/>
  <c r="DT40" i="50"/>
  <c r="DT85" i="50"/>
  <c r="DT83" i="50"/>
  <c r="DT81" i="50"/>
  <c r="DT17" i="50"/>
  <c r="DT25" i="50"/>
  <c r="DT125" i="50"/>
  <c r="DT12" i="50"/>
  <c r="DT30" i="50"/>
  <c r="DT15" i="50"/>
  <c r="DT18" i="50"/>
  <c r="DT24" i="50"/>
  <c r="DT124" i="50"/>
  <c r="DT98" i="50"/>
  <c r="DT121" i="50"/>
  <c r="DT51" i="50"/>
  <c r="DT105" i="50"/>
  <c r="DT101" i="50"/>
  <c r="DT122" i="50"/>
  <c r="DT8" i="50"/>
  <c r="DT28" i="50"/>
  <c r="DT138" i="50"/>
  <c r="DT54" i="50"/>
  <c r="DT27" i="50"/>
  <c r="DT60" i="50"/>
  <c r="DT71" i="50"/>
  <c r="DT70" i="50"/>
  <c r="DT108" i="50"/>
  <c r="DT97" i="50"/>
  <c r="DT112" i="50"/>
  <c r="DT115" i="50"/>
  <c r="DT49" i="50"/>
  <c r="DT111" i="50"/>
  <c r="DT86" i="50"/>
  <c r="DT53" i="50"/>
  <c r="DT9" i="50"/>
  <c r="DT37" i="50"/>
  <c r="DT139" i="50"/>
  <c r="DT96" i="50"/>
  <c r="DT132" i="50"/>
  <c r="DT88" i="50"/>
  <c r="DT103" i="50"/>
  <c r="DT41" i="50"/>
  <c r="DT16" i="50"/>
  <c r="DT109" i="50"/>
  <c r="DT32" i="50"/>
  <c r="DT117" i="50"/>
  <c r="DT63" i="50"/>
  <c r="DT67" i="50"/>
  <c r="DT120" i="50"/>
  <c r="DT104" i="50"/>
  <c r="DT23" i="50"/>
  <c r="DT77" i="50"/>
  <c r="DT137" i="50"/>
  <c r="DT134" i="50"/>
  <c r="DT14" i="50"/>
  <c r="DT127" i="50"/>
  <c r="DT90" i="50"/>
  <c r="DT65" i="50"/>
  <c r="DT130" i="50"/>
  <c r="DT123" i="50"/>
  <c r="DT107" i="50"/>
  <c r="DT100" i="50"/>
  <c r="DT52" i="50"/>
  <c r="DT89" i="50"/>
  <c r="DT118" i="50"/>
  <c r="DT64" i="50"/>
  <c r="DT19" i="50"/>
  <c r="DT76" i="50"/>
  <c r="DT136" i="50"/>
  <c r="DT135" i="50"/>
  <c r="DT102" i="50"/>
  <c r="DT92" i="50"/>
  <c r="DT75" i="50"/>
  <c r="DT79" i="50"/>
  <c r="DU128" i="50"/>
  <c r="DU127" i="50"/>
  <c r="DU129" i="50"/>
  <c r="DU130" i="50"/>
  <c r="DU135" i="50"/>
  <c r="DU125" i="50"/>
  <c r="DU131" i="50"/>
  <c r="DU126" i="50"/>
  <c r="DU139" i="50"/>
  <c r="DU137" i="50"/>
  <c r="DU136" i="50"/>
  <c r="DU133" i="50"/>
  <c r="DU132" i="50"/>
  <c r="DU124" i="50"/>
  <c r="DU138" i="50"/>
  <c r="DU134" i="50"/>
  <c r="DU117" i="50"/>
  <c r="DU120" i="50"/>
  <c r="DU119" i="50"/>
  <c r="DU116" i="50"/>
  <c r="DU122" i="50"/>
  <c r="DU121" i="50"/>
  <c r="DU118" i="50"/>
  <c r="DU123" i="50"/>
  <c r="DU114" i="50"/>
  <c r="DU110" i="50"/>
  <c r="DU115" i="50"/>
  <c r="DU113" i="50"/>
  <c r="DU112" i="50"/>
  <c r="DU111" i="50"/>
  <c r="DU109" i="50"/>
  <c r="DU104" i="50"/>
  <c r="DU106" i="50"/>
  <c r="DU105" i="50"/>
  <c r="DU107" i="50"/>
  <c r="DU108" i="50"/>
  <c r="DU101" i="50"/>
  <c r="DU102" i="50"/>
  <c r="DU103" i="50"/>
  <c r="DU98" i="50"/>
  <c r="DU99" i="50"/>
  <c r="DU100" i="50"/>
  <c r="DU95" i="50"/>
  <c r="DU96" i="50"/>
  <c r="DU97" i="50"/>
  <c r="DU94" i="50"/>
  <c r="DU68" i="50"/>
  <c r="DU90" i="50"/>
  <c r="DU80" i="50"/>
  <c r="DU81" i="50"/>
  <c r="DU92" i="50"/>
  <c r="DU86" i="50"/>
  <c r="DU72" i="50"/>
  <c r="DU77" i="50"/>
  <c r="DU84" i="50"/>
  <c r="DU82" i="50"/>
  <c r="DU87" i="50"/>
  <c r="DU73" i="50"/>
  <c r="DU76" i="50"/>
  <c r="DU78" i="50"/>
  <c r="DU79" i="50"/>
  <c r="DU69" i="50"/>
  <c r="DU88" i="50"/>
  <c r="DU91" i="50"/>
  <c r="DU74" i="50"/>
  <c r="DU71" i="50"/>
  <c r="DU83" i="50"/>
  <c r="DU70" i="50"/>
  <c r="DU93" i="50"/>
  <c r="DU85" i="50"/>
  <c r="DU75" i="50"/>
  <c r="DU29" i="50"/>
  <c r="DU89" i="50"/>
  <c r="DU67" i="50"/>
  <c r="DU63" i="50"/>
  <c r="DU66" i="50"/>
  <c r="DU64" i="50"/>
  <c r="DU65" i="50"/>
  <c r="DU53" i="50"/>
  <c r="DU20" i="50"/>
  <c r="DU60" i="50"/>
  <c r="DU42" i="50"/>
  <c r="DU59" i="50"/>
  <c r="DU32" i="50"/>
  <c r="DU14" i="50"/>
  <c r="DU49" i="50"/>
  <c r="DU45" i="50"/>
  <c r="DU52" i="50"/>
  <c r="DU43" i="50"/>
  <c r="DU34" i="50"/>
  <c r="DU28" i="50"/>
  <c r="DU23" i="50"/>
  <c r="DU55" i="50"/>
  <c r="DU41" i="50"/>
  <c r="DU22" i="50"/>
  <c r="DU44" i="50"/>
  <c r="DU35" i="50"/>
  <c r="DU25" i="50"/>
  <c r="DU51" i="50"/>
  <c r="DU15" i="50"/>
  <c r="DU46" i="50"/>
  <c r="DU33" i="50"/>
  <c r="DU40" i="50"/>
  <c r="DU36" i="50"/>
  <c r="DU26" i="50"/>
  <c r="DU17" i="50"/>
  <c r="DU54" i="50"/>
  <c r="DU56" i="50"/>
  <c r="DU38" i="50"/>
  <c r="DU24" i="50"/>
  <c r="DU12" i="50"/>
  <c r="DU27" i="50"/>
  <c r="DU18" i="50"/>
  <c r="DU9" i="50"/>
  <c r="DU8" i="50"/>
  <c r="DU47" i="50"/>
  <c r="DU30" i="50"/>
  <c r="DU16" i="50"/>
  <c r="DU19" i="50"/>
  <c r="DU10" i="50"/>
  <c r="DU62" i="50"/>
  <c r="DU57" i="50"/>
  <c r="DU39" i="50"/>
  <c r="DU21" i="50"/>
  <c r="DU61" i="50"/>
  <c r="DU11" i="50"/>
  <c r="DU37" i="50"/>
  <c r="DU50" i="50"/>
  <c r="DU48" i="50"/>
  <c r="DU170" i="50" s="1"/>
  <c r="DU31" i="50"/>
  <c r="DU13" i="50"/>
  <c r="DU58" i="50"/>
  <c r="DS128" i="50"/>
  <c r="DS129" i="50"/>
  <c r="DS123" i="50"/>
  <c r="DS115" i="50"/>
  <c r="DS107" i="50"/>
  <c r="DS103" i="50"/>
  <c r="DS84" i="50"/>
  <c r="DS72" i="50"/>
  <c r="DS82" i="50"/>
  <c r="DS70" i="50"/>
  <c r="DS51" i="50"/>
  <c r="DS12" i="50"/>
  <c r="DS44" i="50"/>
  <c r="DS17" i="50"/>
  <c r="DS24" i="50"/>
  <c r="DS32" i="50"/>
  <c r="DS39" i="50"/>
  <c r="DS94" i="50"/>
  <c r="DS42" i="50"/>
  <c r="DS138" i="50"/>
  <c r="DS139" i="50"/>
  <c r="DS118" i="50"/>
  <c r="DS111" i="50"/>
  <c r="DS108" i="50"/>
  <c r="DS101" i="50"/>
  <c r="DS75" i="50"/>
  <c r="DS74" i="50"/>
  <c r="DS81" i="50"/>
  <c r="DS29" i="50"/>
  <c r="DS52" i="50"/>
  <c r="DS10" i="50"/>
  <c r="DS27" i="50"/>
  <c r="DS22" i="50"/>
  <c r="DS46" i="50"/>
  <c r="DS16" i="50"/>
  <c r="DS23" i="50"/>
  <c r="DS112" i="50"/>
  <c r="DS49" i="50"/>
  <c r="DS35" i="50"/>
  <c r="DS124" i="50"/>
  <c r="DS125" i="50"/>
  <c r="DS119" i="50"/>
  <c r="DS110" i="50"/>
  <c r="DS104" i="50"/>
  <c r="DS95" i="50"/>
  <c r="DS69" i="50"/>
  <c r="DS93" i="50"/>
  <c r="DS85" i="50"/>
  <c r="DS64" i="50"/>
  <c r="DS26" i="50"/>
  <c r="DS43" i="50"/>
  <c r="DS62" i="50"/>
  <c r="DS19" i="50"/>
  <c r="DS36" i="50"/>
  <c r="DS15" i="50"/>
  <c r="DS54" i="50"/>
  <c r="DS134" i="50"/>
  <c r="DS135" i="50"/>
  <c r="DS121" i="50"/>
  <c r="DS114" i="50"/>
  <c r="DS106" i="50"/>
  <c r="DS97" i="50"/>
  <c r="DS80" i="50"/>
  <c r="DS91" i="50"/>
  <c r="DS83" i="50"/>
  <c r="DS63" i="50"/>
  <c r="DS50" i="50"/>
  <c r="DS30" i="50"/>
  <c r="DS55" i="50"/>
  <c r="DS45" i="50"/>
  <c r="DS11" i="50"/>
  <c r="DS58" i="50"/>
  <c r="DS28" i="50"/>
  <c r="DS131" i="50"/>
  <c r="DS65" i="50"/>
  <c r="DS13" i="50"/>
  <c r="DS133" i="50"/>
  <c r="DS136" i="50"/>
  <c r="DS117" i="50"/>
  <c r="DS109" i="50"/>
  <c r="DS102" i="50"/>
  <c r="DS96" i="50"/>
  <c r="DS76" i="50"/>
  <c r="DS86" i="50"/>
  <c r="DS78" i="50"/>
  <c r="DS66" i="50"/>
  <c r="DS14" i="50"/>
  <c r="DS59" i="50"/>
  <c r="DS21" i="50"/>
  <c r="DS37" i="50"/>
  <c r="DS61" i="50"/>
  <c r="DS38" i="50"/>
  <c r="DS130" i="50"/>
  <c r="DS122" i="50"/>
  <c r="DS99" i="50"/>
  <c r="DS67" i="50"/>
  <c r="DS68" i="50"/>
  <c r="DS79" i="50"/>
  <c r="DS57" i="50"/>
  <c r="DS60" i="50"/>
  <c r="DS137" i="50"/>
  <c r="DS132" i="50"/>
  <c r="DS120" i="50"/>
  <c r="DS113" i="50"/>
  <c r="DS98" i="50"/>
  <c r="DS71" i="50"/>
  <c r="DS92" i="50"/>
  <c r="DS89" i="50"/>
  <c r="DS77" i="50"/>
  <c r="DS53" i="50"/>
  <c r="DS31" i="50"/>
  <c r="DS41" i="50"/>
  <c r="DS48" i="50"/>
  <c r="DS170" i="50" s="1"/>
  <c r="DS56" i="50"/>
  <c r="DS34" i="50"/>
  <c r="DS18" i="50"/>
  <c r="DS126" i="50"/>
  <c r="DS127" i="50"/>
  <c r="DS116" i="50"/>
  <c r="DS105" i="50"/>
  <c r="DS100" i="50"/>
  <c r="DS73" i="50"/>
  <c r="DS90" i="50"/>
  <c r="DS87" i="50"/>
  <c r="DS88" i="50"/>
  <c r="DS8" i="50"/>
  <c r="DS9" i="50"/>
  <c r="DS20" i="50"/>
  <c r="DS33" i="50"/>
  <c r="DS40" i="50"/>
  <c r="DS47" i="50"/>
  <c r="DS25" i="50"/>
  <c r="DR13" i="50"/>
  <c r="DR94" i="50"/>
  <c r="DR92" i="50"/>
  <c r="DR52" i="50"/>
  <c r="DR64" i="50"/>
  <c r="DR41" i="50"/>
  <c r="DR29" i="50"/>
  <c r="DR34" i="50"/>
  <c r="DR59" i="50"/>
  <c r="DR108" i="50"/>
  <c r="DR95" i="50"/>
  <c r="DR77" i="50"/>
  <c r="DR17" i="50"/>
  <c r="DR125" i="50"/>
  <c r="DR134" i="50"/>
  <c r="DR129" i="50"/>
  <c r="DR30" i="50"/>
  <c r="DR62" i="50"/>
  <c r="DR114" i="50"/>
  <c r="DR99" i="50"/>
  <c r="DR51" i="50"/>
  <c r="DR61" i="50"/>
  <c r="DR118" i="50"/>
  <c r="DR66" i="50"/>
  <c r="DR39" i="50"/>
  <c r="DR46" i="50"/>
  <c r="DR109" i="50"/>
  <c r="DR28" i="50"/>
  <c r="DR16" i="50"/>
  <c r="DR8" i="50"/>
  <c r="DR124" i="50"/>
  <c r="DR139" i="50"/>
  <c r="DR128" i="50"/>
  <c r="DR82" i="50"/>
  <c r="DR98" i="50"/>
  <c r="DR121" i="50"/>
  <c r="DR91" i="50"/>
  <c r="DR45" i="50"/>
  <c r="DR38" i="50"/>
  <c r="DR116" i="50"/>
  <c r="DR44" i="50"/>
  <c r="DR57" i="50"/>
  <c r="DR63" i="50"/>
  <c r="DR78" i="50"/>
  <c r="DR19" i="50"/>
  <c r="DR69" i="50"/>
  <c r="DR50" i="50"/>
  <c r="DR80" i="50"/>
  <c r="DR130" i="50"/>
  <c r="DR133" i="50"/>
  <c r="DR88" i="50"/>
  <c r="DR70" i="50"/>
  <c r="DR112" i="50"/>
  <c r="DR85" i="50"/>
  <c r="DR20" i="50"/>
  <c r="DR106" i="50"/>
  <c r="DR117" i="50"/>
  <c r="DR21" i="50"/>
  <c r="DR42" i="50"/>
  <c r="DR97" i="50"/>
  <c r="DR65" i="50"/>
  <c r="DR75" i="50"/>
  <c r="DR25" i="50"/>
  <c r="DR60" i="50"/>
  <c r="DR90" i="50"/>
  <c r="DR131" i="50"/>
  <c r="DR123" i="50"/>
  <c r="DR12" i="50"/>
  <c r="DR73" i="50"/>
  <c r="DR26" i="50"/>
  <c r="DR105" i="50"/>
  <c r="DR83" i="50"/>
  <c r="DR81" i="50"/>
  <c r="DR115" i="50"/>
  <c r="DR43" i="50"/>
  <c r="DR31" i="50"/>
  <c r="DR32" i="50"/>
  <c r="DR110" i="50"/>
  <c r="DR9" i="50"/>
  <c r="DR58" i="50"/>
  <c r="DR23" i="50"/>
  <c r="DR54" i="50"/>
  <c r="DR126" i="50"/>
  <c r="DR14" i="50"/>
  <c r="DR100" i="50"/>
  <c r="DR49" i="50"/>
  <c r="DR111" i="50"/>
  <c r="DR101" i="50"/>
  <c r="DR122" i="50"/>
  <c r="DR113" i="50"/>
  <c r="DR35" i="50"/>
  <c r="DR48" i="50"/>
  <c r="DR170" i="50" s="1"/>
  <c r="DR107" i="50"/>
  <c r="DR119" i="50"/>
  <c r="DR71" i="50"/>
  <c r="DR10" i="50"/>
  <c r="DR37" i="50"/>
  <c r="DR135" i="50"/>
  <c r="DR137" i="50"/>
  <c r="DR96" i="50"/>
  <c r="DR102" i="50"/>
  <c r="DR67" i="50"/>
  <c r="DR120" i="50"/>
  <c r="DR86" i="50"/>
  <c r="DR84" i="50"/>
  <c r="DR87" i="50"/>
  <c r="DR47" i="50"/>
  <c r="DR36" i="50"/>
  <c r="DR103" i="50"/>
  <c r="DR55" i="50"/>
  <c r="DR76" i="50"/>
  <c r="DR11" i="50"/>
  <c r="DR79" i="50"/>
  <c r="DR138" i="50"/>
  <c r="DR136" i="50"/>
  <c r="DR56" i="50"/>
  <c r="DR93" i="50"/>
  <c r="DR89" i="50"/>
  <c r="DR72" i="50"/>
  <c r="DR104" i="50"/>
  <c r="DR40" i="50"/>
  <c r="DR74" i="50"/>
  <c r="DR33" i="50"/>
  <c r="DR22" i="50"/>
  <c r="DR24" i="50"/>
  <c r="DR15" i="50"/>
  <c r="DR68" i="50"/>
  <c r="DR53" i="50"/>
  <c r="DR18" i="50"/>
  <c r="DR127" i="50"/>
  <c r="DR132" i="50"/>
  <c r="DR27" i="50"/>
  <c r="DQ117" i="50"/>
  <c r="DQ116" i="50"/>
  <c r="DQ118" i="50"/>
  <c r="DQ115" i="50"/>
  <c r="DQ113" i="50"/>
  <c r="DQ87" i="50"/>
  <c r="DQ74" i="50"/>
  <c r="DQ29" i="50"/>
  <c r="DQ66" i="50"/>
  <c r="DQ44" i="50"/>
  <c r="DQ47" i="50"/>
  <c r="DQ36" i="50"/>
  <c r="DQ39" i="50"/>
  <c r="DQ59" i="50"/>
  <c r="DQ31" i="50"/>
  <c r="DQ42" i="50"/>
  <c r="DQ22" i="50"/>
  <c r="DQ43" i="50"/>
  <c r="DQ34" i="50"/>
  <c r="DQ21" i="50"/>
  <c r="DQ33" i="50"/>
  <c r="DQ35" i="50"/>
  <c r="DQ57" i="50"/>
  <c r="DQ46" i="50"/>
  <c r="DQ48" i="50"/>
  <c r="DQ170" i="50" s="1"/>
  <c r="DQ101" i="50"/>
  <c r="DQ81" i="50"/>
  <c r="DQ119" i="50"/>
  <c r="DQ83" i="50"/>
  <c r="DQ93" i="50"/>
  <c r="DQ92" i="50"/>
  <c r="DQ80" i="50"/>
  <c r="DQ19" i="50"/>
  <c r="DQ15" i="50"/>
  <c r="DQ134" i="50"/>
  <c r="DQ133" i="50"/>
  <c r="DQ12" i="50"/>
  <c r="DQ108" i="50"/>
  <c r="DQ104" i="50"/>
  <c r="DQ78" i="50"/>
  <c r="DQ63" i="50"/>
  <c r="DQ86" i="50"/>
  <c r="DQ94" i="50"/>
  <c r="DQ99" i="50"/>
  <c r="DQ77" i="50"/>
  <c r="DQ9" i="50"/>
  <c r="DQ90" i="50"/>
  <c r="DQ10" i="50"/>
  <c r="DQ72" i="50"/>
  <c r="DQ64" i="50"/>
  <c r="DQ132" i="50"/>
  <c r="DQ37" i="50"/>
  <c r="DQ13" i="50"/>
  <c r="DQ24" i="50"/>
  <c r="DQ122" i="50"/>
  <c r="DQ51" i="50"/>
  <c r="DQ114" i="50"/>
  <c r="DQ91" i="50"/>
  <c r="DQ76" i="50"/>
  <c r="DQ58" i="50"/>
  <c r="DQ124" i="50"/>
  <c r="DQ18" i="50"/>
  <c r="DQ139" i="50"/>
  <c r="DQ88" i="50"/>
  <c r="DQ128" i="50"/>
  <c r="DQ109" i="50"/>
  <c r="DQ65" i="50"/>
  <c r="DQ55" i="50"/>
  <c r="DQ111" i="50"/>
  <c r="DQ17" i="50"/>
  <c r="DQ26" i="50"/>
  <c r="DQ60" i="50"/>
  <c r="DQ130" i="50"/>
  <c r="DQ62" i="50"/>
  <c r="DQ123" i="50"/>
  <c r="DQ52" i="50"/>
  <c r="DQ49" i="50"/>
  <c r="DQ121" i="50"/>
  <c r="DQ85" i="50"/>
  <c r="DQ69" i="50"/>
  <c r="DQ53" i="50"/>
  <c r="DQ125" i="50"/>
  <c r="DQ50" i="50"/>
  <c r="DQ138" i="50"/>
  <c r="DQ45" i="50"/>
  <c r="DQ32" i="50"/>
  <c r="DQ98" i="50"/>
  <c r="DQ73" i="50"/>
  <c r="DQ16" i="50"/>
  <c r="DQ30" i="50"/>
  <c r="DQ127" i="50"/>
  <c r="DQ28" i="50"/>
  <c r="DQ97" i="50"/>
  <c r="DQ61" i="50"/>
  <c r="DQ84" i="50"/>
  <c r="DQ70" i="50"/>
  <c r="DQ41" i="50"/>
  <c r="DQ105" i="50"/>
  <c r="DQ25" i="50"/>
  <c r="DQ8" i="50"/>
  <c r="DQ56" i="50"/>
  <c r="DQ40" i="50"/>
  <c r="DQ106" i="50"/>
  <c r="DQ135" i="50"/>
  <c r="DQ14" i="50"/>
  <c r="DQ107" i="50"/>
  <c r="DQ95" i="50"/>
  <c r="DQ112" i="50"/>
  <c r="DQ100" i="50"/>
  <c r="DQ67" i="50"/>
  <c r="DQ120" i="50"/>
  <c r="DQ75" i="50"/>
  <c r="DQ23" i="50"/>
  <c r="DQ129" i="50"/>
  <c r="DQ27" i="50"/>
  <c r="DQ79" i="50"/>
  <c r="DQ137" i="50"/>
  <c r="DQ131" i="50"/>
  <c r="DQ54" i="50"/>
  <c r="DQ103" i="50"/>
  <c r="DQ110" i="50"/>
  <c r="DQ38" i="50"/>
  <c r="DQ102" i="50"/>
  <c r="DQ89" i="50"/>
  <c r="DQ20" i="50"/>
  <c r="DQ68" i="50"/>
  <c r="DQ11" i="50"/>
  <c r="DQ96" i="50"/>
  <c r="DQ71" i="50"/>
  <c r="DQ82" i="50"/>
  <c r="DQ136" i="50"/>
  <c r="DQ126" i="50"/>
  <c r="DP133" i="50"/>
  <c r="DP68" i="50"/>
  <c r="DP11" i="50"/>
  <c r="DP134" i="50"/>
  <c r="DP109" i="50"/>
  <c r="DP38" i="50"/>
  <c r="DP81" i="50"/>
  <c r="DP110" i="50"/>
  <c r="DP39" i="50"/>
  <c r="DP121" i="50"/>
  <c r="DP65" i="50"/>
  <c r="DP114" i="50"/>
  <c r="DP112" i="50"/>
  <c r="DP16" i="50"/>
  <c r="DP113" i="50"/>
  <c r="DP42" i="50"/>
  <c r="DP104" i="50"/>
  <c r="DP126" i="50"/>
  <c r="DP76" i="50"/>
  <c r="DP106" i="50"/>
  <c r="DP127" i="50"/>
  <c r="DP99" i="50"/>
  <c r="DP46" i="50"/>
  <c r="DP35" i="50"/>
  <c r="DP100" i="50"/>
  <c r="DP47" i="50"/>
  <c r="DP111" i="50"/>
  <c r="DP40" i="50"/>
  <c r="DP67" i="50"/>
  <c r="DP102" i="50"/>
  <c r="DP93" i="50"/>
  <c r="DP103" i="50"/>
  <c r="DP50" i="50"/>
  <c r="DP75" i="50"/>
  <c r="DP117" i="50"/>
  <c r="DP61" i="50"/>
  <c r="DP95" i="50"/>
  <c r="DP118" i="50"/>
  <c r="DP88" i="50"/>
  <c r="DP54" i="50"/>
  <c r="DP29" i="50"/>
  <c r="DP89" i="50"/>
  <c r="DP25" i="50"/>
  <c r="DP101" i="50"/>
  <c r="DP48" i="50"/>
  <c r="DP170" i="50" s="1"/>
  <c r="DP43" i="50"/>
  <c r="DP91" i="50"/>
  <c r="DP60" i="50"/>
  <c r="DP92" i="50"/>
  <c r="DP28" i="50"/>
  <c r="DP51" i="50"/>
  <c r="DP107" i="50"/>
  <c r="DP36" i="50"/>
  <c r="DP83" i="50"/>
  <c r="DP108" i="50"/>
  <c r="DP96" i="50"/>
  <c r="DP32" i="50"/>
  <c r="DP37" i="50"/>
  <c r="DP97" i="50"/>
  <c r="DP14" i="50"/>
  <c r="DP90" i="50"/>
  <c r="DP26" i="50"/>
  <c r="DP10" i="50"/>
  <c r="DP79" i="50"/>
  <c r="DP18" i="50"/>
  <c r="DP80" i="50"/>
  <c r="DP17" i="50"/>
  <c r="DP53" i="50"/>
  <c r="DP115" i="50"/>
  <c r="DP44" i="50"/>
  <c r="DP69" i="50"/>
  <c r="DP98" i="50"/>
  <c r="DP84" i="50"/>
  <c r="DP21" i="50"/>
  <c r="DP12" i="50"/>
  <c r="DP85" i="50"/>
  <c r="DP22" i="50"/>
  <c r="DP78" i="50"/>
  <c r="DP15" i="50"/>
  <c r="DP20" i="50"/>
  <c r="DP87" i="50"/>
  <c r="DP31" i="50"/>
  <c r="DP66" i="50"/>
  <c r="DP9" i="50"/>
  <c r="DP105" i="50"/>
  <c r="DP52" i="50"/>
  <c r="DP77" i="50"/>
  <c r="DP135" i="50"/>
  <c r="DP70" i="50"/>
  <c r="DP13" i="50"/>
  <c r="DP136" i="50"/>
  <c r="DP71" i="50"/>
  <c r="DP8" i="50"/>
  <c r="DP86" i="50"/>
  <c r="DP23" i="50"/>
  <c r="DP138" i="50"/>
  <c r="DP73" i="50"/>
  <c r="DP139" i="50"/>
  <c r="DP74" i="50"/>
  <c r="DP125" i="50"/>
  <c r="DP94" i="50"/>
  <c r="DP30" i="50"/>
  <c r="DP62" i="50"/>
  <c r="DP128" i="50"/>
  <c r="DP55" i="50"/>
  <c r="DP49" i="50"/>
  <c r="DP129" i="50"/>
  <c r="DP56" i="50"/>
  <c r="DP137" i="50"/>
  <c r="DP72" i="50"/>
  <c r="DP33" i="50"/>
  <c r="DP131" i="50"/>
  <c r="DP58" i="50"/>
  <c r="DP132" i="50"/>
  <c r="DP59" i="50"/>
  <c r="DP116" i="50"/>
  <c r="DP82" i="50"/>
  <c r="DP19" i="50"/>
  <c r="DP45" i="50"/>
  <c r="DP119" i="50"/>
  <c r="DP63" i="50"/>
  <c r="DP24" i="50"/>
  <c r="DP120" i="50"/>
  <c r="DP64" i="50"/>
  <c r="DP130" i="50"/>
  <c r="DP57" i="50"/>
  <c r="DP27" i="50"/>
  <c r="DP122" i="50"/>
  <c r="DP41" i="50"/>
  <c r="DP123" i="50"/>
  <c r="DP34" i="50"/>
  <c r="DP124" i="50"/>
  <c r="BF126" i="50"/>
  <c r="BF116" i="50"/>
  <c r="BF122" i="50"/>
  <c r="BF112" i="50"/>
  <c r="BF128" i="50"/>
  <c r="BF124" i="50"/>
  <c r="BF114" i="50"/>
  <c r="BF130" i="50"/>
  <c r="BF115" i="50"/>
  <c r="BF121" i="50"/>
  <c r="BF111" i="50"/>
  <c r="BF131" i="50"/>
  <c r="BF117" i="50"/>
  <c r="BF125" i="50"/>
  <c r="BF118" i="50"/>
  <c r="BF120" i="50"/>
  <c r="BF113" i="50"/>
  <c r="BF119" i="50"/>
  <c r="BF132" i="50"/>
  <c r="BF129" i="50"/>
  <c r="BF134" i="50"/>
  <c r="BF136" i="50"/>
  <c r="BF137" i="50"/>
  <c r="BF133" i="50"/>
  <c r="BF135" i="50"/>
  <c r="BF123" i="50"/>
  <c r="BF127" i="50"/>
  <c r="BF139" i="50"/>
  <c r="BF138" i="50"/>
  <c r="CP111" i="50"/>
  <c r="CP127" i="50"/>
  <c r="CP117" i="50"/>
  <c r="CP133" i="50"/>
  <c r="CP109" i="50"/>
  <c r="CP114" i="50"/>
  <c r="CP123" i="50"/>
  <c r="CP139" i="50"/>
  <c r="CP129" i="50"/>
  <c r="CP110" i="50"/>
  <c r="CP119" i="50"/>
  <c r="CP135" i="50"/>
  <c r="CP125" i="50"/>
  <c r="CP115" i="50"/>
  <c r="CP131" i="50"/>
  <c r="CP121" i="50"/>
  <c r="CP120" i="50"/>
  <c r="CP112" i="50"/>
  <c r="CP136" i="50"/>
  <c r="CP128" i="50"/>
  <c r="CP137" i="50"/>
  <c r="CP130" i="50"/>
  <c r="CP122" i="50"/>
  <c r="CP124" i="50"/>
  <c r="CP116" i="50"/>
  <c r="CP118" i="50"/>
  <c r="CP138" i="50"/>
  <c r="CP132" i="50"/>
  <c r="CP134" i="50"/>
  <c r="CP113" i="50"/>
  <c r="CP126" i="50"/>
  <c r="AE117" i="50"/>
  <c r="AE133" i="50"/>
  <c r="AE118" i="50"/>
  <c r="AE134" i="50"/>
  <c r="AE123" i="50"/>
  <c r="AE139" i="50"/>
  <c r="AE124" i="50"/>
  <c r="AE113" i="50"/>
  <c r="AE129" i="50"/>
  <c r="AE114" i="50"/>
  <c r="AE130" i="50"/>
  <c r="AE119" i="50"/>
  <c r="AE135" i="50"/>
  <c r="AE120" i="50"/>
  <c r="AE136" i="50"/>
  <c r="AE125" i="50"/>
  <c r="AE126" i="50"/>
  <c r="AE115" i="50"/>
  <c r="AE131" i="50"/>
  <c r="AE116" i="50"/>
  <c r="AE132" i="50"/>
  <c r="AE111" i="50"/>
  <c r="AE128" i="50"/>
  <c r="AE121" i="50"/>
  <c r="AE137" i="50"/>
  <c r="AE122" i="50"/>
  <c r="AE138" i="50"/>
  <c r="AE127" i="50"/>
  <c r="AE112" i="50"/>
  <c r="DC117" i="50"/>
  <c r="DC133" i="50"/>
  <c r="DC128" i="50"/>
  <c r="DC126" i="50"/>
  <c r="DC116" i="50"/>
  <c r="DC123" i="50"/>
  <c r="DC139" i="50"/>
  <c r="DC113" i="50"/>
  <c r="DC129" i="50"/>
  <c r="DC112" i="50"/>
  <c r="DC119" i="50"/>
  <c r="DC135" i="50"/>
  <c r="DC138" i="50"/>
  <c r="DC136" i="50"/>
  <c r="DC134" i="50"/>
  <c r="DC124" i="50"/>
  <c r="DC125" i="50"/>
  <c r="DC115" i="50"/>
  <c r="DC131" i="50"/>
  <c r="DC120" i="50"/>
  <c r="DC118" i="50"/>
  <c r="DC121" i="50"/>
  <c r="DC137" i="50"/>
  <c r="DC110" i="50"/>
  <c r="DC132" i="50"/>
  <c r="DC122" i="50"/>
  <c r="DC111" i="50"/>
  <c r="DC130" i="50"/>
  <c r="DC127" i="50"/>
  <c r="DC114" i="50"/>
  <c r="DI115" i="50"/>
  <c r="DI131" i="50"/>
  <c r="DI124" i="50"/>
  <c r="DI121" i="50"/>
  <c r="DI114" i="50"/>
  <c r="DI130" i="50"/>
  <c r="DI111" i="50"/>
  <c r="DI127" i="50"/>
  <c r="DI120" i="50"/>
  <c r="DI136" i="50"/>
  <c r="DI117" i="50"/>
  <c r="DI133" i="50"/>
  <c r="DI110" i="50"/>
  <c r="DI126" i="50"/>
  <c r="DI123" i="50"/>
  <c r="DI116" i="50"/>
  <c r="DI132" i="50"/>
  <c r="DI137" i="50"/>
  <c r="DI113" i="50"/>
  <c r="DI129" i="50"/>
  <c r="DI122" i="50"/>
  <c r="DI138" i="50"/>
  <c r="DI139" i="50"/>
  <c r="DI119" i="50"/>
  <c r="DI135" i="50"/>
  <c r="DI112" i="50"/>
  <c r="DI128" i="50"/>
  <c r="DI125" i="50"/>
  <c r="DI118" i="50"/>
  <c r="DI134" i="50"/>
  <c r="BH127" i="50"/>
  <c r="BH138" i="50"/>
  <c r="BH116" i="50"/>
  <c r="BH131" i="50"/>
  <c r="BH137" i="50"/>
  <c r="BH132" i="50"/>
  <c r="BH126" i="50"/>
  <c r="BH134" i="50"/>
  <c r="BH112" i="50"/>
  <c r="BH124" i="50"/>
  <c r="BH118" i="50"/>
  <c r="BH139" i="50"/>
  <c r="BH121" i="50"/>
  <c r="BH114" i="50"/>
  <c r="BH113" i="50"/>
  <c r="BH128" i="50"/>
  <c r="BH135" i="50"/>
  <c r="BH133" i="50"/>
  <c r="BH120" i="50"/>
  <c r="BH123" i="50"/>
  <c r="BH115" i="50"/>
  <c r="BH117" i="50"/>
  <c r="BH111" i="50"/>
  <c r="BH130" i="50"/>
  <c r="BH125" i="50"/>
  <c r="BH136" i="50"/>
  <c r="BH122" i="50"/>
  <c r="BH119" i="50"/>
  <c r="BH129" i="50"/>
  <c r="CA117" i="50"/>
  <c r="CA113" i="50"/>
  <c r="CA119" i="50"/>
  <c r="CA115" i="50"/>
  <c r="CA121" i="50"/>
  <c r="CA111" i="50"/>
  <c r="CA124" i="50"/>
  <c r="CA122" i="50"/>
  <c r="CA116" i="50"/>
  <c r="CA133" i="50"/>
  <c r="CA130" i="50"/>
  <c r="CA136" i="50"/>
  <c r="CA118" i="50"/>
  <c r="CA127" i="50"/>
  <c r="CA126" i="50"/>
  <c r="CA132" i="50"/>
  <c r="CA114" i="50"/>
  <c r="CA138" i="50"/>
  <c r="CA112" i="50"/>
  <c r="CA135" i="50"/>
  <c r="CA125" i="50"/>
  <c r="CA128" i="50"/>
  <c r="CA131" i="50"/>
  <c r="CA139" i="50"/>
  <c r="CA120" i="50"/>
  <c r="CA123" i="50"/>
  <c r="CA134" i="50"/>
  <c r="CA129" i="50"/>
  <c r="CA137" i="50"/>
  <c r="CG113" i="50"/>
  <c r="CG115" i="50"/>
  <c r="CG111" i="50"/>
  <c r="CG134" i="50"/>
  <c r="CG114" i="50"/>
  <c r="CG133" i="50"/>
  <c r="CG121" i="50"/>
  <c r="CG118" i="50"/>
  <c r="CG124" i="50"/>
  <c r="CG119" i="50"/>
  <c r="CG123" i="50"/>
  <c r="CG139" i="50"/>
  <c r="CG112" i="50"/>
  <c r="CG130" i="50"/>
  <c r="CG129" i="50"/>
  <c r="CG136" i="50"/>
  <c r="CG135" i="50"/>
  <c r="CG126" i="50"/>
  <c r="CG125" i="50"/>
  <c r="CG116" i="50"/>
  <c r="CG132" i="50"/>
  <c r="CG131" i="50"/>
  <c r="CG117" i="50"/>
  <c r="CG122" i="50"/>
  <c r="CG138" i="50"/>
  <c r="CG120" i="50"/>
  <c r="CG137" i="50"/>
  <c r="CG127" i="50"/>
  <c r="CG128" i="50"/>
  <c r="CT116" i="50"/>
  <c r="CT132" i="50"/>
  <c r="CT113" i="50"/>
  <c r="CT122" i="50"/>
  <c r="CT138" i="50"/>
  <c r="CT110" i="50"/>
  <c r="CT128" i="50"/>
  <c r="CT109" i="50"/>
  <c r="CT118" i="50"/>
  <c r="CT134" i="50"/>
  <c r="CT124" i="50"/>
  <c r="CT130" i="50"/>
  <c r="CT111" i="50"/>
  <c r="CT120" i="50"/>
  <c r="CT136" i="50"/>
  <c r="CT121" i="50"/>
  <c r="CT123" i="50"/>
  <c r="CT126" i="50"/>
  <c r="CT137" i="50"/>
  <c r="CT139" i="50"/>
  <c r="CT112" i="50"/>
  <c r="CT125" i="50"/>
  <c r="CT114" i="50"/>
  <c r="CT117" i="50"/>
  <c r="CT119" i="50"/>
  <c r="CT133" i="50"/>
  <c r="CT131" i="50"/>
  <c r="CT135" i="50"/>
  <c r="CT127" i="50"/>
  <c r="CT129" i="50"/>
  <c r="CT115" i="50"/>
  <c r="AL117" i="50"/>
  <c r="AL133" i="50"/>
  <c r="AL123" i="50"/>
  <c r="AL139" i="50"/>
  <c r="AL132" i="50"/>
  <c r="AL113" i="50"/>
  <c r="AL129" i="50"/>
  <c r="AL119" i="50"/>
  <c r="AL135" i="50"/>
  <c r="AL125" i="50"/>
  <c r="AL121" i="50"/>
  <c r="AL137" i="50"/>
  <c r="AL111" i="50"/>
  <c r="AL127" i="50"/>
  <c r="AL114" i="50"/>
  <c r="AL136" i="50"/>
  <c r="AL120" i="50"/>
  <c r="AL124" i="50"/>
  <c r="AL130" i="50"/>
  <c r="AL118" i="50"/>
  <c r="AL128" i="50"/>
  <c r="AL115" i="50"/>
  <c r="AL112" i="50"/>
  <c r="AL126" i="50"/>
  <c r="AL116" i="50"/>
  <c r="AL134" i="50"/>
  <c r="AL138" i="50"/>
  <c r="AL122" i="50"/>
  <c r="AL131" i="50"/>
  <c r="AQ126" i="50"/>
  <c r="AQ113" i="50"/>
  <c r="AQ129" i="50"/>
  <c r="AQ116" i="50"/>
  <c r="AQ132" i="50"/>
  <c r="AQ122" i="50"/>
  <c r="AQ138" i="50"/>
  <c r="AQ125" i="50"/>
  <c r="AQ112" i="50"/>
  <c r="AQ128" i="50"/>
  <c r="AQ115" i="50"/>
  <c r="AQ131" i="50"/>
  <c r="AQ124" i="50"/>
  <c r="AQ111" i="50"/>
  <c r="AQ127" i="50"/>
  <c r="AQ114" i="50"/>
  <c r="AQ130" i="50"/>
  <c r="AQ117" i="50"/>
  <c r="AQ133" i="50"/>
  <c r="AQ120" i="50"/>
  <c r="AQ119" i="50"/>
  <c r="AQ134" i="50"/>
  <c r="AQ121" i="50"/>
  <c r="AQ135" i="50"/>
  <c r="AQ118" i="50"/>
  <c r="AQ136" i="50"/>
  <c r="AQ123" i="50"/>
  <c r="AQ137" i="50"/>
  <c r="AQ139" i="50"/>
  <c r="AF122" i="50"/>
  <c r="AF118" i="50"/>
  <c r="AF134" i="50"/>
  <c r="AF120" i="50"/>
  <c r="AF124" i="50"/>
  <c r="AF132" i="50"/>
  <c r="AF119" i="50"/>
  <c r="AF135" i="50"/>
  <c r="AF116" i="50"/>
  <c r="AF125" i="50"/>
  <c r="AF126" i="50"/>
  <c r="AF115" i="50"/>
  <c r="AF131" i="50"/>
  <c r="AF121" i="50"/>
  <c r="AF137" i="50"/>
  <c r="AF128" i="50"/>
  <c r="AF136" i="50"/>
  <c r="AF111" i="50"/>
  <c r="AF127" i="50"/>
  <c r="AF112" i="50"/>
  <c r="AF117" i="50"/>
  <c r="AF133" i="50"/>
  <c r="AF138" i="50"/>
  <c r="AF129" i="50"/>
  <c r="AF130" i="50"/>
  <c r="AF123" i="50"/>
  <c r="AF139" i="50"/>
  <c r="AF114" i="50"/>
  <c r="AF113" i="50"/>
  <c r="BN111" i="50"/>
  <c r="BN113" i="50"/>
  <c r="BN112" i="50"/>
  <c r="BN125" i="50"/>
  <c r="BN128" i="50"/>
  <c r="BN115" i="50"/>
  <c r="BN114" i="50"/>
  <c r="BN130" i="50"/>
  <c r="BN132" i="50"/>
  <c r="BN138" i="50"/>
  <c r="BN119" i="50"/>
  <c r="BN120" i="50"/>
  <c r="BN134" i="50"/>
  <c r="BN118" i="50"/>
  <c r="BN117" i="50"/>
  <c r="BN116" i="50"/>
  <c r="BN127" i="50"/>
  <c r="BN122" i="50"/>
  <c r="BN126" i="50"/>
  <c r="BN136" i="50"/>
  <c r="BN123" i="50"/>
  <c r="BN135" i="50"/>
  <c r="BN133" i="50"/>
  <c r="BN124" i="50"/>
  <c r="BN129" i="50"/>
  <c r="BN131" i="50"/>
  <c r="BN139" i="50"/>
  <c r="BN137" i="50"/>
  <c r="BN121" i="50"/>
  <c r="BS112" i="50"/>
  <c r="BS123" i="50"/>
  <c r="BS118" i="50"/>
  <c r="BS114" i="50"/>
  <c r="BS126" i="50"/>
  <c r="BS120" i="50"/>
  <c r="BS139" i="50"/>
  <c r="BS113" i="50"/>
  <c r="BS111" i="50"/>
  <c r="BS116" i="50"/>
  <c r="BS129" i="50"/>
  <c r="BS115" i="50"/>
  <c r="BS124" i="50"/>
  <c r="BS135" i="50"/>
  <c r="BS138" i="50"/>
  <c r="BS117" i="50"/>
  <c r="BS134" i="50"/>
  <c r="BS131" i="50"/>
  <c r="BS125" i="50"/>
  <c r="BS137" i="50"/>
  <c r="BS121" i="50"/>
  <c r="BS127" i="50"/>
  <c r="BS133" i="50"/>
  <c r="BS130" i="50"/>
  <c r="BS122" i="50"/>
  <c r="BS136" i="50"/>
  <c r="BS128" i="50"/>
  <c r="BS119" i="50"/>
  <c r="BS132" i="50"/>
  <c r="CC114" i="50"/>
  <c r="CC116" i="50"/>
  <c r="CC112" i="50"/>
  <c r="CC129" i="50"/>
  <c r="CC128" i="50"/>
  <c r="CC122" i="50"/>
  <c r="CC135" i="50"/>
  <c r="CC117" i="50"/>
  <c r="CC134" i="50"/>
  <c r="CC125" i="50"/>
  <c r="CC124" i="50"/>
  <c r="CC111" i="50"/>
  <c r="CC120" i="50"/>
  <c r="CC131" i="50"/>
  <c r="CC130" i="50"/>
  <c r="CC119" i="50"/>
  <c r="CC115" i="50"/>
  <c r="CC137" i="50"/>
  <c r="CC121" i="50"/>
  <c r="CC136" i="50"/>
  <c r="CC127" i="50"/>
  <c r="CC126" i="50"/>
  <c r="CC133" i="50"/>
  <c r="CC132" i="50"/>
  <c r="CC139" i="50"/>
  <c r="CC118" i="50"/>
  <c r="CC138" i="50"/>
  <c r="CC113" i="50"/>
  <c r="CC123" i="50"/>
  <c r="CV127" i="50"/>
  <c r="CV124" i="50"/>
  <c r="CV117" i="50"/>
  <c r="CV133" i="50"/>
  <c r="CV112" i="50"/>
  <c r="CV123" i="50"/>
  <c r="CV139" i="50"/>
  <c r="CV120" i="50"/>
  <c r="CV136" i="50"/>
  <c r="CV129" i="50"/>
  <c r="CV110" i="50"/>
  <c r="CV126" i="50"/>
  <c r="CV119" i="50"/>
  <c r="CV135" i="50"/>
  <c r="CV113" i="50"/>
  <c r="CV116" i="50"/>
  <c r="CV132" i="50"/>
  <c r="CV125" i="50"/>
  <c r="CV122" i="50"/>
  <c r="CV138" i="50"/>
  <c r="CV109" i="50"/>
  <c r="CV115" i="50"/>
  <c r="CV131" i="50"/>
  <c r="CV128" i="50"/>
  <c r="CV121" i="50"/>
  <c r="CV111" i="50"/>
  <c r="CV118" i="50"/>
  <c r="CV137" i="50"/>
  <c r="CV114" i="50"/>
  <c r="CV130" i="50"/>
  <c r="CV134" i="50"/>
  <c r="AM121" i="50"/>
  <c r="AM137" i="50"/>
  <c r="AM124" i="50"/>
  <c r="AM111" i="50"/>
  <c r="AM127" i="50"/>
  <c r="AM117" i="50"/>
  <c r="AM133" i="50"/>
  <c r="AM120" i="50"/>
  <c r="AM136" i="50"/>
  <c r="AM123" i="50"/>
  <c r="AM139" i="50"/>
  <c r="AM126" i="50"/>
  <c r="AM119" i="50"/>
  <c r="AM135" i="50"/>
  <c r="AM122" i="50"/>
  <c r="AM138" i="50"/>
  <c r="AM125" i="50"/>
  <c r="AM112" i="50"/>
  <c r="AM128" i="50"/>
  <c r="AM114" i="50"/>
  <c r="AM116" i="50"/>
  <c r="AM130" i="50"/>
  <c r="AM129" i="50"/>
  <c r="AM118" i="50"/>
  <c r="AM132" i="50"/>
  <c r="AM131" i="50"/>
  <c r="AM134" i="50"/>
  <c r="AM113" i="50"/>
  <c r="AM115" i="50"/>
  <c r="AD125" i="50"/>
  <c r="AD114" i="50"/>
  <c r="AD128" i="50"/>
  <c r="AD134" i="50"/>
  <c r="AD115" i="50"/>
  <c r="AD131" i="50"/>
  <c r="AD120" i="50"/>
  <c r="AD130" i="50"/>
  <c r="AD121" i="50"/>
  <c r="AD137" i="50"/>
  <c r="AD126" i="50"/>
  <c r="AD111" i="50"/>
  <c r="AD127" i="50"/>
  <c r="AD116" i="50"/>
  <c r="AD136" i="50"/>
  <c r="AD117" i="50"/>
  <c r="AD133" i="50"/>
  <c r="AD122" i="50"/>
  <c r="AD138" i="50"/>
  <c r="AD123" i="50"/>
  <c r="AD139" i="50"/>
  <c r="AD112" i="50"/>
  <c r="AD132" i="50"/>
  <c r="AD135" i="50"/>
  <c r="AD113" i="50"/>
  <c r="AD129" i="50"/>
  <c r="AD118" i="50"/>
  <c r="AD119" i="50"/>
  <c r="AD124" i="50"/>
  <c r="BO117" i="50"/>
  <c r="BO116" i="50"/>
  <c r="BO113" i="50"/>
  <c r="BO122" i="50"/>
  <c r="BO115" i="50"/>
  <c r="BO121" i="50"/>
  <c r="BO111" i="50"/>
  <c r="BO134" i="50"/>
  <c r="BO133" i="50"/>
  <c r="BO125" i="50"/>
  <c r="BO126" i="50"/>
  <c r="BO123" i="50"/>
  <c r="BO114" i="50"/>
  <c r="BO129" i="50"/>
  <c r="BO112" i="50"/>
  <c r="BO130" i="50"/>
  <c r="BO136" i="50"/>
  <c r="BO119" i="50"/>
  <c r="BO137" i="50"/>
  <c r="BO132" i="50"/>
  <c r="BO120" i="50"/>
  <c r="BO138" i="50"/>
  <c r="BO128" i="50"/>
  <c r="BO118" i="50"/>
  <c r="BO131" i="50"/>
  <c r="BO127" i="50"/>
  <c r="BO124" i="50"/>
  <c r="BO135" i="50"/>
  <c r="BO139" i="50"/>
  <c r="DG122" i="50"/>
  <c r="DG138" i="50"/>
  <c r="DG137" i="50"/>
  <c r="DG112" i="50"/>
  <c r="DG128" i="50"/>
  <c r="DG118" i="50"/>
  <c r="DG134" i="50"/>
  <c r="DG133" i="50"/>
  <c r="DG131" i="50"/>
  <c r="DG121" i="50"/>
  <c r="DG124" i="50"/>
  <c r="DG114" i="50"/>
  <c r="DG130" i="50"/>
  <c r="DG117" i="50"/>
  <c r="DG115" i="50"/>
  <c r="DG120" i="50"/>
  <c r="DG136" i="50"/>
  <c r="DG129" i="50"/>
  <c r="DG110" i="50"/>
  <c r="DG126" i="50"/>
  <c r="DG135" i="50"/>
  <c r="DG119" i="50"/>
  <c r="DG139" i="50"/>
  <c r="DG116" i="50"/>
  <c r="DG125" i="50"/>
  <c r="DG123" i="50"/>
  <c r="DG127" i="50"/>
  <c r="DG132" i="50"/>
  <c r="DG111" i="50"/>
  <c r="DG113" i="50"/>
  <c r="DB123" i="50"/>
  <c r="DB139" i="50"/>
  <c r="DB114" i="50"/>
  <c r="DB130" i="50"/>
  <c r="DB113" i="50"/>
  <c r="DB129" i="50"/>
  <c r="DB120" i="50"/>
  <c r="DB136" i="50"/>
  <c r="DB119" i="50"/>
  <c r="DB135" i="50"/>
  <c r="DB110" i="50"/>
  <c r="DB126" i="50"/>
  <c r="DB125" i="50"/>
  <c r="DB116" i="50"/>
  <c r="DB132" i="50"/>
  <c r="DB115" i="50"/>
  <c r="DB131" i="50"/>
  <c r="DB122" i="50"/>
  <c r="DB138" i="50"/>
  <c r="DB121" i="50"/>
  <c r="DB137" i="50"/>
  <c r="DB112" i="50"/>
  <c r="DB128" i="50"/>
  <c r="DB111" i="50"/>
  <c r="DB127" i="50"/>
  <c r="DB118" i="50"/>
  <c r="DB134" i="50"/>
  <c r="DB133" i="50"/>
  <c r="DB124" i="50"/>
  <c r="DB117" i="50"/>
  <c r="BC125" i="50"/>
  <c r="BC112" i="50"/>
  <c r="BC135" i="50"/>
  <c r="BC133" i="50"/>
  <c r="BC115" i="50"/>
  <c r="BC131" i="50"/>
  <c r="BC114" i="50"/>
  <c r="BC121" i="50"/>
  <c r="BC111" i="50"/>
  <c r="BC127" i="50"/>
  <c r="BC120" i="50"/>
  <c r="BC137" i="50"/>
  <c r="BC136" i="50"/>
  <c r="BC117" i="50"/>
  <c r="BC122" i="50"/>
  <c r="BC123" i="50"/>
  <c r="BC113" i="50"/>
  <c r="BC129" i="50"/>
  <c r="BC139" i="50"/>
  <c r="BC119" i="50"/>
  <c r="BC128" i="50"/>
  <c r="BC138" i="50"/>
  <c r="BC118" i="50"/>
  <c r="BC124" i="50"/>
  <c r="BC116" i="50"/>
  <c r="BC132" i="50"/>
  <c r="BC130" i="50"/>
  <c r="BC126" i="50"/>
  <c r="BC134" i="50"/>
  <c r="CI111" i="50"/>
  <c r="CI113" i="50"/>
  <c r="CI119" i="50"/>
  <c r="CI115" i="50"/>
  <c r="CI134" i="50"/>
  <c r="CI118" i="50"/>
  <c r="CI124" i="50"/>
  <c r="CI135" i="50"/>
  <c r="CI130" i="50"/>
  <c r="CI117" i="50"/>
  <c r="CI136" i="50"/>
  <c r="CI129" i="50"/>
  <c r="CI121" i="50"/>
  <c r="CI112" i="50"/>
  <c r="CI126" i="50"/>
  <c r="CI132" i="50"/>
  <c r="CI116" i="50"/>
  <c r="CI122" i="50"/>
  <c r="CI138" i="50"/>
  <c r="CI137" i="50"/>
  <c r="CI127" i="50"/>
  <c r="CI133" i="50"/>
  <c r="CI128" i="50"/>
  <c r="CI114" i="50"/>
  <c r="CI125" i="50"/>
  <c r="CI120" i="50"/>
  <c r="CI123" i="50"/>
  <c r="CI131" i="50"/>
  <c r="CI139" i="50"/>
  <c r="BZ116" i="50"/>
  <c r="BZ112" i="50"/>
  <c r="BZ114" i="50"/>
  <c r="BZ130" i="50"/>
  <c r="BZ136" i="50"/>
  <c r="BZ111" i="50"/>
  <c r="BZ125" i="50"/>
  <c r="BZ126" i="50"/>
  <c r="BZ113" i="50"/>
  <c r="BZ132" i="50"/>
  <c r="BZ118" i="50"/>
  <c r="BZ119" i="50"/>
  <c r="BZ121" i="50"/>
  <c r="BZ138" i="50"/>
  <c r="BZ128" i="50"/>
  <c r="BZ122" i="50"/>
  <c r="BZ134" i="50"/>
  <c r="BZ115" i="50"/>
  <c r="BZ123" i="50"/>
  <c r="BZ133" i="50"/>
  <c r="BZ129" i="50"/>
  <c r="BZ131" i="50"/>
  <c r="BZ127" i="50"/>
  <c r="BZ117" i="50"/>
  <c r="BZ124" i="50"/>
  <c r="BZ137" i="50"/>
  <c r="BZ139" i="50"/>
  <c r="BZ135" i="50"/>
  <c r="BZ120" i="50"/>
  <c r="CX112" i="50"/>
  <c r="CX111" i="50"/>
  <c r="CX121" i="50"/>
  <c r="CX137" i="50"/>
  <c r="CX113" i="50"/>
  <c r="CX127" i="50"/>
  <c r="CX117" i="50"/>
  <c r="CX133" i="50"/>
  <c r="CX114" i="50"/>
  <c r="CX123" i="50"/>
  <c r="CX139" i="50"/>
  <c r="CX129" i="50"/>
  <c r="CX110" i="50"/>
  <c r="CX119" i="50"/>
  <c r="CX135" i="50"/>
  <c r="CX125" i="50"/>
  <c r="CX124" i="50"/>
  <c r="CX138" i="50"/>
  <c r="CX120" i="50"/>
  <c r="CX116" i="50"/>
  <c r="CX118" i="50"/>
  <c r="CX131" i="50"/>
  <c r="CX132" i="50"/>
  <c r="CX134" i="50"/>
  <c r="CX126" i="50"/>
  <c r="CX128" i="50"/>
  <c r="CX109" i="50"/>
  <c r="CX130" i="50"/>
  <c r="CX122" i="50"/>
  <c r="CX136" i="50"/>
  <c r="CX115" i="50"/>
  <c r="AO124" i="50"/>
  <c r="AO119" i="50"/>
  <c r="AO128" i="50"/>
  <c r="AO118" i="50"/>
  <c r="AO122" i="50"/>
  <c r="AO123" i="50"/>
  <c r="AO135" i="50"/>
  <c r="AO113" i="50"/>
  <c r="AO116" i="50"/>
  <c r="AO137" i="50"/>
  <c r="AO117" i="50"/>
  <c r="AO132" i="50"/>
  <c r="AO130" i="50"/>
  <c r="AO138" i="50"/>
  <c r="AO121" i="50"/>
  <c r="AO114" i="50"/>
  <c r="AO111" i="50"/>
  <c r="AO115" i="50"/>
  <c r="AO129" i="50"/>
  <c r="AO139" i="50"/>
  <c r="AO127" i="50"/>
  <c r="AO120" i="50"/>
  <c r="AO126" i="50"/>
  <c r="AO136" i="50"/>
  <c r="AO131" i="50"/>
  <c r="AO134" i="50"/>
  <c r="AO112" i="50"/>
  <c r="AO125" i="50"/>
  <c r="AO133" i="50"/>
  <c r="AJ114" i="50"/>
  <c r="AJ130" i="50"/>
  <c r="AJ123" i="50"/>
  <c r="AJ126" i="50"/>
  <c r="AJ119" i="50"/>
  <c r="AJ116" i="50"/>
  <c r="AJ132" i="50"/>
  <c r="AJ125" i="50"/>
  <c r="AJ112" i="50"/>
  <c r="AJ128" i="50"/>
  <c r="AJ121" i="50"/>
  <c r="AJ118" i="50"/>
  <c r="AJ134" i="50"/>
  <c r="AJ113" i="50"/>
  <c r="AJ135" i="50"/>
  <c r="AJ120" i="50"/>
  <c r="AJ115" i="50"/>
  <c r="AJ139" i="50"/>
  <c r="AJ133" i="50"/>
  <c r="AJ131" i="50"/>
  <c r="AJ122" i="50"/>
  <c r="AJ136" i="50"/>
  <c r="AJ127" i="50"/>
  <c r="AJ124" i="50"/>
  <c r="AJ117" i="50"/>
  <c r="AJ138" i="50"/>
  <c r="AJ137" i="50"/>
  <c r="AJ111" i="50"/>
  <c r="AJ129" i="50"/>
  <c r="AA112" i="50"/>
  <c r="AA128" i="50"/>
  <c r="AA113" i="50"/>
  <c r="AA129" i="50"/>
  <c r="AA118" i="50"/>
  <c r="AA134" i="50"/>
  <c r="AA119" i="50"/>
  <c r="AA135" i="50"/>
  <c r="AA124" i="50"/>
  <c r="AA125" i="50"/>
  <c r="AA114" i="50"/>
  <c r="AA130" i="50"/>
  <c r="AA115" i="50"/>
  <c r="AA131" i="50"/>
  <c r="AA120" i="50"/>
  <c r="AA136" i="50"/>
  <c r="AA121" i="50"/>
  <c r="AA137" i="50"/>
  <c r="AA126" i="50"/>
  <c r="AA111" i="50"/>
  <c r="AA127" i="50"/>
  <c r="AA122" i="50"/>
  <c r="AA139" i="50"/>
  <c r="AA116" i="50"/>
  <c r="AA132" i="50"/>
  <c r="AA117" i="50"/>
  <c r="AA133" i="50"/>
  <c r="AA138" i="50"/>
  <c r="AA123" i="50"/>
  <c r="BQ125" i="50"/>
  <c r="BQ139" i="50"/>
  <c r="BQ112" i="50"/>
  <c r="BQ115" i="50"/>
  <c r="BQ129" i="50"/>
  <c r="BQ121" i="50"/>
  <c r="BQ124" i="50"/>
  <c r="BQ135" i="50"/>
  <c r="BQ111" i="50"/>
  <c r="BQ114" i="50"/>
  <c r="BQ117" i="50"/>
  <c r="BQ123" i="50"/>
  <c r="BQ137" i="50"/>
  <c r="BQ113" i="50"/>
  <c r="BQ127" i="50"/>
  <c r="BQ133" i="50"/>
  <c r="BQ128" i="50"/>
  <c r="BQ116" i="50"/>
  <c r="BQ134" i="50"/>
  <c r="BQ119" i="50"/>
  <c r="BQ130" i="50"/>
  <c r="BQ126" i="50"/>
  <c r="BQ122" i="50"/>
  <c r="BQ136" i="50"/>
  <c r="BQ132" i="50"/>
  <c r="BQ120" i="50"/>
  <c r="BQ131" i="50"/>
  <c r="BQ138" i="50"/>
  <c r="BQ118" i="50"/>
  <c r="BL134" i="50"/>
  <c r="BL126" i="50"/>
  <c r="BL112" i="50"/>
  <c r="BL118" i="50"/>
  <c r="BL130" i="50"/>
  <c r="BL136" i="50"/>
  <c r="BL114" i="50"/>
  <c r="BL120" i="50"/>
  <c r="BL132" i="50"/>
  <c r="BL138" i="50"/>
  <c r="BL122" i="50"/>
  <c r="BL123" i="50"/>
  <c r="BL115" i="50"/>
  <c r="BL131" i="50"/>
  <c r="BL116" i="50"/>
  <c r="BL137" i="50"/>
  <c r="BL128" i="50"/>
  <c r="BL127" i="50"/>
  <c r="BL124" i="50"/>
  <c r="BL133" i="50"/>
  <c r="BL113" i="50"/>
  <c r="BL139" i="50"/>
  <c r="BL129" i="50"/>
  <c r="BL119" i="50"/>
  <c r="BL117" i="50"/>
  <c r="BL135" i="50"/>
  <c r="BL121" i="50"/>
  <c r="BL125" i="50"/>
  <c r="BL111" i="50"/>
  <c r="AZ116" i="50"/>
  <c r="AZ124" i="50"/>
  <c r="AZ129" i="50"/>
  <c r="AZ134" i="50"/>
  <c r="AZ112" i="50"/>
  <c r="AZ118" i="50"/>
  <c r="AZ128" i="50"/>
  <c r="AZ139" i="50"/>
  <c r="AZ115" i="50"/>
  <c r="AZ136" i="50"/>
  <c r="AZ126" i="50"/>
  <c r="AZ114" i="50"/>
  <c r="AZ120" i="50"/>
  <c r="AZ125" i="50"/>
  <c r="AZ138" i="50"/>
  <c r="AZ130" i="50"/>
  <c r="AZ127" i="50"/>
  <c r="AZ131" i="50"/>
  <c r="AZ122" i="50"/>
  <c r="AZ133" i="50"/>
  <c r="AZ132" i="50"/>
  <c r="AZ135" i="50"/>
  <c r="AZ117" i="50"/>
  <c r="AZ121" i="50"/>
  <c r="AZ137" i="50"/>
  <c r="AZ123" i="50"/>
  <c r="AZ111" i="50"/>
  <c r="AZ113" i="50"/>
  <c r="AZ119" i="50"/>
  <c r="DF112" i="50"/>
  <c r="DF128" i="50"/>
  <c r="DF119" i="50"/>
  <c r="DF135" i="50"/>
  <c r="DF118" i="50"/>
  <c r="DF134" i="50"/>
  <c r="DF125" i="50"/>
  <c r="DF124" i="50"/>
  <c r="DF115" i="50"/>
  <c r="DF131" i="50"/>
  <c r="DF114" i="50"/>
  <c r="DF130" i="50"/>
  <c r="DF121" i="50"/>
  <c r="DF137" i="50"/>
  <c r="DF120" i="50"/>
  <c r="DF136" i="50"/>
  <c r="DF111" i="50"/>
  <c r="DF127" i="50"/>
  <c r="DF110" i="50"/>
  <c r="DF126" i="50"/>
  <c r="DF117" i="50"/>
  <c r="DF133" i="50"/>
  <c r="DF116" i="50"/>
  <c r="DF132" i="50"/>
  <c r="DF123" i="50"/>
  <c r="DF139" i="50"/>
  <c r="DF138" i="50"/>
  <c r="DF129" i="50"/>
  <c r="DF113" i="50"/>
  <c r="DF122" i="50"/>
  <c r="AW116" i="50"/>
  <c r="AW132" i="50"/>
  <c r="AW122" i="50"/>
  <c r="AW112" i="50"/>
  <c r="AW128" i="50"/>
  <c r="AW118" i="50"/>
  <c r="AW134" i="50"/>
  <c r="AW114" i="50"/>
  <c r="AW130" i="50"/>
  <c r="AW120" i="50"/>
  <c r="AW123" i="50"/>
  <c r="AW113" i="50"/>
  <c r="AW129" i="50"/>
  <c r="AW136" i="50"/>
  <c r="AW119" i="50"/>
  <c r="AW124" i="50"/>
  <c r="AW125" i="50"/>
  <c r="AW139" i="50"/>
  <c r="AW126" i="50"/>
  <c r="AW115" i="50"/>
  <c r="AW138" i="50"/>
  <c r="AW121" i="50"/>
  <c r="AW111" i="50"/>
  <c r="AW127" i="50"/>
  <c r="AW117" i="50"/>
  <c r="AW133" i="50"/>
  <c r="AW135" i="50"/>
  <c r="AW137" i="50"/>
  <c r="AW131" i="50"/>
  <c r="CM123" i="50"/>
  <c r="CM139" i="50"/>
  <c r="CM109" i="50"/>
  <c r="CM111" i="50"/>
  <c r="CM129" i="50"/>
  <c r="CM112" i="50"/>
  <c r="CM119" i="50"/>
  <c r="CM135" i="50"/>
  <c r="CM110" i="50"/>
  <c r="CM125" i="50"/>
  <c r="CM113" i="50"/>
  <c r="CM115" i="50"/>
  <c r="CM131" i="50"/>
  <c r="CM121" i="50"/>
  <c r="CM137" i="50"/>
  <c r="CM127" i="50"/>
  <c r="CM136" i="50"/>
  <c r="CM138" i="50"/>
  <c r="CM133" i="50"/>
  <c r="CM124" i="50"/>
  <c r="CM114" i="50"/>
  <c r="CM116" i="50"/>
  <c r="CM118" i="50"/>
  <c r="CM132" i="50"/>
  <c r="CM134" i="50"/>
  <c r="CM126" i="50"/>
  <c r="CM128" i="50"/>
  <c r="CM120" i="50"/>
  <c r="CM122" i="50"/>
  <c r="CM117" i="50"/>
  <c r="CM130" i="50"/>
  <c r="AT111" i="50"/>
  <c r="AT127" i="50"/>
  <c r="AT117" i="50"/>
  <c r="AT133" i="50"/>
  <c r="AT123" i="50"/>
  <c r="AT113" i="50"/>
  <c r="AT129" i="50"/>
  <c r="AT134" i="50"/>
  <c r="AT119" i="50"/>
  <c r="AT135" i="50"/>
  <c r="AT115" i="50"/>
  <c r="AT131" i="50"/>
  <c r="AT121" i="50"/>
  <c r="AT137" i="50"/>
  <c r="AT138" i="50"/>
  <c r="AT112" i="50"/>
  <c r="AT128" i="50"/>
  <c r="AT122" i="50"/>
  <c r="AT139" i="50"/>
  <c r="AT126" i="50"/>
  <c r="AT116" i="50"/>
  <c r="AT120" i="50"/>
  <c r="AT132" i="50"/>
  <c r="AT130" i="50"/>
  <c r="AT136" i="50"/>
  <c r="AT125" i="50"/>
  <c r="AT124" i="50"/>
  <c r="AT114" i="50"/>
  <c r="AT118" i="50"/>
  <c r="BR116" i="50"/>
  <c r="BR112" i="50"/>
  <c r="BR111" i="50"/>
  <c r="BR121" i="50"/>
  <c r="BR133" i="50"/>
  <c r="BR114" i="50"/>
  <c r="BR113" i="50"/>
  <c r="BR120" i="50"/>
  <c r="BR124" i="50"/>
  <c r="BR125" i="50"/>
  <c r="BR122" i="50"/>
  <c r="BR128" i="50"/>
  <c r="BR139" i="50"/>
  <c r="BR127" i="50"/>
  <c r="BR135" i="50"/>
  <c r="BR118" i="50"/>
  <c r="BR130" i="50"/>
  <c r="BR136" i="50"/>
  <c r="BR129" i="50"/>
  <c r="BR115" i="50"/>
  <c r="BR117" i="50"/>
  <c r="BR131" i="50"/>
  <c r="BR137" i="50"/>
  <c r="BR138" i="50"/>
  <c r="BR123" i="50"/>
  <c r="BR132" i="50"/>
  <c r="BR134" i="50"/>
  <c r="BR119" i="50"/>
  <c r="BR126" i="50"/>
  <c r="DD115" i="50"/>
  <c r="DD131" i="50"/>
  <c r="DD130" i="50"/>
  <c r="DD118" i="50"/>
  <c r="DD121" i="50"/>
  <c r="DD137" i="50"/>
  <c r="DD110" i="50"/>
  <c r="DD111" i="50"/>
  <c r="DD127" i="50"/>
  <c r="DD114" i="50"/>
  <c r="DD128" i="50"/>
  <c r="DD132" i="50"/>
  <c r="DD117" i="50"/>
  <c r="DD133" i="50"/>
  <c r="DD126" i="50"/>
  <c r="DD123" i="50"/>
  <c r="DD139" i="50"/>
  <c r="DD138" i="50"/>
  <c r="DD112" i="50"/>
  <c r="DD116" i="50"/>
  <c r="DD113" i="50"/>
  <c r="DD129" i="50"/>
  <c r="DD122" i="50"/>
  <c r="DD136" i="50"/>
  <c r="DD119" i="50"/>
  <c r="DD135" i="50"/>
  <c r="DD134" i="50"/>
  <c r="DD120" i="50"/>
  <c r="DD125" i="50"/>
  <c r="DD124" i="50"/>
  <c r="DJ117" i="50"/>
  <c r="DJ133" i="50"/>
  <c r="DJ124" i="50"/>
  <c r="DJ123" i="50"/>
  <c r="DJ139" i="50"/>
  <c r="DJ114" i="50"/>
  <c r="DJ130" i="50"/>
  <c r="DJ113" i="50"/>
  <c r="DJ129" i="50"/>
  <c r="DJ120" i="50"/>
  <c r="DJ136" i="50"/>
  <c r="DJ119" i="50"/>
  <c r="DJ135" i="50"/>
  <c r="DJ110" i="50"/>
  <c r="DJ126" i="50"/>
  <c r="DJ125" i="50"/>
  <c r="DJ116" i="50"/>
  <c r="DJ132" i="50"/>
  <c r="DJ115" i="50"/>
  <c r="DJ131" i="50"/>
  <c r="DJ122" i="50"/>
  <c r="DJ138" i="50"/>
  <c r="DJ121" i="50"/>
  <c r="DJ137" i="50"/>
  <c r="DJ112" i="50"/>
  <c r="DJ128" i="50"/>
  <c r="DJ127" i="50"/>
  <c r="DJ118" i="50"/>
  <c r="DJ134" i="50"/>
  <c r="DJ111" i="50"/>
  <c r="BA121" i="50"/>
  <c r="BA111" i="50"/>
  <c r="BA127" i="50"/>
  <c r="BA117" i="50"/>
  <c r="BA133" i="50"/>
  <c r="BA123" i="50"/>
  <c r="BA119" i="50"/>
  <c r="BA125" i="50"/>
  <c r="BA115" i="50"/>
  <c r="BA112" i="50"/>
  <c r="BA128" i="50"/>
  <c r="BA118" i="50"/>
  <c r="BA132" i="50"/>
  <c r="BA124" i="50"/>
  <c r="BA114" i="50"/>
  <c r="BA130" i="50"/>
  <c r="BA137" i="50"/>
  <c r="BA120" i="50"/>
  <c r="BA134" i="50"/>
  <c r="BA129" i="50"/>
  <c r="BA126" i="50"/>
  <c r="BA131" i="50"/>
  <c r="BA116" i="50"/>
  <c r="BA139" i="50"/>
  <c r="BA113" i="50"/>
  <c r="BA122" i="50"/>
  <c r="BA136" i="50"/>
  <c r="BA138" i="50"/>
  <c r="BA135" i="50"/>
  <c r="CB118" i="50"/>
  <c r="CB114" i="50"/>
  <c r="CB116" i="50"/>
  <c r="CB125" i="50"/>
  <c r="CB138" i="50"/>
  <c r="CB111" i="50"/>
  <c r="CB120" i="50"/>
  <c r="CB131" i="50"/>
  <c r="CB128" i="50"/>
  <c r="CB137" i="50"/>
  <c r="CB117" i="50"/>
  <c r="CB134" i="50"/>
  <c r="CB115" i="50"/>
  <c r="CB112" i="50"/>
  <c r="CB127" i="50"/>
  <c r="CB121" i="50"/>
  <c r="CB124" i="50"/>
  <c r="CB133" i="50"/>
  <c r="CB113" i="50"/>
  <c r="CB130" i="50"/>
  <c r="CB123" i="50"/>
  <c r="CB139" i="50"/>
  <c r="CB136" i="50"/>
  <c r="CB129" i="50"/>
  <c r="CB126" i="50"/>
  <c r="CB119" i="50"/>
  <c r="CB135" i="50"/>
  <c r="CB132" i="50"/>
  <c r="CB122" i="50"/>
  <c r="CH112" i="50"/>
  <c r="CH117" i="50"/>
  <c r="CH118" i="50"/>
  <c r="CH124" i="50"/>
  <c r="CH130" i="50"/>
  <c r="CH111" i="50"/>
  <c r="CH136" i="50"/>
  <c r="CH119" i="50"/>
  <c r="CH127" i="50"/>
  <c r="CH121" i="50"/>
  <c r="CH126" i="50"/>
  <c r="CH114" i="50"/>
  <c r="CH132" i="50"/>
  <c r="CH115" i="50"/>
  <c r="CH122" i="50"/>
  <c r="CH138" i="50"/>
  <c r="CH120" i="50"/>
  <c r="CH135" i="50"/>
  <c r="CH128" i="50"/>
  <c r="CH113" i="50"/>
  <c r="CH123" i="50"/>
  <c r="CH125" i="50"/>
  <c r="CH131" i="50"/>
  <c r="CH116" i="50"/>
  <c r="CH133" i="50"/>
  <c r="CH129" i="50"/>
  <c r="CH139" i="50"/>
  <c r="CH134" i="50"/>
  <c r="CH137" i="50"/>
  <c r="CQ128" i="50"/>
  <c r="CQ118" i="50"/>
  <c r="CQ134" i="50"/>
  <c r="CQ124" i="50"/>
  <c r="CQ109" i="50"/>
  <c r="CQ130" i="50"/>
  <c r="CQ111" i="50"/>
  <c r="CQ120" i="50"/>
  <c r="CQ136" i="50"/>
  <c r="CQ114" i="50"/>
  <c r="CQ126" i="50"/>
  <c r="CQ116" i="50"/>
  <c r="CQ132" i="50"/>
  <c r="CQ122" i="50"/>
  <c r="CQ139" i="50"/>
  <c r="CQ115" i="50"/>
  <c r="CQ117" i="50"/>
  <c r="CQ131" i="50"/>
  <c r="CQ133" i="50"/>
  <c r="CQ135" i="50"/>
  <c r="CQ125" i="50"/>
  <c r="CQ127" i="50"/>
  <c r="CQ138" i="50"/>
  <c r="CQ112" i="50"/>
  <c r="CQ129" i="50"/>
  <c r="CQ113" i="50"/>
  <c r="CQ121" i="50"/>
  <c r="CQ123" i="50"/>
  <c r="CQ110" i="50"/>
  <c r="CQ137" i="50"/>
  <c r="CQ119" i="50"/>
  <c r="AP122" i="50"/>
  <c r="AP138" i="50"/>
  <c r="AP112" i="50"/>
  <c r="AP128" i="50"/>
  <c r="AP118" i="50"/>
  <c r="AP134" i="50"/>
  <c r="AP124" i="50"/>
  <c r="AP114" i="50"/>
  <c r="AP130" i="50"/>
  <c r="AP126" i="50"/>
  <c r="AP116" i="50"/>
  <c r="AP132" i="50"/>
  <c r="AP136" i="50"/>
  <c r="AP133" i="50"/>
  <c r="AP121" i="50"/>
  <c r="AP111" i="50"/>
  <c r="AP127" i="50"/>
  <c r="AP115" i="50"/>
  <c r="AP137" i="50"/>
  <c r="AP139" i="50"/>
  <c r="AP119" i="50"/>
  <c r="AP131" i="50"/>
  <c r="AP113" i="50"/>
  <c r="AP125" i="50"/>
  <c r="AP120" i="50"/>
  <c r="AP129" i="50"/>
  <c r="AP123" i="50"/>
  <c r="AP135" i="50"/>
  <c r="AP117" i="50"/>
  <c r="AR124" i="50"/>
  <c r="AR117" i="50"/>
  <c r="AR120" i="50"/>
  <c r="AR136" i="50"/>
  <c r="AR113" i="50"/>
  <c r="AR126" i="50"/>
  <c r="AR119" i="50"/>
  <c r="AR122" i="50"/>
  <c r="AR115" i="50"/>
  <c r="AR138" i="50"/>
  <c r="AR112" i="50"/>
  <c r="AR128" i="50"/>
  <c r="AR118" i="50"/>
  <c r="AR132" i="50"/>
  <c r="AR123" i="50"/>
  <c r="AR131" i="50"/>
  <c r="AR133" i="50"/>
  <c r="AR137" i="50"/>
  <c r="AR134" i="50"/>
  <c r="AR125" i="50"/>
  <c r="AR139" i="50"/>
  <c r="AR127" i="50"/>
  <c r="AR135" i="50"/>
  <c r="AR129" i="50"/>
  <c r="AR130" i="50"/>
  <c r="AR114" i="50"/>
  <c r="AR121" i="50"/>
  <c r="AR116" i="50"/>
  <c r="AR111" i="50"/>
  <c r="Y117" i="50"/>
  <c r="Y133" i="50"/>
  <c r="Y138" i="50"/>
  <c r="Y123" i="50"/>
  <c r="Y139" i="50"/>
  <c r="Y112" i="50"/>
  <c r="Y124" i="50"/>
  <c r="Y113" i="50"/>
  <c r="Y129" i="50"/>
  <c r="Y120" i="50"/>
  <c r="Y116" i="50"/>
  <c r="Y119" i="50"/>
  <c r="Y135" i="50"/>
  <c r="Y126" i="50"/>
  <c r="Y125" i="50"/>
  <c r="Y128" i="50"/>
  <c r="Y134" i="50"/>
  <c r="Y115" i="50"/>
  <c r="Y131" i="50"/>
  <c r="Y132" i="50"/>
  <c r="Y130" i="50"/>
  <c r="Y114" i="50"/>
  <c r="Y127" i="50"/>
  <c r="Y121" i="50"/>
  <c r="Y137" i="50"/>
  <c r="Y118" i="50"/>
  <c r="Y111" i="50"/>
  <c r="Y122" i="50"/>
  <c r="Y136" i="50"/>
  <c r="BV122" i="50"/>
  <c r="BV114" i="50"/>
  <c r="BV119" i="50"/>
  <c r="BV111" i="50"/>
  <c r="BV118" i="50"/>
  <c r="BV113" i="50"/>
  <c r="BV112" i="50"/>
  <c r="BV116" i="50"/>
  <c r="BV117" i="50"/>
  <c r="BV115" i="50"/>
  <c r="BV125" i="50"/>
  <c r="BV132" i="50"/>
  <c r="BV138" i="50"/>
  <c r="BV123" i="50"/>
  <c r="BV121" i="50"/>
  <c r="BV126" i="50"/>
  <c r="BV134" i="50"/>
  <c r="BV124" i="50"/>
  <c r="BV127" i="50"/>
  <c r="BV133" i="50"/>
  <c r="BV128" i="50"/>
  <c r="BV129" i="50"/>
  <c r="BV120" i="50"/>
  <c r="BV130" i="50"/>
  <c r="BV136" i="50"/>
  <c r="BV135" i="50"/>
  <c r="BV139" i="50"/>
  <c r="BV137" i="50"/>
  <c r="BV131" i="50"/>
  <c r="BT116" i="50"/>
  <c r="BT128" i="50"/>
  <c r="BT134" i="50"/>
  <c r="BT123" i="50"/>
  <c r="BT112" i="50"/>
  <c r="BT117" i="50"/>
  <c r="BT118" i="50"/>
  <c r="BT130" i="50"/>
  <c r="BT119" i="50"/>
  <c r="BT114" i="50"/>
  <c r="BT126" i="50"/>
  <c r="BT132" i="50"/>
  <c r="BT113" i="50"/>
  <c r="BT131" i="50"/>
  <c r="BT137" i="50"/>
  <c r="BT121" i="50"/>
  <c r="BT127" i="50"/>
  <c r="BT115" i="50"/>
  <c r="BT133" i="50"/>
  <c r="BT136" i="50"/>
  <c r="BT139" i="50"/>
  <c r="BT138" i="50"/>
  <c r="BT129" i="50"/>
  <c r="BT111" i="50"/>
  <c r="BT120" i="50"/>
  <c r="BT124" i="50"/>
  <c r="BT135" i="50"/>
  <c r="BT125" i="50"/>
  <c r="BT122" i="50"/>
  <c r="CD115" i="50"/>
  <c r="CD111" i="50"/>
  <c r="CD113" i="50"/>
  <c r="CD119" i="50"/>
  <c r="CD135" i="50"/>
  <c r="CD125" i="50"/>
  <c r="CD120" i="50"/>
  <c r="CD131" i="50"/>
  <c r="CD137" i="50"/>
  <c r="CD130" i="50"/>
  <c r="CD114" i="50"/>
  <c r="CD127" i="50"/>
  <c r="CD133" i="50"/>
  <c r="CD123" i="50"/>
  <c r="CD139" i="50"/>
  <c r="CD138" i="50"/>
  <c r="CD126" i="50"/>
  <c r="CD128" i="50"/>
  <c r="CD124" i="50"/>
  <c r="CD122" i="50"/>
  <c r="CD134" i="50"/>
  <c r="CD121" i="50"/>
  <c r="CD136" i="50"/>
  <c r="CD129" i="50"/>
  <c r="CD118" i="50"/>
  <c r="CD116" i="50"/>
  <c r="CD117" i="50"/>
  <c r="CD112" i="50"/>
  <c r="CD132" i="50"/>
  <c r="U112" i="50"/>
  <c r="U128" i="50"/>
  <c r="U139" i="50"/>
  <c r="U119" i="50"/>
  <c r="U118" i="50"/>
  <c r="U134" i="50"/>
  <c r="U115" i="50"/>
  <c r="U111" i="50"/>
  <c r="U125" i="50"/>
  <c r="U124" i="50"/>
  <c r="U110" i="50"/>
  <c r="U121" i="50"/>
  <c r="U129" i="50"/>
  <c r="U114" i="50"/>
  <c r="U130" i="50"/>
  <c r="U123" i="50"/>
  <c r="U120" i="50"/>
  <c r="U136" i="50"/>
  <c r="U127" i="50"/>
  <c r="U126" i="50"/>
  <c r="U131" i="50"/>
  <c r="U113" i="50"/>
  <c r="U137" i="50"/>
  <c r="U138" i="50"/>
  <c r="U116" i="50"/>
  <c r="U132" i="50"/>
  <c r="U135" i="50"/>
  <c r="U133" i="50"/>
  <c r="U117" i="50"/>
  <c r="U122" i="50"/>
  <c r="BP111" i="50"/>
  <c r="BP114" i="50"/>
  <c r="BP139" i="50"/>
  <c r="BP117" i="50"/>
  <c r="BP129" i="50"/>
  <c r="BP116" i="50"/>
  <c r="BP124" i="50"/>
  <c r="BP135" i="50"/>
  <c r="BP113" i="50"/>
  <c r="BP112" i="50"/>
  <c r="BP119" i="50"/>
  <c r="BP137" i="50"/>
  <c r="BP115" i="50"/>
  <c r="BP127" i="50"/>
  <c r="BP121" i="50"/>
  <c r="BP136" i="50"/>
  <c r="BP132" i="50"/>
  <c r="BP131" i="50"/>
  <c r="BP125" i="50"/>
  <c r="BP138" i="50"/>
  <c r="BP118" i="50"/>
  <c r="BP133" i="50"/>
  <c r="BP128" i="50"/>
  <c r="BP134" i="50"/>
  <c r="BP126" i="50"/>
  <c r="BP120" i="50"/>
  <c r="BP122" i="50"/>
  <c r="BP130" i="50"/>
  <c r="BP123" i="50"/>
  <c r="DH120" i="50"/>
  <c r="DH136" i="50"/>
  <c r="DH110" i="50"/>
  <c r="DH126" i="50"/>
  <c r="DH111" i="50"/>
  <c r="DH125" i="50"/>
  <c r="DH116" i="50"/>
  <c r="DH132" i="50"/>
  <c r="DH135" i="50"/>
  <c r="DH123" i="50"/>
  <c r="DH122" i="50"/>
  <c r="DH138" i="50"/>
  <c r="DH113" i="50"/>
  <c r="DH112" i="50"/>
  <c r="DH128" i="50"/>
  <c r="DH119" i="50"/>
  <c r="DH139" i="50"/>
  <c r="DH133" i="50"/>
  <c r="DH137" i="50"/>
  <c r="DH118" i="50"/>
  <c r="DH134" i="50"/>
  <c r="DH131" i="50"/>
  <c r="DH124" i="50"/>
  <c r="DH117" i="50"/>
  <c r="DH121" i="50"/>
  <c r="DH114" i="50"/>
  <c r="DH127" i="50"/>
  <c r="DH115" i="50"/>
  <c r="DH130" i="50"/>
  <c r="DH129" i="50"/>
  <c r="AY120" i="50"/>
  <c r="AY126" i="50"/>
  <c r="AY115" i="50"/>
  <c r="AY136" i="50"/>
  <c r="AY121" i="50"/>
  <c r="AY116" i="50"/>
  <c r="AY132" i="50"/>
  <c r="AY122" i="50"/>
  <c r="AY112" i="50"/>
  <c r="AY128" i="50"/>
  <c r="AY138" i="50"/>
  <c r="AY118" i="50"/>
  <c r="AY124" i="50"/>
  <c r="AY134" i="50"/>
  <c r="AY113" i="50"/>
  <c r="AY123" i="50"/>
  <c r="AY114" i="50"/>
  <c r="AY130" i="50"/>
  <c r="AY133" i="50"/>
  <c r="AY137" i="50"/>
  <c r="AY129" i="50"/>
  <c r="AY119" i="50"/>
  <c r="AY117" i="50"/>
  <c r="AY135" i="50"/>
  <c r="AY125" i="50"/>
  <c r="AY127" i="50"/>
  <c r="AY111" i="50"/>
  <c r="AY131" i="50"/>
  <c r="AY139" i="50"/>
  <c r="BE126" i="50"/>
  <c r="BE116" i="50"/>
  <c r="BE132" i="50"/>
  <c r="BE122" i="50"/>
  <c r="BE112" i="50"/>
  <c r="BE128" i="50"/>
  <c r="BE124" i="50"/>
  <c r="BE114" i="50"/>
  <c r="BE130" i="50"/>
  <c r="BE117" i="50"/>
  <c r="BE118" i="50"/>
  <c r="BE123" i="50"/>
  <c r="BE137" i="50"/>
  <c r="BE120" i="50"/>
  <c r="BE113" i="50"/>
  <c r="BE129" i="50"/>
  <c r="BE119" i="50"/>
  <c r="BE125" i="50"/>
  <c r="BE139" i="50"/>
  <c r="BE115" i="50"/>
  <c r="BE121" i="50"/>
  <c r="BE135" i="50"/>
  <c r="BE111" i="50"/>
  <c r="BE127" i="50"/>
  <c r="BE134" i="50"/>
  <c r="BE131" i="50"/>
  <c r="BE136" i="50"/>
  <c r="BE138" i="50"/>
  <c r="BE133" i="50"/>
  <c r="CE122" i="50"/>
  <c r="CE118" i="50"/>
  <c r="CE111" i="50"/>
  <c r="CE114" i="50"/>
  <c r="CE120" i="50"/>
  <c r="CE129" i="50"/>
  <c r="CE112" i="50"/>
  <c r="CE135" i="50"/>
  <c r="CE124" i="50"/>
  <c r="CE116" i="50"/>
  <c r="CE119" i="50"/>
  <c r="CE125" i="50"/>
  <c r="CE138" i="50"/>
  <c r="CE131" i="50"/>
  <c r="CE137" i="50"/>
  <c r="CE132" i="50"/>
  <c r="CE127" i="50"/>
  <c r="CE115" i="50"/>
  <c r="CE133" i="50"/>
  <c r="CE113" i="50"/>
  <c r="CE121" i="50"/>
  <c r="CE139" i="50"/>
  <c r="CE136" i="50"/>
  <c r="CE126" i="50"/>
  <c r="CE130" i="50"/>
  <c r="CE123" i="50"/>
  <c r="CE128" i="50"/>
  <c r="CE117" i="50"/>
  <c r="CE134" i="50"/>
  <c r="CO115" i="50"/>
  <c r="CO131" i="50"/>
  <c r="CO121" i="50"/>
  <c r="CO137" i="50"/>
  <c r="CO127" i="50"/>
  <c r="CO112" i="50"/>
  <c r="CO114" i="50"/>
  <c r="CO117" i="50"/>
  <c r="CO133" i="50"/>
  <c r="CO123" i="50"/>
  <c r="CO139" i="50"/>
  <c r="CO129" i="50"/>
  <c r="CO119" i="50"/>
  <c r="CO135" i="50"/>
  <c r="CO125" i="50"/>
  <c r="CO110" i="50"/>
  <c r="CO113" i="50"/>
  <c r="CO122" i="50"/>
  <c r="CO138" i="50"/>
  <c r="CO116" i="50"/>
  <c r="CO130" i="50"/>
  <c r="CO109" i="50"/>
  <c r="CO132" i="50"/>
  <c r="CO124" i="50"/>
  <c r="CO126" i="50"/>
  <c r="CO111" i="50"/>
  <c r="CO118" i="50"/>
  <c r="CO120" i="50"/>
  <c r="CO134" i="50"/>
  <c r="CO136" i="50"/>
  <c r="CO128" i="50"/>
  <c r="CU117" i="50"/>
  <c r="CU133" i="50"/>
  <c r="CU110" i="50"/>
  <c r="CU112" i="50"/>
  <c r="CU123" i="50"/>
  <c r="CU139" i="50"/>
  <c r="CU114" i="50"/>
  <c r="CU129" i="50"/>
  <c r="CU119" i="50"/>
  <c r="CU135" i="50"/>
  <c r="CU125" i="50"/>
  <c r="CU109" i="50"/>
  <c r="CU115" i="50"/>
  <c r="CU131" i="50"/>
  <c r="CU111" i="50"/>
  <c r="CU121" i="50"/>
  <c r="CU137" i="50"/>
  <c r="CU113" i="50"/>
  <c r="CU134" i="50"/>
  <c r="CU127" i="50"/>
  <c r="CU126" i="50"/>
  <c r="CU128" i="50"/>
  <c r="CU120" i="50"/>
  <c r="CU122" i="50"/>
  <c r="CU116" i="50"/>
  <c r="CU136" i="50"/>
  <c r="CU138" i="50"/>
  <c r="CU130" i="50"/>
  <c r="CU132" i="50"/>
  <c r="CU124" i="50"/>
  <c r="CU118" i="50"/>
  <c r="AK119" i="50"/>
  <c r="AK128" i="50"/>
  <c r="AK134" i="50"/>
  <c r="AK127" i="50"/>
  <c r="AK138" i="50"/>
  <c r="AK137" i="50"/>
  <c r="AK112" i="50"/>
  <c r="AK121" i="50"/>
  <c r="AK116" i="50"/>
  <c r="AK136" i="50"/>
  <c r="AK131" i="50"/>
  <c r="AK125" i="50"/>
  <c r="AK122" i="50"/>
  <c r="AK115" i="50"/>
  <c r="AK129" i="50"/>
  <c r="AK126" i="50"/>
  <c r="AK120" i="50"/>
  <c r="AK114" i="50"/>
  <c r="AK123" i="50"/>
  <c r="AK135" i="50"/>
  <c r="AK130" i="50"/>
  <c r="AK113" i="50"/>
  <c r="AK133" i="50"/>
  <c r="AK117" i="50"/>
  <c r="AK111" i="50"/>
  <c r="AK118" i="50"/>
  <c r="AK139" i="50"/>
  <c r="AK132" i="50"/>
  <c r="AK124" i="50"/>
  <c r="W123" i="50"/>
  <c r="W139" i="50"/>
  <c r="W124" i="50"/>
  <c r="W113" i="50"/>
  <c r="W129" i="50"/>
  <c r="W114" i="50"/>
  <c r="W130" i="50"/>
  <c r="W119" i="50"/>
  <c r="W135" i="50"/>
  <c r="W120" i="50"/>
  <c r="W136" i="50"/>
  <c r="W125" i="50"/>
  <c r="W126" i="50"/>
  <c r="W115" i="50"/>
  <c r="W131" i="50"/>
  <c r="W116" i="50"/>
  <c r="W132" i="50"/>
  <c r="W121" i="50"/>
  <c r="W137" i="50"/>
  <c r="W122" i="50"/>
  <c r="W138" i="50"/>
  <c r="W133" i="50"/>
  <c r="W118" i="50"/>
  <c r="W111" i="50"/>
  <c r="W127" i="50"/>
  <c r="W112" i="50"/>
  <c r="W128" i="50"/>
  <c r="W117" i="50"/>
  <c r="W134" i="50"/>
  <c r="AC122" i="50"/>
  <c r="AC138" i="50"/>
  <c r="AC127" i="50"/>
  <c r="AC112" i="50"/>
  <c r="AC128" i="50"/>
  <c r="AC115" i="50"/>
  <c r="AC118" i="50"/>
  <c r="AC134" i="50"/>
  <c r="AC117" i="50"/>
  <c r="AC124" i="50"/>
  <c r="AC125" i="50"/>
  <c r="AC121" i="50"/>
  <c r="AC131" i="50"/>
  <c r="AC114" i="50"/>
  <c r="AC130" i="50"/>
  <c r="AC129" i="50"/>
  <c r="AC120" i="50"/>
  <c r="AC136" i="50"/>
  <c r="AC111" i="50"/>
  <c r="AC116" i="50"/>
  <c r="AC135" i="50"/>
  <c r="AC123" i="50"/>
  <c r="AC126" i="50"/>
  <c r="AC133" i="50"/>
  <c r="AC139" i="50"/>
  <c r="AC132" i="50"/>
  <c r="AC137" i="50"/>
  <c r="AC113" i="50"/>
  <c r="AC119" i="50"/>
  <c r="BM117" i="50"/>
  <c r="BM120" i="50"/>
  <c r="BM134" i="50"/>
  <c r="BM126" i="50"/>
  <c r="BM113" i="50"/>
  <c r="BM116" i="50"/>
  <c r="BM130" i="50"/>
  <c r="BM122" i="50"/>
  <c r="BM125" i="50"/>
  <c r="BM136" i="50"/>
  <c r="BM112" i="50"/>
  <c r="BM115" i="50"/>
  <c r="BM118" i="50"/>
  <c r="BM132" i="50"/>
  <c r="BM124" i="50"/>
  <c r="BM138" i="50"/>
  <c r="BM111" i="50"/>
  <c r="BM123" i="50"/>
  <c r="BM139" i="50"/>
  <c r="BM114" i="50"/>
  <c r="BM129" i="50"/>
  <c r="BM121" i="50"/>
  <c r="BM135" i="50"/>
  <c r="BM119" i="50"/>
  <c r="BM131" i="50"/>
  <c r="BM137" i="50"/>
  <c r="BM128" i="50"/>
  <c r="BM127" i="50"/>
  <c r="BM133" i="50"/>
  <c r="DE110" i="50"/>
  <c r="DE126" i="50"/>
  <c r="DE119" i="50"/>
  <c r="DE135" i="50"/>
  <c r="DE116" i="50"/>
  <c r="DE132" i="50"/>
  <c r="DE125" i="50"/>
  <c r="DE122" i="50"/>
  <c r="DE115" i="50"/>
  <c r="DE131" i="50"/>
  <c r="DE112" i="50"/>
  <c r="DE128" i="50"/>
  <c r="DE121" i="50"/>
  <c r="DE137" i="50"/>
  <c r="DE118" i="50"/>
  <c r="DE134" i="50"/>
  <c r="DE111" i="50"/>
  <c r="DE127" i="50"/>
  <c r="DE124" i="50"/>
  <c r="DE117" i="50"/>
  <c r="DE133" i="50"/>
  <c r="DE139" i="50"/>
  <c r="DE114" i="50"/>
  <c r="DE130" i="50"/>
  <c r="DE123" i="50"/>
  <c r="DE138" i="50"/>
  <c r="DE120" i="50"/>
  <c r="DE113" i="50"/>
  <c r="DE136" i="50"/>
  <c r="DE129" i="50"/>
  <c r="DK111" i="50"/>
  <c r="DK127" i="50"/>
  <c r="DK117" i="50"/>
  <c r="DK133" i="50"/>
  <c r="DK130" i="50"/>
  <c r="DK128" i="50"/>
  <c r="DK118" i="50"/>
  <c r="DK123" i="50"/>
  <c r="DK139" i="50"/>
  <c r="DK110" i="50"/>
  <c r="DK113" i="50"/>
  <c r="DK129" i="50"/>
  <c r="DK114" i="50"/>
  <c r="DK112" i="50"/>
  <c r="DK116" i="50"/>
  <c r="DK119" i="50"/>
  <c r="DK135" i="50"/>
  <c r="DK136" i="50"/>
  <c r="DK126" i="50"/>
  <c r="DK125" i="50"/>
  <c r="DK138" i="50"/>
  <c r="DK115" i="50"/>
  <c r="DK131" i="50"/>
  <c r="DK122" i="50"/>
  <c r="DK120" i="50"/>
  <c r="DK137" i="50"/>
  <c r="DK134" i="50"/>
  <c r="DK124" i="50"/>
  <c r="DK121" i="50"/>
  <c r="DK132" i="50"/>
  <c r="CF113" i="50"/>
  <c r="CF119" i="50"/>
  <c r="CF115" i="50"/>
  <c r="CF111" i="50"/>
  <c r="CF130" i="50"/>
  <c r="CF127" i="50"/>
  <c r="CF136" i="50"/>
  <c r="CF133" i="50"/>
  <c r="CF126" i="50"/>
  <c r="CF123" i="50"/>
  <c r="CF139" i="50"/>
  <c r="CF112" i="50"/>
  <c r="CF132" i="50"/>
  <c r="CF120" i="50"/>
  <c r="CF129" i="50"/>
  <c r="CF117" i="50"/>
  <c r="CF122" i="50"/>
  <c r="CF138" i="50"/>
  <c r="CF135" i="50"/>
  <c r="CF128" i="50"/>
  <c r="CF114" i="50"/>
  <c r="CF125" i="50"/>
  <c r="CF134" i="50"/>
  <c r="CF131" i="50"/>
  <c r="CF137" i="50"/>
  <c r="CF121" i="50"/>
  <c r="CF116" i="50"/>
  <c r="CF118" i="50"/>
  <c r="CF124" i="50"/>
  <c r="AN119" i="50"/>
  <c r="AN135" i="50"/>
  <c r="AN112" i="50"/>
  <c r="AN128" i="50"/>
  <c r="AN115" i="50"/>
  <c r="AN131" i="50"/>
  <c r="AN124" i="50"/>
  <c r="AN121" i="50"/>
  <c r="AN137" i="50"/>
  <c r="AN114" i="50"/>
  <c r="AN117" i="50"/>
  <c r="AN133" i="50"/>
  <c r="AN126" i="50"/>
  <c r="AN123" i="50"/>
  <c r="AN132" i="50"/>
  <c r="AN138" i="50"/>
  <c r="AN116" i="50"/>
  <c r="AN134" i="50"/>
  <c r="AN139" i="50"/>
  <c r="AN111" i="50"/>
  <c r="AN125" i="50"/>
  <c r="AN118" i="50"/>
  <c r="AN136" i="50"/>
  <c r="AN113" i="50"/>
  <c r="AN127" i="50"/>
  <c r="AN120" i="50"/>
  <c r="AN122" i="50"/>
  <c r="AN130" i="50"/>
  <c r="AN129" i="50"/>
  <c r="DL125" i="50"/>
  <c r="DL122" i="50"/>
  <c r="DL138" i="50"/>
  <c r="DL126" i="50"/>
  <c r="DL115" i="50"/>
  <c r="DL131" i="50"/>
  <c r="DL132" i="50"/>
  <c r="DL120" i="50"/>
  <c r="DL121" i="50"/>
  <c r="DL137" i="50"/>
  <c r="DL110" i="50"/>
  <c r="DL111" i="50"/>
  <c r="DL127" i="50"/>
  <c r="DL116" i="50"/>
  <c r="DL130" i="50"/>
  <c r="DL134" i="50"/>
  <c r="DL117" i="50"/>
  <c r="DL133" i="50"/>
  <c r="DL128" i="50"/>
  <c r="DL123" i="50"/>
  <c r="DL114" i="50"/>
  <c r="DL118" i="50"/>
  <c r="DL113" i="50"/>
  <c r="DL129" i="50"/>
  <c r="DL124" i="50"/>
  <c r="DL112" i="50"/>
  <c r="DL119" i="50"/>
  <c r="DL139" i="50"/>
  <c r="DL136" i="50"/>
  <c r="DL135" i="50"/>
  <c r="BG114" i="50"/>
  <c r="BG130" i="50"/>
  <c r="BG120" i="50"/>
  <c r="BG121" i="50"/>
  <c r="BG126" i="50"/>
  <c r="BG117" i="50"/>
  <c r="BG136" i="50"/>
  <c r="BG116" i="50"/>
  <c r="BG133" i="50"/>
  <c r="BG119" i="50"/>
  <c r="BG122" i="50"/>
  <c r="BG112" i="50"/>
  <c r="BG128" i="50"/>
  <c r="BG118" i="50"/>
  <c r="BG131" i="50"/>
  <c r="BG124" i="50"/>
  <c r="BG134" i="50"/>
  <c r="BG115" i="50"/>
  <c r="BG132" i="50"/>
  <c r="BG123" i="50"/>
  <c r="BG135" i="50"/>
  <c r="BG125" i="50"/>
  <c r="BG139" i="50"/>
  <c r="BG138" i="50"/>
  <c r="BG111" i="50"/>
  <c r="BG113" i="50"/>
  <c r="BG129" i="50"/>
  <c r="BG127" i="50"/>
  <c r="BG137" i="50"/>
  <c r="AX116" i="50"/>
  <c r="AX122" i="50"/>
  <c r="AX112" i="50"/>
  <c r="AX128" i="50"/>
  <c r="AX118" i="50"/>
  <c r="AX114" i="50"/>
  <c r="AX130" i="50"/>
  <c r="AX120" i="50"/>
  <c r="AX126" i="50"/>
  <c r="AX115" i="50"/>
  <c r="AX121" i="50"/>
  <c r="AX129" i="50"/>
  <c r="AX111" i="50"/>
  <c r="AX117" i="50"/>
  <c r="AX123" i="50"/>
  <c r="AX113" i="50"/>
  <c r="AX119" i="50"/>
  <c r="AX125" i="50"/>
  <c r="AX124" i="50"/>
  <c r="AX134" i="50"/>
  <c r="AX138" i="50"/>
  <c r="AX135" i="50"/>
  <c r="AX131" i="50"/>
  <c r="AX139" i="50"/>
  <c r="AX133" i="50"/>
  <c r="AX137" i="50"/>
  <c r="AX136" i="50"/>
  <c r="AX127" i="50"/>
  <c r="AX132" i="50"/>
  <c r="CJ112" i="50"/>
  <c r="CJ118" i="50"/>
  <c r="CJ114" i="50"/>
  <c r="CJ116" i="50"/>
  <c r="CJ135" i="50"/>
  <c r="CJ132" i="50"/>
  <c r="CJ125" i="50"/>
  <c r="CJ122" i="50"/>
  <c r="CJ138" i="50"/>
  <c r="CJ131" i="50"/>
  <c r="CJ128" i="50"/>
  <c r="CJ137" i="50"/>
  <c r="CJ111" i="50"/>
  <c r="CJ134" i="50"/>
  <c r="CJ113" i="50"/>
  <c r="CJ127" i="50"/>
  <c r="CJ124" i="50"/>
  <c r="CJ133" i="50"/>
  <c r="CJ121" i="50"/>
  <c r="CJ119" i="50"/>
  <c r="CJ130" i="50"/>
  <c r="CJ123" i="50"/>
  <c r="CJ139" i="50"/>
  <c r="CJ115" i="50"/>
  <c r="CJ136" i="50"/>
  <c r="CJ117" i="50"/>
  <c r="CJ129" i="50"/>
  <c r="CJ126" i="50"/>
  <c r="CJ120" i="50"/>
  <c r="CW125" i="50"/>
  <c r="CW109" i="50"/>
  <c r="CW115" i="50"/>
  <c r="CW131" i="50"/>
  <c r="CW121" i="50"/>
  <c r="CW137" i="50"/>
  <c r="CW127" i="50"/>
  <c r="CW117" i="50"/>
  <c r="CW133" i="50"/>
  <c r="CW110" i="50"/>
  <c r="CW112" i="50"/>
  <c r="CW123" i="50"/>
  <c r="CW139" i="50"/>
  <c r="CW111" i="50"/>
  <c r="CW129" i="50"/>
  <c r="CW124" i="50"/>
  <c r="CW126" i="50"/>
  <c r="CW135" i="50"/>
  <c r="CW118" i="50"/>
  <c r="CW120" i="50"/>
  <c r="CW134" i="50"/>
  <c r="CW136" i="50"/>
  <c r="CW128" i="50"/>
  <c r="CW130" i="50"/>
  <c r="CW114" i="50"/>
  <c r="CW116" i="50"/>
  <c r="CW138" i="50"/>
  <c r="CW132" i="50"/>
  <c r="CW122" i="50"/>
  <c r="CW119" i="50"/>
  <c r="CW113" i="50"/>
  <c r="CN117" i="50"/>
  <c r="CN133" i="50"/>
  <c r="CN130" i="50"/>
  <c r="CN123" i="50"/>
  <c r="CN139" i="50"/>
  <c r="CN120" i="50"/>
  <c r="CN129" i="50"/>
  <c r="CN126" i="50"/>
  <c r="CN119" i="50"/>
  <c r="CN135" i="50"/>
  <c r="CN110" i="50"/>
  <c r="CN116" i="50"/>
  <c r="CN132" i="50"/>
  <c r="CN125" i="50"/>
  <c r="CN112" i="50"/>
  <c r="CN122" i="50"/>
  <c r="CN138" i="50"/>
  <c r="CN115" i="50"/>
  <c r="CN131" i="50"/>
  <c r="CN128" i="50"/>
  <c r="CN121" i="50"/>
  <c r="CN137" i="50"/>
  <c r="CN109" i="50"/>
  <c r="CN118" i="50"/>
  <c r="CN134" i="50"/>
  <c r="CN127" i="50"/>
  <c r="CN111" i="50"/>
  <c r="CN114" i="50"/>
  <c r="CN124" i="50"/>
  <c r="CN113" i="50"/>
  <c r="CN136" i="50"/>
  <c r="AS122" i="50"/>
  <c r="AS113" i="50"/>
  <c r="AS125" i="50"/>
  <c r="AS134" i="50"/>
  <c r="AS129" i="50"/>
  <c r="AS114" i="50"/>
  <c r="AS117" i="50"/>
  <c r="AS136" i="50"/>
  <c r="AS111" i="50"/>
  <c r="AS112" i="50"/>
  <c r="AS123" i="50"/>
  <c r="AS127" i="50"/>
  <c r="AS124" i="50"/>
  <c r="AS133" i="50"/>
  <c r="AS128" i="50"/>
  <c r="AS118" i="50"/>
  <c r="AS131" i="50"/>
  <c r="AS138" i="50"/>
  <c r="AS139" i="50"/>
  <c r="AS121" i="50"/>
  <c r="AS130" i="50"/>
  <c r="AS126" i="50"/>
  <c r="AS119" i="50"/>
  <c r="AS120" i="50"/>
  <c r="AS115" i="50"/>
  <c r="AS137" i="50"/>
  <c r="AS132" i="50"/>
  <c r="AS116" i="50"/>
  <c r="AS135" i="50"/>
  <c r="AB117" i="50"/>
  <c r="AB133" i="50"/>
  <c r="AB113" i="50"/>
  <c r="AB129" i="50"/>
  <c r="AB115" i="50"/>
  <c r="AB131" i="50"/>
  <c r="AB139" i="50"/>
  <c r="AB114" i="50"/>
  <c r="AB130" i="50"/>
  <c r="AB125" i="50"/>
  <c r="AB120" i="50"/>
  <c r="AB136" i="50"/>
  <c r="AB135" i="50"/>
  <c r="AB126" i="50"/>
  <c r="AB119" i="50"/>
  <c r="AB127" i="50"/>
  <c r="AB116" i="50"/>
  <c r="AB132" i="50"/>
  <c r="AB111" i="50"/>
  <c r="AB122" i="50"/>
  <c r="AB138" i="50"/>
  <c r="AB121" i="50"/>
  <c r="AB137" i="50"/>
  <c r="AB112" i="50"/>
  <c r="AB128" i="50"/>
  <c r="AB123" i="50"/>
  <c r="AB118" i="50"/>
  <c r="AB134" i="50"/>
  <c r="AB124" i="50"/>
  <c r="V115" i="50"/>
  <c r="V131" i="50"/>
  <c r="V120" i="50"/>
  <c r="V121" i="50"/>
  <c r="V137" i="50"/>
  <c r="V126" i="50"/>
  <c r="V111" i="50"/>
  <c r="V127" i="50"/>
  <c r="V116" i="50"/>
  <c r="V132" i="50"/>
  <c r="V134" i="50"/>
  <c r="V117" i="50"/>
  <c r="V133" i="50"/>
  <c r="V122" i="50"/>
  <c r="V136" i="50"/>
  <c r="V123" i="50"/>
  <c r="V139" i="50"/>
  <c r="V112" i="50"/>
  <c r="V128" i="50"/>
  <c r="V130" i="50"/>
  <c r="V113" i="50"/>
  <c r="V129" i="50"/>
  <c r="V118" i="50"/>
  <c r="V125" i="50"/>
  <c r="V114" i="50"/>
  <c r="V119" i="50"/>
  <c r="V135" i="50"/>
  <c r="V124" i="50"/>
  <c r="V138" i="50"/>
  <c r="BU111" i="50"/>
  <c r="BU114" i="50"/>
  <c r="BU128" i="50"/>
  <c r="BU120" i="50"/>
  <c r="BU134" i="50"/>
  <c r="BU126" i="50"/>
  <c r="BU117" i="50"/>
  <c r="BU113" i="50"/>
  <c r="BU116" i="50"/>
  <c r="BU130" i="50"/>
  <c r="BU122" i="50"/>
  <c r="BU112" i="50"/>
  <c r="BU123" i="50"/>
  <c r="BU115" i="50"/>
  <c r="BU118" i="50"/>
  <c r="BU132" i="50"/>
  <c r="BU133" i="50"/>
  <c r="BU136" i="50"/>
  <c r="BU139" i="50"/>
  <c r="BU138" i="50"/>
  <c r="BU129" i="50"/>
  <c r="BU124" i="50"/>
  <c r="BU119" i="50"/>
  <c r="BU135" i="50"/>
  <c r="BU131" i="50"/>
  <c r="BU137" i="50"/>
  <c r="BU121" i="50"/>
  <c r="BU127" i="50"/>
  <c r="BU125" i="50"/>
  <c r="DA121" i="50"/>
  <c r="DA137" i="50"/>
  <c r="DA114" i="50"/>
  <c r="DA130" i="50"/>
  <c r="DA111" i="50"/>
  <c r="DA127" i="50"/>
  <c r="DA120" i="50"/>
  <c r="DA136" i="50"/>
  <c r="DA139" i="50"/>
  <c r="DA117" i="50"/>
  <c r="DA133" i="50"/>
  <c r="DA110" i="50"/>
  <c r="DA126" i="50"/>
  <c r="DA123" i="50"/>
  <c r="DA116" i="50"/>
  <c r="DA132" i="50"/>
  <c r="DA113" i="50"/>
  <c r="DA129" i="50"/>
  <c r="DA122" i="50"/>
  <c r="DA138" i="50"/>
  <c r="DA119" i="50"/>
  <c r="DA135" i="50"/>
  <c r="DA112" i="50"/>
  <c r="DA128" i="50"/>
  <c r="DA125" i="50"/>
  <c r="DA118" i="50"/>
  <c r="DA134" i="50"/>
  <c r="DA115" i="50"/>
  <c r="DA131" i="50"/>
  <c r="DA124" i="50"/>
  <c r="BD111" i="50"/>
  <c r="BD125" i="50"/>
  <c r="BD139" i="50"/>
  <c r="BD117" i="50"/>
  <c r="BD130" i="50"/>
  <c r="BD112" i="50"/>
  <c r="BD135" i="50"/>
  <c r="BD133" i="50"/>
  <c r="BD131" i="50"/>
  <c r="BD113" i="50"/>
  <c r="BD132" i="50"/>
  <c r="BD129" i="50"/>
  <c r="BD134" i="50"/>
  <c r="BD119" i="50"/>
  <c r="BD120" i="50"/>
  <c r="BD137" i="50"/>
  <c r="BD115" i="50"/>
  <c r="BD126" i="50"/>
  <c r="BD122" i="50"/>
  <c r="BD116" i="50"/>
  <c r="BD136" i="50"/>
  <c r="BD123" i="50"/>
  <c r="BD124" i="50"/>
  <c r="BD121" i="50"/>
  <c r="BD127" i="50"/>
  <c r="BD118" i="50"/>
  <c r="BD138" i="50"/>
  <c r="BD128" i="50"/>
  <c r="BD114" i="50"/>
  <c r="BB121" i="50"/>
  <c r="BB111" i="50"/>
  <c r="BB127" i="50"/>
  <c r="BB117" i="50"/>
  <c r="BB123" i="50"/>
  <c r="BB119" i="50"/>
  <c r="BB125" i="50"/>
  <c r="BB120" i="50"/>
  <c r="BB129" i="50"/>
  <c r="BB131" i="50"/>
  <c r="BB116" i="50"/>
  <c r="BB113" i="50"/>
  <c r="BB122" i="50"/>
  <c r="BB124" i="50"/>
  <c r="BB115" i="50"/>
  <c r="BB112" i="50"/>
  <c r="BB132" i="50"/>
  <c r="BB138" i="50"/>
  <c r="BB118" i="50"/>
  <c r="BB128" i="50"/>
  <c r="BB114" i="50"/>
  <c r="BB130" i="50"/>
  <c r="BB135" i="50"/>
  <c r="BB133" i="50"/>
  <c r="BB139" i="50"/>
  <c r="BB134" i="50"/>
  <c r="BB137" i="50"/>
  <c r="BB126" i="50"/>
  <c r="BB136" i="50"/>
  <c r="BY115" i="50"/>
  <c r="BY111" i="50"/>
  <c r="BY117" i="50"/>
  <c r="BY124" i="50"/>
  <c r="BY118" i="50"/>
  <c r="BY123" i="50"/>
  <c r="BY139" i="50"/>
  <c r="BY130" i="50"/>
  <c r="BY116" i="50"/>
  <c r="BY129" i="50"/>
  <c r="BY121" i="50"/>
  <c r="BY136" i="50"/>
  <c r="BY135" i="50"/>
  <c r="BY114" i="50"/>
  <c r="BY126" i="50"/>
  <c r="BY125" i="50"/>
  <c r="BY113" i="50"/>
  <c r="BY132" i="50"/>
  <c r="BY122" i="50"/>
  <c r="BY119" i="50"/>
  <c r="BY120" i="50"/>
  <c r="BY131" i="50"/>
  <c r="BY138" i="50"/>
  <c r="BY137" i="50"/>
  <c r="BY128" i="50"/>
  <c r="BY112" i="50"/>
  <c r="BY127" i="50"/>
  <c r="BY133" i="50"/>
  <c r="BY134" i="50"/>
  <c r="CS120" i="50"/>
  <c r="CS136" i="50"/>
  <c r="CS126" i="50"/>
  <c r="CS116" i="50"/>
  <c r="CS132" i="50"/>
  <c r="CS112" i="50"/>
  <c r="CS113" i="50"/>
  <c r="CS122" i="50"/>
  <c r="CS138" i="50"/>
  <c r="CS128" i="50"/>
  <c r="CS111" i="50"/>
  <c r="CS118" i="50"/>
  <c r="CS134" i="50"/>
  <c r="CS114" i="50"/>
  <c r="CS124" i="50"/>
  <c r="CS129" i="50"/>
  <c r="CS131" i="50"/>
  <c r="CS130" i="50"/>
  <c r="CS123" i="50"/>
  <c r="CS125" i="50"/>
  <c r="CS139" i="50"/>
  <c r="CS127" i="50"/>
  <c r="CS117" i="50"/>
  <c r="CS109" i="50"/>
  <c r="CS119" i="50"/>
  <c r="CS133" i="50"/>
  <c r="CS110" i="50"/>
  <c r="CS121" i="50"/>
  <c r="CS135" i="50"/>
  <c r="CS137" i="50"/>
  <c r="CS115" i="50"/>
  <c r="CR122" i="50"/>
  <c r="CR138" i="50"/>
  <c r="CR119" i="50"/>
  <c r="CR135" i="50"/>
  <c r="CR128" i="50"/>
  <c r="CR111" i="50"/>
  <c r="CR125" i="50"/>
  <c r="CR113" i="50"/>
  <c r="CR118" i="50"/>
  <c r="CR134" i="50"/>
  <c r="CR115" i="50"/>
  <c r="CR131" i="50"/>
  <c r="CR124" i="50"/>
  <c r="CR121" i="50"/>
  <c r="CR137" i="50"/>
  <c r="CR130" i="50"/>
  <c r="CR127" i="50"/>
  <c r="CR120" i="50"/>
  <c r="CR136" i="50"/>
  <c r="CR117" i="50"/>
  <c r="CR133" i="50"/>
  <c r="CR110" i="50"/>
  <c r="CR126" i="50"/>
  <c r="CR112" i="50"/>
  <c r="CR123" i="50"/>
  <c r="CR139" i="50"/>
  <c r="CR109" i="50"/>
  <c r="CR132" i="50"/>
  <c r="CR129" i="50"/>
  <c r="CR114" i="50"/>
  <c r="CR116" i="50"/>
  <c r="DO126" i="50"/>
  <c r="DO138" i="50"/>
  <c r="DO131" i="50"/>
  <c r="DO124" i="50"/>
  <c r="DO133" i="50"/>
  <c r="DO134" i="50"/>
  <c r="DO112" i="50"/>
  <c r="DO139" i="50"/>
  <c r="DO132" i="50"/>
  <c r="DO120" i="50"/>
  <c r="DO113" i="50"/>
  <c r="DO128" i="50"/>
  <c r="DO121" i="50"/>
  <c r="DO111" i="50"/>
  <c r="DO136" i="50"/>
  <c r="DO129" i="50"/>
  <c r="DO106" i="50"/>
  <c r="DO119" i="50"/>
  <c r="DO137" i="50"/>
  <c r="DO114" i="50"/>
  <c r="DO107" i="50"/>
  <c r="DO109" i="50"/>
  <c r="DO110" i="50"/>
  <c r="DO127" i="50"/>
  <c r="DO122" i="50"/>
  <c r="DO115" i="50"/>
  <c r="DO108" i="50"/>
  <c r="DO123" i="50"/>
  <c r="DO130" i="50"/>
  <c r="DO125" i="50"/>
  <c r="DO117" i="50"/>
  <c r="DO118" i="50"/>
  <c r="DO116" i="50"/>
  <c r="DO135" i="50"/>
  <c r="AI116" i="50"/>
  <c r="AI132" i="50"/>
  <c r="AI119" i="50"/>
  <c r="AI135" i="50"/>
  <c r="AI122" i="50"/>
  <c r="AI112" i="50"/>
  <c r="AI128" i="50"/>
  <c r="AI115" i="50"/>
  <c r="AI131" i="50"/>
  <c r="AI118" i="50"/>
  <c r="AI134" i="50"/>
  <c r="AI121" i="50"/>
  <c r="AI137" i="50"/>
  <c r="AI114" i="50"/>
  <c r="AI130" i="50"/>
  <c r="AI117" i="50"/>
  <c r="AI133" i="50"/>
  <c r="AI120" i="50"/>
  <c r="AI136" i="50"/>
  <c r="AI123" i="50"/>
  <c r="AI113" i="50"/>
  <c r="AI127" i="50"/>
  <c r="AI124" i="50"/>
  <c r="AI129" i="50"/>
  <c r="AI126" i="50"/>
  <c r="AI139" i="50"/>
  <c r="AI138" i="50"/>
  <c r="AI111" i="50"/>
  <c r="AI125" i="50"/>
  <c r="X112" i="50"/>
  <c r="X128" i="50"/>
  <c r="X124" i="50"/>
  <c r="X126" i="50"/>
  <c r="X116" i="50"/>
  <c r="X125" i="50"/>
  <c r="X134" i="50"/>
  <c r="X115" i="50"/>
  <c r="X131" i="50"/>
  <c r="X118" i="50"/>
  <c r="X121" i="50"/>
  <c r="X137" i="50"/>
  <c r="X136" i="50"/>
  <c r="X111" i="50"/>
  <c r="X127" i="50"/>
  <c r="X120" i="50"/>
  <c r="X117" i="50"/>
  <c r="X133" i="50"/>
  <c r="X130" i="50"/>
  <c r="X123" i="50"/>
  <c r="X139" i="50"/>
  <c r="X119" i="50"/>
  <c r="X114" i="50"/>
  <c r="X122" i="50"/>
  <c r="X138" i="50"/>
  <c r="X113" i="50"/>
  <c r="X129" i="50"/>
  <c r="X132" i="50"/>
  <c r="X135" i="50"/>
  <c r="Z120" i="50"/>
  <c r="Z136" i="50"/>
  <c r="Z125" i="50"/>
  <c r="Z126" i="50"/>
  <c r="Z115" i="50"/>
  <c r="Z131" i="50"/>
  <c r="Z116" i="50"/>
  <c r="Z132" i="50"/>
  <c r="Z121" i="50"/>
  <c r="Z133" i="50"/>
  <c r="Z129" i="50"/>
  <c r="Z122" i="50"/>
  <c r="Z138" i="50"/>
  <c r="Z111" i="50"/>
  <c r="Z127" i="50"/>
  <c r="Z112" i="50"/>
  <c r="Z128" i="50"/>
  <c r="Z117" i="50"/>
  <c r="Z139" i="50"/>
  <c r="Z118" i="50"/>
  <c r="Z134" i="50"/>
  <c r="Z123" i="50"/>
  <c r="Z114" i="50"/>
  <c r="Z124" i="50"/>
  <c r="Z113" i="50"/>
  <c r="Z135" i="50"/>
  <c r="Z137" i="50"/>
  <c r="Z130" i="50"/>
  <c r="Z119" i="50"/>
  <c r="BK112" i="50"/>
  <c r="BK123" i="50"/>
  <c r="BK118" i="50"/>
  <c r="BK114" i="50"/>
  <c r="BK119" i="50"/>
  <c r="BK116" i="50"/>
  <c r="BK129" i="50"/>
  <c r="BK117" i="50"/>
  <c r="BK135" i="50"/>
  <c r="BK136" i="50"/>
  <c r="BK121" i="50"/>
  <c r="BK125" i="50"/>
  <c r="BK131" i="50"/>
  <c r="BK120" i="50"/>
  <c r="BK137" i="50"/>
  <c r="BK122" i="50"/>
  <c r="BK134" i="50"/>
  <c r="BK126" i="50"/>
  <c r="BK115" i="50"/>
  <c r="BK127" i="50"/>
  <c r="BK133" i="50"/>
  <c r="BK124" i="50"/>
  <c r="BK128" i="50"/>
  <c r="BK113" i="50"/>
  <c r="BK139" i="50"/>
  <c r="BK111" i="50"/>
  <c r="BK138" i="50"/>
  <c r="BK130" i="50"/>
  <c r="BK132" i="50"/>
  <c r="DO101" i="50"/>
  <c r="DO75" i="50"/>
  <c r="DO85" i="50"/>
  <c r="DO29" i="50"/>
  <c r="DO90" i="50"/>
  <c r="DO61" i="50"/>
  <c r="DO27" i="50"/>
  <c r="DO26" i="50"/>
  <c r="DO50" i="50"/>
  <c r="DO17" i="50"/>
  <c r="DO33" i="50"/>
  <c r="DO48" i="50"/>
  <c r="DO170" i="50" s="1"/>
  <c r="DO104" i="50"/>
  <c r="DO98" i="50"/>
  <c r="DO78" i="50"/>
  <c r="DO68" i="50"/>
  <c r="DO87" i="50"/>
  <c r="DO86" i="50"/>
  <c r="DO35" i="50"/>
  <c r="DO42" i="50"/>
  <c r="DO58" i="50"/>
  <c r="DO49" i="50"/>
  <c r="DO41" i="50"/>
  <c r="DO57" i="50"/>
  <c r="DO59" i="50"/>
  <c r="DO80" i="50"/>
  <c r="DO88" i="50"/>
  <c r="DO37" i="50"/>
  <c r="DO20" i="50"/>
  <c r="DO52" i="50"/>
  <c r="DO24" i="50"/>
  <c r="DO95" i="50"/>
  <c r="DO82" i="50"/>
  <c r="DO67" i="50"/>
  <c r="DO77" i="50"/>
  <c r="DO64" i="50"/>
  <c r="DO62" i="50"/>
  <c r="DO44" i="50"/>
  <c r="DO60" i="50"/>
  <c r="DO18" i="50"/>
  <c r="DO25" i="50"/>
  <c r="DO51" i="50"/>
  <c r="DO8" i="50"/>
  <c r="DO105" i="50"/>
  <c r="DO97" i="50"/>
  <c r="DO89" i="50"/>
  <c r="DO70" i="50"/>
  <c r="DO76" i="50"/>
  <c r="DO65" i="50"/>
  <c r="DO32" i="50"/>
  <c r="DO23" i="50"/>
  <c r="DO15" i="50"/>
  <c r="DO45" i="50"/>
  <c r="DO36" i="50"/>
  <c r="DO14" i="50"/>
  <c r="DO19" i="50"/>
  <c r="DO102" i="50"/>
  <c r="DO96" i="50"/>
  <c r="DO72" i="50"/>
  <c r="DO79" i="50"/>
  <c r="DO83" i="50"/>
  <c r="DO63" i="50"/>
  <c r="DO56" i="50"/>
  <c r="DO47" i="50"/>
  <c r="DO39" i="50"/>
  <c r="DO31" i="50"/>
  <c r="DO22" i="50"/>
  <c r="DO10" i="50"/>
  <c r="DO99" i="50"/>
  <c r="DO92" i="50"/>
  <c r="DO91" i="50"/>
  <c r="DO28" i="50"/>
  <c r="DO12" i="50"/>
  <c r="DO9" i="50"/>
  <c r="DO103" i="50"/>
  <c r="DO94" i="50"/>
  <c r="DO71" i="50"/>
  <c r="DO81" i="50"/>
  <c r="DO69" i="50"/>
  <c r="DO66" i="50"/>
  <c r="DO46" i="50"/>
  <c r="DO38" i="50"/>
  <c r="DO30" i="50"/>
  <c r="DO21" i="50"/>
  <c r="DO13" i="50"/>
  <c r="DO43" i="50"/>
  <c r="DO100" i="50"/>
  <c r="DO93" i="50"/>
  <c r="DO74" i="50"/>
  <c r="DO84" i="50"/>
  <c r="DO73" i="50"/>
  <c r="DO53" i="50"/>
  <c r="DO34" i="50"/>
  <c r="DO40" i="50"/>
  <c r="DO16" i="50"/>
  <c r="DO55" i="50"/>
  <c r="DO11" i="50"/>
  <c r="DO54" i="50"/>
  <c r="DG109" i="50"/>
  <c r="AY109" i="50"/>
  <c r="AY110" i="50"/>
  <c r="DL109" i="50"/>
  <c r="DL65" i="50"/>
  <c r="DL95" i="50"/>
  <c r="DL58" i="50"/>
  <c r="DL64" i="50"/>
  <c r="DL67" i="50"/>
  <c r="DL56" i="50"/>
  <c r="DL60" i="50"/>
  <c r="DL55" i="50"/>
  <c r="DL53" i="50"/>
  <c r="DL39" i="50"/>
  <c r="DL38" i="50"/>
  <c r="DL63" i="50"/>
  <c r="DL57" i="50"/>
  <c r="DL87" i="50"/>
  <c r="DL9" i="50"/>
  <c r="DL73" i="50"/>
  <c r="DL72" i="50"/>
  <c r="DL66" i="50"/>
  <c r="DL11" i="50"/>
  <c r="DL75" i="50"/>
  <c r="DL8" i="50"/>
  <c r="DL68" i="50"/>
  <c r="DL103" i="50"/>
  <c r="DL61" i="50"/>
  <c r="DL71" i="50"/>
  <c r="DL46" i="50"/>
  <c r="DL48" i="50"/>
  <c r="DL170" i="50" s="1"/>
  <c r="DL102" i="50"/>
  <c r="DL17" i="50"/>
  <c r="DL81" i="50"/>
  <c r="DL10" i="50"/>
  <c r="DL74" i="50"/>
  <c r="DL19" i="50"/>
  <c r="DL83" i="50"/>
  <c r="DL12" i="50"/>
  <c r="DL76" i="50"/>
  <c r="DL88" i="50"/>
  <c r="DL69" i="50"/>
  <c r="DL54" i="50"/>
  <c r="DL96" i="50"/>
  <c r="DL79" i="50"/>
  <c r="DL45" i="50"/>
  <c r="DL25" i="50"/>
  <c r="DL89" i="50"/>
  <c r="DL18" i="50"/>
  <c r="DL82" i="50"/>
  <c r="DL27" i="50"/>
  <c r="DL91" i="50"/>
  <c r="DL20" i="50"/>
  <c r="DL84" i="50"/>
  <c r="DL13" i="50"/>
  <c r="DL77" i="50"/>
  <c r="DL80" i="50"/>
  <c r="DL62" i="50"/>
  <c r="DL16" i="50"/>
  <c r="DL40" i="50"/>
  <c r="DL59" i="50"/>
  <c r="DL30" i="50"/>
  <c r="DL33" i="50"/>
  <c r="DL97" i="50"/>
  <c r="DL26" i="50"/>
  <c r="DL90" i="50"/>
  <c r="DL35" i="50"/>
  <c r="DL99" i="50"/>
  <c r="DL28" i="50"/>
  <c r="DL92" i="50"/>
  <c r="DL21" i="50"/>
  <c r="DL85" i="50"/>
  <c r="DL104" i="50"/>
  <c r="DL70" i="50"/>
  <c r="DL24" i="50"/>
  <c r="DL106" i="50"/>
  <c r="DL42" i="50"/>
  <c r="DL51" i="50"/>
  <c r="DL44" i="50"/>
  <c r="DL37" i="50"/>
  <c r="DL22" i="50"/>
  <c r="DL47" i="50"/>
  <c r="DL52" i="50"/>
  <c r="DL15" i="50"/>
  <c r="DL41" i="50"/>
  <c r="DL105" i="50"/>
  <c r="DL34" i="50"/>
  <c r="DL98" i="50"/>
  <c r="DL43" i="50"/>
  <c r="DL107" i="50"/>
  <c r="DL36" i="50"/>
  <c r="DL100" i="50"/>
  <c r="DL29" i="50"/>
  <c r="DL93" i="50"/>
  <c r="DL14" i="50"/>
  <c r="DL78" i="50"/>
  <c r="DL32" i="50"/>
  <c r="DL49" i="50"/>
  <c r="DL23" i="50"/>
  <c r="DL31" i="50"/>
  <c r="DL108" i="50"/>
  <c r="DL101" i="50"/>
  <c r="DL86" i="50"/>
  <c r="DL50" i="50"/>
  <c r="DL94" i="50"/>
  <c r="CJ109" i="50"/>
  <c r="CJ110" i="50"/>
  <c r="AS110" i="50"/>
  <c r="AS109" i="50"/>
  <c r="AB110" i="50"/>
  <c r="AB109" i="50"/>
  <c r="V110" i="50"/>
  <c r="V109" i="50"/>
  <c r="BU110" i="50"/>
  <c r="BU109" i="50"/>
  <c r="DH109" i="50"/>
  <c r="AX109" i="50"/>
  <c r="AX110" i="50"/>
  <c r="DA109" i="50"/>
  <c r="BD110" i="50"/>
  <c r="BD109" i="50"/>
  <c r="BB110" i="50"/>
  <c r="BB109" i="50"/>
  <c r="BY110" i="50"/>
  <c r="BY109" i="50"/>
  <c r="AI109" i="50"/>
  <c r="AI110" i="50"/>
  <c r="X110" i="50"/>
  <c r="X109" i="50"/>
  <c r="Z110" i="50"/>
  <c r="Z109" i="50"/>
  <c r="BK109" i="50"/>
  <c r="BK110" i="50"/>
  <c r="DC109" i="50"/>
  <c r="BG109" i="50"/>
  <c r="BG110" i="50"/>
  <c r="DE109" i="50"/>
  <c r="AZ110" i="50"/>
  <c r="AZ109" i="50"/>
  <c r="BF110" i="50"/>
  <c r="BF109" i="50"/>
  <c r="CC109" i="50"/>
  <c r="CC110" i="50"/>
  <c r="AM109" i="50"/>
  <c r="AM110" i="50"/>
  <c r="AE109" i="50"/>
  <c r="AE110" i="50"/>
  <c r="AD109" i="50"/>
  <c r="AD110" i="50"/>
  <c r="BO110" i="50"/>
  <c r="BO109" i="50"/>
  <c r="CA110" i="50"/>
  <c r="CA109" i="50"/>
  <c r="CG110" i="50"/>
  <c r="CG109" i="50"/>
  <c r="AL109" i="50"/>
  <c r="AL110" i="50"/>
  <c r="AQ109" i="50"/>
  <c r="AQ110" i="50"/>
  <c r="AF109" i="50"/>
  <c r="AF110" i="50"/>
  <c r="BN110" i="50"/>
  <c r="BN109" i="50"/>
  <c r="BS109" i="50"/>
  <c r="BS110" i="50"/>
  <c r="DB109" i="50"/>
  <c r="BC110" i="50"/>
  <c r="BC109" i="50"/>
  <c r="CI110" i="50"/>
  <c r="CI109" i="50"/>
  <c r="BZ109" i="50"/>
  <c r="BZ110" i="50"/>
  <c r="AO109" i="50"/>
  <c r="AO110" i="50"/>
  <c r="AJ109" i="50"/>
  <c r="AJ110" i="50"/>
  <c r="AA109" i="50"/>
  <c r="AA110" i="50"/>
  <c r="BQ110" i="50"/>
  <c r="BQ109" i="50"/>
  <c r="BL110" i="50"/>
  <c r="BL109" i="50"/>
  <c r="DI109" i="50"/>
  <c r="DF109" i="50"/>
  <c r="CF110" i="50"/>
  <c r="CF109" i="50"/>
  <c r="CD109" i="50"/>
  <c r="CD110" i="50"/>
  <c r="AT109" i="50"/>
  <c r="AT110" i="50"/>
  <c r="AN109" i="50"/>
  <c r="AN110" i="50"/>
  <c r="U109" i="50"/>
  <c r="BR110" i="50"/>
  <c r="BR109" i="50"/>
  <c r="BP110" i="50"/>
  <c r="BP109" i="50"/>
  <c r="BH110" i="50"/>
  <c r="BH109" i="50"/>
  <c r="DK109" i="50"/>
  <c r="AW110" i="50"/>
  <c r="AW109" i="50"/>
  <c r="DD109" i="50"/>
  <c r="DJ109" i="50"/>
  <c r="BA110" i="50"/>
  <c r="BA109" i="50"/>
  <c r="CB109" i="50"/>
  <c r="CB110" i="50"/>
  <c r="CH109" i="50"/>
  <c r="CH110" i="50"/>
  <c r="AP110" i="50"/>
  <c r="AP109" i="50"/>
  <c r="AR109" i="50"/>
  <c r="AR110" i="50"/>
  <c r="Y109" i="50"/>
  <c r="Y110" i="50"/>
  <c r="BV109" i="50"/>
  <c r="BV110" i="50"/>
  <c r="BT110" i="50"/>
  <c r="BT109" i="50"/>
  <c r="BE110" i="50"/>
  <c r="BE109" i="50"/>
  <c r="CE109" i="50"/>
  <c r="CE110" i="50"/>
  <c r="AK109" i="50"/>
  <c r="AK110" i="50"/>
  <c r="W109" i="50"/>
  <c r="W110" i="50"/>
  <c r="AC109" i="50"/>
  <c r="AC110" i="50"/>
  <c r="BM110" i="50"/>
  <c r="BM109" i="50"/>
  <c r="DD107" i="50"/>
  <c r="DD108" i="50"/>
  <c r="CQ108" i="50"/>
  <c r="CQ107" i="50"/>
  <c r="Y107" i="50"/>
  <c r="Y108" i="50"/>
  <c r="CE107" i="50"/>
  <c r="CE108" i="50"/>
  <c r="CU107" i="50"/>
  <c r="CU108" i="50"/>
  <c r="AK107" i="50"/>
  <c r="AK108" i="50"/>
  <c r="BM107" i="50"/>
  <c r="BM108" i="50"/>
  <c r="BG108" i="50"/>
  <c r="BG107" i="50"/>
  <c r="AX107" i="50"/>
  <c r="AX108" i="50"/>
  <c r="CJ107" i="50"/>
  <c r="CJ108" i="50"/>
  <c r="CW107" i="50"/>
  <c r="CW108" i="50"/>
  <c r="CN107" i="50"/>
  <c r="CN108" i="50"/>
  <c r="AS108" i="50"/>
  <c r="AS107" i="50"/>
  <c r="AB107" i="50"/>
  <c r="AB108" i="50"/>
  <c r="V107" i="50"/>
  <c r="V108" i="50"/>
  <c r="BU107" i="50"/>
  <c r="BU108" i="50"/>
  <c r="DJ106" i="50"/>
  <c r="DJ108" i="50"/>
  <c r="DJ107" i="50"/>
  <c r="AR107" i="50"/>
  <c r="AR108" i="50"/>
  <c r="AY107" i="50"/>
  <c r="AY108" i="50"/>
  <c r="W107" i="50"/>
  <c r="W108" i="50"/>
  <c r="BY108" i="50"/>
  <c r="BY107" i="50"/>
  <c r="Z108" i="50"/>
  <c r="Z107" i="50"/>
  <c r="DE108" i="50"/>
  <c r="DE107" i="50"/>
  <c r="AZ107" i="50"/>
  <c r="AZ108" i="50"/>
  <c r="BF107" i="50"/>
  <c r="BF108" i="50"/>
  <c r="CC108" i="50"/>
  <c r="CC107" i="50"/>
  <c r="CP107" i="50"/>
  <c r="CP108" i="50"/>
  <c r="CV107" i="50"/>
  <c r="CV108" i="50"/>
  <c r="AM107" i="50"/>
  <c r="AM108" i="50"/>
  <c r="AE107" i="50"/>
  <c r="AE108" i="50"/>
  <c r="AD107" i="50"/>
  <c r="AD108" i="50"/>
  <c r="BO107" i="50"/>
  <c r="BO108" i="50"/>
  <c r="CB108" i="50"/>
  <c r="CB107" i="50"/>
  <c r="BT108" i="50"/>
  <c r="BT107" i="50"/>
  <c r="BE108" i="50"/>
  <c r="BE107" i="50"/>
  <c r="AC108" i="50"/>
  <c r="AC107" i="50"/>
  <c r="DA107" i="50"/>
  <c r="DA108" i="50"/>
  <c r="CS107" i="50"/>
  <c r="CS108" i="50"/>
  <c r="BK108" i="50"/>
  <c r="BK107" i="50"/>
  <c r="DC108" i="50"/>
  <c r="DC107" i="50"/>
  <c r="DI107" i="50"/>
  <c r="DI108" i="50"/>
  <c r="BH108" i="50"/>
  <c r="BH107" i="50"/>
  <c r="CA108" i="50"/>
  <c r="CA107" i="50"/>
  <c r="CG108" i="50"/>
  <c r="CG107" i="50"/>
  <c r="CT108" i="50"/>
  <c r="CT107" i="50"/>
  <c r="AL108" i="50"/>
  <c r="AL107" i="50"/>
  <c r="AQ107" i="50"/>
  <c r="AQ108" i="50"/>
  <c r="AF107" i="50"/>
  <c r="AF108" i="50"/>
  <c r="BN108" i="50"/>
  <c r="BN107" i="50"/>
  <c r="BS108" i="50"/>
  <c r="BS107" i="50"/>
  <c r="CH107" i="50"/>
  <c r="CH108" i="50"/>
  <c r="AP107" i="50"/>
  <c r="AP108" i="50"/>
  <c r="BV107" i="50"/>
  <c r="BV108" i="50"/>
  <c r="DH108" i="50"/>
  <c r="DH107" i="50"/>
  <c r="CO107" i="50"/>
  <c r="CO108" i="50"/>
  <c r="BD107" i="50"/>
  <c r="BD108" i="50"/>
  <c r="CR108" i="50"/>
  <c r="CR107" i="50"/>
  <c r="AI107" i="50"/>
  <c r="AI108" i="50"/>
  <c r="DG107" i="50"/>
  <c r="DG108" i="50"/>
  <c r="DB107" i="50"/>
  <c r="DB108" i="50"/>
  <c r="BC108" i="50"/>
  <c r="BC107" i="50"/>
  <c r="CI108" i="50"/>
  <c r="CI107" i="50"/>
  <c r="BZ108" i="50"/>
  <c r="BZ107" i="50"/>
  <c r="CX107" i="50"/>
  <c r="CX108" i="50"/>
  <c r="AO107" i="50"/>
  <c r="AO108" i="50"/>
  <c r="AJ107" i="50"/>
  <c r="AJ108" i="50"/>
  <c r="AA107" i="50"/>
  <c r="AA108" i="50"/>
  <c r="BQ107" i="50"/>
  <c r="BQ108" i="50"/>
  <c r="BL108" i="50"/>
  <c r="BL107" i="50"/>
  <c r="BA108" i="50"/>
  <c r="BA107" i="50"/>
  <c r="BB108" i="50"/>
  <c r="BB107" i="50"/>
  <c r="X107" i="50"/>
  <c r="X108" i="50"/>
  <c r="DK106" i="50"/>
  <c r="DK108" i="50"/>
  <c r="DK107" i="50"/>
  <c r="DF107" i="50"/>
  <c r="DF108" i="50"/>
  <c r="AW108" i="50"/>
  <c r="AW107" i="50"/>
  <c r="CF107" i="50"/>
  <c r="CF108" i="50"/>
  <c r="CD107" i="50"/>
  <c r="CD108" i="50"/>
  <c r="CM107" i="50"/>
  <c r="CM108" i="50"/>
  <c r="AT108" i="50"/>
  <c r="AT107" i="50"/>
  <c r="AN108" i="50"/>
  <c r="AN107" i="50"/>
  <c r="U108" i="50"/>
  <c r="U107" i="50"/>
  <c r="BR108" i="50"/>
  <c r="BR107" i="50"/>
  <c r="BP108" i="50"/>
  <c r="BP107" i="50"/>
  <c r="BA104" i="50"/>
  <c r="BA106" i="50"/>
  <c r="CB104" i="50"/>
  <c r="CB106" i="50"/>
  <c r="CH104" i="50"/>
  <c r="CH106" i="50"/>
  <c r="CQ104" i="50"/>
  <c r="CQ106" i="50"/>
  <c r="AP104" i="50"/>
  <c r="AP106" i="50"/>
  <c r="AR104" i="50"/>
  <c r="AR106" i="50"/>
  <c r="Y104" i="50"/>
  <c r="Y106" i="50"/>
  <c r="BV104" i="50"/>
  <c r="BV106" i="50"/>
  <c r="BT104" i="50"/>
  <c r="BT106" i="50"/>
  <c r="DD104" i="50"/>
  <c r="DD106" i="50"/>
  <c r="DH104" i="50"/>
  <c r="DH106" i="50"/>
  <c r="AY104" i="50"/>
  <c r="AY106" i="50"/>
  <c r="BE104" i="50"/>
  <c r="BE106" i="50"/>
  <c r="CE104" i="50"/>
  <c r="CE106" i="50"/>
  <c r="CO104" i="50"/>
  <c r="CO106" i="50"/>
  <c r="CU104" i="50"/>
  <c r="CU106" i="50"/>
  <c r="AK104" i="50"/>
  <c r="AK106" i="50"/>
  <c r="W104" i="50"/>
  <c r="W106" i="50"/>
  <c r="AC104" i="50"/>
  <c r="AC106" i="50"/>
  <c r="BM104" i="50"/>
  <c r="BM106" i="50"/>
  <c r="CJ104" i="50"/>
  <c r="CJ106" i="50"/>
  <c r="CW104" i="50"/>
  <c r="CW106" i="50"/>
  <c r="CN104" i="50"/>
  <c r="CN106" i="50"/>
  <c r="AS104" i="50"/>
  <c r="AS106" i="50"/>
  <c r="AB104" i="50"/>
  <c r="AB106" i="50"/>
  <c r="V104" i="50"/>
  <c r="V106" i="50"/>
  <c r="BU104" i="50"/>
  <c r="BU106" i="50"/>
  <c r="AW104" i="50"/>
  <c r="AW106" i="50"/>
  <c r="AX104" i="50"/>
  <c r="AX106" i="50"/>
  <c r="DA104" i="50"/>
  <c r="DA106" i="50"/>
  <c r="BD104" i="50"/>
  <c r="BD106" i="50"/>
  <c r="BB104" i="50"/>
  <c r="BB106" i="50"/>
  <c r="BY104" i="50"/>
  <c r="BY106" i="50"/>
  <c r="CS104" i="50"/>
  <c r="CS106" i="50"/>
  <c r="CR104" i="50"/>
  <c r="CR106" i="50"/>
  <c r="AI104" i="50"/>
  <c r="AI106" i="50"/>
  <c r="X104" i="50"/>
  <c r="X106" i="50"/>
  <c r="Z104" i="50"/>
  <c r="Z106" i="50"/>
  <c r="BK104" i="50"/>
  <c r="BK106" i="50"/>
  <c r="BG104" i="50"/>
  <c r="BG106" i="50"/>
  <c r="DE104" i="50"/>
  <c r="DE106" i="50"/>
  <c r="AZ104" i="50"/>
  <c r="AZ106" i="50"/>
  <c r="BF104" i="50"/>
  <c r="BF106" i="50"/>
  <c r="CC104" i="50"/>
  <c r="CC106" i="50"/>
  <c r="CP104" i="50"/>
  <c r="CP106" i="50"/>
  <c r="CV104" i="50"/>
  <c r="CV106" i="50"/>
  <c r="AM104" i="50"/>
  <c r="AM106" i="50"/>
  <c r="AE104" i="50"/>
  <c r="AE106" i="50"/>
  <c r="AD104" i="50"/>
  <c r="AD106" i="50"/>
  <c r="BO104" i="50"/>
  <c r="BO106" i="50"/>
  <c r="DG104" i="50"/>
  <c r="DG106" i="50"/>
  <c r="DC104" i="50"/>
  <c r="DC106" i="50"/>
  <c r="DI104" i="50"/>
  <c r="DI106" i="50"/>
  <c r="BH104" i="50"/>
  <c r="BH106" i="50"/>
  <c r="CA104" i="50"/>
  <c r="CA106" i="50"/>
  <c r="CG104" i="50"/>
  <c r="CG106" i="50"/>
  <c r="CT104" i="50"/>
  <c r="CT106" i="50"/>
  <c r="AL104" i="50"/>
  <c r="AL106" i="50"/>
  <c r="AQ104" i="50"/>
  <c r="AQ106" i="50"/>
  <c r="AF104" i="50"/>
  <c r="AF106" i="50"/>
  <c r="BN104" i="50"/>
  <c r="BN106" i="50"/>
  <c r="BS104" i="50"/>
  <c r="BS106" i="50"/>
  <c r="DB104" i="50"/>
  <c r="DB106" i="50"/>
  <c r="BC104" i="50"/>
  <c r="BC106" i="50"/>
  <c r="CI104" i="50"/>
  <c r="CI106" i="50"/>
  <c r="BZ104" i="50"/>
  <c r="BZ106" i="50"/>
  <c r="CX104" i="50"/>
  <c r="CX106" i="50"/>
  <c r="AO104" i="50"/>
  <c r="AO106" i="50"/>
  <c r="AJ104" i="50"/>
  <c r="AJ106" i="50"/>
  <c r="AA104" i="50"/>
  <c r="AA106" i="50"/>
  <c r="BQ104" i="50"/>
  <c r="BQ106" i="50"/>
  <c r="BL104" i="50"/>
  <c r="BL106" i="50"/>
  <c r="DF104" i="50"/>
  <c r="DF106" i="50"/>
  <c r="CF104" i="50"/>
  <c r="CF106" i="50"/>
  <c r="CD104" i="50"/>
  <c r="CD106" i="50"/>
  <c r="CM104" i="50"/>
  <c r="CM106" i="50"/>
  <c r="AT104" i="50"/>
  <c r="AT106" i="50"/>
  <c r="AN104" i="50"/>
  <c r="AN106" i="50"/>
  <c r="U104" i="50"/>
  <c r="U106" i="50"/>
  <c r="BR104" i="50"/>
  <c r="BR106" i="50"/>
  <c r="BP104" i="50"/>
  <c r="BP106" i="50"/>
  <c r="DJ105" i="50"/>
  <c r="DJ104" i="50"/>
  <c r="DK105" i="50"/>
  <c r="DK104" i="50"/>
  <c r="DG105" i="50"/>
  <c r="DB105" i="50"/>
  <c r="BC105" i="50"/>
  <c r="CI105" i="50"/>
  <c r="BZ105" i="50"/>
  <c r="CX105" i="50"/>
  <c r="AO105" i="50"/>
  <c r="AJ105" i="50"/>
  <c r="AA105" i="50"/>
  <c r="BQ105" i="50"/>
  <c r="BL105" i="50"/>
  <c r="BA105" i="50"/>
  <c r="CB105" i="50"/>
  <c r="CH105" i="50"/>
  <c r="CQ105" i="50"/>
  <c r="AP105" i="50"/>
  <c r="AR105" i="50"/>
  <c r="Y105" i="50"/>
  <c r="BV105" i="50"/>
  <c r="BT105" i="50"/>
  <c r="DF105" i="50"/>
  <c r="CM105" i="50"/>
  <c r="U105" i="50"/>
  <c r="BP105" i="50"/>
  <c r="DD105" i="50"/>
  <c r="DH105" i="50"/>
  <c r="AY105" i="50"/>
  <c r="BE105" i="50"/>
  <c r="CE105" i="50"/>
  <c r="CO105" i="50"/>
  <c r="CU105" i="50"/>
  <c r="AK105" i="50"/>
  <c r="W105" i="50"/>
  <c r="AC105" i="50"/>
  <c r="BM105" i="50"/>
  <c r="CJ105" i="50"/>
  <c r="CW105" i="50"/>
  <c r="CN105" i="50"/>
  <c r="AS105" i="50"/>
  <c r="AB105" i="50"/>
  <c r="V105" i="50"/>
  <c r="BU105" i="50"/>
  <c r="CD105" i="50"/>
  <c r="AX105" i="50"/>
  <c r="DA105" i="50"/>
  <c r="BD105" i="50"/>
  <c r="BB105" i="50"/>
  <c r="BY105" i="50"/>
  <c r="CS105" i="50"/>
  <c r="CR105" i="50"/>
  <c r="AI105" i="50"/>
  <c r="X105" i="50"/>
  <c r="Z105" i="50"/>
  <c r="BK105" i="50"/>
  <c r="CF105" i="50"/>
  <c r="AN105" i="50"/>
  <c r="BG105" i="50"/>
  <c r="DE105" i="50"/>
  <c r="AZ105" i="50"/>
  <c r="BF105" i="50"/>
  <c r="CC105" i="50"/>
  <c r="CP105" i="50"/>
  <c r="CV105" i="50"/>
  <c r="AM105" i="50"/>
  <c r="AE105" i="50"/>
  <c r="AD105" i="50"/>
  <c r="BO105" i="50"/>
  <c r="AW105" i="50"/>
  <c r="AT105" i="50"/>
  <c r="BR105" i="50"/>
  <c r="DC105" i="50"/>
  <c r="DI105" i="50"/>
  <c r="BH105" i="50"/>
  <c r="CA105" i="50"/>
  <c r="CG105" i="50"/>
  <c r="CT105" i="50"/>
  <c r="AL105" i="50"/>
  <c r="AQ105" i="50"/>
  <c r="AF105" i="50"/>
  <c r="BN105" i="50"/>
  <c r="BS105" i="50"/>
  <c r="DJ12" i="50"/>
  <c r="DJ9" i="50"/>
  <c r="DJ10" i="50"/>
  <c r="DJ11" i="50"/>
  <c r="DK96" i="50"/>
  <c r="DK87" i="50"/>
  <c r="DK88" i="50"/>
  <c r="DK90" i="50"/>
  <c r="DK65" i="50"/>
  <c r="DK30" i="50"/>
  <c r="DK62" i="50"/>
  <c r="DK54" i="50"/>
  <c r="DK58" i="50"/>
  <c r="DK42" i="50"/>
  <c r="DK100" i="50"/>
  <c r="DK71" i="50"/>
  <c r="DK41" i="50"/>
  <c r="DK17" i="50"/>
  <c r="DK60" i="50"/>
  <c r="DK102" i="50"/>
  <c r="DK95" i="50"/>
  <c r="DK82" i="50"/>
  <c r="DK79" i="50"/>
  <c r="DK76" i="50"/>
  <c r="DK64" i="50"/>
  <c r="DK27" i="50"/>
  <c r="DK12" i="50"/>
  <c r="DK55" i="50"/>
  <c r="DK21" i="50"/>
  <c r="DK47" i="50"/>
  <c r="DK48" i="50"/>
  <c r="DK170" i="50" s="1"/>
  <c r="DK49" i="50"/>
  <c r="DK81" i="50"/>
  <c r="DK89" i="50"/>
  <c r="DK80" i="50"/>
  <c r="DK59" i="50"/>
  <c r="DK34" i="50"/>
  <c r="DK13" i="50"/>
  <c r="DK98" i="50"/>
  <c r="DK72" i="50"/>
  <c r="DK75" i="50"/>
  <c r="DK24" i="50"/>
  <c r="DK16" i="50"/>
  <c r="DK101" i="50"/>
  <c r="DK94" i="50"/>
  <c r="DK83" i="50"/>
  <c r="DK74" i="50"/>
  <c r="DK68" i="50"/>
  <c r="DK66" i="50"/>
  <c r="DK43" i="50"/>
  <c r="DK19" i="50"/>
  <c r="DK11" i="50"/>
  <c r="DK45" i="50"/>
  <c r="DK39" i="50"/>
  <c r="DK32" i="50"/>
  <c r="DK85" i="50"/>
  <c r="DK99" i="50"/>
  <c r="DK91" i="50"/>
  <c r="DK78" i="50"/>
  <c r="DK92" i="50"/>
  <c r="DK67" i="50"/>
  <c r="DK53" i="50"/>
  <c r="DK46" i="50"/>
  <c r="DK35" i="50"/>
  <c r="DK26" i="50"/>
  <c r="DK18" i="50"/>
  <c r="DK61" i="50"/>
  <c r="DK37" i="50"/>
  <c r="DK22" i="50"/>
  <c r="DK23" i="50"/>
  <c r="DK31" i="50"/>
  <c r="DK103" i="50"/>
  <c r="DK86" i="50"/>
  <c r="DK69" i="50"/>
  <c r="DK77" i="50"/>
  <c r="DK93" i="50"/>
  <c r="DK50" i="50"/>
  <c r="DK51" i="50"/>
  <c r="DK28" i="50"/>
  <c r="DK44" i="50"/>
  <c r="DK8" i="50"/>
  <c r="DK38" i="50"/>
  <c r="DK52" i="50"/>
  <c r="DK20" i="50"/>
  <c r="DK29" i="50"/>
  <c r="DK10" i="50"/>
  <c r="DK97" i="50"/>
  <c r="DK73" i="50"/>
  <c r="DK70" i="50"/>
  <c r="DK84" i="50"/>
  <c r="DK63" i="50"/>
  <c r="DK14" i="50"/>
  <c r="DK15" i="50"/>
  <c r="DK57" i="50"/>
  <c r="DK56" i="50"/>
  <c r="DK25" i="50"/>
  <c r="DK36" i="50"/>
  <c r="DK40" i="50"/>
  <c r="DK33" i="50"/>
  <c r="DK9" i="50"/>
  <c r="I165" i="50"/>
  <c r="DJ101" i="50"/>
  <c r="DJ100" i="50"/>
  <c r="DJ98" i="50"/>
  <c r="DJ102" i="50"/>
  <c r="DJ103" i="50"/>
  <c r="DJ99" i="50"/>
  <c r="DJ95" i="50"/>
  <c r="DJ97" i="50"/>
  <c r="DJ96" i="50"/>
  <c r="DJ94" i="50"/>
  <c r="DJ87" i="50"/>
  <c r="DJ93" i="50"/>
  <c r="DJ72" i="50"/>
  <c r="DJ78" i="50"/>
  <c r="DJ90" i="50"/>
  <c r="DJ71" i="50"/>
  <c r="DJ81" i="50"/>
  <c r="DJ68" i="50"/>
  <c r="DJ74" i="50"/>
  <c r="DJ76" i="50"/>
  <c r="DJ85" i="50"/>
  <c r="DJ73" i="50"/>
  <c r="DJ89" i="50"/>
  <c r="DJ70" i="50"/>
  <c r="DJ79" i="50"/>
  <c r="DJ83" i="50"/>
  <c r="DJ92" i="50"/>
  <c r="DJ77" i="50"/>
  <c r="DJ29" i="50"/>
  <c r="DJ84" i="50"/>
  <c r="DJ67" i="50"/>
  <c r="DJ91" i="50"/>
  <c r="DJ88" i="50"/>
  <c r="DJ69" i="50"/>
  <c r="DJ75" i="50"/>
  <c r="DJ80" i="50"/>
  <c r="DJ86" i="50"/>
  <c r="DJ82" i="50"/>
  <c r="DJ63" i="50"/>
  <c r="DJ64" i="50"/>
  <c r="DJ65" i="50"/>
  <c r="DJ66" i="50"/>
  <c r="DJ53" i="50"/>
  <c r="DJ62" i="50"/>
  <c r="DJ52" i="50"/>
  <c r="DJ43" i="50"/>
  <c r="DJ34" i="50"/>
  <c r="DJ31" i="50"/>
  <c r="DJ13" i="50"/>
  <c r="DJ49" i="50"/>
  <c r="DJ54" i="50"/>
  <c r="DJ44" i="50"/>
  <c r="DJ35" i="50"/>
  <c r="DJ25" i="50"/>
  <c r="DJ22" i="50"/>
  <c r="DJ57" i="50"/>
  <c r="DJ41" i="50"/>
  <c r="DJ45" i="50"/>
  <c r="DJ36" i="50"/>
  <c r="DJ26" i="50"/>
  <c r="DJ17" i="50"/>
  <c r="DJ14" i="50"/>
  <c r="DJ48" i="50"/>
  <c r="DJ170" i="50" s="1"/>
  <c r="DJ33" i="50"/>
  <c r="DJ37" i="50"/>
  <c r="DJ27" i="50"/>
  <c r="DJ18" i="50"/>
  <c r="DJ55" i="50"/>
  <c r="DJ40" i="50"/>
  <c r="DJ24" i="50"/>
  <c r="DJ28" i="50"/>
  <c r="DJ19" i="50"/>
  <c r="DJ8" i="50"/>
  <c r="DJ46" i="50"/>
  <c r="DJ32" i="50"/>
  <c r="DJ16" i="50"/>
  <c r="DJ20" i="50"/>
  <c r="DJ59" i="50"/>
  <c r="DJ56" i="50"/>
  <c r="DJ38" i="50"/>
  <c r="DJ23" i="50"/>
  <c r="DJ60" i="50"/>
  <c r="DJ50" i="50"/>
  <c r="DJ47" i="50"/>
  <c r="DJ30" i="50"/>
  <c r="DJ15" i="50"/>
  <c r="DJ61" i="50"/>
  <c r="DJ51" i="50"/>
  <c r="DJ42" i="50"/>
  <c r="DJ39" i="50"/>
  <c r="DJ21" i="50"/>
  <c r="DJ58" i="50"/>
  <c r="DH67" i="50"/>
  <c r="DH35" i="50"/>
  <c r="DH47" i="50"/>
  <c r="DH79" i="50"/>
  <c r="DH87" i="50"/>
  <c r="DH9" i="50"/>
  <c r="DH19" i="50"/>
  <c r="DH46" i="50"/>
  <c r="DH56" i="50"/>
  <c r="DH51" i="50"/>
  <c r="DH74" i="50"/>
  <c r="DH53" i="50"/>
  <c r="DH64" i="50"/>
  <c r="DH89" i="50"/>
  <c r="DH57" i="50"/>
  <c r="DH31" i="50"/>
  <c r="DH81" i="50"/>
  <c r="DH10" i="50"/>
  <c r="DH12" i="50"/>
  <c r="DH54" i="50"/>
  <c r="DH82" i="50"/>
  <c r="DH103" i="50"/>
  <c r="DH72" i="50"/>
  <c r="DH99" i="50"/>
  <c r="DH92" i="50"/>
  <c r="DH59" i="50"/>
  <c r="DH63" i="50"/>
  <c r="DH25" i="50"/>
  <c r="DH18" i="50"/>
  <c r="DH13" i="50"/>
  <c r="DH15" i="50"/>
  <c r="DH61" i="50"/>
  <c r="DH49" i="50"/>
  <c r="DH90" i="50"/>
  <c r="DH62" i="50"/>
  <c r="DH80" i="50"/>
  <c r="DH91" i="50"/>
  <c r="DH33" i="50"/>
  <c r="DH84" i="50"/>
  <c r="DH28" i="50"/>
  <c r="DH26" i="50"/>
  <c r="DH21" i="50"/>
  <c r="DH16" i="50"/>
  <c r="DH27" i="50"/>
  <c r="DH98" i="50"/>
  <c r="DH70" i="50"/>
  <c r="DH88" i="50"/>
  <c r="DH85" i="50"/>
  <c r="DH44" i="50"/>
  <c r="DH55" i="50"/>
  <c r="DH60" i="50"/>
  <c r="DH68" i="50"/>
  <c r="DH34" i="50"/>
  <c r="DH14" i="50"/>
  <c r="DH24" i="50"/>
  <c r="DH73" i="50"/>
  <c r="DH75" i="50"/>
  <c r="DH78" i="50"/>
  <c r="DH96" i="50"/>
  <c r="DH100" i="50"/>
  <c r="DH36" i="50"/>
  <c r="DH97" i="50"/>
  <c r="DH20" i="50"/>
  <c r="DH76" i="50"/>
  <c r="DH42" i="50"/>
  <c r="DH22" i="50"/>
  <c r="DH32" i="50"/>
  <c r="DH52" i="50"/>
  <c r="DH17" i="50"/>
  <c r="DH29" i="50"/>
  <c r="DH86" i="50"/>
  <c r="DH8" i="50"/>
  <c r="DH83" i="50"/>
  <c r="DH39" i="50"/>
  <c r="DH65" i="50"/>
  <c r="DH23" i="50"/>
  <c r="DH69" i="50"/>
  <c r="DH50" i="50"/>
  <c r="DH30" i="50"/>
  <c r="DH40" i="50"/>
  <c r="DH71" i="50"/>
  <c r="DH58" i="50"/>
  <c r="DH37" i="50"/>
  <c r="DH94" i="50"/>
  <c r="DH101" i="50"/>
  <c r="DH43" i="50"/>
  <c r="DH95" i="50"/>
  <c r="DH93" i="50"/>
  <c r="DH77" i="50"/>
  <c r="DH11" i="50"/>
  <c r="DH38" i="50"/>
  <c r="DH48" i="50"/>
  <c r="DH170" i="50" s="1"/>
  <c r="DH66" i="50"/>
  <c r="DH45" i="50"/>
  <c r="DH102" i="50"/>
  <c r="DH41" i="50"/>
  <c r="DI100" i="50"/>
  <c r="DI101" i="50"/>
  <c r="DI98" i="50"/>
  <c r="DI102" i="50"/>
  <c r="DI99" i="50"/>
  <c r="DI103" i="50"/>
  <c r="DI95" i="50"/>
  <c r="DI97" i="50"/>
  <c r="DI96" i="50"/>
  <c r="DI94" i="50"/>
  <c r="DI76" i="50"/>
  <c r="DI89" i="50"/>
  <c r="DI83" i="50"/>
  <c r="DI78" i="50"/>
  <c r="DI80" i="50"/>
  <c r="DI85" i="50"/>
  <c r="DI79" i="50"/>
  <c r="DI74" i="50"/>
  <c r="DI92" i="50"/>
  <c r="DI81" i="50"/>
  <c r="DI75" i="50"/>
  <c r="DI70" i="50"/>
  <c r="DI68" i="50"/>
  <c r="DI69" i="50"/>
  <c r="DI72" i="50"/>
  <c r="DI77" i="50"/>
  <c r="DI71" i="50"/>
  <c r="DI29" i="50"/>
  <c r="DI84" i="50"/>
  <c r="DI73" i="50"/>
  <c r="DI67" i="50"/>
  <c r="DI90" i="50"/>
  <c r="DI88" i="50"/>
  <c r="DI91" i="50"/>
  <c r="DI86" i="50"/>
  <c r="DI93" i="50"/>
  <c r="DI87" i="50"/>
  <c r="DI82" i="50"/>
  <c r="DI63" i="50"/>
  <c r="DI65" i="50"/>
  <c r="DI64" i="50"/>
  <c r="DI66" i="50"/>
  <c r="DI53" i="50"/>
  <c r="DI28" i="50"/>
  <c r="DI62" i="50"/>
  <c r="DI17" i="50"/>
  <c r="DI37" i="50"/>
  <c r="DI20" i="50"/>
  <c r="DI13" i="50"/>
  <c r="DI49" i="50"/>
  <c r="DI12" i="50"/>
  <c r="DI61" i="50"/>
  <c r="DI60" i="50"/>
  <c r="DI9" i="50"/>
  <c r="DI35" i="50"/>
  <c r="DI43" i="50"/>
  <c r="DI57" i="50"/>
  <c r="DI41" i="50"/>
  <c r="DI27" i="50"/>
  <c r="DI52" i="50"/>
  <c r="DI18" i="50"/>
  <c r="DI45" i="50"/>
  <c r="DI56" i="50"/>
  <c r="DI8" i="50"/>
  <c r="DI48" i="50"/>
  <c r="DI170" i="50" s="1"/>
  <c r="DI33" i="50"/>
  <c r="DI42" i="50"/>
  <c r="DI23" i="50"/>
  <c r="DI44" i="50"/>
  <c r="DI59" i="50"/>
  <c r="DI26" i="50"/>
  <c r="DI47" i="50"/>
  <c r="DI55" i="50"/>
  <c r="DI40" i="50"/>
  <c r="DI24" i="50"/>
  <c r="DI31" i="50"/>
  <c r="DI38" i="50"/>
  <c r="DI36" i="50"/>
  <c r="DI50" i="50"/>
  <c r="DI54" i="50"/>
  <c r="DI39" i="50"/>
  <c r="DI46" i="50"/>
  <c r="DI32" i="50"/>
  <c r="DI16" i="50"/>
  <c r="DI19" i="50"/>
  <c r="DI34" i="50"/>
  <c r="DI51" i="50"/>
  <c r="DI22" i="50"/>
  <c r="DI30" i="50"/>
  <c r="DI15" i="50"/>
  <c r="DI11" i="50"/>
  <c r="DI25" i="50"/>
  <c r="DI10" i="50"/>
  <c r="DI14" i="50"/>
  <c r="DI21" i="50"/>
  <c r="DI58" i="50"/>
  <c r="DG102" i="50"/>
  <c r="DG99" i="50"/>
  <c r="DG103" i="50"/>
  <c r="DG101" i="50"/>
  <c r="DG100" i="50"/>
  <c r="DG98" i="50"/>
  <c r="DG95" i="50"/>
  <c r="DG97" i="50"/>
  <c r="DG96" i="50"/>
  <c r="DG94" i="50"/>
  <c r="DG73" i="50"/>
  <c r="DG78" i="50"/>
  <c r="DG93" i="50"/>
  <c r="DG84" i="50"/>
  <c r="DG72" i="50"/>
  <c r="DG75" i="50"/>
  <c r="DG87" i="50"/>
  <c r="DG86" i="50"/>
  <c r="DG76" i="50"/>
  <c r="DG67" i="50"/>
  <c r="DG81" i="50"/>
  <c r="DG69" i="50"/>
  <c r="DG92" i="50"/>
  <c r="DG80" i="50"/>
  <c r="DG83" i="50"/>
  <c r="DG71" i="50"/>
  <c r="DG74" i="50"/>
  <c r="DG89" i="50"/>
  <c r="DG79" i="50"/>
  <c r="DG85" i="50"/>
  <c r="DG77" i="50"/>
  <c r="DG88" i="50"/>
  <c r="DG68" i="50"/>
  <c r="DG91" i="50"/>
  <c r="DG82" i="50"/>
  <c r="DG90" i="50"/>
  <c r="DG70" i="50"/>
  <c r="DG29" i="50"/>
  <c r="DG66" i="50"/>
  <c r="DG64" i="50"/>
  <c r="DG65" i="50"/>
  <c r="DG63" i="50"/>
  <c r="DG53" i="50"/>
  <c r="DG54" i="50"/>
  <c r="DG59" i="50"/>
  <c r="DG50" i="50"/>
  <c r="DG20" i="50"/>
  <c r="DG18" i="50"/>
  <c r="DG49" i="50"/>
  <c r="DG12" i="50"/>
  <c r="DG51" i="50"/>
  <c r="DG36" i="50"/>
  <c r="DG45" i="50"/>
  <c r="DG21" i="50"/>
  <c r="DG15" i="50"/>
  <c r="DG27" i="50"/>
  <c r="DG30" i="50"/>
  <c r="DG11" i="50"/>
  <c r="DG16" i="50"/>
  <c r="DG40" i="50"/>
  <c r="DG31" i="50"/>
  <c r="DG19" i="50"/>
  <c r="DG24" i="50"/>
  <c r="DG32" i="50"/>
  <c r="DG23" i="50"/>
  <c r="DG13" i="50"/>
  <c r="DG9" i="50"/>
  <c r="DG14" i="50"/>
  <c r="DG44" i="50"/>
  <c r="DG34" i="50"/>
  <c r="DG25" i="50"/>
  <c r="DG17" i="50"/>
  <c r="DG33" i="50"/>
  <c r="DG37" i="50"/>
  <c r="DG48" i="50"/>
  <c r="DG170" i="50" s="1"/>
  <c r="DG35" i="50"/>
  <c r="DG47" i="50"/>
  <c r="DG39" i="50"/>
  <c r="DG22" i="50"/>
  <c r="DG28" i="50"/>
  <c r="DG55" i="50"/>
  <c r="DG38" i="50"/>
  <c r="DG61" i="50"/>
  <c r="DG52" i="50"/>
  <c r="DG62" i="50"/>
  <c r="DG42" i="50"/>
  <c r="DG60" i="50"/>
  <c r="DG58" i="50"/>
  <c r="DG41" i="50"/>
  <c r="DG43" i="50"/>
  <c r="DG10" i="50"/>
  <c r="DG57" i="50"/>
  <c r="DG56" i="50"/>
  <c r="DG26" i="50"/>
  <c r="DG8" i="50"/>
  <c r="DG46" i="50"/>
  <c r="DB98" i="50"/>
  <c r="DB102" i="50"/>
  <c r="DB100" i="50"/>
  <c r="DB99" i="50"/>
  <c r="DB103" i="50"/>
  <c r="DB101" i="50"/>
  <c r="DB96" i="50"/>
  <c r="DB95" i="50"/>
  <c r="DB97" i="50"/>
  <c r="DB94" i="50"/>
  <c r="DB68" i="50"/>
  <c r="DB79" i="50"/>
  <c r="DB67" i="50"/>
  <c r="DB70" i="50"/>
  <c r="DB29" i="50"/>
  <c r="DB85" i="50"/>
  <c r="DB88" i="50"/>
  <c r="DB90" i="50"/>
  <c r="DB76" i="50"/>
  <c r="DB87" i="50"/>
  <c r="DB75" i="50"/>
  <c r="DB78" i="50"/>
  <c r="DB93" i="50"/>
  <c r="DB73" i="50"/>
  <c r="DB82" i="50"/>
  <c r="DB83" i="50"/>
  <c r="DB86" i="50"/>
  <c r="DB81" i="50"/>
  <c r="DB69" i="50"/>
  <c r="DB84" i="50"/>
  <c r="DB72" i="50"/>
  <c r="DB74" i="50"/>
  <c r="DB77" i="50"/>
  <c r="DB80" i="50"/>
  <c r="DB92" i="50"/>
  <c r="DB91" i="50"/>
  <c r="DB71" i="50"/>
  <c r="DB89" i="50"/>
  <c r="DB64" i="50"/>
  <c r="DB66" i="50"/>
  <c r="DB65" i="50"/>
  <c r="DB63" i="50"/>
  <c r="DB53" i="50"/>
  <c r="DB36" i="50"/>
  <c r="DB34" i="50"/>
  <c r="DB17" i="50"/>
  <c r="DB9" i="50"/>
  <c r="DB33" i="50"/>
  <c r="DB24" i="50"/>
  <c r="DB37" i="50"/>
  <c r="DB43" i="50"/>
  <c r="DB32" i="50"/>
  <c r="DB31" i="50"/>
  <c r="DB22" i="50"/>
  <c r="DB38" i="50"/>
  <c r="DB61" i="50"/>
  <c r="DB44" i="50"/>
  <c r="DB62" i="50"/>
  <c r="DB59" i="50"/>
  <c r="DB42" i="50"/>
  <c r="DB25" i="50"/>
  <c r="DB58" i="50"/>
  <c r="DB41" i="50"/>
  <c r="DB10" i="50"/>
  <c r="DB40" i="50"/>
  <c r="DB39" i="50"/>
  <c r="DB28" i="50"/>
  <c r="DB26" i="50"/>
  <c r="DB55" i="50"/>
  <c r="DB46" i="50"/>
  <c r="DB11" i="50"/>
  <c r="DB54" i="50"/>
  <c r="DB52" i="50"/>
  <c r="DB51" i="50"/>
  <c r="DB50" i="50"/>
  <c r="DB60" i="50"/>
  <c r="DB18" i="50"/>
  <c r="DB49" i="50"/>
  <c r="DB57" i="50"/>
  <c r="DB48" i="50"/>
  <c r="DB170" i="50" s="1"/>
  <c r="DB47" i="50"/>
  <c r="DB8" i="50"/>
  <c r="DB19" i="50"/>
  <c r="DB56" i="50"/>
  <c r="DB12" i="50"/>
  <c r="DB20" i="50"/>
  <c r="DB27" i="50"/>
  <c r="DB15" i="50"/>
  <c r="DB16" i="50"/>
  <c r="DB23" i="50"/>
  <c r="DB45" i="50"/>
  <c r="DB35" i="50"/>
  <c r="DB14" i="50"/>
  <c r="DB30" i="50"/>
  <c r="DB21" i="50"/>
  <c r="DB13" i="50"/>
  <c r="DF99" i="50"/>
  <c r="DF103" i="50"/>
  <c r="DF101" i="50"/>
  <c r="DF102" i="50"/>
  <c r="DF100" i="50"/>
  <c r="DF98" i="50"/>
  <c r="DF96" i="50"/>
  <c r="DF97" i="50"/>
  <c r="DF95" i="50"/>
  <c r="DF94" i="50"/>
  <c r="DF93" i="50"/>
  <c r="DF84" i="50"/>
  <c r="DF75" i="50"/>
  <c r="DF86" i="50"/>
  <c r="DF81" i="50"/>
  <c r="DF71" i="50"/>
  <c r="DF69" i="50"/>
  <c r="DF92" i="50"/>
  <c r="DF72" i="50"/>
  <c r="DF83" i="50"/>
  <c r="DF74" i="50"/>
  <c r="DF89" i="50"/>
  <c r="DF79" i="50"/>
  <c r="DF73" i="50"/>
  <c r="DF77" i="50"/>
  <c r="DF80" i="50"/>
  <c r="DF68" i="50"/>
  <c r="DF91" i="50"/>
  <c r="DF82" i="50"/>
  <c r="DF70" i="50"/>
  <c r="DF87" i="50"/>
  <c r="DF29" i="50"/>
  <c r="DF85" i="50"/>
  <c r="DF88" i="50"/>
  <c r="DF76" i="50"/>
  <c r="DF67" i="50"/>
  <c r="DF90" i="50"/>
  <c r="DF78" i="50"/>
  <c r="DF66" i="50"/>
  <c r="DF63" i="50"/>
  <c r="DF65" i="50"/>
  <c r="DF64" i="50"/>
  <c r="DF53" i="50"/>
  <c r="DF12" i="50"/>
  <c r="DF51" i="50"/>
  <c r="DF56" i="50"/>
  <c r="DF44" i="50"/>
  <c r="DF28" i="50"/>
  <c r="DF15" i="50"/>
  <c r="DF34" i="50"/>
  <c r="DF24" i="50"/>
  <c r="DF11" i="50"/>
  <c r="DF23" i="50"/>
  <c r="DF25" i="50"/>
  <c r="DF41" i="50"/>
  <c r="DF32" i="50"/>
  <c r="DF47" i="50"/>
  <c r="DF19" i="50"/>
  <c r="DF31" i="50"/>
  <c r="DF14" i="50"/>
  <c r="DF38" i="50"/>
  <c r="DF30" i="50"/>
  <c r="DF13" i="50"/>
  <c r="DF35" i="50"/>
  <c r="DF46" i="50"/>
  <c r="DF36" i="50"/>
  <c r="DF27" i="50"/>
  <c r="DF17" i="50"/>
  <c r="DF9" i="50"/>
  <c r="DF33" i="50"/>
  <c r="DF16" i="50"/>
  <c r="DF45" i="50"/>
  <c r="DF39" i="50"/>
  <c r="DF22" i="50"/>
  <c r="DF55" i="50"/>
  <c r="DF21" i="50"/>
  <c r="DF62" i="50"/>
  <c r="DF37" i="50"/>
  <c r="DF54" i="50"/>
  <c r="DF61" i="50"/>
  <c r="DF52" i="50"/>
  <c r="DF42" i="50"/>
  <c r="DF60" i="50"/>
  <c r="DF58" i="50"/>
  <c r="DF49" i="50"/>
  <c r="DF43" i="50"/>
  <c r="DF10" i="50"/>
  <c r="DF57" i="50"/>
  <c r="DF40" i="50"/>
  <c r="DF26" i="50"/>
  <c r="DF8" i="50"/>
  <c r="DF59" i="50"/>
  <c r="DF50" i="50"/>
  <c r="DF20" i="50"/>
  <c r="DF18" i="50"/>
  <c r="DF48" i="50"/>
  <c r="DF170" i="50" s="1"/>
  <c r="DD103" i="50"/>
  <c r="DD101" i="50"/>
  <c r="DD100" i="50"/>
  <c r="DD98" i="50"/>
  <c r="DD102" i="50"/>
  <c r="DD99" i="50"/>
  <c r="DD96" i="50"/>
  <c r="DD97" i="50"/>
  <c r="DD95" i="50"/>
  <c r="DD94" i="50"/>
  <c r="DD77" i="50"/>
  <c r="DD83" i="50"/>
  <c r="DD71" i="50"/>
  <c r="DD74" i="50"/>
  <c r="DD89" i="50"/>
  <c r="DD80" i="50"/>
  <c r="DD68" i="50"/>
  <c r="DD29" i="50"/>
  <c r="DD86" i="50"/>
  <c r="DD85" i="50"/>
  <c r="DD91" i="50"/>
  <c r="DD79" i="50"/>
  <c r="DD82" i="50"/>
  <c r="DD81" i="50"/>
  <c r="DD88" i="50"/>
  <c r="DD76" i="50"/>
  <c r="DD70" i="50"/>
  <c r="DD93" i="50"/>
  <c r="DD84" i="50"/>
  <c r="DD87" i="50"/>
  <c r="DD67" i="50"/>
  <c r="DD90" i="50"/>
  <c r="DD92" i="50"/>
  <c r="DD72" i="50"/>
  <c r="DD73" i="50"/>
  <c r="DD78" i="50"/>
  <c r="DD69" i="50"/>
  <c r="DD75" i="50"/>
  <c r="DD65" i="50"/>
  <c r="DD63" i="50"/>
  <c r="DD64" i="50"/>
  <c r="DD66" i="50"/>
  <c r="DD53" i="50"/>
  <c r="DD11" i="50"/>
  <c r="DD15" i="50"/>
  <c r="DD45" i="50"/>
  <c r="DD21" i="50"/>
  <c r="DD13" i="50"/>
  <c r="DD36" i="50"/>
  <c r="DD19" i="50"/>
  <c r="DD16" i="50"/>
  <c r="DD37" i="50"/>
  <c r="DD23" i="50"/>
  <c r="DD61" i="50"/>
  <c r="DD44" i="50"/>
  <c r="DD27" i="50"/>
  <c r="DD17" i="50"/>
  <c r="DD9" i="50"/>
  <c r="DD33" i="50"/>
  <c r="DD24" i="50"/>
  <c r="DD32" i="50"/>
  <c r="DD31" i="50"/>
  <c r="DD14" i="50"/>
  <c r="DD28" i="50"/>
  <c r="DD30" i="50"/>
  <c r="DD54" i="50"/>
  <c r="DD59" i="50"/>
  <c r="DD50" i="50"/>
  <c r="DD18" i="50"/>
  <c r="DD52" i="50"/>
  <c r="DD34" i="50"/>
  <c r="DD25" i="50"/>
  <c r="DD20" i="50"/>
  <c r="DD60" i="50"/>
  <c r="DD41" i="50"/>
  <c r="DD40" i="50"/>
  <c r="DD35" i="50"/>
  <c r="DD39" i="50"/>
  <c r="DD22" i="50"/>
  <c r="DD55" i="50"/>
  <c r="DD62" i="50"/>
  <c r="DD42" i="50"/>
  <c r="DD58" i="50"/>
  <c r="DD49" i="50"/>
  <c r="DD43" i="50"/>
  <c r="DD10" i="50"/>
  <c r="DD57" i="50"/>
  <c r="DD48" i="50"/>
  <c r="DD170" i="50" s="1"/>
  <c r="DD47" i="50"/>
  <c r="DD26" i="50"/>
  <c r="DD8" i="50"/>
  <c r="DD46" i="50"/>
  <c r="DD38" i="50"/>
  <c r="DD12" i="50"/>
  <c r="DD56" i="50"/>
  <c r="DD51" i="50"/>
  <c r="DC103" i="50"/>
  <c r="DC100" i="50"/>
  <c r="DC101" i="50"/>
  <c r="DC102" i="50"/>
  <c r="DC98" i="50"/>
  <c r="DC99" i="50"/>
  <c r="DC97" i="50"/>
  <c r="DC96" i="50"/>
  <c r="DC95" i="50"/>
  <c r="DC94" i="50"/>
  <c r="DC89" i="50"/>
  <c r="DC80" i="50"/>
  <c r="DC91" i="50"/>
  <c r="DC77" i="50"/>
  <c r="DC76" i="50"/>
  <c r="DC79" i="50"/>
  <c r="DC82" i="50"/>
  <c r="DC70" i="50"/>
  <c r="DC69" i="50"/>
  <c r="DC88" i="50"/>
  <c r="DC67" i="50"/>
  <c r="DC29" i="50"/>
  <c r="DC85" i="50"/>
  <c r="DC84" i="50"/>
  <c r="DC87" i="50"/>
  <c r="DC75" i="50"/>
  <c r="DC90" i="50"/>
  <c r="DC78" i="50"/>
  <c r="DC73" i="50"/>
  <c r="DC71" i="50"/>
  <c r="DC74" i="50"/>
  <c r="DC93" i="50"/>
  <c r="DC92" i="50"/>
  <c r="DC86" i="50"/>
  <c r="DC81" i="50"/>
  <c r="DC72" i="50"/>
  <c r="DC83" i="50"/>
  <c r="DC68" i="50"/>
  <c r="DC65" i="50"/>
  <c r="DC63" i="50"/>
  <c r="DC64" i="50"/>
  <c r="DC66" i="50"/>
  <c r="DC53" i="50"/>
  <c r="DC44" i="50"/>
  <c r="DC27" i="50"/>
  <c r="DC16" i="50"/>
  <c r="DC23" i="50"/>
  <c r="DC14" i="50"/>
  <c r="DC28" i="50"/>
  <c r="DC30" i="50"/>
  <c r="DC52" i="50"/>
  <c r="DC17" i="50"/>
  <c r="DC9" i="50"/>
  <c r="DC60" i="50"/>
  <c r="DC33" i="50"/>
  <c r="DC24" i="50"/>
  <c r="DC32" i="50"/>
  <c r="DC45" i="50"/>
  <c r="DC35" i="50"/>
  <c r="DC31" i="50"/>
  <c r="DC22" i="50"/>
  <c r="DC38" i="50"/>
  <c r="DC21" i="50"/>
  <c r="DC62" i="50"/>
  <c r="DC34" i="50"/>
  <c r="DC25" i="50"/>
  <c r="DC20" i="50"/>
  <c r="DC41" i="50"/>
  <c r="DC37" i="50"/>
  <c r="DC43" i="50"/>
  <c r="DC40" i="50"/>
  <c r="DC39" i="50"/>
  <c r="DC55" i="50"/>
  <c r="DC46" i="50"/>
  <c r="DC54" i="50"/>
  <c r="DC12" i="50"/>
  <c r="DC59" i="50"/>
  <c r="DC42" i="50"/>
  <c r="DC58" i="50"/>
  <c r="DC49" i="50"/>
  <c r="DC10" i="50"/>
  <c r="DC57" i="50"/>
  <c r="DC48" i="50"/>
  <c r="DC170" i="50" s="1"/>
  <c r="DC47" i="50"/>
  <c r="DC26" i="50"/>
  <c r="DC8" i="50"/>
  <c r="DC61" i="50"/>
  <c r="DC51" i="50"/>
  <c r="DC50" i="50"/>
  <c r="DC18" i="50"/>
  <c r="DC56" i="50"/>
  <c r="DC13" i="50"/>
  <c r="DC11" i="50"/>
  <c r="DC36" i="50"/>
  <c r="DC19" i="50"/>
  <c r="DC15" i="50"/>
  <c r="DA100" i="50"/>
  <c r="DA98" i="50"/>
  <c r="DA102" i="50"/>
  <c r="DA99" i="50"/>
  <c r="DA103" i="50"/>
  <c r="DA101" i="50"/>
  <c r="DA95" i="50"/>
  <c r="DA97" i="50"/>
  <c r="DA96" i="50"/>
  <c r="DA94" i="50"/>
  <c r="DA85" i="50"/>
  <c r="DA88" i="50"/>
  <c r="DA76" i="50"/>
  <c r="DA90" i="50"/>
  <c r="DA73" i="50"/>
  <c r="DA87" i="50"/>
  <c r="DA67" i="50"/>
  <c r="DA78" i="50"/>
  <c r="DA93" i="50"/>
  <c r="DA81" i="50"/>
  <c r="DA84" i="50"/>
  <c r="DA86" i="50"/>
  <c r="DA79" i="50"/>
  <c r="DA69" i="50"/>
  <c r="DA92" i="50"/>
  <c r="DA72" i="50"/>
  <c r="DA75" i="50"/>
  <c r="DA74" i="50"/>
  <c r="DA89" i="50"/>
  <c r="DA83" i="50"/>
  <c r="DA71" i="50"/>
  <c r="DA91" i="50"/>
  <c r="DA29" i="50"/>
  <c r="DA77" i="50"/>
  <c r="DA80" i="50"/>
  <c r="DA68" i="50"/>
  <c r="DA82" i="50"/>
  <c r="DA70" i="50"/>
  <c r="DA64" i="50"/>
  <c r="DA65" i="50"/>
  <c r="DA66" i="50"/>
  <c r="DA63" i="50"/>
  <c r="DA53" i="50"/>
  <c r="DA61" i="50"/>
  <c r="DA52" i="50"/>
  <c r="DA62" i="50"/>
  <c r="DA42" i="50"/>
  <c r="DA60" i="50"/>
  <c r="DA58" i="50"/>
  <c r="DA10" i="50"/>
  <c r="DA57" i="50"/>
  <c r="DA40" i="50"/>
  <c r="DA35" i="50"/>
  <c r="DA39" i="50"/>
  <c r="DA26" i="50"/>
  <c r="DA55" i="50"/>
  <c r="DA46" i="50"/>
  <c r="DA54" i="50"/>
  <c r="DA50" i="50"/>
  <c r="DA20" i="50"/>
  <c r="DA18" i="50"/>
  <c r="DA43" i="50"/>
  <c r="DA48" i="50"/>
  <c r="DA170" i="50" s="1"/>
  <c r="DA47" i="50"/>
  <c r="DA12" i="50"/>
  <c r="DA59" i="50"/>
  <c r="DA56" i="50"/>
  <c r="DA51" i="50"/>
  <c r="DA17" i="50"/>
  <c r="DA33" i="50"/>
  <c r="DA11" i="50"/>
  <c r="DA15" i="50"/>
  <c r="DA36" i="50"/>
  <c r="DA19" i="50"/>
  <c r="DA41" i="50"/>
  <c r="DA16" i="50"/>
  <c r="DA23" i="50"/>
  <c r="DA45" i="50"/>
  <c r="DA14" i="50"/>
  <c r="DA30" i="50"/>
  <c r="DA21" i="50"/>
  <c r="DA13" i="50"/>
  <c r="DA44" i="50"/>
  <c r="DA27" i="50"/>
  <c r="DA34" i="50"/>
  <c r="DA25" i="50"/>
  <c r="DA9" i="50"/>
  <c r="DA49" i="50"/>
  <c r="DA24" i="50"/>
  <c r="DA37" i="50"/>
  <c r="DA32" i="50"/>
  <c r="DA31" i="50"/>
  <c r="DA22" i="50"/>
  <c r="DA28" i="50"/>
  <c r="DA38" i="50"/>
  <c r="DE99" i="50"/>
  <c r="DE101" i="50"/>
  <c r="DE103" i="50"/>
  <c r="DE102" i="50"/>
  <c r="DE100" i="50"/>
  <c r="DE98" i="50"/>
  <c r="DE97" i="50"/>
  <c r="DE96" i="50"/>
  <c r="DE95" i="50"/>
  <c r="DE94" i="50"/>
  <c r="DE81" i="50"/>
  <c r="DE69" i="50"/>
  <c r="DE72" i="50"/>
  <c r="DE92" i="50"/>
  <c r="DE83" i="50"/>
  <c r="DE74" i="50"/>
  <c r="DE89" i="50"/>
  <c r="DE77" i="50"/>
  <c r="DE80" i="50"/>
  <c r="DE71" i="50"/>
  <c r="DE70" i="50"/>
  <c r="DE68" i="50"/>
  <c r="DE91" i="50"/>
  <c r="DE82" i="50"/>
  <c r="DE29" i="50"/>
  <c r="DE85" i="50"/>
  <c r="DE88" i="50"/>
  <c r="DE78" i="50"/>
  <c r="DE76" i="50"/>
  <c r="DE79" i="50"/>
  <c r="DE67" i="50"/>
  <c r="DE90" i="50"/>
  <c r="DE93" i="50"/>
  <c r="DE73" i="50"/>
  <c r="DE87" i="50"/>
  <c r="DE86" i="50"/>
  <c r="DE84" i="50"/>
  <c r="DE75" i="50"/>
  <c r="DE65" i="50"/>
  <c r="DE63" i="50"/>
  <c r="DE64" i="50"/>
  <c r="DE66" i="50"/>
  <c r="DE53" i="50"/>
  <c r="DE10" i="50"/>
  <c r="DE11" i="50"/>
  <c r="DE14" i="50"/>
  <c r="DE30" i="50"/>
  <c r="DE13" i="50"/>
  <c r="DE60" i="50"/>
  <c r="DE58" i="50"/>
  <c r="DE48" i="50"/>
  <c r="DE170" i="50" s="1"/>
  <c r="DE39" i="50"/>
  <c r="DE8" i="50"/>
  <c r="DE19" i="50"/>
  <c r="DE16" i="50"/>
  <c r="DE45" i="50"/>
  <c r="DE22" i="50"/>
  <c r="DE38" i="50"/>
  <c r="DE21" i="50"/>
  <c r="DE43" i="50"/>
  <c r="DE26" i="50"/>
  <c r="DE61" i="50"/>
  <c r="DE36" i="50"/>
  <c r="DE27" i="50"/>
  <c r="DE62" i="50"/>
  <c r="DE17" i="50"/>
  <c r="DE9" i="50"/>
  <c r="DE33" i="50"/>
  <c r="DE24" i="50"/>
  <c r="DE37" i="50"/>
  <c r="DE32" i="50"/>
  <c r="DE23" i="50"/>
  <c r="DE15" i="50"/>
  <c r="DE46" i="50"/>
  <c r="DE52" i="50"/>
  <c r="DE54" i="50"/>
  <c r="DE44" i="50"/>
  <c r="DE34" i="50"/>
  <c r="DE25" i="50"/>
  <c r="DE41" i="50"/>
  <c r="DE40" i="50"/>
  <c r="DE35" i="50"/>
  <c r="DE31" i="50"/>
  <c r="DE28" i="50"/>
  <c r="DE42" i="50"/>
  <c r="DE49" i="50"/>
  <c r="DE57" i="50"/>
  <c r="DE55" i="50"/>
  <c r="DE59" i="50"/>
  <c r="DE50" i="50"/>
  <c r="DE20" i="50"/>
  <c r="DE18" i="50"/>
  <c r="DE56" i="50"/>
  <c r="DE12" i="50"/>
  <c r="DE51" i="50"/>
  <c r="DE47" i="50"/>
  <c r="BC101" i="50"/>
  <c r="BC99" i="50"/>
  <c r="BC103" i="50"/>
  <c r="BC98" i="50"/>
  <c r="BC100" i="50"/>
  <c r="BC102" i="50"/>
  <c r="AW103" i="50"/>
  <c r="AW100" i="50"/>
  <c r="AW102" i="50"/>
  <c r="AW99" i="50"/>
  <c r="AW101" i="50"/>
  <c r="AW98" i="50"/>
  <c r="CF102" i="50"/>
  <c r="CF99" i="50"/>
  <c r="CF103" i="50"/>
  <c r="CF101" i="50"/>
  <c r="CF100" i="50"/>
  <c r="CF98" i="50"/>
  <c r="CD103" i="50"/>
  <c r="CD98" i="50"/>
  <c r="CD99" i="50"/>
  <c r="CD100" i="50"/>
  <c r="CD101" i="50"/>
  <c r="CD102" i="50"/>
  <c r="CM100" i="50"/>
  <c r="CM99" i="50"/>
  <c r="CM102" i="50"/>
  <c r="CM98" i="50"/>
  <c r="CM103" i="50"/>
  <c r="CM101" i="50"/>
  <c r="AT102" i="50"/>
  <c r="AT100" i="50"/>
  <c r="AT101" i="50"/>
  <c r="AT103" i="50"/>
  <c r="AT98" i="50"/>
  <c r="AT99" i="50"/>
  <c r="AN103" i="50"/>
  <c r="AN102" i="50"/>
  <c r="AN99" i="50"/>
  <c r="AN101" i="50"/>
  <c r="AN100" i="50"/>
  <c r="AN98" i="50"/>
  <c r="U98" i="50"/>
  <c r="U102" i="50"/>
  <c r="U103" i="50"/>
  <c r="U99" i="50"/>
  <c r="U100" i="50"/>
  <c r="U101" i="50"/>
  <c r="BR103" i="50"/>
  <c r="BR98" i="50"/>
  <c r="BR99" i="50"/>
  <c r="BR100" i="50"/>
  <c r="BR101" i="50"/>
  <c r="BR102" i="50"/>
  <c r="BP100" i="50"/>
  <c r="BP99" i="50"/>
  <c r="BP102" i="50"/>
  <c r="BP101" i="50"/>
  <c r="BP103" i="50"/>
  <c r="BP98" i="50"/>
  <c r="CX103" i="50"/>
  <c r="CX100" i="50"/>
  <c r="CX101" i="50"/>
  <c r="CX102" i="50"/>
  <c r="CX98" i="50"/>
  <c r="CX99" i="50"/>
  <c r="BA100" i="50"/>
  <c r="BA102" i="50"/>
  <c r="BA99" i="50"/>
  <c r="BA101" i="50"/>
  <c r="BA98" i="50"/>
  <c r="BA103" i="50"/>
  <c r="CB98" i="50"/>
  <c r="CB103" i="50"/>
  <c r="CB100" i="50"/>
  <c r="CB101" i="50"/>
  <c r="CB102" i="50"/>
  <c r="CB99" i="50"/>
  <c r="CH103" i="50"/>
  <c r="CH98" i="50"/>
  <c r="CH102" i="50"/>
  <c r="CH101" i="50"/>
  <c r="CH99" i="50"/>
  <c r="CH100" i="50"/>
  <c r="CQ100" i="50"/>
  <c r="CQ101" i="50"/>
  <c r="CQ102" i="50"/>
  <c r="CQ99" i="50"/>
  <c r="CQ103" i="50"/>
  <c r="CQ98" i="50"/>
  <c r="AP99" i="50"/>
  <c r="AP98" i="50"/>
  <c r="AP101" i="50"/>
  <c r="AP100" i="50"/>
  <c r="AP102" i="50"/>
  <c r="AP103" i="50"/>
  <c r="AR102" i="50"/>
  <c r="AR98" i="50"/>
  <c r="AR103" i="50"/>
  <c r="AR99" i="50"/>
  <c r="AR101" i="50"/>
  <c r="AR100" i="50"/>
  <c r="Y101" i="50"/>
  <c r="Y99" i="50"/>
  <c r="Y102" i="50"/>
  <c r="Y98" i="50"/>
  <c r="Y103" i="50"/>
  <c r="Y100" i="50"/>
  <c r="BV98" i="50"/>
  <c r="BV101" i="50"/>
  <c r="BV100" i="50"/>
  <c r="BV102" i="50"/>
  <c r="BV103" i="50"/>
  <c r="BV99" i="50"/>
  <c r="BT101" i="50"/>
  <c r="BT99" i="50"/>
  <c r="BT102" i="50"/>
  <c r="BT103" i="50"/>
  <c r="BT98" i="50"/>
  <c r="BT100" i="50"/>
  <c r="BZ102" i="50"/>
  <c r="BZ98" i="50"/>
  <c r="BZ99" i="50"/>
  <c r="BZ101" i="50"/>
  <c r="BZ100" i="50"/>
  <c r="BZ103" i="50"/>
  <c r="AY103" i="50"/>
  <c r="AY102" i="50"/>
  <c r="AY98" i="50"/>
  <c r="AY101" i="50"/>
  <c r="AY100" i="50"/>
  <c r="AY99" i="50"/>
  <c r="BE99" i="50"/>
  <c r="BE101" i="50"/>
  <c r="BE103" i="50"/>
  <c r="BE98" i="50"/>
  <c r="BE100" i="50"/>
  <c r="BE102" i="50"/>
  <c r="CE101" i="50"/>
  <c r="CE98" i="50"/>
  <c r="CE103" i="50"/>
  <c r="CE99" i="50"/>
  <c r="CE100" i="50"/>
  <c r="CE102" i="50"/>
  <c r="CO101" i="50"/>
  <c r="CO103" i="50"/>
  <c r="CO100" i="50"/>
  <c r="CO102" i="50"/>
  <c r="CO98" i="50"/>
  <c r="CO99" i="50"/>
  <c r="CU100" i="50"/>
  <c r="CU103" i="50"/>
  <c r="CU102" i="50"/>
  <c r="CU98" i="50"/>
  <c r="CU101" i="50"/>
  <c r="CU99" i="50"/>
  <c r="AK100" i="50"/>
  <c r="AK99" i="50"/>
  <c r="AK98" i="50"/>
  <c r="AK102" i="50"/>
  <c r="AK101" i="50"/>
  <c r="AK103" i="50"/>
  <c r="W99" i="50"/>
  <c r="W103" i="50"/>
  <c r="W100" i="50"/>
  <c r="W98" i="50"/>
  <c r="W101" i="50"/>
  <c r="W102" i="50"/>
  <c r="AC100" i="50"/>
  <c r="AC98" i="50"/>
  <c r="AC102" i="50"/>
  <c r="AC99" i="50"/>
  <c r="AC103" i="50"/>
  <c r="AC101" i="50"/>
  <c r="BM99" i="50"/>
  <c r="BM98" i="50"/>
  <c r="BM101" i="50"/>
  <c r="BM103" i="50"/>
  <c r="BM100" i="50"/>
  <c r="BM102" i="50"/>
  <c r="CJ100" i="50"/>
  <c r="CJ98" i="50"/>
  <c r="CJ101" i="50"/>
  <c r="CJ99" i="50"/>
  <c r="CJ102" i="50"/>
  <c r="CJ103" i="50"/>
  <c r="AS98" i="50"/>
  <c r="AS102" i="50"/>
  <c r="AS101" i="50"/>
  <c r="AS103" i="50"/>
  <c r="AS99" i="50"/>
  <c r="AS100" i="50"/>
  <c r="AB101" i="50"/>
  <c r="AB99" i="50"/>
  <c r="AB100" i="50"/>
  <c r="AB103" i="50"/>
  <c r="AB102" i="50"/>
  <c r="AB98" i="50"/>
  <c r="V101" i="50"/>
  <c r="V100" i="50"/>
  <c r="V98" i="50"/>
  <c r="V99" i="50"/>
  <c r="V103" i="50"/>
  <c r="V102" i="50"/>
  <c r="BU100" i="50"/>
  <c r="BU102" i="50"/>
  <c r="BU99" i="50"/>
  <c r="BU98" i="50"/>
  <c r="BU101" i="50"/>
  <c r="BU103" i="50"/>
  <c r="CW101" i="50"/>
  <c r="CW98" i="50"/>
  <c r="CW100" i="50"/>
  <c r="CW102" i="50"/>
  <c r="CW103" i="50"/>
  <c r="CW99" i="50"/>
  <c r="BD98" i="50"/>
  <c r="BD101" i="50"/>
  <c r="BD102" i="50"/>
  <c r="BD100" i="50"/>
  <c r="BD99" i="50"/>
  <c r="BD103" i="50"/>
  <c r="BB102" i="50"/>
  <c r="BB103" i="50"/>
  <c r="BB99" i="50"/>
  <c r="BB101" i="50"/>
  <c r="BB100" i="50"/>
  <c r="BB98" i="50"/>
  <c r="BY100" i="50"/>
  <c r="BY101" i="50"/>
  <c r="BY98" i="50"/>
  <c r="BY103" i="50"/>
  <c r="BY99" i="50"/>
  <c r="BY102" i="50"/>
  <c r="CS98" i="50"/>
  <c r="CS99" i="50"/>
  <c r="CS101" i="50"/>
  <c r="CS102" i="50"/>
  <c r="CS100" i="50"/>
  <c r="CS103" i="50"/>
  <c r="CR100" i="50"/>
  <c r="CR98" i="50"/>
  <c r="CR103" i="50"/>
  <c r="CR99" i="50"/>
  <c r="CR102" i="50"/>
  <c r="CR101" i="50"/>
  <c r="AI103" i="50"/>
  <c r="AI102" i="50"/>
  <c r="AI100" i="50"/>
  <c r="AI98" i="50"/>
  <c r="AI101" i="50"/>
  <c r="AI99" i="50"/>
  <c r="X101" i="50"/>
  <c r="X99" i="50"/>
  <c r="X103" i="50"/>
  <c r="X100" i="50"/>
  <c r="X98" i="50"/>
  <c r="X102" i="50"/>
  <c r="Z101" i="50"/>
  <c r="Z102" i="50"/>
  <c r="Z99" i="50"/>
  <c r="Z103" i="50"/>
  <c r="Z100" i="50"/>
  <c r="Z98" i="50"/>
  <c r="BK101" i="50"/>
  <c r="BK99" i="50"/>
  <c r="BK100" i="50"/>
  <c r="BK98" i="50"/>
  <c r="BK102" i="50"/>
  <c r="BK103" i="50"/>
  <c r="BG101" i="50"/>
  <c r="BG98" i="50"/>
  <c r="BG103" i="50"/>
  <c r="BG99" i="50"/>
  <c r="BG102" i="50"/>
  <c r="BG100" i="50"/>
  <c r="CN102" i="50"/>
  <c r="CN99" i="50"/>
  <c r="CN98" i="50"/>
  <c r="CN100" i="50"/>
  <c r="CN103" i="50"/>
  <c r="CN101" i="50"/>
  <c r="AZ101" i="50"/>
  <c r="AZ103" i="50"/>
  <c r="AZ99" i="50"/>
  <c r="AZ100" i="50"/>
  <c r="AZ98" i="50"/>
  <c r="AZ102" i="50"/>
  <c r="BF99" i="50"/>
  <c r="BF103" i="50"/>
  <c r="BF101" i="50"/>
  <c r="BF98" i="50"/>
  <c r="BF100" i="50"/>
  <c r="BF102" i="50"/>
  <c r="CC101" i="50"/>
  <c r="CC100" i="50"/>
  <c r="CC99" i="50"/>
  <c r="CC102" i="50"/>
  <c r="CC98" i="50"/>
  <c r="CC103" i="50"/>
  <c r="CP101" i="50"/>
  <c r="CP102" i="50"/>
  <c r="CP99" i="50"/>
  <c r="CP103" i="50"/>
  <c r="CP98" i="50"/>
  <c r="CP100" i="50"/>
  <c r="CV102" i="50"/>
  <c r="CV101" i="50"/>
  <c r="CV103" i="50"/>
  <c r="CV100" i="50"/>
  <c r="CV99" i="50"/>
  <c r="CV98" i="50"/>
  <c r="AM98" i="50"/>
  <c r="AM100" i="50"/>
  <c r="AM101" i="50"/>
  <c r="AM103" i="50"/>
  <c r="AM102" i="50"/>
  <c r="AM99" i="50"/>
  <c r="AE98" i="50"/>
  <c r="AE101" i="50"/>
  <c r="AE100" i="50"/>
  <c r="AE103" i="50"/>
  <c r="AE102" i="50"/>
  <c r="AE99" i="50"/>
  <c r="AD102" i="50"/>
  <c r="AD100" i="50"/>
  <c r="AD101" i="50"/>
  <c r="AD98" i="50"/>
  <c r="AD99" i="50"/>
  <c r="AD103" i="50"/>
  <c r="BO101" i="50"/>
  <c r="BO99" i="50"/>
  <c r="BO100" i="50"/>
  <c r="BO103" i="50"/>
  <c r="BO102" i="50"/>
  <c r="BO98" i="50"/>
  <c r="AX99" i="50"/>
  <c r="AX103" i="50"/>
  <c r="AX100" i="50"/>
  <c r="AX102" i="50"/>
  <c r="AX101" i="50"/>
  <c r="AX98" i="50"/>
  <c r="BH103" i="50"/>
  <c r="BH99" i="50"/>
  <c r="BH101" i="50"/>
  <c r="BH102" i="50"/>
  <c r="BH98" i="50"/>
  <c r="BH100" i="50"/>
  <c r="CA98" i="50"/>
  <c r="CA102" i="50"/>
  <c r="CA100" i="50"/>
  <c r="CA103" i="50"/>
  <c r="CA101" i="50"/>
  <c r="CA99" i="50"/>
  <c r="CG100" i="50"/>
  <c r="CG98" i="50"/>
  <c r="CG103" i="50"/>
  <c r="CG99" i="50"/>
  <c r="CG101" i="50"/>
  <c r="CG102" i="50"/>
  <c r="CT101" i="50"/>
  <c r="CT98" i="50"/>
  <c r="CT103" i="50"/>
  <c r="CT102" i="50"/>
  <c r="CT99" i="50"/>
  <c r="CT100" i="50"/>
  <c r="AL100" i="50"/>
  <c r="AL102" i="50"/>
  <c r="AL98" i="50"/>
  <c r="AL99" i="50"/>
  <c r="AL103" i="50"/>
  <c r="AL101" i="50"/>
  <c r="AQ99" i="50"/>
  <c r="AQ100" i="50"/>
  <c r="AQ103" i="50"/>
  <c r="AQ101" i="50"/>
  <c r="AQ102" i="50"/>
  <c r="AQ98" i="50"/>
  <c r="AF101" i="50"/>
  <c r="AF102" i="50"/>
  <c r="AF98" i="50"/>
  <c r="AF99" i="50"/>
  <c r="AF100" i="50"/>
  <c r="AF103" i="50"/>
  <c r="BN103" i="50"/>
  <c r="BN101" i="50"/>
  <c r="BN99" i="50"/>
  <c r="BN100" i="50"/>
  <c r="BN98" i="50"/>
  <c r="BN102" i="50"/>
  <c r="BS102" i="50"/>
  <c r="BS100" i="50"/>
  <c r="BS98" i="50"/>
  <c r="BS101" i="50"/>
  <c r="BS99" i="50"/>
  <c r="BS103" i="50"/>
  <c r="CI100" i="50"/>
  <c r="CI102" i="50"/>
  <c r="CI98" i="50"/>
  <c r="CI99" i="50"/>
  <c r="CI103" i="50"/>
  <c r="CI101" i="50"/>
  <c r="AO101" i="50"/>
  <c r="AO103" i="50"/>
  <c r="AO99" i="50"/>
  <c r="AO102" i="50"/>
  <c r="AO98" i="50"/>
  <c r="AO100" i="50"/>
  <c r="AJ101" i="50"/>
  <c r="AJ102" i="50"/>
  <c r="AJ100" i="50"/>
  <c r="AJ103" i="50"/>
  <c r="AJ98" i="50"/>
  <c r="AJ99" i="50"/>
  <c r="AA98" i="50"/>
  <c r="AA99" i="50"/>
  <c r="AA103" i="50"/>
  <c r="AA100" i="50"/>
  <c r="AA101" i="50"/>
  <c r="AA102" i="50"/>
  <c r="BQ101" i="50"/>
  <c r="BQ102" i="50"/>
  <c r="BQ103" i="50"/>
  <c r="BQ98" i="50"/>
  <c r="BQ99" i="50"/>
  <c r="BQ100" i="50"/>
  <c r="BL102" i="50"/>
  <c r="BL98" i="50"/>
  <c r="BL99" i="50"/>
  <c r="BL101" i="50"/>
  <c r="BL100" i="50"/>
  <c r="BL103" i="50"/>
  <c r="D48" i="75" a="1"/>
  <c r="D48" i="75" s="1"/>
  <c r="W20" i="41"/>
  <c r="P14" i="30"/>
  <c r="W10" i="41"/>
  <c r="P17" i="30"/>
  <c r="W43" i="41"/>
  <c r="P92" i="30"/>
  <c r="W74" i="41"/>
  <c r="P23" i="30"/>
  <c r="W41" i="41"/>
  <c r="I65" i="50"/>
  <c r="K65" i="50" s="1"/>
  <c r="W44" i="41"/>
  <c r="I94" i="50"/>
  <c r="K94" i="50" s="1"/>
  <c r="BZ94" i="50"/>
  <c r="BZ95" i="50"/>
  <c r="BZ96" i="50"/>
  <c r="BZ97" i="50"/>
  <c r="AJ94" i="50"/>
  <c r="AJ97" i="50"/>
  <c r="AJ95" i="50"/>
  <c r="AJ96" i="50"/>
  <c r="CF97" i="50"/>
  <c r="CF96" i="50"/>
  <c r="CF95" i="50"/>
  <c r="U94" i="50"/>
  <c r="U97" i="50"/>
  <c r="U95" i="50"/>
  <c r="U96" i="50"/>
  <c r="CH95" i="50"/>
  <c r="CH96" i="50"/>
  <c r="CH97" i="50"/>
  <c r="AP94" i="50"/>
  <c r="AP97" i="50"/>
  <c r="AP96" i="50"/>
  <c r="AP95" i="50"/>
  <c r="BB94" i="50"/>
  <c r="BB96" i="50"/>
  <c r="BB95" i="50"/>
  <c r="BB97" i="50"/>
  <c r="CS95" i="50"/>
  <c r="CS97" i="50"/>
  <c r="CS96" i="50"/>
  <c r="CR97" i="50"/>
  <c r="CR96" i="50"/>
  <c r="CR95" i="50"/>
  <c r="AI94" i="50"/>
  <c r="AI95" i="50"/>
  <c r="AI97" i="50"/>
  <c r="AI96" i="50"/>
  <c r="X94" i="50"/>
  <c r="X95" i="50"/>
  <c r="X97" i="50"/>
  <c r="X96" i="50"/>
  <c r="Z94" i="50"/>
  <c r="Z97" i="50"/>
  <c r="Z96" i="50"/>
  <c r="Z95" i="50"/>
  <c r="BK94" i="50"/>
  <c r="BK96" i="50"/>
  <c r="BK97" i="50"/>
  <c r="BK95" i="50"/>
  <c r="BQ94" i="50"/>
  <c r="BQ96" i="50"/>
  <c r="BQ95" i="50"/>
  <c r="BQ97" i="50"/>
  <c r="CM97" i="50"/>
  <c r="CM96" i="50"/>
  <c r="CM95" i="50"/>
  <c r="AN94" i="50"/>
  <c r="AN95" i="50"/>
  <c r="AN97" i="50"/>
  <c r="AN96" i="50"/>
  <c r="CB94" i="50"/>
  <c r="CB95" i="50"/>
  <c r="CB97" i="50"/>
  <c r="CB96" i="50"/>
  <c r="BD94" i="50"/>
  <c r="BD95" i="50"/>
  <c r="BD96" i="50"/>
  <c r="BD97" i="50"/>
  <c r="BY94" i="50"/>
  <c r="BY97" i="50"/>
  <c r="BY96" i="50"/>
  <c r="BY95" i="50"/>
  <c r="AZ94" i="50"/>
  <c r="AZ95" i="50"/>
  <c r="AZ96" i="50"/>
  <c r="AZ97" i="50"/>
  <c r="BF94" i="50"/>
  <c r="BF97" i="50"/>
  <c r="BF96" i="50"/>
  <c r="BF95" i="50"/>
  <c r="CC94" i="50"/>
  <c r="CC96" i="50"/>
  <c r="CC95" i="50"/>
  <c r="CC97" i="50"/>
  <c r="CP95" i="50"/>
  <c r="CP97" i="50"/>
  <c r="CP96" i="50"/>
  <c r="CV96" i="50"/>
  <c r="CV95" i="50"/>
  <c r="CV97" i="50"/>
  <c r="AM94" i="50"/>
  <c r="AM97" i="50"/>
  <c r="AM96" i="50"/>
  <c r="AM95" i="50"/>
  <c r="AE94" i="50"/>
  <c r="AE95" i="50"/>
  <c r="AE97" i="50"/>
  <c r="AE96" i="50"/>
  <c r="AD94" i="50"/>
  <c r="AD96" i="50"/>
  <c r="AD95" i="50"/>
  <c r="AD97" i="50"/>
  <c r="BO94" i="50"/>
  <c r="BO97" i="50"/>
  <c r="BO95" i="50"/>
  <c r="BO96" i="50"/>
  <c r="BC94" i="50"/>
  <c r="BC95" i="50"/>
  <c r="BC97" i="50"/>
  <c r="BC96" i="50"/>
  <c r="AA94" i="50"/>
  <c r="AA96" i="50"/>
  <c r="AA95" i="50"/>
  <c r="AA97" i="50"/>
  <c r="CD94" i="50"/>
  <c r="CD96" i="50"/>
  <c r="CD95" i="50"/>
  <c r="CD97" i="50"/>
  <c r="AT94" i="50"/>
  <c r="AT96" i="50"/>
  <c r="AT95" i="50"/>
  <c r="AT97" i="50"/>
  <c r="BA94" i="50"/>
  <c r="BA97" i="50"/>
  <c r="BA96" i="50"/>
  <c r="BA95" i="50"/>
  <c r="BH94" i="50"/>
  <c r="BH95" i="50"/>
  <c r="BH96" i="50"/>
  <c r="BH97" i="50"/>
  <c r="CA94" i="50"/>
  <c r="CA96" i="50"/>
  <c r="CA95" i="50"/>
  <c r="CA97" i="50"/>
  <c r="CG95" i="50"/>
  <c r="CG97" i="50"/>
  <c r="CG96" i="50"/>
  <c r="CT96" i="50"/>
  <c r="CT95" i="50"/>
  <c r="CT97" i="50"/>
  <c r="AL94" i="50"/>
  <c r="AL97" i="50"/>
  <c r="AL96" i="50"/>
  <c r="AL95" i="50"/>
  <c r="AQ94" i="50"/>
  <c r="AQ95" i="50"/>
  <c r="AQ97" i="50"/>
  <c r="AQ96" i="50"/>
  <c r="AF94" i="50"/>
  <c r="AF95" i="50"/>
  <c r="AF97" i="50"/>
  <c r="AF96" i="50"/>
  <c r="BN94" i="50"/>
  <c r="BN97" i="50"/>
  <c r="BN96" i="50"/>
  <c r="BN95" i="50"/>
  <c r="BS94" i="50"/>
  <c r="BS97" i="50"/>
  <c r="BS96" i="50"/>
  <c r="BS95" i="50"/>
  <c r="CX95" i="50"/>
  <c r="CX97" i="50"/>
  <c r="CX96" i="50"/>
  <c r="BL94" i="50"/>
  <c r="BL96" i="50"/>
  <c r="BL97" i="50"/>
  <c r="BL95" i="50"/>
  <c r="BR94" i="50"/>
  <c r="BR95" i="50"/>
  <c r="BR97" i="50"/>
  <c r="BR96" i="50"/>
  <c r="CQ96" i="50"/>
  <c r="CQ95" i="50"/>
  <c r="CQ97" i="50"/>
  <c r="AR94" i="50"/>
  <c r="AR95" i="50"/>
  <c r="AR96" i="50"/>
  <c r="AR97" i="50"/>
  <c r="BV94" i="50"/>
  <c r="BV97" i="50"/>
  <c r="BV95" i="50"/>
  <c r="BV96" i="50"/>
  <c r="AY94" i="50"/>
  <c r="AY97" i="50"/>
  <c r="AY96" i="50"/>
  <c r="AY95" i="50"/>
  <c r="BE94" i="50"/>
  <c r="BE95" i="50"/>
  <c r="BE96" i="50"/>
  <c r="BE97" i="50"/>
  <c r="CE94" i="50"/>
  <c r="CE95" i="50"/>
  <c r="CE97" i="50"/>
  <c r="CE96" i="50"/>
  <c r="CO96" i="50"/>
  <c r="CO95" i="50"/>
  <c r="CO97" i="50"/>
  <c r="CU97" i="50"/>
  <c r="CU96" i="50"/>
  <c r="CU95" i="50"/>
  <c r="AK94" i="50"/>
  <c r="AK97" i="50"/>
  <c r="AK96" i="50"/>
  <c r="AK95" i="50"/>
  <c r="W94" i="50"/>
  <c r="W97" i="50"/>
  <c r="W96" i="50"/>
  <c r="W95" i="50"/>
  <c r="AC94" i="50"/>
  <c r="AC97" i="50"/>
  <c r="AC96" i="50"/>
  <c r="AC95" i="50"/>
  <c r="BM94" i="50"/>
  <c r="BM97" i="50"/>
  <c r="BM96" i="50"/>
  <c r="BM95" i="50"/>
  <c r="CI97" i="50"/>
  <c r="CI96" i="50"/>
  <c r="CI95" i="50"/>
  <c r="AO94" i="50"/>
  <c r="AO96" i="50"/>
  <c r="AO95" i="50"/>
  <c r="AO97" i="50"/>
  <c r="AW94" i="50"/>
  <c r="AW95" i="50"/>
  <c r="AW96" i="50"/>
  <c r="AW97" i="50"/>
  <c r="BP94" i="50"/>
  <c r="BP97" i="50"/>
  <c r="BP95" i="50"/>
  <c r="BP96" i="50"/>
  <c r="Y94" i="50"/>
  <c r="Y95" i="50"/>
  <c r="Y96" i="50"/>
  <c r="Y97" i="50"/>
  <c r="BT94" i="50"/>
  <c r="BT96" i="50"/>
  <c r="BT97" i="50"/>
  <c r="BT95" i="50"/>
  <c r="BG94" i="50"/>
  <c r="BG97" i="50"/>
  <c r="BG96" i="50"/>
  <c r="BG95" i="50"/>
  <c r="AX94" i="50"/>
  <c r="AX96" i="50"/>
  <c r="AX95" i="50"/>
  <c r="AX97" i="50"/>
  <c r="CJ96" i="50"/>
  <c r="CJ95" i="50"/>
  <c r="CJ97" i="50"/>
  <c r="CW97" i="50"/>
  <c r="CW96" i="50"/>
  <c r="CW95" i="50"/>
  <c r="CN96" i="50"/>
  <c r="CN97" i="50"/>
  <c r="CN95" i="50"/>
  <c r="AS94" i="50"/>
  <c r="AS97" i="50"/>
  <c r="AS96" i="50"/>
  <c r="AS95" i="50"/>
  <c r="AB94" i="50"/>
  <c r="AB97" i="50"/>
  <c r="AB96" i="50"/>
  <c r="AB95" i="50"/>
  <c r="V94" i="50"/>
  <c r="V95" i="50"/>
  <c r="V96" i="50"/>
  <c r="V97" i="50"/>
  <c r="BU94" i="50"/>
  <c r="BU97" i="50"/>
  <c r="BU95" i="50"/>
  <c r="BU96" i="50"/>
  <c r="CV65" i="50"/>
  <c r="CV28" i="50"/>
  <c r="CV92" i="50"/>
  <c r="CV8" i="50"/>
  <c r="CV55" i="50"/>
  <c r="CV26" i="50"/>
  <c r="CV90" i="50"/>
  <c r="CV45" i="50"/>
  <c r="CV72" i="50"/>
  <c r="CV35" i="50"/>
  <c r="CV70" i="50"/>
  <c r="CV25" i="50"/>
  <c r="CV89" i="50"/>
  <c r="CV52" i="50"/>
  <c r="CV15" i="50"/>
  <c r="CV79" i="50"/>
  <c r="CV50" i="50"/>
  <c r="CV69" i="50"/>
  <c r="CV32" i="50"/>
  <c r="CV59" i="50"/>
  <c r="CV30" i="50"/>
  <c r="CV94" i="50"/>
  <c r="CV49" i="50"/>
  <c r="CV12" i="50"/>
  <c r="CV76" i="50"/>
  <c r="CV39" i="50"/>
  <c r="CV10" i="50"/>
  <c r="CV74" i="50"/>
  <c r="CV29" i="50"/>
  <c r="CV93" i="50"/>
  <c r="CV56" i="50"/>
  <c r="CV19" i="50"/>
  <c r="CV83" i="50"/>
  <c r="CV54" i="50"/>
  <c r="CV9" i="50"/>
  <c r="CV73" i="50"/>
  <c r="CV36" i="50"/>
  <c r="CV63" i="50"/>
  <c r="CV34" i="50"/>
  <c r="CV53" i="50"/>
  <c r="CV16" i="50"/>
  <c r="CV80" i="50"/>
  <c r="CV43" i="50"/>
  <c r="CV14" i="50"/>
  <c r="CV78" i="50"/>
  <c r="CV33" i="50"/>
  <c r="CV60" i="50"/>
  <c r="CV23" i="50"/>
  <c r="CV87" i="50"/>
  <c r="CV58" i="50"/>
  <c r="CV13" i="50"/>
  <c r="CV77" i="50"/>
  <c r="CV40" i="50"/>
  <c r="CV67" i="50"/>
  <c r="CV38" i="50"/>
  <c r="CV57" i="50"/>
  <c r="CV20" i="50"/>
  <c r="CV84" i="50"/>
  <c r="CV47" i="50"/>
  <c r="CV37" i="50"/>
  <c r="CV64" i="50"/>
  <c r="CV27" i="50"/>
  <c r="CV91" i="50"/>
  <c r="CV62" i="50"/>
  <c r="CV17" i="50"/>
  <c r="CV81" i="50"/>
  <c r="CV44" i="50"/>
  <c r="CV71" i="50"/>
  <c r="CV61" i="50"/>
  <c r="CV24" i="50"/>
  <c r="CV88" i="50"/>
  <c r="CV51" i="50"/>
  <c r="CV41" i="50"/>
  <c r="CV68" i="50"/>
  <c r="CV31" i="50"/>
  <c r="CV66" i="50"/>
  <c r="CV21" i="50"/>
  <c r="CV46" i="50"/>
  <c r="CV85" i="50"/>
  <c r="CV48" i="50"/>
  <c r="CV170" i="50" s="1"/>
  <c r="CV82" i="50"/>
  <c r="CV11" i="50"/>
  <c r="CV86" i="50"/>
  <c r="CV18" i="50"/>
  <c r="CV75" i="50"/>
  <c r="CV22" i="50"/>
  <c r="CV42" i="50"/>
  <c r="CH14" i="50"/>
  <c r="CH11" i="50"/>
  <c r="CH94" i="50"/>
  <c r="CH59" i="50"/>
  <c r="CH51" i="50"/>
  <c r="CH68" i="50"/>
  <c r="CH36" i="50"/>
  <c r="CH44" i="50"/>
  <c r="CH81" i="50"/>
  <c r="CH87" i="50"/>
  <c r="CH69" i="50"/>
  <c r="CH9" i="50"/>
  <c r="CH17" i="50"/>
  <c r="CH30" i="50"/>
  <c r="CH27" i="50"/>
  <c r="CH24" i="50"/>
  <c r="CH28" i="50"/>
  <c r="CH75" i="50"/>
  <c r="CH19" i="50"/>
  <c r="CH84" i="50"/>
  <c r="CH13" i="50"/>
  <c r="CH10" i="50"/>
  <c r="CH20" i="50"/>
  <c r="CH15" i="50"/>
  <c r="CH12" i="50"/>
  <c r="CH25" i="50"/>
  <c r="CH88" i="50"/>
  <c r="CH62" i="50"/>
  <c r="CH18" i="50"/>
  <c r="CH23" i="50"/>
  <c r="CH29" i="50"/>
  <c r="CH26" i="50"/>
  <c r="CH31" i="50"/>
  <c r="CH34" i="50"/>
  <c r="CH35" i="50"/>
  <c r="CH54" i="50"/>
  <c r="CH37" i="50"/>
  <c r="CH73" i="50"/>
  <c r="CH79" i="50"/>
  <c r="CH16" i="50"/>
  <c r="CH74" i="50"/>
  <c r="CH77" i="50"/>
  <c r="CH89" i="50"/>
  <c r="CH66" i="50"/>
  <c r="CH55" i="50"/>
  <c r="CH42" i="50"/>
  <c r="CH46" i="50"/>
  <c r="CH92" i="50"/>
  <c r="CH86" i="50"/>
  <c r="CH80" i="50"/>
  <c r="CH32" i="50"/>
  <c r="CH43" i="50"/>
  <c r="CH33" i="50"/>
  <c r="CH90" i="50"/>
  <c r="CH49" i="50"/>
  <c r="CH38" i="50"/>
  <c r="CH57" i="50"/>
  <c r="CH39" i="50"/>
  <c r="CH56" i="50"/>
  <c r="CH50" i="50"/>
  <c r="CH83" i="50"/>
  <c r="CH45" i="50"/>
  <c r="CH52" i="50"/>
  <c r="CH8" i="50"/>
  <c r="CH61" i="50"/>
  <c r="CH47" i="50"/>
  <c r="CH48" i="50"/>
  <c r="CH170" i="50" s="1"/>
  <c r="CH58" i="50"/>
  <c r="CH67" i="50"/>
  <c r="CH22" i="50"/>
  <c r="CH60" i="50"/>
  <c r="CH85" i="50"/>
  <c r="CH40" i="50"/>
  <c r="CH65" i="50"/>
  <c r="CH72" i="50"/>
  <c r="CH71" i="50"/>
  <c r="CH91" i="50"/>
  <c r="CH63" i="50"/>
  <c r="CH78" i="50"/>
  <c r="CH93" i="50"/>
  <c r="CH41" i="50"/>
  <c r="CH82" i="50"/>
  <c r="CH53" i="50"/>
  <c r="CH76" i="50"/>
  <c r="CH70" i="50"/>
  <c r="CH21" i="50"/>
  <c r="CH64" i="50"/>
  <c r="CO63" i="50"/>
  <c r="CO34" i="50"/>
  <c r="CO65" i="50"/>
  <c r="CO24" i="50"/>
  <c r="CO88" i="50"/>
  <c r="CO43" i="50"/>
  <c r="CO14" i="50"/>
  <c r="CO78" i="50"/>
  <c r="CO45" i="50"/>
  <c r="CO68" i="50"/>
  <c r="CO23" i="50"/>
  <c r="CO87" i="50"/>
  <c r="CO58" i="50"/>
  <c r="CO25" i="50"/>
  <c r="CO89" i="50"/>
  <c r="CO48" i="50"/>
  <c r="CO170" i="50" s="1"/>
  <c r="CO67" i="50"/>
  <c r="CO38" i="50"/>
  <c r="CO69" i="50"/>
  <c r="CO28" i="50"/>
  <c r="CO92" i="50"/>
  <c r="CO47" i="50"/>
  <c r="CO18" i="50"/>
  <c r="CO82" i="50"/>
  <c r="CO49" i="50"/>
  <c r="CO72" i="50"/>
  <c r="CO27" i="50"/>
  <c r="CO91" i="50"/>
  <c r="CO62" i="50"/>
  <c r="CO29" i="50"/>
  <c r="CO93" i="50"/>
  <c r="CO52" i="50"/>
  <c r="CO8" i="50"/>
  <c r="CO71" i="50"/>
  <c r="CO42" i="50"/>
  <c r="CO9" i="50"/>
  <c r="CO73" i="50"/>
  <c r="CO51" i="50"/>
  <c r="CO22" i="50"/>
  <c r="CO86" i="50"/>
  <c r="CO53" i="50"/>
  <c r="CO12" i="50"/>
  <c r="CO76" i="50"/>
  <c r="CO31" i="50"/>
  <c r="CO66" i="50"/>
  <c r="CO33" i="50"/>
  <c r="CO56" i="50"/>
  <c r="CO11" i="50"/>
  <c r="CO75" i="50"/>
  <c r="CO46" i="50"/>
  <c r="CO13" i="50"/>
  <c r="CO77" i="50"/>
  <c r="CO36" i="50"/>
  <c r="CO55" i="50"/>
  <c r="CO26" i="50"/>
  <c r="CO90" i="50"/>
  <c r="CO57" i="50"/>
  <c r="CO35" i="50"/>
  <c r="CO70" i="50"/>
  <c r="CO37" i="50"/>
  <c r="CO60" i="50"/>
  <c r="CO15" i="50"/>
  <c r="CO79" i="50"/>
  <c r="CO50" i="50"/>
  <c r="CO17" i="50"/>
  <c r="CO81" i="50"/>
  <c r="CO59" i="50"/>
  <c r="CO30" i="50"/>
  <c r="CO94" i="50"/>
  <c r="CO61" i="50"/>
  <c r="CO39" i="50"/>
  <c r="CO10" i="50"/>
  <c r="CO74" i="50"/>
  <c r="CO41" i="50"/>
  <c r="CO64" i="50"/>
  <c r="CO16" i="50"/>
  <c r="CO20" i="50"/>
  <c r="CO80" i="50"/>
  <c r="CO85" i="50"/>
  <c r="CO19" i="50"/>
  <c r="CO84" i="50"/>
  <c r="CO32" i="50"/>
  <c r="CO83" i="50"/>
  <c r="CO40" i="50"/>
  <c r="CO54" i="50"/>
  <c r="CO44" i="50"/>
  <c r="CO21" i="50"/>
  <c r="CW41" i="50"/>
  <c r="CW12" i="50"/>
  <c r="CW76" i="50"/>
  <c r="CW43" i="50"/>
  <c r="CW66" i="50"/>
  <c r="CW21" i="50"/>
  <c r="CW85" i="50"/>
  <c r="CW56" i="50"/>
  <c r="CW23" i="50"/>
  <c r="CW87" i="50"/>
  <c r="CW46" i="50"/>
  <c r="CW65" i="50"/>
  <c r="CW36" i="50"/>
  <c r="CW67" i="50"/>
  <c r="CW26" i="50"/>
  <c r="CW90" i="50"/>
  <c r="CW45" i="50"/>
  <c r="CW16" i="50"/>
  <c r="CW80" i="50"/>
  <c r="CW47" i="50"/>
  <c r="CW70" i="50"/>
  <c r="CW25" i="50"/>
  <c r="CW89" i="50"/>
  <c r="CW60" i="50"/>
  <c r="CW27" i="50"/>
  <c r="CW91" i="50"/>
  <c r="CW50" i="50"/>
  <c r="CW69" i="50"/>
  <c r="CW40" i="50"/>
  <c r="CW71" i="50"/>
  <c r="CW30" i="50"/>
  <c r="CW94" i="50"/>
  <c r="CW49" i="50"/>
  <c r="CW20" i="50"/>
  <c r="CW84" i="50"/>
  <c r="CW51" i="50"/>
  <c r="CW29" i="50"/>
  <c r="CW93" i="50"/>
  <c r="CW64" i="50"/>
  <c r="CW31" i="50"/>
  <c r="CW54" i="50"/>
  <c r="CW9" i="50"/>
  <c r="CW73" i="50"/>
  <c r="CW44" i="50"/>
  <c r="CW11" i="50"/>
  <c r="CW75" i="50"/>
  <c r="CW34" i="50"/>
  <c r="CW53" i="50"/>
  <c r="CW24" i="50"/>
  <c r="CW88" i="50"/>
  <c r="CW55" i="50"/>
  <c r="CW14" i="50"/>
  <c r="CW78" i="50"/>
  <c r="CW33" i="50"/>
  <c r="CW68" i="50"/>
  <c r="CW35" i="50"/>
  <c r="CW13" i="50"/>
  <c r="CW77" i="50"/>
  <c r="CW48" i="50"/>
  <c r="CW170" i="50" s="1"/>
  <c r="CW15" i="50"/>
  <c r="CW79" i="50"/>
  <c r="CW38" i="50"/>
  <c r="CW57" i="50"/>
  <c r="CW28" i="50"/>
  <c r="CW92" i="50"/>
  <c r="CW59" i="50"/>
  <c r="CW37" i="50"/>
  <c r="CW72" i="50"/>
  <c r="CW39" i="50"/>
  <c r="CW17" i="50"/>
  <c r="CW81" i="50"/>
  <c r="CW52" i="50"/>
  <c r="CW8" i="50"/>
  <c r="CW19" i="50"/>
  <c r="CW83" i="50"/>
  <c r="CW10" i="50"/>
  <c r="CW18" i="50"/>
  <c r="CW74" i="50"/>
  <c r="CW82" i="50"/>
  <c r="CW22" i="50"/>
  <c r="CW61" i="50"/>
  <c r="CW86" i="50"/>
  <c r="CW32" i="50"/>
  <c r="CW42" i="50"/>
  <c r="CW62" i="50"/>
  <c r="CW58" i="50"/>
  <c r="CW63" i="50"/>
  <c r="DA8" i="50"/>
  <c r="CS20" i="50"/>
  <c r="CS84" i="50"/>
  <c r="CS55" i="50"/>
  <c r="CS22" i="50"/>
  <c r="CS86" i="50"/>
  <c r="CS45" i="50"/>
  <c r="CS64" i="50"/>
  <c r="CS35" i="50"/>
  <c r="CS66" i="50"/>
  <c r="CS25" i="50"/>
  <c r="CS89" i="50"/>
  <c r="CS44" i="50"/>
  <c r="CS8" i="50"/>
  <c r="CS15" i="50"/>
  <c r="CS79" i="50"/>
  <c r="CS46" i="50"/>
  <c r="CS69" i="50"/>
  <c r="CS24" i="50"/>
  <c r="CS88" i="50"/>
  <c r="CS59" i="50"/>
  <c r="CS26" i="50"/>
  <c r="CS90" i="50"/>
  <c r="CS49" i="50"/>
  <c r="CS68" i="50"/>
  <c r="CS39" i="50"/>
  <c r="CS70" i="50"/>
  <c r="CS29" i="50"/>
  <c r="CS93" i="50"/>
  <c r="CS48" i="50"/>
  <c r="CS170" i="50" s="1"/>
  <c r="CS19" i="50"/>
  <c r="CS83" i="50"/>
  <c r="CS50" i="50"/>
  <c r="CS9" i="50"/>
  <c r="CS73" i="50"/>
  <c r="CS28" i="50"/>
  <c r="CS92" i="50"/>
  <c r="CS63" i="50"/>
  <c r="CS30" i="50"/>
  <c r="CS94" i="50"/>
  <c r="CS72" i="50"/>
  <c r="CS43" i="50"/>
  <c r="CS10" i="50"/>
  <c r="CS74" i="50"/>
  <c r="CS33" i="50"/>
  <c r="CS52" i="50"/>
  <c r="CS23" i="50"/>
  <c r="CS87" i="50"/>
  <c r="CS54" i="50"/>
  <c r="CS13" i="50"/>
  <c r="CS77" i="50"/>
  <c r="CS32" i="50"/>
  <c r="CS67" i="50"/>
  <c r="CS34" i="50"/>
  <c r="CS57" i="50"/>
  <c r="CS12" i="50"/>
  <c r="CS76" i="50"/>
  <c r="CS47" i="50"/>
  <c r="CS14" i="50"/>
  <c r="CS78" i="50"/>
  <c r="CS56" i="50"/>
  <c r="CS27" i="50"/>
  <c r="CS91" i="50"/>
  <c r="CS58" i="50"/>
  <c r="CS17" i="50"/>
  <c r="CS81" i="50"/>
  <c r="CS36" i="50"/>
  <c r="CS71" i="50"/>
  <c r="CS38" i="50"/>
  <c r="CS16" i="50"/>
  <c r="CS80" i="50"/>
  <c r="CS51" i="50"/>
  <c r="CS18" i="50"/>
  <c r="CS82" i="50"/>
  <c r="CS60" i="50"/>
  <c r="CS31" i="50"/>
  <c r="CS62" i="50"/>
  <c r="CS65" i="50"/>
  <c r="CS21" i="50"/>
  <c r="CS40" i="50"/>
  <c r="CS85" i="50"/>
  <c r="CS37" i="50"/>
  <c r="CS11" i="50"/>
  <c r="CS41" i="50"/>
  <c r="CS75" i="50"/>
  <c r="CS53" i="50"/>
  <c r="CS42" i="50"/>
  <c r="CS61" i="50"/>
  <c r="CG48" i="50"/>
  <c r="CG170" i="50" s="1"/>
  <c r="CG42" i="50"/>
  <c r="CG65" i="50"/>
  <c r="CG29" i="50"/>
  <c r="CG78" i="50"/>
  <c r="CG66" i="50"/>
  <c r="CG14" i="50"/>
  <c r="CG27" i="50"/>
  <c r="CG24" i="50"/>
  <c r="CG21" i="50"/>
  <c r="CG49" i="50"/>
  <c r="CG37" i="50"/>
  <c r="CG84" i="50"/>
  <c r="CG10" i="50"/>
  <c r="CG17" i="50"/>
  <c r="CG12" i="50"/>
  <c r="CG9" i="50"/>
  <c r="CG22" i="50"/>
  <c r="CG40" i="50"/>
  <c r="CG15" i="50"/>
  <c r="CG19" i="50"/>
  <c r="CG88" i="50"/>
  <c r="CG20" i="50"/>
  <c r="CG26" i="50"/>
  <c r="CG23" i="50"/>
  <c r="CG28" i="50"/>
  <c r="CG31" i="50"/>
  <c r="CG76" i="50"/>
  <c r="CG39" i="50"/>
  <c r="CG68" i="50"/>
  <c r="CG35" i="50"/>
  <c r="CG85" i="50"/>
  <c r="CG63" i="50"/>
  <c r="CG30" i="50"/>
  <c r="CG89" i="50"/>
  <c r="CG47" i="50"/>
  <c r="CG83" i="50"/>
  <c r="CG77" i="50"/>
  <c r="CG45" i="50"/>
  <c r="CG13" i="50"/>
  <c r="CG87" i="50"/>
  <c r="CG46" i="50"/>
  <c r="CG91" i="50"/>
  <c r="CG36" i="50"/>
  <c r="CG53" i="50"/>
  <c r="CG92" i="50"/>
  <c r="CG41" i="50"/>
  <c r="CG79" i="50"/>
  <c r="CG43" i="50"/>
  <c r="CG8" i="50"/>
  <c r="CG34" i="50"/>
  <c r="CG25" i="50"/>
  <c r="CG56" i="50"/>
  <c r="CG64" i="50"/>
  <c r="CG93" i="50"/>
  <c r="CG59" i="50"/>
  <c r="CG72" i="50"/>
  <c r="CG50" i="50"/>
  <c r="CG57" i="50"/>
  <c r="CG90" i="50"/>
  <c r="CG44" i="50"/>
  <c r="CG32" i="50"/>
  <c r="CG52" i="50"/>
  <c r="CG82" i="50"/>
  <c r="CG70" i="50"/>
  <c r="CG54" i="50"/>
  <c r="CG55" i="50"/>
  <c r="CG86" i="50"/>
  <c r="CG62" i="50"/>
  <c r="CG69" i="50"/>
  <c r="CG51" i="50"/>
  <c r="CG94" i="50"/>
  <c r="CG60" i="50"/>
  <c r="CG74" i="50"/>
  <c r="CG33" i="50"/>
  <c r="CG11" i="50"/>
  <c r="CG16" i="50"/>
  <c r="CG81" i="50"/>
  <c r="CG75" i="50"/>
  <c r="CG58" i="50"/>
  <c r="CG80" i="50"/>
  <c r="CG38" i="50"/>
  <c r="CG73" i="50"/>
  <c r="CG67" i="50"/>
  <c r="CG61" i="50"/>
  <c r="CG18" i="50"/>
  <c r="CG71" i="50"/>
  <c r="CP23" i="50"/>
  <c r="CP87" i="50"/>
  <c r="CP54" i="50"/>
  <c r="CP65" i="50"/>
  <c r="CP48" i="50"/>
  <c r="CP170" i="50" s="1"/>
  <c r="CP67" i="50"/>
  <c r="CP34" i="50"/>
  <c r="CP45" i="50"/>
  <c r="CP28" i="50"/>
  <c r="CP92" i="50"/>
  <c r="CP47" i="50"/>
  <c r="CP14" i="50"/>
  <c r="CP78" i="50"/>
  <c r="CP25" i="50"/>
  <c r="CP89" i="50"/>
  <c r="CP72" i="50"/>
  <c r="CP27" i="50"/>
  <c r="CP91" i="50"/>
  <c r="CP58" i="50"/>
  <c r="CP69" i="50"/>
  <c r="CP52" i="50"/>
  <c r="CP71" i="50"/>
  <c r="CP38" i="50"/>
  <c r="CP49" i="50"/>
  <c r="CP32" i="50"/>
  <c r="CP51" i="50"/>
  <c r="CP18" i="50"/>
  <c r="CP82" i="50"/>
  <c r="CP29" i="50"/>
  <c r="CP93" i="50"/>
  <c r="CP12" i="50"/>
  <c r="CP76" i="50"/>
  <c r="CP31" i="50"/>
  <c r="CP62" i="50"/>
  <c r="CP9" i="50"/>
  <c r="CP73" i="50"/>
  <c r="CP11" i="50"/>
  <c r="CP75" i="50"/>
  <c r="CP42" i="50"/>
  <c r="CP53" i="50"/>
  <c r="CP36" i="50"/>
  <c r="CP8" i="50"/>
  <c r="CP55" i="50"/>
  <c r="CP22" i="50"/>
  <c r="CP86" i="50"/>
  <c r="CP33" i="50"/>
  <c r="CP16" i="50"/>
  <c r="CP35" i="50"/>
  <c r="CP66" i="50"/>
  <c r="CP13" i="50"/>
  <c r="CP77" i="50"/>
  <c r="CP60" i="50"/>
  <c r="CP15" i="50"/>
  <c r="CP79" i="50"/>
  <c r="CP46" i="50"/>
  <c r="CP59" i="50"/>
  <c r="CP26" i="50"/>
  <c r="CP90" i="50"/>
  <c r="CP37" i="50"/>
  <c r="CP39" i="50"/>
  <c r="CP70" i="50"/>
  <c r="CP17" i="50"/>
  <c r="CP81" i="50"/>
  <c r="CP19" i="50"/>
  <c r="CP83" i="50"/>
  <c r="CP50" i="50"/>
  <c r="CP61" i="50"/>
  <c r="CP63" i="50"/>
  <c r="CP30" i="50"/>
  <c r="CP94" i="50"/>
  <c r="CP41" i="50"/>
  <c r="CP74" i="50"/>
  <c r="CP64" i="50"/>
  <c r="CP21" i="50"/>
  <c r="CP20" i="50"/>
  <c r="CP68" i="50"/>
  <c r="CP57" i="50"/>
  <c r="CP24" i="50"/>
  <c r="CP80" i="50"/>
  <c r="CP85" i="50"/>
  <c r="CP40" i="50"/>
  <c r="CP84" i="50"/>
  <c r="CP44" i="50"/>
  <c r="CP88" i="50"/>
  <c r="CP43" i="50"/>
  <c r="CP10" i="50"/>
  <c r="CP56" i="50"/>
  <c r="CT44" i="50"/>
  <c r="CT11" i="50"/>
  <c r="CT75" i="50"/>
  <c r="CT22" i="50"/>
  <c r="CT86" i="50"/>
  <c r="CT69" i="50"/>
  <c r="CT24" i="50"/>
  <c r="CT88" i="50"/>
  <c r="CT55" i="50"/>
  <c r="CT66" i="50"/>
  <c r="CT49" i="50"/>
  <c r="CT68" i="50"/>
  <c r="CT35" i="50"/>
  <c r="CT46" i="50"/>
  <c r="CT29" i="50"/>
  <c r="CT93" i="50"/>
  <c r="CT48" i="50"/>
  <c r="CT170" i="50" s="1"/>
  <c r="CT15" i="50"/>
  <c r="CT79" i="50"/>
  <c r="CT26" i="50"/>
  <c r="CT90" i="50"/>
  <c r="CT9" i="50"/>
  <c r="CT73" i="50"/>
  <c r="CT28" i="50"/>
  <c r="CT92" i="50"/>
  <c r="CT59" i="50"/>
  <c r="CT70" i="50"/>
  <c r="CT53" i="50"/>
  <c r="CT72" i="50"/>
  <c r="CT39" i="50"/>
  <c r="CT50" i="50"/>
  <c r="CT33" i="50"/>
  <c r="CT52" i="50"/>
  <c r="CT19" i="50"/>
  <c r="CT83" i="50"/>
  <c r="CT30" i="50"/>
  <c r="CT94" i="50"/>
  <c r="CT32" i="50"/>
  <c r="CT63" i="50"/>
  <c r="CT10" i="50"/>
  <c r="CT74" i="50"/>
  <c r="CT57" i="50"/>
  <c r="CT12" i="50"/>
  <c r="CT76" i="50"/>
  <c r="CT43" i="50"/>
  <c r="CT54" i="50"/>
  <c r="CT37" i="50"/>
  <c r="CT56" i="50"/>
  <c r="CT23" i="50"/>
  <c r="CT87" i="50"/>
  <c r="CT34" i="50"/>
  <c r="CT17" i="50"/>
  <c r="CT81" i="50"/>
  <c r="CT36" i="50"/>
  <c r="CT67" i="50"/>
  <c r="CT14" i="50"/>
  <c r="CT16" i="50"/>
  <c r="CT80" i="50"/>
  <c r="CT47" i="50"/>
  <c r="CT58" i="50"/>
  <c r="CT60" i="50"/>
  <c r="CT27" i="50"/>
  <c r="CT91" i="50"/>
  <c r="CT38" i="50"/>
  <c r="CT40" i="50"/>
  <c r="CT71" i="50"/>
  <c r="CT18" i="50"/>
  <c r="CT82" i="50"/>
  <c r="CT20" i="50"/>
  <c r="CT84" i="50"/>
  <c r="CT8" i="50"/>
  <c r="CT51" i="50"/>
  <c r="CT62" i="50"/>
  <c r="CT65" i="50"/>
  <c r="CT21" i="50"/>
  <c r="CT42" i="50"/>
  <c r="CT77" i="50"/>
  <c r="CT25" i="50"/>
  <c r="CT78" i="50"/>
  <c r="CT41" i="50"/>
  <c r="CT85" i="50"/>
  <c r="CT13" i="50"/>
  <c r="CT45" i="50"/>
  <c r="CT89" i="50"/>
  <c r="CT64" i="50"/>
  <c r="CT31" i="50"/>
  <c r="CT61" i="50"/>
  <c r="CX65" i="50"/>
  <c r="CX32" i="50"/>
  <c r="CX43" i="50"/>
  <c r="CX26" i="50"/>
  <c r="CX90" i="50"/>
  <c r="CX45" i="50"/>
  <c r="CX12" i="50"/>
  <c r="CX76" i="50"/>
  <c r="CX23" i="50"/>
  <c r="CX87" i="50"/>
  <c r="CX70" i="50"/>
  <c r="CX25" i="50"/>
  <c r="CX89" i="50"/>
  <c r="CX56" i="50"/>
  <c r="CX67" i="50"/>
  <c r="CX50" i="50"/>
  <c r="CX69" i="50"/>
  <c r="CX36" i="50"/>
  <c r="CX47" i="50"/>
  <c r="CX30" i="50"/>
  <c r="CX94" i="50"/>
  <c r="CX49" i="50"/>
  <c r="CX16" i="50"/>
  <c r="CX80" i="50"/>
  <c r="CX27" i="50"/>
  <c r="CX91" i="50"/>
  <c r="CX10" i="50"/>
  <c r="CX74" i="50"/>
  <c r="CX29" i="50"/>
  <c r="CX93" i="50"/>
  <c r="CX60" i="50"/>
  <c r="CX71" i="50"/>
  <c r="CX54" i="50"/>
  <c r="CX9" i="50"/>
  <c r="CX73" i="50"/>
  <c r="CX40" i="50"/>
  <c r="CX51" i="50"/>
  <c r="CX53" i="50"/>
  <c r="CX20" i="50"/>
  <c r="CX84" i="50"/>
  <c r="CX8" i="50"/>
  <c r="CX31" i="50"/>
  <c r="CX14" i="50"/>
  <c r="CX78" i="50"/>
  <c r="CX33" i="50"/>
  <c r="CX64" i="50"/>
  <c r="CX11" i="50"/>
  <c r="CX75" i="50"/>
  <c r="CX58" i="50"/>
  <c r="CX13" i="50"/>
  <c r="CX77" i="50"/>
  <c r="CX44" i="50"/>
  <c r="CX55" i="50"/>
  <c r="CX38" i="50"/>
  <c r="CX57" i="50"/>
  <c r="CX24" i="50"/>
  <c r="CX88" i="50"/>
  <c r="CX37" i="50"/>
  <c r="CX68" i="50"/>
  <c r="CX15" i="50"/>
  <c r="CX79" i="50"/>
  <c r="CX17" i="50"/>
  <c r="CX81" i="50"/>
  <c r="CX48" i="50"/>
  <c r="CX170" i="50" s="1"/>
  <c r="CX59" i="50"/>
  <c r="CX61" i="50"/>
  <c r="CX28" i="50"/>
  <c r="CX92" i="50"/>
  <c r="CX39" i="50"/>
  <c r="CX41" i="50"/>
  <c r="CX72" i="50"/>
  <c r="CX19" i="50"/>
  <c r="CX83" i="50"/>
  <c r="CX18" i="50"/>
  <c r="CX35" i="50"/>
  <c r="CX66" i="50"/>
  <c r="CX22" i="50"/>
  <c r="CX63" i="50"/>
  <c r="CX34" i="50"/>
  <c r="CX82" i="50"/>
  <c r="CX52" i="50"/>
  <c r="CX42" i="50"/>
  <c r="CX86" i="50"/>
  <c r="CX21" i="50"/>
  <c r="CX46" i="50"/>
  <c r="CX85" i="50"/>
  <c r="CX62" i="50"/>
  <c r="CI37" i="50"/>
  <c r="CI17" i="50"/>
  <c r="CI14" i="50"/>
  <c r="CI11" i="50"/>
  <c r="CI62" i="50"/>
  <c r="CI91" i="50"/>
  <c r="CI54" i="50"/>
  <c r="CI35" i="50"/>
  <c r="CI71" i="50"/>
  <c r="CI12" i="50"/>
  <c r="CI20" i="50"/>
  <c r="CI33" i="50"/>
  <c r="CI30" i="50"/>
  <c r="CI27" i="50"/>
  <c r="CI10" i="50"/>
  <c r="CI41" i="50"/>
  <c r="CI81" i="50"/>
  <c r="CI16" i="50"/>
  <c r="CI13" i="50"/>
  <c r="CI23" i="50"/>
  <c r="CI21" i="50"/>
  <c r="CI26" i="50"/>
  <c r="CI32" i="50"/>
  <c r="CI39" i="50"/>
  <c r="CI77" i="50"/>
  <c r="CI83" i="50"/>
  <c r="CI38" i="50"/>
  <c r="CI43" i="50"/>
  <c r="CI44" i="50"/>
  <c r="CI36" i="50"/>
  <c r="CI82" i="50"/>
  <c r="CI47" i="50"/>
  <c r="CI64" i="50"/>
  <c r="CI42" i="50"/>
  <c r="CI69" i="50"/>
  <c r="CI50" i="50"/>
  <c r="CI19" i="50"/>
  <c r="CI24" i="50"/>
  <c r="CI89" i="50"/>
  <c r="CI15" i="50"/>
  <c r="CI49" i="50"/>
  <c r="CI92" i="50"/>
  <c r="CI40" i="50"/>
  <c r="CI93" i="50"/>
  <c r="CI45" i="50"/>
  <c r="CI56" i="50"/>
  <c r="CI60" i="50"/>
  <c r="CI52" i="50"/>
  <c r="CI59" i="50"/>
  <c r="CI72" i="50"/>
  <c r="CI85" i="50"/>
  <c r="CI51" i="50"/>
  <c r="CI79" i="50"/>
  <c r="CI18" i="50"/>
  <c r="CI9" i="50"/>
  <c r="CI48" i="50"/>
  <c r="CI170" i="50" s="1"/>
  <c r="CI29" i="50"/>
  <c r="CI34" i="50"/>
  <c r="CI65" i="50"/>
  <c r="CI78" i="50"/>
  <c r="CI31" i="50"/>
  <c r="CI76" i="50"/>
  <c r="CI53" i="50"/>
  <c r="CI74" i="50"/>
  <c r="CI70" i="50"/>
  <c r="CI63" i="50"/>
  <c r="CI57" i="50"/>
  <c r="CI25" i="50"/>
  <c r="CI55" i="50"/>
  <c r="CI8" i="50"/>
  <c r="CI73" i="50"/>
  <c r="CI28" i="50"/>
  <c r="CI88" i="50"/>
  <c r="CI61" i="50"/>
  <c r="CI68" i="50"/>
  <c r="CI46" i="50"/>
  <c r="CI80" i="50"/>
  <c r="CI58" i="50"/>
  <c r="CI22" i="50"/>
  <c r="CI87" i="50"/>
  <c r="CI84" i="50"/>
  <c r="CI94" i="50"/>
  <c r="CI66" i="50"/>
  <c r="CI86" i="50"/>
  <c r="CI75" i="50"/>
  <c r="CI90" i="50"/>
  <c r="CI67" i="50"/>
  <c r="CF39" i="50"/>
  <c r="CF15" i="50"/>
  <c r="CF62" i="50"/>
  <c r="CF41" i="50"/>
  <c r="CF75" i="50"/>
  <c r="CF63" i="50"/>
  <c r="CF11" i="50"/>
  <c r="CF24" i="50"/>
  <c r="CF21" i="50"/>
  <c r="CF18" i="50"/>
  <c r="CF42" i="50"/>
  <c r="CF69" i="50"/>
  <c r="CF81" i="50"/>
  <c r="CF71" i="50"/>
  <c r="CF13" i="50"/>
  <c r="CF78" i="50"/>
  <c r="CF14" i="50"/>
  <c r="CF9" i="50"/>
  <c r="CF19" i="50"/>
  <c r="CF56" i="50"/>
  <c r="CF40" i="50"/>
  <c r="CF37" i="50"/>
  <c r="CF12" i="50"/>
  <c r="CF16" i="50"/>
  <c r="CF17" i="50"/>
  <c r="CF36" i="50"/>
  <c r="CF49" i="50"/>
  <c r="CF30" i="50"/>
  <c r="CF53" i="50"/>
  <c r="CF23" i="50"/>
  <c r="CF20" i="50"/>
  <c r="CF25" i="50"/>
  <c r="CF28" i="50"/>
  <c r="CF33" i="50"/>
  <c r="CF88" i="50"/>
  <c r="CF31" i="50"/>
  <c r="CF92" i="50"/>
  <c r="CF60" i="50"/>
  <c r="CF73" i="50"/>
  <c r="CF65" i="50"/>
  <c r="CF86" i="50"/>
  <c r="CF80" i="50"/>
  <c r="CF44" i="50"/>
  <c r="CF74" i="50"/>
  <c r="CF84" i="50"/>
  <c r="CF45" i="50"/>
  <c r="CF51" i="50"/>
  <c r="CF26" i="50"/>
  <c r="CF46" i="50"/>
  <c r="CF89" i="50"/>
  <c r="CF54" i="50"/>
  <c r="CF76" i="50"/>
  <c r="CF47" i="50"/>
  <c r="CF82" i="50"/>
  <c r="CF34" i="50"/>
  <c r="CF22" i="50"/>
  <c r="CF61" i="50"/>
  <c r="CF90" i="50"/>
  <c r="CF79" i="50"/>
  <c r="CF10" i="50"/>
  <c r="CF8" i="50"/>
  <c r="CF83" i="50"/>
  <c r="CF67" i="50"/>
  <c r="CF87" i="50"/>
  <c r="CF59" i="50"/>
  <c r="CF66" i="50"/>
  <c r="CF27" i="50"/>
  <c r="CF38" i="50"/>
  <c r="CF57" i="50"/>
  <c r="CF72" i="50"/>
  <c r="CF85" i="50"/>
  <c r="CF43" i="50"/>
  <c r="CF48" i="50"/>
  <c r="CF170" i="50" s="1"/>
  <c r="CF93" i="50"/>
  <c r="CF77" i="50"/>
  <c r="CF35" i="50"/>
  <c r="CF32" i="50"/>
  <c r="CF70" i="50"/>
  <c r="CF64" i="50"/>
  <c r="CF58" i="50"/>
  <c r="CF68" i="50"/>
  <c r="CF50" i="50"/>
  <c r="CF29" i="50"/>
  <c r="CF94" i="50"/>
  <c r="CF91" i="50"/>
  <c r="CF55" i="50"/>
  <c r="CF52" i="50"/>
  <c r="CM46" i="50"/>
  <c r="CM53" i="50"/>
  <c r="CM64" i="50"/>
  <c r="CM91" i="50"/>
  <c r="CM26" i="50"/>
  <c r="CM90" i="50"/>
  <c r="CM33" i="50"/>
  <c r="CM44" i="50"/>
  <c r="CM51" i="50"/>
  <c r="CM70" i="50"/>
  <c r="CM13" i="50"/>
  <c r="CM77" i="50"/>
  <c r="CM24" i="50"/>
  <c r="CM88" i="50"/>
  <c r="CM47" i="50"/>
  <c r="CM50" i="50"/>
  <c r="CM57" i="50"/>
  <c r="CM68" i="50"/>
  <c r="CM30" i="50"/>
  <c r="CM94" i="50"/>
  <c r="CM37" i="50"/>
  <c r="CM48" i="50"/>
  <c r="CM170" i="50" s="1"/>
  <c r="CM10" i="50"/>
  <c r="CM74" i="50"/>
  <c r="CM17" i="50"/>
  <c r="CM81" i="50"/>
  <c r="CM28" i="50"/>
  <c r="CM92" i="50"/>
  <c r="CM31" i="50"/>
  <c r="CM54" i="50"/>
  <c r="CM61" i="50"/>
  <c r="CM72" i="50"/>
  <c r="CM34" i="50"/>
  <c r="CM41" i="50"/>
  <c r="CM52" i="50"/>
  <c r="CM71" i="50"/>
  <c r="CM14" i="50"/>
  <c r="CM78" i="50"/>
  <c r="CM21" i="50"/>
  <c r="CM85" i="50"/>
  <c r="CM32" i="50"/>
  <c r="CM58" i="50"/>
  <c r="CM65" i="50"/>
  <c r="CM12" i="50"/>
  <c r="CM76" i="50"/>
  <c r="CM38" i="50"/>
  <c r="CM45" i="50"/>
  <c r="CM18" i="50"/>
  <c r="CM82" i="50"/>
  <c r="CM25" i="50"/>
  <c r="CM89" i="50"/>
  <c r="CM36" i="50"/>
  <c r="CM62" i="50"/>
  <c r="CM69" i="50"/>
  <c r="CM16" i="50"/>
  <c r="CM42" i="50"/>
  <c r="CM49" i="50"/>
  <c r="CM60" i="50"/>
  <c r="CM22" i="50"/>
  <c r="CM86" i="50"/>
  <c r="CM29" i="50"/>
  <c r="CM93" i="50"/>
  <c r="CM40" i="50"/>
  <c r="CM43" i="50"/>
  <c r="CM66" i="50"/>
  <c r="CM55" i="50"/>
  <c r="CM59" i="50"/>
  <c r="CM19" i="50"/>
  <c r="CM9" i="50"/>
  <c r="CM80" i="50"/>
  <c r="CM27" i="50"/>
  <c r="CM84" i="50"/>
  <c r="CM67" i="50"/>
  <c r="CM11" i="50"/>
  <c r="CM83" i="50"/>
  <c r="CM73" i="50"/>
  <c r="CM23" i="50"/>
  <c r="CM75" i="50"/>
  <c r="CM87" i="50"/>
  <c r="CM63" i="50"/>
  <c r="CM15" i="50"/>
  <c r="CM20" i="50"/>
  <c r="CM39" i="50"/>
  <c r="CM8" i="50"/>
  <c r="CM79" i="50"/>
  <c r="CM56" i="50"/>
  <c r="CM35" i="50"/>
  <c r="CQ67" i="50"/>
  <c r="CQ10" i="50"/>
  <c r="CQ74" i="50"/>
  <c r="CQ21" i="50"/>
  <c r="CQ85" i="50"/>
  <c r="CQ47" i="50"/>
  <c r="CQ54" i="50"/>
  <c r="CQ65" i="50"/>
  <c r="CQ27" i="50"/>
  <c r="CQ91" i="50"/>
  <c r="CQ34" i="50"/>
  <c r="CQ45" i="50"/>
  <c r="CQ72" i="50"/>
  <c r="CQ71" i="50"/>
  <c r="CQ14" i="50"/>
  <c r="CQ78" i="50"/>
  <c r="CQ25" i="50"/>
  <c r="CQ89" i="50"/>
  <c r="CQ68" i="50"/>
  <c r="CQ51" i="50"/>
  <c r="CQ58" i="50"/>
  <c r="CQ69" i="50"/>
  <c r="CQ24" i="50"/>
  <c r="CQ31" i="50"/>
  <c r="CQ38" i="50"/>
  <c r="CQ49" i="50"/>
  <c r="CQ28" i="50"/>
  <c r="CQ8" i="50"/>
  <c r="CQ11" i="50"/>
  <c r="CQ75" i="50"/>
  <c r="CQ18" i="50"/>
  <c r="CQ82" i="50"/>
  <c r="CQ29" i="50"/>
  <c r="CQ93" i="50"/>
  <c r="CQ55" i="50"/>
  <c r="CQ62" i="50"/>
  <c r="CQ9" i="50"/>
  <c r="CQ73" i="50"/>
  <c r="CQ88" i="50"/>
  <c r="CQ35" i="50"/>
  <c r="CQ42" i="50"/>
  <c r="CQ53" i="50"/>
  <c r="CQ15" i="50"/>
  <c r="CQ79" i="50"/>
  <c r="CQ22" i="50"/>
  <c r="CQ86" i="50"/>
  <c r="CQ33" i="50"/>
  <c r="CQ59" i="50"/>
  <c r="CQ66" i="50"/>
  <c r="CQ39" i="50"/>
  <c r="CQ46" i="50"/>
  <c r="CQ57" i="50"/>
  <c r="CQ19" i="50"/>
  <c r="CQ83" i="50"/>
  <c r="CQ26" i="50"/>
  <c r="CQ90" i="50"/>
  <c r="CQ37" i="50"/>
  <c r="CQ63" i="50"/>
  <c r="CQ70" i="50"/>
  <c r="CQ17" i="50"/>
  <c r="CQ43" i="50"/>
  <c r="CQ50" i="50"/>
  <c r="CQ61" i="50"/>
  <c r="CQ77" i="50"/>
  <c r="CQ92" i="50"/>
  <c r="CQ64" i="50"/>
  <c r="CQ87" i="50"/>
  <c r="CQ76" i="50"/>
  <c r="CQ80" i="50"/>
  <c r="CQ40" i="50"/>
  <c r="CQ30" i="50"/>
  <c r="CQ81" i="50"/>
  <c r="CQ48" i="50"/>
  <c r="CQ170" i="50" s="1"/>
  <c r="CQ32" i="50"/>
  <c r="CQ94" i="50"/>
  <c r="CQ44" i="50"/>
  <c r="CQ20" i="50"/>
  <c r="CQ16" i="50"/>
  <c r="CQ13" i="50"/>
  <c r="CQ36" i="50"/>
  <c r="CQ84" i="50"/>
  <c r="CQ23" i="50"/>
  <c r="CQ60" i="50"/>
  <c r="CQ12" i="50"/>
  <c r="CQ41" i="50"/>
  <c r="CQ52" i="50"/>
  <c r="CQ56" i="50"/>
  <c r="CU24" i="50"/>
  <c r="CU88" i="50"/>
  <c r="CU31" i="50"/>
  <c r="CU42" i="50"/>
  <c r="CU29" i="50"/>
  <c r="CU68" i="50"/>
  <c r="CU11" i="50"/>
  <c r="CU75" i="50"/>
  <c r="CU22" i="50"/>
  <c r="CU86" i="50"/>
  <c r="CU25" i="50"/>
  <c r="CU48" i="50"/>
  <c r="CU170" i="50" s="1"/>
  <c r="CU55" i="50"/>
  <c r="CU66" i="50"/>
  <c r="CU28" i="50"/>
  <c r="CU92" i="50"/>
  <c r="CU35" i="50"/>
  <c r="CU46" i="50"/>
  <c r="CU93" i="50"/>
  <c r="CU72" i="50"/>
  <c r="CU15" i="50"/>
  <c r="CU79" i="50"/>
  <c r="CU26" i="50"/>
  <c r="CU90" i="50"/>
  <c r="CU52" i="50"/>
  <c r="CU59" i="50"/>
  <c r="CU70" i="50"/>
  <c r="CU45" i="50"/>
  <c r="CU32" i="50"/>
  <c r="CU39" i="50"/>
  <c r="CU50" i="50"/>
  <c r="CU12" i="50"/>
  <c r="CU76" i="50"/>
  <c r="CU19" i="50"/>
  <c r="CU83" i="50"/>
  <c r="CU30" i="50"/>
  <c r="CU94" i="50"/>
  <c r="CU56" i="50"/>
  <c r="CU63" i="50"/>
  <c r="CU10" i="50"/>
  <c r="CU74" i="50"/>
  <c r="CU36" i="50"/>
  <c r="CU43" i="50"/>
  <c r="CU54" i="50"/>
  <c r="CU16" i="50"/>
  <c r="CU80" i="50"/>
  <c r="CU23" i="50"/>
  <c r="CU87" i="50"/>
  <c r="CU60" i="50"/>
  <c r="CU67" i="50"/>
  <c r="CU14" i="50"/>
  <c r="CU78" i="50"/>
  <c r="CU40" i="50"/>
  <c r="CU47" i="50"/>
  <c r="CU20" i="50"/>
  <c r="CU84" i="50"/>
  <c r="CU27" i="50"/>
  <c r="CU91" i="50"/>
  <c r="CU38" i="50"/>
  <c r="CU64" i="50"/>
  <c r="CU71" i="50"/>
  <c r="CU18" i="50"/>
  <c r="CU82" i="50"/>
  <c r="CU44" i="50"/>
  <c r="CU62" i="50"/>
  <c r="CU49" i="50"/>
  <c r="CU33" i="50"/>
  <c r="CU77" i="50"/>
  <c r="CU37" i="50"/>
  <c r="CU8" i="50"/>
  <c r="CU85" i="50"/>
  <c r="CU58" i="50"/>
  <c r="CU61" i="50"/>
  <c r="CU51" i="50"/>
  <c r="CU89" i="50"/>
  <c r="CU21" i="50"/>
  <c r="CU69" i="50"/>
  <c r="CU53" i="50"/>
  <c r="CU17" i="50"/>
  <c r="CU65" i="50"/>
  <c r="CU41" i="50"/>
  <c r="CU34" i="50"/>
  <c r="CU9" i="50"/>
  <c r="CU57" i="50"/>
  <c r="CU13" i="50"/>
  <c r="CU81" i="50"/>
  <c r="CU73" i="50"/>
  <c r="CR44" i="50"/>
  <c r="CR71" i="50"/>
  <c r="CR34" i="50"/>
  <c r="CR69" i="50"/>
  <c r="CR24" i="50"/>
  <c r="CR88" i="50"/>
  <c r="CR51" i="50"/>
  <c r="CR14" i="50"/>
  <c r="CR78" i="50"/>
  <c r="CR49" i="50"/>
  <c r="CR68" i="50"/>
  <c r="CR31" i="50"/>
  <c r="CR58" i="50"/>
  <c r="CR29" i="50"/>
  <c r="CR93" i="50"/>
  <c r="CR48" i="50"/>
  <c r="CR170" i="50" s="1"/>
  <c r="CR11" i="50"/>
  <c r="CR75" i="50"/>
  <c r="CR38" i="50"/>
  <c r="CR9" i="50"/>
  <c r="CR73" i="50"/>
  <c r="CR28" i="50"/>
  <c r="CR92" i="50"/>
  <c r="CR55" i="50"/>
  <c r="CR18" i="50"/>
  <c r="CR82" i="50"/>
  <c r="CR53" i="50"/>
  <c r="CR72" i="50"/>
  <c r="CR8" i="50"/>
  <c r="CR35" i="50"/>
  <c r="CR62" i="50"/>
  <c r="CR33" i="50"/>
  <c r="CR52" i="50"/>
  <c r="CR15" i="50"/>
  <c r="CR79" i="50"/>
  <c r="CR42" i="50"/>
  <c r="CR13" i="50"/>
  <c r="CR77" i="50"/>
  <c r="CR32" i="50"/>
  <c r="CR59" i="50"/>
  <c r="CR22" i="50"/>
  <c r="CR86" i="50"/>
  <c r="CR57" i="50"/>
  <c r="CR12" i="50"/>
  <c r="CR76" i="50"/>
  <c r="CR39" i="50"/>
  <c r="CR66" i="50"/>
  <c r="CR37" i="50"/>
  <c r="CR56" i="50"/>
  <c r="CR19" i="50"/>
  <c r="CR83" i="50"/>
  <c r="CR46" i="50"/>
  <c r="CR17" i="50"/>
  <c r="CR81" i="50"/>
  <c r="CR36" i="50"/>
  <c r="CR63" i="50"/>
  <c r="CR26" i="50"/>
  <c r="CR90" i="50"/>
  <c r="CR16" i="50"/>
  <c r="CR80" i="50"/>
  <c r="CR43" i="50"/>
  <c r="CR70" i="50"/>
  <c r="CR41" i="50"/>
  <c r="CR60" i="50"/>
  <c r="CR23" i="50"/>
  <c r="CR87" i="50"/>
  <c r="CR50" i="50"/>
  <c r="CR40" i="50"/>
  <c r="CR67" i="50"/>
  <c r="CR30" i="50"/>
  <c r="CR94" i="50"/>
  <c r="CR20" i="50"/>
  <c r="CR84" i="50"/>
  <c r="CR47" i="50"/>
  <c r="CR10" i="50"/>
  <c r="CR74" i="50"/>
  <c r="CR45" i="50"/>
  <c r="CR61" i="50"/>
  <c r="CR64" i="50"/>
  <c r="CR65" i="50"/>
  <c r="CR27" i="50"/>
  <c r="CR85" i="50"/>
  <c r="CR91" i="50"/>
  <c r="CR54" i="50"/>
  <c r="CR89" i="50"/>
  <c r="CR21" i="50"/>
  <c r="CR25" i="50"/>
  <c r="CJ37" i="50"/>
  <c r="CJ71" i="50"/>
  <c r="CJ78" i="50"/>
  <c r="CJ59" i="50"/>
  <c r="CJ94" i="50"/>
  <c r="CJ89" i="50"/>
  <c r="CJ20" i="50"/>
  <c r="CJ17" i="50"/>
  <c r="CJ14" i="50"/>
  <c r="CJ65" i="50"/>
  <c r="CJ40" i="50"/>
  <c r="CJ9" i="50"/>
  <c r="CJ74" i="50"/>
  <c r="CJ87" i="50"/>
  <c r="CJ75" i="50"/>
  <c r="CJ10" i="50"/>
  <c r="CJ23" i="50"/>
  <c r="CJ36" i="50"/>
  <c r="CJ33" i="50"/>
  <c r="CJ30" i="50"/>
  <c r="CJ12" i="50"/>
  <c r="CJ13" i="50"/>
  <c r="CJ25" i="50"/>
  <c r="CJ90" i="50"/>
  <c r="CJ19" i="50"/>
  <c r="CJ16" i="50"/>
  <c r="CJ26" i="50"/>
  <c r="CJ21" i="50"/>
  <c r="CJ18" i="50"/>
  <c r="CJ31" i="50"/>
  <c r="CJ24" i="50"/>
  <c r="CJ29" i="50"/>
  <c r="CJ83" i="50"/>
  <c r="CJ67" i="50"/>
  <c r="CJ82" i="50"/>
  <c r="CJ76" i="50"/>
  <c r="CJ70" i="50"/>
  <c r="CJ80" i="50"/>
  <c r="CJ64" i="50"/>
  <c r="CJ88" i="50"/>
  <c r="CJ41" i="50"/>
  <c r="CJ42" i="50"/>
  <c r="CJ32" i="50"/>
  <c r="CJ56" i="50"/>
  <c r="CJ85" i="50"/>
  <c r="CJ38" i="50"/>
  <c r="CJ35" i="50"/>
  <c r="CJ49" i="50"/>
  <c r="CJ72" i="50"/>
  <c r="CJ79" i="50"/>
  <c r="CJ27" i="50"/>
  <c r="CJ92" i="50"/>
  <c r="CJ57" i="50"/>
  <c r="CJ22" i="50"/>
  <c r="CJ86" i="50"/>
  <c r="CJ45" i="50"/>
  <c r="CJ52" i="50"/>
  <c r="CJ34" i="50"/>
  <c r="CJ43" i="50"/>
  <c r="CJ44" i="50"/>
  <c r="CJ46" i="50"/>
  <c r="CJ53" i="50"/>
  <c r="CJ63" i="50"/>
  <c r="CJ39" i="50"/>
  <c r="CJ48" i="50"/>
  <c r="CJ170" i="50" s="1"/>
  <c r="CJ55" i="50"/>
  <c r="CJ62" i="50"/>
  <c r="CJ50" i="50"/>
  <c r="CJ51" i="50"/>
  <c r="CJ73" i="50"/>
  <c r="CJ8" i="50"/>
  <c r="CJ93" i="50"/>
  <c r="CJ47" i="50"/>
  <c r="CJ15" i="50"/>
  <c r="CJ68" i="50"/>
  <c r="CJ81" i="50"/>
  <c r="CJ11" i="50"/>
  <c r="CJ28" i="50"/>
  <c r="CJ58" i="50"/>
  <c r="CJ66" i="50"/>
  <c r="CJ60" i="50"/>
  <c r="CJ54" i="50"/>
  <c r="CJ91" i="50"/>
  <c r="CJ61" i="50"/>
  <c r="CJ84" i="50"/>
  <c r="CJ69" i="50"/>
  <c r="CJ77" i="50"/>
  <c r="CN23" i="50"/>
  <c r="CN87" i="50"/>
  <c r="CN50" i="50"/>
  <c r="CN13" i="50"/>
  <c r="CN77" i="50"/>
  <c r="CN48" i="50"/>
  <c r="CN170" i="50" s="1"/>
  <c r="CN67" i="50"/>
  <c r="CN30" i="50"/>
  <c r="CN94" i="50"/>
  <c r="CN57" i="50"/>
  <c r="CN28" i="50"/>
  <c r="CN92" i="50"/>
  <c r="CN47" i="50"/>
  <c r="CN10" i="50"/>
  <c r="CN74" i="50"/>
  <c r="CN37" i="50"/>
  <c r="CN72" i="50"/>
  <c r="CN27" i="50"/>
  <c r="CN91" i="50"/>
  <c r="CN54" i="50"/>
  <c r="CN17" i="50"/>
  <c r="CN81" i="50"/>
  <c r="CN52" i="50"/>
  <c r="CN71" i="50"/>
  <c r="CN34" i="50"/>
  <c r="CN61" i="50"/>
  <c r="CN32" i="50"/>
  <c r="CN51" i="50"/>
  <c r="CN14" i="50"/>
  <c r="CN78" i="50"/>
  <c r="CN41" i="50"/>
  <c r="CN12" i="50"/>
  <c r="CN76" i="50"/>
  <c r="CN31" i="50"/>
  <c r="CN58" i="50"/>
  <c r="CN21" i="50"/>
  <c r="CN85" i="50"/>
  <c r="CN56" i="50"/>
  <c r="CN11" i="50"/>
  <c r="CN75" i="50"/>
  <c r="CN38" i="50"/>
  <c r="CN65" i="50"/>
  <c r="CN36" i="50"/>
  <c r="CN55" i="50"/>
  <c r="CN18" i="50"/>
  <c r="CN82" i="50"/>
  <c r="CN45" i="50"/>
  <c r="CN16" i="50"/>
  <c r="CN80" i="50"/>
  <c r="CN35" i="50"/>
  <c r="CN62" i="50"/>
  <c r="CN25" i="50"/>
  <c r="CN89" i="50"/>
  <c r="CN60" i="50"/>
  <c r="CN15" i="50"/>
  <c r="CN79" i="50"/>
  <c r="CN42" i="50"/>
  <c r="CN69" i="50"/>
  <c r="CN59" i="50"/>
  <c r="CN22" i="50"/>
  <c r="CN86" i="50"/>
  <c r="CN49" i="50"/>
  <c r="CN20" i="50"/>
  <c r="CN84" i="50"/>
  <c r="CN39" i="50"/>
  <c r="CN66" i="50"/>
  <c r="CN29" i="50"/>
  <c r="CN93" i="50"/>
  <c r="CN19" i="50"/>
  <c r="CN83" i="50"/>
  <c r="CN46" i="50"/>
  <c r="CN9" i="50"/>
  <c r="CN73" i="50"/>
  <c r="CN63" i="50"/>
  <c r="CN26" i="50"/>
  <c r="CN90" i="50"/>
  <c r="CN53" i="50"/>
  <c r="CN24" i="50"/>
  <c r="CN44" i="50"/>
  <c r="CN43" i="50"/>
  <c r="CN64" i="50"/>
  <c r="CN8" i="50"/>
  <c r="CN68" i="50"/>
  <c r="CN70" i="50"/>
  <c r="CN33" i="50"/>
  <c r="CN88" i="50"/>
  <c r="CN40" i="50"/>
  <c r="BG93" i="50"/>
  <c r="BG90" i="50"/>
  <c r="BG91" i="50"/>
  <c r="BG92" i="50"/>
  <c r="AX93" i="50"/>
  <c r="AX90" i="50"/>
  <c r="AX91" i="50"/>
  <c r="AX92" i="50"/>
  <c r="AS91" i="50"/>
  <c r="AS92" i="50"/>
  <c r="AS93" i="50"/>
  <c r="AS90" i="50"/>
  <c r="AB90" i="50"/>
  <c r="AB91" i="50"/>
  <c r="AB92" i="50"/>
  <c r="AB93" i="50"/>
  <c r="V93" i="50"/>
  <c r="V90" i="50"/>
  <c r="V91" i="50"/>
  <c r="V92" i="50"/>
  <c r="BU91" i="50"/>
  <c r="BU92" i="50"/>
  <c r="BU93" i="50"/>
  <c r="BU90" i="50"/>
  <c r="AY93" i="50"/>
  <c r="AY91" i="50"/>
  <c r="AY90" i="50"/>
  <c r="AY92" i="50"/>
  <c r="BB91" i="50"/>
  <c r="BB92" i="50"/>
  <c r="BB93" i="50"/>
  <c r="BB90" i="50"/>
  <c r="BY91" i="50"/>
  <c r="BY92" i="50"/>
  <c r="BY93" i="50"/>
  <c r="BY90" i="50"/>
  <c r="AI92" i="50"/>
  <c r="AI93" i="50"/>
  <c r="AI90" i="50"/>
  <c r="AI91" i="50"/>
  <c r="X92" i="50"/>
  <c r="X93" i="50"/>
  <c r="X90" i="50"/>
  <c r="X91" i="50"/>
  <c r="Z91" i="50"/>
  <c r="Z92" i="50"/>
  <c r="Z93" i="50"/>
  <c r="Z90" i="50"/>
  <c r="BK92" i="50"/>
  <c r="BK93" i="50"/>
  <c r="BK90" i="50"/>
  <c r="BK91" i="50"/>
  <c r="AK91" i="50"/>
  <c r="AK92" i="50"/>
  <c r="AK93" i="50"/>
  <c r="AK90" i="50"/>
  <c r="BD90" i="50"/>
  <c r="BD91" i="50"/>
  <c r="BD92" i="50"/>
  <c r="BD93" i="50"/>
  <c r="AZ92" i="50"/>
  <c r="AZ93" i="50"/>
  <c r="AZ90" i="50"/>
  <c r="AZ91" i="50"/>
  <c r="BF93" i="50"/>
  <c r="BF90" i="50"/>
  <c r="BF91" i="50"/>
  <c r="BF92" i="50"/>
  <c r="CC92" i="50"/>
  <c r="CC90" i="50"/>
  <c r="CC93" i="50"/>
  <c r="CC91" i="50"/>
  <c r="AM91" i="50"/>
  <c r="AM92" i="50"/>
  <c r="AM93" i="50"/>
  <c r="AM90" i="50"/>
  <c r="AE93" i="50"/>
  <c r="AE90" i="50"/>
  <c r="AE91" i="50"/>
  <c r="AE92" i="50"/>
  <c r="AD93" i="50"/>
  <c r="AD90" i="50"/>
  <c r="AD91" i="50"/>
  <c r="AD92" i="50"/>
  <c r="BO91" i="50"/>
  <c r="BO92" i="50"/>
  <c r="BO93" i="50"/>
  <c r="BO90" i="50"/>
  <c r="BE92" i="50"/>
  <c r="BE91" i="50"/>
  <c r="BE93" i="50"/>
  <c r="BE90" i="50"/>
  <c r="BH92" i="50"/>
  <c r="BH93" i="50"/>
  <c r="BH90" i="50"/>
  <c r="BH91" i="50"/>
  <c r="CA93" i="50"/>
  <c r="CA90" i="50"/>
  <c r="CA91" i="50"/>
  <c r="CA92" i="50"/>
  <c r="AL90" i="50"/>
  <c r="AL91" i="50"/>
  <c r="AL92" i="50"/>
  <c r="AL93" i="50"/>
  <c r="AQ92" i="50"/>
  <c r="AQ93" i="50"/>
  <c r="AQ90" i="50"/>
  <c r="AQ91" i="50"/>
  <c r="AF92" i="50"/>
  <c r="AF93" i="50"/>
  <c r="AF90" i="50"/>
  <c r="AF91" i="50"/>
  <c r="BN90" i="50"/>
  <c r="BN91" i="50"/>
  <c r="BN92" i="50"/>
  <c r="BN93" i="50"/>
  <c r="BS92" i="50"/>
  <c r="BS93" i="50"/>
  <c r="BS90" i="50"/>
  <c r="BS91" i="50"/>
  <c r="CE91" i="50"/>
  <c r="CE93" i="50"/>
  <c r="CE92" i="50"/>
  <c r="CE90" i="50"/>
  <c r="W93" i="50"/>
  <c r="W90" i="50"/>
  <c r="W91" i="50"/>
  <c r="W92" i="50"/>
  <c r="BZ93" i="50"/>
  <c r="BZ90" i="50"/>
  <c r="BZ91" i="50"/>
  <c r="BZ92" i="50"/>
  <c r="AO93" i="50"/>
  <c r="AO90" i="50"/>
  <c r="AO91" i="50"/>
  <c r="AO92" i="50"/>
  <c r="AJ91" i="50"/>
  <c r="AJ92" i="50"/>
  <c r="AJ93" i="50"/>
  <c r="AJ90" i="50"/>
  <c r="AA91" i="50"/>
  <c r="AA93" i="50"/>
  <c r="AA92" i="50"/>
  <c r="AA90" i="50"/>
  <c r="BQ93" i="50"/>
  <c r="BQ90" i="50"/>
  <c r="BQ91" i="50"/>
  <c r="BQ92" i="50"/>
  <c r="BL91" i="50"/>
  <c r="BL92" i="50"/>
  <c r="BL93" i="50"/>
  <c r="BL90" i="50"/>
  <c r="AC92" i="50"/>
  <c r="AC91" i="50"/>
  <c r="AC93" i="50"/>
  <c r="AC90" i="50"/>
  <c r="BC91" i="50"/>
  <c r="BC93" i="50"/>
  <c r="BC92" i="50"/>
  <c r="BC90" i="50"/>
  <c r="AT90" i="50"/>
  <c r="AT91" i="50"/>
  <c r="AT92" i="50"/>
  <c r="AT93" i="50"/>
  <c r="AN93" i="50"/>
  <c r="AN90" i="50"/>
  <c r="AN91" i="50"/>
  <c r="AN92" i="50"/>
  <c r="U91" i="50"/>
  <c r="U92" i="50"/>
  <c r="U93" i="50"/>
  <c r="U90" i="50"/>
  <c r="BR92" i="50"/>
  <c r="BR93" i="50"/>
  <c r="BR90" i="50"/>
  <c r="BR91" i="50"/>
  <c r="BP93" i="50"/>
  <c r="BP90" i="50"/>
  <c r="BP91" i="50"/>
  <c r="BP92" i="50"/>
  <c r="BM91" i="50"/>
  <c r="BM92" i="50"/>
  <c r="BM93" i="50"/>
  <c r="BM90" i="50"/>
  <c r="AW91" i="50"/>
  <c r="AW92" i="50"/>
  <c r="AW93" i="50"/>
  <c r="AW90" i="50"/>
  <c r="CD91" i="50"/>
  <c r="CD92" i="50"/>
  <c r="CD93" i="50"/>
  <c r="CD90" i="50"/>
  <c r="BA92" i="50"/>
  <c r="BA90" i="50"/>
  <c r="BA93" i="50"/>
  <c r="BA91" i="50"/>
  <c r="CB92" i="50"/>
  <c r="CB93" i="50"/>
  <c r="CB90" i="50"/>
  <c r="CB91" i="50"/>
  <c r="AP92" i="50"/>
  <c r="AP93" i="50"/>
  <c r="AP90" i="50"/>
  <c r="AP91" i="50"/>
  <c r="AR91" i="50"/>
  <c r="AR92" i="50"/>
  <c r="AR93" i="50"/>
  <c r="AR90" i="50"/>
  <c r="Y92" i="50"/>
  <c r="Y90" i="50"/>
  <c r="Y93" i="50"/>
  <c r="Y91" i="50"/>
  <c r="BV90" i="50"/>
  <c r="BV91" i="50"/>
  <c r="BV92" i="50"/>
  <c r="BV93" i="50"/>
  <c r="BT91" i="50"/>
  <c r="BT92" i="50"/>
  <c r="BT93" i="50"/>
  <c r="BT90" i="50"/>
  <c r="P73" i="30"/>
  <c r="I75" i="50"/>
  <c r="K75" i="50" s="1"/>
  <c r="P77" i="30"/>
  <c r="I79" i="50"/>
  <c r="K79" i="50" s="1"/>
  <c r="N8" i="61"/>
  <c r="M8" i="61"/>
  <c r="CD89" i="50"/>
  <c r="AT89" i="50"/>
  <c r="AN89" i="50"/>
  <c r="U89" i="50"/>
  <c r="BR89" i="50"/>
  <c r="BP89" i="50"/>
  <c r="AW89" i="50"/>
  <c r="BA89" i="50"/>
  <c r="CB89" i="50"/>
  <c r="AP89" i="50"/>
  <c r="AR89" i="50"/>
  <c r="Y89" i="50"/>
  <c r="BV89" i="50"/>
  <c r="BT89" i="50"/>
  <c r="AY89" i="50"/>
  <c r="BE89" i="50"/>
  <c r="CE89" i="50"/>
  <c r="AK89" i="50"/>
  <c r="W89" i="50"/>
  <c r="AC89" i="50"/>
  <c r="BM89" i="50"/>
  <c r="BG89" i="50"/>
  <c r="AX89" i="50"/>
  <c r="AS89" i="50"/>
  <c r="AB89" i="50"/>
  <c r="V89" i="50"/>
  <c r="BU89" i="50"/>
  <c r="BD89" i="50"/>
  <c r="BB89" i="50"/>
  <c r="BY89" i="50"/>
  <c r="AI89" i="50"/>
  <c r="X89" i="50"/>
  <c r="Z89" i="50"/>
  <c r="BK89" i="50"/>
  <c r="AZ89" i="50"/>
  <c r="BF89" i="50"/>
  <c r="CC89" i="50"/>
  <c r="AM89" i="50"/>
  <c r="AE89" i="50"/>
  <c r="AD89" i="50"/>
  <c r="BO89" i="50"/>
  <c r="BH89" i="50"/>
  <c r="CA89" i="50"/>
  <c r="AL89" i="50"/>
  <c r="AQ89" i="50"/>
  <c r="AF89" i="50"/>
  <c r="BN89" i="50"/>
  <c r="BS89" i="50"/>
  <c r="BC89" i="50"/>
  <c r="BZ89" i="50"/>
  <c r="AO89" i="50"/>
  <c r="AJ89" i="50"/>
  <c r="AA89" i="50"/>
  <c r="BQ89" i="50"/>
  <c r="BL89" i="50"/>
  <c r="BC84" i="50"/>
  <c r="BC86" i="50"/>
  <c r="BC87" i="50"/>
  <c r="BC85" i="50"/>
  <c r="BC88" i="50"/>
  <c r="BZ84" i="50"/>
  <c r="BZ85" i="50"/>
  <c r="BZ87" i="50"/>
  <c r="BZ86" i="50"/>
  <c r="BZ88" i="50"/>
  <c r="AJ87" i="50"/>
  <c r="AJ85" i="50"/>
  <c r="AJ84" i="50"/>
  <c r="AJ88" i="50"/>
  <c r="AJ86" i="50"/>
  <c r="BQ86" i="50"/>
  <c r="BQ85" i="50"/>
  <c r="BQ87" i="50"/>
  <c r="BQ88" i="50"/>
  <c r="BQ84" i="50"/>
  <c r="AW88" i="50"/>
  <c r="AW87" i="50"/>
  <c r="AW85" i="50"/>
  <c r="AW86" i="50"/>
  <c r="AW84" i="50"/>
  <c r="CD84" i="50"/>
  <c r="CD88" i="50"/>
  <c r="CD86" i="50"/>
  <c r="CD87" i="50"/>
  <c r="CD85" i="50"/>
  <c r="AN88" i="50"/>
  <c r="AN84" i="50"/>
  <c r="AN85" i="50"/>
  <c r="AN87" i="50"/>
  <c r="AN86" i="50"/>
  <c r="BR86" i="50"/>
  <c r="BR85" i="50"/>
  <c r="BR88" i="50"/>
  <c r="BR87" i="50"/>
  <c r="BR84" i="50"/>
  <c r="BA85" i="50"/>
  <c r="BA84" i="50"/>
  <c r="BA86" i="50"/>
  <c r="BA88" i="50"/>
  <c r="BA87" i="50"/>
  <c r="AR87" i="50"/>
  <c r="AR84" i="50"/>
  <c r="AR85" i="50"/>
  <c r="AR88" i="50"/>
  <c r="AR86" i="50"/>
  <c r="BV86" i="50"/>
  <c r="BV85" i="50"/>
  <c r="BV87" i="50"/>
  <c r="BV88" i="50"/>
  <c r="BV84" i="50"/>
  <c r="BE84" i="50"/>
  <c r="BE88" i="50"/>
  <c r="BE87" i="50"/>
  <c r="BE85" i="50"/>
  <c r="BE86" i="50"/>
  <c r="W88" i="50"/>
  <c r="W86" i="50"/>
  <c r="W84" i="50"/>
  <c r="W85" i="50"/>
  <c r="W87" i="50"/>
  <c r="BM88" i="50"/>
  <c r="BM86" i="50"/>
  <c r="BM87" i="50"/>
  <c r="BM84" i="50"/>
  <c r="BM85" i="50"/>
  <c r="AX86" i="50"/>
  <c r="AX87" i="50"/>
  <c r="AX85" i="50"/>
  <c r="AX88" i="50"/>
  <c r="AX84" i="50"/>
  <c r="AB85" i="50"/>
  <c r="AB88" i="50"/>
  <c r="AB87" i="50"/>
  <c r="AB84" i="50"/>
  <c r="AB86" i="50"/>
  <c r="BU87" i="50"/>
  <c r="BU85" i="50"/>
  <c r="BU88" i="50"/>
  <c r="BU86" i="50"/>
  <c r="BU84" i="50"/>
  <c r="CC88" i="50"/>
  <c r="CC85" i="50"/>
  <c r="CC84" i="50"/>
  <c r="CC86" i="50"/>
  <c r="CC87" i="50"/>
  <c r="BB86" i="50"/>
  <c r="BB87" i="50"/>
  <c r="BB84" i="50"/>
  <c r="BB85" i="50"/>
  <c r="BB88" i="50"/>
  <c r="X84" i="50"/>
  <c r="X85" i="50"/>
  <c r="X86" i="50"/>
  <c r="X87" i="50"/>
  <c r="X88" i="50"/>
  <c r="BK85" i="50"/>
  <c r="BK88" i="50"/>
  <c r="BK84" i="50"/>
  <c r="BK86" i="50"/>
  <c r="BK87" i="50"/>
  <c r="BF86" i="50"/>
  <c r="BF88" i="50"/>
  <c r="BF85" i="50"/>
  <c r="BF84" i="50"/>
  <c r="BF87" i="50"/>
  <c r="AE87" i="50"/>
  <c r="AE88" i="50"/>
  <c r="AE84" i="50"/>
  <c r="AE86" i="50"/>
  <c r="AE85" i="50"/>
  <c r="BO86" i="50"/>
  <c r="BO84" i="50"/>
  <c r="BO88" i="50"/>
  <c r="BO87" i="50"/>
  <c r="BO85" i="50"/>
  <c r="CA86" i="50"/>
  <c r="CA85" i="50"/>
  <c r="CA87" i="50"/>
  <c r="CA88" i="50"/>
  <c r="CA84" i="50"/>
  <c r="AL88" i="50"/>
  <c r="AL84" i="50"/>
  <c r="AL85" i="50"/>
  <c r="AL87" i="50"/>
  <c r="AL86" i="50"/>
  <c r="AF84" i="50"/>
  <c r="AF85" i="50"/>
  <c r="AF87" i="50"/>
  <c r="AF86" i="50"/>
  <c r="AF88" i="50"/>
  <c r="BS87" i="50"/>
  <c r="BS85" i="50"/>
  <c r="BS86" i="50"/>
  <c r="BS84" i="50"/>
  <c r="BS88" i="50"/>
  <c r="AM87" i="50"/>
  <c r="AM85" i="50"/>
  <c r="AM86" i="50"/>
  <c r="AM84" i="50"/>
  <c r="AM88" i="50"/>
  <c r="AA84" i="50"/>
  <c r="AA86" i="50"/>
  <c r="AA87" i="50"/>
  <c r="AA85" i="50"/>
  <c r="AA88" i="50"/>
  <c r="BL87" i="50"/>
  <c r="BL86" i="50"/>
  <c r="BL85" i="50"/>
  <c r="BL84" i="50"/>
  <c r="BL88" i="50"/>
  <c r="AQ85" i="50"/>
  <c r="AQ86" i="50"/>
  <c r="AQ88" i="50"/>
  <c r="AQ84" i="50"/>
  <c r="AQ87" i="50"/>
  <c r="U84" i="50"/>
  <c r="U85" i="50"/>
  <c r="U88" i="50"/>
  <c r="U86" i="50"/>
  <c r="U87" i="50"/>
  <c r="CB88" i="50"/>
  <c r="CB85" i="50"/>
  <c r="CB86" i="50"/>
  <c r="CB87" i="50"/>
  <c r="CB84" i="50"/>
  <c r="AP86" i="50"/>
  <c r="AP85" i="50"/>
  <c r="AP87" i="50"/>
  <c r="AP84" i="50"/>
  <c r="AP88" i="50"/>
  <c r="Y86" i="50"/>
  <c r="Y84" i="50"/>
  <c r="Y87" i="50"/>
  <c r="Y88" i="50"/>
  <c r="Y85" i="50"/>
  <c r="BT88" i="50"/>
  <c r="BT86" i="50"/>
  <c r="BT87" i="50"/>
  <c r="BT85" i="50"/>
  <c r="BT84" i="50"/>
  <c r="AZ88" i="50"/>
  <c r="AZ85" i="50"/>
  <c r="AZ86" i="50"/>
  <c r="AZ87" i="50"/>
  <c r="AZ84" i="50"/>
  <c r="BH88" i="50"/>
  <c r="BH86" i="50"/>
  <c r="BH85" i="50"/>
  <c r="BH87" i="50"/>
  <c r="BH84" i="50"/>
  <c r="BP85" i="50"/>
  <c r="BP87" i="50"/>
  <c r="BP86" i="50"/>
  <c r="BP88" i="50"/>
  <c r="BP84" i="50"/>
  <c r="AY85" i="50"/>
  <c r="AY87" i="50"/>
  <c r="AY88" i="50"/>
  <c r="AY84" i="50"/>
  <c r="AY86" i="50"/>
  <c r="CE87" i="50"/>
  <c r="CE88" i="50"/>
  <c r="CE86" i="50"/>
  <c r="CE84" i="50"/>
  <c r="CE85" i="50"/>
  <c r="AK87" i="50"/>
  <c r="AK85" i="50"/>
  <c r="AK84" i="50"/>
  <c r="AK86" i="50"/>
  <c r="AK88" i="50"/>
  <c r="AC87" i="50"/>
  <c r="AC84" i="50"/>
  <c r="AC85" i="50"/>
  <c r="AC86" i="50"/>
  <c r="AC88" i="50"/>
  <c r="BN85" i="50"/>
  <c r="BN87" i="50"/>
  <c r="BN84" i="50"/>
  <c r="BN88" i="50"/>
  <c r="BN86" i="50"/>
  <c r="BG85" i="50"/>
  <c r="BG87" i="50"/>
  <c r="BG88" i="50"/>
  <c r="BG84" i="50"/>
  <c r="BG86" i="50"/>
  <c r="AS84" i="50"/>
  <c r="AS85" i="50"/>
  <c r="AS86" i="50"/>
  <c r="AS87" i="50"/>
  <c r="AS88" i="50"/>
  <c r="V85" i="50"/>
  <c r="V87" i="50"/>
  <c r="V88" i="50"/>
  <c r="V86" i="50"/>
  <c r="V84" i="50"/>
  <c r="AD85" i="50"/>
  <c r="AD88" i="50"/>
  <c r="AD87" i="50"/>
  <c r="AD86" i="50"/>
  <c r="AD84" i="50"/>
  <c r="AO87" i="50"/>
  <c r="AO88" i="50"/>
  <c r="AO84" i="50"/>
  <c r="AO86" i="50"/>
  <c r="AO85" i="50"/>
  <c r="AT85" i="50"/>
  <c r="AT84" i="50"/>
  <c r="AT87" i="50"/>
  <c r="AT88" i="50"/>
  <c r="AT86" i="50"/>
  <c r="BD85" i="50"/>
  <c r="BD84" i="50"/>
  <c r="BD87" i="50"/>
  <c r="BD88" i="50"/>
  <c r="BD86" i="50"/>
  <c r="BY86" i="50"/>
  <c r="BY85" i="50"/>
  <c r="BY84" i="50"/>
  <c r="BY88" i="50"/>
  <c r="BY87" i="50"/>
  <c r="AI86" i="50"/>
  <c r="AI88" i="50"/>
  <c r="AI87" i="50"/>
  <c r="AI84" i="50"/>
  <c r="AI85" i="50"/>
  <c r="Z87" i="50"/>
  <c r="Z84" i="50"/>
  <c r="Z85" i="50"/>
  <c r="Z88" i="50"/>
  <c r="Z86" i="50"/>
  <c r="V15" i="5"/>
  <c r="W15" i="5" s="1"/>
  <c r="I25" i="50"/>
  <c r="K25" i="50" s="1"/>
  <c r="O27" i="30"/>
  <c r="O138" i="30" s="1"/>
  <c r="N139" i="30"/>
  <c r="BH81" i="50"/>
  <c r="BH82" i="50"/>
  <c r="BH83" i="50"/>
  <c r="CA81" i="50"/>
  <c r="CA83" i="50"/>
  <c r="CA82" i="50"/>
  <c r="AL81" i="50"/>
  <c r="AL82" i="50"/>
  <c r="AL83" i="50"/>
  <c r="AQ81" i="50"/>
  <c r="AQ82" i="50"/>
  <c r="AQ83" i="50"/>
  <c r="AF81" i="50"/>
  <c r="AF82" i="50"/>
  <c r="AF83" i="50"/>
  <c r="BN81" i="50"/>
  <c r="BN83" i="50"/>
  <c r="BN82" i="50"/>
  <c r="BS81" i="50"/>
  <c r="BS82" i="50"/>
  <c r="BS83" i="50"/>
  <c r="BZ81" i="50"/>
  <c r="BZ83" i="50"/>
  <c r="BZ82" i="50"/>
  <c r="AO81" i="50"/>
  <c r="AO82" i="50"/>
  <c r="AO83" i="50"/>
  <c r="AJ81" i="50"/>
  <c r="AJ83" i="50"/>
  <c r="AJ82" i="50"/>
  <c r="AA81" i="50"/>
  <c r="AA83" i="50"/>
  <c r="AA82" i="50"/>
  <c r="BQ81" i="50"/>
  <c r="BQ83" i="50"/>
  <c r="BQ82" i="50"/>
  <c r="BL81" i="50"/>
  <c r="BL82" i="50"/>
  <c r="BL83" i="50"/>
  <c r="CD81" i="50"/>
  <c r="CD82" i="50"/>
  <c r="CD83" i="50"/>
  <c r="AT81" i="50"/>
  <c r="AT83" i="50"/>
  <c r="AT82" i="50"/>
  <c r="AN81" i="50"/>
  <c r="AN83" i="50"/>
  <c r="AN82" i="50"/>
  <c r="U81" i="50"/>
  <c r="U83" i="50"/>
  <c r="U82" i="50"/>
  <c r="BR81" i="50"/>
  <c r="BR82" i="50"/>
  <c r="BR83" i="50"/>
  <c r="BP81" i="50"/>
  <c r="BP83" i="50"/>
  <c r="BP82" i="50"/>
  <c r="BA81" i="50"/>
  <c r="BA82" i="50"/>
  <c r="BA83" i="50"/>
  <c r="CB81" i="50"/>
  <c r="CB82" i="50"/>
  <c r="CB83" i="50"/>
  <c r="AP81" i="50"/>
  <c r="AP82" i="50"/>
  <c r="AP83" i="50"/>
  <c r="AR81" i="50"/>
  <c r="AR82" i="50"/>
  <c r="AR83" i="50"/>
  <c r="Y81" i="50"/>
  <c r="Y83" i="50"/>
  <c r="Y82" i="50"/>
  <c r="BV81" i="50"/>
  <c r="BV83" i="50"/>
  <c r="BV82" i="50"/>
  <c r="BT81" i="50"/>
  <c r="BT83" i="50"/>
  <c r="BT82" i="50"/>
  <c r="AY81" i="50"/>
  <c r="AY82" i="50"/>
  <c r="AY83" i="50"/>
  <c r="BE81" i="50"/>
  <c r="BE82" i="50"/>
  <c r="BE83" i="50"/>
  <c r="CE81" i="50"/>
  <c r="CE82" i="50"/>
  <c r="CE83" i="50"/>
  <c r="AK81" i="50"/>
  <c r="AK82" i="50"/>
  <c r="AK83" i="50"/>
  <c r="W81" i="50"/>
  <c r="W82" i="50"/>
  <c r="W83" i="50"/>
  <c r="AC81" i="50"/>
  <c r="AC82" i="50"/>
  <c r="AC83" i="50"/>
  <c r="BM81" i="50"/>
  <c r="BM83" i="50"/>
  <c r="BM82" i="50"/>
  <c r="BG81" i="50"/>
  <c r="BG82" i="50"/>
  <c r="BG83" i="50"/>
  <c r="AX81" i="50"/>
  <c r="AX83" i="50"/>
  <c r="AX82" i="50"/>
  <c r="AS81" i="50"/>
  <c r="AS83" i="50"/>
  <c r="AS82" i="50"/>
  <c r="AB81" i="50"/>
  <c r="AB82" i="50"/>
  <c r="AB83" i="50"/>
  <c r="V81" i="50"/>
  <c r="V82" i="50"/>
  <c r="V83" i="50"/>
  <c r="BU81" i="50"/>
  <c r="BU83" i="50"/>
  <c r="BU82" i="50"/>
  <c r="AW81" i="50"/>
  <c r="AW83" i="50"/>
  <c r="AW82" i="50"/>
  <c r="BD81" i="50"/>
  <c r="BD83" i="50"/>
  <c r="BD82" i="50"/>
  <c r="BB81" i="50"/>
  <c r="BB82" i="50"/>
  <c r="BB83" i="50"/>
  <c r="BY81" i="50"/>
  <c r="BY83" i="50"/>
  <c r="BY82" i="50"/>
  <c r="AI81" i="50"/>
  <c r="AI83" i="50"/>
  <c r="AI82" i="50"/>
  <c r="X81" i="50"/>
  <c r="X82" i="50"/>
  <c r="X83" i="50"/>
  <c r="Z81" i="50"/>
  <c r="Z83" i="50"/>
  <c r="Z82" i="50"/>
  <c r="BK81" i="50"/>
  <c r="BK82" i="50"/>
  <c r="BK83" i="50"/>
  <c r="BC81" i="50"/>
  <c r="BC83" i="50"/>
  <c r="BC82" i="50"/>
  <c r="AZ81" i="50"/>
  <c r="AZ83" i="50"/>
  <c r="AZ82" i="50"/>
  <c r="BF81" i="50"/>
  <c r="BF83" i="50"/>
  <c r="BF82" i="50"/>
  <c r="CC81" i="50"/>
  <c r="CC83" i="50"/>
  <c r="CC82" i="50"/>
  <c r="AM81" i="50"/>
  <c r="AM83" i="50"/>
  <c r="AM82" i="50"/>
  <c r="AE81" i="50"/>
  <c r="AE82" i="50"/>
  <c r="AE83" i="50"/>
  <c r="AD81" i="50"/>
  <c r="AD83" i="50"/>
  <c r="AD82" i="50"/>
  <c r="BO81" i="50"/>
  <c r="BO83" i="50"/>
  <c r="BO82" i="50"/>
  <c r="BC70" i="50"/>
  <c r="BC74" i="50"/>
  <c r="BC75" i="50"/>
  <c r="BC53" i="50"/>
  <c r="BC80" i="50"/>
  <c r="BC72" i="50"/>
  <c r="BC76" i="50"/>
  <c r="BC78" i="50"/>
  <c r="BC79" i="50"/>
  <c r="BC77" i="50"/>
  <c r="BC73" i="50"/>
  <c r="BZ70" i="50"/>
  <c r="BZ53" i="50"/>
  <c r="BZ76" i="50"/>
  <c r="BZ72" i="50"/>
  <c r="BZ77" i="50"/>
  <c r="BZ74" i="50"/>
  <c r="BZ79" i="50"/>
  <c r="BZ78" i="50"/>
  <c r="BZ75" i="50"/>
  <c r="BZ80" i="50"/>
  <c r="BZ73" i="50"/>
  <c r="AO70" i="50"/>
  <c r="AO53" i="50"/>
  <c r="AO72" i="50"/>
  <c r="AO76" i="50"/>
  <c r="AO78" i="50"/>
  <c r="AO74" i="50"/>
  <c r="AO79" i="50"/>
  <c r="AO77" i="50"/>
  <c r="AO73" i="50"/>
  <c r="AO80" i="50"/>
  <c r="AO75" i="50"/>
  <c r="AJ70" i="50"/>
  <c r="AJ78" i="50"/>
  <c r="AJ53" i="50"/>
  <c r="AJ72" i="50"/>
  <c r="AJ76" i="50"/>
  <c r="AJ74" i="50"/>
  <c r="AJ80" i="50"/>
  <c r="AJ77" i="50"/>
  <c r="AJ75" i="50"/>
  <c r="AJ73" i="50"/>
  <c r="AJ79" i="50"/>
  <c r="AA77" i="50"/>
  <c r="AA53" i="50"/>
  <c r="AA74" i="50"/>
  <c r="AA72" i="50"/>
  <c r="AA73" i="50"/>
  <c r="AA76" i="50"/>
  <c r="AA78" i="50"/>
  <c r="AA79" i="50"/>
  <c r="AA80" i="50"/>
  <c r="AA75" i="50"/>
  <c r="BQ70" i="50"/>
  <c r="BQ53" i="50"/>
  <c r="BQ78" i="50"/>
  <c r="BQ72" i="50"/>
  <c r="BQ73" i="50"/>
  <c r="BQ76" i="50"/>
  <c r="BQ74" i="50"/>
  <c r="BQ79" i="50"/>
  <c r="BQ80" i="50"/>
  <c r="BQ75" i="50"/>
  <c r="BQ77" i="50"/>
  <c r="BL70" i="50"/>
  <c r="BL78" i="50"/>
  <c r="BL53" i="50"/>
  <c r="BL72" i="50"/>
  <c r="BL80" i="50"/>
  <c r="BL74" i="50"/>
  <c r="BL79" i="50"/>
  <c r="BL73" i="50"/>
  <c r="BL75" i="50"/>
  <c r="BL76" i="50"/>
  <c r="BL77" i="50"/>
  <c r="AW70" i="50"/>
  <c r="AW53" i="50"/>
  <c r="AW76" i="50"/>
  <c r="AW73" i="50"/>
  <c r="AW77" i="50"/>
  <c r="AW78" i="50"/>
  <c r="AW75" i="50"/>
  <c r="AW72" i="50"/>
  <c r="AW74" i="50"/>
  <c r="AW79" i="50"/>
  <c r="AW80" i="50"/>
  <c r="CD70" i="50"/>
  <c r="CD53" i="50"/>
  <c r="CD78" i="50"/>
  <c r="CD76" i="50"/>
  <c r="CD75" i="50"/>
  <c r="CD72" i="50"/>
  <c r="CD74" i="50"/>
  <c r="CD77" i="50"/>
  <c r="CD79" i="50"/>
  <c r="CD73" i="50"/>
  <c r="CD80" i="50"/>
  <c r="AT70" i="50"/>
  <c r="AT76" i="50"/>
  <c r="AT78" i="50"/>
  <c r="AT53" i="50"/>
  <c r="AT79" i="50"/>
  <c r="AT75" i="50"/>
  <c r="AT74" i="50"/>
  <c r="AT80" i="50"/>
  <c r="AT72" i="50"/>
  <c r="AT77" i="50"/>
  <c r="AT73" i="50"/>
  <c r="AN70" i="50"/>
  <c r="AN53" i="50"/>
  <c r="AN76" i="50"/>
  <c r="AN77" i="50"/>
  <c r="AN72" i="50"/>
  <c r="AN78" i="50"/>
  <c r="AN74" i="50"/>
  <c r="AN80" i="50"/>
  <c r="AN73" i="50"/>
  <c r="AN79" i="50"/>
  <c r="AN75" i="50"/>
  <c r="U53" i="50"/>
  <c r="U72" i="50"/>
  <c r="U74" i="50"/>
  <c r="U78" i="50"/>
  <c r="U76" i="50"/>
  <c r="U80" i="50"/>
  <c r="U75" i="50"/>
  <c r="U73" i="50"/>
  <c r="U77" i="50"/>
  <c r="U79" i="50"/>
  <c r="BR70" i="50"/>
  <c r="BR53" i="50"/>
  <c r="BR74" i="50"/>
  <c r="BR77" i="50"/>
  <c r="BR78" i="50"/>
  <c r="BR72" i="50"/>
  <c r="BR76" i="50"/>
  <c r="BR79" i="50"/>
  <c r="BR73" i="50"/>
  <c r="BR80" i="50"/>
  <c r="BR75" i="50"/>
  <c r="BP70" i="50"/>
  <c r="BP53" i="50"/>
  <c r="BP78" i="50"/>
  <c r="BP76" i="50"/>
  <c r="BP74" i="50"/>
  <c r="BP73" i="50"/>
  <c r="BP72" i="50"/>
  <c r="BP80" i="50"/>
  <c r="BP77" i="50"/>
  <c r="BP75" i="50"/>
  <c r="BP79" i="50"/>
  <c r="AY70" i="50"/>
  <c r="AY53" i="50"/>
  <c r="AY72" i="50"/>
  <c r="AY80" i="50"/>
  <c r="AY76" i="50"/>
  <c r="AY78" i="50"/>
  <c r="AY74" i="50"/>
  <c r="AY75" i="50"/>
  <c r="AY79" i="50"/>
  <c r="AY77" i="50"/>
  <c r="AY73" i="50"/>
  <c r="BH70" i="50"/>
  <c r="BH53" i="50"/>
  <c r="BH74" i="50"/>
  <c r="BH78" i="50"/>
  <c r="BH72" i="50"/>
  <c r="BH76" i="50"/>
  <c r="BH75" i="50"/>
  <c r="BH80" i="50"/>
  <c r="BH77" i="50"/>
  <c r="BH73" i="50"/>
  <c r="BH79" i="50"/>
  <c r="BE70" i="50"/>
  <c r="BE53" i="50"/>
  <c r="BE73" i="50"/>
  <c r="BE72" i="50"/>
  <c r="BE74" i="50"/>
  <c r="BE77" i="50"/>
  <c r="BE79" i="50"/>
  <c r="BE76" i="50"/>
  <c r="BE78" i="50"/>
  <c r="BE75" i="50"/>
  <c r="BE80" i="50"/>
  <c r="CA70" i="50"/>
  <c r="CA53" i="50"/>
  <c r="CA76" i="50"/>
  <c r="CA78" i="50"/>
  <c r="CA72" i="50"/>
  <c r="CA75" i="50"/>
  <c r="CA80" i="50"/>
  <c r="CA74" i="50"/>
  <c r="CA73" i="50"/>
  <c r="CA77" i="50"/>
  <c r="CA79" i="50"/>
  <c r="CE53" i="50"/>
  <c r="CE74" i="50"/>
  <c r="CE78" i="50"/>
  <c r="CE80" i="50"/>
  <c r="CE73" i="50"/>
  <c r="CE77" i="50"/>
  <c r="CE72" i="50"/>
  <c r="CE76" i="50"/>
  <c r="CE75" i="50"/>
  <c r="CE79" i="50"/>
  <c r="AL70" i="50"/>
  <c r="AL76" i="50"/>
  <c r="AL53" i="50"/>
  <c r="AL75" i="50"/>
  <c r="AL80" i="50"/>
  <c r="AL77" i="50"/>
  <c r="AL74" i="50"/>
  <c r="AL78" i="50"/>
  <c r="AL72" i="50"/>
  <c r="AL79" i="50"/>
  <c r="AL73" i="50"/>
  <c r="AK70" i="50"/>
  <c r="AK74" i="50"/>
  <c r="AK53" i="50"/>
  <c r="AK78" i="50"/>
  <c r="AK72" i="50"/>
  <c r="AK77" i="50"/>
  <c r="AK76" i="50"/>
  <c r="AK79" i="50"/>
  <c r="AK73" i="50"/>
  <c r="AK80" i="50"/>
  <c r="AK75" i="50"/>
  <c r="AQ70" i="50"/>
  <c r="AQ53" i="50"/>
  <c r="AQ72" i="50"/>
  <c r="AQ76" i="50"/>
  <c r="AQ75" i="50"/>
  <c r="AQ78" i="50"/>
  <c r="AQ74" i="50"/>
  <c r="AQ77" i="50"/>
  <c r="AQ80" i="50"/>
  <c r="AQ73" i="50"/>
  <c r="AQ79" i="50"/>
  <c r="W53" i="50"/>
  <c r="W76" i="50"/>
  <c r="W74" i="50"/>
  <c r="W80" i="50"/>
  <c r="W77" i="50"/>
  <c r="W79" i="50"/>
  <c r="W72" i="50"/>
  <c r="W73" i="50"/>
  <c r="W78" i="50"/>
  <c r="W75" i="50"/>
  <c r="AF53" i="50"/>
  <c r="AF74" i="50"/>
  <c r="AF72" i="50"/>
  <c r="AF78" i="50"/>
  <c r="AF76" i="50"/>
  <c r="AF77" i="50"/>
  <c r="AF75" i="50"/>
  <c r="AF79" i="50"/>
  <c r="AF80" i="50"/>
  <c r="AF73" i="50"/>
  <c r="AC72" i="50"/>
  <c r="AC53" i="50"/>
  <c r="AC75" i="50"/>
  <c r="AC74" i="50"/>
  <c r="AC76" i="50"/>
  <c r="AC80" i="50"/>
  <c r="AC78" i="50"/>
  <c r="AC73" i="50"/>
  <c r="AC79" i="50"/>
  <c r="AC77" i="50"/>
  <c r="BN70" i="50"/>
  <c r="BN53" i="50"/>
  <c r="BN72" i="50"/>
  <c r="BN76" i="50"/>
  <c r="BN77" i="50"/>
  <c r="BN73" i="50"/>
  <c r="BN79" i="50"/>
  <c r="BN74" i="50"/>
  <c r="BN78" i="50"/>
  <c r="BN80" i="50"/>
  <c r="BN75" i="50"/>
  <c r="BM70" i="50"/>
  <c r="BM53" i="50"/>
  <c r="BM74" i="50"/>
  <c r="BM72" i="50"/>
  <c r="BM76" i="50"/>
  <c r="BM73" i="50"/>
  <c r="BM78" i="50"/>
  <c r="BM80" i="50"/>
  <c r="BM75" i="50"/>
  <c r="BM79" i="50"/>
  <c r="BM77" i="50"/>
  <c r="BS70" i="50"/>
  <c r="BS53" i="50"/>
  <c r="BS79" i="50"/>
  <c r="BS74" i="50"/>
  <c r="BS77" i="50"/>
  <c r="BS72" i="50"/>
  <c r="BS78" i="50"/>
  <c r="BS76" i="50"/>
  <c r="BS75" i="50"/>
  <c r="BS80" i="50"/>
  <c r="BS73" i="50"/>
  <c r="BG70" i="50"/>
  <c r="BG53" i="50"/>
  <c r="BG75" i="50"/>
  <c r="BG74" i="50"/>
  <c r="BG72" i="50"/>
  <c r="BG80" i="50"/>
  <c r="BG78" i="50"/>
  <c r="BG76" i="50"/>
  <c r="BG73" i="50"/>
  <c r="BG79" i="50"/>
  <c r="BG77" i="50"/>
  <c r="AX70" i="50"/>
  <c r="AX74" i="50"/>
  <c r="AX53" i="50"/>
  <c r="AX76" i="50"/>
  <c r="AX79" i="50"/>
  <c r="AX72" i="50"/>
  <c r="AX78" i="50"/>
  <c r="AX75" i="50"/>
  <c r="AX77" i="50"/>
  <c r="AX80" i="50"/>
  <c r="AX73" i="50"/>
  <c r="AS70" i="50"/>
  <c r="AS74" i="50"/>
  <c r="AS53" i="50"/>
  <c r="AS75" i="50"/>
  <c r="AS78" i="50"/>
  <c r="AS72" i="50"/>
  <c r="AS76" i="50"/>
  <c r="AS77" i="50"/>
  <c r="AS79" i="50"/>
  <c r="AS73" i="50"/>
  <c r="AS80" i="50"/>
  <c r="AB53" i="50"/>
  <c r="AB76" i="50"/>
  <c r="AB78" i="50"/>
  <c r="AB74" i="50"/>
  <c r="AB72" i="50"/>
  <c r="AB80" i="50"/>
  <c r="AB75" i="50"/>
  <c r="AB77" i="50"/>
  <c r="AB73" i="50"/>
  <c r="AB79" i="50"/>
  <c r="V53" i="50"/>
  <c r="V72" i="50"/>
  <c r="V74" i="50"/>
  <c r="V78" i="50"/>
  <c r="V80" i="50"/>
  <c r="V76" i="50"/>
  <c r="V75" i="50"/>
  <c r="V77" i="50"/>
  <c r="V73" i="50"/>
  <c r="V79" i="50"/>
  <c r="BU70" i="50"/>
  <c r="BU74" i="50"/>
  <c r="BU53" i="50"/>
  <c r="BU78" i="50"/>
  <c r="BU80" i="50"/>
  <c r="BU72" i="50"/>
  <c r="BU76" i="50"/>
  <c r="BU75" i="50"/>
  <c r="BU73" i="50"/>
  <c r="BU79" i="50"/>
  <c r="BU77" i="50"/>
  <c r="BD70" i="50"/>
  <c r="BD72" i="50"/>
  <c r="BD76" i="50"/>
  <c r="BD53" i="50"/>
  <c r="BD74" i="50"/>
  <c r="BD78" i="50"/>
  <c r="BD73" i="50"/>
  <c r="BD75" i="50"/>
  <c r="BD77" i="50"/>
  <c r="BD79" i="50"/>
  <c r="BD80" i="50"/>
  <c r="BB70" i="50"/>
  <c r="BB53" i="50"/>
  <c r="BB78" i="50"/>
  <c r="BB74" i="50"/>
  <c r="BB75" i="50"/>
  <c r="BB73" i="50"/>
  <c r="BB80" i="50"/>
  <c r="BB72" i="50"/>
  <c r="BB76" i="50"/>
  <c r="BB79" i="50"/>
  <c r="BB77" i="50"/>
  <c r="BY70" i="50"/>
  <c r="BY53" i="50"/>
  <c r="BY74" i="50"/>
  <c r="BY75" i="50"/>
  <c r="BY80" i="50"/>
  <c r="BY77" i="50"/>
  <c r="BY72" i="50"/>
  <c r="BY76" i="50"/>
  <c r="BY79" i="50"/>
  <c r="BY78" i="50"/>
  <c r="BY73" i="50"/>
  <c r="AI70" i="50"/>
  <c r="AI53" i="50"/>
  <c r="AI74" i="50"/>
  <c r="AI80" i="50"/>
  <c r="AI78" i="50"/>
  <c r="AI72" i="50"/>
  <c r="AI76" i="50"/>
  <c r="AI73" i="50"/>
  <c r="AI77" i="50"/>
  <c r="AI75" i="50"/>
  <c r="AI79" i="50"/>
  <c r="X53" i="50"/>
  <c r="X74" i="50"/>
  <c r="X72" i="50"/>
  <c r="X78" i="50"/>
  <c r="X75" i="50"/>
  <c r="X76" i="50"/>
  <c r="X77" i="50"/>
  <c r="X80" i="50"/>
  <c r="X79" i="50"/>
  <c r="X73" i="50"/>
  <c r="Z78" i="50"/>
  <c r="Z53" i="50"/>
  <c r="Z72" i="50"/>
  <c r="Z73" i="50"/>
  <c r="Z79" i="50"/>
  <c r="Z76" i="50"/>
  <c r="Z74" i="50"/>
  <c r="Z80" i="50"/>
  <c r="Z77" i="50"/>
  <c r="Z75" i="50"/>
  <c r="BK70" i="50"/>
  <c r="BK53" i="50"/>
  <c r="BK72" i="50"/>
  <c r="BK76" i="50"/>
  <c r="BK75" i="50"/>
  <c r="BK74" i="50"/>
  <c r="BK78" i="50"/>
  <c r="BK79" i="50"/>
  <c r="BK77" i="50"/>
  <c r="BK73" i="50"/>
  <c r="BK80" i="50"/>
  <c r="AZ70" i="50"/>
  <c r="AZ53" i="50"/>
  <c r="AZ78" i="50"/>
  <c r="AZ72" i="50"/>
  <c r="AZ76" i="50"/>
  <c r="AZ75" i="50"/>
  <c r="AZ74" i="50"/>
  <c r="AZ79" i="50"/>
  <c r="AZ73" i="50"/>
  <c r="AZ80" i="50"/>
  <c r="AZ77" i="50"/>
  <c r="BA70" i="50"/>
  <c r="BA53" i="50"/>
  <c r="BA75" i="50"/>
  <c r="BA76" i="50"/>
  <c r="BA77" i="50"/>
  <c r="BA80" i="50"/>
  <c r="BA78" i="50"/>
  <c r="BA72" i="50"/>
  <c r="BA79" i="50"/>
  <c r="BA74" i="50"/>
  <c r="BA73" i="50"/>
  <c r="BF70" i="50"/>
  <c r="BF53" i="50"/>
  <c r="BF76" i="50"/>
  <c r="BF78" i="50"/>
  <c r="BF73" i="50"/>
  <c r="BF72" i="50"/>
  <c r="BF79" i="50"/>
  <c r="BF80" i="50"/>
  <c r="BF75" i="50"/>
  <c r="BF74" i="50"/>
  <c r="BF77" i="50"/>
  <c r="CB70" i="50"/>
  <c r="CB53" i="50"/>
  <c r="CB72" i="50"/>
  <c r="CB76" i="50"/>
  <c r="CB74" i="50"/>
  <c r="CB78" i="50"/>
  <c r="CB75" i="50"/>
  <c r="CB80" i="50"/>
  <c r="CB73" i="50"/>
  <c r="CB77" i="50"/>
  <c r="CB79" i="50"/>
  <c r="CC70" i="50"/>
  <c r="CC53" i="50"/>
  <c r="CC79" i="50"/>
  <c r="CC76" i="50"/>
  <c r="CC80" i="50"/>
  <c r="CC75" i="50"/>
  <c r="CC74" i="50"/>
  <c r="CC72" i="50"/>
  <c r="CC78" i="50"/>
  <c r="CC73" i="50"/>
  <c r="CC77" i="50"/>
  <c r="AP70" i="50"/>
  <c r="AP53" i="50"/>
  <c r="AP76" i="50"/>
  <c r="AP75" i="50"/>
  <c r="AP74" i="50"/>
  <c r="AP77" i="50"/>
  <c r="AP72" i="50"/>
  <c r="AP78" i="50"/>
  <c r="AP80" i="50"/>
  <c r="AP79" i="50"/>
  <c r="AP73" i="50"/>
  <c r="AM70" i="50"/>
  <c r="AM72" i="50"/>
  <c r="AM53" i="50"/>
  <c r="AM78" i="50"/>
  <c r="AM74" i="50"/>
  <c r="AM76" i="50"/>
  <c r="AM77" i="50"/>
  <c r="AM79" i="50"/>
  <c r="AM75" i="50"/>
  <c r="AM73" i="50"/>
  <c r="AM80" i="50"/>
  <c r="AR70" i="50"/>
  <c r="AR53" i="50"/>
  <c r="AR78" i="50"/>
  <c r="AR77" i="50"/>
  <c r="AR72" i="50"/>
  <c r="AR76" i="50"/>
  <c r="AR73" i="50"/>
  <c r="AR74" i="50"/>
  <c r="AR80" i="50"/>
  <c r="AR79" i="50"/>
  <c r="AR75" i="50"/>
  <c r="AE53" i="50"/>
  <c r="AE79" i="50"/>
  <c r="AE78" i="50"/>
  <c r="AE77" i="50"/>
  <c r="AE74" i="50"/>
  <c r="AE73" i="50"/>
  <c r="AE72" i="50"/>
  <c r="AE76" i="50"/>
  <c r="AE80" i="50"/>
  <c r="AE75" i="50"/>
  <c r="Y53" i="50"/>
  <c r="Y80" i="50"/>
  <c r="Y75" i="50"/>
  <c r="Y74" i="50"/>
  <c r="Y79" i="50"/>
  <c r="Y78" i="50"/>
  <c r="Y73" i="50"/>
  <c r="Y72" i="50"/>
  <c r="Y76" i="50"/>
  <c r="Y77" i="50"/>
  <c r="AD53" i="50"/>
  <c r="AD76" i="50"/>
  <c r="AD80" i="50"/>
  <c r="AD72" i="50"/>
  <c r="AD78" i="50"/>
  <c r="AD74" i="50"/>
  <c r="AD79" i="50"/>
  <c r="AD73" i="50"/>
  <c r="AD77" i="50"/>
  <c r="AD75" i="50"/>
  <c r="BV70" i="50"/>
  <c r="BV72" i="50"/>
  <c r="BV76" i="50"/>
  <c r="BV78" i="50"/>
  <c r="BV53" i="50"/>
  <c r="BV77" i="50"/>
  <c r="BV74" i="50"/>
  <c r="BV73" i="50"/>
  <c r="BV75" i="50"/>
  <c r="BV79" i="50"/>
  <c r="BV80" i="50"/>
  <c r="BO70" i="50"/>
  <c r="BO53" i="50"/>
  <c r="BO78" i="50"/>
  <c r="BO77" i="50"/>
  <c r="BO72" i="50"/>
  <c r="BO74" i="50"/>
  <c r="BO76" i="50"/>
  <c r="BO79" i="50"/>
  <c r="BO75" i="50"/>
  <c r="BO80" i="50"/>
  <c r="BO73" i="50"/>
  <c r="BT70" i="50"/>
  <c r="BT78" i="50"/>
  <c r="BT53" i="50"/>
  <c r="BT76" i="50"/>
  <c r="BT79" i="50"/>
  <c r="BT72" i="50"/>
  <c r="BT80" i="50"/>
  <c r="BT74" i="50"/>
  <c r="BT77" i="50"/>
  <c r="BT75" i="50"/>
  <c r="BT73" i="50"/>
  <c r="V16" i="5"/>
  <c r="W16" i="5" s="1"/>
  <c r="X70" i="50"/>
  <c r="X69" i="50"/>
  <c r="X66" i="50"/>
  <c r="X71" i="50"/>
  <c r="X64" i="50"/>
  <c r="X65" i="50"/>
  <c r="X67" i="50"/>
  <c r="X68" i="50"/>
  <c r="U66" i="50"/>
  <c r="U70" i="50"/>
  <c r="U68" i="50"/>
  <c r="U69" i="50"/>
  <c r="U71" i="50"/>
  <c r="U67" i="50"/>
  <c r="U65" i="50"/>
  <c r="U64" i="50"/>
  <c r="Z70" i="50"/>
  <c r="Z69" i="50"/>
  <c r="Z67" i="50"/>
  <c r="Z71" i="50"/>
  <c r="Z64" i="50"/>
  <c r="Z65" i="50"/>
  <c r="Z68" i="50"/>
  <c r="Z66" i="50"/>
  <c r="CE67" i="50"/>
  <c r="CE51" i="50"/>
  <c r="CE68" i="50"/>
  <c r="CE70" i="50"/>
  <c r="CE35" i="50"/>
  <c r="CE65" i="50"/>
  <c r="CE19" i="50"/>
  <c r="CE46" i="50"/>
  <c r="CE41" i="50"/>
  <c r="CE29" i="50"/>
  <c r="CE31" i="50"/>
  <c r="CE58" i="50"/>
  <c r="CE18" i="50"/>
  <c r="CE43" i="50"/>
  <c r="CE63" i="50"/>
  <c r="CE8" i="50"/>
  <c r="CE28" i="50"/>
  <c r="CE64" i="50"/>
  <c r="CE13" i="50"/>
  <c r="CE69" i="50"/>
  <c r="CE57" i="50"/>
  <c r="CE24" i="50"/>
  <c r="CE44" i="50"/>
  <c r="CE23" i="50"/>
  <c r="CE66" i="50"/>
  <c r="CE60" i="50"/>
  <c r="CE30" i="50"/>
  <c r="CE25" i="50"/>
  <c r="CE48" i="50"/>
  <c r="CE170" i="50" s="1"/>
  <c r="CE15" i="50"/>
  <c r="CE42" i="50"/>
  <c r="CE37" i="50"/>
  <c r="CE45" i="50"/>
  <c r="CE27" i="50"/>
  <c r="CE54" i="50"/>
  <c r="CE49" i="50"/>
  <c r="CE55" i="50"/>
  <c r="CE59" i="50"/>
  <c r="CE20" i="50"/>
  <c r="CE50" i="50"/>
  <c r="CE10" i="50"/>
  <c r="CE12" i="50"/>
  <c r="CE17" i="50"/>
  <c r="CE71" i="50"/>
  <c r="CE56" i="50"/>
  <c r="CE32" i="50"/>
  <c r="CE14" i="50"/>
  <c r="CE9" i="50"/>
  <c r="CE16" i="50"/>
  <c r="CE52" i="50"/>
  <c r="CE26" i="50"/>
  <c r="CE21" i="50"/>
  <c r="CE40" i="50"/>
  <c r="CE11" i="50"/>
  <c r="CE38" i="50"/>
  <c r="CE33" i="50"/>
  <c r="CE39" i="50"/>
  <c r="CE34" i="50"/>
  <c r="CE62" i="50"/>
  <c r="CE47" i="50"/>
  <c r="CE36" i="50"/>
  <c r="CE22" i="50"/>
  <c r="CE61" i="50"/>
  <c r="AE66" i="50"/>
  <c r="AE71" i="50"/>
  <c r="AE70" i="50"/>
  <c r="AE64" i="50"/>
  <c r="AE65" i="50"/>
  <c r="AE69" i="50"/>
  <c r="AE67" i="50"/>
  <c r="AE68" i="50"/>
  <c r="Y69" i="50"/>
  <c r="Y65" i="50"/>
  <c r="Y71" i="50"/>
  <c r="Y70" i="50"/>
  <c r="Y67" i="50"/>
  <c r="Y66" i="50"/>
  <c r="Y68" i="50"/>
  <c r="Y64" i="50"/>
  <c r="AD65" i="50"/>
  <c r="AD68" i="50"/>
  <c r="AD69" i="50"/>
  <c r="AD66" i="50"/>
  <c r="AD64" i="50"/>
  <c r="AD67" i="50"/>
  <c r="AD71" i="50"/>
  <c r="AD70" i="50"/>
  <c r="W64" i="50"/>
  <c r="W68" i="50"/>
  <c r="W71" i="50"/>
  <c r="W69" i="50"/>
  <c r="W70" i="50"/>
  <c r="W67" i="50"/>
  <c r="W66" i="50"/>
  <c r="W65" i="50"/>
  <c r="AF68" i="50"/>
  <c r="AF66" i="50"/>
  <c r="AF64" i="50"/>
  <c r="AF71" i="50"/>
  <c r="AF67" i="50"/>
  <c r="AF69" i="50"/>
  <c r="AF70" i="50"/>
  <c r="AF65" i="50"/>
  <c r="AC70" i="50"/>
  <c r="AC67" i="50"/>
  <c r="AC64" i="50"/>
  <c r="AC68" i="50"/>
  <c r="AC69" i="50"/>
  <c r="AC71" i="50"/>
  <c r="AC66" i="50"/>
  <c r="AC65" i="50"/>
  <c r="AB66" i="50"/>
  <c r="AB65" i="50"/>
  <c r="AB69" i="50"/>
  <c r="AB70" i="50"/>
  <c r="AB71" i="50"/>
  <c r="AB67" i="50"/>
  <c r="AB68" i="50"/>
  <c r="AB64" i="50"/>
  <c r="AA70" i="50"/>
  <c r="AA69" i="50"/>
  <c r="AA71" i="50"/>
  <c r="AA66" i="50"/>
  <c r="AA68" i="50"/>
  <c r="AA65" i="50"/>
  <c r="AA64" i="50"/>
  <c r="AA67" i="50"/>
  <c r="V66" i="50"/>
  <c r="V68" i="50"/>
  <c r="V70" i="50"/>
  <c r="V65" i="50"/>
  <c r="V71" i="50"/>
  <c r="V64" i="50"/>
  <c r="V69" i="50"/>
  <c r="V67" i="50"/>
  <c r="BA71" i="50"/>
  <c r="CC71" i="50"/>
  <c r="AT71" i="50"/>
  <c r="BR71" i="50"/>
  <c r="BH71" i="50"/>
  <c r="BF71" i="50"/>
  <c r="AN71" i="50"/>
  <c r="BP71" i="50"/>
  <c r="AY71" i="50"/>
  <c r="BE71" i="50"/>
  <c r="AM71" i="50"/>
  <c r="BV71" i="50"/>
  <c r="BO71" i="50"/>
  <c r="BT71" i="50"/>
  <c r="BG71" i="50"/>
  <c r="BC71" i="50"/>
  <c r="AX71" i="50"/>
  <c r="BZ71" i="50"/>
  <c r="AL71" i="50"/>
  <c r="AK71" i="50"/>
  <c r="AQ71" i="50"/>
  <c r="BN71" i="50"/>
  <c r="BM71" i="50"/>
  <c r="BS71" i="50"/>
  <c r="AZ71" i="50"/>
  <c r="CB71" i="50"/>
  <c r="AI71" i="50"/>
  <c r="BK71" i="50"/>
  <c r="CA71" i="50"/>
  <c r="AP71" i="50"/>
  <c r="AR71" i="50"/>
  <c r="BD71" i="50"/>
  <c r="AW71" i="50"/>
  <c r="BB71" i="50"/>
  <c r="BY71" i="50"/>
  <c r="CD71" i="50"/>
  <c r="AO71" i="50"/>
  <c r="AS71" i="50"/>
  <c r="AJ71" i="50"/>
  <c r="BQ71" i="50"/>
  <c r="BU71" i="50"/>
  <c r="BL71" i="50"/>
  <c r="BE68" i="50"/>
  <c r="BE69" i="50"/>
  <c r="AM69" i="50"/>
  <c r="AM68" i="50"/>
  <c r="BO69" i="50"/>
  <c r="BO68" i="50"/>
  <c r="BG69" i="50"/>
  <c r="BG68" i="50"/>
  <c r="BC69" i="50"/>
  <c r="BC68" i="50"/>
  <c r="AX69" i="50"/>
  <c r="AX68" i="50"/>
  <c r="BZ68" i="50"/>
  <c r="BZ69" i="50"/>
  <c r="AL69" i="50"/>
  <c r="AL68" i="50"/>
  <c r="AK69" i="50"/>
  <c r="AK68" i="50"/>
  <c r="AQ68" i="50"/>
  <c r="AQ69" i="50"/>
  <c r="BN69" i="50"/>
  <c r="BN68" i="50"/>
  <c r="BM69" i="50"/>
  <c r="BM68" i="50"/>
  <c r="BS69" i="50"/>
  <c r="BS68" i="50"/>
  <c r="BH68" i="50"/>
  <c r="BH69" i="50"/>
  <c r="AR69" i="50"/>
  <c r="AR68" i="50"/>
  <c r="BT69" i="50"/>
  <c r="BT68" i="50"/>
  <c r="BD68" i="50"/>
  <c r="BD69" i="50"/>
  <c r="AW68" i="50"/>
  <c r="AW69" i="50"/>
  <c r="BB68" i="50"/>
  <c r="BB69" i="50"/>
  <c r="BY69" i="50"/>
  <c r="BY68" i="50"/>
  <c r="CD69" i="50"/>
  <c r="CD68" i="50"/>
  <c r="AO69" i="50"/>
  <c r="AO68" i="50"/>
  <c r="AS68" i="50"/>
  <c r="AS69" i="50"/>
  <c r="AJ68" i="50"/>
  <c r="AJ69" i="50"/>
  <c r="BQ69" i="50"/>
  <c r="BQ68" i="50"/>
  <c r="BU69" i="50"/>
  <c r="BU68" i="50"/>
  <c r="BL68" i="50"/>
  <c r="BL69" i="50"/>
  <c r="AY69" i="50"/>
  <c r="AY68" i="50"/>
  <c r="CA69" i="50"/>
  <c r="CA68" i="50"/>
  <c r="AP69" i="50"/>
  <c r="AP68" i="50"/>
  <c r="BV68" i="50"/>
  <c r="BV69" i="50"/>
  <c r="AZ69" i="50"/>
  <c r="AZ68" i="50"/>
  <c r="BA68" i="50"/>
  <c r="BA69" i="50"/>
  <c r="BF69" i="50"/>
  <c r="BF68" i="50"/>
  <c r="CB69" i="50"/>
  <c r="CB68" i="50"/>
  <c r="CC68" i="50"/>
  <c r="CC69" i="50"/>
  <c r="AT68" i="50"/>
  <c r="AT69" i="50"/>
  <c r="AI68" i="50"/>
  <c r="AI69" i="50"/>
  <c r="AN68" i="50"/>
  <c r="AN69" i="50"/>
  <c r="BR68" i="50"/>
  <c r="BR69" i="50"/>
  <c r="BK69" i="50"/>
  <c r="BK68" i="50"/>
  <c r="BP69" i="50"/>
  <c r="BP68" i="50"/>
  <c r="CD67" i="50"/>
  <c r="CD25" i="50"/>
  <c r="CD60" i="50"/>
  <c r="CD51" i="50"/>
  <c r="CD52" i="50"/>
  <c r="CD61" i="50"/>
  <c r="CD23" i="50"/>
  <c r="CD17" i="50"/>
  <c r="CD56" i="50"/>
  <c r="CD47" i="50"/>
  <c r="CD42" i="50"/>
  <c r="CD14" i="50"/>
  <c r="CD38" i="50"/>
  <c r="CD20" i="50"/>
  <c r="CD33" i="50"/>
  <c r="CD57" i="50"/>
  <c r="CD43" i="50"/>
  <c r="CD18" i="50"/>
  <c r="CD15" i="50"/>
  <c r="CD59" i="50"/>
  <c r="CD55" i="50"/>
  <c r="CD21" i="50"/>
  <c r="CD62" i="50"/>
  <c r="CD16" i="50"/>
  <c r="CD13" i="50"/>
  <c r="CD9" i="50"/>
  <c r="CD8" i="50"/>
  <c r="CD66" i="50"/>
  <c r="CD50" i="50"/>
  <c r="CD34" i="50"/>
  <c r="CD44" i="50"/>
  <c r="CD35" i="50"/>
  <c r="CD36" i="50"/>
  <c r="CD65" i="50"/>
  <c r="CD46" i="50"/>
  <c r="CD26" i="50"/>
  <c r="CD40" i="50"/>
  <c r="CD31" i="50"/>
  <c r="CD10" i="50"/>
  <c r="CD41" i="50"/>
  <c r="CD48" i="50"/>
  <c r="CD170" i="50" s="1"/>
  <c r="CD27" i="50"/>
  <c r="CD32" i="50"/>
  <c r="CD22" i="50"/>
  <c r="CD28" i="50"/>
  <c r="CD19" i="50"/>
  <c r="CD64" i="50"/>
  <c r="CD49" i="50"/>
  <c r="CD24" i="50"/>
  <c r="CD37" i="50"/>
  <c r="CD39" i="50"/>
  <c r="CD30" i="50"/>
  <c r="CD12" i="50"/>
  <c r="CD54" i="50"/>
  <c r="CD45" i="50"/>
  <c r="CD63" i="50"/>
  <c r="CD58" i="50"/>
  <c r="CD11" i="50"/>
  <c r="CD29" i="50"/>
  <c r="BG8" i="50"/>
  <c r="BG15" i="50"/>
  <c r="BG19" i="50"/>
  <c r="BG13" i="50"/>
  <c r="BG32" i="50"/>
  <c r="BG40" i="50"/>
  <c r="BG48" i="50"/>
  <c r="BG170" i="50" s="1"/>
  <c r="BG63" i="50"/>
  <c r="BG26" i="50"/>
  <c r="BG27" i="50"/>
  <c r="BG35" i="50"/>
  <c r="BG43" i="50"/>
  <c r="BG51" i="50"/>
  <c r="BG11" i="50"/>
  <c r="BG12" i="50"/>
  <c r="BG23" i="50"/>
  <c r="BG28" i="50"/>
  <c r="BG42" i="50"/>
  <c r="BG46" i="50"/>
  <c r="BG62" i="50"/>
  <c r="BG10" i="50"/>
  <c r="BG37" i="50"/>
  <c r="BG41" i="50"/>
  <c r="BG57" i="50"/>
  <c r="BG20" i="50"/>
  <c r="BG36" i="50"/>
  <c r="BG50" i="50"/>
  <c r="BG58" i="50"/>
  <c r="BG64" i="50"/>
  <c r="BG21" i="50"/>
  <c r="BG31" i="50"/>
  <c r="BG45" i="50"/>
  <c r="BG49" i="50"/>
  <c r="BG38" i="50"/>
  <c r="BG52" i="50"/>
  <c r="BG22" i="50"/>
  <c r="BG25" i="50"/>
  <c r="BG33" i="50"/>
  <c r="BG47" i="50"/>
  <c r="BG16" i="50"/>
  <c r="BG17" i="50"/>
  <c r="BG54" i="50"/>
  <c r="BG59" i="50"/>
  <c r="BG14" i="50"/>
  <c r="BG60" i="50"/>
  <c r="BG34" i="50"/>
  <c r="BG55" i="50"/>
  <c r="BG29" i="50"/>
  <c r="BG56" i="50"/>
  <c r="BG24" i="50"/>
  <c r="BG30" i="50"/>
  <c r="BG39" i="50"/>
  <c r="BG9" i="50"/>
  <c r="BG44" i="50"/>
  <c r="BG18" i="50"/>
  <c r="BG61" i="50"/>
  <c r="BG66" i="50"/>
  <c r="BG65" i="50"/>
  <c r="AX8" i="50"/>
  <c r="AX11" i="50"/>
  <c r="AX10" i="50"/>
  <c r="AX14" i="50"/>
  <c r="AX12" i="50"/>
  <c r="AX18" i="50"/>
  <c r="AX25" i="50"/>
  <c r="AX61" i="50"/>
  <c r="AX35" i="50"/>
  <c r="AX43" i="50"/>
  <c r="AX51" i="50"/>
  <c r="AX38" i="50"/>
  <c r="AX23" i="50"/>
  <c r="AX29" i="50"/>
  <c r="AX33" i="50"/>
  <c r="AX47" i="50"/>
  <c r="AX54" i="50"/>
  <c r="AX55" i="50"/>
  <c r="AX46" i="50"/>
  <c r="AX28" i="50"/>
  <c r="AX64" i="50"/>
  <c r="AX27" i="50"/>
  <c r="AX37" i="50"/>
  <c r="AX41" i="50"/>
  <c r="AX13" i="50"/>
  <c r="AX9" i="50"/>
  <c r="AX15" i="50"/>
  <c r="AX16" i="50"/>
  <c r="AX21" i="50"/>
  <c r="AX39" i="50"/>
  <c r="AX58" i="50"/>
  <c r="AX59" i="50"/>
  <c r="AX30" i="50"/>
  <c r="AX50" i="50"/>
  <c r="AX66" i="50"/>
  <c r="AX62" i="50"/>
  <c r="AX22" i="50"/>
  <c r="AX49" i="50"/>
  <c r="AX17" i="50"/>
  <c r="AX36" i="50"/>
  <c r="AX52" i="50"/>
  <c r="AX42" i="50"/>
  <c r="AX60" i="50"/>
  <c r="AX65" i="50"/>
  <c r="AX40" i="50"/>
  <c r="AX26" i="50"/>
  <c r="AX44" i="50"/>
  <c r="AX63" i="50"/>
  <c r="AX19" i="50"/>
  <c r="AX20" i="50"/>
  <c r="AX57" i="50"/>
  <c r="AX31" i="50"/>
  <c r="AX34" i="50"/>
  <c r="AX32" i="50"/>
  <c r="AX45" i="50"/>
  <c r="AX24" i="50"/>
  <c r="AX56" i="50"/>
  <c r="AX48" i="50"/>
  <c r="AX170" i="50" s="1"/>
  <c r="BZ31" i="50"/>
  <c r="BZ56" i="50"/>
  <c r="BZ20" i="50"/>
  <c r="BZ19" i="50"/>
  <c r="BZ41" i="50"/>
  <c r="BZ51" i="50"/>
  <c r="BZ18" i="50"/>
  <c r="BZ33" i="50"/>
  <c r="BZ58" i="50"/>
  <c r="BZ32" i="50"/>
  <c r="BZ14" i="50"/>
  <c r="BZ21" i="50"/>
  <c r="BZ52" i="50"/>
  <c r="BZ25" i="50"/>
  <c r="BZ47" i="50"/>
  <c r="BZ27" i="50"/>
  <c r="BZ16" i="50"/>
  <c r="BZ46" i="50"/>
  <c r="BZ28" i="50"/>
  <c r="BZ67" i="50"/>
  <c r="BZ10" i="50"/>
  <c r="BZ49" i="50"/>
  <c r="BZ8" i="50"/>
  <c r="BZ48" i="50"/>
  <c r="BZ170" i="50" s="1"/>
  <c r="BZ62" i="50"/>
  <c r="BZ24" i="50"/>
  <c r="BZ43" i="50"/>
  <c r="BZ23" i="50"/>
  <c r="BZ57" i="50"/>
  <c r="BZ63" i="50"/>
  <c r="BZ45" i="50"/>
  <c r="BZ29" i="50"/>
  <c r="BZ54" i="50"/>
  <c r="BZ39" i="50"/>
  <c r="BZ26" i="50"/>
  <c r="BZ59" i="50"/>
  <c r="BZ38" i="50"/>
  <c r="BZ40" i="50"/>
  <c r="BZ61" i="50"/>
  <c r="BZ35" i="50"/>
  <c r="BZ11" i="50"/>
  <c r="BZ55" i="50"/>
  <c r="BZ37" i="50"/>
  <c r="BZ36" i="50"/>
  <c r="BZ12" i="50"/>
  <c r="BZ15" i="50"/>
  <c r="BZ65" i="50"/>
  <c r="BZ34" i="50"/>
  <c r="BZ30" i="50"/>
  <c r="BZ17" i="50"/>
  <c r="BZ44" i="50"/>
  <c r="BZ66" i="50"/>
  <c r="BZ60" i="50"/>
  <c r="BZ9" i="50"/>
  <c r="BZ64" i="50"/>
  <c r="BZ22" i="50"/>
  <c r="BZ13" i="50"/>
  <c r="BZ42" i="50"/>
  <c r="BZ50" i="50"/>
  <c r="AK8" i="50"/>
  <c r="AK18" i="50"/>
  <c r="AK34" i="50"/>
  <c r="AK50" i="50"/>
  <c r="AK9" i="50"/>
  <c r="AK25" i="50"/>
  <c r="AK41" i="50"/>
  <c r="AK55" i="50"/>
  <c r="AK59" i="50"/>
  <c r="AK63" i="50"/>
  <c r="AK16" i="50"/>
  <c r="AK32" i="50"/>
  <c r="AK48" i="50"/>
  <c r="AK170" i="50" s="1"/>
  <c r="AK54" i="50"/>
  <c r="AK47" i="50"/>
  <c r="AK14" i="50"/>
  <c r="AK30" i="50"/>
  <c r="AK46" i="50"/>
  <c r="AK21" i="50"/>
  <c r="AK37" i="50"/>
  <c r="AK58" i="50"/>
  <c r="AK62" i="50"/>
  <c r="AK66" i="50"/>
  <c r="AK12" i="50"/>
  <c r="AK28" i="50"/>
  <c r="AK44" i="50"/>
  <c r="AK31" i="50"/>
  <c r="AK11" i="50"/>
  <c r="AK22" i="50"/>
  <c r="AK29" i="50"/>
  <c r="AK60" i="50"/>
  <c r="AK20" i="50"/>
  <c r="AK27" i="50"/>
  <c r="AK23" i="50"/>
  <c r="AK26" i="50"/>
  <c r="AK33" i="50"/>
  <c r="AK61" i="50"/>
  <c r="AK24" i="50"/>
  <c r="AK45" i="50"/>
  <c r="AK56" i="50"/>
  <c r="AK36" i="50"/>
  <c r="AK51" i="50"/>
  <c r="AK39" i="50"/>
  <c r="AK49" i="50"/>
  <c r="AK57" i="50"/>
  <c r="AK40" i="50"/>
  <c r="AK10" i="50"/>
  <c r="AK52" i="50"/>
  <c r="AK38" i="50"/>
  <c r="AK13" i="50"/>
  <c r="AK64" i="50"/>
  <c r="AK19" i="50"/>
  <c r="AK42" i="50"/>
  <c r="AK17" i="50"/>
  <c r="AK65" i="50"/>
  <c r="AK15" i="50"/>
  <c r="AK35" i="50"/>
  <c r="AK43" i="50"/>
  <c r="AF8" i="50"/>
  <c r="AF18" i="50"/>
  <c r="AF34" i="50"/>
  <c r="AF16" i="50"/>
  <c r="AF32" i="50"/>
  <c r="AF15" i="50"/>
  <c r="AF21" i="50"/>
  <c r="AF14" i="50"/>
  <c r="AF30" i="50"/>
  <c r="AF13" i="50"/>
  <c r="AF12" i="50"/>
  <c r="AF28" i="50"/>
  <c r="AF44" i="50"/>
  <c r="AF60" i="50"/>
  <c r="AF27" i="50"/>
  <c r="AF51" i="50"/>
  <c r="AF22" i="50"/>
  <c r="AF36" i="50"/>
  <c r="AF29" i="50"/>
  <c r="AF35" i="50"/>
  <c r="AF50" i="50"/>
  <c r="AF31" i="50"/>
  <c r="AF17" i="50"/>
  <c r="AF46" i="50"/>
  <c r="AF26" i="50"/>
  <c r="AF37" i="50"/>
  <c r="AF48" i="50"/>
  <c r="AF170" i="50" s="1"/>
  <c r="AF56" i="50"/>
  <c r="AF55" i="50"/>
  <c r="AF63" i="50"/>
  <c r="AF25" i="50"/>
  <c r="AF33" i="50"/>
  <c r="AF54" i="50"/>
  <c r="AF62" i="50"/>
  <c r="AF9" i="50"/>
  <c r="AF10" i="50"/>
  <c r="AF20" i="50"/>
  <c r="AF52" i="50"/>
  <c r="AF19" i="50"/>
  <c r="AF59" i="50"/>
  <c r="AF38" i="50"/>
  <c r="AF42" i="50"/>
  <c r="AF40" i="50"/>
  <c r="AF57" i="50"/>
  <c r="AF39" i="50"/>
  <c r="AF24" i="50"/>
  <c r="AF11" i="50"/>
  <c r="AF41" i="50"/>
  <c r="AF49" i="50"/>
  <c r="AF58" i="50"/>
  <c r="AF23" i="50"/>
  <c r="AF47" i="50"/>
  <c r="AF45" i="50"/>
  <c r="AF61" i="50"/>
  <c r="AF43" i="50"/>
  <c r="AC8" i="50"/>
  <c r="AC11" i="50"/>
  <c r="AC27" i="50"/>
  <c r="AC10" i="50"/>
  <c r="AC9" i="50"/>
  <c r="AC25" i="50"/>
  <c r="AC30" i="50"/>
  <c r="AC41" i="50"/>
  <c r="AC23" i="50"/>
  <c r="AC21" i="50"/>
  <c r="AC37" i="50"/>
  <c r="AC22" i="50"/>
  <c r="AC36" i="50"/>
  <c r="AC44" i="50"/>
  <c r="AC60" i="50"/>
  <c r="AC31" i="50"/>
  <c r="AC13" i="50"/>
  <c r="AC45" i="50"/>
  <c r="AC20" i="50"/>
  <c r="AC28" i="50"/>
  <c r="AC48" i="50"/>
  <c r="AC170" i="50" s="1"/>
  <c r="AC52" i="50"/>
  <c r="AC56" i="50"/>
  <c r="AC59" i="50"/>
  <c r="AC26" i="50"/>
  <c r="AC39" i="50"/>
  <c r="AC55" i="50"/>
  <c r="AC32" i="50"/>
  <c r="AC35" i="50"/>
  <c r="AC17" i="50"/>
  <c r="AC15" i="50"/>
  <c r="AC14" i="50"/>
  <c r="AC29" i="50"/>
  <c r="AC61" i="50"/>
  <c r="AC42" i="50"/>
  <c r="AC40" i="50"/>
  <c r="AC50" i="50"/>
  <c r="AC18" i="50"/>
  <c r="AC43" i="50"/>
  <c r="AC47" i="50"/>
  <c r="AC57" i="50"/>
  <c r="AC54" i="50"/>
  <c r="AC16" i="50"/>
  <c r="AC24" i="50"/>
  <c r="AC19" i="50"/>
  <c r="AC33" i="50"/>
  <c r="AC63" i="50"/>
  <c r="AC34" i="50"/>
  <c r="AC46" i="50"/>
  <c r="AC51" i="50"/>
  <c r="AC12" i="50"/>
  <c r="AC58" i="50"/>
  <c r="AC62" i="50"/>
  <c r="AC49" i="50"/>
  <c r="AC38" i="50"/>
  <c r="BM19" i="50"/>
  <c r="BM24" i="50"/>
  <c r="BM40" i="50"/>
  <c r="BM56" i="50"/>
  <c r="BM9" i="50"/>
  <c r="BM8" i="50"/>
  <c r="BM44" i="50"/>
  <c r="BM48" i="50"/>
  <c r="BM170" i="50" s="1"/>
  <c r="BM52" i="50"/>
  <c r="BM37" i="50"/>
  <c r="BM54" i="50"/>
  <c r="BM34" i="50"/>
  <c r="BM51" i="50"/>
  <c r="BM57" i="50"/>
  <c r="BM23" i="50"/>
  <c r="BM27" i="50"/>
  <c r="BM28" i="50"/>
  <c r="BM32" i="50"/>
  <c r="BM36" i="50"/>
  <c r="BM17" i="50"/>
  <c r="BM38" i="50"/>
  <c r="BM55" i="50"/>
  <c r="BM35" i="50"/>
  <c r="BM65" i="50"/>
  <c r="BM13" i="50"/>
  <c r="BM61" i="50"/>
  <c r="BM10" i="50"/>
  <c r="BM42" i="50"/>
  <c r="BM59" i="50"/>
  <c r="BM21" i="50"/>
  <c r="BM15" i="50"/>
  <c r="BM12" i="50"/>
  <c r="BM20" i="50"/>
  <c r="BM39" i="50"/>
  <c r="BM14" i="50"/>
  <c r="BM29" i="50"/>
  <c r="BM46" i="50"/>
  <c r="BM63" i="50"/>
  <c r="BM26" i="50"/>
  <c r="BM62" i="50"/>
  <c r="BM43" i="50"/>
  <c r="BM18" i="50"/>
  <c r="BM58" i="50"/>
  <c r="BM64" i="50"/>
  <c r="BM31" i="50"/>
  <c r="BM30" i="50"/>
  <c r="BM11" i="50"/>
  <c r="BM16" i="50"/>
  <c r="BM25" i="50"/>
  <c r="BM49" i="50"/>
  <c r="BM66" i="50"/>
  <c r="BM22" i="50"/>
  <c r="BM47" i="50"/>
  <c r="BM41" i="50"/>
  <c r="BM33" i="50"/>
  <c r="BM60" i="50"/>
  <c r="BM45" i="50"/>
  <c r="BM50" i="50"/>
  <c r="BD8" i="50"/>
  <c r="BD12" i="50"/>
  <c r="BD16" i="50"/>
  <c r="BD20" i="50"/>
  <c r="BD22" i="50"/>
  <c r="BD26" i="50"/>
  <c r="BD30" i="50"/>
  <c r="BD34" i="50"/>
  <c r="BD38" i="50"/>
  <c r="BD42" i="50"/>
  <c r="BD46" i="50"/>
  <c r="BD50" i="50"/>
  <c r="BD9" i="50"/>
  <c r="BD15" i="50"/>
  <c r="BD19" i="50"/>
  <c r="BD21" i="50"/>
  <c r="BD25" i="50"/>
  <c r="BD29" i="50"/>
  <c r="BD33" i="50"/>
  <c r="BD37" i="50"/>
  <c r="BD41" i="50"/>
  <c r="BD45" i="50"/>
  <c r="BD49" i="50"/>
  <c r="BD63" i="50"/>
  <c r="BD14" i="50"/>
  <c r="BD10" i="50"/>
  <c r="BD28" i="50"/>
  <c r="BD36" i="50"/>
  <c r="BD44" i="50"/>
  <c r="BD52" i="50"/>
  <c r="BD60" i="50"/>
  <c r="BD17" i="50"/>
  <c r="BD23" i="50"/>
  <c r="BD31" i="50"/>
  <c r="BD39" i="50"/>
  <c r="BD47" i="50"/>
  <c r="BD56" i="50"/>
  <c r="BD61" i="50"/>
  <c r="BD18" i="50"/>
  <c r="BD24" i="50"/>
  <c r="BD32" i="50"/>
  <c r="BD40" i="50"/>
  <c r="BD48" i="50"/>
  <c r="BD170" i="50" s="1"/>
  <c r="BD13" i="50"/>
  <c r="BD43" i="50"/>
  <c r="BD62" i="50"/>
  <c r="BD54" i="50"/>
  <c r="BD59" i="50"/>
  <c r="BD64" i="50"/>
  <c r="BD35" i="50"/>
  <c r="BD55" i="50"/>
  <c r="BD65" i="50"/>
  <c r="BD11" i="50"/>
  <c r="BD27" i="50"/>
  <c r="BD57" i="50"/>
  <c r="BD58" i="50"/>
  <c r="BD66" i="50"/>
  <c r="BD51" i="50"/>
  <c r="AW8" i="50"/>
  <c r="AW16" i="50"/>
  <c r="AW24" i="50"/>
  <c r="AW28" i="50"/>
  <c r="AW32" i="50"/>
  <c r="AW36" i="50"/>
  <c r="AW40" i="50"/>
  <c r="AW44" i="50"/>
  <c r="AW48" i="50"/>
  <c r="AW170" i="50" s="1"/>
  <c r="AW52" i="50"/>
  <c r="AW56" i="50"/>
  <c r="AW60" i="50"/>
  <c r="AW12" i="50"/>
  <c r="AW21" i="50"/>
  <c r="AW64" i="50"/>
  <c r="AW26" i="50"/>
  <c r="AW33" i="50"/>
  <c r="AW35" i="50"/>
  <c r="AW42" i="50"/>
  <c r="AW49" i="50"/>
  <c r="AW51" i="50"/>
  <c r="AW58" i="50"/>
  <c r="AW14" i="50"/>
  <c r="AW62" i="50"/>
  <c r="AW66" i="50"/>
  <c r="AW11" i="50"/>
  <c r="AW23" i="50"/>
  <c r="AW30" i="50"/>
  <c r="AW37" i="50"/>
  <c r="AW39" i="50"/>
  <c r="AW46" i="50"/>
  <c r="AW55" i="50"/>
  <c r="AW17" i="50"/>
  <c r="AW18" i="50"/>
  <c r="AW10" i="50"/>
  <c r="AW15" i="50"/>
  <c r="AW20" i="50"/>
  <c r="AW31" i="50"/>
  <c r="AW38" i="50"/>
  <c r="AW45" i="50"/>
  <c r="AW25" i="50"/>
  <c r="AW43" i="50"/>
  <c r="AW50" i="50"/>
  <c r="AW57" i="50"/>
  <c r="AW13" i="50"/>
  <c r="AW9" i="50"/>
  <c r="AW22" i="50"/>
  <c r="AW29" i="50"/>
  <c r="AW47" i="50"/>
  <c r="AW54" i="50"/>
  <c r="AW61" i="50"/>
  <c r="AW65" i="50"/>
  <c r="AW19" i="50"/>
  <c r="AW59" i="50"/>
  <c r="AW34" i="50"/>
  <c r="AW41" i="50"/>
  <c r="AW63" i="50"/>
  <c r="AW27" i="50"/>
  <c r="BB8" i="50"/>
  <c r="BB19" i="50"/>
  <c r="BB10" i="50"/>
  <c r="BB12" i="50"/>
  <c r="BB17" i="50"/>
  <c r="BB22" i="50"/>
  <c r="BB26" i="50"/>
  <c r="BB14" i="50"/>
  <c r="BB32" i="50"/>
  <c r="BB40" i="50"/>
  <c r="BB48" i="50"/>
  <c r="BB170" i="50" s="1"/>
  <c r="BB55" i="50"/>
  <c r="BB27" i="50"/>
  <c r="BB57" i="50"/>
  <c r="BB20" i="50"/>
  <c r="BB21" i="50"/>
  <c r="BB58" i="50"/>
  <c r="BB36" i="50"/>
  <c r="BB50" i="50"/>
  <c r="BB49" i="50"/>
  <c r="BB11" i="50"/>
  <c r="BB16" i="50"/>
  <c r="BB23" i="50"/>
  <c r="BB25" i="50"/>
  <c r="BB54" i="50"/>
  <c r="BB30" i="50"/>
  <c r="BB44" i="50"/>
  <c r="BB59" i="50"/>
  <c r="BB60" i="50"/>
  <c r="BB35" i="50"/>
  <c r="BB9" i="50"/>
  <c r="BB24" i="50"/>
  <c r="BB46" i="50"/>
  <c r="BB33" i="50"/>
  <c r="BB39" i="50"/>
  <c r="BB64" i="50"/>
  <c r="BB29" i="50"/>
  <c r="BB63" i="50"/>
  <c r="BB34" i="50"/>
  <c r="BB56" i="50"/>
  <c r="BB61" i="50"/>
  <c r="BB31" i="50"/>
  <c r="BB66" i="50"/>
  <c r="BB15" i="50"/>
  <c r="BB13" i="50"/>
  <c r="BB28" i="50"/>
  <c r="BB42" i="50"/>
  <c r="BB18" i="50"/>
  <c r="BB43" i="50"/>
  <c r="BB52" i="50"/>
  <c r="BB51" i="50"/>
  <c r="BB47" i="50"/>
  <c r="BB37" i="50"/>
  <c r="BB62" i="50"/>
  <c r="BB65" i="50"/>
  <c r="BB45" i="50"/>
  <c r="BB38" i="50"/>
  <c r="BB41" i="50"/>
  <c r="BY9" i="50"/>
  <c r="BY25" i="50"/>
  <c r="BY41" i="50"/>
  <c r="BY61" i="50"/>
  <c r="BY34" i="50"/>
  <c r="BY66" i="50"/>
  <c r="BY23" i="50"/>
  <c r="BY13" i="50"/>
  <c r="BY29" i="50"/>
  <c r="BY45" i="50"/>
  <c r="BY10" i="50"/>
  <c r="BY42" i="50"/>
  <c r="BY11" i="50"/>
  <c r="BY27" i="50"/>
  <c r="BY43" i="50"/>
  <c r="BY59" i="50"/>
  <c r="BY16" i="50"/>
  <c r="BY32" i="50"/>
  <c r="BY48" i="50"/>
  <c r="BY170" i="50" s="1"/>
  <c r="BY64" i="50"/>
  <c r="BY14" i="50"/>
  <c r="BY46" i="50"/>
  <c r="BY33" i="50"/>
  <c r="BY18" i="50"/>
  <c r="BY15" i="50"/>
  <c r="BY39" i="50"/>
  <c r="BY63" i="50"/>
  <c r="BY24" i="50"/>
  <c r="BY44" i="50"/>
  <c r="BY8" i="50"/>
  <c r="BY30" i="50"/>
  <c r="BY37" i="50"/>
  <c r="BY26" i="50"/>
  <c r="BY19" i="50"/>
  <c r="BY47" i="50"/>
  <c r="BY67" i="50"/>
  <c r="BY28" i="50"/>
  <c r="BY52" i="50"/>
  <c r="BY57" i="50"/>
  <c r="BY38" i="50"/>
  <c r="BY17" i="50"/>
  <c r="BY50" i="50"/>
  <c r="BY51" i="50"/>
  <c r="BY36" i="50"/>
  <c r="BY65" i="50"/>
  <c r="BY49" i="50"/>
  <c r="BY35" i="50"/>
  <c r="BY40" i="50"/>
  <c r="BY54" i="50"/>
  <c r="BY55" i="50"/>
  <c r="BY56" i="50"/>
  <c r="BY62" i="50"/>
  <c r="BY58" i="50"/>
  <c r="BY60" i="50"/>
  <c r="BY31" i="50"/>
  <c r="BY22" i="50"/>
  <c r="BY12" i="50"/>
  <c r="BY21" i="50"/>
  <c r="BY20" i="50"/>
  <c r="AO8" i="50"/>
  <c r="AO23" i="50"/>
  <c r="AO39" i="50"/>
  <c r="AO14" i="50"/>
  <c r="AO30" i="50"/>
  <c r="AO46" i="50"/>
  <c r="AO56" i="50"/>
  <c r="AO60" i="50"/>
  <c r="AO64" i="50"/>
  <c r="AO21" i="50"/>
  <c r="AO37" i="50"/>
  <c r="AO19" i="50"/>
  <c r="AO35" i="50"/>
  <c r="AO51" i="50"/>
  <c r="AO10" i="50"/>
  <c r="AO26" i="50"/>
  <c r="AO42" i="50"/>
  <c r="AO55" i="50"/>
  <c r="AO59" i="50"/>
  <c r="AO63" i="50"/>
  <c r="AO17" i="50"/>
  <c r="AO33" i="50"/>
  <c r="AO49" i="50"/>
  <c r="AO32" i="50"/>
  <c r="AO52" i="50"/>
  <c r="AO11" i="50"/>
  <c r="AO43" i="50"/>
  <c r="AO18" i="50"/>
  <c r="AO50" i="50"/>
  <c r="AO57" i="50"/>
  <c r="AO65" i="50"/>
  <c r="AO9" i="50"/>
  <c r="AO41" i="50"/>
  <c r="AO20" i="50"/>
  <c r="AO44" i="50"/>
  <c r="AO15" i="50"/>
  <c r="AO47" i="50"/>
  <c r="AO22" i="50"/>
  <c r="AO58" i="50"/>
  <c r="AO66" i="50"/>
  <c r="AO13" i="50"/>
  <c r="AO45" i="50"/>
  <c r="AO36" i="50"/>
  <c r="AO27" i="50"/>
  <c r="AO61" i="50"/>
  <c r="AO12" i="50"/>
  <c r="AO62" i="50"/>
  <c r="AO31" i="50"/>
  <c r="AO34" i="50"/>
  <c r="AO25" i="50"/>
  <c r="AO16" i="50"/>
  <c r="AO48" i="50"/>
  <c r="AO170" i="50" s="1"/>
  <c r="AO28" i="50"/>
  <c r="AO38" i="50"/>
  <c r="AO54" i="50"/>
  <c r="AO29" i="50"/>
  <c r="AO24" i="50"/>
  <c r="AO40" i="50"/>
  <c r="AS8" i="50"/>
  <c r="AS12" i="50"/>
  <c r="AS28" i="50"/>
  <c r="AS44" i="50"/>
  <c r="AS19" i="50"/>
  <c r="AS35" i="50"/>
  <c r="AS57" i="50"/>
  <c r="AS61" i="50"/>
  <c r="AS65" i="50"/>
  <c r="AS10" i="50"/>
  <c r="AS26" i="50"/>
  <c r="AS42" i="50"/>
  <c r="AS25" i="50"/>
  <c r="AS24" i="50"/>
  <c r="AS40" i="50"/>
  <c r="AS15" i="50"/>
  <c r="AS31" i="50"/>
  <c r="AS47" i="50"/>
  <c r="AS56" i="50"/>
  <c r="AS60" i="50"/>
  <c r="AS64" i="50"/>
  <c r="AS22" i="50"/>
  <c r="AS38" i="50"/>
  <c r="AS52" i="50"/>
  <c r="AS9" i="50"/>
  <c r="AS32" i="50"/>
  <c r="AS39" i="50"/>
  <c r="AS54" i="50"/>
  <c r="AS62" i="50"/>
  <c r="AS30" i="50"/>
  <c r="AS51" i="50"/>
  <c r="AS29" i="50"/>
  <c r="AS45" i="50"/>
  <c r="AS36" i="50"/>
  <c r="AS11" i="50"/>
  <c r="AS43" i="50"/>
  <c r="AS55" i="50"/>
  <c r="AS63" i="50"/>
  <c r="AS34" i="50"/>
  <c r="AS48" i="50"/>
  <c r="AS170" i="50" s="1"/>
  <c r="AS23" i="50"/>
  <c r="AS66" i="50"/>
  <c r="AS14" i="50"/>
  <c r="AS41" i="50"/>
  <c r="AS37" i="50"/>
  <c r="AS27" i="50"/>
  <c r="AS18" i="50"/>
  <c r="AS16" i="50"/>
  <c r="AS58" i="50"/>
  <c r="AS46" i="50"/>
  <c r="AS20" i="50"/>
  <c r="AS59" i="50"/>
  <c r="AS50" i="50"/>
  <c r="AS21" i="50"/>
  <c r="AS17" i="50"/>
  <c r="AS33" i="50"/>
  <c r="AS49" i="50"/>
  <c r="AS13" i="50"/>
  <c r="AJ8" i="50"/>
  <c r="AJ12" i="50"/>
  <c r="AJ16" i="50"/>
  <c r="AJ20" i="50"/>
  <c r="AJ24" i="50"/>
  <c r="AJ28" i="50"/>
  <c r="AJ32" i="50"/>
  <c r="AJ36" i="50"/>
  <c r="AJ40" i="50"/>
  <c r="AJ44" i="50"/>
  <c r="AJ48" i="50"/>
  <c r="AJ170" i="50" s="1"/>
  <c r="AJ56" i="50"/>
  <c r="AJ60" i="50"/>
  <c r="AJ64" i="50"/>
  <c r="AJ11" i="50"/>
  <c r="AJ15" i="50"/>
  <c r="AJ19" i="50"/>
  <c r="AJ23" i="50"/>
  <c r="AJ27" i="50"/>
  <c r="AJ31" i="50"/>
  <c r="AJ35" i="50"/>
  <c r="AJ39" i="50"/>
  <c r="AJ43" i="50"/>
  <c r="AJ47" i="50"/>
  <c r="AJ51" i="50"/>
  <c r="AJ55" i="50"/>
  <c r="AJ59" i="50"/>
  <c r="AJ63" i="50"/>
  <c r="AJ54" i="50"/>
  <c r="AJ52" i="50"/>
  <c r="AJ9" i="50"/>
  <c r="AJ17" i="50"/>
  <c r="AJ25" i="50"/>
  <c r="AJ33" i="50"/>
  <c r="AJ41" i="50"/>
  <c r="AJ49" i="50"/>
  <c r="AJ61" i="50"/>
  <c r="AJ10" i="50"/>
  <c r="AJ18" i="50"/>
  <c r="AJ26" i="50"/>
  <c r="AJ34" i="50"/>
  <c r="AJ42" i="50"/>
  <c r="AJ50" i="50"/>
  <c r="AJ62" i="50"/>
  <c r="AJ21" i="50"/>
  <c r="AJ37" i="50"/>
  <c r="AJ57" i="50"/>
  <c r="AJ22" i="50"/>
  <c r="AJ38" i="50"/>
  <c r="AJ58" i="50"/>
  <c r="AJ13" i="50"/>
  <c r="AJ29" i="50"/>
  <c r="AJ45" i="50"/>
  <c r="AJ65" i="50"/>
  <c r="AJ14" i="50"/>
  <c r="AJ30" i="50"/>
  <c r="AJ46" i="50"/>
  <c r="AJ66" i="50"/>
  <c r="AB8" i="50"/>
  <c r="AB14" i="50"/>
  <c r="AB30" i="50"/>
  <c r="AB13" i="50"/>
  <c r="AB12" i="50"/>
  <c r="AB28" i="50"/>
  <c r="AB33" i="50"/>
  <c r="AB44" i="50"/>
  <c r="AB10" i="50"/>
  <c r="AB26" i="50"/>
  <c r="AB9" i="50"/>
  <c r="AB24" i="50"/>
  <c r="AB11" i="50"/>
  <c r="AB25" i="50"/>
  <c r="AB40" i="50"/>
  <c r="AB56" i="50"/>
  <c r="AB47" i="50"/>
  <c r="AB63" i="50"/>
  <c r="AB34" i="50"/>
  <c r="AB16" i="50"/>
  <c r="AB48" i="50"/>
  <c r="AB170" i="50" s="1"/>
  <c r="AB52" i="50"/>
  <c r="AB62" i="50"/>
  <c r="AB19" i="50"/>
  <c r="AB61" i="50"/>
  <c r="AB29" i="50"/>
  <c r="AB42" i="50"/>
  <c r="AB58" i="50"/>
  <c r="AB15" i="50"/>
  <c r="AB20" i="50"/>
  <c r="AB43" i="50"/>
  <c r="AB46" i="50"/>
  <c r="AB54" i="50"/>
  <c r="AB37" i="50"/>
  <c r="AB22" i="50"/>
  <c r="AB18" i="50"/>
  <c r="AB32" i="50"/>
  <c r="AB17" i="50"/>
  <c r="AB60" i="50"/>
  <c r="AB39" i="50"/>
  <c r="AB41" i="50"/>
  <c r="AB31" i="50"/>
  <c r="AB55" i="50"/>
  <c r="AB27" i="50"/>
  <c r="AB21" i="50"/>
  <c r="AB57" i="50"/>
  <c r="AB51" i="50"/>
  <c r="AB38" i="50"/>
  <c r="AB36" i="50"/>
  <c r="AB45" i="50"/>
  <c r="AB23" i="50"/>
  <c r="AB35" i="50"/>
  <c r="AB49" i="50"/>
  <c r="AB50" i="50"/>
  <c r="AB59" i="50"/>
  <c r="AA8" i="50"/>
  <c r="AA17" i="50"/>
  <c r="AA33" i="50"/>
  <c r="AA15" i="50"/>
  <c r="AA31" i="50"/>
  <c r="AA36" i="50"/>
  <c r="AA47" i="50"/>
  <c r="AA13" i="50"/>
  <c r="AA29" i="50"/>
  <c r="AA12" i="50"/>
  <c r="AA11" i="50"/>
  <c r="AA27" i="50"/>
  <c r="AA28" i="50"/>
  <c r="AA43" i="50"/>
  <c r="AA59" i="50"/>
  <c r="AA52" i="50"/>
  <c r="AA10" i="50"/>
  <c r="AA50" i="50"/>
  <c r="AA37" i="50"/>
  <c r="AA19" i="50"/>
  <c r="AA54" i="50"/>
  <c r="AA58" i="50"/>
  <c r="AA62" i="50"/>
  <c r="AA48" i="50"/>
  <c r="AA170" i="50" s="1"/>
  <c r="AA32" i="50"/>
  <c r="AA61" i="50"/>
  <c r="AA56" i="50"/>
  <c r="AA9" i="50"/>
  <c r="AA23" i="50"/>
  <c r="AA21" i="50"/>
  <c r="AA35" i="50"/>
  <c r="AA51" i="50"/>
  <c r="AA44" i="50"/>
  <c r="AA39" i="50"/>
  <c r="AA55" i="50"/>
  <c r="AA40" i="50"/>
  <c r="AA16" i="50"/>
  <c r="AA24" i="50"/>
  <c r="AA45" i="50"/>
  <c r="AA25" i="50"/>
  <c r="AA20" i="50"/>
  <c r="AA63" i="50"/>
  <c r="AA26" i="50"/>
  <c r="AA42" i="50"/>
  <c r="AA14" i="50"/>
  <c r="AA34" i="50"/>
  <c r="AA49" i="50"/>
  <c r="AA57" i="50"/>
  <c r="AA41" i="50"/>
  <c r="AA22" i="50"/>
  <c r="AA18" i="50"/>
  <c r="AA38" i="50"/>
  <c r="AA46" i="50"/>
  <c r="AA30" i="50"/>
  <c r="AA60" i="50"/>
  <c r="V8" i="50"/>
  <c r="V16" i="50"/>
  <c r="V32" i="50"/>
  <c r="V15" i="50"/>
  <c r="V14" i="50"/>
  <c r="V30" i="50"/>
  <c r="V19" i="50"/>
  <c r="V46" i="50"/>
  <c r="V12" i="50"/>
  <c r="V28" i="50"/>
  <c r="V11" i="50"/>
  <c r="V10" i="50"/>
  <c r="V26" i="50"/>
  <c r="V42" i="50"/>
  <c r="V58" i="50"/>
  <c r="V25" i="50"/>
  <c r="V49" i="50"/>
  <c r="V20" i="50"/>
  <c r="V34" i="50"/>
  <c r="V62" i="50"/>
  <c r="V9" i="50"/>
  <c r="V17" i="50"/>
  <c r="V41" i="50"/>
  <c r="V45" i="50"/>
  <c r="V48" i="50"/>
  <c r="V170" i="50" s="1"/>
  <c r="V39" i="50"/>
  <c r="V44" i="50"/>
  <c r="V21" i="50"/>
  <c r="V24" i="50"/>
  <c r="V38" i="50"/>
  <c r="V18" i="50"/>
  <c r="V13" i="50"/>
  <c r="V54" i="50"/>
  <c r="V59" i="50"/>
  <c r="V33" i="50"/>
  <c r="V29" i="50"/>
  <c r="V63" i="50"/>
  <c r="V40" i="50"/>
  <c r="V37" i="50"/>
  <c r="V43" i="50"/>
  <c r="V36" i="50"/>
  <c r="V50" i="50"/>
  <c r="V47" i="50"/>
  <c r="V56" i="50"/>
  <c r="V22" i="50"/>
  <c r="V27" i="50"/>
  <c r="V35" i="50"/>
  <c r="V61" i="50"/>
  <c r="V55" i="50"/>
  <c r="V52" i="50"/>
  <c r="V57" i="50"/>
  <c r="V23" i="50"/>
  <c r="V31" i="50"/>
  <c r="V60" i="50"/>
  <c r="V51" i="50"/>
  <c r="BQ67" i="50"/>
  <c r="BQ33" i="50"/>
  <c r="BQ17" i="50"/>
  <c r="BQ9" i="50"/>
  <c r="BQ20" i="50"/>
  <c r="BQ43" i="50"/>
  <c r="BQ34" i="50"/>
  <c r="BQ18" i="50"/>
  <c r="BQ62" i="50"/>
  <c r="BQ24" i="50"/>
  <c r="BQ44" i="50"/>
  <c r="BQ35" i="50"/>
  <c r="BQ19" i="50"/>
  <c r="BQ49" i="50"/>
  <c r="BQ63" i="50"/>
  <c r="BQ37" i="50"/>
  <c r="BQ25" i="50"/>
  <c r="BQ40" i="50"/>
  <c r="BQ47" i="50"/>
  <c r="BQ42" i="50"/>
  <c r="BQ10" i="50"/>
  <c r="BQ57" i="50"/>
  <c r="BQ52" i="50"/>
  <c r="BQ15" i="50"/>
  <c r="BQ36" i="50"/>
  <c r="BQ8" i="50"/>
  <c r="BQ59" i="50"/>
  <c r="BQ41" i="50"/>
  <c r="BQ66" i="50"/>
  <c r="BQ64" i="50"/>
  <c r="BQ14" i="50"/>
  <c r="BQ32" i="50"/>
  <c r="BQ48" i="50"/>
  <c r="BQ170" i="50" s="1"/>
  <c r="BQ23" i="50"/>
  <c r="BQ28" i="50"/>
  <c r="BQ46" i="50"/>
  <c r="BQ13" i="50"/>
  <c r="BQ51" i="50"/>
  <c r="BQ22" i="50"/>
  <c r="BQ12" i="50"/>
  <c r="BQ31" i="50"/>
  <c r="BQ27" i="50"/>
  <c r="BQ50" i="50"/>
  <c r="BQ56" i="50"/>
  <c r="BQ26" i="50"/>
  <c r="BQ39" i="50"/>
  <c r="BQ54" i="50"/>
  <c r="BQ60" i="50"/>
  <c r="BQ45" i="50"/>
  <c r="BQ11" i="50"/>
  <c r="BQ21" i="50"/>
  <c r="BQ30" i="50"/>
  <c r="BQ61" i="50"/>
  <c r="BQ58" i="50"/>
  <c r="BQ65" i="50"/>
  <c r="BQ55" i="50"/>
  <c r="BQ16" i="50"/>
  <c r="BQ29" i="50"/>
  <c r="BQ38" i="50"/>
  <c r="BU58" i="50"/>
  <c r="BU13" i="50"/>
  <c r="BU64" i="50"/>
  <c r="BU51" i="50"/>
  <c r="BU15" i="50"/>
  <c r="BU21" i="50"/>
  <c r="BU66" i="50"/>
  <c r="BU14" i="50"/>
  <c r="BU44" i="50"/>
  <c r="BU23" i="50"/>
  <c r="BU67" i="50"/>
  <c r="BU26" i="50"/>
  <c r="BU32" i="50"/>
  <c r="BU31" i="50"/>
  <c r="BU36" i="50"/>
  <c r="BU45" i="50"/>
  <c r="BU60" i="50"/>
  <c r="BU38" i="50"/>
  <c r="BU50" i="50"/>
  <c r="BU56" i="50"/>
  <c r="BU43" i="50"/>
  <c r="BU29" i="50"/>
  <c r="BU20" i="50"/>
  <c r="BU49" i="50"/>
  <c r="BU16" i="50"/>
  <c r="BU57" i="50"/>
  <c r="BU10" i="50"/>
  <c r="BU28" i="50"/>
  <c r="BU65" i="50"/>
  <c r="BU8" i="50"/>
  <c r="BU27" i="50"/>
  <c r="BU63" i="50"/>
  <c r="BU41" i="50"/>
  <c r="BU19" i="50"/>
  <c r="BU46" i="50"/>
  <c r="BU12" i="50"/>
  <c r="BU61" i="50"/>
  <c r="BU59" i="50"/>
  <c r="BU52" i="50"/>
  <c r="BU17" i="50"/>
  <c r="BU30" i="50"/>
  <c r="BU62" i="50"/>
  <c r="BU47" i="50"/>
  <c r="BU25" i="50"/>
  <c r="BU11" i="50"/>
  <c r="BU39" i="50"/>
  <c r="BU48" i="50"/>
  <c r="BU170" i="50" s="1"/>
  <c r="BU33" i="50"/>
  <c r="BU40" i="50"/>
  <c r="BU35" i="50"/>
  <c r="BU9" i="50"/>
  <c r="BU24" i="50"/>
  <c r="BU18" i="50"/>
  <c r="BU34" i="50"/>
  <c r="BU54" i="50"/>
  <c r="BU42" i="50"/>
  <c r="BU37" i="50"/>
  <c r="BU22" i="50"/>
  <c r="BU55" i="50"/>
  <c r="BL16" i="50"/>
  <c r="BL21" i="50"/>
  <c r="BL37" i="50"/>
  <c r="BL57" i="50"/>
  <c r="BL61" i="50"/>
  <c r="BL65" i="50"/>
  <c r="BL14" i="50"/>
  <c r="BL22" i="50"/>
  <c r="BL50" i="50"/>
  <c r="BL11" i="50"/>
  <c r="BL30" i="50"/>
  <c r="BL47" i="50"/>
  <c r="BL64" i="50"/>
  <c r="BL10" i="50"/>
  <c r="BL42" i="50"/>
  <c r="BL59" i="50"/>
  <c r="BL40" i="50"/>
  <c r="BL41" i="50"/>
  <c r="BL45" i="50"/>
  <c r="BL49" i="50"/>
  <c r="BL34" i="50"/>
  <c r="BL51" i="50"/>
  <c r="BL19" i="50"/>
  <c r="BL31" i="50"/>
  <c r="BL48" i="50"/>
  <c r="BL170" i="50" s="1"/>
  <c r="BL26" i="50"/>
  <c r="BL44" i="50"/>
  <c r="BL23" i="50"/>
  <c r="BL58" i="50"/>
  <c r="BL15" i="50"/>
  <c r="BL54" i="50"/>
  <c r="BL24" i="50"/>
  <c r="BL29" i="50"/>
  <c r="BL27" i="50"/>
  <c r="BL62" i="50"/>
  <c r="BL13" i="50"/>
  <c r="BL66" i="50"/>
  <c r="BL46" i="50"/>
  <c r="BL63" i="50"/>
  <c r="BL43" i="50"/>
  <c r="BL39" i="50"/>
  <c r="BL8" i="50"/>
  <c r="BL20" i="50"/>
  <c r="BL28" i="50"/>
  <c r="BL25" i="50"/>
  <c r="BL33" i="50"/>
  <c r="BL35" i="50"/>
  <c r="BL52" i="50"/>
  <c r="BL32" i="50"/>
  <c r="BL56" i="50"/>
  <c r="BL9" i="50"/>
  <c r="BL38" i="50"/>
  <c r="BL17" i="50"/>
  <c r="BL55" i="50"/>
  <c r="BL60" i="50"/>
  <c r="BL12" i="50"/>
  <c r="BL18" i="50"/>
  <c r="BL36" i="50"/>
  <c r="BC14" i="50"/>
  <c r="BC9" i="50"/>
  <c r="BC19" i="50"/>
  <c r="BC22" i="50"/>
  <c r="BC27" i="50"/>
  <c r="BC35" i="50"/>
  <c r="BC43" i="50"/>
  <c r="BC51" i="50"/>
  <c r="BC57" i="50"/>
  <c r="BC62" i="50"/>
  <c r="BC21" i="50"/>
  <c r="BC30" i="50"/>
  <c r="BC38" i="50"/>
  <c r="BC46" i="50"/>
  <c r="BC59" i="50"/>
  <c r="BC15" i="50"/>
  <c r="BC11" i="50"/>
  <c r="BC16" i="50"/>
  <c r="BC39" i="50"/>
  <c r="BC64" i="50"/>
  <c r="BC58" i="50"/>
  <c r="BC34" i="50"/>
  <c r="BC48" i="50"/>
  <c r="BC170" i="50" s="1"/>
  <c r="BC52" i="50"/>
  <c r="BC12" i="50"/>
  <c r="BC17" i="50"/>
  <c r="BC29" i="50"/>
  <c r="BC33" i="50"/>
  <c r="BC47" i="50"/>
  <c r="BC61" i="50"/>
  <c r="BC25" i="50"/>
  <c r="BC54" i="50"/>
  <c r="BC28" i="50"/>
  <c r="BC42" i="50"/>
  <c r="BC55" i="50"/>
  <c r="BC18" i="50"/>
  <c r="BC8" i="50"/>
  <c r="BC20" i="50"/>
  <c r="BC31" i="50"/>
  <c r="BC45" i="50"/>
  <c r="BC40" i="50"/>
  <c r="BC26" i="50"/>
  <c r="BC41" i="50"/>
  <c r="BC63" i="50"/>
  <c r="BC36" i="50"/>
  <c r="BC50" i="50"/>
  <c r="BC13" i="50"/>
  <c r="BC60" i="50"/>
  <c r="BC65" i="50"/>
  <c r="BC49" i="50"/>
  <c r="BC44" i="50"/>
  <c r="BC10" i="50"/>
  <c r="BC24" i="50"/>
  <c r="BC66" i="50"/>
  <c r="BC32" i="50"/>
  <c r="BC23" i="50"/>
  <c r="BC37" i="50"/>
  <c r="BC56" i="50"/>
  <c r="AL8" i="50"/>
  <c r="AL9" i="50"/>
  <c r="AL13" i="50"/>
  <c r="AL17" i="50"/>
  <c r="AL21" i="50"/>
  <c r="AL25" i="50"/>
  <c r="AL29" i="50"/>
  <c r="AL33" i="50"/>
  <c r="AL37" i="50"/>
  <c r="AL14" i="50"/>
  <c r="AL16" i="50"/>
  <c r="AL23" i="50"/>
  <c r="AL30" i="50"/>
  <c r="AL32" i="50"/>
  <c r="AL39" i="50"/>
  <c r="AL42" i="50"/>
  <c r="AL46" i="50"/>
  <c r="AL50" i="50"/>
  <c r="AL54" i="50"/>
  <c r="AL28" i="50"/>
  <c r="AL35" i="50"/>
  <c r="AL40" i="50"/>
  <c r="AL47" i="50"/>
  <c r="AL49" i="50"/>
  <c r="AL58" i="50"/>
  <c r="AL62" i="50"/>
  <c r="AL66" i="50"/>
  <c r="AL12" i="50"/>
  <c r="AL19" i="50"/>
  <c r="AL24" i="50"/>
  <c r="AL26" i="50"/>
  <c r="AL31" i="50"/>
  <c r="AL36" i="50"/>
  <c r="AL38" i="50"/>
  <c r="AL44" i="50"/>
  <c r="AL51" i="50"/>
  <c r="AL57" i="50"/>
  <c r="AL61" i="50"/>
  <c r="AL65" i="50"/>
  <c r="AL10" i="50"/>
  <c r="AL15" i="50"/>
  <c r="AL20" i="50"/>
  <c r="AL22" i="50"/>
  <c r="AL27" i="50"/>
  <c r="AL34" i="50"/>
  <c r="AL43" i="50"/>
  <c r="AL55" i="50"/>
  <c r="AL63" i="50"/>
  <c r="AL41" i="50"/>
  <c r="AL48" i="50"/>
  <c r="AL170" i="50" s="1"/>
  <c r="AL56" i="50"/>
  <c r="AL64" i="50"/>
  <c r="AL59" i="50"/>
  <c r="AL11" i="50"/>
  <c r="AL18" i="50"/>
  <c r="AL45" i="50"/>
  <c r="AL52" i="50"/>
  <c r="AL60" i="50"/>
  <c r="AQ8" i="50"/>
  <c r="AQ10" i="50"/>
  <c r="AQ14" i="50"/>
  <c r="AQ18" i="50"/>
  <c r="AQ22" i="50"/>
  <c r="AQ26" i="50"/>
  <c r="AQ30" i="50"/>
  <c r="AQ12" i="50"/>
  <c r="AQ19" i="50"/>
  <c r="AQ21" i="50"/>
  <c r="AQ28" i="50"/>
  <c r="AQ33" i="50"/>
  <c r="AQ37" i="50"/>
  <c r="AQ41" i="50"/>
  <c r="AQ45" i="50"/>
  <c r="AQ49" i="50"/>
  <c r="AQ56" i="50"/>
  <c r="AQ9" i="50"/>
  <c r="AQ16" i="50"/>
  <c r="AQ23" i="50"/>
  <c r="AQ25" i="50"/>
  <c r="AQ32" i="50"/>
  <c r="AQ36" i="50"/>
  <c r="AQ40" i="50"/>
  <c r="AQ44" i="50"/>
  <c r="AQ48" i="50"/>
  <c r="AQ170" i="50" s="1"/>
  <c r="AQ63" i="50"/>
  <c r="AQ17" i="50"/>
  <c r="AQ24" i="50"/>
  <c r="AQ31" i="50"/>
  <c r="AQ34" i="50"/>
  <c r="AQ42" i="50"/>
  <c r="AQ50" i="50"/>
  <c r="AQ52" i="50"/>
  <c r="AQ57" i="50"/>
  <c r="AQ66" i="50"/>
  <c r="AQ61" i="50"/>
  <c r="AQ11" i="50"/>
  <c r="AQ29" i="50"/>
  <c r="AQ35" i="50"/>
  <c r="AQ43" i="50"/>
  <c r="AQ51" i="50"/>
  <c r="AQ15" i="50"/>
  <c r="AQ46" i="50"/>
  <c r="AQ65" i="50"/>
  <c r="AQ47" i="50"/>
  <c r="AQ38" i="50"/>
  <c r="AQ60" i="50"/>
  <c r="AQ13" i="50"/>
  <c r="AQ20" i="50"/>
  <c r="AQ27" i="50"/>
  <c r="AQ39" i="50"/>
  <c r="AQ64" i="50"/>
  <c r="AQ55" i="50"/>
  <c r="AQ54" i="50"/>
  <c r="AQ58" i="50"/>
  <c r="AQ62" i="50"/>
  <c r="AQ59" i="50"/>
  <c r="W8" i="50"/>
  <c r="W13" i="50"/>
  <c r="W29" i="50"/>
  <c r="W12" i="50"/>
  <c r="W11" i="50"/>
  <c r="W27" i="50"/>
  <c r="W10" i="50"/>
  <c r="W43" i="50"/>
  <c r="W9" i="50"/>
  <c r="W25" i="50"/>
  <c r="W23" i="50"/>
  <c r="W39" i="50"/>
  <c r="W55" i="50"/>
  <c r="W48" i="50"/>
  <c r="W170" i="50" s="1"/>
  <c r="W22" i="50"/>
  <c r="W46" i="50"/>
  <c r="W62" i="50"/>
  <c r="W17" i="50"/>
  <c r="W16" i="50"/>
  <c r="W31" i="50"/>
  <c r="W24" i="50"/>
  <c r="W45" i="50"/>
  <c r="W26" i="50"/>
  <c r="W41" i="50"/>
  <c r="W44" i="50"/>
  <c r="W52" i="50"/>
  <c r="W21" i="50"/>
  <c r="W35" i="50"/>
  <c r="W33" i="50"/>
  <c r="W59" i="50"/>
  <c r="W34" i="50"/>
  <c r="W38" i="50"/>
  <c r="W56" i="50"/>
  <c r="W15" i="50"/>
  <c r="W47" i="50"/>
  <c r="W63" i="50"/>
  <c r="W30" i="50"/>
  <c r="W42" i="50"/>
  <c r="W20" i="50"/>
  <c r="W28" i="50"/>
  <c r="W36" i="50"/>
  <c r="W49" i="50"/>
  <c r="W37" i="50"/>
  <c r="W51" i="50"/>
  <c r="W60" i="50"/>
  <c r="W50" i="50"/>
  <c r="W14" i="50"/>
  <c r="W54" i="50"/>
  <c r="W32" i="50"/>
  <c r="W58" i="50"/>
  <c r="W61" i="50"/>
  <c r="W18" i="50"/>
  <c r="W19" i="50"/>
  <c r="W40" i="50"/>
  <c r="W57" i="50"/>
  <c r="BN22" i="50"/>
  <c r="BN11" i="50"/>
  <c r="BN27" i="50"/>
  <c r="BN43" i="50"/>
  <c r="BN59" i="50"/>
  <c r="BN26" i="50"/>
  <c r="BN31" i="50"/>
  <c r="BN35" i="50"/>
  <c r="BN39" i="50"/>
  <c r="BN28" i="50"/>
  <c r="BN41" i="50"/>
  <c r="BN58" i="50"/>
  <c r="BN17" i="50"/>
  <c r="BN38" i="50"/>
  <c r="BN33" i="50"/>
  <c r="BN50" i="50"/>
  <c r="BN10" i="50"/>
  <c r="BN14" i="50"/>
  <c r="BN18" i="50"/>
  <c r="BN15" i="50"/>
  <c r="BN19" i="50"/>
  <c r="BN23" i="50"/>
  <c r="BN42" i="50"/>
  <c r="BN25" i="50"/>
  <c r="BN52" i="50"/>
  <c r="BN32" i="50"/>
  <c r="BN49" i="50"/>
  <c r="BN66" i="50"/>
  <c r="BN60" i="50"/>
  <c r="BN30" i="50"/>
  <c r="BN21" i="50"/>
  <c r="BN8" i="50"/>
  <c r="BN63" i="50"/>
  <c r="BN56" i="50"/>
  <c r="BN36" i="50"/>
  <c r="BN44" i="50"/>
  <c r="BN61" i="50"/>
  <c r="BN45" i="50"/>
  <c r="BN47" i="50"/>
  <c r="BN55" i="50"/>
  <c r="BN20" i="50"/>
  <c r="BN40" i="50"/>
  <c r="BN57" i="50"/>
  <c r="BN37" i="50"/>
  <c r="BN54" i="50"/>
  <c r="BN48" i="50"/>
  <c r="BN170" i="50" s="1"/>
  <c r="BN65" i="50"/>
  <c r="BN29" i="50"/>
  <c r="BN46" i="50"/>
  <c r="BN64" i="50"/>
  <c r="BN62" i="50"/>
  <c r="BN16" i="50"/>
  <c r="BN13" i="50"/>
  <c r="BN24" i="50"/>
  <c r="BN12" i="50"/>
  <c r="BN34" i="50"/>
  <c r="BN51" i="50"/>
  <c r="BN9" i="50"/>
  <c r="BS16" i="50"/>
  <c r="BS32" i="50"/>
  <c r="BS48" i="50"/>
  <c r="BS170" i="50" s="1"/>
  <c r="BS64" i="50"/>
  <c r="BS21" i="50"/>
  <c r="BS37" i="50"/>
  <c r="BS10" i="50"/>
  <c r="BS26" i="50"/>
  <c r="BS42" i="50"/>
  <c r="BS58" i="50"/>
  <c r="BS15" i="50"/>
  <c r="BS31" i="50"/>
  <c r="BS47" i="50"/>
  <c r="BS63" i="50"/>
  <c r="BS24" i="50"/>
  <c r="BS44" i="50"/>
  <c r="BS9" i="50"/>
  <c r="BS29" i="50"/>
  <c r="BS49" i="50"/>
  <c r="BS14" i="50"/>
  <c r="BS34" i="50"/>
  <c r="BS54" i="50"/>
  <c r="BS19" i="50"/>
  <c r="BS39" i="50"/>
  <c r="BS59" i="50"/>
  <c r="BS8" i="50"/>
  <c r="BS36" i="50"/>
  <c r="BS60" i="50"/>
  <c r="BS33" i="50"/>
  <c r="BS61" i="50"/>
  <c r="BS30" i="50"/>
  <c r="BS62" i="50"/>
  <c r="BS27" i="50"/>
  <c r="BS55" i="50"/>
  <c r="BS12" i="50"/>
  <c r="BS40" i="50"/>
  <c r="BS13" i="50"/>
  <c r="BS41" i="50"/>
  <c r="BS65" i="50"/>
  <c r="BS38" i="50"/>
  <c r="BS66" i="50"/>
  <c r="BS35" i="50"/>
  <c r="BS67" i="50"/>
  <c r="BS52" i="50"/>
  <c r="BS45" i="50"/>
  <c r="BS46" i="50"/>
  <c r="BS43" i="50"/>
  <c r="BS56" i="50"/>
  <c r="BS57" i="50"/>
  <c r="BS50" i="50"/>
  <c r="BS51" i="50"/>
  <c r="BS20" i="50"/>
  <c r="BS17" i="50"/>
  <c r="BS18" i="50"/>
  <c r="BS11" i="50"/>
  <c r="BS23" i="50"/>
  <c r="BS28" i="50"/>
  <c r="BS25" i="50"/>
  <c r="BS22" i="50"/>
  <c r="AZ15" i="50"/>
  <c r="AZ19" i="50"/>
  <c r="AZ25" i="50"/>
  <c r="AZ29" i="50"/>
  <c r="AZ33" i="50"/>
  <c r="AZ37" i="50"/>
  <c r="AZ41" i="50"/>
  <c r="AZ45" i="50"/>
  <c r="AZ49" i="50"/>
  <c r="AZ14" i="50"/>
  <c r="AZ18" i="50"/>
  <c r="AZ10" i="50"/>
  <c r="AZ24" i="50"/>
  <c r="AZ28" i="50"/>
  <c r="AZ32" i="50"/>
  <c r="AZ36" i="50"/>
  <c r="AZ40" i="50"/>
  <c r="AZ44" i="50"/>
  <c r="AZ48" i="50"/>
  <c r="AZ170" i="50" s="1"/>
  <c r="AZ52" i="50"/>
  <c r="AZ59" i="50"/>
  <c r="AZ62" i="50"/>
  <c r="AZ61" i="50"/>
  <c r="AZ8" i="50"/>
  <c r="AZ17" i="50"/>
  <c r="AZ23" i="50"/>
  <c r="AZ31" i="50"/>
  <c r="AZ39" i="50"/>
  <c r="AZ47" i="50"/>
  <c r="AZ56" i="50"/>
  <c r="AZ57" i="50"/>
  <c r="AZ65" i="50"/>
  <c r="AZ12" i="50"/>
  <c r="AZ20" i="50"/>
  <c r="AZ26" i="50"/>
  <c r="AZ34" i="50"/>
  <c r="AZ42" i="50"/>
  <c r="AZ50" i="50"/>
  <c r="AZ63" i="50"/>
  <c r="AZ13" i="50"/>
  <c r="AZ21" i="50"/>
  <c r="AZ27" i="50"/>
  <c r="AZ35" i="50"/>
  <c r="AZ43" i="50"/>
  <c r="AZ51" i="50"/>
  <c r="AZ22" i="50"/>
  <c r="AZ58" i="50"/>
  <c r="AZ16" i="50"/>
  <c r="AZ9" i="50"/>
  <c r="AZ46" i="50"/>
  <c r="AZ38" i="50"/>
  <c r="AZ55" i="50"/>
  <c r="AZ60" i="50"/>
  <c r="AZ64" i="50"/>
  <c r="AZ66" i="50"/>
  <c r="AZ11" i="50"/>
  <c r="AZ30" i="50"/>
  <c r="AZ54" i="50"/>
  <c r="BA8" i="50"/>
  <c r="BA9" i="50"/>
  <c r="BA12" i="50"/>
  <c r="BA11" i="50"/>
  <c r="BA16" i="50"/>
  <c r="BA21" i="50"/>
  <c r="BA25" i="50"/>
  <c r="BA29" i="50"/>
  <c r="BA33" i="50"/>
  <c r="BA37" i="50"/>
  <c r="BA41" i="50"/>
  <c r="BA45" i="50"/>
  <c r="BA49" i="50"/>
  <c r="BA57" i="50"/>
  <c r="BA61" i="50"/>
  <c r="BA20" i="50"/>
  <c r="BA22" i="50"/>
  <c r="BA24" i="50"/>
  <c r="BA31" i="50"/>
  <c r="BA38" i="50"/>
  <c r="BA40" i="50"/>
  <c r="BA47" i="50"/>
  <c r="BA54" i="50"/>
  <c r="BA56" i="50"/>
  <c r="BA14" i="50"/>
  <c r="BA13" i="50"/>
  <c r="BA26" i="50"/>
  <c r="BA28" i="50"/>
  <c r="BA35" i="50"/>
  <c r="BA42" i="50"/>
  <c r="BA44" i="50"/>
  <c r="BA51" i="50"/>
  <c r="BA58" i="50"/>
  <c r="BA60" i="50"/>
  <c r="BA62" i="50"/>
  <c r="BA64" i="50"/>
  <c r="BA15" i="50"/>
  <c r="BA10" i="50"/>
  <c r="BA27" i="50"/>
  <c r="BA34" i="50"/>
  <c r="BA52" i="50"/>
  <c r="BA59" i="50"/>
  <c r="BA63" i="50"/>
  <c r="BA65" i="50"/>
  <c r="BA32" i="50"/>
  <c r="BA39" i="50"/>
  <c r="BA46" i="50"/>
  <c r="BA17" i="50"/>
  <c r="BA36" i="50"/>
  <c r="BA43" i="50"/>
  <c r="BA50" i="50"/>
  <c r="BA18" i="50"/>
  <c r="BA30" i="50"/>
  <c r="BA19" i="50"/>
  <c r="BA48" i="50"/>
  <c r="BA170" i="50" s="1"/>
  <c r="BA66" i="50"/>
  <c r="BA23" i="50"/>
  <c r="BA55" i="50"/>
  <c r="BF9" i="50"/>
  <c r="BF11" i="50"/>
  <c r="BF13" i="50"/>
  <c r="BF8" i="50"/>
  <c r="BF12" i="50"/>
  <c r="BF17" i="50"/>
  <c r="BF23" i="50"/>
  <c r="BF15" i="50"/>
  <c r="BF55" i="50"/>
  <c r="BF29" i="50"/>
  <c r="BF37" i="50"/>
  <c r="BF45" i="50"/>
  <c r="BF60" i="50"/>
  <c r="BF57" i="50"/>
  <c r="BF48" i="50"/>
  <c r="BF170" i="50" s="1"/>
  <c r="BF63" i="50"/>
  <c r="BF10" i="50"/>
  <c r="BF16" i="50"/>
  <c r="BF18" i="50"/>
  <c r="BF24" i="50"/>
  <c r="BF26" i="50"/>
  <c r="BF39" i="50"/>
  <c r="BF43" i="50"/>
  <c r="BF32" i="50"/>
  <c r="BF38" i="50"/>
  <c r="BF20" i="50"/>
  <c r="BF14" i="50"/>
  <c r="BF21" i="50"/>
  <c r="BF33" i="50"/>
  <c r="BF47" i="50"/>
  <c r="BF51" i="50"/>
  <c r="BF56" i="50"/>
  <c r="BF31" i="50"/>
  <c r="BF64" i="50"/>
  <c r="BF46" i="50"/>
  <c r="BF28" i="50"/>
  <c r="BF25" i="50"/>
  <c r="BF59" i="50"/>
  <c r="BF27" i="50"/>
  <c r="BF41" i="50"/>
  <c r="BF40" i="50"/>
  <c r="BF52" i="50"/>
  <c r="BF34" i="50"/>
  <c r="BF22" i="50"/>
  <c r="BF35" i="50"/>
  <c r="BF49" i="50"/>
  <c r="BF19" i="50"/>
  <c r="BF54" i="50"/>
  <c r="BF50" i="50"/>
  <c r="BF30" i="50"/>
  <c r="BF58" i="50"/>
  <c r="BF42" i="50"/>
  <c r="BF61" i="50"/>
  <c r="BF36" i="50"/>
  <c r="BF65" i="50"/>
  <c r="BF62" i="50"/>
  <c r="BF44" i="50"/>
  <c r="BF66" i="50"/>
  <c r="CB67" i="50"/>
  <c r="CB60" i="50"/>
  <c r="CB57" i="50"/>
  <c r="CB30" i="50"/>
  <c r="CB52" i="50"/>
  <c r="CB42" i="50"/>
  <c r="CB21" i="50"/>
  <c r="CB11" i="50"/>
  <c r="CB35" i="50"/>
  <c r="CB36" i="50"/>
  <c r="CB49" i="50"/>
  <c r="CB14" i="50"/>
  <c r="CB63" i="50"/>
  <c r="CB26" i="50"/>
  <c r="CB9" i="50"/>
  <c r="CB20" i="50"/>
  <c r="CB41" i="50"/>
  <c r="CB48" i="50"/>
  <c r="CB170" i="50" s="1"/>
  <c r="CB55" i="50"/>
  <c r="CB10" i="50"/>
  <c r="CB54" i="50"/>
  <c r="CB19" i="50"/>
  <c r="CB66" i="50"/>
  <c r="CB33" i="50"/>
  <c r="CB38" i="50"/>
  <c r="CB32" i="50"/>
  <c r="CB47" i="50"/>
  <c r="CB61" i="50"/>
  <c r="CB25" i="50"/>
  <c r="CB59" i="50"/>
  <c r="CB34" i="50"/>
  <c r="CB31" i="50"/>
  <c r="CB28" i="50"/>
  <c r="CB56" i="50"/>
  <c r="CB62" i="50"/>
  <c r="CB27" i="50"/>
  <c r="CB37" i="50"/>
  <c r="CB65" i="50"/>
  <c r="CB15" i="50"/>
  <c r="CB58" i="50"/>
  <c r="CB50" i="50"/>
  <c r="CB16" i="50"/>
  <c r="CB44" i="50"/>
  <c r="CB22" i="50"/>
  <c r="CB24" i="50"/>
  <c r="CB13" i="50"/>
  <c r="CB18" i="50"/>
  <c r="CB12" i="50"/>
  <c r="CB40" i="50"/>
  <c r="CB46" i="50"/>
  <c r="CB64" i="50"/>
  <c r="CB43" i="50"/>
  <c r="CB17" i="50"/>
  <c r="CB45" i="50"/>
  <c r="CB29" i="50"/>
  <c r="CB39" i="50"/>
  <c r="CB23" i="50"/>
  <c r="CB8" i="50"/>
  <c r="CB51" i="50"/>
  <c r="CC67" i="50"/>
  <c r="CC58" i="50"/>
  <c r="CC61" i="50"/>
  <c r="CC62" i="50"/>
  <c r="CC14" i="50"/>
  <c r="CC33" i="50"/>
  <c r="CC46" i="50"/>
  <c r="CC57" i="50"/>
  <c r="CC17" i="50"/>
  <c r="CC60" i="50"/>
  <c r="CC44" i="50"/>
  <c r="CC28" i="50"/>
  <c r="CC12" i="50"/>
  <c r="CC51" i="50"/>
  <c r="CC35" i="50"/>
  <c r="CC19" i="50"/>
  <c r="CC9" i="50"/>
  <c r="CC45" i="50"/>
  <c r="CC18" i="50"/>
  <c r="CC48" i="50"/>
  <c r="CC170" i="50" s="1"/>
  <c r="CC16" i="50"/>
  <c r="CC39" i="50"/>
  <c r="CC42" i="50"/>
  <c r="CC41" i="50"/>
  <c r="CC50" i="50"/>
  <c r="CC65" i="50"/>
  <c r="CC21" i="50"/>
  <c r="CC34" i="50"/>
  <c r="CC49" i="50"/>
  <c r="CC13" i="50"/>
  <c r="CC56" i="50"/>
  <c r="CC40" i="50"/>
  <c r="CC24" i="50"/>
  <c r="CC63" i="50"/>
  <c r="CC47" i="50"/>
  <c r="CC31" i="50"/>
  <c r="CC15" i="50"/>
  <c r="CC11" i="50"/>
  <c r="CC10" i="50"/>
  <c r="CC30" i="50"/>
  <c r="CC54" i="50"/>
  <c r="CC64" i="50"/>
  <c r="CC32" i="50"/>
  <c r="CC55" i="50"/>
  <c r="CC22" i="50"/>
  <c r="CC25" i="50"/>
  <c r="CC38" i="50"/>
  <c r="CC66" i="50"/>
  <c r="CC26" i="50"/>
  <c r="CC37" i="50"/>
  <c r="CC8" i="50"/>
  <c r="CC52" i="50"/>
  <c r="CC36" i="50"/>
  <c r="CC20" i="50"/>
  <c r="CC59" i="50"/>
  <c r="CC43" i="50"/>
  <c r="CC27" i="50"/>
  <c r="CC29" i="50"/>
  <c r="CC23" i="50"/>
  <c r="AT8" i="50"/>
  <c r="AT11" i="50"/>
  <c r="AT15" i="50"/>
  <c r="AT19" i="50"/>
  <c r="AT23" i="50"/>
  <c r="AT27" i="50"/>
  <c r="AT31" i="50"/>
  <c r="AT35" i="50"/>
  <c r="AT39" i="50"/>
  <c r="AT10" i="50"/>
  <c r="AT17" i="50"/>
  <c r="AT24" i="50"/>
  <c r="AT26" i="50"/>
  <c r="AT33" i="50"/>
  <c r="AT40" i="50"/>
  <c r="AT44" i="50"/>
  <c r="AT48" i="50"/>
  <c r="AT170" i="50" s="1"/>
  <c r="AT52" i="50"/>
  <c r="AT13" i="50"/>
  <c r="AT18" i="50"/>
  <c r="AT20" i="50"/>
  <c r="AT25" i="50"/>
  <c r="AT30" i="50"/>
  <c r="AT32" i="50"/>
  <c r="AT37" i="50"/>
  <c r="AT41" i="50"/>
  <c r="AT43" i="50"/>
  <c r="AT50" i="50"/>
  <c r="AT56" i="50"/>
  <c r="AT60" i="50"/>
  <c r="AT64" i="50"/>
  <c r="AT9" i="50"/>
  <c r="AT14" i="50"/>
  <c r="AT16" i="50"/>
  <c r="AT21" i="50"/>
  <c r="AT28" i="50"/>
  <c r="AT45" i="50"/>
  <c r="AT47" i="50"/>
  <c r="AT55" i="50"/>
  <c r="AT59" i="50"/>
  <c r="AT63" i="50"/>
  <c r="AT12" i="50"/>
  <c r="AT22" i="50"/>
  <c r="AT46" i="50"/>
  <c r="AT57" i="50"/>
  <c r="AT65" i="50"/>
  <c r="AT34" i="50"/>
  <c r="AT51" i="50"/>
  <c r="AT58" i="50"/>
  <c r="AT66" i="50"/>
  <c r="AT54" i="50"/>
  <c r="AT29" i="50"/>
  <c r="AT42" i="50"/>
  <c r="AT49" i="50"/>
  <c r="AT36" i="50"/>
  <c r="AT61" i="50"/>
  <c r="AT38" i="50"/>
  <c r="AT62" i="50"/>
  <c r="AI12" i="50"/>
  <c r="AI16" i="50"/>
  <c r="AI20" i="50"/>
  <c r="AI24" i="50"/>
  <c r="AI28" i="50"/>
  <c r="AI32" i="50"/>
  <c r="AI8" i="50"/>
  <c r="AI9" i="50"/>
  <c r="AI11" i="50"/>
  <c r="AI18" i="50"/>
  <c r="AI25" i="50"/>
  <c r="AI27" i="50"/>
  <c r="AI35" i="50"/>
  <c r="AI39" i="50"/>
  <c r="AI43" i="50"/>
  <c r="AI47" i="50"/>
  <c r="AI51" i="50"/>
  <c r="AI62" i="50"/>
  <c r="AI13" i="50"/>
  <c r="AI15" i="50"/>
  <c r="AI22" i="50"/>
  <c r="AI29" i="50"/>
  <c r="AI31" i="50"/>
  <c r="AI34" i="50"/>
  <c r="AI38" i="50"/>
  <c r="AI42" i="50"/>
  <c r="AI46" i="50"/>
  <c r="AI50" i="50"/>
  <c r="AI58" i="50"/>
  <c r="AI14" i="50"/>
  <c r="AI21" i="50"/>
  <c r="AI40" i="50"/>
  <c r="AI48" i="50"/>
  <c r="AI170" i="50" s="1"/>
  <c r="AI66" i="50"/>
  <c r="AI61" i="50"/>
  <c r="AI56" i="50"/>
  <c r="AI19" i="50"/>
  <c r="AI26" i="50"/>
  <c r="AI33" i="50"/>
  <c r="AI41" i="50"/>
  <c r="AI49" i="50"/>
  <c r="AI54" i="50"/>
  <c r="AI23" i="50"/>
  <c r="AI30" i="50"/>
  <c r="AI36" i="50"/>
  <c r="AI52" i="50"/>
  <c r="AI57" i="50"/>
  <c r="AI64" i="50"/>
  <c r="AI10" i="50"/>
  <c r="AI17" i="50"/>
  <c r="AI37" i="50"/>
  <c r="AI44" i="50"/>
  <c r="AI60" i="50"/>
  <c r="AI45" i="50"/>
  <c r="AI65" i="50"/>
  <c r="AI63" i="50"/>
  <c r="AI55" i="50"/>
  <c r="AI59" i="50"/>
  <c r="AN8" i="50"/>
  <c r="AN9" i="50"/>
  <c r="AN13" i="50"/>
  <c r="AN17" i="50"/>
  <c r="AN21" i="50"/>
  <c r="AN25" i="50"/>
  <c r="AN29" i="50"/>
  <c r="AN33" i="50"/>
  <c r="AN37" i="50"/>
  <c r="AN41" i="50"/>
  <c r="AN45" i="50"/>
  <c r="AN49" i="50"/>
  <c r="AN57" i="50"/>
  <c r="AN61" i="50"/>
  <c r="AN65" i="50"/>
  <c r="AN52" i="50"/>
  <c r="AN12" i="50"/>
  <c r="AN16" i="50"/>
  <c r="AN20" i="50"/>
  <c r="AN24" i="50"/>
  <c r="AN28" i="50"/>
  <c r="AN32" i="50"/>
  <c r="AN36" i="50"/>
  <c r="AN40" i="50"/>
  <c r="AN44" i="50"/>
  <c r="AN48" i="50"/>
  <c r="AN170" i="50" s="1"/>
  <c r="AN56" i="50"/>
  <c r="AN60" i="50"/>
  <c r="AN64" i="50"/>
  <c r="AN14" i="50"/>
  <c r="AN22" i="50"/>
  <c r="AN30" i="50"/>
  <c r="AN38" i="50"/>
  <c r="AN46" i="50"/>
  <c r="AN58" i="50"/>
  <c r="AN66" i="50"/>
  <c r="AN15" i="50"/>
  <c r="AN23" i="50"/>
  <c r="AN31" i="50"/>
  <c r="AN39" i="50"/>
  <c r="AN47" i="50"/>
  <c r="AN59" i="50"/>
  <c r="AN10" i="50"/>
  <c r="AN26" i="50"/>
  <c r="AN42" i="50"/>
  <c r="AN62" i="50"/>
  <c r="AN11" i="50"/>
  <c r="AN27" i="50"/>
  <c r="AN43" i="50"/>
  <c r="AN63" i="50"/>
  <c r="AN18" i="50"/>
  <c r="AN34" i="50"/>
  <c r="AN50" i="50"/>
  <c r="AN54" i="50"/>
  <c r="AN19" i="50"/>
  <c r="AN35" i="50"/>
  <c r="AN51" i="50"/>
  <c r="AN55" i="50"/>
  <c r="X10" i="50"/>
  <c r="X26" i="50"/>
  <c r="X9" i="50"/>
  <c r="X24" i="50"/>
  <c r="X40" i="50"/>
  <c r="X22" i="50"/>
  <c r="X20" i="50"/>
  <c r="X36" i="50"/>
  <c r="X37" i="50"/>
  <c r="X52" i="50"/>
  <c r="X61" i="50"/>
  <c r="X19" i="50"/>
  <c r="X43" i="50"/>
  <c r="X59" i="50"/>
  <c r="X14" i="50"/>
  <c r="X13" i="50"/>
  <c r="X28" i="50"/>
  <c r="X56" i="50"/>
  <c r="X60" i="50"/>
  <c r="X39" i="50"/>
  <c r="X11" i="50"/>
  <c r="X57" i="50"/>
  <c r="X38" i="50"/>
  <c r="X18" i="50"/>
  <c r="X32" i="50"/>
  <c r="X8" i="50"/>
  <c r="X12" i="50"/>
  <c r="X21" i="50"/>
  <c r="X29" i="50"/>
  <c r="X27" i="50"/>
  <c r="X51" i="50"/>
  <c r="X50" i="50"/>
  <c r="X58" i="50"/>
  <c r="X34" i="50"/>
  <c r="X30" i="50"/>
  <c r="X35" i="50"/>
  <c r="X47" i="50"/>
  <c r="X55" i="50"/>
  <c r="X41" i="50"/>
  <c r="X16" i="50"/>
  <c r="X44" i="50"/>
  <c r="X48" i="50"/>
  <c r="X170" i="50" s="1"/>
  <c r="X49" i="50"/>
  <c r="X46" i="50"/>
  <c r="X31" i="50"/>
  <c r="X23" i="50"/>
  <c r="X15" i="50"/>
  <c r="X42" i="50"/>
  <c r="X54" i="50"/>
  <c r="X45" i="50"/>
  <c r="X62" i="50"/>
  <c r="X63" i="50"/>
  <c r="X17" i="50"/>
  <c r="X25" i="50"/>
  <c r="X33" i="50"/>
  <c r="U8" i="50"/>
  <c r="Z8" i="50"/>
  <c r="Z20" i="50"/>
  <c r="Z36" i="50"/>
  <c r="Z18" i="50"/>
  <c r="Z34" i="50"/>
  <c r="Z16" i="50"/>
  <c r="Z32" i="50"/>
  <c r="Z15" i="50"/>
  <c r="Z14" i="50"/>
  <c r="Z30" i="50"/>
  <c r="Z31" i="50"/>
  <c r="Z46" i="50"/>
  <c r="Z62" i="50"/>
  <c r="Z39" i="50"/>
  <c r="Z22" i="50"/>
  <c r="Z50" i="50"/>
  <c r="Z54" i="50"/>
  <c r="Z58" i="50"/>
  <c r="Z43" i="50"/>
  <c r="Z35" i="50"/>
  <c r="Z12" i="50"/>
  <c r="Z11" i="50"/>
  <c r="Z26" i="50"/>
  <c r="Z51" i="50"/>
  <c r="Z61" i="50"/>
  <c r="Z28" i="50"/>
  <c r="Z24" i="50"/>
  <c r="Z63" i="50"/>
  <c r="Z13" i="50"/>
  <c r="Z57" i="50"/>
  <c r="Z44" i="50"/>
  <c r="Z52" i="50"/>
  <c r="Z60" i="50"/>
  <c r="Z33" i="50"/>
  <c r="Z47" i="50"/>
  <c r="Z59" i="50"/>
  <c r="Z9" i="50"/>
  <c r="Z10" i="50"/>
  <c r="Z21" i="50"/>
  <c r="Z37" i="50"/>
  <c r="Z42" i="50"/>
  <c r="Z45" i="50"/>
  <c r="Z49" i="50"/>
  <c r="Z23" i="50"/>
  <c r="Z48" i="50"/>
  <c r="Z170" i="50" s="1"/>
  <c r="Z38" i="50"/>
  <c r="Z29" i="50"/>
  <c r="Z27" i="50"/>
  <c r="Z41" i="50"/>
  <c r="Z56" i="50"/>
  <c r="Z17" i="50"/>
  <c r="Z25" i="50"/>
  <c r="Z19" i="50"/>
  <c r="Z40" i="50"/>
  <c r="Z55" i="50"/>
  <c r="BR60" i="50"/>
  <c r="BR30" i="50"/>
  <c r="BR46" i="50"/>
  <c r="BR15" i="50"/>
  <c r="BR36" i="50"/>
  <c r="BR59" i="50"/>
  <c r="BR45" i="50"/>
  <c r="BR62" i="50"/>
  <c r="BR27" i="50"/>
  <c r="BR43" i="50"/>
  <c r="BR12" i="50"/>
  <c r="BR51" i="50"/>
  <c r="BR22" i="50"/>
  <c r="BR52" i="50"/>
  <c r="BR16" i="50"/>
  <c r="BR55" i="50"/>
  <c r="BR38" i="50"/>
  <c r="BR11" i="50"/>
  <c r="BR18" i="50"/>
  <c r="BR29" i="50"/>
  <c r="BR65" i="50"/>
  <c r="BR31" i="50"/>
  <c r="BR21" i="50"/>
  <c r="BR57" i="50"/>
  <c r="BR13" i="50"/>
  <c r="BR41" i="50"/>
  <c r="BR49" i="50"/>
  <c r="BR20" i="50"/>
  <c r="BR28" i="50"/>
  <c r="BR37" i="50"/>
  <c r="BR54" i="50"/>
  <c r="BR47" i="50"/>
  <c r="BR32" i="50"/>
  <c r="BR56" i="50"/>
  <c r="BR26" i="50"/>
  <c r="BR24" i="50"/>
  <c r="BR17" i="50"/>
  <c r="BR23" i="50"/>
  <c r="BR50" i="50"/>
  <c r="BR25" i="50"/>
  <c r="BR40" i="50"/>
  <c r="BR33" i="50"/>
  <c r="BR34" i="50"/>
  <c r="BR9" i="50"/>
  <c r="BR35" i="50"/>
  <c r="BR44" i="50"/>
  <c r="BR8" i="50"/>
  <c r="BR42" i="50"/>
  <c r="BR48" i="50"/>
  <c r="BR170" i="50" s="1"/>
  <c r="BR39" i="50"/>
  <c r="BR67" i="50"/>
  <c r="BR64" i="50"/>
  <c r="BR63" i="50"/>
  <c r="BR14" i="50"/>
  <c r="BR10" i="50"/>
  <c r="BR19" i="50"/>
  <c r="BR66" i="50"/>
  <c r="BR61" i="50"/>
  <c r="BR58" i="50"/>
  <c r="BK13" i="50"/>
  <c r="BK29" i="50"/>
  <c r="BK18" i="50"/>
  <c r="BK34" i="50"/>
  <c r="BK50" i="50"/>
  <c r="BK66" i="50"/>
  <c r="BK9" i="50"/>
  <c r="BK10" i="50"/>
  <c r="BK14" i="50"/>
  <c r="BK33" i="50"/>
  <c r="BK63" i="50"/>
  <c r="BK24" i="50"/>
  <c r="BK43" i="50"/>
  <c r="BK60" i="50"/>
  <c r="BK23" i="50"/>
  <c r="BK20" i="50"/>
  <c r="BK54" i="50"/>
  <c r="BK58" i="50"/>
  <c r="BK62" i="50"/>
  <c r="BK47" i="50"/>
  <c r="BK64" i="50"/>
  <c r="BK44" i="50"/>
  <c r="BK61" i="50"/>
  <c r="BK51" i="50"/>
  <c r="BK41" i="50"/>
  <c r="BK38" i="50"/>
  <c r="BK46" i="50"/>
  <c r="BK19" i="50"/>
  <c r="BK31" i="50"/>
  <c r="BK48" i="50"/>
  <c r="BK170" i="50" s="1"/>
  <c r="BK65" i="50"/>
  <c r="BK45" i="50"/>
  <c r="BK39" i="50"/>
  <c r="BK17" i="50"/>
  <c r="BK25" i="50"/>
  <c r="BK22" i="50"/>
  <c r="BK30" i="50"/>
  <c r="BK32" i="50"/>
  <c r="BK49" i="50"/>
  <c r="BK16" i="50"/>
  <c r="BK15" i="50"/>
  <c r="BK52" i="50"/>
  <c r="BK42" i="50"/>
  <c r="BK11" i="50"/>
  <c r="BK55" i="50"/>
  <c r="BK36" i="50"/>
  <c r="BK21" i="50"/>
  <c r="BK59" i="50"/>
  <c r="BK57" i="50"/>
  <c r="BK35" i="50"/>
  <c r="BK37" i="50"/>
  <c r="BK56" i="50"/>
  <c r="BK8" i="50"/>
  <c r="BK27" i="50"/>
  <c r="BK26" i="50"/>
  <c r="BK40" i="50"/>
  <c r="BK12" i="50"/>
  <c r="BK28" i="50"/>
  <c r="BP8" i="50"/>
  <c r="BP9" i="50"/>
  <c r="BP25" i="50"/>
  <c r="BP41" i="50"/>
  <c r="BP57" i="50"/>
  <c r="BP36" i="50"/>
  <c r="BP14" i="50"/>
  <c r="BP30" i="50"/>
  <c r="BP46" i="50"/>
  <c r="BP62" i="50"/>
  <c r="BP52" i="50"/>
  <c r="BP19" i="50"/>
  <c r="BP35" i="50"/>
  <c r="BP51" i="50"/>
  <c r="BP67" i="50"/>
  <c r="BP32" i="50"/>
  <c r="BP17" i="50"/>
  <c r="BP33" i="50"/>
  <c r="BP48" i="50"/>
  <c r="BP170" i="50" s="1"/>
  <c r="BP22" i="50"/>
  <c r="BP42" i="50"/>
  <c r="BP66" i="50"/>
  <c r="BP11" i="50"/>
  <c r="BP31" i="50"/>
  <c r="BP55" i="50"/>
  <c r="BP16" i="50"/>
  <c r="BP13" i="50"/>
  <c r="BP37" i="50"/>
  <c r="BP61" i="50"/>
  <c r="BP60" i="50"/>
  <c r="BP26" i="50"/>
  <c r="BP50" i="50"/>
  <c r="BP28" i="50"/>
  <c r="BP15" i="50"/>
  <c r="BP39" i="50"/>
  <c r="BP59" i="50"/>
  <c r="BP20" i="50"/>
  <c r="BP21" i="50"/>
  <c r="BP65" i="50"/>
  <c r="BP34" i="50"/>
  <c r="BP40" i="50"/>
  <c r="BP43" i="50"/>
  <c r="BP44" i="50"/>
  <c r="BP29" i="50"/>
  <c r="BP24" i="50"/>
  <c r="BP38" i="50"/>
  <c r="BP64" i="50"/>
  <c r="BP47" i="50"/>
  <c r="BP56" i="50"/>
  <c r="BP45" i="50"/>
  <c r="BP10" i="50"/>
  <c r="BP54" i="50"/>
  <c r="BP23" i="50"/>
  <c r="BP63" i="50"/>
  <c r="BP58" i="50"/>
  <c r="BP27" i="50"/>
  <c r="BP49" i="50"/>
  <c r="BP12" i="50"/>
  <c r="BP18" i="50"/>
  <c r="AY9" i="50"/>
  <c r="AY21" i="50"/>
  <c r="AY10" i="50"/>
  <c r="AY14" i="50"/>
  <c r="AY19" i="50"/>
  <c r="AY30" i="50"/>
  <c r="AY38" i="50"/>
  <c r="AY46" i="50"/>
  <c r="AY57" i="50"/>
  <c r="AY23" i="50"/>
  <c r="AY33" i="50"/>
  <c r="AY41" i="50"/>
  <c r="AY49" i="50"/>
  <c r="AY54" i="50"/>
  <c r="AY13" i="50"/>
  <c r="AY18" i="50"/>
  <c r="AY32" i="50"/>
  <c r="AY36" i="50"/>
  <c r="AY50" i="50"/>
  <c r="AY56" i="50"/>
  <c r="AY16" i="50"/>
  <c r="AY24" i="50"/>
  <c r="AY61" i="50"/>
  <c r="AY20" i="50"/>
  <c r="AY27" i="50"/>
  <c r="AY31" i="50"/>
  <c r="AY45" i="50"/>
  <c r="AY59" i="50"/>
  <c r="AY17" i="50"/>
  <c r="AY25" i="50"/>
  <c r="AY40" i="50"/>
  <c r="AY44" i="50"/>
  <c r="AY63" i="50"/>
  <c r="AY35" i="50"/>
  <c r="AY39" i="50"/>
  <c r="AY58" i="50"/>
  <c r="AY8" i="50"/>
  <c r="AY11" i="50"/>
  <c r="AY62" i="50"/>
  <c r="AY34" i="50"/>
  <c r="AY48" i="50"/>
  <c r="AY170" i="50" s="1"/>
  <c r="AY29" i="50"/>
  <c r="AY43" i="50"/>
  <c r="AY66" i="50"/>
  <c r="AY12" i="50"/>
  <c r="AY28" i="50"/>
  <c r="AY42" i="50"/>
  <c r="AY60" i="50"/>
  <c r="AY64" i="50"/>
  <c r="AY37" i="50"/>
  <c r="AY51" i="50"/>
  <c r="AY15" i="50"/>
  <c r="AY52" i="50"/>
  <c r="AY65" i="50"/>
  <c r="AY47" i="50"/>
  <c r="AY55" i="50"/>
  <c r="AY26" i="50"/>
  <c r="AY22" i="50"/>
  <c r="BH8" i="50"/>
  <c r="BH10" i="50"/>
  <c r="BH13" i="50"/>
  <c r="BH17" i="50"/>
  <c r="BH23" i="50"/>
  <c r="BH27" i="50"/>
  <c r="BH31" i="50"/>
  <c r="BH35" i="50"/>
  <c r="BH39" i="50"/>
  <c r="BH43" i="50"/>
  <c r="BH47" i="50"/>
  <c r="BH51" i="50"/>
  <c r="BH11" i="50"/>
  <c r="BH12" i="50"/>
  <c r="BH16" i="50"/>
  <c r="BH20" i="50"/>
  <c r="BH22" i="50"/>
  <c r="BH26" i="50"/>
  <c r="BH30" i="50"/>
  <c r="BH34" i="50"/>
  <c r="BH38" i="50"/>
  <c r="BH42" i="50"/>
  <c r="BH46" i="50"/>
  <c r="BH50" i="50"/>
  <c r="BH58" i="50"/>
  <c r="BH55" i="50"/>
  <c r="BH65" i="50"/>
  <c r="BH19" i="50"/>
  <c r="BH25" i="50"/>
  <c r="BH33" i="50"/>
  <c r="BH41" i="50"/>
  <c r="BH49" i="50"/>
  <c r="BH62" i="50"/>
  <c r="BH59" i="50"/>
  <c r="BH66" i="50"/>
  <c r="BH14" i="50"/>
  <c r="BH28" i="50"/>
  <c r="BH36" i="50"/>
  <c r="BH44" i="50"/>
  <c r="BH52" i="50"/>
  <c r="BH15" i="50"/>
  <c r="BH21" i="50"/>
  <c r="BH29" i="50"/>
  <c r="BH37" i="50"/>
  <c r="BH45" i="50"/>
  <c r="BH32" i="50"/>
  <c r="BH57" i="50"/>
  <c r="BH24" i="50"/>
  <c r="BH9" i="50"/>
  <c r="BH54" i="50"/>
  <c r="BH63" i="50"/>
  <c r="BH18" i="50"/>
  <c r="BH48" i="50"/>
  <c r="BH170" i="50" s="1"/>
  <c r="BH60" i="50"/>
  <c r="BH64" i="50"/>
  <c r="BH56" i="50"/>
  <c r="BH40" i="50"/>
  <c r="BH61" i="50"/>
  <c r="BE9" i="50"/>
  <c r="BE17" i="50"/>
  <c r="BE22" i="50"/>
  <c r="BE26" i="50"/>
  <c r="BE30" i="50"/>
  <c r="BE34" i="50"/>
  <c r="BE38" i="50"/>
  <c r="BE42" i="50"/>
  <c r="BE46" i="50"/>
  <c r="BE50" i="50"/>
  <c r="BE54" i="50"/>
  <c r="BE58" i="50"/>
  <c r="BE15" i="50"/>
  <c r="BE16" i="50"/>
  <c r="BE62" i="50"/>
  <c r="BE27" i="50"/>
  <c r="BE29" i="50"/>
  <c r="BE36" i="50"/>
  <c r="BE43" i="50"/>
  <c r="BE45" i="50"/>
  <c r="BE52" i="50"/>
  <c r="BE59" i="50"/>
  <c r="BE63" i="50"/>
  <c r="BE13" i="50"/>
  <c r="BE18" i="50"/>
  <c r="BE24" i="50"/>
  <c r="BE31" i="50"/>
  <c r="BE33" i="50"/>
  <c r="BE40" i="50"/>
  <c r="BE47" i="50"/>
  <c r="BE49" i="50"/>
  <c r="BE56" i="50"/>
  <c r="BE19" i="50"/>
  <c r="BE8" i="50"/>
  <c r="BE14" i="50"/>
  <c r="BE23" i="50"/>
  <c r="BE41" i="50"/>
  <c r="BE48" i="50"/>
  <c r="BE170" i="50" s="1"/>
  <c r="BE55" i="50"/>
  <c r="BE10" i="50"/>
  <c r="BE20" i="50"/>
  <c r="BE11" i="50"/>
  <c r="BE21" i="50"/>
  <c r="BE28" i="50"/>
  <c r="BE35" i="50"/>
  <c r="BE60" i="50"/>
  <c r="BE64" i="50"/>
  <c r="BE65" i="50"/>
  <c r="BE25" i="50"/>
  <c r="BE32" i="50"/>
  <c r="BE39" i="50"/>
  <c r="BE57" i="50"/>
  <c r="BE12" i="50"/>
  <c r="BE61" i="50"/>
  <c r="BE44" i="50"/>
  <c r="BE37" i="50"/>
  <c r="BE66" i="50"/>
  <c r="BE51" i="50"/>
  <c r="CA55" i="50"/>
  <c r="CA32" i="50"/>
  <c r="CA10" i="50"/>
  <c r="CA60" i="50"/>
  <c r="CA54" i="50"/>
  <c r="CA19" i="50"/>
  <c r="CA66" i="50"/>
  <c r="CA33" i="50"/>
  <c r="CA41" i="50"/>
  <c r="CA47" i="50"/>
  <c r="CA16" i="50"/>
  <c r="CA61" i="50"/>
  <c r="CA44" i="50"/>
  <c r="CA38" i="50"/>
  <c r="CA11" i="50"/>
  <c r="CA67" i="50"/>
  <c r="CA39" i="50"/>
  <c r="CA50" i="50"/>
  <c r="CA28" i="50"/>
  <c r="CA22" i="50"/>
  <c r="CA8" i="50"/>
  <c r="CA56" i="50"/>
  <c r="CA34" i="50"/>
  <c r="CA17" i="50"/>
  <c r="CA36" i="50"/>
  <c r="CA31" i="50"/>
  <c r="CA45" i="50"/>
  <c r="CA12" i="50"/>
  <c r="CA13" i="50"/>
  <c r="CA59" i="50"/>
  <c r="CA40" i="50"/>
  <c r="CA62" i="50"/>
  <c r="CA37" i="50"/>
  <c r="CA57" i="50"/>
  <c r="CA24" i="50"/>
  <c r="CA65" i="50"/>
  <c r="CA52" i="50"/>
  <c r="CA15" i="50"/>
  <c r="CA58" i="50"/>
  <c r="CA43" i="50"/>
  <c r="CA30" i="50"/>
  <c r="CA21" i="50"/>
  <c r="CA18" i="50"/>
  <c r="CA49" i="50"/>
  <c r="CA20" i="50"/>
  <c r="CA48" i="50"/>
  <c r="CA170" i="50" s="1"/>
  <c r="CA26" i="50"/>
  <c r="CA27" i="50"/>
  <c r="CA46" i="50"/>
  <c r="CA25" i="50"/>
  <c r="CA42" i="50"/>
  <c r="CA14" i="50"/>
  <c r="CA23" i="50"/>
  <c r="CA51" i="50"/>
  <c r="CA64" i="50"/>
  <c r="CA35" i="50"/>
  <c r="CA63" i="50"/>
  <c r="CA29" i="50"/>
  <c r="CA9" i="50"/>
  <c r="AP8" i="50"/>
  <c r="AP10" i="50"/>
  <c r="AP14" i="50"/>
  <c r="AP18" i="50"/>
  <c r="AP22" i="50"/>
  <c r="AP26" i="50"/>
  <c r="AP30" i="50"/>
  <c r="AP34" i="50"/>
  <c r="AP38" i="50"/>
  <c r="AP12" i="50"/>
  <c r="AP19" i="50"/>
  <c r="AP21" i="50"/>
  <c r="AP28" i="50"/>
  <c r="AP35" i="50"/>
  <c r="AP37" i="50"/>
  <c r="AP43" i="50"/>
  <c r="AP47" i="50"/>
  <c r="AP51" i="50"/>
  <c r="AP9" i="50"/>
  <c r="AP11" i="50"/>
  <c r="AP16" i="50"/>
  <c r="AP23" i="50"/>
  <c r="AP45" i="50"/>
  <c r="AP52" i="50"/>
  <c r="AP55" i="50"/>
  <c r="AP59" i="50"/>
  <c r="AP63" i="50"/>
  <c r="AP33" i="50"/>
  <c r="AP40" i="50"/>
  <c r="AP42" i="50"/>
  <c r="AP49" i="50"/>
  <c r="AP54" i="50"/>
  <c r="AP58" i="50"/>
  <c r="AP62" i="50"/>
  <c r="AP66" i="50"/>
  <c r="AP17" i="50"/>
  <c r="AP24" i="50"/>
  <c r="AP29" i="50"/>
  <c r="AP31" i="50"/>
  <c r="AP36" i="50"/>
  <c r="AP13" i="50"/>
  <c r="AP32" i="50"/>
  <c r="AP39" i="50"/>
  <c r="AP50" i="50"/>
  <c r="AP60" i="50"/>
  <c r="AP15" i="50"/>
  <c r="AP25" i="50"/>
  <c r="AP44" i="50"/>
  <c r="AP61" i="50"/>
  <c r="AP27" i="50"/>
  <c r="AP41" i="50"/>
  <c r="AP48" i="50"/>
  <c r="AP170" i="50" s="1"/>
  <c r="AP64" i="50"/>
  <c r="AP56" i="50"/>
  <c r="AP20" i="50"/>
  <c r="AP46" i="50"/>
  <c r="AP57" i="50"/>
  <c r="AP65" i="50"/>
  <c r="AM8" i="50"/>
  <c r="AM9" i="50"/>
  <c r="AM13" i="50"/>
  <c r="AM17" i="50"/>
  <c r="AM21" i="50"/>
  <c r="AM25" i="50"/>
  <c r="AM29" i="50"/>
  <c r="AM14" i="50"/>
  <c r="AM16" i="50"/>
  <c r="AM23" i="50"/>
  <c r="AM30" i="50"/>
  <c r="AM32" i="50"/>
  <c r="AM36" i="50"/>
  <c r="AM40" i="50"/>
  <c r="AM44" i="50"/>
  <c r="AM48" i="50"/>
  <c r="AM170" i="50" s="1"/>
  <c r="AM11" i="50"/>
  <c r="AM18" i="50"/>
  <c r="AM20" i="50"/>
  <c r="AM27" i="50"/>
  <c r="AM35" i="50"/>
  <c r="AM39" i="50"/>
  <c r="AM43" i="50"/>
  <c r="AM47" i="50"/>
  <c r="AM51" i="50"/>
  <c r="AM52" i="50"/>
  <c r="AM63" i="50"/>
  <c r="AM58" i="50"/>
  <c r="AM10" i="50"/>
  <c r="AM28" i="50"/>
  <c r="AM37" i="50"/>
  <c r="AM45" i="50"/>
  <c r="AM55" i="50"/>
  <c r="AM54" i="50"/>
  <c r="AM61" i="50"/>
  <c r="AM15" i="50"/>
  <c r="AM22" i="50"/>
  <c r="AM38" i="50"/>
  <c r="AM46" i="50"/>
  <c r="AM59" i="50"/>
  <c r="AM41" i="50"/>
  <c r="AM66" i="50"/>
  <c r="AM57" i="50"/>
  <c r="AM24" i="50"/>
  <c r="AM31" i="50"/>
  <c r="AM42" i="50"/>
  <c r="AM12" i="50"/>
  <c r="AM19" i="50"/>
  <c r="AM26" i="50"/>
  <c r="AM33" i="50"/>
  <c r="AM49" i="50"/>
  <c r="AM62" i="50"/>
  <c r="AM60" i="50"/>
  <c r="AM34" i="50"/>
  <c r="AM50" i="50"/>
  <c r="AM64" i="50"/>
  <c r="AM65" i="50"/>
  <c r="AM56" i="50"/>
  <c r="AR8" i="50"/>
  <c r="AR10" i="50"/>
  <c r="AR14" i="50"/>
  <c r="AR18" i="50"/>
  <c r="AR22" i="50"/>
  <c r="AR26" i="50"/>
  <c r="AR30" i="50"/>
  <c r="AR34" i="50"/>
  <c r="AR38" i="50"/>
  <c r="AR42" i="50"/>
  <c r="AR46" i="50"/>
  <c r="AR50" i="50"/>
  <c r="AR54" i="50"/>
  <c r="AR58" i="50"/>
  <c r="AR62" i="50"/>
  <c r="AR66" i="50"/>
  <c r="AR51" i="50"/>
  <c r="AR9" i="50"/>
  <c r="AR13" i="50"/>
  <c r="AR17" i="50"/>
  <c r="AR21" i="50"/>
  <c r="AR25" i="50"/>
  <c r="AR29" i="50"/>
  <c r="AR33" i="50"/>
  <c r="AR37" i="50"/>
  <c r="AR41" i="50"/>
  <c r="AR45" i="50"/>
  <c r="AR49" i="50"/>
  <c r="AR57" i="50"/>
  <c r="AR61" i="50"/>
  <c r="AR65" i="50"/>
  <c r="AR11" i="50"/>
  <c r="AR19" i="50"/>
  <c r="AR27" i="50"/>
  <c r="AR35" i="50"/>
  <c r="AR43" i="50"/>
  <c r="AR55" i="50"/>
  <c r="AR63" i="50"/>
  <c r="AR12" i="50"/>
  <c r="AR20" i="50"/>
  <c r="AR28" i="50"/>
  <c r="AR36" i="50"/>
  <c r="AR44" i="50"/>
  <c r="AR56" i="50"/>
  <c r="AR64" i="50"/>
  <c r="AR52" i="50"/>
  <c r="AR15" i="50"/>
  <c r="AR31" i="50"/>
  <c r="AR47" i="50"/>
  <c r="AR16" i="50"/>
  <c r="AR32" i="50"/>
  <c r="AR48" i="50"/>
  <c r="AR170" i="50" s="1"/>
  <c r="AR23" i="50"/>
  <c r="AR39" i="50"/>
  <c r="AR59" i="50"/>
  <c r="AR24" i="50"/>
  <c r="AR40" i="50"/>
  <c r="AR60" i="50"/>
  <c r="AE8" i="50"/>
  <c r="AE21" i="50"/>
  <c r="AE37" i="50"/>
  <c r="AE19" i="50"/>
  <c r="AE35" i="50"/>
  <c r="AE24" i="50"/>
  <c r="AE17" i="50"/>
  <c r="AE33" i="50"/>
  <c r="AE15" i="50"/>
  <c r="AE31" i="50"/>
  <c r="AE16" i="50"/>
  <c r="AE47" i="50"/>
  <c r="AE63" i="50"/>
  <c r="AE56" i="50"/>
  <c r="AE30" i="50"/>
  <c r="AE38" i="50"/>
  <c r="AE54" i="50"/>
  <c r="AE25" i="50"/>
  <c r="AE39" i="50"/>
  <c r="AE44" i="50"/>
  <c r="AE42" i="50"/>
  <c r="AE46" i="50"/>
  <c r="AE50" i="50"/>
  <c r="AE52" i="50"/>
  <c r="AE20" i="50"/>
  <c r="AE49" i="50"/>
  <c r="AE26" i="50"/>
  <c r="AE60" i="50"/>
  <c r="AE29" i="50"/>
  <c r="AE11" i="50"/>
  <c r="AE9" i="50"/>
  <c r="AE23" i="50"/>
  <c r="AE22" i="50"/>
  <c r="AE58" i="50"/>
  <c r="AE61" i="50"/>
  <c r="AE41" i="50"/>
  <c r="AE48" i="50"/>
  <c r="AE170" i="50" s="1"/>
  <c r="AE32" i="50"/>
  <c r="AE43" i="50"/>
  <c r="AE62" i="50"/>
  <c r="AE13" i="50"/>
  <c r="AE12" i="50"/>
  <c r="AE27" i="50"/>
  <c r="AE55" i="50"/>
  <c r="AE14" i="50"/>
  <c r="AE10" i="50"/>
  <c r="AE28" i="50"/>
  <c r="AE36" i="50"/>
  <c r="AE57" i="50"/>
  <c r="AE18" i="50"/>
  <c r="AE34" i="50"/>
  <c r="AE40" i="50"/>
  <c r="AE59" i="50"/>
  <c r="AE45" i="50"/>
  <c r="AE51" i="50"/>
  <c r="Y8" i="50"/>
  <c r="Y23" i="50"/>
  <c r="Y21" i="50"/>
  <c r="Y37" i="50"/>
  <c r="Y19" i="50"/>
  <c r="Y35" i="50"/>
  <c r="Y17" i="50"/>
  <c r="Y33" i="50"/>
  <c r="Y34" i="50"/>
  <c r="Y49" i="50"/>
  <c r="Y16" i="50"/>
  <c r="Y40" i="50"/>
  <c r="Y56" i="50"/>
  <c r="Y11" i="50"/>
  <c r="Y10" i="50"/>
  <c r="Y25" i="50"/>
  <c r="Y18" i="50"/>
  <c r="Y38" i="50"/>
  <c r="Y50" i="50"/>
  <c r="Y62" i="50"/>
  <c r="Y24" i="50"/>
  <c r="Y32" i="50"/>
  <c r="Y60" i="50"/>
  <c r="Y15" i="50"/>
  <c r="Y14" i="50"/>
  <c r="Y29" i="50"/>
  <c r="Y27" i="50"/>
  <c r="Y41" i="50"/>
  <c r="Y45" i="50"/>
  <c r="Y48" i="50"/>
  <c r="Y170" i="50" s="1"/>
  <c r="Y12" i="50"/>
  <c r="Y22" i="50"/>
  <c r="Y30" i="50"/>
  <c r="Y51" i="50"/>
  <c r="Y59" i="50"/>
  <c r="Y20" i="50"/>
  <c r="Y28" i="50"/>
  <c r="Y54" i="50"/>
  <c r="Y9" i="50"/>
  <c r="Y26" i="50"/>
  <c r="Y44" i="50"/>
  <c r="Y52" i="50"/>
  <c r="Y31" i="50"/>
  <c r="Y61" i="50"/>
  <c r="Y42" i="50"/>
  <c r="Y55" i="50"/>
  <c r="Y57" i="50"/>
  <c r="Y36" i="50"/>
  <c r="Y46" i="50"/>
  <c r="Y58" i="50"/>
  <c r="Y47" i="50"/>
  <c r="Y13" i="50"/>
  <c r="Y39" i="50"/>
  <c r="Y43" i="50"/>
  <c r="Y63" i="50"/>
  <c r="AD8" i="50"/>
  <c r="AD24" i="50"/>
  <c r="AD22" i="50"/>
  <c r="AD27" i="50"/>
  <c r="AD38" i="50"/>
  <c r="AD20" i="50"/>
  <c r="AD36" i="50"/>
  <c r="AD18" i="50"/>
  <c r="AD34" i="50"/>
  <c r="AD19" i="50"/>
  <c r="AD50" i="50"/>
  <c r="AD43" i="50"/>
  <c r="AD33" i="50"/>
  <c r="AD41" i="50"/>
  <c r="AD57" i="50"/>
  <c r="AD28" i="50"/>
  <c r="AD10" i="50"/>
  <c r="AD35" i="50"/>
  <c r="AD42" i="50"/>
  <c r="AD55" i="50"/>
  <c r="AD56" i="50"/>
  <c r="AD13" i="50"/>
  <c r="AD23" i="50"/>
  <c r="AD52" i="50"/>
  <c r="AD39" i="50"/>
  <c r="AD47" i="50"/>
  <c r="AD32" i="50"/>
  <c r="AD14" i="50"/>
  <c r="AD17" i="50"/>
  <c r="AD45" i="50"/>
  <c r="AD21" i="50"/>
  <c r="AD37" i="50"/>
  <c r="AD9" i="50"/>
  <c r="AD59" i="50"/>
  <c r="AD15" i="50"/>
  <c r="AD16" i="50"/>
  <c r="AD12" i="50"/>
  <c r="AD11" i="50"/>
  <c r="AD26" i="50"/>
  <c r="AD25" i="50"/>
  <c r="AD49" i="50"/>
  <c r="AD48" i="50"/>
  <c r="AD170" i="50" s="1"/>
  <c r="AD31" i="50"/>
  <c r="AD40" i="50"/>
  <c r="AD58" i="50"/>
  <c r="AD54" i="50"/>
  <c r="AD63" i="50"/>
  <c r="AD62" i="50"/>
  <c r="AD30" i="50"/>
  <c r="AD46" i="50"/>
  <c r="AD61" i="50"/>
  <c r="AD51" i="50"/>
  <c r="AD44" i="50"/>
  <c r="AD60" i="50"/>
  <c r="AD29" i="50"/>
  <c r="BV24" i="50"/>
  <c r="BV56" i="50"/>
  <c r="BV39" i="50"/>
  <c r="BV33" i="50"/>
  <c r="BV65" i="50"/>
  <c r="BV18" i="50"/>
  <c r="BV50" i="50"/>
  <c r="BV19" i="50"/>
  <c r="BV51" i="50"/>
  <c r="BV54" i="50"/>
  <c r="BV28" i="50"/>
  <c r="BV60" i="50"/>
  <c r="BV23" i="50"/>
  <c r="BV30" i="50"/>
  <c r="BV16" i="50"/>
  <c r="BV64" i="50"/>
  <c r="BV17" i="50"/>
  <c r="BV57" i="50"/>
  <c r="BV26" i="50"/>
  <c r="BV66" i="50"/>
  <c r="BV11" i="50"/>
  <c r="BV59" i="50"/>
  <c r="BV12" i="50"/>
  <c r="BV52" i="50"/>
  <c r="BV55" i="50"/>
  <c r="BV46" i="50"/>
  <c r="BV32" i="50"/>
  <c r="BV45" i="50"/>
  <c r="BV25" i="50"/>
  <c r="BV37" i="50"/>
  <c r="BV34" i="50"/>
  <c r="BV13" i="50"/>
  <c r="BV27" i="50"/>
  <c r="BV67" i="50"/>
  <c r="BV20" i="50"/>
  <c r="BV8" i="50"/>
  <c r="BV14" i="50"/>
  <c r="BV40" i="50"/>
  <c r="BV41" i="50"/>
  <c r="BV42" i="50"/>
  <c r="BV35" i="50"/>
  <c r="BV36" i="50"/>
  <c r="BV22" i="50"/>
  <c r="BV9" i="50"/>
  <c r="BV58" i="50"/>
  <c r="BV21" i="50"/>
  <c r="BV61" i="50"/>
  <c r="BV49" i="50"/>
  <c r="BV15" i="50"/>
  <c r="BV47" i="50"/>
  <c r="BV38" i="50"/>
  <c r="BV31" i="50"/>
  <c r="BV44" i="50"/>
  <c r="BV10" i="50"/>
  <c r="BV29" i="50"/>
  <c r="BV48" i="50"/>
  <c r="BV170" i="50" s="1"/>
  <c r="BV63" i="50"/>
  <c r="BV62" i="50"/>
  <c r="BV43" i="50"/>
  <c r="BO8" i="50"/>
  <c r="BO9" i="50"/>
  <c r="BO25" i="50"/>
  <c r="BO14" i="50"/>
  <c r="BO30" i="50"/>
  <c r="BO46" i="50"/>
  <c r="BO62" i="50"/>
  <c r="BO15" i="50"/>
  <c r="BO13" i="50"/>
  <c r="BO17" i="50"/>
  <c r="BO21" i="50"/>
  <c r="BO18" i="50"/>
  <c r="BO22" i="50"/>
  <c r="BO26" i="50"/>
  <c r="BO45" i="50"/>
  <c r="BO55" i="50"/>
  <c r="BO31" i="50"/>
  <c r="BO48" i="50"/>
  <c r="BO170" i="50" s="1"/>
  <c r="BO65" i="50"/>
  <c r="BO10" i="50"/>
  <c r="BO66" i="50"/>
  <c r="BO23" i="50"/>
  <c r="BO29" i="50"/>
  <c r="BO59" i="50"/>
  <c r="BO12" i="50"/>
  <c r="BO39" i="50"/>
  <c r="BO56" i="50"/>
  <c r="BO35" i="50"/>
  <c r="BO52" i="50"/>
  <c r="BO33" i="50"/>
  <c r="BO24" i="50"/>
  <c r="BO64" i="50"/>
  <c r="BO54" i="50"/>
  <c r="BO11" i="50"/>
  <c r="BO27" i="50"/>
  <c r="BO51" i="50"/>
  <c r="BO38" i="50"/>
  <c r="BO28" i="50"/>
  <c r="BO63" i="50"/>
  <c r="BO50" i="50"/>
  <c r="BO58" i="50"/>
  <c r="BO43" i="50"/>
  <c r="BO60" i="50"/>
  <c r="BO20" i="50"/>
  <c r="BO40" i="50"/>
  <c r="BO57" i="50"/>
  <c r="BO37" i="50"/>
  <c r="BO34" i="50"/>
  <c r="BO44" i="50"/>
  <c r="BO16" i="50"/>
  <c r="BO32" i="50"/>
  <c r="BO42" i="50"/>
  <c r="BO61" i="50"/>
  <c r="BO41" i="50"/>
  <c r="BO19" i="50"/>
  <c r="BO36" i="50"/>
  <c r="BO49" i="50"/>
  <c r="BO47" i="50"/>
  <c r="BT9" i="50"/>
  <c r="BT41" i="50"/>
  <c r="BT31" i="50"/>
  <c r="BT26" i="50"/>
  <c r="BT58" i="50"/>
  <c r="BT11" i="50"/>
  <c r="BT43" i="50"/>
  <c r="BT63" i="50"/>
  <c r="BT28" i="50"/>
  <c r="BT60" i="50"/>
  <c r="BT21" i="50"/>
  <c r="BT48" i="50"/>
  <c r="BT170" i="50" s="1"/>
  <c r="BT38" i="50"/>
  <c r="BT23" i="50"/>
  <c r="BT8" i="50"/>
  <c r="BT33" i="50"/>
  <c r="BT24" i="50"/>
  <c r="BT42" i="50"/>
  <c r="BT32" i="50"/>
  <c r="BT51" i="50"/>
  <c r="BT12" i="50"/>
  <c r="BT52" i="50"/>
  <c r="BT29" i="50"/>
  <c r="BT15" i="50"/>
  <c r="BT30" i="50"/>
  <c r="BT16" i="50"/>
  <c r="BT17" i="50"/>
  <c r="BT65" i="50"/>
  <c r="BT50" i="50"/>
  <c r="BT27" i="50"/>
  <c r="BT56" i="50"/>
  <c r="BT39" i="50"/>
  <c r="BT45" i="50"/>
  <c r="BT22" i="50"/>
  <c r="BT64" i="50"/>
  <c r="BT25" i="50"/>
  <c r="BT10" i="50"/>
  <c r="BT66" i="50"/>
  <c r="BT35" i="50"/>
  <c r="BT20" i="50"/>
  <c r="BT40" i="50"/>
  <c r="BT61" i="50"/>
  <c r="BT46" i="50"/>
  <c r="BT18" i="50"/>
  <c r="BT59" i="50"/>
  <c r="BT13" i="50"/>
  <c r="BT54" i="50"/>
  <c r="BT34" i="50"/>
  <c r="BT67" i="50"/>
  <c r="BT37" i="50"/>
  <c r="BT62" i="50"/>
  <c r="BT49" i="50"/>
  <c r="BT47" i="50"/>
  <c r="BT36" i="50"/>
  <c r="BT55" i="50"/>
  <c r="BT14" i="50"/>
  <c r="BT57" i="50"/>
  <c r="BT19" i="50"/>
  <c r="BT44" i="50"/>
  <c r="P6" i="30"/>
  <c r="I8" i="50"/>
  <c r="V7" i="5"/>
  <c r="I19" i="50"/>
  <c r="K19" i="50" s="1"/>
  <c r="P63" i="30"/>
  <c r="V30" i="5"/>
  <c r="W30" i="5" s="1"/>
  <c r="V34" i="5"/>
  <c r="W34" i="5" s="1"/>
  <c r="V31" i="5"/>
  <c r="W31" i="5" s="1"/>
  <c r="I11" i="50"/>
  <c r="K11" i="50" s="1"/>
  <c r="V10" i="5"/>
  <c r="W10" i="5" s="1"/>
  <c r="I16" i="50"/>
  <c r="K16" i="50" s="1"/>
  <c r="P9" i="30"/>
  <c r="I166" i="50"/>
  <c r="U58" i="50"/>
  <c r="U39" i="50"/>
  <c r="U46" i="50"/>
  <c r="U38" i="50"/>
  <c r="U16" i="50"/>
  <c r="U37" i="50"/>
  <c r="U10" i="50"/>
  <c r="U36" i="50"/>
  <c r="U34" i="50"/>
  <c r="U35" i="50"/>
  <c r="U52" i="50"/>
  <c r="U41" i="50"/>
  <c r="U28" i="50"/>
  <c r="U33" i="50"/>
  <c r="U22" i="50"/>
  <c r="U32" i="50"/>
  <c r="U31" i="50"/>
  <c r="U30" i="50"/>
  <c r="U29" i="50"/>
  <c r="U44" i="50"/>
  <c r="U63" i="50"/>
  <c r="U27" i="50"/>
  <c r="U62" i="50"/>
  <c r="U26" i="50"/>
  <c r="U61" i="50"/>
  <c r="U25" i="50"/>
  <c r="U60" i="50"/>
  <c r="U24" i="50"/>
  <c r="U59" i="50"/>
  <c r="U23" i="50"/>
  <c r="U43" i="50"/>
  <c r="U57" i="50"/>
  <c r="U21" i="50"/>
  <c r="U56" i="50"/>
  <c r="U20" i="50"/>
  <c r="U55" i="50"/>
  <c r="U19" i="50"/>
  <c r="U54" i="50"/>
  <c r="U18" i="50"/>
  <c r="U17" i="50"/>
  <c r="U9" i="50"/>
  <c r="U42" i="50"/>
  <c r="U51" i="50"/>
  <c r="U15" i="50"/>
  <c r="U50" i="50"/>
  <c r="U14" i="50"/>
  <c r="U49" i="50"/>
  <c r="U13" i="50"/>
  <c r="U48" i="50"/>
  <c r="U170" i="50" s="1"/>
  <c r="U12" i="50"/>
  <c r="U47" i="50"/>
  <c r="U11" i="50"/>
  <c r="U45" i="50"/>
  <c r="U40" i="50"/>
  <c r="AO143" i="50"/>
  <c r="W34" i="36"/>
  <c r="W33" i="36"/>
  <c r="W32" i="36"/>
  <c r="W31" i="36"/>
  <c r="W30" i="36"/>
  <c r="W29" i="36"/>
  <c r="W40" i="36"/>
  <c r="W39" i="36"/>
  <c r="W38" i="36"/>
  <c r="W37" i="36"/>
  <c r="W36" i="36"/>
  <c r="W35" i="36"/>
  <c r="EA10" i="50" l="1"/>
  <c r="DT169" i="50"/>
  <c r="CQ169" i="50"/>
  <c r="DU168" i="50"/>
  <c r="DU169" i="50"/>
  <c r="DU167" i="50"/>
  <c r="DU165" i="50"/>
  <c r="DT168" i="50"/>
  <c r="DT166" i="50"/>
  <c r="DT167" i="50"/>
  <c r="DU166" i="50"/>
  <c r="EA120" i="50"/>
  <c r="R120" i="50" s="1"/>
  <c r="DT140" i="50"/>
  <c r="DT165" i="50"/>
  <c r="DU140" i="50"/>
  <c r="EA132" i="50"/>
  <c r="R132" i="50" s="1"/>
  <c r="DS168" i="50"/>
  <c r="DS166" i="50"/>
  <c r="DS140" i="50"/>
  <c r="DS165" i="50"/>
  <c r="DS167" i="50"/>
  <c r="DS169" i="50"/>
  <c r="EA110" i="50"/>
  <c r="R110" i="50" s="1"/>
  <c r="DR169" i="50"/>
  <c r="EA91" i="50"/>
  <c r="EA53" i="50"/>
  <c r="EA126" i="50"/>
  <c r="R126" i="50" s="1"/>
  <c r="DR166" i="50"/>
  <c r="DR140" i="50"/>
  <c r="DR165" i="50"/>
  <c r="DR168" i="50"/>
  <c r="DR167" i="50"/>
  <c r="EA74" i="50"/>
  <c r="EA76" i="50"/>
  <c r="EA117" i="50"/>
  <c r="R117" i="50" s="1"/>
  <c r="EA136" i="50"/>
  <c r="R136" i="50" s="1"/>
  <c r="EA111" i="50"/>
  <c r="R111" i="50" s="1"/>
  <c r="EA90" i="50"/>
  <c r="EA87" i="50"/>
  <c r="EA68" i="50"/>
  <c r="EA89" i="50"/>
  <c r="EA121" i="50"/>
  <c r="R121" i="50" s="1"/>
  <c r="EA123" i="50"/>
  <c r="R123" i="50" s="1"/>
  <c r="EA129" i="50"/>
  <c r="R129" i="50" s="1"/>
  <c r="EA139" i="50"/>
  <c r="R139" i="50" s="1"/>
  <c r="EA97" i="50"/>
  <c r="EA85" i="50"/>
  <c r="EA80" i="50"/>
  <c r="S80" i="50" s="1"/>
  <c r="EA75" i="50"/>
  <c r="EA106" i="50"/>
  <c r="DQ168" i="50"/>
  <c r="EA101" i="50"/>
  <c r="DQ169" i="50"/>
  <c r="EA69" i="50"/>
  <c r="EA134" i="50"/>
  <c r="R134" i="50" s="1"/>
  <c r="EA107" i="50"/>
  <c r="EA71" i="50"/>
  <c r="EA114" i="50"/>
  <c r="R114" i="50" s="1"/>
  <c r="DQ166" i="50"/>
  <c r="DQ140" i="50"/>
  <c r="DQ165" i="50"/>
  <c r="DQ167" i="50"/>
  <c r="EA99" i="50"/>
  <c r="EA124" i="50"/>
  <c r="R124" i="50" s="1"/>
  <c r="EA116" i="50"/>
  <c r="R116" i="50" s="1"/>
  <c r="EA100" i="50"/>
  <c r="EA70" i="50"/>
  <c r="EA92" i="50"/>
  <c r="EA133" i="50"/>
  <c r="R133" i="50" s="1"/>
  <c r="EA104" i="50"/>
  <c r="EA73" i="50"/>
  <c r="EA84" i="50"/>
  <c r="DP169" i="50"/>
  <c r="EA78" i="50"/>
  <c r="S78" i="50" s="1"/>
  <c r="EA83" i="50"/>
  <c r="EA72" i="50"/>
  <c r="EA86" i="50"/>
  <c r="EA102" i="50"/>
  <c r="EA118" i="50"/>
  <c r="R118" i="50" s="1"/>
  <c r="EA95" i="50"/>
  <c r="EA112" i="50"/>
  <c r="R112" i="50" s="1"/>
  <c r="EA109" i="50"/>
  <c r="R109" i="50" s="1"/>
  <c r="EA130" i="50"/>
  <c r="R130" i="50" s="1"/>
  <c r="EA94" i="50"/>
  <c r="EA105" i="50"/>
  <c r="EA137" i="50"/>
  <c r="R137" i="50" s="1"/>
  <c r="EA115" i="50"/>
  <c r="R115" i="50" s="1"/>
  <c r="EA82" i="50"/>
  <c r="EA127" i="50"/>
  <c r="R127" i="50" s="1"/>
  <c r="EA93" i="50"/>
  <c r="EA81" i="50"/>
  <c r="EA108" i="50"/>
  <c r="EA113" i="50"/>
  <c r="R113" i="50" s="1"/>
  <c r="EA77" i="50"/>
  <c r="S77" i="50" s="1"/>
  <c r="EA88" i="50"/>
  <c r="EA98" i="50"/>
  <c r="EA128" i="50"/>
  <c r="EA79" i="50"/>
  <c r="S79" i="50" s="1"/>
  <c r="EA131" i="50"/>
  <c r="R131" i="50" s="1"/>
  <c r="EA103" i="50"/>
  <c r="EA135" i="50"/>
  <c r="R135" i="50" s="1"/>
  <c r="EA119" i="50"/>
  <c r="R119" i="50" s="1"/>
  <c r="EA138" i="50"/>
  <c r="R138" i="50" s="1"/>
  <c r="EA96" i="50"/>
  <c r="EA122" i="50"/>
  <c r="R122" i="50" s="1"/>
  <c r="DP167" i="50"/>
  <c r="DP166" i="50"/>
  <c r="DP140" i="50"/>
  <c r="DP165" i="50"/>
  <c r="DP168" i="50"/>
  <c r="AU115" i="50"/>
  <c r="AU126" i="50"/>
  <c r="BW111" i="50"/>
  <c r="AU136" i="50"/>
  <c r="BW117" i="50"/>
  <c r="CK114" i="50"/>
  <c r="BW116" i="50"/>
  <c r="BW131" i="50"/>
  <c r="AU119" i="50"/>
  <c r="AR169" i="50"/>
  <c r="AU122" i="50"/>
  <c r="AU133" i="50"/>
  <c r="CK126" i="50"/>
  <c r="DM116" i="50"/>
  <c r="BW112" i="50"/>
  <c r="DM131" i="50"/>
  <c r="DM126" i="50"/>
  <c r="BW129" i="50"/>
  <c r="AU127" i="50"/>
  <c r="DM133" i="50"/>
  <c r="AU113" i="50"/>
  <c r="AU137" i="50"/>
  <c r="CK129" i="50"/>
  <c r="DM117" i="50"/>
  <c r="BW132" i="50"/>
  <c r="BW133" i="50"/>
  <c r="BW119" i="50"/>
  <c r="AU121" i="50"/>
  <c r="AU135" i="50"/>
  <c r="CK128" i="50"/>
  <c r="CK113" i="50"/>
  <c r="CK115" i="50"/>
  <c r="DM125" i="50"/>
  <c r="DM121" i="50"/>
  <c r="BW125" i="50"/>
  <c r="CK125" i="50"/>
  <c r="BW138" i="50"/>
  <c r="AU139" i="50"/>
  <c r="AU118" i="50"/>
  <c r="BW139" i="50"/>
  <c r="AU129" i="50"/>
  <c r="CK134" i="50"/>
  <c r="CK120" i="50"/>
  <c r="CK135" i="50"/>
  <c r="DM119" i="50"/>
  <c r="DM111" i="50"/>
  <c r="BW122" i="50"/>
  <c r="CK124" i="50"/>
  <c r="DM138" i="50"/>
  <c r="BW128" i="50"/>
  <c r="AU114" i="50"/>
  <c r="AU112" i="50"/>
  <c r="CK127" i="50"/>
  <c r="CK122" i="50"/>
  <c r="CK121" i="50"/>
  <c r="DM134" i="50"/>
  <c r="DM122" i="50"/>
  <c r="DM114" i="50"/>
  <c r="AU138" i="50"/>
  <c r="AU134" i="50"/>
  <c r="CK130" i="50"/>
  <c r="DM136" i="50"/>
  <c r="BW115" i="50"/>
  <c r="BW121" i="50"/>
  <c r="BW118" i="50"/>
  <c r="AU120" i="50"/>
  <c r="CK138" i="50"/>
  <c r="DM120" i="50"/>
  <c r="BW126" i="50"/>
  <c r="BW123" i="50"/>
  <c r="AU116" i="50"/>
  <c r="DM124" i="50"/>
  <c r="DM127" i="50"/>
  <c r="BW134" i="50"/>
  <c r="BW135" i="50"/>
  <c r="AU117" i="50"/>
  <c r="CK118" i="50"/>
  <c r="BW113" i="50"/>
  <c r="AU124" i="50"/>
  <c r="AU130" i="50"/>
  <c r="AU128" i="50"/>
  <c r="CK133" i="50"/>
  <c r="CK136" i="50"/>
  <c r="DM110" i="50"/>
  <c r="DM130" i="50"/>
  <c r="BW124" i="50"/>
  <c r="AU125" i="50"/>
  <c r="CK112" i="50"/>
  <c r="CK111" i="50"/>
  <c r="DM129" i="50"/>
  <c r="DM137" i="50"/>
  <c r="AU132" i="50"/>
  <c r="CK139" i="50"/>
  <c r="DM112" i="50"/>
  <c r="DL169" i="50"/>
  <c r="BW136" i="50"/>
  <c r="AU131" i="50"/>
  <c r="CK131" i="50"/>
  <c r="CK123" i="50"/>
  <c r="DM135" i="50"/>
  <c r="DM123" i="50"/>
  <c r="AG117" i="50"/>
  <c r="AG131" i="50"/>
  <c r="AG129" i="50"/>
  <c r="AG118" i="50"/>
  <c r="CY117" i="50"/>
  <c r="CY116" i="50"/>
  <c r="CY121" i="50"/>
  <c r="CY112" i="50"/>
  <c r="BI135" i="50"/>
  <c r="BI126" i="50"/>
  <c r="BI123" i="50"/>
  <c r="BI122" i="50"/>
  <c r="AG133" i="50"/>
  <c r="AG126" i="50"/>
  <c r="AG121" i="50"/>
  <c r="AG119" i="50"/>
  <c r="CY122" i="50"/>
  <c r="CY114" i="50"/>
  <c r="CY131" i="50"/>
  <c r="CY129" i="50"/>
  <c r="BI133" i="50"/>
  <c r="BI139" i="50"/>
  <c r="BI120" i="50"/>
  <c r="BI132" i="50"/>
  <c r="CK119" i="50"/>
  <c r="DM115" i="50"/>
  <c r="AG135" i="50"/>
  <c r="AG127" i="50"/>
  <c r="AG139" i="50"/>
  <c r="CY120" i="50"/>
  <c r="CY124" i="50"/>
  <c r="CY115" i="50"/>
  <c r="CY111" i="50"/>
  <c r="BI117" i="50"/>
  <c r="BI125" i="50"/>
  <c r="BI130" i="50"/>
  <c r="BI116" i="50"/>
  <c r="BW137" i="50"/>
  <c r="CK117" i="50"/>
  <c r="AG132" i="50"/>
  <c r="AG136" i="50"/>
  <c r="AG124" i="50"/>
  <c r="AG128" i="50"/>
  <c r="CY128" i="50"/>
  <c r="CY133" i="50"/>
  <c r="CY113" i="50"/>
  <c r="CY109" i="50"/>
  <c r="BI127" i="50"/>
  <c r="BI124" i="50"/>
  <c r="BI114" i="50"/>
  <c r="BW120" i="50"/>
  <c r="CK132" i="50"/>
  <c r="DM118" i="50"/>
  <c r="AG116" i="50"/>
  <c r="AG120" i="50"/>
  <c r="AG125" i="50"/>
  <c r="AG112" i="50"/>
  <c r="CY126" i="50"/>
  <c r="CY138" i="50"/>
  <c r="CY125" i="50"/>
  <c r="CY139" i="50"/>
  <c r="BI111" i="50"/>
  <c r="BI119" i="50"/>
  <c r="BI134" i="50"/>
  <c r="AU111" i="50"/>
  <c r="AU123" i="50"/>
  <c r="CK116" i="50"/>
  <c r="DM113" i="50"/>
  <c r="DM139" i="50"/>
  <c r="AG138" i="50"/>
  <c r="AG123" i="50"/>
  <c r="AG111" i="50"/>
  <c r="CY134" i="50"/>
  <c r="CY136" i="50"/>
  <c r="CY110" i="50"/>
  <c r="CY123" i="50"/>
  <c r="BI121" i="50"/>
  <c r="BI136" i="50"/>
  <c r="BI118" i="50"/>
  <c r="BW130" i="50"/>
  <c r="BW127" i="50"/>
  <c r="BW114" i="50"/>
  <c r="CK137" i="50"/>
  <c r="DM128" i="50"/>
  <c r="DM132" i="50"/>
  <c r="AG137" i="50"/>
  <c r="AG130" i="50"/>
  <c r="AG115" i="50"/>
  <c r="CY132" i="50"/>
  <c r="CY127" i="50"/>
  <c r="CY135" i="50"/>
  <c r="BI131" i="50"/>
  <c r="BI138" i="50"/>
  <c r="BI129" i="50"/>
  <c r="BI128" i="50"/>
  <c r="AG122" i="50"/>
  <c r="AG113" i="50"/>
  <c r="AG114" i="50"/>
  <c r="AG134" i="50"/>
  <c r="CY130" i="50"/>
  <c r="CY118" i="50"/>
  <c r="CY137" i="50"/>
  <c r="CY119" i="50"/>
  <c r="BI137" i="50"/>
  <c r="BI115" i="50"/>
  <c r="BI113" i="50"/>
  <c r="BI112" i="50"/>
  <c r="BQ169" i="50"/>
  <c r="AO169" i="50"/>
  <c r="CA169" i="50"/>
  <c r="DB169" i="50"/>
  <c r="AG108" i="50"/>
  <c r="CF169" i="50"/>
  <c r="DC169" i="50"/>
  <c r="DJ169" i="50"/>
  <c r="AX169" i="50"/>
  <c r="BZ169" i="50"/>
  <c r="CR169" i="50"/>
  <c r="DE169" i="50"/>
  <c r="CU169" i="50"/>
  <c r="Y169" i="50"/>
  <c r="AM169" i="50"/>
  <c r="X168" i="50"/>
  <c r="X169" i="50"/>
  <c r="CB169" i="50"/>
  <c r="BS169" i="50"/>
  <c r="AB169" i="50"/>
  <c r="BB169" i="50"/>
  <c r="CG169" i="50"/>
  <c r="CW169" i="50"/>
  <c r="DA168" i="50"/>
  <c r="DI168" i="50"/>
  <c r="BN169" i="50"/>
  <c r="AQ169" i="50"/>
  <c r="CV169" i="50"/>
  <c r="BT169" i="50"/>
  <c r="BF168" i="50"/>
  <c r="BA169" i="50"/>
  <c r="AF169" i="50"/>
  <c r="AK169" i="50"/>
  <c r="CN169" i="50"/>
  <c r="U167" i="50"/>
  <c r="U169" i="50"/>
  <c r="BV168" i="50"/>
  <c r="AE167" i="50"/>
  <c r="AM168" i="50"/>
  <c r="BR166" i="50"/>
  <c r="Z166" i="50"/>
  <c r="CB168" i="50"/>
  <c r="AQ168" i="50"/>
  <c r="AL166" i="50"/>
  <c r="CD169" i="50"/>
  <c r="DG168" i="50"/>
  <c r="CH169" i="50"/>
  <c r="DJ168" i="50"/>
  <c r="V169" i="50"/>
  <c r="CM169" i="50"/>
  <c r="CX169" i="50"/>
  <c r="DI166" i="50"/>
  <c r="DK166" i="50"/>
  <c r="BT167" i="50"/>
  <c r="BO166" i="50"/>
  <c r="AP168" i="50"/>
  <c r="AP166" i="50"/>
  <c r="CA167" i="50"/>
  <c r="CA140" i="50"/>
  <c r="CA147" i="50" s="1"/>
  <c r="CA165" i="50"/>
  <c r="AY166" i="50"/>
  <c r="BK166" i="50"/>
  <c r="X140" i="50"/>
  <c r="X165" i="50"/>
  <c r="AI168" i="50"/>
  <c r="AT168" i="50"/>
  <c r="CC167" i="50"/>
  <c r="CC140" i="50"/>
  <c r="CC147" i="50" s="1"/>
  <c r="CC165" i="50"/>
  <c r="CC168" i="50"/>
  <c r="AZ166" i="50"/>
  <c r="BS166" i="50"/>
  <c r="BN166" i="50"/>
  <c r="AQ166" i="50"/>
  <c r="AL167" i="50"/>
  <c r="BU166" i="50"/>
  <c r="AB167" i="50"/>
  <c r="BD166" i="50"/>
  <c r="AC169" i="50"/>
  <c r="AK168" i="50"/>
  <c r="BZ140" i="50"/>
  <c r="BZ147" i="50" s="1"/>
  <c r="BZ165" i="50"/>
  <c r="CJ140" i="50"/>
  <c r="CJ147" i="50" s="1"/>
  <c r="CJ165" i="50"/>
  <c r="CU168" i="50"/>
  <c r="CQ140" i="50"/>
  <c r="CQ147" i="50" s="1"/>
  <c r="CQ165" i="50"/>
  <c r="CI169" i="50"/>
  <c r="CT140" i="50"/>
  <c r="CT147" i="50" s="1"/>
  <c r="CT165" i="50"/>
  <c r="CT169" i="50"/>
  <c r="CP166" i="50"/>
  <c r="CW166" i="50"/>
  <c r="CO167" i="50"/>
  <c r="DE140" i="50"/>
  <c r="DE165" i="50"/>
  <c r="DD169" i="50"/>
  <c r="DB168" i="50"/>
  <c r="DI167" i="50"/>
  <c r="DH167" i="50"/>
  <c r="AG107" i="50"/>
  <c r="CK110" i="50"/>
  <c r="DO169" i="50"/>
  <c r="Y140" i="50"/>
  <c r="Y165" i="50"/>
  <c r="BV166" i="50"/>
  <c r="AE169" i="50"/>
  <c r="AR167" i="50"/>
  <c r="AY169" i="50"/>
  <c r="AY167" i="50"/>
  <c r="BP167" i="50"/>
  <c r="BK167" i="50"/>
  <c r="Z140" i="50"/>
  <c r="Z165" i="50"/>
  <c r="X166" i="50"/>
  <c r="AN166" i="50"/>
  <c r="CC169" i="50"/>
  <c r="BF167" i="50"/>
  <c r="BA167" i="50"/>
  <c r="W166" i="50"/>
  <c r="BU167" i="50"/>
  <c r="BQ166" i="50"/>
  <c r="V167" i="50"/>
  <c r="V166" i="50"/>
  <c r="AA169" i="50"/>
  <c r="AO168" i="50"/>
  <c r="BY166" i="50"/>
  <c r="BD168" i="50"/>
  <c r="BD167" i="50"/>
  <c r="BM166" i="50"/>
  <c r="AF140" i="50"/>
  <c r="AF165" i="50"/>
  <c r="CR140" i="50"/>
  <c r="CR147" i="50" s="1"/>
  <c r="CR165" i="50"/>
  <c r="CT168" i="50"/>
  <c r="CS168" i="50"/>
  <c r="CW168" i="50"/>
  <c r="CO168" i="50"/>
  <c r="CV167" i="50"/>
  <c r="DE166" i="50"/>
  <c r="DD140" i="50"/>
  <c r="DD165" i="50"/>
  <c r="DF140" i="50"/>
  <c r="DF165" i="50"/>
  <c r="DG166" i="50"/>
  <c r="DH169" i="50"/>
  <c r="DH168" i="50"/>
  <c r="DK169" i="50"/>
  <c r="DL167" i="50"/>
  <c r="DL166" i="50"/>
  <c r="AR166" i="50"/>
  <c r="BO168" i="50"/>
  <c r="BV167" i="50"/>
  <c r="CA166" i="50"/>
  <c r="AY168" i="50"/>
  <c r="BP169" i="50"/>
  <c r="BK168" i="50"/>
  <c r="BR168" i="50"/>
  <c r="Z169" i="50"/>
  <c r="U140" i="50"/>
  <c r="U165" i="50"/>
  <c r="CB166" i="50"/>
  <c r="AZ167" i="50"/>
  <c r="BC166" i="50"/>
  <c r="BL166" i="50"/>
  <c r="BU169" i="50"/>
  <c r="V168" i="50"/>
  <c r="AB166" i="50"/>
  <c r="AB140" i="50"/>
  <c r="AB165" i="50"/>
  <c r="AS169" i="50"/>
  <c r="AO166" i="50"/>
  <c r="BY168" i="50"/>
  <c r="BM168" i="50"/>
  <c r="BM169" i="50"/>
  <c r="AC167" i="50"/>
  <c r="AC140" i="50"/>
  <c r="AC165" i="50"/>
  <c r="AK167" i="50"/>
  <c r="BZ166" i="50"/>
  <c r="CE166" i="50"/>
  <c r="CN166" i="50"/>
  <c r="CQ167" i="50"/>
  <c r="CQ168" i="50"/>
  <c r="CQ166" i="50"/>
  <c r="CM168" i="50"/>
  <c r="CI168" i="50"/>
  <c r="CI166" i="50"/>
  <c r="CS166" i="50"/>
  <c r="CO140" i="50"/>
  <c r="CO165" i="50"/>
  <c r="CH140" i="50"/>
  <c r="CH147" i="50" s="1"/>
  <c r="CH165" i="50"/>
  <c r="DA169" i="50"/>
  <c r="DA166" i="50"/>
  <c r="DB167" i="50"/>
  <c r="DB140" i="50"/>
  <c r="DB165" i="50"/>
  <c r="DG169" i="50"/>
  <c r="DH166" i="50"/>
  <c r="DJ166" i="50"/>
  <c r="BV169" i="50"/>
  <c r="U168" i="50"/>
  <c r="U166" i="50"/>
  <c r="BT140" i="50"/>
  <c r="BT165" i="50"/>
  <c r="BV140" i="50"/>
  <c r="BV165" i="50"/>
  <c r="AD168" i="50"/>
  <c r="Y167" i="50"/>
  <c r="AE140" i="50"/>
  <c r="AE165" i="50"/>
  <c r="AR168" i="50"/>
  <c r="AM166" i="50"/>
  <c r="AP169" i="50"/>
  <c r="CA168" i="50"/>
  <c r="BE167" i="50"/>
  <c r="BH168" i="50"/>
  <c r="BP166" i="50"/>
  <c r="Z168" i="50"/>
  <c r="AN169" i="50"/>
  <c r="AI169" i="50"/>
  <c r="AI167" i="50"/>
  <c r="AT167" i="50"/>
  <c r="BN167" i="50"/>
  <c r="AL169" i="50"/>
  <c r="AA168" i="50"/>
  <c r="AA166" i="50"/>
  <c r="AA140" i="50"/>
  <c r="AA165" i="50"/>
  <c r="AJ167" i="50"/>
  <c r="BB166" i="50"/>
  <c r="AW169" i="50"/>
  <c r="AW168" i="50"/>
  <c r="BZ167" i="50"/>
  <c r="AX168" i="50"/>
  <c r="BG167" i="50"/>
  <c r="CD168" i="50"/>
  <c r="CD140" i="50"/>
  <c r="CD147" i="50" s="1"/>
  <c r="CD165" i="50"/>
  <c r="CE169" i="50"/>
  <c r="CE167" i="50"/>
  <c r="CE140" i="50"/>
  <c r="CE147" i="50" s="1"/>
  <c r="CE165" i="50"/>
  <c r="CR166" i="50"/>
  <c r="CI140" i="50"/>
  <c r="CI147" i="50" s="1"/>
  <c r="CI165" i="50"/>
  <c r="CP169" i="50"/>
  <c r="CG140" i="50"/>
  <c r="CG147" i="50" s="1"/>
  <c r="CG165" i="50"/>
  <c r="CS169" i="50"/>
  <c r="CW140" i="50"/>
  <c r="CW165" i="50"/>
  <c r="CW167" i="50"/>
  <c r="CO166" i="50"/>
  <c r="DC166" i="50"/>
  <c r="DC168" i="50"/>
  <c r="DG167" i="50"/>
  <c r="AG109" i="50"/>
  <c r="DL168" i="50"/>
  <c r="DL140" i="50"/>
  <c r="DL165" i="50"/>
  <c r="AP167" i="50"/>
  <c r="BH167" i="50"/>
  <c r="BR140" i="50"/>
  <c r="BR165" i="50"/>
  <c r="X167" i="50"/>
  <c r="CC166" i="50"/>
  <c r="CB140" i="50"/>
  <c r="CB147" i="50" s="1"/>
  <c r="CB165" i="50"/>
  <c r="BA166" i="50"/>
  <c r="BL167" i="50"/>
  <c r="BQ167" i="50"/>
  <c r="BQ140" i="50"/>
  <c r="BQ165" i="50"/>
  <c r="V140" i="50"/>
  <c r="V165" i="50"/>
  <c r="BY169" i="50"/>
  <c r="AX167" i="50"/>
  <c r="CJ168" i="50"/>
  <c r="CM166" i="50"/>
  <c r="CF167" i="50"/>
  <c r="CP140" i="50"/>
  <c r="CP147" i="50" s="1"/>
  <c r="CP165" i="50"/>
  <c r="CG167" i="50"/>
  <c r="DA140" i="50"/>
  <c r="DA165" i="50"/>
  <c r="CH167" i="50"/>
  <c r="CH166" i="50"/>
  <c r="DF168" i="50"/>
  <c r="DB166" i="50"/>
  <c r="DI140" i="50"/>
  <c r="DI165" i="50"/>
  <c r="DH140" i="50"/>
  <c r="DH165" i="50"/>
  <c r="DK140" i="50"/>
  <c r="DK165" i="50"/>
  <c r="AG110" i="50"/>
  <c r="DO166" i="50"/>
  <c r="BT166" i="50"/>
  <c r="BO169" i="50"/>
  <c r="AD166" i="50"/>
  <c r="AD140" i="50"/>
  <c r="AD165" i="50"/>
  <c r="BE168" i="50"/>
  <c r="BH169" i="50"/>
  <c r="BP140" i="50"/>
  <c r="BP165" i="50"/>
  <c r="BK169" i="50"/>
  <c r="BR167" i="50"/>
  <c r="BR169" i="50"/>
  <c r="AI166" i="50"/>
  <c r="CB167" i="50"/>
  <c r="BF169" i="50"/>
  <c r="BA168" i="50"/>
  <c r="AZ168" i="50"/>
  <c r="BS140" i="50"/>
  <c r="BS165" i="50"/>
  <c r="BS168" i="50"/>
  <c r="W169" i="50"/>
  <c r="W167" i="50"/>
  <c r="BC169" i="50"/>
  <c r="BL169" i="50"/>
  <c r="BU140" i="50"/>
  <c r="BU165" i="50"/>
  <c r="AS168" i="50"/>
  <c r="AS166" i="50"/>
  <c r="BY167" i="50"/>
  <c r="BB168" i="50"/>
  <c r="AW166" i="50"/>
  <c r="AW167" i="50"/>
  <c r="BM167" i="50"/>
  <c r="AF168" i="50"/>
  <c r="AK166" i="50"/>
  <c r="BZ168" i="50"/>
  <c r="BG169" i="50"/>
  <c r="CE168" i="50"/>
  <c r="CN168" i="50"/>
  <c r="CR167" i="50"/>
  <c r="CU166" i="50"/>
  <c r="CF168" i="50"/>
  <c r="CF140" i="50"/>
  <c r="CF147" i="50" s="1"/>
  <c r="CF165" i="50"/>
  <c r="CI167" i="50"/>
  <c r="CX166" i="50"/>
  <c r="CP168" i="50"/>
  <c r="CP167" i="50"/>
  <c r="CV140" i="50"/>
  <c r="CV147" i="50" s="1"/>
  <c r="CV165" i="50"/>
  <c r="DE167" i="50"/>
  <c r="DC167" i="50"/>
  <c r="DF166" i="50"/>
  <c r="DG140" i="50"/>
  <c r="DG165" i="50"/>
  <c r="DI169" i="50"/>
  <c r="AU110" i="50"/>
  <c r="DM109" i="50"/>
  <c r="BO167" i="50"/>
  <c r="AD169" i="50"/>
  <c r="Y166" i="50"/>
  <c r="AE166" i="50"/>
  <c r="AE168" i="50"/>
  <c r="AM167" i="50"/>
  <c r="BP168" i="50"/>
  <c r="Z167" i="50"/>
  <c r="AN167" i="50"/>
  <c r="AN168" i="50"/>
  <c r="AT166" i="50"/>
  <c r="AZ169" i="50"/>
  <c r="AQ167" i="50"/>
  <c r="AL168" i="50"/>
  <c r="BC167" i="50"/>
  <c r="BU168" i="50"/>
  <c r="BQ168" i="50"/>
  <c r="AB168" i="50"/>
  <c r="AJ168" i="50"/>
  <c r="AS167" i="50"/>
  <c r="BY140" i="50"/>
  <c r="BY147" i="50" s="1"/>
  <c r="BY165" i="50"/>
  <c r="BD169" i="50"/>
  <c r="AF166" i="50"/>
  <c r="AX166" i="50"/>
  <c r="BG166" i="50"/>
  <c r="BG168" i="50"/>
  <c r="CN140" i="50"/>
  <c r="CN147" i="50" s="1"/>
  <c r="CN165" i="50"/>
  <c r="CJ167" i="50"/>
  <c r="CJ169" i="50"/>
  <c r="CU167" i="50"/>
  <c r="CM167" i="50"/>
  <c r="CF166" i="50"/>
  <c r="CX168" i="50"/>
  <c r="CT167" i="50"/>
  <c r="CS167" i="50"/>
  <c r="CV166" i="50"/>
  <c r="CV168" i="50"/>
  <c r="DE168" i="50"/>
  <c r="DC140" i="50"/>
  <c r="DC165" i="50"/>
  <c r="DD166" i="50"/>
  <c r="DF169" i="50"/>
  <c r="DK168" i="50"/>
  <c r="AU109" i="50"/>
  <c r="DO167" i="50"/>
  <c r="BT168" i="50"/>
  <c r="AD167" i="50"/>
  <c r="Y168" i="50"/>
  <c r="BE169" i="50"/>
  <c r="BE166" i="50"/>
  <c r="BH166" i="50"/>
  <c r="AT169" i="50"/>
  <c r="BF166" i="50"/>
  <c r="BS167" i="50"/>
  <c r="BN168" i="50"/>
  <c r="W168" i="50"/>
  <c r="W140" i="50"/>
  <c r="W165" i="50"/>
  <c r="BC168" i="50"/>
  <c r="BL168" i="50"/>
  <c r="AA167" i="50"/>
  <c r="AJ169" i="50"/>
  <c r="AJ166" i="50"/>
  <c r="AO167" i="50"/>
  <c r="BB167" i="50"/>
  <c r="AC168" i="50"/>
  <c r="AC166" i="50"/>
  <c r="AF167" i="50"/>
  <c r="CD166" i="50"/>
  <c r="CD167" i="50"/>
  <c r="CN167" i="50"/>
  <c r="CJ166" i="50"/>
  <c r="CR168" i="50"/>
  <c r="CU140" i="50"/>
  <c r="CU147" i="50" s="1"/>
  <c r="CU165" i="50"/>
  <c r="CM140" i="50"/>
  <c r="CM147" i="50" s="1"/>
  <c r="CM165" i="50"/>
  <c r="CX140" i="50"/>
  <c r="CX147" i="50" s="1"/>
  <c r="CX165" i="50"/>
  <c r="CX167" i="50"/>
  <c r="CT166" i="50"/>
  <c r="CG168" i="50"/>
  <c r="CG166" i="50"/>
  <c r="CS140" i="50"/>
  <c r="CS165" i="50"/>
  <c r="CO169" i="50"/>
  <c r="CH168" i="50"/>
  <c r="DA167" i="50"/>
  <c r="DD168" i="50"/>
  <c r="DD167" i="50"/>
  <c r="DF167" i="50"/>
  <c r="DJ167" i="50"/>
  <c r="DJ140" i="50"/>
  <c r="DJ165" i="50"/>
  <c r="DK167" i="50"/>
  <c r="CK109" i="50"/>
  <c r="DO168" i="50"/>
  <c r="DO165" i="50"/>
  <c r="DO140" i="50"/>
  <c r="BI109" i="50"/>
  <c r="BI110" i="50"/>
  <c r="BW110" i="50"/>
  <c r="BW109" i="50"/>
  <c r="CY104" i="50"/>
  <c r="CY106" i="50"/>
  <c r="BI108" i="50"/>
  <c r="BW107" i="50"/>
  <c r="BI107" i="50"/>
  <c r="BW104" i="50"/>
  <c r="AG104" i="50"/>
  <c r="CK104" i="50"/>
  <c r="AU104" i="50"/>
  <c r="BI104" i="50"/>
  <c r="CY108" i="50"/>
  <c r="BW108" i="50"/>
  <c r="CY107" i="50"/>
  <c r="AU108" i="50"/>
  <c r="AU107" i="50"/>
  <c r="DM108" i="50"/>
  <c r="CK107" i="50"/>
  <c r="DM107" i="50"/>
  <c r="CK108" i="50"/>
  <c r="AU106" i="50"/>
  <c r="BI106" i="50"/>
  <c r="AG106" i="50"/>
  <c r="BW106" i="50"/>
  <c r="DM106" i="50"/>
  <c r="CK106" i="50"/>
  <c r="DM104" i="50"/>
  <c r="BI105" i="50"/>
  <c r="CK105" i="50"/>
  <c r="AU105" i="50"/>
  <c r="AG105" i="50"/>
  <c r="BW105" i="50"/>
  <c r="CY105" i="50"/>
  <c r="DM105" i="50"/>
  <c r="CY33" i="50"/>
  <c r="K168" i="50"/>
  <c r="DM68" i="50"/>
  <c r="AU103" i="50"/>
  <c r="CK98" i="50"/>
  <c r="DM99" i="50"/>
  <c r="AU102" i="50"/>
  <c r="CK103" i="50"/>
  <c r="DM103" i="50"/>
  <c r="AG101" i="50"/>
  <c r="BI100" i="50"/>
  <c r="AG100" i="50"/>
  <c r="BI103" i="50"/>
  <c r="BW103" i="50"/>
  <c r="CK101" i="50"/>
  <c r="DM100" i="50"/>
  <c r="AG99" i="50"/>
  <c r="CY101" i="50"/>
  <c r="BW102" i="50"/>
  <c r="CK100" i="50"/>
  <c r="DM102" i="50"/>
  <c r="AG103" i="50"/>
  <c r="CY103" i="50"/>
  <c r="BW98" i="50"/>
  <c r="AU99" i="50"/>
  <c r="DM98" i="50"/>
  <c r="AG102" i="50"/>
  <c r="CY98" i="50"/>
  <c r="BI98" i="50"/>
  <c r="BW100" i="50"/>
  <c r="AU101" i="50"/>
  <c r="DM101" i="50"/>
  <c r="AG98" i="50"/>
  <c r="CY102" i="50"/>
  <c r="BI101" i="50"/>
  <c r="BW99" i="50"/>
  <c r="AU98" i="50"/>
  <c r="CK102" i="50"/>
  <c r="CY99" i="50"/>
  <c r="BI99" i="50"/>
  <c r="BW101" i="50"/>
  <c r="AU100" i="50"/>
  <c r="CK99" i="50"/>
  <c r="CY100" i="50"/>
  <c r="BI102" i="50"/>
  <c r="DM85" i="50"/>
  <c r="DM76" i="50"/>
  <c r="DM70" i="50"/>
  <c r="D8" i="75"/>
  <c r="D45" i="75"/>
  <c r="W7" i="5"/>
  <c r="W110" i="41"/>
  <c r="DM74" i="50"/>
  <c r="DM82" i="50"/>
  <c r="DM69" i="50"/>
  <c r="DM72" i="50"/>
  <c r="DM89" i="50"/>
  <c r="DM73" i="50"/>
  <c r="DM83" i="50"/>
  <c r="DM92" i="50"/>
  <c r="DM53" i="50"/>
  <c r="DM78" i="50"/>
  <c r="DM88" i="50"/>
  <c r="DM84" i="50"/>
  <c r="DM87" i="50"/>
  <c r="DM91" i="50"/>
  <c r="DM81" i="50"/>
  <c r="DM75" i="50"/>
  <c r="DM77" i="50"/>
  <c r="DM79" i="50"/>
  <c r="DM80" i="50"/>
  <c r="DM86" i="50"/>
  <c r="DM94" i="50"/>
  <c r="DM97" i="50"/>
  <c r="DM93" i="50"/>
  <c r="DM95" i="50"/>
  <c r="DM71" i="50"/>
  <c r="DM96" i="50"/>
  <c r="AG94" i="50"/>
  <c r="BW94" i="50"/>
  <c r="BI94" i="50"/>
  <c r="AU94" i="50"/>
  <c r="CK97" i="50"/>
  <c r="CY97" i="50"/>
  <c r="AU96" i="50"/>
  <c r="AG96" i="50"/>
  <c r="AU97" i="50"/>
  <c r="AG95" i="50"/>
  <c r="BI97" i="50"/>
  <c r="AU95" i="50"/>
  <c r="AG97" i="50"/>
  <c r="BI96" i="50"/>
  <c r="BI95" i="50"/>
  <c r="BW95" i="50"/>
  <c r="CK95" i="50"/>
  <c r="CY95" i="50"/>
  <c r="BW97" i="50"/>
  <c r="CK96" i="50"/>
  <c r="CY96" i="50"/>
  <c r="BW96" i="50"/>
  <c r="CK94" i="50"/>
  <c r="CY94" i="50"/>
  <c r="CK90" i="50"/>
  <c r="BI90" i="50"/>
  <c r="AU93" i="50"/>
  <c r="BI93" i="50"/>
  <c r="AG93" i="50"/>
  <c r="BI92" i="50"/>
  <c r="AG92" i="50"/>
  <c r="BW92" i="50"/>
  <c r="AU90" i="50"/>
  <c r="AG90" i="50"/>
  <c r="CK93" i="50"/>
  <c r="AG91" i="50"/>
  <c r="CY93" i="50"/>
  <c r="CY92" i="50"/>
  <c r="AU92" i="50"/>
  <c r="CK92" i="50"/>
  <c r="CY90" i="50"/>
  <c r="AU91" i="50"/>
  <c r="BW91" i="50"/>
  <c r="CK91" i="50"/>
  <c r="BW93" i="50"/>
  <c r="BW90" i="50"/>
  <c r="CY91" i="50"/>
  <c r="BI91" i="50"/>
  <c r="B6" i="65"/>
  <c r="I29" i="50"/>
  <c r="K29" i="50" s="1"/>
  <c r="BI89" i="50"/>
  <c r="AG89" i="50"/>
  <c r="CY89" i="50"/>
  <c r="BW89" i="50"/>
  <c r="AU89" i="50"/>
  <c r="CK89" i="50"/>
  <c r="O139" i="30"/>
  <c r="CK85" i="50"/>
  <c r="AU87" i="50"/>
  <c r="AU88" i="50"/>
  <c r="AU86" i="50"/>
  <c r="CK84" i="50"/>
  <c r="BI85" i="50"/>
  <c r="BI87" i="50"/>
  <c r="CY88" i="50"/>
  <c r="CY87" i="50"/>
  <c r="BI88" i="50"/>
  <c r="CY86" i="50"/>
  <c r="CY85" i="50"/>
  <c r="CY84" i="50"/>
  <c r="AG87" i="50"/>
  <c r="BW87" i="50"/>
  <c r="CK87" i="50"/>
  <c r="AG86" i="50"/>
  <c r="BW86" i="50"/>
  <c r="AU85" i="50"/>
  <c r="CK88" i="50"/>
  <c r="AG88" i="50"/>
  <c r="AU84" i="50"/>
  <c r="AG85" i="50"/>
  <c r="BW84" i="50"/>
  <c r="BW88" i="50"/>
  <c r="BI84" i="50"/>
  <c r="CK86" i="50"/>
  <c r="AG84" i="50"/>
  <c r="BW85" i="50"/>
  <c r="BI86" i="50"/>
  <c r="I167" i="50"/>
  <c r="AB3" i="66"/>
  <c r="P27" i="30"/>
  <c r="V17" i="5"/>
  <c r="W17" i="5" s="1"/>
  <c r="BI81" i="50"/>
  <c r="AU81" i="50"/>
  <c r="BW81" i="50"/>
  <c r="CY81" i="50"/>
  <c r="CK81" i="50"/>
  <c r="AU82" i="50"/>
  <c r="BW82" i="50"/>
  <c r="AG81" i="50"/>
  <c r="CK82" i="50"/>
  <c r="CY83" i="50"/>
  <c r="AU83" i="50"/>
  <c r="BI82" i="50"/>
  <c r="BI83" i="50"/>
  <c r="CY82" i="50"/>
  <c r="BW83" i="50"/>
  <c r="AG82" i="50"/>
  <c r="CK83" i="50"/>
  <c r="AG83" i="50"/>
  <c r="BI70" i="50"/>
  <c r="BW70" i="50"/>
  <c r="BW76" i="50"/>
  <c r="AU70" i="50"/>
  <c r="BW80" i="50"/>
  <c r="AU75" i="50"/>
  <c r="AU53" i="50"/>
  <c r="CK80" i="50"/>
  <c r="BW79" i="50"/>
  <c r="AU79" i="50"/>
  <c r="AU76" i="50"/>
  <c r="AU74" i="50"/>
  <c r="CK78" i="50"/>
  <c r="CK77" i="50"/>
  <c r="CK53" i="50"/>
  <c r="AG79" i="50"/>
  <c r="AG80" i="50"/>
  <c r="AG72" i="50"/>
  <c r="CY69" i="50"/>
  <c r="CY77" i="50"/>
  <c r="CY73" i="50"/>
  <c r="BI79" i="50"/>
  <c r="BI78" i="50"/>
  <c r="BI53" i="50"/>
  <c r="BW78" i="50"/>
  <c r="BW72" i="50"/>
  <c r="AU72" i="50"/>
  <c r="CK79" i="50"/>
  <c r="AG77" i="50"/>
  <c r="AG76" i="50"/>
  <c r="AG53" i="50"/>
  <c r="CY72" i="50"/>
  <c r="CY79" i="50"/>
  <c r="CY80" i="50"/>
  <c r="CY75" i="50"/>
  <c r="CY76" i="50"/>
  <c r="CY78" i="50"/>
  <c r="CY70" i="50"/>
  <c r="BI74" i="50"/>
  <c r="BI77" i="50"/>
  <c r="BW73" i="50"/>
  <c r="BW74" i="50"/>
  <c r="BW53" i="50"/>
  <c r="AU77" i="50"/>
  <c r="AU78" i="50"/>
  <c r="CK76" i="50"/>
  <c r="CK75" i="50"/>
  <c r="AG73" i="50"/>
  <c r="AG78" i="50"/>
  <c r="CY71" i="50"/>
  <c r="CY68" i="50"/>
  <c r="CY74" i="50"/>
  <c r="BI72" i="50"/>
  <c r="BI73" i="50"/>
  <c r="BW77" i="50"/>
  <c r="BW75" i="50"/>
  <c r="AU73" i="50"/>
  <c r="AU80" i="50"/>
  <c r="CK73" i="50"/>
  <c r="CK72" i="50"/>
  <c r="CK74" i="50"/>
  <c r="AG75" i="50"/>
  <c r="AG74" i="50"/>
  <c r="CY53" i="50"/>
  <c r="BI80" i="50"/>
  <c r="BI75" i="50"/>
  <c r="BI76" i="50"/>
  <c r="CK70" i="50"/>
  <c r="AG67" i="50"/>
  <c r="AG68" i="50"/>
  <c r="AG70" i="50"/>
  <c r="AG64" i="50"/>
  <c r="AG71" i="50"/>
  <c r="AG66" i="50"/>
  <c r="AG65" i="50"/>
  <c r="AG69" i="50"/>
  <c r="BW68" i="50"/>
  <c r="AU69" i="50"/>
  <c r="BW69" i="50"/>
  <c r="AU68" i="50"/>
  <c r="BW71" i="50"/>
  <c r="CK71" i="50"/>
  <c r="BI71" i="50"/>
  <c r="AU71" i="50"/>
  <c r="CK68" i="50"/>
  <c r="BI69" i="50"/>
  <c r="CK69" i="50"/>
  <c r="BI68" i="50"/>
  <c r="AU8" i="50"/>
  <c r="BI8" i="50"/>
  <c r="AG8" i="50"/>
  <c r="AP143" i="50"/>
  <c r="M156" i="50"/>
  <c r="P124" i="50" l="1" a="1"/>
  <c r="P124" i="50" s="1"/>
  <c r="P126" i="50" a="1"/>
  <c r="P126" i="50" s="1"/>
  <c r="P127" i="50" a="1"/>
  <c r="P127" i="50" s="1"/>
  <c r="R128" i="50"/>
  <c r="P128" i="50" a="1"/>
  <c r="P128" i="50" s="1"/>
  <c r="R91" i="50"/>
  <c r="R107" i="50"/>
  <c r="R106" i="50"/>
  <c r="R94" i="50"/>
  <c r="R103" i="50"/>
  <c r="R97" i="50"/>
  <c r="R101" i="50"/>
  <c r="R99" i="50"/>
  <c r="R108" i="50"/>
  <c r="R92" i="50"/>
  <c r="R105" i="50"/>
  <c r="R104" i="50"/>
  <c r="R100" i="50"/>
  <c r="R95" i="50"/>
  <c r="R102" i="50"/>
  <c r="R98" i="50"/>
  <c r="R96" i="50"/>
  <c r="R93" i="50"/>
  <c r="P121" i="50" a="1"/>
  <c r="P121" i="50" s="1"/>
  <c r="P120" i="50" a="1"/>
  <c r="P120" i="50" s="1"/>
  <c r="Q121" i="50" a="1"/>
  <c r="Q121" i="50" s="1"/>
  <c r="Q139" i="50" a="1"/>
  <c r="Q139" i="50" s="1"/>
  <c r="P118" i="50" a="1"/>
  <c r="P118" i="50" s="1"/>
  <c r="Q118" i="50" a="1"/>
  <c r="Q118" i="50" s="1"/>
  <c r="Q116" i="50" a="1"/>
  <c r="Q116" i="50" s="1"/>
  <c r="P139" i="50" a="1"/>
  <c r="P139" i="50" s="1"/>
  <c r="Q123" i="50" a="1"/>
  <c r="Q123" i="50" s="1"/>
  <c r="Q135" i="50" a="1"/>
  <c r="Q135" i="50" s="1"/>
  <c r="Q120" i="50" a="1"/>
  <c r="Q120" i="50" s="1"/>
  <c r="Q119" i="50" a="1"/>
  <c r="Q119" i="50" s="1"/>
  <c r="P135" i="50" a="1"/>
  <c r="P135" i="50" s="1"/>
  <c r="P116" i="50" a="1"/>
  <c r="P116" i="50" s="1"/>
  <c r="FS114" i="50"/>
  <c r="M114" i="50" s="1"/>
  <c r="P119" i="50" a="1"/>
  <c r="P119" i="50" s="1"/>
  <c r="P123" i="50" a="1"/>
  <c r="P123" i="50" s="1"/>
  <c r="P129" i="50" a="1"/>
  <c r="P129" i="50" s="1"/>
  <c r="P122" i="50" a="1"/>
  <c r="P122" i="50" s="1"/>
  <c r="P117" i="50" a="1"/>
  <c r="P117" i="50" s="1"/>
  <c r="Q122" i="50" a="1"/>
  <c r="Q122" i="50" s="1"/>
  <c r="Q117" i="50" a="1"/>
  <c r="Q117" i="50" s="1"/>
  <c r="P138" i="50" a="1"/>
  <c r="P138" i="50" s="1"/>
  <c r="Q124" i="50" a="1"/>
  <c r="Q124" i="50" s="1"/>
  <c r="P130" i="50" a="1"/>
  <c r="P130" i="50" s="1"/>
  <c r="Q138" i="50" a="1"/>
  <c r="Q138" i="50" s="1"/>
  <c r="Q133" i="50" a="1"/>
  <c r="Q133" i="50" s="1"/>
  <c r="Q128" i="50" a="1"/>
  <c r="Q128" i="50" s="1"/>
  <c r="Q136" i="50" a="1"/>
  <c r="Q136" i="50" s="1"/>
  <c r="P133" i="50" a="1"/>
  <c r="P133" i="50" s="1"/>
  <c r="Q126" i="50" a="1"/>
  <c r="Q126" i="50" s="1"/>
  <c r="Q130" i="50" a="1"/>
  <c r="Q130" i="50" s="1"/>
  <c r="Q127" i="50" a="1"/>
  <c r="Q127" i="50" s="1"/>
  <c r="Q134" i="50" a="1"/>
  <c r="Q134" i="50" s="1"/>
  <c r="P136" i="50" a="1"/>
  <c r="P136" i="50" s="1"/>
  <c r="FS132" i="50"/>
  <c r="M132" i="50" s="1"/>
  <c r="O132" i="50"/>
  <c r="FS131" i="50"/>
  <c r="M131" i="50" s="1"/>
  <c r="O131" i="50"/>
  <c r="O137" i="50"/>
  <c r="FS137" i="50"/>
  <c r="M137" i="50" s="1"/>
  <c r="FS128" i="50"/>
  <c r="M128" i="50" s="1"/>
  <c r="O128" i="50"/>
  <c r="O133" i="50"/>
  <c r="FS133" i="50"/>
  <c r="M133" i="50" s="1"/>
  <c r="O117" i="50"/>
  <c r="FS117" i="50"/>
  <c r="M117" i="50" s="1"/>
  <c r="P134" i="50" a="1"/>
  <c r="P134" i="50" s="1"/>
  <c r="O122" i="50"/>
  <c r="FS122" i="50"/>
  <c r="M122" i="50" s="1"/>
  <c r="FS115" i="50"/>
  <c r="M115" i="50" s="1"/>
  <c r="O138" i="50"/>
  <c r="FS138" i="50"/>
  <c r="M138" i="50" s="1"/>
  <c r="FS124" i="50"/>
  <c r="M124" i="50" s="1"/>
  <c r="O124" i="50"/>
  <c r="FS119" i="50"/>
  <c r="M119" i="50" s="1"/>
  <c r="O119" i="50"/>
  <c r="FS118" i="50"/>
  <c r="M118" i="50" s="1"/>
  <c r="O118" i="50"/>
  <c r="O120" i="50"/>
  <c r="FS120" i="50"/>
  <c r="M120" i="50" s="1"/>
  <c r="FS139" i="50"/>
  <c r="M139" i="50" s="1"/>
  <c r="O139" i="50"/>
  <c r="FS121" i="50"/>
  <c r="M121" i="50" s="1"/>
  <c r="O121" i="50"/>
  <c r="Q129" i="50" a="1"/>
  <c r="Q129" i="50" s="1"/>
  <c r="O116" i="50"/>
  <c r="FS116" i="50"/>
  <c r="M116" i="50" s="1"/>
  <c r="O130" i="50"/>
  <c r="FS130" i="50"/>
  <c r="M130" i="50" s="1"/>
  <c r="FS136" i="50"/>
  <c r="M136" i="50" s="1"/>
  <c r="O136" i="50"/>
  <c r="O129" i="50"/>
  <c r="FS129" i="50"/>
  <c r="M129" i="50" s="1"/>
  <c r="P137" i="50" a="1"/>
  <c r="P137" i="50" s="1"/>
  <c r="P132" i="50" a="1"/>
  <c r="P132" i="50" s="1"/>
  <c r="FS127" i="50"/>
  <c r="M127" i="50" s="1"/>
  <c r="O127" i="50"/>
  <c r="FS126" i="50"/>
  <c r="M126" i="50" s="1"/>
  <c r="O126" i="50"/>
  <c r="P131" i="50" a="1"/>
  <c r="P131" i="50" s="1"/>
  <c r="FS134" i="50"/>
  <c r="M134" i="50" s="1"/>
  <c r="O134" i="50"/>
  <c r="Q137" i="50" a="1"/>
  <c r="Q137" i="50" s="1"/>
  <c r="FS123" i="50"/>
  <c r="M123" i="50" s="1"/>
  <c r="O123" i="50"/>
  <c r="Q132" i="50" a="1"/>
  <c r="Q132" i="50" s="1"/>
  <c r="FS135" i="50"/>
  <c r="M135" i="50" s="1"/>
  <c r="O135" i="50"/>
  <c r="Q131" i="50" a="1"/>
  <c r="Q131" i="50" s="1"/>
  <c r="I140" i="50"/>
  <c r="FS111" i="50"/>
  <c r="M111" i="50" s="1"/>
  <c r="O111" i="50"/>
  <c r="P111" i="50" a="1"/>
  <c r="P111" i="50" s="1"/>
  <c r="Q111" i="50" a="1"/>
  <c r="Q111" i="50" s="1"/>
  <c r="O114" i="50"/>
  <c r="Q114" i="50" a="1"/>
  <c r="Q114" i="50" s="1"/>
  <c r="P114" i="50" a="1"/>
  <c r="P114" i="50" s="1"/>
  <c r="FS112" i="50"/>
  <c r="M112" i="50" s="1"/>
  <c r="O112" i="50"/>
  <c r="P112" i="50" a="1"/>
  <c r="P112" i="50" s="1"/>
  <c r="Q112" i="50" a="1"/>
  <c r="Q112" i="50" s="1"/>
  <c r="FS113" i="50"/>
  <c r="M113" i="50" s="1"/>
  <c r="O113" i="50"/>
  <c r="P113" i="50" a="1"/>
  <c r="P113" i="50" s="1"/>
  <c r="Q113" i="50" a="1"/>
  <c r="Q113" i="50" s="1"/>
  <c r="O115" i="50"/>
  <c r="Q115" i="50" a="1"/>
  <c r="Q115" i="50" s="1"/>
  <c r="P115" i="50" a="1"/>
  <c r="P115" i="50" s="1"/>
  <c r="O110" i="50"/>
  <c r="Q110" i="50" a="1"/>
  <c r="Q110" i="50" s="1"/>
  <c r="P110" i="50" a="1"/>
  <c r="P110" i="50" s="1"/>
  <c r="P109" i="50" a="1"/>
  <c r="P109" i="50" s="1"/>
  <c r="Q109" i="50" a="1"/>
  <c r="Q109" i="50" s="1"/>
  <c r="FS109" i="50"/>
  <c r="M109" i="50" s="1"/>
  <c r="O109" i="50"/>
  <c r="FS110" i="50"/>
  <c r="M110" i="50" s="1"/>
  <c r="O104" i="50"/>
  <c r="Q107" i="50" a="1"/>
  <c r="Q107" i="50" s="1"/>
  <c r="Q108" i="50" a="1"/>
  <c r="Q108" i="50" s="1"/>
  <c r="FS108" i="50"/>
  <c r="M108" i="50" s="1"/>
  <c r="O108" i="50"/>
  <c r="P107" i="50" a="1"/>
  <c r="P107" i="50" s="1"/>
  <c r="O107" i="50"/>
  <c r="FS107" i="50"/>
  <c r="M107" i="50" s="1"/>
  <c r="Q106" i="50" a="1"/>
  <c r="Q106" i="50" s="1"/>
  <c r="P108" i="50" a="1"/>
  <c r="P108" i="50" s="1"/>
  <c r="P106" i="50" a="1"/>
  <c r="P106" i="50" s="1"/>
  <c r="FS106" i="50"/>
  <c r="M106" i="50" s="1"/>
  <c r="O106" i="50"/>
  <c r="Q104" i="50" a="1"/>
  <c r="Q104" i="50" s="1"/>
  <c r="FS104" i="50"/>
  <c r="M104" i="50" s="1"/>
  <c r="P104" i="50" a="1"/>
  <c r="P104" i="50" s="1"/>
  <c r="P105" i="50" a="1"/>
  <c r="P105" i="50" s="1"/>
  <c r="Q105" i="50" a="1"/>
  <c r="Q105" i="50" s="1"/>
  <c r="FS105" i="50"/>
  <c r="M105" i="50" s="1"/>
  <c r="O105" i="50"/>
  <c r="P98" i="50" a="1"/>
  <c r="P98" i="50" s="1"/>
  <c r="Q99" i="50" a="1"/>
  <c r="Q99" i="50" s="1"/>
  <c r="P100" i="50" a="1"/>
  <c r="P100" i="50" s="1"/>
  <c r="Q103" i="50" a="1"/>
  <c r="Q103" i="50" s="1"/>
  <c r="P102" i="50" a="1"/>
  <c r="P102" i="50" s="1"/>
  <c r="Q102" i="50" a="1"/>
  <c r="Q102" i="50" s="1"/>
  <c r="P103" i="50" a="1"/>
  <c r="P103" i="50" s="1"/>
  <c r="Q98" i="50" a="1"/>
  <c r="Q98" i="50" s="1"/>
  <c r="Q101" i="50" a="1"/>
  <c r="Q101" i="50" s="1"/>
  <c r="P99" i="50" a="1"/>
  <c r="P99" i="50" s="1"/>
  <c r="P101" i="50" a="1"/>
  <c r="P101" i="50" s="1"/>
  <c r="FS101" i="50"/>
  <c r="M101" i="50" s="1"/>
  <c r="O101" i="50"/>
  <c r="Q100" i="50" a="1"/>
  <c r="Q100" i="50" s="1"/>
  <c r="FS103" i="50"/>
  <c r="M103" i="50" s="1"/>
  <c r="O103" i="50"/>
  <c r="O99" i="50"/>
  <c r="FS99" i="50"/>
  <c r="M99" i="50" s="1"/>
  <c r="FS98" i="50"/>
  <c r="M98" i="50" s="1"/>
  <c r="O98" i="50"/>
  <c r="O102" i="50"/>
  <c r="FS102" i="50"/>
  <c r="M102" i="50" s="1"/>
  <c r="FS100" i="50"/>
  <c r="M100" i="50" s="1"/>
  <c r="O100" i="50"/>
  <c r="R85" i="50"/>
  <c r="R76" i="50"/>
  <c r="R82" i="50"/>
  <c r="R74" i="50"/>
  <c r="R77" i="50"/>
  <c r="R78" i="50"/>
  <c r="R83" i="50"/>
  <c r="R73" i="50"/>
  <c r="R72" i="50"/>
  <c r="R53" i="50"/>
  <c r="R84" i="50"/>
  <c r="R86" i="50"/>
  <c r="R79" i="50"/>
  <c r="R87" i="50"/>
  <c r="R88" i="50"/>
  <c r="R81" i="50"/>
  <c r="R75" i="50"/>
  <c r="R80" i="50"/>
  <c r="Q97" i="50" a="1"/>
  <c r="Q97" i="50" s="1"/>
  <c r="Q96" i="50" a="1"/>
  <c r="Q96" i="50" s="1"/>
  <c r="P97" i="50" a="1"/>
  <c r="P97" i="50" s="1"/>
  <c r="FS95" i="50"/>
  <c r="M95" i="50" s="1"/>
  <c r="O95" i="50"/>
  <c r="P96" i="50" a="1"/>
  <c r="P96" i="50" s="1"/>
  <c r="O97" i="50"/>
  <c r="FS97" i="50"/>
  <c r="M97" i="50" s="1"/>
  <c r="O96" i="50"/>
  <c r="FS96" i="50"/>
  <c r="M96" i="50" s="1"/>
  <c r="Q95" i="50" a="1"/>
  <c r="Q95" i="50" s="1"/>
  <c r="P95" i="50" a="1"/>
  <c r="P95" i="50" s="1"/>
  <c r="Q94" i="50" a="1"/>
  <c r="Q94" i="50" s="1"/>
  <c r="P94" i="50" a="1"/>
  <c r="P94" i="50" s="1"/>
  <c r="FS94" i="50"/>
  <c r="M94" i="50" s="1"/>
  <c r="O94" i="50"/>
  <c r="P93" i="50" a="1"/>
  <c r="P93" i="50" s="1"/>
  <c r="P92" i="50" a="1"/>
  <c r="P92" i="50" s="1"/>
  <c r="Q93" i="50" a="1"/>
  <c r="Q93" i="50" s="1"/>
  <c r="FS92" i="50"/>
  <c r="M92" i="50" s="1"/>
  <c r="FS91" i="50"/>
  <c r="M91" i="50" s="1"/>
  <c r="O93" i="50"/>
  <c r="Q91" i="50" a="1"/>
  <c r="Q91" i="50" s="1"/>
  <c r="P91" i="50" a="1"/>
  <c r="P91" i="50" s="1"/>
  <c r="O91" i="50"/>
  <c r="O92" i="50"/>
  <c r="Q92" i="50" a="1"/>
  <c r="Q92" i="50" s="1"/>
  <c r="FS93" i="50"/>
  <c r="M93" i="50" s="1"/>
  <c r="CK166" i="50"/>
  <c r="CK167" i="50"/>
  <c r="P86" i="50" a="1"/>
  <c r="P86" i="50" s="1"/>
  <c r="P53" i="50" a="1"/>
  <c r="P53" i="50" s="1"/>
  <c r="P85" i="50" a="1"/>
  <c r="P85" i="50" s="1"/>
  <c r="P79" i="50" a="1"/>
  <c r="P79" i="50" s="1"/>
  <c r="P70" i="50" a="1"/>
  <c r="P70" i="50" s="1"/>
  <c r="P88" i="50" a="1"/>
  <c r="P88" i="50" s="1"/>
  <c r="P77" i="50" a="1"/>
  <c r="P77" i="50" s="1"/>
  <c r="P68" i="50" a="1"/>
  <c r="P68" i="50" s="1"/>
  <c r="P74" i="50" a="1"/>
  <c r="P74" i="50" s="1"/>
  <c r="P75" i="50" a="1"/>
  <c r="P75" i="50" s="1"/>
  <c r="P80" i="50" a="1"/>
  <c r="P80" i="50" s="1"/>
  <c r="P71" i="50" a="1"/>
  <c r="P71" i="50" s="1"/>
  <c r="P89" i="50" a="1"/>
  <c r="P89" i="50" s="1"/>
  <c r="P76" i="50" a="1"/>
  <c r="P76" i="50" s="1"/>
  <c r="P82" i="50" a="1"/>
  <c r="P82" i="50" s="1"/>
  <c r="P87" i="50" a="1"/>
  <c r="P87" i="50" s="1"/>
  <c r="P78" i="50" a="1"/>
  <c r="P78" i="50" s="1"/>
  <c r="P84" i="50" a="1"/>
  <c r="P84" i="50" s="1"/>
  <c r="P83" i="50" a="1"/>
  <c r="P83" i="50" s="1"/>
  <c r="P69" i="50" a="1"/>
  <c r="P69" i="50" s="1"/>
  <c r="P81" i="50" a="1"/>
  <c r="P81" i="50" s="1"/>
  <c r="P73" i="50" a="1"/>
  <c r="P73" i="50" s="1"/>
  <c r="P72" i="50" a="1"/>
  <c r="P72" i="50" s="1"/>
  <c r="R89" i="50"/>
  <c r="Q89" i="50" a="1"/>
  <c r="Q89" i="50" s="1"/>
  <c r="O89" i="50"/>
  <c r="FS89" i="50"/>
  <c r="M89" i="50" s="1"/>
  <c r="Q88" i="50" a="1"/>
  <c r="Q88" i="50" s="1"/>
  <c r="Q87" i="50" a="1"/>
  <c r="Q87" i="50" s="1"/>
  <c r="Q84" i="50" a="1"/>
  <c r="Q84" i="50" s="1"/>
  <c r="Q86" i="50" a="1"/>
  <c r="Q86" i="50" s="1"/>
  <c r="Q85" i="50" a="1"/>
  <c r="Q85" i="50" s="1"/>
  <c r="O88" i="50"/>
  <c r="FS88" i="50"/>
  <c r="M88" i="50" s="1"/>
  <c r="O87" i="50"/>
  <c r="FS87" i="50"/>
  <c r="M87" i="50" s="1"/>
  <c r="O84" i="50"/>
  <c r="FS84" i="50"/>
  <c r="M84" i="50" s="1"/>
  <c r="FS86" i="50"/>
  <c r="M86" i="50" s="1"/>
  <c r="O86" i="50"/>
  <c r="FS85" i="50"/>
  <c r="M85" i="50" s="1"/>
  <c r="O85" i="50"/>
  <c r="Q83" i="50" a="1"/>
  <c r="Q83" i="50" s="1"/>
  <c r="Q82" i="50" a="1"/>
  <c r="Q82" i="50" s="1"/>
  <c r="Q81" i="50" a="1"/>
  <c r="Q81" i="50" s="1"/>
  <c r="FS81" i="50"/>
  <c r="M81" i="50" s="1"/>
  <c r="O81" i="50"/>
  <c r="FS83" i="50"/>
  <c r="M83" i="50" s="1"/>
  <c r="O83" i="50"/>
  <c r="FS82" i="50"/>
  <c r="M82" i="50" s="1"/>
  <c r="O82" i="50"/>
  <c r="R69" i="50"/>
  <c r="R68" i="50"/>
  <c r="R71" i="50"/>
  <c r="Q77" i="50" a="1"/>
  <c r="Q77" i="50" s="1"/>
  <c r="Q76" i="50" a="1"/>
  <c r="Q76" i="50" s="1"/>
  <c r="Q53" i="50" a="1"/>
  <c r="Q53" i="50" s="1"/>
  <c r="FS80" i="50"/>
  <c r="M80" i="50" s="1"/>
  <c r="O80" i="50"/>
  <c r="O75" i="50"/>
  <c r="FS75" i="50"/>
  <c r="M75" i="50" s="1"/>
  <c r="FS78" i="50"/>
  <c r="M78" i="50" s="1"/>
  <c r="O78" i="50"/>
  <c r="FS53" i="50"/>
  <c r="M53" i="50" s="1"/>
  <c r="O53" i="50"/>
  <c r="O79" i="50"/>
  <c r="FS79" i="50"/>
  <c r="M79" i="50" s="1"/>
  <c r="Q79" i="50" a="1"/>
  <c r="Q79" i="50" s="1"/>
  <c r="Q75" i="50" a="1"/>
  <c r="Q75" i="50" s="1"/>
  <c r="FS74" i="50"/>
  <c r="M74" i="50" s="1"/>
  <c r="O74" i="50"/>
  <c r="Q74" i="50" a="1"/>
  <c r="Q74" i="50" s="1"/>
  <c r="R70" i="50"/>
  <c r="FS73" i="50"/>
  <c r="M73" i="50" s="1"/>
  <c r="O73" i="50"/>
  <c r="Q73" i="50" a="1"/>
  <c r="Q73" i="50" s="1"/>
  <c r="O76" i="50"/>
  <c r="FS76" i="50"/>
  <c r="M76" i="50" s="1"/>
  <c r="Q80" i="50" a="1"/>
  <c r="Q80" i="50" s="1"/>
  <c r="O77" i="50"/>
  <c r="FS77" i="50"/>
  <c r="M77" i="50" s="1"/>
  <c r="O72" i="50"/>
  <c r="FS72" i="50"/>
  <c r="M72" i="50" s="1"/>
  <c r="Q72" i="50" a="1"/>
  <c r="Q72" i="50" s="1"/>
  <c r="Q78" i="50" a="1"/>
  <c r="Q78" i="50" s="1"/>
  <c r="FS70" i="50"/>
  <c r="M70" i="50" s="1"/>
  <c r="Q70" i="50" a="1"/>
  <c r="Q70" i="50" s="1"/>
  <c r="O70" i="50"/>
  <c r="O71" i="50"/>
  <c r="Q68" i="50" a="1"/>
  <c r="Q68" i="50" s="1"/>
  <c r="O69" i="50"/>
  <c r="Q69" i="50" a="1"/>
  <c r="Q69" i="50" s="1"/>
  <c r="O68" i="50"/>
  <c r="Q71" i="50" a="1"/>
  <c r="Q71" i="50" s="1"/>
  <c r="FS71" i="50"/>
  <c r="M71" i="50" s="1"/>
  <c r="FS69" i="50"/>
  <c r="M69" i="50" s="1"/>
  <c r="FS68" i="50"/>
  <c r="M68" i="50" s="1"/>
  <c r="AQ143" i="50"/>
  <c r="K47" i="41" l="1"/>
  <c r="K39" i="41"/>
  <c r="K31" i="41"/>
  <c r="K23" i="41"/>
  <c r="K19" i="41"/>
  <c r="K15" i="41"/>
  <c r="K54" i="41"/>
  <c r="K50" i="41"/>
  <c r="K46" i="41"/>
  <c r="K42" i="41"/>
  <c r="K38" i="41"/>
  <c r="K34" i="41"/>
  <c r="K30" i="41"/>
  <c r="K26" i="41"/>
  <c r="K22" i="41"/>
  <c r="K18" i="41"/>
  <c r="K14" i="41"/>
  <c r="K10" i="41"/>
  <c r="K55" i="41"/>
  <c r="K51" i="41"/>
  <c r="K43" i="41"/>
  <c r="K35" i="41"/>
  <c r="K27" i="41"/>
  <c r="K11" i="41"/>
  <c r="K53" i="41"/>
  <c r="K49" i="41"/>
  <c r="K45" i="41"/>
  <c r="K41" i="41"/>
  <c r="K37" i="41"/>
  <c r="K33" i="41"/>
  <c r="K29" i="41"/>
  <c r="K25" i="41"/>
  <c r="K21" i="41"/>
  <c r="K17" i="41"/>
  <c r="K13" i="41"/>
  <c r="K74" i="41"/>
  <c r="K52" i="41"/>
  <c r="K48" i="41"/>
  <c r="K44" i="41"/>
  <c r="K40" i="41"/>
  <c r="K36" i="41"/>
  <c r="K32" i="41"/>
  <c r="K28" i="41"/>
  <c r="K24" i="41"/>
  <c r="K20" i="41"/>
  <c r="K16" i="41"/>
  <c r="K12" i="41"/>
  <c r="AR143" i="50"/>
  <c r="G110" i="41" l="1"/>
  <c r="G111" i="41"/>
  <c r="AS143" i="50"/>
  <c r="C85" i="5"/>
  <c r="C79" i="5"/>
  <c r="C78" i="5"/>
  <c r="FQ63" i="50"/>
  <c r="FQ64" i="50"/>
  <c r="FQ65" i="50"/>
  <c r="FQ66" i="50"/>
  <c r="FQ67" i="50"/>
  <c r="FC63" i="50"/>
  <c r="FC64" i="50"/>
  <c r="FC65" i="50"/>
  <c r="FC66" i="50"/>
  <c r="FC67" i="50"/>
  <c r="EO63" i="50"/>
  <c r="EO64" i="50"/>
  <c r="EO65" i="50"/>
  <c r="EO66" i="50"/>
  <c r="EO67" i="50"/>
  <c r="EA63" i="50"/>
  <c r="EA64" i="50"/>
  <c r="EA65" i="50"/>
  <c r="EA66" i="50"/>
  <c r="EA67" i="50"/>
  <c r="DM63" i="50"/>
  <c r="DM64" i="50"/>
  <c r="DM65" i="50"/>
  <c r="DM66" i="50"/>
  <c r="DM67" i="50"/>
  <c r="CY63" i="50"/>
  <c r="CY64" i="50"/>
  <c r="CY65" i="50"/>
  <c r="CY66" i="50"/>
  <c r="CY67" i="50"/>
  <c r="CK63" i="50"/>
  <c r="CK64" i="50"/>
  <c r="CK65" i="50"/>
  <c r="CK66" i="50"/>
  <c r="CK67" i="50"/>
  <c r="BW63" i="50"/>
  <c r="BW64" i="50"/>
  <c r="BW65" i="50"/>
  <c r="BW66" i="50"/>
  <c r="BI63" i="50"/>
  <c r="BI64" i="50"/>
  <c r="BI65" i="50"/>
  <c r="BI66" i="50"/>
  <c r="AU63" i="50"/>
  <c r="AU64" i="50"/>
  <c r="AU65" i="50"/>
  <c r="AU66" i="50"/>
  <c r="P65" i="50" l="1" a="1"/>
  <c r="P65" i="50" s="1"/>
  <c r="P64" i="50" a="1"/>
  <c r="P64" i="50" s="1"/>
  <c r="P66" i="50" a="1"/>
  <c r="P66" i="50" s="1"/>
  <c r="R67" i="50"/>
  <c r="R64" i="50"/>
  <c r="R65" i="50"/>
  <c r="R66" i="50"/>
  <c r="S65" i="50"/>
  <c r="S66" i="50"/>
  <c r="S64" i="50"/>
  <c r="S67" i="50"/>
  <c r="O66" i="50"/>
  <c r="Q66" i="50" a="1"/>
  <c r="Q66" i="50" s="1"/>
  <c r="O64" i="50"/>
  <c r="Q64" i="50" a="1"/>
  <c r="Q64" i="50" s="1"/>
  <c r="O65" i="50"/>
  <c r="Q65" i="50" a="1"/>
  <c r="Q65" i="50" s="1"/>
  <c r="BM67" i="50"/>
  <c r="BD67" i="50"/>
  <c r="BH67" i="50"/>
  <c r="BA67" i="50"/>
  <c r="BF67" i="50"/>
  <c r="AJ67" i="50"/>
  <c r="AS67" i="50"/>
  <c r="AL67" i="50"/>
  <c r="AI67" i="50"/>
  <c r="AM67" i="50"/>
  <c r="BK67" i="50"/>
  <c r="BE67" i="50"/>
  <c r="AN67" i="50"/>
  <c r="BG67" i="50"/>
  <c r="AP67" i="50"/>
  <c r="AQ67" i="50"/>
  <c r="AW67" i="50"/>
  <c r="BB67" i="50"/>
  <c r="BC67" i="50"/>
  <c r="AO67" i="50"/>
  <c r="AY67" i="50"/>
  <c r="BN67" i="50"/>
  <c r="BL67" i="50"/>
  <c r="BO67" i="50"/>
  <c r="AZ67" i="50"/>
  <c r="AX67" i="50"/>
  <c r="AR67" i="50"/>
  <c r="AK67" i="50"/>
  <c r="AT67" i="50"/>
  <c r="AT143" i="50"/>
  <c r="AZ140" i="50" l="1"/>
  <c r="AZ165" i="50"/>
  <c r="AQ165" i="50"/>
  <c r="AQ140" i="50"/>
  <c r="BL140" i="50"/>
  <c r="BL165" i="50"/>
  <c r="AP140" i="50"/>
  <c r="AP165" i="50"/>
  <c r="AS140" i="50"/>
  <c r="AS165" i="50"/>
  <c r="BN140" i="50"/>
  <c r="BN165" i="50"/>
  <c r="BG140" i="50"/>
  <c r="BG165" i="50"/>
  <c r="AJ140" i="50"/>
  <c r="AJ165" i="50"/>
  <c r="AT140" i="50"/>
  <c r="AT165" i="50"/>
  <c r="AY140" i="50"/>
  <c r="AY165" i="50"/>
  <c r="AN140" i="50"/>
  <c r="AN165" i="50"/>
  <c r="BF165" i="50"/>
  <c r="BF140" i="50"/>
  <c r="AK140" i="50"/>
  <c r="AK165" i="50"/>
  <c r="AO140" i="50"/>
  <c r="AO165" i="50"/>
  <c r="BE140" i="50"/>
  <c r="BE165" i="50"/>
  <c r="BA140" i="50"/>
  <c r="BA165" i="50"/>
  <c r="AX140" i="50"/>
  <c r="AX165" i="50"/>
  <c r="AR165" i="50"/>
  <c r="AR140" i="50"/>
  <c r="BC140" i="50"/>
  <c r="BC165" i="50"/>
  <c r="BK140" i="50"/>
  <c r="BK165" i="50"/>
  <c r="BH165" i="50"/>
  <c r="BH140" i="50"/>
  <c r="BB140" i="50"/>
  <c r="BB165" i="50"/>
  <c r="AM140" i="50"/>
  <c r="AM165" i="50"/>
  <c r="BD140" i="50"/>
  <c r="BD165" i="50"/>
  <c r="AW140" i="50"/>
  <c r="AW165" i="50"/>
  <c r="AI140" i="50"/>
  <c r="AI165" i="50"/>
  <c r="BM165" i="50"/>
  <c r="BM140" i="50"/>
  <c r="BO140" i="50"/>
  <c r="BO165" i="50"/>
  <c r="AL165" i="50"/>
  <c r="AL140" i="50"/>
  <c r="AU67" i="50"/>
  <c r="BI67" i="50"/>
  <c r="BW67" i="50"/>
  <c r="AW143" i="50"/>
  <c r="P67" i="50" l="1" a="1"/>
  <c r="P67" i="50" s="1"/>
  <c r="O67" i="50"/>
  <c r="Q67" i="50" a="1"/>
  <c r="Q67" i="50" s="1"/>
  <c r="AX143" i="50"/>
  <c r="C8" i="36"/>
  <c r="C9" i="36"/>
  <c r="C10" i="36"/>
  <c r="C11" i="36"/>
  <c r="C7" i="36"/>
  <c r="AY143" i="50" l="1"/>
  <c r="AZ143" i="50" l="1"/>
  <c r="A2" i="53"/>
  <c r="BA143" i="50" l="1"/>
  <c r="BB143" i="50" l="1"/>
  <c r="BC143" i="50" l="1"/>
  <c r="BD143" i="50" l="1"/>
  <c r="BE143" i="50" l="1"/>
  <c r="Y68" i="5" l="1"/>
  <c r="Y67" i="5"/>
  <c r="G42" i="61"/>
  <c r="BF143" i="50"/>
  <c r="BG143" i="50" l="1"/>
  <c r="EO8" i="50"/>
  <c r="BH143" i="50" l="1"/>
  <c r="FQ164" i="50"/>
  <c r="FE163" i="50"/>
  <c r="FC164" i="50"/>
  <c r="EQ163" i="50"/>
  <c r="EO164" i="50"/>
  <c r="EC163" i="50"/>
  <c r="EA164" i="50"/>
  <c r="DO163" i="50"/>
  <c r="DM164" i="50"/>
  <c r="DA163" i="50"/>
  <c r="CY164" i="50"/>
  <c r="CM163" i="50"/>
  <c r="CK164" i="50"/>
  <c r="BY163" i="50"/>
  <c r="BW164" i="50"/>
  <c r="BK163" i="50"/>
  <c r="BI164" i="50"/>
  <c r="AW163" i="50"/>
  <c r="AU164" i="50"/>
  <c r="AI163" i="50"/>
  <c r="U163" i="50"/>
  <c r="AG164" i="50"/>
  <c r="BK143" i="50" l="1"/>
  <c r="BW36" i="50"/>
  <c r="CK36" i="50"/>
  <c r="CY36" i="50"/>
  <c r="DM36" i="50"/>
  <c r="EA36" i="50"/>
  <c r="EO36" i="50"/>
  <c r="FC36" i="50"/>
  <c r="FQ36" i="50"/>
  <c r="BW37" i="50"/>
  <c r="CK37" i="50"/>
  <c r="CY37" i="50"/>
  <c r="DM37" i="50"/>
  <c r="EA37" i="50"/>
  <c r="EO37" i="50"/>
  <c r="FC37" i="50"/>
  <c r="FQ37" i="50"/>
  <c r="BW38" i="50"/>
  <c r="CK38" i="50"/>
  <c r="CY38" i="50"/>
  <c r="DM38" i="50"/>
  <c r="EA38" i="50"/>
  <c r="EO38" i="50"/>
  <c r="FC38" i="50"/>
  <c r="FQ38" i="50"/>
  <c r="BW39" i="50"/>
  <c r="CK39" i="50"/>
  <c r="CY39" i="50"/>
  <c r="DM39" i="50"/>
  <c r="EA39" i="50"/>
  <c r="EO39" i="50"/>
  <c r="FC39" i="50"/>
  <c r="FQ39" i="50"/>
  <c r="BW40" i="50"/>
  <c r="CK40" i="50"/>
  <c r="CY40" i="50"/>
  <c r="DM40" i="50"/>
  <c r="EA40" i="50"/>
  <c r="EO40" i="50"/>
  <c r="FC40" i="50"/>
  <c r="FQ40" i="50"/>
  <c r="BW41" i="50"/>
  <c r="CK41" i="50"/>
  <c r="CY41" i="50"/>
  <c r="DM41" i="50"/>
  <c r="EA41" i="50"/>
  <c r="EO41" i="50"/>
  <c r="FC41" i="50"/>
  <c r="FQ41" i="50"/>
  <c r="BW42" i="50"/>
  <c r="CK42" i="50"/>
  <c r="CY42" i="50"/>
  <c r="DM42" i="50"/>
  <c r="EA42" i="50"/>
  <c r="EO42" i="50"/>
  <c r="FC42" i="50"/>
  <c r="FQ42" i="50"/>
  <c r="BW43" i="50"/>
  <c r="CK43" i="50"/>
  <c r="CY43" i="50"/>
  <c r="DM43" i="50"/>
  <c r="EA43" i="50"/>
  <c r="EO43" i="50"/>
  <c r="FC43" i="50"/>
  <c r="FQ43" i="50"/>
  <c r="BW44" i="50"/>
  <c r="CK44" i="50"/>
  <c r="CY44" i="50"/>
  <c r="DM44" i="50"/>
  <c r="EA44" i="50"/>
  <c r="EO44" i="50"/>
  <c r="FC44" i="50"/>
  <c r="FQ44" i="50"/>
  <c r="BW45" i="50"/>
  <c r="CK45" i="50"/>
  <c r="CY45" i="50"/>
  <c r="DM45" i="50"/>
  <c r="EA45" i="50"/>
  <c r="EO45" i="50"/>
  <c r="FC45" i="50"/>
  <c r="FQ45" i="50"/>
  <c r="BW46" i="50"/>
  <c r="CK46" i="50"/>
  <c r="CY46" i="50"/>
  <c r="DM46" i="50"/>
  <c r="EA46" i="50"/>
  <c r="EO46" i="50"/>
  <c r="FC46" i="50"/>
  <c r="FQ46" i="50"/>
  <c r="BW47" i="50"/>
  <c r="CK47" i="50"/>
  <c r="CY47" i="50"/>
  <c r="DM47" i="50"/>
  <c r="EA47" i="50"/>
  <c r="EO47" i="50"/>
  <c r="FC47" i="50"/>
  <c r="FQ47" i="50"/>
  <c r="BW48" i="50"/>
  <c r="CK48" i="50"/>
  <c r="CY48" i="50"/>
  <c r="DM48" i="50"/>
  <c r="EA48" i="50"/>
  <c r="EO48" i="50"/>
  <c r="FC48" i="50"/>
  <c r="FQ48" i="50"/>
  <c r="BW49" i="50"/>
  <c r="CK49" i="50"/>
  <c r="CY49" i="50"/>
  <c r="DM49" i="50"/>
  <c r="EA49" i="50"/>
  <c r="EO49" i="50"/>
  <c r="FC49" i="50"/>
  <c r="FQ49" i="50"/>
  <c r="BW50" i="50"/>
  <c r="CK50" i="50"/>
  <c r="CY50" i="50"/>
  <c r="DM50" i="50"/>
  <c r="EA50" i="50"/>
  <c r="EO50" i="50"/>
  <c r="FC50" i="50"/>
  <c r="FQ50" i="50"/>
  <c r="BW51" i="50"/>
  <c r="CK51" i="50"/>
  <c r="CY51" i="50"/>
  <c r="DM51" i="50"/>
  <c r="EA51" i="50"/>
  <c r="EO51" i="50"/>
  <c r="FC51" i="50"/>
  <c r="FQ51" i="50"/>
  <c r="BW52" i="50"/>
  <c r="CK52" i="50"/>
  <c r="CY52" i="50"/>
  <c r="DM52" i="50"/>
  <c r="EA52" i="50"/>
  <c r="EO52" i="50"/>
  <c r="FC52" i="50"/>
  <c r="FQ52" i="50"/>
  <c r="BW54" i="50"/>
  <c r="CK54" i="50"/>
  <c r="CY54" i="50"/>
  <c r="DM54" i="50"/>
  <c r="EA54" i="50"/>
  <c r="EO54" i="50"/>
  <c r="FC54" i="50"/>
  <c r="FQ54" i="50"/>
  <c r="BW55" i="50"/>
  <c r="CK55" i="50"/>
  <c r="CY55" i="50"/>
  <c r="DM55" i="50"/>
  <c r="EA55" i="50"/>
  <c r="EO55" i="50"/>
  <c r="FC55" i="50"/>
  <c r="FQ55" i="50"/>
  <c r="BW56" i="50"/>
  <c r="CK56" i="50"/>
  <c r="CY56" i="50"/>
  <c r="DM56" i="50"/>
  <c r="EA56" i="50"/>
  <c r="EO56" i="50"/>
  <c r="FC56" i="50"/>
  <c r="FQ56" i="50"/>
  <c r="BW57" i="50"/>
  <c r="CK57" i="50"/>
  <c r="CY57" i="50"/>
  <c r="DM57" i="50"/>
  <c r="EA57" i="50"/>
  <c r="EO57" i="50"/>
  <c r="FC57" i="50"/>
  <c r="FQ57" i="50"/>
  <c r="BW58" i="50"/>
  <c r="CK58" i="50"/>
  <c r="CY58" i="50"/>
  <c r="DM58" i="50"/>
  <c r="EA58" i="50"/>
  <c r="EO58" i="50"/>
  <c r="FC58" i="50"/>
  <c r="FQ58" i="50"/>
  <c r="BW59" i="50"/>
  <c r="CK59" i="50"/>
  <c r="CY59" i="50"/>
  <c r="DM59" i="50"/>
  <c r="EA59" i="50"/>
  <c r="EO59" i="50"/>
  <c r="FC59" i="50"/>
  <c r="FQ59" i="50"/>
  <c r="BW60" i="50"/>
  <c r="CK60" i="50"/>
  <c r="CY60" i="50"/>
  <c r="DM60" i="50"/>
  <c r="EA60" i="50"/>
  <c r="EO60" i="50"/>
  <c r="FC60" i="50"/>
  <c r="FQ60" i="50"/>
  <c r="BW61" i="50"/>
  <c r="CK61" i="50"/>
  <c r="CY61" i="50"/>
  <c r="DM61" i="50"/>
  <c r="EA61" i="50"/>
  <c r="EO61" i="50"/>
  <c r="FC61" i="50"/>
  <c r="FQ61" i="50"/>
  <c r="BW62" i="50"/>
  <c r="CK62" i="50"/>
  <c r="CY62" i="50"/>
  <c r="DM62" i="50"/>
  <c r="EA62" i="50"/>
  <c r="EO62" i="50"/>
  <c r="FC62" i="50"/>
  <c r="FQ62" i="50"/>
  <c r="BL143" i="50" l="1"/>
  <c r="BM143" i="50" l="1"/>
  <c r="U149" i="50"/>
  <c r="BN143" i="50" l="1"/>
  <c r="BO143" i="50" l="1"/>
  <c r="BP143" i="50" l="1"/>
  <c r="I39" i="41" l="1"/>
  <c r="I23" i="41"/>
  <c r="I15" i="41"/>
  <c r="I50" i="41"/>
  <c r="I42" i="41"/>
  <c r="I34" i="41"/>
  <c r="I26" i="41"/>
  <c r="I18" i="41"/>
  <c r="I47" i="41"/>
  <c r="I19" i="41"/>
  <c r="I46" i="41"/>
  <c r="I38" i="41"/>
  <c r="I22" i="41"/>
  <c r="I51" i="41"/>
  <c r="I35" i="41"/>
  <c r="I49" i="41"/>
  <c r="I41" i="41"/>
  <c r="D9" i="72" s="1"/>
  <c r="I25" i="41"/>
  <c r="I74" i="41"/>
  <c r="I40" i="41"/>
  <c r="I32" i="41"/>
  <c r="I16" i="41"/>
  <c r="I55" i="41"/>
  <c r="I43" i="41"/>
  <c r="I27" i="41"/>
  <c r="I53" i="41"/>
  <c r="I45" i="41"/>
  <c r="I37" i="41"/>
  <c r="I29" i="41"/>
  <c r="I21" i="41"/>
  <c r="I13" i="41"/>
  <c r="I52" i="41"/>
  <c r="I44" i="41"/>
  <c r="I36" i="41"/>
  <c r="I28" i="41"/>
  <c r="I20" i="41"/>
  <c r="I12" i="41"/>
  <c r="I31" i="41"/>
  <c r="I54" i="41"/>
  <c r="I30" i="41"/>
  <c r="I14" i="41"/>
  <c r="I11" i="41"/>
  <c r="I33" i="41"/>
  <c r="I17" i="41"/>
  <c r="I48" i="41"/>
  <c r="I24" i="41"/>
  <c r="I10" i="41"/>
  <c r="X19" i="5"/>
  <c r="X57" i="5"/>
  <c r="X29" i="5"/>
  <c r="X10" i="5"/>
  <c r="X13" i="5"/>
  <c r="X39" i="5"/>
  <c r="X8" i="5"/>
  <c r="X16" i="5"/>
  <c r="X35" i="5"/>
  <c r="X36" i="5"/>
  <c r="X38" i="5"/>
  <c r="X22" i="5"/>
  <c r="X46" i="5"/>
  <c r="X62" i="5"/>
  <c r="X25" i="5"/>
  <c r="X18" i="5"/>
  <c r="X34" i="5"/>
  <c r="X65" i="5"/>
  <c r="X50" i="5"/>
  <c r="X51" i="5"/>
  <c r="X15" i="5"/>
  <c r="X42" i="5"/>
  <c r="X43" i="5"/>
  <c r="X64" i="5"/>
  <c r="X47" i="5"/>
  <c r="X54" i="5"/>
  <c r="X53" i="5"/>
  <c r="X59" i="5"/>
  <c r="X56" i="5"/>
  <c r="X41" i="5"/>
  <c r="X55" i="5"/>
  <c r="X44" i="5"/>
  <c r="X30" i="5"/>
  <c r="X37" i="5"/>
  <c r="X58" i="5"/>
  <c r="X27" i="5"/>
  <c r="X26" i="5"/>
  <c r="X23" i="5"/>
  <c r="X49" i="5"/>
  <c r="X31" i="5"/>
  <c r="X11" i="5"/>
  <c r="X33" i="5"/>
  <c r="X7" i="5"/>
  <c r="X48" i="5"/>
  <c r="X40" i="5"/>
  <c r="X21" i="5"/>
  <c r="X28" i="5"/>
  <c r="X14" i="5"/>
  <c r="X63" i="5"/>
  <c r="X61" i="5"/>
  <c r="X60" i="5"/>
  <c r="X45" i="5"/>
  <c r="X20" i="5"/>
  <c r="X52" i="5"/>
  <c r="X24" i="5"/>
  <c r="X9" i="5"/>
  <c r="X17" i="5"/>
  <c r="X32" i="5"/>
  <c r="X12" i="5"/>
  <c r="X66" i="5"/>
  <c r="I7" i="41"/>
  <c r="BQ143" i="50"/>
  <c r="E27" i="36"/>
  <c r="F27" i="36"/>
  <c r="G27" i="36"/>
  <c r="H27" i="36"/>
  <c r="I27" i="36"/>
  <c r="J27" i="36"/>
  <c r="K27" i="36"/>
  <c r="L27" i="36"/>
  <c r="M27" i="36"/>
  <c r="D16" i="75" l="1"/>
  <c r="D17" i="75"/>
  <c r="L74" i="41"/>
  <c r="J74" i="41"/>
  <c r="H7" i="36"/>
  <c r="F4" i="66" s="1"/>
  <c r="L42" i="41"/>
  <c r="J42" i="41"/>
  <c r="L51" i="41"/>
  <c r="J51" i="41"/>
  <c r="L50" i="41"/>
  <c r="J50" i="41"/>
  <c r="L53" i="41"/>
  <c r="J53" i="41"/>
  <c r="L54" i="41"/>
  <c r="J54" i="41"/>
  <c r="L55" i="41"/>
  <c r="J55" i="41"/>
  <c r="L52" i="41"/>
  <c r="J52" i="41"/>
  <c r="L49" i="41"/>
  <c r="J49" i="41"/>
  <c r="L48" i="41"/>
  <c r="J48" i="41"/>
  <c r="L47" i="41"/>
  <c r="J47" i="41"/>
  <c r="L46" i="41"/>
  <c r="J46" i="41"/>
  <c r="L45" i="41"/>
  <c r="J45" i="41"/>
  <c r="L44" i="41"/>
  <c r="J44" i="41"/>
  <c r="L43" i="41"/>
  <c r="J43" i="41"/>
  <c r="L30" i="41"/>
  <c r="J30" i="41"/>
  <c r="L37" i="41"/>
  <c r="J37" i="41"/>
  <c r="L33" i="41"/>
  <c r="J33" i="41"/>
  <c r="L28" i="41"/>
  <c r="J28" i="41"/>
  <c r="L35" i="41"/>
  <c r="J35" i="41"/>
  <c r="L15" i="41"/>
  <c r="J15" i="41"/>
  <c r="L24" i="41"/>
  <c r="J24" i="41"/>
  <c r="L11" i="41"/>
  <c r="J11" i="41"/>
  <c r="L31" i="41"/>
  <c r="J31" i="41"/>
  <c r="L36" i="41"/>
  <c r="J36" i="41"/>
  <c r="L21" i="41"/>
  <c r="J21" i="41"/>
  <c r="L16" i="41"/>
  <c r="J16" i="41"/>
  <c r="L25" i="41"/>
  <c r="J25" i="41"/>
  <c r="L19" i="41"/>
  <c r="J19" i="41"/>
  <c r="L34" i="41"/>
  <c r="J34" i="41"/>
  <c r="L23" i="41"/>
  <c r="J23" i="41"/>
  <c r="L17" i="41"/>
  <c r="J17" i="41"/>
  <c r="L20" i="41"/>
  <c r="J20" i="41"/>
  <c r="L40" i="41"/>
  <c r="J40" i="41"/>
  <c r="L38" i="41"/>
  <c r="J38" i="41"/>
  <c r="L18" i="41"/>
  <c r="J18" i="41"/>
  <c r="L10" i="41"/>
  <c r="J10" i="41"/>
  <c r="L13" i="41"/>
  <c r="J13" i="41"/>
  <c r="L26" i="41"/>
  <c r="J26" i="41"/>
  <c r="L14" i="41"/>
  <c r="J14" i="41"/>
  <c r="L12" i="41"/>
  <c r="J12" i="41"/>
  <c r="L29" i="41"/>
  <c r="J29" i="41"/>
  <c r="L27" i="41"/>
  <c r="J27" i="41"/>
  <c r="L32" i="41"/>
  <c r="J32" i="41"/>
  <c r="L41" i="41"/>
  <c r="J41" i="41"/>
  <c r="L22" i="41"/>
  <c r="J22" i="41"/>
  <c r="L39" i="41"/>
  <c r="J39" i="41"/>
  <c r="I111" i="41"/>
  <c r="J7" i="41"/>
  <c r="L7" i="41"/>
  <c r="X68" i="5"/>
  <c r="I110" i="41"/>
  <c r="BR143" i="50"/>
  <c r="G17" i="75" l="1"/>
  <c r="F17" i="75" s="1"/>
  <c r="G16" i="75"/>
  <c r="F16" i="75" s="1"/>
  <c r="G18" i="75"/>
  <c r="F18" i="75" s="1"/>
  <c r="F3" i="66"/>
  <c r="BS143" i="50"/>
  <c r="FP144" i="50"/>
  <c r="FO144" i="50"/>
  <c r="FN144" i="50"/>
  <c r="FM144" i="50"/>
  <c r="FL144" i="50"/>
  <c r="FK144" i="50"/>
  <c r="FJ144" i="50"/>
  <c r="FI144" i="50"/>
  <c r="FH144" i="50"/>
  <c r="FG144" i="50"/>
  <c r="FF144" i="50"/>
  <c r="FE144" i="50"/>
  <c r="FB144" i="50"/>
  <c r="FA144" i="50"/>
  <c r="EZ144" i="50"/>
  <c r="EY144" i="50"/>
  <c r="EX144" i="50"/>
  <c r="EW144" i="50"/>
  <c r="EV144" i="50"/>
  <c r="EU144" i="50"/>
  <c r="ET144" i="50"/>
  <c r="ES144" i="50"/>
  <c r="ER144" i="50"/>
  <c r="EQ144" i="50"/>
  <c r="EN144" i="50"/>
  <c r="EM144" i="50"/>
  <c r="EL144" i="50"/>
  <c r="EK144" i="50"/>
  <c r="EJ144" i="50"/>
  <c r="EI144" i="50"/>
  <c r="EH144" i="50"/>
  <c r="EG144" i="50"/>
  <c r="EF144" i="50"/>
  <c r="EE144" i="50"/>
  <c r="ED144" i="50"/>
  <c r="EC144" i="50"/>
  <c r="DZ144" i="50"/>
  <c r="DY144" i="50"/>
  <c r="DX144" i="50"/>
  <c r="DW144" i="50"/>
  <c r="DV144" i="50"/>
  <c r="B2" i="53"/>
  <c r="BT143" i="50" l="1"/>
  <c r="B3" i="53"/>
  <c r="A3" i="53" s="1"/>
  <c r="D2" i="53"/>
  <c r="BU143" i="50" l="1"/>
  <c r="D3" i="53"/>
  <c r="B4" i="53"/>
  <c r="A4" i="53" s="1"/>
  <c r="BV143" i="50" l="1"/>
  <c r="H834" i="37"/>
  <c r="D4" i="53"/>
  <c r="B5" i="53"/>
  <c r="A5" i="53" s="1"/>
  <c r="BY143" i="50" l="1"/>
  <c r="D5" i="53"/>
  <c r="B6" i="53"/>
  <c r="A6" i="53" s="1"/>
  <c r="BZ143" i="50" l="1"/>
  <c r="D6" i="53"/>
  <c r="B7" i="53"/>
  <c r="A7" i="53" s="1"/>
  <c r="CA143" i="50" l="1"/>
  <c r="D7" i="53"/>
  <c r="B8" i="53"/>
  <c r="A8" i="53" s="1"/>
  <c r="CB143" i="50" l="1"/>
  <c r="D8" i="53"/>
  <c r="B9" i="53"/>
  <c r="A9" i="53" s="1"/>
  <c r="CC143" i="50" l="1"/>
  <c r="D9" i="53"/>
  <c r="B10" i="53"/>
  <c r="A10" i="53" s="1"/>
  <c r="CD143" i="50" l="1"/>
  <c r="AG63" i="50"/>
  <c r="D10" i="53"/>
  <c r="B11" i="53"/>
  <c r="A11" i="53" s="1"/>
  <c r="G155" i="50"/>
  <c r="H155" i="50" s="1"/>
  <c r="DU155" i="50" s="1"/>
  <c r="G154" i="50"/>
  <c r="H154" i="50" s="1"/>
  <c r="DU154" i="50" s="1"/>
  <c r="G153" i="50"/>
  <c r="H153" i="50" s="1"/>
  <c r="DU153" i="50" s="1"/>
  <c r="G152" i="50"/>
  <c r="H152" i="50" s="1"/>
  <c r="DU152" i="50" s="1"/>
  <c r="G151" i="50"/>
  <c r="H151" i="50" s="1"/>
  <c r="DU151" i="50" s="1"/>
  <c r="FQ150" i="50"/>
  <c r="FC150" i="50"/>
  <c r="EO150" i="50"/>
  <c r="EA150" i="50"/>
  <c r="DM150" i="50"/>
  <c r="CY150" i="50"/>
  <c r="CK150" i="50"/>
  <c r="BW150" i="50"/>
  <c r="BI150" i="50"/>
  <c r="AU150" i="50"/>
  <c r="AG150" i="50"/>
  <c r="FE149" i="50"/>
  <c r="EQ149" i="50"/>
  <c r="EC149" i="50"/>
  <c r="DO149" i="50"/>
  <c r="DA149" i="50"/>
  <c r="CM149" i="50"/>
  <c r="BY149" i="50"/>
  <c r="BK149" i="50"/>
  <c r="AW149" i="50"/>
  <c r="AI149" i="50"/>
  <c r="FQ35" i="50"/>
  <c r="FC35" i="50"/>
  <c r="EO35" i="50"/>
  <c r="FQ34" i="50"/>
  <c r="FC34" i="50"/>
  <c r="EO34" i="50"/>
  <c r="FQ33" i="50"/>
  <c r="FC33" i="50"/>
  <c r="EO33" i="50"/>
  <c r="FQ32" i="50"/>
  <c r="FC32" i="50"/>
  <c r="EO32" i="50"/>
  <c r="FQ31" i="50"/>
  <c r="FC31" i="50"/>
  <c r="EO31" i="50"/>
  <c r="FQ30" i="50"/>
  <c r="FC30" i="50"/>
  <c r="EO30" i="50"/>
  <c r="FQ29" i="50"/>
  <c r="FC29" i="50"/>
  <c r="EO29" i="50"/>
  <c r="FQ28" i="50"/>
  <c r="FC28" i="50"/>
  <c r="EO28" i="50"/>
  <c r="FQ27" i="50"/>
  <c r="FC27" i="50"/>
  <c r="EO27" i="50"/>
  <c r="FQ26" i="50"/>
  <c r="FC26" i="50"/>
  <c r="EO26" i="50"/>
  <c r="FQ25" i="50"/>
  <c r="FC25" i="50"/>
  <c r="EO25" i="50"/>
  <c r="FQ24" i="50"/>
  <c r="FC24" i="50"/>
  <c r="EO24" i="50"/>
  <c r="FQ23" i="50"/>
  <c r="FC23" i="50"/>
  <c r="EO23" i="50"/>
  <c r="FQ22" i="50"/>
  <c r="FC22" i="50"/>
  <c r="EO22" i="50"/>
  <c r="FQ21" i="50"/>
  <c r="FC21" i="50"/>
  <c r="EO21" i="50"/>
  <c r="FQ20" i="50"/>
  <c r="FC20" i="50"/>
  <c r="EO20" i="50"/>
  <c r="FQ19" i="50"/>
  <c r="FC19" i="50"/>
  <c r="EO19" i="50"/>
  <c r="FQ18" i="50"/>
  <c r="FC18" i="50"/>
  <c r="EO18" i="50"/>
  <c r="FQ17" i="50"/>
  <c r="FC17" i="50"/>
  <c r="EO17" i="50"/>
  <c r="FQ16" i="50"/>
  <c r="FC16" i="50"/>
  <c r="EO16" i="50"/>
  <c r="FQ15" i="50"/>
  <c r="FC15" i="50"/>
  <c r="EO15" i="50"/>
  <c r="FQ14" i="50"/>
  <c r="FC14" i="50"/>
  <c r="EO14" i="50"/>
  <c r="FQ13" i="50"/>
  <c r="FC13" i="50"/>
  <c r="EO13" i="50"/>
  <c r="FQ12" i="50"/>
  <c r="FC12" i="50"/>
  <c r="EO12" i="50"/>
  <c r="FQ11" i="50"/>
  <c r="FC11" i="50"/>
  <c r="EO11" i="50"/>
  <c r="FQ10" i="50"/>
  <c r="FC10" i="50"/>
  <c r="FQ9" i="50"/>
  <c r="FC9" i="50"/>
  <c r="EO9" i="50"/>
  <c r="FQ8" i="50"/>
  <c r="FC8" i="50"/>
  <c r="FO153" i="50" l="1"/>
  <c r="EZ153" i="50"/>
  <c r="EQ153" i="50"/>
  <c r="EC153" i="50"/>
  <c r="DX153" i="50"/>
  <c r="DR153" i="50"/>
  <c r="DJ153" i="50"/>
  <c r="DA153" i="50"/>
  <c r="CW153" i="50"/>
  <c r="BY153" i="50"/>
  <c r="BP153" i="50"/>
  <c r="BU153" i="50"/>
  <c r="BN153" i="50"/>
  <c r="AZ153" i="50"/>
  <c r="FI153" i="50"/>
  <c r="EU153" i="50"/>
  <c r="EG153" i="50"/>
  <c r="EI153" i="50"/>
  <c r="EK153" i="50"/>
  <c r="EM153" i="50"/>
  <c r="DS153" i="50"/>
  <c r="DZ153" i="50"/>
  <c r="DE153" i="50"/>
  <c r="DK153" i="50"/>
  <c r="DD153" i="50"/>
  <c r="CQ153" i="50"/>
  <c r="CS153" i="50"/>
  <c r="CU153" i="50"/>
  <c r="CP153" i="50"/>
  <c r="CD153" i="50"/>
  <c r="CG153" i="50"/>
  <c r="CJ153" i="50"/>
  <c r="CB153" i="50"/>
  <c r="BO153" i="50"/>
  <c r="BA153" i="50"/>
  <c r="BC153" i="50"/>
  <c r="AM153" i="50"/>
  <c r="AO153" i="50"/>
  <c r="AQ153" i="50"/>
  <c r="AR153" i="50"/>
  <c r="Y153" i="50"/>
  <c r="FM153" i="50"/>
  <c r="FH153" i="50"/>
  <c r="FB153" i="50"/>
  <c r="EF153" i="50"/>
  <c r="DP153" i="50"/>
  <c r="DG153" i="50"/>
  <c r="CN153" i="50"/>
  <c r="BZ153" i="50"/>
  <c r="BL153" i="50"/>
  <c r="BE153" i="50"/>
  <c r="BG153" i="50"/>
  <c r="AW153" i="50"/>
  <c r="AT153" i="50"/>
  <c r="AS153" i="50"/>
  <c r="AA153" i="50"/>
  <c r="U153" i="50"/>
  <c r="FK153" i="50"/>
  <c r="FP153" i="50"/>
  <c r="FF153" i="50"/>
  <c r="EW153" i="50"/>
  <c r="EY153" i="50"/>
  <c r="ES153" i="50"/>
  <c r="ED153" i="50"/>
  <c r="DB153" i="50"/>
  <c r="ET153" i="50"/>
  <c r="FA153" i="50"/>
  <c r="DW153" i="50"/>
  <c r="DI153" i="50"/>
  <c r="EJ153" i="50"/>
  <c r="DY153" i="50"/>
  <c r="DQ153" i="50"/>
  <c r="DF153" i="50"/>
  <c r="CR153" i="50"/>
  <c r="CT153" i="50"/>
  <c r="CV153" i="50"/>
  <c r="CI153" i="50"/>
  <c r="BT153" i="50"/>
  <c r="BM153" i="50"/>
  <c r="BB153" i="50"/>
  <c r="BD153" i="50"/>
  <c r="AX153" i="50"/>
  <c r="FJ153" i="50"/>
  <c r="FL153" i="50"/>
  <c r="FN153" i="50"/>
  <c r="EV153" i="50"/>
  <c r="EL153" i="50"/>
  <c r="DT153" i="50"/>
  <c r="DV153" i="50"/>
  <c r="DC153" i="50"/>
  <c r="CO153" i="50"/>
  <c r="CF153" i="50"/>
  <c r="CA153" i="50"/>
  <c r="BS153" i="50"/>
  <c r="BV153" i="50"/>
  <c r="BF153" i="50"/>
  <c r="BH153" i="50"/>
  <c r="FE153" i="50"/>
  <c r="FG153" i="50"/>
  <c r="EX153" i="50"/>
  <c r="ER153" i="50"/>
  <c r="EH153" i="50"/>
  <c r="EN153" i="50"/>
  <c r="EE153" i="50"/>
  <c r="DO153" i="50"/>
  <c r="DH153" i="50"/>
  <c r="DL153" i="50"/>
  <c r="CX153" i="50"/>
  <c r="AE153" i="50"/>
  <c r="AY153" i="50"/>
  <c r="AP153" i="50"/>
  <c r="AB153" i="50"/>
  <c r="AL153" i="50"/>
  <c r="Z153" i="50"/>
  <c r="CM153" i="50"/>
  <c r="BQ153" i="50"/>
  <c r="BK153" i="50"/>
  <c r="AJ153" i="50"/>
  <c r="AF153" i="50"/>
  <c r="BR153" i="50"/>
  <c r="AN153" i="50"/>
  <c r="AC153" i="50"/>
  <c r="W153" i="50"/>
  <c r="P153" i="50"/>
  <c r="J153" i="50"/>
  <c r="CH153" i="50"/>
  <c r="CC153" i="50"/>
  <c r="CE153" i="50"/>
  <c r="AI153" i="50"/>
  <c r="AK153" i="50"/>
  <c r="AD153" i="50"/>
  <c r="V153" i="50"/>
  <c r="X153" i="50"/>
  <c r="FE152" i="50"/>
  <c r="EQ152" i="50"/>
  <c r="EC152" i="50"/>
  <c r="EE152" i="50"/>
  <c r="EG152" i="50"/>
  <c r="EI152" i="50"/>
  <c r="EK152" i="50"/>
  <c r="EM152" i="50"/>
  <c r="DO152" i="50"/>
  <c r="DV152" i="50"/>
  <c r="DA152" i="50"/>
  <c r="DG152" i="50"/>
  <c r="DK152" i="50"/>
  <c r="CM152" i="50"/>
  <c r="CO152" i="50"/>
  <c r="CQ152" i="50"/>
  <c r="BZ152" i="50"/>
  <c r="CF152" i="50"/>
  <c r="CH152" i="50"/>
  <c r="BK152" i="50"/>
  <c r="BV152" i="50"/>
  <c r="AW152" i="50"/>
  <c r="AY152" i="50"/>
  <c r="FI152" i="50"/>
  <c r="EX152" i="50"/>
  <c r="DR152" i="50"/>
  <c r="DX152" i="50"/>
  <c r="DS152" i="50"/>
  <c r="DC152" i="50"/>
  <c r="CX152" i="50"/>
  <c r="BY152" i="50"/>
  <c r="BA152" i="50"/>
  <c r="BC152" i="50"/>
  <c r="BE152" i="50"/>
  <c r="BG152" i="50"/>
  <c r="W152" i="50"/>
  <c r="FG152" i="50"/>
  <c r="FO152" i="50"/>
  <c r="ES152" i="50"/>
  <c r="EU152" i="50"/>
  <c r="FA152" i="50"/>
  <c r="FB152" i="50"/>
  <c r="DQ152" i="50"/>
  <c r="DZ152" i="50"/>
  <c r="DI152" i="50"/>
  <c r="CS152" i="50"/>
  <c r="CU152" i="50"/>
  <c r="CC152" i="50"/>
  <c r="BO152" i="50"/>
  <c r="BU152" i="50"/>
  <c r="Y152" i="50"/>
  <c r="AB152" i="50"/>
  <c r="AE152" i="50"/>
  <c r="FN152" i="50"/>
  <c r="EW152" i="50"/>
  <c r="DE152" i="50"/>
  <c r="FL152" i="50"/>
  <c r="ED152" i="50"/>
  <c r="EF152" i="50"/>
  <c r="EH152" i="50"/>
  <c r="EJ152" i="50"/>
  <c r="EL152" i="50"/>
  <c r="EN152" i="50"/>
  <c r="DB152" i="50"/>
  <c r="DJ152" i="50"/>
  <c r="DL152" i="50"/>
  <c r="CN152" i="50"/>
  <c r="CP152" i="50"/>
  <c r="CR152" i="50"/>
  <c r="CE152" i="50"/>
  <c r="CG152" i="50"/>
  <c r="CJ152" i="50"/>
  <c r="BM152" i="50"/>
  <c r="BT152" i="50"/>
  <c r="AX152" i="50"/>
  <c r="AZ152" i="50"/>
  <c r="FF152" i="50"/>
  <c r="FJ152" i="50"/>
  <c r="ER152" i="50"/>
  <c r="EY152" i="50"/>
  <c r="DP152" i="50"/>
  <c r="DW152" i="50"/>
  <c r="DY152" i="50"/>
  <c r="CW152" i="50"/>
  <c r="CB152" i="50"/>
  <c r="BP152" i="50"/>
  <c r="BB152" i="50"/>
  <c r="BD152" i="50"/>
  <c r="BF152" i="50"/>
  <c r="BH152" i="50"/>
  <c r="ET152" i="50"/>
  <c r="EZ152" i="50"/>
  <c r="DD152" i="50"/>
  <c r="DH152" i="50"/>
  <c r="CT152" i="50"/>
  <c r="CV152" i="50"/>
  <c r="CA152" i="50"/>
  <c r="CI152" i="50"/>
  <c r="BN152" i="50"/>
  <c r="FH152" i="50"/>
  <c r="FK152" i="50"/>
  <c r="FM152" i="50"/>
  <c r="FP152" i="50"/>
  <c r="EV152" i="50"/>
  <c r="DT152" i="50"/>
  <c r="DF152" i="50"/>
  <c r="BQ152" i="50"/>
  <c r="AL152" i="50"/>
  <c r="AN152" i="50"/>
  <c r="X152" i="50"/>
  <c r="CD152" i="50"/>
  <c r="BL152" i="50"/>
  <c r="AI152" i="50"/>
  <c r="AR152" i="50"/>
  <c r="V152" i="50"/>
  <c r="Z152" i="50"/>
  <c r="BR152" i="50"/>
  <c r="AT152" i="50"/>
  <c r="AJ152" i="50"/>
  <c r="AM152" i="50"/>
  <c r="AP152" i="50"/>
  <c r="AD152" i="50"/>
  <c r="P152" i="50"/>
  <c r="BS152" i="50"/>
  <c r="AO152" i="50"/>
  <c r="AS152" i="50"/>
  <c r="AK152" i="50"/>
  <c r="AQ152" i="50"/>
  <c r="U152" i="50"/>
  <c r="AC152" i="50"/>
  <c r="AA152" i="50"/>
  <c r="AF152" i="50"/>
  <c r="J152" i="50"/>
  <c r="FE154" i="50"/>
  <c r="FI154" i="50"/>
  <c r="FK154" i="50"/>
  <c r="FB154" i="50"/>
  <c r="ER154" i="50"/>
  <c r="EW154" i="50"/>
  <c r="EI154" i="50"/>
  <c r="DS154" i="50"/>
  <c r="DL154" i="50"/>
  <c r="CI154" i="50"/>
  <c r="BV154" i="50"/>
  <c r="BK154" i="50"/>
  <c r="BO154" i="50"/>
  <c r="FP154" i="50"/>
  <c r="EC154" i="50"/>
  <c r="EE154" i="50"/>
  <c r="EG154" i="50"/>
  <c r="DV154" i="50"/>
  <c r="DC154" i="50"/>
  <c r="DE154" i="50"/>
  <c r="CR154" i="50"/>
  <c r="BZ154" i="50"/>
  <c r="BT154" i="50"/>
  <c r="BR154" i="50"/>
  <c r="BD154" i="50"/>
  <c r="BC154" i="50"/>
  <c r="FM154" i="50"/>
  <c r="EY154" i="50"/>
  <c r="EK154" i="50"/>
  <c r="EM154" i="50"/>
  <c r="DW154" i="50"/>
  <c r="DP154" i="50"/>
  <c r="DI154" i="50"/>
  <c r="DH154" i="50"/>
  <c r="CU154" i="50"/>
  <c r="CW154" i="50"/>
  <c r="CP154" i="50"/>
  <c r="CT154" i="50"/>
  <c r="CH154" i="50"/>
  <c r="CC154" i="50"/>
  <c r="BS154" i="50"/>
  <c r="BE154" i="50"/>
  <c r="BG154" i="50"/>
  <c r="AW154" i="50"/>
  <c r="AY154" i="50"/>
  <c r="AQ154" i="50"/>
  <c r="AS154" i="50"/>
  <c r="AP154" i="50"/>
  <c r="AC154" i="50"/>
  <c r="FG154" i="50"/>
  <c r="ES154" i="50"/>
  <c r="ET154" i="50"/>
  <c r="DR154" i="50"/>
  <c r="DT154" i="50"/>
  <c r="DK154" i="50"/>
  <c r="FO154" i="50"/>
  <c r="FF154" i="50"/>
  <c r="FJ154" i="50"/>
  <c r="FA154" i="50"/>
  <c r="EH154" i="50"/>
  <c r="DZ154" i="50"/>
  <c r="DY154" i="50"/>
  <c r="DA154" i="50"/>
  <c r="DF154" i="50"/>
  <c r="CQ154" i="50"/>
  <c r="BU154" i="50"/>
  <c r="EU154" i="50"/>
  <c r="EL154" i="50"/>
  <c r="EF154" i="50"/>
  <c r="DB154" i="50"/>
  <c r="DD154" i="50"/>
  <c r="CG154" i="50"/>
  <c r="CB154" i="50"/>
  <c r="CF154" i="50"/>
  <c r="BL154" i="50"/>
  <c r="FH154" i="50"/>
  <c r="FL154" i="50"/>
  <c r="EQ154" i="50"/>
  <c r="EV154" i="50"/>
  <c r="EN154" i="50"/>
  <c r="ED154" i="50"/>
  <c r="EJ154" i="50"/>
  <c r="DO154" i="50"/>
  <c r="DQ154" i="50"/>
  <c r="DJ154" i="50"/>
  <c r="CV154" i="50"/>
  <c r="CX154" i="50"/>
  <c r="CO154" i="50"/>
  <c r="BN154" i="50"/>
  <c r="BQ154" i="50"/>
  <c r="BF154" i="50"/>
  <c r="BH154" i="50"/>
  <c r="AX154" i="50"/>
  <c r="AZ154" i="50"/>
  <c r="BB154" i="50"/>
  <c r="AR154" i="50"/>
  <c r="AT154" i="50"/>
  <c r="AI154" i="50"/>
  <c r="FN154" i="50"/>
  <c r="EZ154" i="50"/>
  <c r="EX154" i="50"/>
  <c r="DX154" i="50"/>
  <c r="DG154" i="50"/>
  <c r="CN154" i="50"/>
  <c r="CS154" i="50"/>
  <c r="CD154" i="50"/>
  <c r="AM154" i="50"/>
  <c r="AO154" i="50"/>
  <c r="Z154" i="50"/>
  <c r="CE154" i="50"/>
  <c r="BM154" i="50"/>
  <c r="W154" i="50"/>
  <c r="J154" i="50"/>
  <c r="BY154" i="50"/>
  <c r="AJ154" i="50"/>
  <c r="AF154" i="50"/>
  <c r="AB154" i="50"/>
  <c r="AA154" i="50"/>
  <c r="CJ154" i="50"/>
  <c r="AL154" i="50"/>
  <c r="AD154" i="50"/>
  <c r="CA154" i="50"/>
  <c r="BP154" i="50"/>
  <c r="AN154" i="50"/>
  <c r="V154" i="50"/>
  <c r="X154" i="50"/>
  <c r="AE154" i="50"/>
  <c r="CM154" i="50"/>
  <c r="P154" i="50"/>
  <c r="BA154" i="50"/>
  <c r="AK154" i="50"/>
  <c r="Y154" i="50"/>
  <c r="U154" i="50"/>
  <c r="FL155" i="50"/>
  <c r="DD155" i="50"/>
  <c r="DK155" i="50"/>
  <c r="CP155" i="50"/>
  <c r="CR155" i="50"/>
  <c r="CW155" i="50"/>
  <c r="CE155" i="50"/>
  <c r="CI155" i="50"/>
  <c r="FG155" i="50"/>
  <c r="FI155" i="50"/>
  <c r="FM155" i="50"/>
  <c r="FO155" i="50"/>
  <c r="FA155" i="50"/>
  <c r="ER155" i="50"/>
  <c r="EV155" i="50"/>
  <c r="FB155" i="50"/>
  <c r="EY155" i="50"/>
  <c r="EM155" i="50"/>
  <c r="DP155" i="50"/>
  <c r="DW155" i="50"/>
  <c r="BM155" i="50"/>
  <c r="BO155" i="50"/>
  <c r="BS155" i="50"/>
  <c r="AJ155" i="50"/>
  <c r="AO155" i="50"/>
  <c r="AK155" i="50"/>
  <c r="AR155" i="50"/>
  <c r="FP155" i="50"/>
  <c r="EZ155" i="50"/>
  <c r="EC155" i="50"/>
  <c r="EE155" i="50"/>
  <c r="EG155" i="50"/>
  <c r="EI155" i="50"/>
  <c r="EK155" i="50"/>
  <c r="DR155" i="50"/>
  <c r="DZ155" i="50"/>
  <c r="DC155" i="50"/>
  <c r="DG155" i="50"/>
  <c r="DI155" i="50"/>
  <c r="CM155" i="50"/>
  <c r="CB155" i="50"/>
  <c r="CD155" i="50"/>
  <c r="CJ155" i="50"/>
  <c r="BV155" i="50"/>
  <c r="BG155" i="50"/>
  <c r="AI155" i="50"/>
  <c r="FE155" i="50"/>
  <c r="ET155" i="50"/>
  <c r="EN155" i="50"/>
  <c r="DO155" i="50"/>
  <c r="DT155" i="50"/>
  <c r="DE155" i="50"/>
  <c r="DL155" i="50"/>
  <c r="FF155" i="50"/>
  <c r="FK155" i="50"/>
  <c r="EQ155" i="50"/>
  <c r="EW155" i="50"/>
  <c r="EX155" i="50"/>
  <c r="DV155" i="50"/>
  <c r="DX155" i="50"/>
  <c r="CQ155" i="50"/>
  <c r="BY155" i="50"/>
  <c r="CG155" i="50"/>
  <c r="CH155" i="50"/>
  <c r="BN155" i="50"/>
  <c r="BQ155" i="50"/>
  <c r="BT155" i="50"/>
  <c r="FH155" i="50"/>
  <c r="FJ155" i="50"/>
  <c r="FN155" i="50"/>
  <c r="ES155" i="50"/>
  <c r="ED155" i="50"/>
  <c r="EF155" i="50"/>
  <c r="EH155" i="50"/>
  <c r="EL155" i="50"/>
  <c r="DB155" i="50"/>
  <c r="DA155" i="50"/>
  <c r="DJ155" i="50"/>
  <c r="CV155" i="50"/>
  <c r="CU155" i="50"/>
  <c r="BZ155" i="50"/>
  <c r="CC155" i="50"/>
  <c r="EJ155" i="50"/>
  <c r="DQ155" i="50"/>
  <c r="DF155" i="50"/>
  <c r="DH155" i="50"/>
  <c r="CN155" i="50"/>
  <c r="CA155" i="50"/>
  <c r="CF155" i="50"/>
  <c r="BP155" i="50"/>
  <c r="EU155" i="50"/>
  <c r="DS155" i="50"/>
  <c r="DY155" i="50"/>
  <c r="CS155" i="50"/>
  <c r="CT155" i="50"/>
  <c r="AX155" i="50"/>
  <c r="BB155" i="50"/>
  <c r="BF155" i="50"/>
  <c r="Y155" i="50"/>
  <c r="AB155" i="50"/>
  <c r="AF155" i="50"/>
  <c r="AL155" i="50"/>
  <c r="AQ155" i="50"/>
  <c r="AS155" i="50"/>
  <c r="W155" i="50"/>
  <c r="AD155" i="50"/>
  <c r="CO155" i="50"/>
  <c r="AY155" i="50"/>
  <c r="BC155" i="50"/>
  <c r="BH155" i="50"/>
  <c r="AT155" i="50"/>
  <c r="AC155" i="50"/>
  <c r="AA155" i="50"/>
  <c r="J155" i="50"/>
  <c r="AN155" i="50"/>
  <c r="V155" i="50"/>
  <c r="Z155" i="50"/>
  <c r="CX155" i="50"/>
  <c r="AZ155" i="50"/>
  <c r="BD155" i="50"/>
  <c r="AP155" i="50"/>
  <c r="X155" i="50"/>
  <c r="U155" i="50"/>
  <c r="BU155" i="50"/>
  <c r="BK155" i="50"/>
  <c r="BR155" i="50"/>
  <c r="BL155" i="50"/>
  <c r="AW155" i="50"/>
  <c r="BA155" i="50"/>
  <c r="AE155" i="50"/>
  <c r="P155" i="50"/>
  <c r="BE155" i="50"/>
  <c r="AM155" i="50"/>
  <c r="FI151" i="50"/>
  <c r="EV151" i="50"/>
  <c r="EH151" i="50"/>
  <c r="DS151" i="50"/>
  <c r="DD151" i="50"/>
  <c r="CQ151" i="50"/>
  <c r="CC151" i="50"/>
  <c r="BR151" i="50"/>
  <c r="FK151" i="50"/>
  <c r="EU151" i="50"/>
  <c r="EI151" i="50"/>
  <c r="DE151" i="50"/>
  <c r="CS151" i="50"/>
  <c r="CD151" i="50"/>
  <c r="BP151" i="50"/>
  <c r="BC151" i="50"/>
  <c r="AN151" i="50"/>
  <c r="FJ151" i="50"/>
  <c r="EW151" i="50"/>
  <c r="EJ151" i="50"/>
  <c r="DT151" i="50"/>
  <c r="DF151" i="50"/>
  <c r="CT151" i="50"/>
  <c r="CE151" i="50"/>
  <c r="BS151" i="50"/>
  <c r="BD151" i="50"/>
  <c r="AO151" i="50"/>
  <c r="FL151" i="50"/>
  <c r="EX151" i="50"/>
  <c r="EK151" i="50"/>
  <c r="DV151" i="50"/>
  <c r="DH151" i="50"/>
  <c r="FE151" i="50"/>
  <c r="FM151" i="50"/>
  <c r="EQ151" i="50"/>
  <c r="EY151" i="50"/>
  <c r="ED151" i="50"/>
  <c r="EL151" i="50"/>
  <c r="DO151" i="50"/>
  <c r="DW151" i="50"/>
  <c r="DA151" i="50"/>
  <c r="DI151" i="50"/>
  <c r="CM151" i="50"/>
  <c r="CV151" i="50"/>
  <c r="BY151" i="50"/>
  <c r="CG151" i="50"/>
  <c r="BK151" i="50"/>
  <c r="BU151" i="50"/>
  <c r="FF151" i="50"/>
  <c r="FN151" i="50"/>
  <c r="ER151" i="50"/>
  <c r="EZ151" i="50"/>
  <c r="EE151" i="50"/>
  <c r="EM151" i="50"/>
  <c r="DP151" i="50"/>
  <c r="DX151" i="50"/>
  <c r="DB151" i="50"/>
  <c r="DJ151" i="50"/>
  <c r="CO151" i="50"/>
  <c r="CW151" i="50"/>
  <c r="BZ151" i="50"/>
  <c r="CH151" i="50"/>
  <c r="BL151" i="50"/>
  <c r="BV151" i="50"/>
  <c r="AX151" i="50"/>
  <c r="BG151" i="50"/>
  <c r="FG151" i="50"/>
  <c r="FO151" i="50"/>
  <c r="ET151" i="50"/>
  <c r="FA151" i="50"/>
  <c r="EF151" i="50"/>
  <c r="EN151" i="50"/>
  <c r="DQ151" i="50"/>
  <c r="DY151" i="50"/>
  <c r="DG151" i="50"/>
  <c r="DK151" i="50"/>
  <c r="CR151" i="50"/>
  <c r="CX151" i="50"/>
  <c r="CA151" i="50"/>
  <c r="CI151" i="50"/>
  <c r="BM151" i="50"/>
  <c r="BQ151" i="50"/>
  <c r="AY151" i="50"/>
  <c r="BH151" i="50"/>
  <c r="FH151" i="50"/>
  <c r="FP151" i="50"/>
  <c r="ES151" i="50"/>
  <c r="FB151" i="50"/>
  <c r="EG151" i="50"/>
  <c r="EC151" i="50"/>
  <c r="DR151" i="50"/>
  <c r="DZ151" i="50"/>
  <c r="DC151" i="50"/>
  <c r="DL151" i="50"/>
  <c r="CP151" i="50"/>
  <c r="CN151" i="50"/>
  <c r="BT151" i="50"/>
  <c r="BA151" i="50"/>
  <c r="AM151" i="50"/>
  <c r="AB151" i="50"/>
  <c r="BO151" i="50"/>
  <c r="AP151" i="50"/>
  <c r="AC151" i="50"/>
  <c r="AQ151" i="50"/>
  <c r="V151" i="50"/>
  <c r="AD151" i="50"/>
  <c r="Y151" i="50"/>
  <c r="U151" i="50"/>
  <c r="CB151" i="50"/>
  <c r="AW151" i="50"/>
  <c r="AR151" i="50"/>
  <c r="X151" i="50"/>
  <c r="AE151" i="50"/>
  <c r="AJ151" i="50"/>
  <c r="AT151" i="50"/>
  <c r="CF151" i="50"/>
  <c r="AZ151" i="50"/>
  <c r="AI151" i="50"/>
  <c r="AS151" i="50"/>
  <c r="W151" i="50"/>
  <c r="AF151" i="50"/>
  <c r="CU151" i="50"/>
  <c r="CJ151" i="50"/>
  <c r="BB151" i="50"/>
  <c r="BE151" i="50"/>
  <c r="AK151" i="50"/>
  <c r="Z151" i="50"/>
  <c r="J151" i="50"/>
  <c r="BN151" i="50"/>
  <c r="BF151" i="50"/>
  <c r="AL151" i="50"/>
  <c r="AA151" i="50"/>
  <c r="EO140" i="50"/>
  <c r="FC140" i="50"/>
  <c r="FQ140" i="50"/>
  <c r="I151" i="50"/>
  <c r="Q152" i="50"/>
  <c r="Q154" i="50"/>
  <c r="Q155" i="50"/>
  <c r="Q153" i="50"/>
  <c r="I152" i="50"/>
  <c r="I153" i="50"/>
  <c r="I154" i="50"/>
  <c r="I155" i="50"/>
  <c r="S63" i="50"/>
  <c r="P63" i="50" a="1"/>
  <c r="P63" i="50" s="1"/>
  <c r="AG6" i="66"/>
  <c r="AE7" i="66"/>
  <c r="AH6" i="66"/>
  <c r="AF7" i="66"/>
  <c r="AD5" i="66"/>
  <c r="AG4" i="66"/>
  <c r="AE5" i="66"/>
  <c r="AH4" i="66"/>
  <c r="AF5" i="66"/>
  <c r="AD4" i="66"/>
  <c r="AG5" i="66"/>
  <c r="AE4" i="66"/>
  <c r="AH5" i="66"/>
  <c r="AF4" i="66"/>
  <c r="AD6" i="66"/>
  <c r="AG7" i="66"/>
  <c r="AE6" i="66"/>
  <c r="AH7" i="66"/>
  <c r="AF6" i="66"/>
  <c r="AD7" i="66"/>
  <c r="H6" i="66"/>
  <c r="I7" i="66"/>
  <c r="H7" i="66"/>
  <c r="K6" i="66"/>
  <c r="L7" i="66"/>
  <c r="J6" i="66"/>
  <c r="K7" i="66"/>
  <c r="I6" i="66"/>
  <c r="L6" i="66"/>
  <c r="J7" i="66"/>
  <c r="X7" i="66"/>
  <c r="U7" i="66"/>
  <c r="R7" i="66"/>
  <c r="O7" i="66"/>
  <c r="N7" i="66"/>
  <c r="V7" i="66"/>
  <c r="T7" i="66"/>
  <c r="Q7" i="66"/>
  <c r="X6" i="66"/>
  <c r="W6" i="66"/>
  <c r="V6" i="66"/>
  <c r="U6" i="66"/>
  <c r="T6" i="66"/>
  <c r="S6" i="66"/>
  <c r="R6" i="66"/>
  <c r="Q6" i="66"/>
  <c r="P6" i="66"/>
  <c r="O6" i="66"/>
  <c r="N6" i="66"/>
  <c r="W7" i="66"/>
  <c r="S7" i="66"/>
  <c r="P7" i="66"/>
  <c r="M6" i="66"/>
  <c r="M7" i="66"/>
  <c r="FS67" i="50"/>
  <c r="M67" i="50" s="1"/>
  <c r="Q63" i="50" a="1"/>
  <c r="Q63" i="50" s="1"/>
  <c r="O63" i="50"/>
  <c r="CE143" i="50"/>
  <c r="FS65" i="50"/>
  <c r="M65" i="50" s="1"/>
  <c r="R63" i="50"/>
  <c r="FS66" i="50"/>
  <c r="M66" i="50" s="1"/>
  <c r="FS63" i="50"/>
  <c r="M63" i="50" s="1"/>
  <c r="FS64" i="50"/>
  <c r="M64" i="50" s="1"/>
  <c r="AG159" i="50"/>
  <c r="D11" i="53"/>
  <c r="B12" i="53"/>
  <c r="A12" i="53" s="1"/>
  <c r="AU159" i="50"/>
  <c r="CY159" i="50"/>
  <c r="FC159" i="50"/>
  <c r="CK159" i="50"/>
  <c r="EO159" i="50"/>
  <c r="BI159" i="50"/>
  <c r="DM159" i="50"/>
  <c r="FQ159" i="50"/>
  <c r="BW159" i="50"/>
  <c r="EA159" i="50"/>
  <c r="EA151" i="50" l="1"/>
  <c r="AG151" i="50"/>
  <c r="E53" i="36" s="1"/>
  <c r="AG152" i="50"/>
  <c r="AG154" i="50"/>
  <c r="AG155" i="50"/>
  <c r="AG153" i="50"/>
  <c r="K151" i="50"/>
  <c r="I157" i="50"/>
  <c r="J157" i="50"/>
  <c r="DM151" i="50"/>
  <c r="K53" i="36" s="1"/>
  <c r="DM152" i="50"/>
  <c r="DM153" i="50"/>
  <c r="DM155" i="50"/>
  <c r="DM154" i="50"/>
  <c r="K152" i="50"/>
  <c r="K154" i="50"/>
  <c r="K153" i="50"/>
  <c r="K155" i="50"/>
  <c r="CF143" i="50"/>
  <c r="D12" i="53"/>
  <c r="B13" i="53"/>
  <c r="A13" i="53" s="1"/>
  <c r="U138" i="36"/>
  <c r="U111" i="36"/>
  <c r="U84" i="36"/>
  <c r="U57" i="36"/>
  <c r="U27" i="36"/>
  <c r="R138" i="36"/>
  <c r="R111" i="36"/>
  <c r="R84" i="36"/>
  <c r="R57" i="36"/>
  <c r="R27" i="36"/>
  <c r="S138" i="36"/>
  <c r="S111" i="36"/>
  <c r="S84" i="36"/>
  <c r="S57" i="36"/>
  <c r="S27" i="36"/>
  <c r="T138" i="36"/>
  <c r="T111" i="36"/>
  <c r="T84" i="36"/>
  <c r="T57" i="36"/>
  <c r="T27" i="36"/>
  <c r="P138" i="36"/>
  <c r="P111" i="36"/>
  <c r="P84" i="36"/>
  <c r="P57" i="36"/>
  <c r="P27" i="36"/>
  <c r="Q138" i="36"/>
  <c r="Q111" i="36"/>
  <c r="Q84" i="36"/>
  <c r="Q57" i="36"/>
  <c r="Q27" i="36"/>
  <c r="CG143" i="50" l="1"/>
  <c r="Q78" i="36"/>
  <c r="Q132" i="36"/>
  <c r="D13" i="53"/>
  <c r="B14" i="53"/>
  <c r="D14" i="53" s="1"/>
  <c r="U51" i="36"/>
  <c r="U78" i="36"/>
  <c r="U105" i="36"/>
  <c r="U132" i="36"/>
  <c r="U159" i="36"/>
  <c r="R51" i="36"/>
  <c r="R78" i="36"/>
  <c r="R105" i="36"/>
  <c r="R132" i="36"/>
  <c r="R159" i="36"/>
  <c r="S51" i="36"/>
  <c r="S78" i="36"/>
  <c r="S105" i="36"/>
  <c r="S132" i="36"/>
  <c r="S159" i="36"/>
  <c r="T51" i="36"/>
  <c r="T78" i="36"/>
  <c r="T105" i="36"/>
  <c r="T132" i="36"/>
  <c r="T159" i="36"/>
  <c r="P51" i="36"/>
  <c r="P78" i="36"/>
  <c r="P105" i="36"/>
  <c r="P132" i="36"/>
  <c r="P159" i="36"/>
  <c r="Q51" i="36"/>
  <c r="Q105" i="36"/>
  <c r="Q159" i="36"/>
  <c r="Q22" i="36" l="1"/>
  <c r="R22" i="36"/>
  <c r="P22" i="36"/>
  <c r="U22" i="36"/>
  <c r="T22" i="36"/>
  <c r="S22" i="36"/>
  <c r="CH143" i="50"/>
  <c r="A14" i="53"/>
  <c r="B15" i="53"/>
  <c r="D15" i="53" s="1"/>
  <c r="CI143" i="50" l="1"/>
  <c r="A15" i="53"/>
  <c r="B16" i="53"/>
  <c r="B17" i="53" s="1"/>
  <c r="B18" i="53" s="1"/>
  <c r="CJ143" i="50" l="1"/>
  <c r="A16" i="53"/>
  <c r="D16" i="53"/>
  <c r="D17" i="53" s="1"/>
  <c r="D18" i="53" s="1"/>
  <c r="B19" i="53"/>
  <c r="CM143" i="50" l="1"/>
  <c r="A17" i="53"/>
  <c r="D19" i="53"/>
  <c r="B20" i="53"/>
  <c r="CN143" i="50" l="1"/>
  <c r="A18" i="53"/>
  <c r="D20" i="53"/>
  <c r="B21" i="53"/>
  <c r="CO143" i="50" l="1"/>
  <c r="A19" i="53"/>
  <c r="D21" i="53"/>
  <c r="B22" i="53"/>
  <c r="CP143" i="50" l="1"/>
  <c r="A20" i="53"/>
  <c r="D22" i="53"/>
  <c r="B23" i="53"/>
  <c r="CQ143" i="50" l="1"/>
  <c r="A21" i="53"/>
  <c r="D23" i="53"/>
  <c r="B24" i="53"/>
  <c r="CR143" i="50" l="1"/>
  <c r="A22" i="53"/>
  <c r="D24" i="53"/>
  <c r="B25" i="53"/>
  <c r="CS143" i="50" l="1"/>
  <c r="A23" i="53"/>
  <c r="D25" i="53"/>
  <c r="B26" i="53"/>
  <c r="D26" i="53" s="1"/>
  <c r="CT143" i="50" l="1"/>
  <c r="A24" i="53"/>
  <c r="B27" i="53"/>
  <c r="D27" i="53" s="1"/>
  <c r="CU143" i="50" l="1"/>
  <c r="A25" i="53"/>
  <c r="B28" i="53"/>
  <c r="D28" i="53" s="1"/>
  <c r="CV143" i="50" l="1"/>
  <c r="A26" i="53"/>
  <c r="B29" i="53"/>
  <c r="D29" i="53" s="1"/>
  <c r="CW143" i="50" l="1"/>
  <c r="A27" i="53"/>
  <c r="B30" i="53"/>
  <c r="D30" i="53" s="1"/>
  <c r="CX143" i="50" l="1"/>
  <c r="A28" i="53"/>
  <c r="B31" i="53"/>
  <c r="D31" i="53" s="1"/>
  <c r="J5" i="66" l="1"/>
  <c r="I5" i="66"/>
  <c r="DA143" i="50"/>
  <c r="A29" i="53"/>
  <c r="B32" i="53"/>
  <c r="D32" i="53" s="1"/>
  <c r="DB143" i="50" l="1"/>
  <c r="A30" i="53"/>
  <c r="B33" i="53"/>
  <c r="D33" i="53" s="1"/>
  <c r="M138" i="36"/>
  <c r="L138" i="36"/>
  <c r="M111" i="36"/>
  <c r="L111" i="36"/>
  <c r="M84" i="36"/>
  <c r="L84" i="36"/>
  <c r="M57" i="36"/>
  <c r="L57" i="36"/>
  <c r="M51" i="36"/>
  <c r="L51" i="36"/>
  <c r="DC143" i="50" l="1"/>
  <c r="L159" i="36"/>
  <c r="L78" i="36"/>
  <c r="L105" i="36"/>
  <c r="L132" i="36"/>
  <c r="A31" i="53"/>
  <c r="M105" i="36"/>
  <c r="M159" i="36"/>
  <c r="M78" i="36"/>
  <c r="M132" i="36"/>
  <c r="B34" i="53"/>
  <c r="D34" i="53" s="1"/>
  <c r="V138" i="36"/>
  <c r="O138" i="36"/>
  <c r="N138" i="36"/>
  <c r="K138" i="36"/>
  <c r="J138" i="36"/>
  <c r="I138" i="36"/>
  <c r="H138" i="36"/>
  <c r="G138" i="36"/>
  <c r="F138" i="36"/>
  <c r="E138" i="36"/>
  <c r="V111" i="36"/>
  <c r="O111" i="36"/>
  <c r="N111" i="36"/>
  <c r="K111" i="36"/>
  <c r="J111" i="36"/>
  <c r="I111" i="36"/>
  <c r="H111" i="36"/>
  <c r="G111" i="36"/>
  <c r="F111" i="36"/>
  <c r="E111" i="36"/>
  <c r="V84" i="36"/>
  <c r="O84" i="36"/>
  <c r="N84" i="36"/>
  <c r="K84" i="36"/>
  <c r="J84" i="36"/>
  <c r="I84" i="36"/>
  <c r="H84" i="36"/>
  <c r="G84" i="36"/>
  <c r="F84" i="36"/>
  <c r="E84" i="36"/>
  <c r="V57" i="36"/>
  <c r="O57" i="36"/>
  <c r="N57" i="36"/>
  <c r="K57" i="36"/>
  <c r="J57" i="36"/>
  <c r="I57" i="36"/>
  <c r="H57" i="36"/>
  <c r="G57" i="36"/>
  <c r="F57" i="36"/>
  <c r="E57" i="36"/>
  <c r="N27" i="36"/>
  <c r="O27" i="36"/>
  <c r="V27" i="36"/>
  <c r="H9" i="36" l="1"/>
  <c r="H8" i="36"/>
  <c r="H10" i="36"/>
  <c r="H11" i="36"/>
  <c r="L22" i="36"/>
  <c r="M22" i="36"/>
  <c r="DD143" i="50"/>
  <c r="A32" i="53"/>
  <c r="B35" i="53"/>
  <c r="D35" i="53" s="1"/>
  <c r="W42" i="36"/>
  <c r="H13" i="36" l="1"/>
  <c r="DE143" i="50"/>
  <c r="A33" i="53"/>
  <c r="B36" i="53"/>
  <c r="D36" i="53" s="1"/>
  <c r="DF143" i="50" l="1"/>
  <c r="A34" i="53"/>
  <c r="B37" i="53"/>
  <c r="D37" i="53" s="1"/>
  <c r="DG143" i="50" l="1"/>
  <c r="A35" i="53"/>
  <c r="B38" i="53"/>
  <c r="D38" i="53" s="1"/>
  <c r="DH143" i="50" l="1"/>
  <c r="A36" i="53"/>
  <c r="B39" i="53"/>
  <c r="D39" i="53" s="1"/>
  <c r="DI143" i="50" l="1"/>
  <c r="A37" i="53"/>
  <c r="B40" i="53"/>
  <c r="D40" i="53" s="1"/>
  <c r="DJ143" i="50" l="1"/>
  <c r="A38" i="53"/>
  <c r="B41" i="53"/>
  <c r="D41" i="53" s="1"/>
  <c r="P28" i="29" l="1"/>
  <c r="P32" i="29"/>
  <c r="P29" i="29"/>
  <c r="P30" i="29"/>
  <c r="P31" i="29"/>
  <c r="P19" i="29"/>
  <c r="P23" i="29"/>
  <c r="P20" i="29"/>
  <c r="P21" i="29"/>
  <c r="P22" i="29"/>
  <c r="DK143" i="50"/>
  <c r="A39" i="53"/>
  <c r="B42" i="53"/>
  <c r="D42" i="53" s="1"/>
  <c r="DL143" i="50" l="1"/>
  <c r="A40" i="53"/>
  <c r="B43" i="53"/>
  <c r="D43" i="53" s="1"/>
  <c r="DO143" i="50" l="1"/>
  <c r="A41" i="53"/>
  <c r="B44" i="53"/>
  <c r="D44" i="53" s="1"/>
  <c r="V159" i="36"/>
  <c r="O159" i="36"/>
  <c r="N159" i="36"/>
  <c r="K159" i="36"/>
  <c r="J159" i="36"/>
  <c r="I159" i="36"/>
  <c r="H159" i="36"/>
  <c r="I11" i="36" s="1"/>
  <c r="G159" i="36"/>
  <c r="F159" i="36"/>
  <c r="E159" i="36"/>
  <c r="W139" i="36"/>
  <c r="V132" i="36"/>
  <c r="O132" i="36"/>
  <c r="N132" i="36"/>
  <c r="K132" i="36"/>
  <c r="J132" i="36"/>
  <c r="I132" i="36"/>
  <c r="H132" i="36"/>
  <c r="I10" i="36" s="1"/>
  <c r="G132" i="36"/>
  <c r="F132" i="36"/>
  <c r="E132" i="36"/>
  <c r="W112" i="36"/>
  <c r="F10" i="36" s="1"/>
  <c r="V105" i="36"/>
  <c r="O105" i="36"/>
  <c r="N105" i="36"/>
  <c r="K105" i="36"/>
  <c r="J105" i="36"/>
  <c r="I105" i="36"/>
  <c r="H105" i="36"/>
  <c r="G105" i="36"/>
  <c r="F105" i="36"/>
  <c r="E105" i="36"/>
  <c r="W85" i="36"/>
  <c r="F9" i="36" s="1"/>
  <c r="V78" i="36"/>
  <c r="O78" i="36"/>
  <c r="N78" i="36"/>
  <c r="K78" i="36"/>
  <c r="J78" i="36"/>
  <c r="I78" i="36"/>
  <c r="H78" i="36"/>
  <c r="G78" i="36"/>
  <c r="F78" i="36"/>
  <c r="E78" i="36"/>
  <c r="W58" i="36"/>
  <c r="F8" i="36" s="1"/>
  <c r="W41" i="36"/>
  <c r="W43" i="36"/>
  <c r="W44" i="36"/>
  <c r="W45" i="36"/>
  <c r="W46" i="36"/>
  <c r="W47" i="36"/>
  <c r="W28" i="36"/>
  <c r="E51" i="36"/>
  <c r="F51" i="36"/>
  <c r="G51" i="36"/>
  <c r="H51" i="36"/>
  <c r="I51" i="36"/>
  <c r="J51" i="36"/>
  <c r="K51" i="36"/>
  <c r="N51" i="36"/>
  <c r="O51" i="36"/>
  <c r="V51" i="36"/>
  <c r="F7" i="36" l="1"/>
  <c r="F13" i="36" s="1"/>
  <c r="D4" i="75" s="1" a="1"/>
  <c r="D4" i="75" s="1"/>
  <c r="I8" i="36"/>
  <c r="AC7" i="66"/>
  <c r="AC5" i="66"/>
  <c r="AC4" i="66"/>
  <c r="AC6" i="66"/>
  <c r="I7" i="36"/>
  <c r="G4" i="66" s="1"/>
  <c r="AC3" i="66"/>
  <c r="I9" i="36"/>
  <c r="E22" i="36"/>
  <c r="O22" i="36"/>
  <c r="K22" i="36"/>
  <c r="N22" i="36"/>
  <c r="V22" i="36"/>
  <c r="J22" i="36"/>
  <c r="F22" i="36"/>
  <c r="I22" i="36"/>
  <c r="H22" i="36"/>
  <c r="G22" i="36"/>
  <c r="DP143" i="50"/>
  <c r="A42" i="53"/>
  <c r="B45" i="53"/>
  <c r="D45" i="53" s="1"/>
  <c r="FC160" i="50"/>
  <c r="W159" i="36"/>
  <c r="W132" i="36"/>
  <c r="W78" i="36"/>
  <c r="W105" i="36"/>
  <c r="W51" i="36"/>
  <c r="G5" i="75" l="1"/>
  <c r="F5" i="75" s="1"/>
  <c r="G8" i="75"/>
  <c r="F8" i="75" s="1"/>
  <c r="D3" i="66"/>
  <c r="G3" i="66"/>
  <c r="I13" i="36"/>
  <c r="B8" i="65"/>
  <c r="W22" i="36"/>
  <c r="O142" i="30" s="1"/>
  <c r="DQ143" i="50"/>
  <c r="A43" i="53"/>
  <c r="CK160" i="50"/>
  <c r="EA160" i="50"/>
  <c r="EO160" i="50"/>
  <c r="B46" i="53"/>
  <c r="D46" i="53" s="1"/>
  <c r="DM160" i="50"/>
  <c r="CY160" i="50"/>
  <c r="BW160" i="50"/>
  <c r="AG160" i="50"/>
  <c r="FQ160" i="50"/>
  <c r="W18" i="36"/>
  <c r="M160" i="50" l="1"/>
  <c r="DR143" i="50"/>
  <c r="A44" i="53"/>
  <c r="B47" i="53"/>
  <c r="D47" i="53" s="1"/>
  <c r="DS143" i="50" l="1"/>
  <c r="A45" i="53"/>
  <c r="B48" i="53"/>
  <c r="D48" i="53" s="1"/>
  <c r="DT143" i="50" l="1"/>
  <c r="A46" i="53"/>
  <c r="B49" i="53"/>
  <c r="D49" i="53" s="1"/>
  <c r="DU143" i="50" l="1"/>
  <c r="A47" i="53"/>
  <c r="B50" i="53"/>
  <c r="D50" i="53" s="1"/>
  <c r="C6" i="29"/>
  <c r="P6" i="29" s="1"/>
  <c r="B6" i="29"/>
  <c r="C11" i="29"/>
  <c r="P11" i="29" s="1"/>
  <c r="C10" i="29"/>
  <c r="P10" i="29" s="1"/>
  <c r="C9" i="29"/>
  <c r="P9" i="29" s="1"/>
  <c r="C8" i="29"/>
  <c r="P8" i="29" s="1"/>
  <c r="C7" i="29"/>
  <c r="P7" i="29" s="1"/>
  <c r="DV143" i="50" l="1"/>
  <c r="A48" i="53"/>
  <c r="B51" i="53"/>
  <c r="D51" i="53" s="1"/>
  <c r="DW143" i="50" l="1"/>
  <c r="A49" i="53"/>
  <c r="B52" i="53"/>
  <c r="D52" i="53" s="1"/>
  <c r="DX143" i="50" l="1"/>
  <c r="A50" i="53"/>
  <c r="B53" i="53"/>
  <c r="D53" i="53" s="1"/>
  <c r="B8" i="29"/>
  <c r="B9" i="29"/>
  <c r="B10" i="29"/>
  <c r="B11" i="29"/>
  <c r="B7" i="29"/>
  <c r="DY143" i="50" l="1"/>
  <c r="A51" i="53"/>
  <c r="B54" i="53"/>
  <c r="D54" i="53" s="1"/>
  <c r="DZ143" i="50" l="1"/>
  <c r="A52" i="53"/>
  <c r="B55" i="53"/>
  <c r="D55" i="53" s="1"/>
  <c r="EC143" i="50" l="1"/>
  <c r="A53" i="53"/>
  <c r="B56" i="53"/>
  <c r="D56" i="53" s="1"/>
  <c r="ED143" i="50" l="1"/>
  <c r="A54" i="53"/>
  <c r="B57" i="53"/>
  <c r="D57" i="53" s="1"/>
  <c r="EE143" i="50" l="1"/>
  <c r="A55" i="53"/>
  <c r="B58" i="53"/>
  <c r="D58" i="53" s="1"/>
  <c r="EF143" i="50" l="1"/>
  <c r="A56" i="53"/>
  <c r="B59" i="53"/>
  <c r="D59" i="53" s="1"/>
  <c r="EG143" i="50" l="1"/>
  <c r="A57" i="53"/>
  <c r="B60" i="53"/>
  <c r="D60" i="53" s="1"/>
  <c r="A8" i="5"/>
  <c r="A6" i="27"/>
  <c r="B6" i="27" l="1"/>
  <c r="EH143" i="50"/>
  <c r="A58" i="53"/>
  <c r="B61" i="53"/>
  <c r="D61" i="53" s="1"/>
  <c r="A7" i="27"/>
  <c r="A9" i="5"/>
  <c r="A10" i="5" s="1"/>
  <c r="A11" i="5" s="1"/>
  <c r="A12" i="5" s="1"/>
  <c r="A13" i="5" s="1"/>
  <c r="A14" i="5" s="1"/>
  <c r="A15" i="5" s="1"/>
  <c r="A16" i="5" s="1"/>
  <c r="A17" i="5" s="1"/>
  <c r="A18" i="5" s="1"/>
  <c r="A19" i="5" s="1"/>
  <c r="A20" i="5" s="1"/>
  <c r="A21" i="5" s="1"/>
  <c r="A22" i="5" s="1"/>
  <c r="A23" i="5" s="1"/>
  <c r="A24" i="5" s="1"/>
  <c r="A25" i="5" s="1"/>
  <c r="A26" i="5" s="1"/>
  <c r="A27" i="5" s="1"/>
  <c r="B7" i="27" l="1"/>
  <c r="A28" i="5"/>
  <c r="A29" i="5" s="1"/>
  <c r="A30" i="5" s="1"/>
  <c r="A31" i="5" s="1"/>
  <c r="A32" i="5" s="1"/>
  <c r="A33" i="5" s="1"/>
  <c r="A34" i="5" s="1"/>
  <c r="A35" i="5" s="1"/>
  <c r="EI143" i="50"/>
  <c r="A59" i="53"/>
  <c r="B62" i="53"/>
  <c r="D62" i="53" s="1"/>
  <c r="A8" i="27"/>
  <c r="B8" i="27" s="1"/>
  <c r="EJ143" i="50" l="1"/>
  <c r="A60" i="53"/>
  <c r="B63" i="53"/>
  <c r="D63" i="53" s="1"/>
  <c r="A36" i="5"/>
  <c r="A9" i="27"/>
  <c r="B9" i="27" s="1"/>
  <c r="A37" i="5" l="1"/>
  <c r="EK143" i="50"/>
  <c r="A61" i="53"/>
  <c r="B64" i="53"/>
  <c r="D64" i="53" s="1"/>
  <c r="A10" i="27"/>
  <c r="B10" i="27" s="1"/>
  <c r="A38" i="5" l="1"/>
  <c r="EL143" i="50"/>
  <c r="A62" i="53"/>
  <c r="B65" i="53"/>
  <c r="D65" i="53" s="1"/>
  <c r="A11" i="27"/>
  <c r="B11" i="27" s="1"/>
  <c r="A39" i="5" l="1"/>
  <c r="EM143" i="50"/>
  <c r="A63" i="53"/>
  <c r="B66" i="53"/>
  <c r="D66" i="53" s="1"/>
  <c r="A12" i="27"/>
  <c r="B12" i="27" s="1"/>
  <c r="A40" i="5" l="1"/>
  <c r="B2" i="65"/>
  <c r="EN143" i="50"/>
  <c r="A64" i="53"/>
  <c r="B67" i="53"/>
  <c r="D67" i="53" s="1"/>
  <c r="C15" i="29"/>
  <c r="A13" i="27"/>
  <c r="B13" i="27" s="1"/>
  <c r="A41" i="5" l="1"/>
  <c r="EQ143" i="50"/>
  <c r="A65" i="53"/>
  <c r="B68" i="53"/>
  <c r="D68" i="53" s="1"/>
  <c r="A14" i="27"/>
  <c r="B14" i="27" s="1"/>
  <c r="A42" i="5" l="1"/>
  <c r="ER143" i="50"/>
  <c r="A66" i="53"/>
  <c r="B69" i="53"/>
  <c r="D69" i="53" s="1"/>
  <c r="A15" i="27"/>
  <c r="B15" i="27" s="1"/>
  <c r="A43" i="5" l="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ES143" i="50"/>
  <c r="A67" i="53"/>
  <c r="B70" i="53"/>
  <c r="D70" i="53" s="1"/>
  <c r="A16" i="27"/>
  <c r="B16" i="27" s="1"/>
  <c r="ET143" i="50" l="1"/>
  <c r="A68" i="53"/>
  <c r="B71" i="53"/>
  <c r="D71" i="53" s="1"/>
  <c r="A17" i="27"/>
  <c r="B17" i="27" s="1"/>
  <c r="EU143" i="50" l="1"/>
  <c r="A69" i="53"/>
  <c r="B72" i="53"/>
  <c r="D72" i="53" s="1"/>
  <c r="A18" i="27"/>
  <c r="B18" i="27" s="1"/>
  <c r="EV143" i="50" l="1"/>
  <c r="A70" i="53"/>
  <c r="B73" i="53"/>
  <c r="D73" i="53" s="1"/>
  <c r="A19" i="27"/>
  <c r="B19" i="27" s="1"/>
  <c r="EW143" i="50" l="1"/>
  <c r="A71" i="53"/>
  <c r="B74" i="53"/>
  <c r="D74" i="53" s="1"/>
  <c r="A20" i="27"/>
  <c r="B20" i="27" s="1"/>
  <c r="L138" i="30" l="1"/>
  <c r="EX143" i="50"/>
  <c r="A72" i="53"/>
  <c r="B75" i="53"/>
  <c r="D75" i="53" s="1"/>
  <c r="A21" i="27"/>
  <c r="B21" i="27" s="1"/>
  <c r="C77" i="5"/>
  <c r="X67" i="5" l="1"/>
  <c r="EY143" i="50"/>
  <c r="A73" i="53"/>
  <c r="BI38" i="50"/>
  <c r="BI45" i="50"/>
  <c r="BI49" i="50"/>
  <c r="BI46" i="50"/>
  <c r="BI62" i="50"/>
  <c r="BI43" i="50"/>
  <c r="BI59" i="50"/>
  <c r="BI40" i="50"/>
  <c r="BI56" i="50"/>
  <c r="BI61" i="50"/>
  <c r="BI50" i="50"/>
  <c r="BI47" i="50"/>
  <c r="BI44" i="50"/>
  <c r="BI60" i="50"/>
  <c r="BI41" i="50"/>
  <c r="BI54" i="50"/>
  <c r="BI51" i="50"/>
  <c r="BI48" i="50"/>
  <c r="BI57" i="50"/>
  <c r="BI37" i="50"/>
  <c r="BI42" i="50"/>
  <c r="BI58" i="50"/>
  <c r="BI39" i="50"/>
  <c r="BI55" i="50"/>
  <c r="BI36" i="50"/>
  <c r="BI52" i="50"/>
  <c r="AG44" i="50"/>
  <c r="AG40" i="50"/>
  <c r="AG52" i="50"/>
  <c r="AG48" i="50"/>
  <c r="AG60" i="50"/>
  <c r="AG49" i="50"/>
  <c r="AG39" i="50"/>
  <c r="AG45" i="50"/>
  <c r="AG50" i="50"/>
  <c r="AG57" i="50"/>
  <c r="AG59" i="50"/>
  <c r="AU47" i="50"/>
  <c r="AU43" i="50"/>
  <c r="S43" i="50" s="1"/>
  <c r="AU37" i="50"/>
  <c r="AU59" i="50"/>
  <c r="AU45" i="50"/>
  <c r="S45" i="50" s="1"/>
  <c r="AU62" i="50"/>
  <c r="AG51" i="50"/>
  <c r="AG54" i="50"/>
  <c r="AU38" i="50"/>
  <c r="AU50" i="50"/>
  <c r="AU41" i="50"/>
  <c r="AU48" i="50"/>
  <c r="AU60" i="50"/>
  <c r="AU39" i="50"/>
  <c r="AU40" i="50"/>
  <c r="AG46" i="50"/>
  <c r="AG43" i="50"/>
  <c r="AG38" i="50"/>
  <c r="AG47" i="50"/>
  <c r="AG58" i="50"/>
  <c r="AG55" i="50"/>
  <c r="AG62" i="50"/>
  <c r="AU56" i="50"/>
  <c r="AU46" i="50"/>
  <c r="AU42" i="50"/>
  <c r="AU54" i="50"/>
  <c r="AU52" i="50"/>
  <c r="S52" i="50" s="1"/>
  <c r="AU57" i="50"/>
  <c r="AU61" i="50"/>
  <c r="AG36" i="50"/>
  <c r="AG41" i="50"/>
  <c r="AG37" i="50"/>
  <c r="AG61" i="50"/>
  <c r="AG42" i="50"/>
  <c r="AG56" i="50"/>
  <c r="AU44" i="50"/>
  <c r="S44" i="50" s="1"/>
  <c r="AU55" i="50"/>
  <c r="S55" i="50" s="1"/>
  <c r="AU58" i="50"/>
  <c r="AU51" i="50"/>
  <c r="S51" i="50" s="1"/>
  <c r="AU36" i="50"/>
  <c r="AU49" i="50"/>
  <c r="S49" i="50" s="1"/>
  <c r="AF144" i="50"/>
  <c r="AD144" i="50"/>
  <c r="BH144" i="50"/>
  <c r="CJ144" i="50"/>
  <c r="CU144" i="50"/>
  <c r="DI144" i="50"/>
  <c r="AZ144" i="50"/>
  <c r="CM144" i="50"/>
  <c r="DD144" i="50"/>
  <c r="DT144" i="50"/>
  <c r="BB144" i="50"/>
  <c r="DF144" i="50"/>
  <c r="BD144" i="50"/>
  <c r="BR144" i="50"/>
  <c r="CI144" i="50"/>
  <c r="DE144" i="50"/>
  <c r="CQ144" i="50"/>
  <c r="DC144" i="50"/>
  <c r="AL144" i="50"/>
  <c r="CA144" i="50"/>
  <c r="DH144" i="50"/>
  <c r="DR144" i="50"/>
  <c r="BZ144" i="50"/>
  <c r="CN144" i="50"/>
  <c r="DK144" i="50"/>
  <c r="BF144" i="50"/>
  <c r="BL144" i="50"/>
  <c r="DL144" i="50"/>
  <c r="DJ144" i="50"/>
  <c r="BV144" i="50"/>
  <c r="CH144" i="50"/>
  <c r="CB144" i="50"/>
  <c r="CV144" i="50"/>
  <c r="DS144" i="50"/>
  <c r="AP144" i="50"/>
  <c r="AX144" i="50"/>
  <c r="CC144" i="50"/>
  <c r="DB144" i="50"/>
  <c r="BN144" i="50"/>
  <c r="CP144" i="50"/>
  <c r="DO144" i="50"/>
  <c r="AJ144" i="50"/>
  <c r="AN144" i="50"/>
  <c r="CD144" i="50"/>
  <c r="CR144" i="50"/>
  <c r="DP144" i="50"/>
  <c r="BP144" i="50"/>
  <c r="AR144" i="50"/>
  <c r="BY144" i="50"/>
  <c r="CX144" i="50"/>
  <c r="DU144" i="50"/>
  <c r="AB144" i="50"/>
  <c r="CF144" i="50"/>
  <c r="BT144" i="50"/>
  <c r="DG144" i="50"/>
  <c r="AT144" i="50"/>
  <c r="CE144" i="50"/>
  <c r="CT144" i="50"/>
  <c r="DQ144" i="50"/>
  <c r="B76" i="53"/>
  <c r="D76" i="53" s="1"/>
  <c r="A22" i="27"/>
  <c r="B22" i="27" s="1"/>
  <c r="P62" i="50" l="1" a="1"/>
  <c r="P62" i="50" s="1"/>
  <c r="P42" i="50" a="1"/>
  <c r="P42" i="50" s="1"/>
  <c r="P37" i="50" a="1"/>
  <c r="P37" i="50" s="1"/>
  <c r="P38" i="50" a="1"/>
  <c r="P38" i="50" s="1"/>
  <c r="P47" i="50" a="1"/>
  <c r="P47" i="50" s="1"/>
  <c r="P59" i="50" a="1"/>
  <c r="P59" i="50" s="1"/>
  <c r="P41" i="50" a="1"/>
  <c r="P41" i="50" s="1"/>
  <c r="P60" i="50" a="1"/>
  <c r="P60" i="50" s="1"/>
  <c r="P61" i="50" a="1"/>
  <c r="P61" i="50" s="1"/>
  <c r="P43" i="50" a="1"/>
  <c r="P43" i="50" s="1"/>
  <c r="P48" i="50" a="1"/>
  <c r="P48" i="50" s="1"/>
  <c r="P170" i="50" s="1"/>
  <c r="P46" i="50" a="1"/>
  <c r="P46" i="50" s="1"/>
  <c r="P54" i="50" a="1"/>
  <c r="P54" i="50" s="1"/>
  <c r="P52" i="50" a="1"/>
  <c r="P52" i="50" s="1"/>
  <c r="P51" i="50" a="1"/>
  <c r="P51" i="50" s="1"/>
  <c r="P57" i="50" a="1"/>
  <c r="P57" i="50" s="1"/>
  <c r="P40" i="50" a="1"/>
  <c r="P40" i="50" s="1"/>
  <c r="P50" i="50" a="1"/>
  <c r="P50" i="50" s="1"/>
  <c r="P44" i="50" a="1"/>
  <c r="P44" i="50" s="1"/>
  <c r="P55" i="50" a="1"/>
  <c r="P55" i="50" s="1"/>
  <c r="P45" i="50" a="1"/>
  <c r="P45" i="50" s="1"/>
  <c r="P36" i="50" a="1"/>
  <c r="P36" i="50" s="1"/>
  <c r="P58" i="50" a="1"/>
  <c r="P58" i="50" s="1"/>
  <c r="P39" i="50" a="1"/>
  <c r="P39" i="50" s="1"/>
  <c r="P56" i="50" a="1"/>
  <c r="P56" i="50" s="1"/>
  <c r="P49" i="50" a="1"/>
  <c r="P49" i="50" s="1"/>
  <c r="S46" i="50"/>
  <c r="S57" i="50"/>
  <c r="S40" i="50"/>
  <c r="S41" i="50"/>
  <c r="S37" i="50"/>
  <c r="EZ143" i="50"/>
  <c r="S58" i="50"/>
  <c r="S50" i="50"/>
  <c r="Q40" i="50" a="1"/>
  <c r="Q40" i="50" s="1"/>
  <c r="Q44" i="50" a="1"/>
  <c r="Q44" i="50" s="1"/>
  <c r="Q60" i="50" a="1"/>
  <c r="Q60" i="50" s="1"/>
  <c r="Q57" i="50" a="1"/>
  <c r="Q57" i="50" s="1"/>
  <c r="Q36" i="50" a="1"/>
  <c r="Q36" i="50" s="1"/>
  <c r="Q52" i="50" a="1"/>
  <c r="Q52" i="50" s="1"/>
  <c r="Q39" i="50" a="1"/>
  <c r="Q39" i="50" s="1"/>
  <c r="Q49" i="50" a="1"/>
  <c r="Q49" i="50" s="1"/>
  <c r="Q58" i="50" a="1"/>
  <c r="Q58" i="50" s="1"/>
  <c r="Q46" i="50" a="1"/>
  <c r="Q46" i="50" s="1"/>
  <c r="Q56" i="50" a="1"/>
  <c r="Q56" i="50" s="1"/>
  <c r="Q47" i="50" a="1"/>
  <c r="Q47" i="50" s="1"/>
  <c r="Q37" i="50" a="1"/>
  <c r="Q37" i="50" s="1"/>
  <c r="Q43" i="50" a="1"/>
  <c r="Q43" i="50" s="1"/>
  <c r="Q50" i="50" a="1"/>
  <c r="Q50" i="50" s="1"/>
  <c r="Q55" i="50" a="1"/>
  <c r="Q55" i="50" s="1"/>
  <c r="Q38" i="50" a="1"/>
  <c r="Q38" i="50" s="1"/>
  <c r="Q62" i="50" a="1"/>
  <c r="Q62" i="50" s="1"/>
  <c r="Q41" i="50" a="1"/>
  <c r="Q41" i="50" s="1"/>
  <c r="Q48" i="50" a="1"/>
  <c r="Q48" i="50" s="1"/>
  <c r="Q170" i="50" s="1"/>
  <c r="Q54" i="50" a="1"/>
  <c r="Q54" i="50" s="1"/>
  <c r="Q45" i="50" a="1"/>
  <c r="Q45" i="50" s="1"/>
  <c r="Q61" i="50" a="1"/>
  <c r="Q61" i="50" s="1"/>
  <c r="Q42" i="50" a="1"/>
  <c r="Q42" i="50" s="1"/>
  <c r="Q51" i="50" a="1"/>
  <c r="Q51" i="50" s="1"/>
  <c r="Q59" i="50" a="1"/>
  <c r="Q59" i="50" s="1"/>
  <c r="B15" i="65"/>
  <c r="S56" i="50"/>
  <c r="S54" i="50"/>
  <c r="S39" i="50"/>
  <c r="S62" i="50"/>
  <c r="S38" i="50"/>
  <c r="S47" i="50"/>
  <c r="S61" i="50"/>
  <c r="S42" i="50"/>
  <c r="S60" i="50"/>
  <c r="S36" i="50"/>
  <c r="S48" i="50"/>
  <c r="S59" i="50"/>
  <c r="R45" i="50"/>
  <c r="R41" i="50"/>
  <c r="A74" i="53"/>
  <c r="R62" i="50"/>
  <c r="R43" i="50"/>
  <c r="R47" i="50"/>
  <c r="R42" i="50"/>
  <c r="R36" i="50"/>
  <c r="R59" i="50"/>
  <c r="R50" i="50"/>
  <c r="R52" i="50"/>
  <c r="R49" i="50"/>
  <c r="R58" i="50"/>
  <c r="R54" i="50"/>
  <c r="R55" i="50"/>
  <c r="R61" i="50"/>
  <c r="R60" i="50"/>
  <c r="R38" i="50"/>
  <c r="R48" i="50"/>
  <c r="R56" i="50"/>
  <c r="R37" i="50"/>
  <c r="R44" i="50"/>
  <c r="R57" i="50"/>
  <c r="R46" i="50"/>
  <c r="R51" i="50"/>
  <c r="R40" i="50"/>
  <c r="R39" i="50"/>
  <c r="O52" i="50"/>
  <c r="O49" i="50"/>
  <c r="O40" i="50"/>
  <c r="O60" i="50"/>
  <c r="O44" i="50"/>
  <c r="O48" i="50"/>
  <c r="FS60" i="50"/>
  <c r="M60" i="50" s="1"/>
  <c r="FS40" i="50"/>
  <c r="M40" i="50" s="1"/>
  <c r="O42" i="50"/>
  <c r="FS42" i="50"/>
  <c r="M42" i="50" s="1"/>
  <c r="FS36" i="50"/>
  <c r="M36" i="50" s="1"/>
  <c r="O36" i="50"/>
  <c r="O62" i="50"/>
  <c r="FS62" i="50"/>
  <c r="M62" i="50" s="1"/>
  <c r="O38" i="50"/>
  <c r="FS38" i="50"/>
  <c r="M38" i="50" s="1"/>
  <c r="O46" i="50"/>
  <c r="FS46" i="50"/>
  <c r="M46" i="50" s="1"/>
  <c r="FS57" i="50"/>
  <c r="M57" i="50" s="1"/>
  <c r="O57" i="50"/>
  <c r="FS61" i="50"/>
  <c r="M61" i="50" s="1"/>
  <c r="O61" i="50"/>
  <c r="O55" i="50"/>
  <c r="FS55" i="50"/>
  <c r="M55" i="50" s="1"/>
  <c r="O43" i="50"/>
  <c r="FS43" i="50"/>
  <c r="M43" i="50" s="1"/>
  <c r="FS44" i="50"/>
  <c r="M44" i="50" s="1"/>
  <c r="FS50" i="50"/>
  <c r="M50" i="50" s="1"/>
  <c r="O50" i="50"/>
  <c r="FS48" i="50"/>
  <c r="M48" i="50" s="1"/>
  <c r="O37" i="50"/>
  <c r="FS37" i="50"/>
  <c r="M37" i="50" s="1"/>
  <c r="O58" i="50"/>
  <c r="FS58" i="50"/>
  <c r="M58" i="50" s="1"/>
  <c r="O54" i="50"/>
  <c r="FS54" i="50"/>
  <c r="M54" i="50" s="1"/>
  <c r="O59" i="50"/>
  <c r="FS59" i="50"/>
  <c r="M59" i="50" s="1"/>
  <c r="FS45" i="50"/>
  <c r="M45" i="50" s="1"/>
  <c r="O45" i="50"/>
  <c r="FS52" i="50"/>
  <c r="M52" i="50" s="1"/>
  <c r="O56" i="50"/>
  <c r="FS56" i="50"/>
  <c r="M56" i="50" s="1"/>
  <c r="FS41" i="50"/>
  <c r="M41" i="50" s="1"/>
  <c r="O41" i="50"/>
  <c r="O47" i="50"/>
  <c r="FS47" i="50"/>
  <c r="M47" i="50" s="1"/>
  <c r="FS49" i="50"/>
  <c r="M49" i="50" s="1"/>
  <c r="FS51" i="50"/>
  <c r="M51" i="50" s="1"/>
  <c r="O51" i="50"/>
  <c r="FS39" i="50"/>
  <c r="M39" i="50" s="1"/>
  <c r="O39" i="50"/>
  <c r="B77" i="53"/>
  <c r="D77" i="53" s="1"/>
  <c r="A23" i="27"/>
  <c r="B23" i="27" s="1"/>
  <c r="Q169" i="50" l="1"/>
  <c r="P169" i="50"/>
  <c r="CK170" i="50"/>
  <c r="CK169" i="50"/>
  <c r="FA143" i="50"/>
  <c r="AU170" i="50"/>
  <c r="DM170" i="50"/>
  <c r="AG170" i="50"/>
  <c r="BW170" i="50"/>
  <c r="CY170" i="50"/>
  <c r="EA170" i="50"/>
  <c r="BI170" i="50"/>
  <c r="EO170" i="50"/>
  <c r="FQ170" i="50"/>
  <c r="A75" i="53"/>
  <c r="ES171" i="50"/>
  <c r="CB171" i="50"/>
  <c r="BL171" i="50"/>
  <c r="EU171" i="50"/>
  <c r="EZ171" i="50"/>
  <c r="EA168" i="50"/>
  <c r="R168" i="50" s="1"/>
  <c r="EO166" i="50"/>
  <c r="FQ166" i="50"/>
  <c r="CK165" i="50"/>
  <c r="AU167" i="50"/>
  <c r="BW167" i="50"/>
  <c r="CY167" i="50"/>
  <c r="EA167" i="50"/>
  <c r="DM169" i="50"/>
  <c r="EO165" i="50"/>
  <c r="EO169" i="50"/>
  <c r="FQ165" i="50"/>
  <c r="FQ169" i="50"/>
  <c r="BI167" i="50"/>
  <c r="DM166" i="50"/>
  <c r="BI169" i="50"/>
  <c r="BI166" i="50"/>
  <c r="AU166" i="50"/>
  <c r="BW166" i="50"/>
  <c r="CY166" i="50"/>
  <c r="EA166" i="50"/>
  <c r="FQ168" i="50"/>
  <c r="DM165" i="50"/>
  <c r="AU169" i="50"/>
  <c r="BW169" i="50"/>
  <c r="CY165" i="50"/>
  <c r="CY169" i="50"/>
  <c r="EA165" i="50"/>
  <c r="EA169" i="50"/>
  <c r="FC165" i="50"/>
  <c r="DM167" i="50"/>
  <c r="EO167" i="50"/>
  <c r="FQ167" i="50"/>
  <c r="EF171" i="50"/>
  <c r="CX171" i="50"/>
  <c r="DG171" i="50"/>
  <c r="AB171" i="50"/>
  <c r="CP171" i="50"/>
  <c r="CV171" i="50"/>
  <c r="BB171" i="50"/>
  <c r="BF171" i="50"/>
  <c r="BZ171" i="50"/>
  <c r="DU171" i="50"/>
  <c r="FO171" i="50"/>
  <c r="EG171" i="50"/>
  <c r="EE171" i="50"/>
  <c r="DH171" i="50"/>
  <c r="EH171" i="50"/>
  <c r="EI171" i="50"/>
  <c r="DB171" i="50"/>
  <c r="ET171" i="50"/>
  <c r="CQ171" i="50"/>
  <c r="CD171" i="50"/>
  <c r="EJ171" i="50"/>
  <c r="AL171" i="50"/>
  <c r="DK171" i="50"/>
  <c r="BH171" i="50"/>
  <c r="FJ171" i="50"/>
  <c r="CT171" i="50"/>
  <c r="DR171" i="50"/>
  <c r="DV171" i="50"/>
  <c r="DY171" i="50"/>
  <c r="EL171" i="50"/>
  <c r="FB171" i="50"/>
  <c r="BV171" i="50"/>
  <c r="ER171" i="50"/>
  <c r="AG167" i="50"/>
  <c r="DW171" i="50"/>
  <c r="AX171" i="50"/>
  <c r="FG171" i="50"/>
  <c r="CA171" i="50"/>
  <c r="EV171" i="50"/>
  <c r="AR171" i="50"/>
  <c r="EK171" i="50"/>
  <c r="DJ171" i="50"/>
  <c r="AT171" i="50"/>
  <c r="EC171" i="50"/>
  <c r="FA171" i="50"/>
  <c r="BP171" i="50"/>
  <c r="AG166" i="50"/>
  <c r="DD171" i="50"/>
  <c r="EX171" i="50"/>
  <c r="FF171" i="50"/>
  <c r="DS171" i="50"/>
  <c r="AP171" i="50"/>
  <c r="DX171" i="50"/>
  <c r="BR171" i="50"/>
  <c r="EM171" i="50"/>
  <c r="CH171" i="50"/>
  <c r="EN171" i="50"/>
  <c r="J171" i="50"/>
  <c r="CN171" i="50"/>
  <c r="FI171" i="50"/>
  <c r="EY171" i="50"/>
  <c r="DL171" i="50"/>
  <c r="BD171" i="50"/>
  <c r="DC171" i="50"/>
  <c r="CR171" i="50"/>
  <c r="FM171" i="50"/>
  <c r="EW171" i="50"/>
  <c r="FN171" i="50"/>
  <c r="DF171" i="50"/>
  <c r="AD171" i="50"/>
  <c r="FP171" i="50"/>
  <c r="CM171" i="50"/>
  <c r="FH171" i="50"/>
  <c r="DZ171" i="50"/>
  <c r="V171" i="50"/>
  <c r="AG169" i="50"/>
  <c r="BN171" i="50"/>
  <c r="CE171" i="50"/>
  <c r="BT171" i="50"/>
  <c r="CJ171" i="50"/>
  <c r="FK171" i="50"/>
  <c r="Z171" i="50"/>
  <c r="FL171" i="50"/>
  <c r="CI171" i="50"/>
  <c r="FE171" i="50"/>
  <c r="AZ171" i="50"/>
  <c r="DO171" i="50"/>
  <c r="ED171" i="50"/>
  <c r="DP171" i="50"/>
  <c r="AJ171" i="50"/>
  <c r="DE171" i="50"/>
  <c r="DQ171" i="50"/>
  <c r="X171" i="50"/>
  <c r="DT171" i="50"/>
  <c r="AN171" i="50"/>
  <c r="DI171" i="50"/>
  <c r="EQ171" i="50"/>
  <c r="CF171" i="50"/>
  <c r="CU171" i="50"/>
  <c r="AF171" i="50"/>
  <c r="B78" i="53"/>
  <c r="D78" i="53" s="1"/>
  <c r="A24" i="27"/>
  <c r="B24" i="27" s="1"/>
  <c r="R170" i="50" l="1"/>
  <c r="R166" i="50"/>
  <c r="R167" i="50"/>
  <c r="R169" i="50"/>
  <c r="FS166" i="50"/>
  <c r="FS169" i="50"/>
  <c r="FS170" i="50"/>
  <c r="FS167" i="50"/>
  <c r="R165" i="50"/>
  <c r="S170" i="50"/>
  <c r="S168" i="50"/>
  <c r="S169" i="50"/>
  <c r="S166" i="50"/>
  <c r="S167" i="50"/>
  <c r="S165" i="50"/>
  <c r="O170" i="50"/>
  <c r="FB143" i="50"/>
  <c r="A76" i="53"/>
  <c r="EA171" i="50"/>
  <c r="O166" i="50"/>
  <c r="O167" i="50"/>
  <c r="FC171" i="50"/>
  <c r="O169" i="50"/>
  <c r="FQ171" i="50"/>
  <c r="EO171" i="50"/>
  <c r="EW157" i="50"/>
  <c r="FO157" i="50"/>
  <c r="EO153" i="50"/>
  <c r="E134" i="36"/>
  <c r="CY154" i="50"/>
  <c r="FK157" i="50"/>
  <c r="EN157" i="50"/>
  <c r="EA154" i="50"/>
  <c r="FJ157" i="50"/>
  <c r="DV157" i="50"/>
  <c r="EI157" i="50"/>
  <c r="EO155" i="50"/>
  <c r="EF157" i="50"/>
  <c r="EJ157" i="50"/>
  <c r="DW157" i="50"/>
  <c r="ET157" i="50"/>
  <c r="EG157" i="50"/>
  <c r="FC154" i="50"/>
  <c r="FF157" i="50"/>
  <c r="FQ152" i="50"/>
  <c r="BW154" i="50"/>
  <c r="FM157" i="50"/>
  <c r="FB157" i="50"/>
  <c r="EE157" i="50"/>
  <c r="FQ153" i="50"/>
  <c r="FC153" i="50"/>
  <c r="AU155" i="50"/>
  <c r="F161" i="36" s="1"/>
  <c r="CK155" i="50"/>
  <c r="BW155" i="50"/>
  <c r="FE157" i="50"/>
  <c r="FQ151" i="50"/>
  <c r="EO154" i="50"/>
  <c r="EO152" i="50"/>
  <c r="ED157" i="50"/>
  <c r="DX157" i="50"/>
  <c r="EM157" i="50"/>
  <c r="FN157" i="50"/>
  <c r="EU157" i="50"/>
  <c r="FC155" i="50"/>
  <c r="EL157" i="50"/>
  <c r="BI155" i="50"/>
  <c r="G161" i="36" s="1"/>
  <c r="FH157" i="50"/>
  <c r="EA155" i="50"/>
  <c r="ES157" i="50"/>
  <c r="EV157" i="50"/>
  <c r="EY157" i="50"/>
  <c r="EC157" i="50"/>
  <c r="EO151" i="50"/>
  <c r="M53" i="36" s="1"/>
  <c r="ER157" i="50"/>
  <c r="FP157" i="50"/>
  <c r="EQ157" i="50"/>
  <c r="FC151" i="50"/>
  <c r="N53" i="36" s="1"/>
  <c r="BI154" i="50"/>
  <c r="G134" i="36" s="1"/>
  <c r="CK154" i="50"/>
  <c r="AU154" i="50"/>
  <c r="F134" i="36" s="1"/>
  <c r="FQ154" i="50"/>
  <c r="EX157" i="50"/>
  <c r="DY157" i="50"/>
  <c r="FC152" i="50"/>
  <c r="FQ155" i="50"/>
  <c r="DZ157" i="50"/>
  <c r="EH157" i="50"/>
  <c r="FI157" i="50"/>
  <c r="FL157" i="50"/>
  <c r="EK157" i="50"/>
  <c r="CY155" i="50"/>
  <c r="FA157" i="50"/>
  <c r="FG157" i="50"/>
  <c r="E161" i="36"/>
  <c r="EZ157" i="50"/>
  <c r="B79" i="53"/>
  <c r="D79" i="53" s="1"/>
  <c r="A25" i="27"/>
  <c r="B25" i="27" s="1"/>
  <c r="AH3" i="66" l="1"/>
  <c r="O53" i="36"/>
  <c r="AG3" i="66"/>
  <c r="S171" i="50"/>
  <c r="L161" i="36"/>
  <c r="L162" i="36" s="1"/>
  <c r="S161" i="36"/>
  <c r="S162" i="36" s="1"/>
  <c r="H161" i="36"/>
  <c r="I161" i="36"/>
  <c r="O161" i="36"/>
  <c r="O162" i="36" s="1"/>
  <c r="U161" i="36"/>
  <c r="U162" i="36" s="1"/>
  <c r="K161" i="36"/>
  <c r="R161" i="36"/>
  <c r="R162" i="36" s="1"/>
  <c r="T161" i="36"/>
  <c r="T162" i="36" s="1"/>
  <c r="J161" i="36"/>
  <c r="P161" i="36"/>
  <c r="P162" i="36" s="1"/>
  <c r="V161" i="36"/>
  <c r="V162" i="36" s="1"/>
  <c r="Q161" i="36"/>
  <c r="Q162" i="36" s="1"/>
  <c r="M161" i="36"/>
  <c r="M162" i="36" s="1"/>
  <c r="N161" i="36"/>
  <c r="N162" i="36" s="1"/>
  <c r="L134" i="36"/>
  <c r="L135" i="36" s="1"/>
  <c r="M134" i="36"/>
  <c r="M135" i="36" s="1"/>
  <c r="S134" i="36"/>
  <c r="S135" i="36" s="1"/>
  <c r="N134" i="36"/>
  <c r="N135" i="36" s="1"/>
  <c r="O134" i="36"/>
  <c r="O135" i="36" s="1"/>
  <c r="I134" i="36"/>
  <c r="J134" i="36"/>
  <c r="P134" i="36"/>
  <c r="P135" i="36" s="1"/>
  <c r="V134" i="36"/>
  <c r="V135" i="36" s="1"/>
  <c r="K134" i="36"/>
  <c r="Q134" i="36"/>
  <c r="Q135" i="36" s="1"/>
  <c r="R134" i="36"/>
  <c r="R135" i="36" s="1"/>
  <c r="H134" i="36"/>
  <c r="T134" i="36"/>
  <c r="T135" i="36" s="1"/>
  <c r="U134" i="36"/>
  <c r="U135" i="36" s="1"/>
  <c r="S155" i="50"/>
  <c r="S154" i="50"/>
  <c r="FE143" i="50"/>
  <c r="A77" i="53"/>
  <c r="R154" i="50"/>
  <c r="R155" i="50"/>
  <c r="O155" i="50"/>
  <c r="O154" i="50"/>
  <c r="EO157" i="50"/>
  <c r="EO161" i="50" s="1"/>
  <c r="FC157" i="50"/>
  <c r="FC161" i="50" s="1"/>
  <c r="FS154" i="50"/>
  <c r="FS155" i="50"/>
  <c r="FQ157" i="50"/>
  <c r="FQ161" i="50" s="1"/>
  <c r="B80" i="53"/>
  <c r="D80" i="53" s="1"/>
  <c r="A26" i="27"/>
  <c r="B26" i="27" s="1"/>
  <c r="FF143" i="50" l="1"/>
  <c r="A78" i="53"/>
  <c r="B81" i="53"/>
  <c r="D81" i="53" s="1"/>
  <c r="A27" i="27"/>
  <c r="B27" i="27" s="1"/>
  <c r="H111" i="41" l="1"/>
  <c r="H110" i="41"/>
  <c r="V25" i="5"/>
  <c r="FG143" i="50"/>
  <c r="V37" i="5"/>
  <c r="V26" i="5"/>
  <c r="A79" i="53"/>
  <c r="V27" i="5"/>
  <c r="B82" i="53"/>
  <c r="D82" i="53" s="1"/>
  <c r="A28" i="27"/>
  <c r="J111" i="41" l="1"/>
  <c r="A29" i="27"/>
  <c r="B29" i="27" s="1"/>
  <c r="B28" i="27"/>
  <c r="J110" i="41"/>
  <c r="L111" i="41"/>
  <c r="K138" i="30"/>
  <c r="K139" i="30"/>
  <c r="L110" i="41"/>
  <c r="W27" i="5"/>
  <c r="W26" i="5"/>
  <c r="W25" i="5"/>
  <c r="W37" i="5"/>
  <c r="FH143" i="50"/>
  <c r="A80" i="53"/>
  <c r="B83" i="53"/>
  <c r="D83" i="53" s="1"/>
  <c r="A30" i="27" l="1"/>
  <c r="B30" i="27" s="1"/>
  <c r="V12" i="5"/>
  <c r="V60" i="5"/>
  <c r="W60" i="5" s="1"/>
  <c r="V65" i="5"/>
  <c r="W65" i="5" s="1"/>
  <c r="V33" i="5"/>
  <c r="W33" i="5" s="1"/>
  <c r="V45" i="5"/>
  <c r="W45" i="5" s="1"/>
  <c r="V44" i="5"/>
  <c r="W44" i="5" s="1"/>
  <c r="V51" i="5"/>
  <c r="W51" i="5" s="1"/>
  <c r="V54" i="5"/>
  <c r="W54" i="5" s="1"/>
  <c r="V66" i="5"/>
  <c r="W66" i="5" s="1"/>
  <c r="V36" i="5"/>
  <c r="W36" i="5" s="1"/>
  <c r="V38" i="5"/>
  <c r="W38" i="5" s="1"/>
  <c r="V11" i="5"/>
  <c r="V28" i="5"/>
  <c r="W28" i="5" s="1"/>
  <c r="V64" i="5"/>
  <c r="W64" i="5" s="1"/>
  <c r="V42" i="5"/>
  <c r="W42" i="5" s="1"/>
  <c r="V63" i="5"/>
  <c r="W63" i="5" s="1"/>
  <c r="V48" i="5"/>
  <c r="W48" i="5" s="1"/>
  <c r="V52" i="5"/>
  <c r="W52" i="5" s="1"/>
  <c r="V58" i="5"/>
  <c r="W58" i="5" s="1"/>
  <c r="V19" i="5"/>
  <c r="W19" i="5" s="1"/>
  <c r="V43" i="5"/>
  <c r="W43" i="5" s="1"/>
  <c r="V46" i="5"/>
  <c r="W46" i="5" s="1"/>
  <c r="V59" i="5"/>
  <c r="W59" i="5" s="1"/>
  <c r="V55" i="5"/>
  <c r="W55" i="5" s="1"/>
  <c r="V39" i="5"/>
  <c r="W39" i="5" s="1"/>
  <c r="V35" i="5"/>
  <c r="W35" i="5" s="1"/>
  <c r="V56" i="5"/>
  <c r="W56" i="5" s="1"/>
  <c r="V40" i="5"/>
  <c r="W40" i="5" s="1"/>
  <c r="V47" i="5"/>
  <c r="W47" i="5" s="1"/>
  <c r="V57" i="5"/>
  <c r="W57" i="5" s="1"/>
  <c r="V32" i="5"/>
  <c r="W32" i="5" s="1"/>
  <c r="V29" i="5"/>
  <c r="W29" i="5" s="1"/>
  <c r="V53" i="5"/>
  <c r="W53" i="5" s="1"/>
  <c r="V49" i="5"/>
  <c r="W49" i="5" s="1"/>
  <c r="V50" i="5"/>
  <c r="W50" i="5" s="1"/>
  <c r="V62" i="5"/>
  <c r="W62" i="5" s="1"/>
  <c r="V61" i="5"/>
  <c r="W61" i="5" s="1"/>
  <c r="V41" i="5"/>
  <c r="W41" i="5" s="1"/>
  <c r="V20" i="5"/>
  <c r="W20" i="5" s="1"/>
  <c r="M138" i="30"/>
  <c r="M139" i="30"/>
  <c r="FI143" i="50"/>
  <c r="A81" i="53"/>
  <c r="B84" i="53"/>
  <c r="D84" i="53" s="1"/>
  <c r="AU18" i="50"/>
  <c r="BW27" i="50"/>
  <c r="CK25" i="50"/>
  <c r="BI31" i="50"/>
  <c r="BW14" i="50"/>
  <c r="CK21" i="50"/>
  <c r="CK22" i="50"/>
  <c r="BW33" i="50"/>
  <c r="BW26" i="50"/>
  <c r="CK24" i="50"/>
  <c r="AU12" i="50"/>
  <c r="BW24" i="50"/>
  <c r="CK12" i="50"/>
  <c r="BI20" i="50"/>
  <c r="BI33" i="50"/>
  <c r="BI13" i="50"/>
  <c r="AU10" i="50"/>
  <c r="AU20" i="50"/>
  <c r="BI27" i="50"/>
  <c r="BW19" i="50"/>
  <c r="BW30" i="50"/>
  <c r="CK9" i="50"/>
  <c r="BW15" i="50"/>
  <c r="BI34" i="50"/>
  <c r="CK20" i="50"/>
  <c r="CK17" i="50"/>
  <c r="BW9" i="50"/>
  <c r="BI23" i="50"/>
  <c r="AU35" i="50"/>
  <c r="CK19" i="50"/>
  <c r="BI30" i="50"/>
  <c r="CK14" i="50"/>
  <c r="BW10" i="50"/>
  <c r="BI24" i="50"/>
  <c r="BI19" i="50"/>
  <c r="BW20" i="50"/>
  <c r="CK15" i="50"/>
  <c r="BW32" i="50"/>
  <c r="CK10" i="50"/>
  <c r="CK13" i="50"/>
  <c r="AU28" i="50"/>
  <c r="BW25" i="50"/>
  <c r="M5" i="66"/>
  <c r="CK29" i="50"/>
  <c r="BI16" i="50"/>
  <c r="CK33" i="50"/>
  <c r="AU26" i="50"/>
  <c r="CK16" i="50"/>
  <c r="BW11" i="50"/>
  <c r="CK11" i="50"/>
  <c r="BI25" i="50"/>
  <c r="BW21" i="50"/>
  <c r="BI15" i="50"/>
  <c r="BI12" i="50"/>
  <c r="BW12" i="50"/>
  <c r="BI11" i="50"/>
  <c r="CK30" i="50"/>
  <c r="AU31" i="50"/>
  <c r="CK35" i="50"/>
  <c r="CK27" i="50"/>
  <c r="BI28" i="50"/>
  <c r="BW31" i="50"/>
  <c r="BW17" i="50"/>
  <c r="CK23" i="50"/>
  <c r="BW22" i="50"/>
  <c r="BI22" i="50"/>
  <c r="BW28" i="50"/>
  <c r="AU11" i="50"/>
  <c r="BI29" i="50"/>
  <c r="BI14" i="50"/>
  <c r="V5" i="66"/>
  <c r="CK34" i="50"/>
  <c r="BI26" i="50"/>
  <c r="CK28" i="50"/>
  <c r="AU17" i="50"/>
  <c r="S4" i="66"/>
  <c r="W5" i="66"/>
  <c r="CY22" i="50"/>
  <c r="N5" i="66"/>
  <c r="AU15" i="50"/>
  <c r="BW16" i="50"/>
  <c r="AU24" i="50"/>
  <c r="BI32" i="50"/>
  <c r="AU33" i="50"/>
  <c r="CK26" i="50"/>
  <c r="BW29" i="50"/>
  <c r="BW23" i="50"/>
  <c r="AU23" i="50"/>
  <c r="CK32" i="50"/>
  <c r="AU16" i="50"/>
  <c r="DM26" i="50"/>
  <c r="CK18" i="50"/>
  <c r="BW13" i="50"/>
  <c r="BI10" i="50"/>
  <c r="BW34" i="50"/>
  <c r="AU27" i="50"/>
  <c r="BI9" i="50"/>
  <c r="AU22" i="50"/>
  <c r="O5" i="66"/>
  <c r="BI17" i="50"/>
  <c r="EA21" i="50"/>
  <c r="AU21" i="50"/>
  <c r="DM34" i="50"/>
  <c r="BW35" i="50"/>
  <c r="AU13" i="50"/>
  <c r="EA14" i="50"/>
  <c r="DM24" i="50"/>
  <c r="AU19" i="50"/>
  <c r="CY29" i="50"/>
  <c r="AU29" i="50"/>
  <c r="BW18" i="50"/>
  <c r="AU14" i="50"/>
  <c r="DM14" i="50"/>
  <c r="BI35" i="50"/>
  <c r="S5" i="66"/>
  <c r="EA8" i="50"/>
  <c r="EA30" i="50"/>
  <c r="DM32" i="50"/>
  <c r="AU9" i="50"/>
  <c r="BI18" i="50"/>
  <c r="CK8" i="50"/>
  <c r="AU30" i="50"/>
  <c r="EA13" i="50"/>
  <c r="EA33" i="50"/>
  <c r="CK31" i="50"/>
  <c r="DM10" i="50"/>
  <c r="CY17" i="50"/>
  <c r="P5" i="66"/>
  <c r="AU25" i="50"/>
  <c r="U4" i="66"/>
  <c r="AU32" i="50"/>
  <c r="EA20" i="50"/>
  <c r="W4" i="66"/>
  <c r="EA32" i="50"/>
  <c r="EA22" i="50"/>
  <c r="EA24" i="50"/>
  <c r="EA15" i="50"/>
  <c r="BI21" i="50"/>
  <c r="EA9" i="50"/>
  <c r="EA17" i="50"/>
  <c r="EA25" i="50"/>
  <c r="R4" i="66"/>
  <c r="DM12" i="50"/>
  <c r="P4" i="66"/>
  <c r="DM9" i="50"/>
  <c r="DM21" i="50"/>
  <c r="Q5" i="66"/>
  <c r="DM29" i="50"/>
  <c r="CY25" i="50"/>
  <c r="CY13" i="50"/>
  <c r="EA35" i="50"/>
  <c r="CY15" i="50"/>
  <c r="EA18" i="50"/>
  <c r="EA16" i="50"/>
  <c r="DM8" i="50"/>
  <c r="V4" i="66"/>
  <c r="DM17" i="50"/>
  <c r="DM25" i="50"/>
  <c r="DM30" i="50"/>
  <c r="CY21" i="50"/>
  <c r="CY30" i="50"/>
  <c r="EA12" i="50"/>
  <c r="R5" i="66"/>
  <c r="DM28" i="50"/>
  <c r="U5" i="66"/>
  <c r="EA11" i="50"/>
  <c r="DM33" i="50"/>
  <c r="X5" i="66"/>
  <c r="AU34" i="50"/>
  <c r="CY14" i="50"/>
  <c r="CY34" i="50"/>
  <c r="DM13" i="50"/>
  <c r="EA29" i="50"/>
  <c r="CY26" i="50"/>
  <c r="CY9" i="50"/>
  <c r="CY28" i="50"/>
  <c r="EA28" i="50"/>
  <c r="EA31" i="50"/>
  <c r="T5" i="66"/>
  <c r="CY18" i="50"/>
  <c r="DM16" i="50"/>
  <c r="EA27" i="50"/>
  <c r="DM22" i="50"/>
  <c r="CY11" i="50"/>
  <c r="EA19" i="50"/>
  <c r="DM20" i="50"/>
  <c r="DM35" i="50"/>
  <c r="EA34" i="50"/>
  <c r="DM23" i="50"/>
  <c r="DM18" i="50"/>
  <c r="CY20" i="50"/>
  <c r="DM31" i="50"/>
  <c r="CY10" i="50"/>
  <c r="DM27" i="50"/>
  <c r="CY12" i="50"/>
  <c r="CY19" i="50"/>
  <c r="CY31" i="50"/>
  <c r="DM15" i="50"/>
  <c r="DM11" i="50"/>
  <c r="DM19" i="50"/>
  <c r="EA26" i="50"/>
  <c r="CY24" i="50"/>
  <c r="EA23" i="50"/>
  <c r="CY16" i="50"/>
  <c r="CY35" i="50"/>
  <c r="CY27" i="50"/>
  <c r="CY8" i="50"/>
  <c r="CY23" i="50"/>
  <c r="A31" i="27"/>
  <c r="B31" i="27" s="1"/>
  <c r="CK140" i="50" l="1"/>
  <c r="CK147" i="50" s="1"/>
  <c r="BI140" i="50"/>
  <c r="AU140" i="50"/>
  <c r="W12" i="5"/>
  <c r="D32" i="75" a="1"/>
  <c r="D32" i="75" s="1"/>
  <c r="S8" i="50"/>
  <c r="N4" i="66"/>
  <c r="T4" i="66"/>
  <c r="M4" i="66"/>
  <c r="Q4" i="66"/>
  <c r="O4" i="66"/>
  <c r="X4" i="66"/>
  <c r="T3" i="66"/>
  <c r="V3" i="66"/>
  <c r="V13" i="5"/>
  <c r="W13" i="5" s="1"/>
  <c r="W11" i="5"/>
  <c r="FJ143" i="50"/>
  <c r="A82" i="53"/>
  <c r="CI157" i="50"/>
  <c r="AX157" i="50"/>
  <c r="CM157" i="50"/>
  <c r="AR157" i="50"/>
  <c r="DB157" i="50"/>
  <c r="E107" i="36"/>
  <c r="DR157" i="50"/>
  <c r="BH157" i="50"/>
  <c r="CJ157" i="50"/>
  <c r="BL157" i="50"/>
  <c r="AN157" i="50"/>
  <c r="DE157" i="50"/>
  <c r="CF157" i="50"/>
  <c r="AJ157" i="50"/>
  <c r="BZ157" i="50"/>
  <c r="BP157" i="50"/>
  <c r="B85" i="53"/>
  <c r="D85" i="53" s="1"/>
  <c r="DP157" i="50"/>
  <c r="CB157" i="50"/>
  <c r="CD157" i="50"/>
  <c r="CN157" i="50"/>
  <c r="DF157" i="50"/>
  <c r="CQ157" i="50"/>
  <c r="DS157" i="50"/>
  <c r="DD157" i="50"/>
  <c r="CT157" i="50"/>
  <c r="CP157" i="50"/>
  <c r="DQ157" i="50"/>
  <c r="DO157" i="50"/>
  <c r="DU157" i="50"/>
  <c r="BB157" i="50"/>
  <c r="CK152" i="50"/>
  <c r="BW152" i="50"/>
  <c r="CE157" i="50"/>
  <c r="AP157" i="50"/>
  <c r="DT157" i="50"/>
  <c r="CR157" i="50"/>
  <c r="BV157" i="50"/>
  <c r="BT157" i="50"/>
  <c r="CU157" i="50"/>
  <c r="AD157" i="50"/>
  <c r="BN157" i="50"/>
  <c r="DH157" i="50"/>
  <c r="DG157" i="50"/>
  <c r="CV157" i="50"/>
  <c r="EA153" i="50"/>
  <c r="DL157" i="50"/>
  <c r="DK157" i="50"/>
  <c r="E80" i="36"/>
  <c r="CX157" i="50"/>
  <c r="AZ157" i="50"/>
  <c r="AT157" i="50"/>
  <c r="BR157" i="50"/>
  <c r="BI153" i="50"/>
  <c r="G107" i="36" s="1"/>
  <c r="CH157" i="50"/>
  <c r="CY153" i="50"/>
  <c r="DJ157" i="50"/>
  <c r="BF157" i="50"/>
  <c r="CA157" i="50"/>
  <c r="AU153" i="50"/>
  <c r="F107" i="36" s="1"/>
  <c r="AB157" i="50"/>
  <c r="AL157" i="50"/>
  <c r="CY152" i="50"/>
  <c r="CK153" i="50"/>
  <c r="DI157" i="50"/>
  <c r="BI152" i="50"/>
  <c r="G80" i="36" s="1"/>
  <c r="DC157" i="50"/>
  <c r="EA152" i="50"/>
  <c r="R152" i="50" s="1"/>
  <c r="BD157" i="50"/>
  <c r="AU152" i="50"/>
  <c r="F80" i="36" s="1"/>
  <c r="BW153" i="50"/>
  <c r="A32" i="27"/>
  <c r="B32" i="27" s="1"/>
  <c r="S151" i="50" l="1"/>
  <c r="L53" i="36"/>
  <c r="F32" i="75"/>
  <c r="D35" i="75"/>
  <c r="D9" i="75"/>
  <c r="G9" i="75" s="1"/>
  <c r="F9" i="75" s="1"/>
  <c r="AF3" i="66"/>
  <c r="W68" i="5"/>
  <c r="W67" i="5"/>
  <c r="AD3" i="66"/>
  <c r="AE3" i="66"/>
  <c r="O143" i="30"/>
  <c r="H107" i="36"/>
  <c r="N107" i="36"/>
  <c r="N108" i="36" s="1"/>
  <c r="T107" i="36"/>
  <c r="T108" i="36" s="1"/>
  <c r="O107" i="36"/>
  <c r="O108" i="36" s="1"/>
  <c r="U107" i="36"/>
  <c r="U108" i="36" s="1"/>
  <c r="J107" i="36"/>
  <c r="V107" i="36"/>
  <c r="V108" i="36" s="1"/>
  <c r="Q107" i="36"/>
  <c r="Q108" i="36" s="1"/>
  <c r="L107" i="36"/>
  <c r="L108" i="36" s="1"/>
  <c r="R107" i="36"/>
  <c r="R108" i="36" s="1"/>
  <c r="M107" i="36"/>
  <c r="M108" i="36" s="1"/>
  <c r="S107" i="36"/>
  <c r="S108" i="36" s="1"/>
  <c r="I107" i="36"/>
  <c r="P107" i="36"/>
  <c r="P108" i="36" s="1"/>
  <c r="K107" i="36"/>
  <c r="N80" i="36"/>
  <c r="R80" i="36"/>
  <c r="R81" i="36" s="1"/>
  <c r="L80" i="36"/>
  <c r="L81" i="36" s="1"/>
  <c r="Q80" i="36"/>
  <c r="Q81" i="36" s="1"/>
  <c r="K80" i="36"/>
  <c r="V80" i="36"/>
  <c r="V81" i="36" s="1"/>
  <c r="P80" i="36"/>
  <c r="P81" i="36" s="1"/>
  <c r="J80" i="36"/>
  <c r="U80" i="36"/>
  <c r="U81" i="36" s="1"/>
  <c r="O80" i="36"/>
  <c r="O81" i="36" s="1"/>
  <c r="I80" i="36"/>
  <c r="T80" i="36"/>
  <c r="T81" i="36" s="1"/>
  <c r="H80" i="36"/>
  <c r="S80" i="36"/>
  <c r="S81" i="36" s="1"/>
  <c r="M80" i="36"/>
  <c r="M81" i="36" s="1"/>
  <c r="S53" i="36"/>
  <c r="T53" i="36"/>
  <c r="U53" i="36"/>
  <c r="P53" i="36"/>
  <c r="V53" i="36"/>
  <c r="Q53" i="36"/>
  <c r="R53" i="36"/>
  <c r="S153" i="50"/>
  <c r="L5" i="66" s="1"/>
  <c r="S152" i="50"/>
  <c r="V68" i="5"/>
  <c r="V67" i="5"/>
  <c r="FK143" i="50"/>
  <c r="K8" i="50"/>
  <c r="K140" i="50" s="1"/>
  <c r="A83" i="53"/>
  <c r="R153" i="50"/>
  <c r="K5" i="66" s="1"/>
  <c r="O153" i="50"/>
  <c r="H5" i="66" s="1"/>
  <c r="O152" i="50"/>
  <c r="B86" i="53"/>
  <c r="D86" i="53" s="1"/>
  <c r="EA157" i="50"/>
  <c r="EA161" i="50" s="1"/>
  <c r="FS152" i="50"/>
  <c r="FS153" i="50"/>
  <c r="A33" i="27"/>
  <c r="B33" i="27" s="1"/>
  <c r="F35" i="75" l="1"/>
  <c r="D36" i="75"/>
  <c r="AS3" i="66"/>
  <c r="AS7" i="66"/>
  <c r="AS4" i="66"/>
  <c r="AS6" i="66"/>
  <c r="AS5" i="66"/>
  <c r="AN3" i="66"/>
  <c r="AN7" i="66"/>
  <c r="AN4" i="66"/>
  <c r="AN6" i="66"/>
  <c r="AN5" i="66"/>
  <c r="AI3" i="66"/>
  <c r="AI4" i="66"/>
  <c r="AI7" i="66"/>
  <c r="AI5" i="66"/>
  <c r="AI6" i="66"/>
  <c r="K110" i="41"/>
  <c r="K111" i="41"/>
  <c r="FL143" i="50"/>
  <c r="A84" i="53"/>
  <c r="B87" i="53"/>
  <c r="D87" i="53" s="1"/>
  <c r="A34" i="27"/>
  <c r="B34" i="27" s="1"/>
  <c r="W171" i="50" l="1"/>
  <c r="W28" i="61"/>
  <c r="W30" i="61"/>
  <c r="W29" i="61"/>
  <c r="FM143" i="50"/>
  <c r="A85" i="53"/>
  <c r="B88" i="53"/>
  <c r="D88" i="53" s="1"/>
  <c r="A35" i="27"/>
  <c r="B35" i="27" s="1"/>
  <c r="AA171" i="50" l="1"/>
  <c r="W27" i="61"/>
  <c r="W40" i="61" s="1"/>
  <c r="V40" i="61"/>
  <c r="FN143" i="50"/>
  <c r="A86" i="53"/>
  <c r="B89" i="53"/>
  <c r="D89" i="53" s="1"/>
  <c r="A36" i="27"/>
  <c r="B36" i="27" s="1"/>
  <c r="AE144" i="50" l="1"/>
  <c r="AE171" i="50"/>
  <c r="AE157" i="50"/>
  <c r="FO143" i="50"/>
  <c r="A87" i="53"/>
  <c r="B90" i="53"/>
  <c r="D90" i="53" s="1"/>
  <c r="A37" i="27"/>
  <c r="B37" i="27" s="1"/>
  <c r="AI144" i="50" l="1"/>
  <c r="FP143" i="50"/>
  <c r="A88" i="53"/>
  <c r="B91" i="53"/>
  <c r="D91" i="53" s="1"/>
  <c r="A38" i="27"/>
  <c r="B38" i="27" s="1"/>
  <c r="AI171" i="50" l="1"/>
  <c r="AI157" i="50"/>
  <c r="AM144" i="50"/>
  <c r="AM171" i="50"/>
  <c r="AM157" i="50"/>
  <c r="A89" i="53"/>
  <c r="B92" i="53"/>
  <c r="D92" i="53" s="1"/>
  <c r="A39" i="27"/>
  <c r="B39" i="27" s="1"/>
  <c r="AQ144" i="50" l="1"/>
  <c r="AQ171" i="50"/>
  <c r="AQ157" i="50"/>
  <c r="A90" i="53"/>
  <c r="B93" i="53"/>
  <c r="D93" i="53" s="1"/>
  <c r="A40" i="27"/>
  <c r="B40" i="27" s="1"/>
  <c r="A91" i="53" l="1"/>
  <c r="B94" i="53"/>
  <c r="D94" i="53" s="1"/>
  <c r="A41" i="27"/>
  <c r="B41" i="27" s="1"/>
  <c r="AY144" i="50" l="1"/>
  <c r="AY171" i="50"/>
  <c r="AY157" i="50"/>
  <c r="A92" i="53"/>
  <c r="B95" i="53"/>
  <c r="D95" i="53" s="1"/>
  <c r="A42" i="27"/>
  <c r="B42" i="27" s="1"/>
  <c r="BC144" i="50" l="1"/>
  <c r="BC171" i="50"/>
  <c r="BC157" i="50"/>
  <c r="A93" i="53"/>
  <c r="B96" i="53"/>
  <c r="D96" i="53" s="1"/>
  <c r="A43" i="27"/>
  <c r="B43" i="27" s="1"/>
  <c r="BG144" i="50" l="1"/>
  <c r="BG171" i="50"/>
  <c r="BG157" i="50"/>
  <c r="A94" i="53"/>
  <c r="B97" i="53"/>
  <c r="D97" i="53" s="1"/>
  <c r="A44" i="27"/>
  <c r="B44" i="27" s="1"/>
  <c r="BK144" i="50" l="1"/>
  <c r="A95" i="53"/>
  <c r="A45" i="27"/>
  <c r="B45" i="27" s="1"/>
  <c r="B98" i="53"/>
  <c r="D98" i="53" s="1"/>
  <c r="BO144" i="50" l="1"/>
  <c r="BO171" i="50"/>
  <c r="BO157" i="50"/>
  <c r="BK157" i="50"/>
  <c r="BK171" i="50"/>
  <c r="A96" i="53"/>
  <c r="A46" i="27"/>
  <c r="B99" i="53"/>
  <c r="D99" i="53" s="1"/>
  <c r="A47" i="27" l="1"/>
  <c r="B46" i="27"/>
  <c r="BS144" i="50"/>
  <c r="BS171" i="50"/>
  <c r="A97" i="53"/>
  <c r="B100" i="53"/>
  <c r="D100" i="53" s="1"/>
  <c r="A48" i="27" l="1"/>
  <c r="B47" i="27"/>
  <c r="BS157" i="50"/>
  <c r="U3" i="66"/>
  <c r="A98" i="53"/>
  <c r="B101" i="53"/>
  <c r="D101" i="53" s="1"/>
  <c r="A49" i="27" l="1"/>
  <c r="B48" i="27"/>
  <c r="A99" i="53"/>
  <c r="B102" i="53"/>
  <c r="D102" i="53" s="1"/>
  <c r="A50" i="27" l="1"/>
  <c r="B49" i="27"/>
  <c r="P138" i="30"/>
  <c r="P139" i="30"/>
  <c r="A100" i="53"/>
  <c r="B103" i="53"/>
  <c r="D103" i="53" s="1"/>
  <c r="A51" i="27" l="1"/>
  <c r="B50" i="27"/>
  <c r="A101" i="53"/>
  <c r="B104" i="53"/>
  <c r="D104" i="53" s="1"/>
  <c r="A52" i="27" l="1"/>
  <c r="B51" i="27"/>
  <c r="A102" i="53"/>
  <c r="B105" i="53"/>
  <c r="D105" i="53" s="1"/>
  <c r="A53" i="27" l="1"/>
  <c r="B52" i="27"/>
  <c r="A103" i="53"/>
  <c r="B106" i="53"/>
  <c r="D106" i="53" s="1"/>
  <c r="A54" i="27" l="1"/>
  <c r="B53" i="27"/>
  <c r="A104" i="53"/>
  <c r="M152" i="50"/>
  <c r="M155" i="50"/>
  <c r="B107" i="53"/>
  <c r="D107" i="53" s="1"/>
  <c r="A55" i="27" l="1"/>
  <c r="B54" i="27"/>
  <c r="K170" i="50"/>
  <c r="M170" i="50"/>
  <c r="K166" i="50"/>
  <c r="M166" i="50"/>
  <c r="K169" i="50"/>
  <c r="M169" i="50"/>
  <c r="A151" i="50"/>
  <c r="A105" i="53"/>
  <c r="M154" i="50"/>
  <c r="K165" i="50"/>
  <c r="A152" i="50"/>
  <c r="A155" i="50"/>
  <c r="B108" i="53"/>
  <c r="D108" i="53" s="1"/>
  <c r="A56" i="27" l="1"/>
  <c r="B55" i="27"/>
  <c r="P33" i="29"/>
  <c r="P24" i="29"/>
  <c r="A154" i="50"/>
  <c r="K167" i="50"/>
  <c r="K171" i="50" s="1"/>
  <c r="M167" i="50"/>
  <c r="M153" i="50"/>
  <c r="A106" i="53"/>
  <c r="A153" i="50"/>
  <c r="I171" i="50"/>
  <c r="B109" i="53"/>
  <c r="D109" i="53" s="1"/>
  <c r="A57" i="27" l="1"/>
  <c r="B56" i="27"/>
  <c r="K157" i="50"/>
  <c r="A107" i="53"/>
  <c r="B110" i="53"/>
  <c r="D110" i="53" s="1"/>
  <c r="A58" i="27" l="1"/>
  <c r="B57" i="27"/>
  <c r="P12" i="29"/>
  <c r="A108" i="53"/>
  <c r="B111" i="53"/>
  <c r="D111" i="53" s="1"/>
  <c r="D38" i="75" l="1"/>
  <c r="B11" i="65" s="1"/>
  <c r="A59" i="27"/>
  <c r="B58" i="27"/>
  <c r="R14" i="29"/>
  <c r="A109" i="53"/>
  <c r="B112" i="53"/>
  <c r="D112" i="53" s="1"/>
  <c r="A60" i="27" l="1"/>
  <c r="B59" i="27"/>
  <c r="A110" i="53"/>
  <c r="B113" i="53"/>
  <c r="D113" i="53" s="1"/>
  <c r="A61" i="27" l="1"/>
  <c r="B60" i="27"/>
  <c r="A111" i="53"/>
  <c r="B114" i="53"/>
  <c r="D114" i="53" s="1"/>
  <c r="A62" i="27" l="1"/>
  <c r="B61" i="27"/>
  <c r="A112" i="53"/>
  <c r="B115" i="53"/>
  <c r="D115" i="53" s="1"/>
  <c r="A63" i="27" l="1"/>
  <c r="B62" i="27"/>
  <c r="A113" i="53"/>
  <c r="B116" i="53"/>
  <c r="D116" i="53" s="1"/>
  <c r="J108" i="36"/>
  <c r="F81" i="36"/>
  <c r="I81" i="36"/>
  <c r="I108" i="36"/>
  <c r="K108" i="36"/>
  <c r="H81" i="36"/>
  <c r="F162" i="36"/>
  <c r="G162" i="36"/>
  <c r="H108" i="36"/>
  <c r="I135" i="36"/>
  <c r="G81" i="36"/>
  <c r="K135" i="36"/>
  <c r="G108" i="36"/>
  <c r="I162" i="36"/>
  <c r="H162" i="36"/>
  <c r="G135" i="36"/>
  <c r="F108" i="36"/>
  <c r="J162" i="36"/>
  <c r="F135" i="36"/>
  <c r="K162" i="36"/>
  <c r="H135" i="36"/>
  <c r="J135" i="36"/>
  <c r="A64" i="27" l="1"/>
  <c r="B64" i="27" s="1"/>
  <c r="B63" i="27"/>
  <c r="A114" i="53"/>
  <c r="AG35" i="50"/>
  <c r="AG34" i="50"/>
  <c r="AG33" i="50"/>
  <c r="AA144" i="50"/>
  <c r="AG29" i="50"/>
  <c r="AG27" i="50"/>
  <c r="AG25" i="50"/>
  <c r="AG23" i="50"/>
  <c r="AG20" i="50"/>
  <c r="AG32" i="50"/>
  <c r="X144" i="50"/>
  <c r="AG13" i="50"/>
  <c r="AG11" i="50"/>
  <c r="P11" i="50" s="1" a="1"/>
  <c r="P11" i="50" s="1"/>
  <c r="AG9" i="50"/>
  <c r="AG26" i="50"/>
  <c r="AG19" i="50"/>
  <c r="AG16" i="50"/>
  <c r="AG28" i="50"/>
  <c r="AG30" i="50"/>
  <c r="AG24" i="50"/>
  <c r="AG10" i="50"/>
  <c r="FS10" i="50" s="1"/>
  <c r="M10" i="50" s="1"/>
  <c r="AG22" i="50"/>
  <c r="AG31" i="50"/>
  <c r="W144" i="50"/>
  <c r="Z144" i="50"/>
  <c r="AG18" i="50"/>
  <c r="AG12" i="50"/>
  <c r="AG14" i="50"/>
  <c r="V144" i="50"/>
  <c r="N3" i="66"/>
  <c r="AG21" i="50"/>
  <c r="AG17" i="50"/>
  <c r="AG15" i="50"/>
  <c r="B117" i="53"/>
  <c r="D117" i="53" s="1"/>
  <c r="E81" i="36"/>
  <c r="K81" i="36"/>
  <c r="N81" i="36"/>
  <c r="AG140" i="50" l="1"/>
  <c r="P9" i="50" a="1"/>
  <c r="P9" i="50" s="1"/>
  <c r="S29" i="50"/>
  <c r="P29" i="50" a="1"/>
  <c r="P29" i="50" s="1"/>
  <c r="S22" i="50"/>
  <c r="P22" i="50" a="1"/>
  <c r="P22" i="50" s="1"/>
  <c r="S24" i="50"/>
  <c r="P24" i="50" a="1"/>
  <c r="P24" i="50" s="1"/>
  <c r="S13" i="50"/>
  <c r="P13" i="50" a="1"/>
  <c r="P13" i="50" s="1"/>
  <c r="S10" i="50"/>
  <c r="P10" i="50" a="1"/>
  <c r="P10" i="50" s="1"/>
  <c r="S12" i="50"/>
  <c r="P12" i="50" a="1"/>
  <c r="P12" i="50" s="1"/>
  <c r="S30" i="50"/>
  <c r="P30" i="50" a="1"/>
  <c r="P30" i="50" s="1"/>
  <c r="S33" i="50"/>
  <c r="P33" i="50" a="1"/>
  <c r="P33" i="50" s="1"/>
  <c r="S18" i="50"/>
  <c r="P18" i="50" a="1"/>
  <c r="P18" i="50" s="1"/>
  <c r="S28" i="50"/>
  <c r="P28" i="50" a="1"/>
  <c r="P28" i="50" s="1"/>
  <c r="S32" i="50"/>
  <c r="S34" i="50"/>
  <c r="P34" i="50" a="1"/>
  <c r="P34" i="50" s="1"/>
  <c r="S14" i="50"/>
  <c r="P14" i="50" a="1"/>
  <c r="P14" i="50" s="1"/>
  <c r="S15" i="50"/>
  <c r="P15" i="50" a="1"/>
  <c r="P15" i="50" s="1"/>
  <c r="S16" i="50"/>
  <c r="P16" i="50" a="1"/>
  <c r="P16" i="50" s="1"/>
  <c r="S20" i="50"/>
  <c r="P20" i="50" a="1"/>
  <c r="P20" i="50" s="1"/>
  <c r="S35" i="50"/>
  <c r="P35" i="50" a="1"/>
  <c r="P35" i="50" s="1"/>
  <c r="S19" i="50"/>
  <c r="P19" i="50" a="1"/>
  <c r="P19" i="50" s="1"/>
  <c r="S23" i="50"/>
  <c r="P23" i="50" a="1"/>
  <c r="P23" i="50" s="1"/>
  <c r="S17" i="50"/>
  <c r="P17" i="50" a="1"/>
  <c r="P17" i="50" s="1"/>
  <c r="S21" i="50"/>
  <c r="P21" i="50" a="1"/>
  <c r="P21" i="50" s="1"/>
  <c r="S31" i="50"/>
  <c r="P31" i="50" a="1"/>
  <c r="P31" i="50" s="1"/>
  <c r="S26" i="50"/>
  <c r="P26" i="50" a="1"/>
  <c r="P26" i="50" s="1"/>
  <c r="S25" i="50"/>
  <c r="P25" i="50" a="1"/>
  <c r="P25" i="50" s="1"/>
  <c r="S27" i="50"/>
  <c r="P27" i="50" a="1"/>
  <c r="P27" i="50" s="1"/>
  <c r="S9" i="50"/>
  <c r="AA157" i="50"/>
  <c r="Z157" i="50"/>
  <c r="R3" i="66"/>
  <c r="Q3" i="66"/>
  <c r="X157" i="50"/>
  <c r="P3" i="66"/>
  <c r="W157" i="50"/>
  <c r="Q11" i="50" a="1"/>
  <c r="Q11" i="50" s="1"/>
  <c r="S11" i="50"/>
  <c r="V157" i="50"/>
  <c r="Q21" i="50" a="1"/>
  <c r="Q21" i="50" s="1"/>
  <c r="Q12" i="50" a="1"/>
  <c r="Q12" i="50" s="1"/>
  <c r="Q15" i="50" a="1"/>
  <c r="Q15" i="50" s="1"/>
  <c r="Q10" i="50" a="1"/>
  <c r="Q10" i="50" s="1"/>
  <c r="Q16" i="50" a="1"/>
  <c r="Q16" i="50" s="1"/>
  <c r="Q17" i="50" a="1"/>
  <c r="Q17" i="50" s="1"/>
  <c r="Q14" i="50" a="1"/>
  <c r="Q14" i="50" s="1"/>
  <c r="Q24" i="50" a="1"/>
  <c r="Q24" i="50" s="1"/>
  <c r="Q19" i="50" a="1"/>
  <c r="Q19" i="50" s="1"/>
  <c r="Q13" i="50" a="1"/>
  <c r="Q13" i="50" s="1"/>
  <c r="Q20" i="50" a="1"/>
  <c r="Q20" i="50" s="1"/>
  <c r="Q29" i="50" a="1"/>
  <c r="Q29" i="50" s="1"/>
  <c r="Q34" i="50" a="1"/>
  <c r="Q34" i="50" s="1"/>
  <c r="Q31" i="50" a="1"/>
  <c r="Q31" i="50" s="1"/>
  <c r="Q30" i="50" a="1"/>
  <c r="Q30" i="50" s="1"/>
  <c r="Q26" i="50" a="1"/>
  <c r="Q26" i="50" s="1"/>
  <c r="Q23" i="50" a="1"/>
  <c r="Q23" i="50" s="1"/>
  <c r="Q35" i="50" a="1"/>
  <c r="Q35" i="50" s="1"/>
  <c r="Q18" i="50" a="1"/>
  <c r="Q18" i="50" s="1"/>
  <c r="Q22" i="50" a="1"/>
  <c r="Q22" i="50" s="1"/>
  <c r="Q28" i="50" a="1"/>
  <c r="Q28" i="50" s="1"/>
  <c r="Q9" i="50" a="1"/>
  <c r="Q9" i="50" s="1"/>
  <c r="Q25" i="50" a="1"/>
  <c r="Q25" i="50" s="1"/>
  <c r="Q27" i="50" a="1"/>
  <c r="Q27" i="50" s="1"/>
  <c r="Q33" i="50" a="1"/>
  <c r="Q33" i="50" s="1"/>
  <c r="R11" i="50"/>
  <c r="O23" i="50"/>
  <c r="R23" i="50"/>
  <c r="O35" i="50"/>
  <c r="R35" i="50"/>
  <c r="O17" i="50"/>
  <c r="R17" i="50"/>
  <c r="O19" i="50"/>
  <c r="R19" i="50"/>
  <c r="O20" i="50"/>
  <c r="R20" i="50"/>
  <c r="O29" i="50"/>
  <c r="R29" i="50"/>
  <c r="O34" i="50"/>
  <c r="R34" i="50"/>
  <c r="O21" i="50"/>
  <c r="R21" i="50"/>
  <c r="O12" i="50"/>
  <c r="R12" i="50"/>
  <c r="O14" i="50"/>
  <c r="R14" i="50"/>
  <c r="O24" i="50"/>
  <c r="R24" i="50"/>
  <c r="O13" i="50"/>
  <c r="R13" i="50"/>
  <c r="O31" i="50"/>
  <c r="R31" i="50"/>
  <c r="O30" i="50"/>
  <c r="R30" i="50"/>
  <c r="O26" i="50"/>
  <c r="R26" i="50"/>
  <c r="O18" i="50"/>
  <c r="R18" i="50"/>
  <c r="O22" i="50"/>
  <c r="R22" i="50"/>
  <c r="O28" i="50"/>
  <c r="R28" i="50"/>
  <c r="O9" i="50"/>
  <c r="R9" i="50"/>
  <c r="O25" i="50"/>
  <c r="R25" i="50"/>
  <c r="O15" i="50"/>
  <c r="R15" i="50"/>
  <c r="O10" i="50"/>
  <c r="R10" i="50"/>
  <c r="O16" i="50"/>
  <c r="R16" i="50"/>
  <c r="O27" i="50"/>
  <c r="R27" i="50"/>
  <c r="O33" i="50"/>
  <c r="R33" i="50"/>
  <c r="A115" i="53"/>
  <c r="O11" i="50"/>
  <c r="FS11" i="50"/>
  <c r="M11" i="50" s="1"/>
  <c r="FS33" i="50"/>
  <c r="M33" i="50" s="1"/>
  <c r="FS35" i="50"/>
  <c r="M35" i="50" s="1"/>
  <c r="FS34" i="50"/>
  <c r="M34" i="50" s="1"/>
  <c r="FS15" i="50"/>
  <c r="M15" i="50" s="1"/>
  <c r="FS21" i="50"/>
  <c r="M21" i="50" s="1"/>
  <c r="FS12" i="50"/>
  <c r="M12" i="50" s="1"/>
  <c r="FS31" i="50"/>
  <c r="M31" i="50" s="1"/>
  <c r="FS30" i="50"/>
  <c r="M30" i="50" s="1"/>
  <c r="FS26" i="50"/>
  <c r="M26" i="50" s="1"/>
  <c r="FS23" i="50"/>
  <c r="M23" i="50" s="1"/>
  <c r="FS18" i="50"/>
  <c r="M18" i="50" s="1"/>
  <c r="FS22" i="50"/>
  <c r="M22" i="50" s="1"/>
  <c r="FS28" i="50"/>
  <c r="M28" i="50" s="1"/>
  <c r="FS9" i="50"/>
  <c r="M9" i="50" s="1"/>
  <c r="FS25" i="50"/>
  <c r="FS16" i="50"/>
  <c r="M16" i="50" s="1"/>
  <c r="FS27" i="50"/>
  <c r="M27" i="50" s="1"/>
  <c r="FS17" i="50"/>
  <c r="M17" i="50" s="1"/>
  <c r="FS14" i="50"/>
  <c r="M14" i="50" s="1"/>
  <c r="FS24" i="50"/>
  <c r="M24" i="50" s="1"/>
  <c r="FS19" i="50"/>
  <c r="M19" i="50" s="1"/>
  <c r="FS13" i="50"/>
  <c r="M13" i="50" s="1"/>
  <c r="FS20" i="50"/>
  <c r="M20" i="50" s="1"/>
  <c r="FS29" i="50"/>
  <c r="M29" i="50" s="1"/>
  <c r="B118" i="53"/>
  <c r="D118" i="53" s="1"/>
  <c r="E162" i="36"/>
  <c r="W161" i="36"/>
  <c r="E108" i="36"/>
  <c r="W107" i="36"/>
  <c r="E135" i="36"/>
  <c r="W134" i="36"/>
  <c r="J81" i="36"/>
  <c r="W80" i="36"/>
  <c r="Q167" i="50" l="1"/>
  <c r="S140" i="50"/>
  <c r="P167" i="50"/>
  <c r="M25" i="50"/>
  <c r="A116" i="53"/>
  <c r="B119" i="53"/>
  <c r="D119" i="53" s="1"/>
  <c r="A117" i="53" l="1"/>
  <c r="B120" i="53"/>
  <c r="D120" i="53" s="1"/>
  <c r="A118" i="53" l="1"/>
  <c r="B121" i="53"/>
  <c r="D121" i="53" s="1"/>
  <c r="X3" i="66"/>
  <c r="AW3" i="66" l="1"/>
  <c r="AW5" i="66"/>
  <c r="AW7" i="66"/>
  <c r="AW4" i="66"/>
  <c r="AW6" i="66"/>
  <c r="AQ4" i="66"/>
  <c r="AQ6" i="66"/>
  <c r="AQ7" i="66"/>
  <c r="AQ3" i="66"/>
  <c r="AQ5" i="66"/>
  <c r="B5" i="65"/>
  <c r="AM3" i="66"/>
  <c r="AM5" i="66"/>
  <c r="AM6" i="66"/>
  <c r="AM4" i="66"/>
  <c r="AM7" i="66"/>
  <c r="A119" i="53"/>
  <c r="B122" i="53"/>
  <c r="D122" i="53" s="1"/>
  <c r="AF157" i="50"/>
  <c r="V19" i="36" l="1"/>
  <c r="P54" i="36"/>
  <c r="M54" i="36"/>
  <c r="N19" i="36"/>
  <c r="C119" i="53" s="1"/>
  <c r="S19" i="36"/>
  <c r="U54" i="36"/>
  <c r="T54" i="36"/>
  <c r="O54" i="36"/>
  <c r="R19" i="36"/>
  <c r="L54" i="36"/>
  <c r="Q19" i="36"/>
  <c r="A120" i="53"/>
  <c r="B123" i="53"/>
  <c r="D123" i="53" s="1"/>
  <c r="C120" i="53" l="1"/>
  <c r="I120" i="53" s="1"/>
  <c r="H120" i="53" s="1"/>
  <c r="I119" i="53"/>
  <c r="E119" i="53" s="1"/>
  <c r="C110" i="53"/>
  <c r="C111" i="53"/>
  <c r="C112" i="53"/>
  <c r="C113" i="53"/>
  <c r="C114" i="53"/>
  <c r="C115" i="53"/>
  <c r="C116" i="53"/>
  <c r="C117" i="53"/>
  <c r="C118" i="53"/>
  <c r="K4" i="66"/>
  <c r="I4" i="66"/>
  <c r="L3" i="66"/>
  <c r="L4" i="66"/>
  <c r="H4" i="66"/>
  <c r="S157" i="50"/>
  <c r="R20" i="36"/>
  <c r="R23" i="36"/>
  <c r="R24" i="36" s="1"/>
  <c r="N20" i="36"/>
  <c r="N23" i="36"/>
  <c r="N24" i="36" s="1"/>
  <c r="Q20" i="36"/>
  <c r="Q23" i="36"/>
  <c r="Q24" i="36" s="1"/>
  <c r="S20" i="36"/>
  <c r="S23" i="36"/>
  <c r="S24" i="36" s="1"/>
  <c r="V20" i="36"/>
  <c r="V23" i="36"/>
  <c r="V24" i="36" s="1"/>
  <c r="V54" i="36"/>
  <c r="U19" i="36"/>
  <c r="N54" i="36"/>
  <c r="P19" i="36"/>
  <c r="T19" i="36"/>
  <c r="R54" i="36"/>
  <c r="M19" i="36"/>
  <c r="Q54" i="36"/>
  <c r="S54" i="36"/>
  <c r="L19" i="36"/>
  <c r="O19" i="36"/>
  <c r="A121" i="53"/>
  <c r="C121" i="53" s="1"/>
  <c r="I121" i="53" s="1"/>
  <c r="B124" i="53"/>
  <c r="D124" i="53" s="1"/>
  <c r="G120" i="53" l="1"/>
  <c r="J120" i="53"/>
  <c r="E120" i="53"/>
  <c r="I115" i="53"/>
  <c r="E115" i="53" s="1"/>
  <c r="I114" i="53"/>
  <c r="E114" i="53" s="1"/>
  <c r="I113" i="53"/>
  <c r="E113" i="53" s="1"/>
  <c r="I112" i="53"/>
  <c r="E112" i="53" s="1"/>
  <c r="I111" i="53"/>
  <c r="E111" i="53" s="1"/>
  <c r="I118" i="53"/>
  <c r="E118" i="53" s="1"/>
  <c r="I110" i="53"/>
  <c r="E110" i="53" s="1"/>
  <c r="I117" i="53"/>
  <c r="E117" i="53" s="1"/>
  <c r="I116" i="53"/>
  <c r="E116" i="53" s="1"/>
  <c r="G119" i="53"/>
  <c r="H119" i="53"/>
  <c r="J119" i="53"/>
  <c r="C98" i="53"/>
  <c r="C99" i="53"/>
  <c r="C100" i="53"/>
  <c r="C101" i="53"/>
  <c r="C102" i="53"/>
  <c r="C103" i="53"/>
  <c r="C104" i="53"/>
  <c r="C105" i="53"/>
  <c r="C106" i="53"/>
  <c r="C107" i="53"/>
  <c r="C108" i="53"/>
  <c r="C109" i="53"/>
  <c r="C86" i="53"/>
  <c r="C87" i="53"/>
  <c r="C88" i="53"/>
  <c r="C89" i="53"/>
  <c r="C90" i="53"/>
  <c r="C91" i="53"/>
  <c r="C92" i="53"/>
  <c r="C93" i="53"/>
  <c r="C94" i="53"/>
  <c r="C95" i="53"/>
  <c r="C96" i="53"/>
  <c r="C97" i="53"/>
  <c r="T20" i="36"/>
  <c r="T23" i="36"/>
  <c r="T24" i="36" s="1"/>
  <c r="M20" i="36"/>
  <c r="M23" i="36"/>
  <c r="M24" i="36" s="1"/>
  <c r="P20" i="36"/>
  <c r="P23" i="36"/>
  <c r="P24" i="36" s="1"/>
  <c r="O20" i="36"/>
  <c r="O23" i="36"/>
  <c r="O24" i="36" s="1"/>
  <c r="L20" i="36"/>
  <c r="L23" i="36"/>
  <c r="L24" i="36" s="1"/>
  <c r="U20" i="36"/>
  <c r="U23" i="36"/>
  <c r="U24" i="36" s="1"/>
  <c r="G121" i="53"/>
  <c r="H121" i="53"/>
  <c r="J121" i="53"/>
  <c r="E121" i="53"/>
  <c r="A122" i="53"/>
  <c r="C122" i="53" s="1"/>
  <c r="I122" i="53" s="1"/>
  <c r="B125" i="53"/>
  <c r="D125" i="53" s="1"/>
  <c r="G117" i="53" l="1"/>
  <c r="H117" i="53"/>
  <c r="J117" i="53"/>
  <c r="G112" i="53"/>
  <c r="H112" i="53"/>
  <c r="J112" i="53"/>
  <c r="G110" i="53"/>
  <c r="H110" i="53"/>
  <c r="J110" i="53"/>
  <c r="G113" i="53"/>
  <c r="H113" i="53"/>
  <c r="J113" i="53"/>
  <c r="G118" i="53"/>
  <c r="H118" i="53"/>
  <c r="J118" i="53"/>
  <c r="G114" i="53"/>
  <c r="H114" i="53"/>
  <c r="J114" i="53"/>
  <c r="G116" i="53"/>
  <c r="J116" i="53"/>
  <c r="H116" i="53"/>
  <c r="G111" i="53"/>
  <c r="H111" i="53"/>
  <c r="J111" i="53"/>
  <c r="G115" i="53"/>
  <c r="H115" i="53"/>
  <c r="J115" i="53"/>
  <c r="I105" i="53"/>
  <c r="E105" i="53" s="1"/>
  <c r="I104" i="53"/>
  <c r="E104" i="53" s="1"/>
  <c r="I103" i="53"/>
  <c r="E103" i="53" s="1"/>
  <c r="I102" i="53"/>
  <c r="E102" i="53" s="1"/>
  <c r="I109" i="53"/>
  <c r="E109" i="53" s="1"/>
  <c r="I101" i="53"/>
  <c r="E101" i="53" s="1"/>
  <c r="I108" i="53"/>
  <c r="E108" i="53" s="1"/>
  <c r="I100" i="53"/>
  <c r="E100" i="53" s="1"/>
  <c r="I107" i="53"/>
  <c r="E107" i="53" s="1"/>
  <c r="I99" i="53"/>
  <c r="E99" i="53" s="1"/>
  <c r="I106" i="53"/>
  <c r="E106" i="53" s="1"/>
  <c r="I98" i="53"/>
  <c r="E98" i="53" s="1"/>
  <c r="I97" i="53"/>
  <c r="E97" i="53" s="1"/>
  <c r="I93" i="53"/>
  <c r="E93" i="53" s="1"/>
  <c r="I89" i="53"/>
  <c r="E89" i="53" s="1"/>
  <c r="I96" i="53"/>
  <c r="E96" i="53" s="1"/>
  <c r="I92" i="53"/>
  <c r="E92" i="53" s="1"/>
  <c r="I88" i="53"/>
  <c r="E88" i="53" s="1"/>
  <c r="I95" i="53"/>
  <c r="E95" i="53" s="1"/>
  <c r="I91" i="53"/>
  <c r="E91" i="53" s="1"/>
  <c r="I87" i="53"/>
  <c r="E87" i="53" s="1"/>
  <c r="I94" i="53"/>
  <c r="E94" i="53" s="1"/>
  <c r="I90" i="53"/>
  <c r="E90" i="53" s="1"/>
  <c r="I86" i="53"/>
  <c r="E86" i="53" s="1"/>
  <c r="G122" i="53"/>
  <c r="H122" i="53"/>
  <c r="J122" i="53"/>
  <c r="E122" i="53"/>
  <c r="A123" i="53"/>
  <c r="C123" i="53" s="1"/>
  <c r="I123" i="53" s="1"/>
  <c r="B126" i="53"/>
  <c r="D126" i="53" s="1"/>
  <c r="G98" i="53" l="1"/>
  <c r="H98" i="53"/>
  <c r="G100" i="53"/>
  <c r="H100" i="53"/>
  <c r="G102" i="53"/>
  <c r="H102" i="53"/>
  <c r="J102" i="53"/>
  <c r="G106" i="53"/>
  <c r="J106" i="53"/>
  <c r="H106" i="53"/>
  <c r="G108" i="53"/>
  <c r="H108" i="53"/>
  <c r="J108" i="53"/>
  <c r="G103" i="53"/>
  <c r="H103" i="53"/>
  <c r="J103" i="53"/>
  <c r="G99" i="53"/>
  <c r="H99" i="53"/>
  <c r="G101" i="53"/>
  <c r="H101" i="53"/>
  <c r="J101" i="53"/>
  <c r="G104" i="53"/>
  <c r="H104" i="53"/>
  <c r="J104" i="53"/>
  <c r="G107" i="53"/>
  <c r="J107" i="53"/>
  <c r="H107" i="53"/>
  <c r="G109" i="53"/>
  <c r="H109" i="53"/>
  <c r="J109" i="53"/>
  <c r="G105" i="53"/>
  <c r="H105" i="53"/>
  <c r="J105" i="53"/>
  <c r="G86" i="53"/>
  <c r="H86" i="53"/>
  <c r="G94" i="53"/>
  <c r="H94" i="53"/>
  <c r="H91" i="53"/>
  <c r="G91" i="53"/>
  <c r="H88" i="53"/>
  <c r="G88" i="53"/>
  <c r="H96" i="53"/>
  <c r="G96" i="53"/>
  <c r="H93" i="53"/>
  <c r="G93" i="53"/>
  <c r="G90" i="53"/>
  <c r="H90" i="53"/>
  <c r="G87" i="53"/>
  <c r="H87" i="53"/>
  <c r="H95" i="53"/>
  <c r="G95" i="53"/>
  <c r="G92" i="53"/>
  <c r="H92" i="53"/>
  <c r="G89" i="53"/>
  <c r="H89" i="53"/>
  <c r="G97" i="53"/>
  <c r="H97" i="53"/>
  <c r="G123" i="53"/>
  <c r="H123" i="53"/>
  <c r="J123" i="53"/>
  <c r="E123" i="53"/>
  <c r="A124" i="53"/>
  <c r="C124" i="53" s="1"/>
  <c r="I124" i="53" s="1"/>
  <c r="B127" i="53"/>
  <c r="D127" i="53" s="1"/>
  <c r="G124" i="53" l="1"/>
  <c r="H124" i="53"/>
  <c r="J124" i="53"/>
  <c r="E124" i="53"/>
  <c r="A125" i="53"/>
  <c r="C125" i="53" s="1"/>
  <c r="I125" i="53" s="1"/>
  <c r="B128" i="53"/>
  <c r="D128" i="53" s="1"/>
  <c r="G125" i="53" l="1"/>
  <c r="H125" i="53"/>
  <c r="J125" i="53"/>
  <c r="E125" i="53"/>
  <c r="A126" i="53"/>
  <c r="C126" i="53" s="1"/>
  <c r="I126" i="53" s="1"/>
  <c r="B129" i="53"/>
  <c r="D129" i="53" s="1"/>
  <c r="G126" i="53" l="1"/>
  <c r="H126" i="53"/>
  <c r="J126" i="53"/>
  <c r="E126" i="53"/>
  <c r="A127" i="53"/>
  <c r="C127" i="53" s="1"/>
  <c r="I127" i="53" s="1"/>
  <c r="B130" i="53"/>
  <c r="D130" i="53" s="1"/>
  <c r="G127" i="53" l="1"/>
  <c r="H127" i="53"/>
  <c r="J127" i="53"/>
  <c r="E127" i="53"/>
  <c r="A128" i="53"/>
  <c r="C128" i="53" s="1"/>
  <c r="I128" i="53" s="1"/>
  <c r="B131" i="53"/>
  <c r="D131" i="53" s="1"/>
  <c r="G128" i="53" l="1"/>
  <c r="H128" i="53"/>
  <c r="J128" i="53"/>
  <c r="E128" i="53"/>
  <c r="A129" i="53"/>
  <c r="C129" i="53" s="1"/>
  <c r="I129" i="53" s="1"/>
  <c r="B132" i="53"/>
  <c r="D132" i="53" s="1"/>
  <c r="G129" i="53" l="1"/>
  <c r="H129" i="53"/>
  <c r="J129" i="53"/>
  <c r="E129" i="53"/>
  <c r="A130" i="53"/>
  <c r="C130" i="53" s="1"/>
  <c r="I130" i="53" s="1"/>
  <c r="B133" i="53"/>
  <c r="D133" i="53" s="1"/>
  <c r="G130" i="53" l="1"/>
  <c r="H130" i="53"/>
  <c r="J130" i="53"/>
  <c r="E130" i="53"/>
  <c r="A131" i="53"/>
  <c r="C131" i="53" s="1"/>
  <c r="I131" i="53" s="1"/>
  <c r="B134" i="53"/>
  <c r="D134" i="53" s="1"/>
  <c r="G131" i="53" l="1"/>
  <c r="H131" i="53"/>
  <c r="J131" i="53"/>
  <c r="E131" i="53"/>
  <c r="A132" i="53"/>
  <c r="C132" i="53" s="1"/>
  <c r="I132" i="53" s="1"/>
  <c r="B135" i="53"/>
  <c r="D135" i="53" s="1"/>
  <c r="G132" i="53" l="1"/>
  <c r="H132" i="53"/>
  <c r="J132" i="53"/>
  <c r="E132" i="53"/>
  <c r="A133" i="53"/>
  <c r="C133" i="53" s="1"/>
  <c r="I133" i="53" s="1"/>
  <c r="B136" i="53"/>
  <c r="D136" i="53" s="1"/>
  <c r="G133" i="53" l="1"/>
  <c r="H133" i="53"/>
  <c r="J133" i="53"/>
  <c r="E133" i="53"/>
  <c r="A134" i="53"/>
  <c r="C134" i="53" s="1"/>
  <c r="I134" i="53" s="1"/>
  <c r="B137" i="53"/>
  <c r="D137" i="53" s="1"/>
  <c r="G134" i="53" l="1"/>
  <c r="H134" i="53"/>
  <c r="J134" i="53"/>
  <c r="E134" i="53"/>
  <c r="A135" i="53"/>
  <c r="C135" i="53" s="1"/>
  <c r="I135" i="53" s="1"/>
  <c r="B138" i="53"/>
  <c r="D138" i="53" s="1"/>
  <c r="G135" i="53" l="1"/>
  <c r="H135" i="53"/>
  <c r="J135" i="53"/>
  <c r="E135" i="53"/>
  <c r="A136" i="53"/>
  <c r="C136" i="53" s="1"/>
  <c r="I136" i="53" s="1"/>
  <c r="B139" i="53"/>
  <c r="D139" i="53" s="1"/>
  <c r="G136" i="53" l="1"/>
  <c r="H136" i="53"/>
  <c r="J136" i="53"/>
  <c r="E136" i="53"/>
  <c r="A137" i="53"/>
  <c r="C137" i="53" s="1"/>
  <c r="I137" i="53" s="1"/>
  <c r="B140" i="53"/>
  <c r="D140" i="53" s="1"/>
  <c r="G137" i="53" l="1"/>
  <c r="H137" i="53"/>
  <c r="J137" i="53"/>
  <c r="E137" i="53"/>
  <c r="A138" i="53"/>
  <c r="C138" i="53" s="1"/>
  <c r="I138" i="53" s="1"/>
  <c r="B141" i="53"/>
  <c r="D141" i="53" s="1"/>
  <c r="G138" i="53" l="1"/>
  <c r="H138" i="53"/>
  <c r="J138" i="53"/>
  <c r="E138" i="53"/>
  <c r="A139" i="53"/>
  <c r="C139" i="53" s="1"/>
  <c r="I139" i="53" s="1"/>
  <c r="B142" i="53"/>
  <c r="D142" i="53" s="1"/>
  <c r="G139" i="53" l="1"/>
  <c r="H139" i="53"/>
  <c r="J139" i="53"/>
  <c r="E139" i="53"/>
  <c r="A140" i="53"/>
  <c r="C140" i="53" s="1"/>
  <c r="I140" i="53" s="1"/>
  <c r="B143" i="53"/>
  <c r="D143" i="53" s="1"/>
  <c r="G140" i="53" l="1"/>
  <c r="H140" i="53"/>
  <c r="J140" i="53"/>
  <c r="E140" i="53"/>
  <c r="A141" i="53"/>
  <c r="C141" i="53" s="1"/>
  <c r="I141" i="53" s="1"/>
  <c r="B144" i="53"/>
  <c r="D144" i="53" s="1"/>
  <c r="G141" i="53" l="1"/>
  <c r="H141" i="53"/>
  <c r="J141" i="53"/>
  <c r="E141" i="53"/>
  <c r="A142" i="53"/>
  <c r="C142" i="53" s="1"/>
  <c r="I142" i="53" s="1"/>
  <c r="B145" i="53"/>
  <c r="D145" i="53" s="1"/>
  <c r="G142" i="53" l="1"/>
  <c r="H142" i="53"/>
  <c r="J142" i="53"/>
  <c r="E142" i="53"/>
  <c r="A143" i="53"/>
  <c r="C143" i="53" s="1"/>
  <c r="I143" i="53" s="1"/>
  <c r="B146" i="53"/>
  <c r="D146" i="53" s="1"/>
  <c r="G143" i="53" l="1"/>
  <c r="H143" i="53"/>
  <c r="J143" i="53"/>
  <c r="E143" i="53"/>
  <c r="A144" i="53"/>
  <c r="C144" i="53" s="1"/>
  <c r="I144" i="53" s="1"/>
  <c r="B147" i="53"/>
  <c r="D147" i="53" s="1"/>
  <c r="G144" i="53" l="1"/>
  <c r="H144" i="53"/>
  <c r="J144" i="53"/>
  <c r="E144" i="53"/>
  <c r="A145" i="53"/>
  <c r="C145" i="53" s="1"/>
  <c r="I145" i="53" s="1"/>
  <c r="B148" i="53"/>
  <c r="D148" i="53" s="1"/>
  <c r="G145" i="53" l="1"/>
  <c r="H145" i="53"/>
  <c r="J145" i="53"/>
  <c r="E145" i="53"/>
  <c r="A146" i="53"/>
  <c r="C146" i="53" s="1"/>
  <c r="I146" i="53" s="1"/>
  <c r="B149" i="53"/>
  <c r="D149" i="53" s="1"/>
  <c r="G146" i="53" l="1"/>
  <c r="H146" i="53"/>
  <c r="J146" i="53"/>
  <c r="E146" i="53"/>
  <c r="A147" i="53"/>
  <c r="C147" i="53" s="1"/>
  <c r="I147" i="53" s="1"/>
  <c r="B150" i="53"/>
  <c r="D150" i="53" s="1"/>
  <c r="G147" i="53" l="1"/>
  <c r="H147" i="53"/>
  <c r="J147" i="53"/>
  <c r="E147" i="53"/>
  <c r="A148" i="53"/>
  <c r="C148" i="53" s="1"/>
  <c r="I148" i="53" s="1"/>
  <c r="B151" i="53"/>
  <c r="D151" i="53" s="1"/>
  <c r="G148" i="53" l="1"/>
  <c r="H148" i="53"/>
  <c r="J148" i="53"/>
  <c r="E148" i="53"/>
  <c r="A149" i="53"/>
  <c r="C149" i="53" s="1"/>
  <c r="I149" i="53" s="1"/>
  <c r="B152" i="53"/>
  <c r="D152" i="53" s="1"/>
  <c r="G149" i="53" l="1"/>
  <c r="H149" i="53"/>
  <c r="J149" i="53"/>
  <c r="E149" i="53"/>
  <c r="A150" i="53"/>
  <c r="C150" i="53" s="1"/>
  <c r="I150" i="53" s="1"/>
  <c r="B153" i="53"/>
  <c r="D153" i="53" s="1"/>
  <c r="G150" i="53" l="1"/>
  <c r="H150" i="53"/>
  <c r="J150" i="53"/>
  <c r="E150" i="53"/>
  <c r="A151" i="53"/>
  <c r="C151" i="53" s="1"/>
  <c r="I151" i="53" s="1"/>
  <c r="B154" i="53"/>
  <c r="D154" i="53" s="1"/>
  <c r="G151" i="53" l="1"/>
  <c r="H151" i="53"/>
  <c r="J151" i="53"/>
  <c r="E151" i="53"/>
  <c r="A152" i="53"/>
  <c r="C152" i="53" s="1"/>
  <c r="I152" i="53" s="1"/>
  <c r="B155" i="53"/>
  <c r="D155" i="53" s="1"/>
  <c r="G152" i="53" l="1"/>
  <c r="H152" i="53"/>
  <c r="J152" i="53"/>
  <c r="E152" i="53"/>
  <c r="A153" i="53"/>
  <c r="C153" i="53" s="1"/>
  <c r="I153" i="53" s="1"/>
  <c r="B156" i="53"/>
  <c r="D156" i="53" s="1"/>
  <c r="G153" i="53" l="1"/>
  <c r="H153" i="53"/>
  <c r="J153" i="53"/>
  <c r="E153" i="53"/>
  <c r="A154" i="53"/>
  <c r="C154" i="53" s="1"/>
  <c r="I154" i="53" s="1"/>
  <c r="B157" i="53"/>
  <c r="D157" i="53" s="1"/>
  <c r="G154" i="53" l="1"/>
  <c r="H154" i="53"/>
  <c r="J154" i="53"/>
  <c r="E154" i="53"/>
  <c r="A155" i="53"/>
  <c r="C155" i="53" s="1"/>
  <c r="I155" i="53" s="1"/>
  <c r="B158" i="53"/>
  <c r="D158" i="53" s="1"/>
  <c r="G155" i="53" l="1"/>
  <c r="H155" i="53"/>
  <c r="J155" i="53"/>
  <c r="E155" i="53"/>
  <c r="A156" i="53"/>
  <c r="C156" i="53" s="1"/>
  <c r="I156" i="53" s="1"/>
  <c r="B159" i="53"/>
  <c r="D159" i="53" s="1"/>
  <c r="G156" i="53" l="1"/>
  <c r="H156" i="53"/>
  <c r="J156" i="53"/>
  <c r="E156" i="53"/>
  <c r="A157" i="53"/>
  <c r="C157" i="53" s="1"/>
  <c r="I157" i="53" s="1"/>
  <c r="B160" i="53"/>
  <c r="D160" i="53" s="1"/>
  <c r="G157" i="53" l="1"/>
  <c r="H157" i="53"/>
  <c r="J157" i="53"/>
  <c r="E157" i="53"/>
  <c r="A158" i="53"/>
  <c r="C158" i="53" s="1"/>
  <c r="I158" i="53" s="1"/>
  <c r="B161" i="53"/>
  <c r="D161" i="53" s="1"/>
  <c r="G158" i="53" l="1"/>
  <c r="H158" i="53"/>
  <c r="J158" i="53"/>
  <c r="E158" i="53"/>
  <c r="A159" i="53"/>
  <c r="C159" i="53" s="1"/>
  <c r="I159" i="53" s="1"/>
  <c r="B162" i="53"/>
  <c r="D162" i="53" s="1"/>
  <c r="G159" i="53" l="1"/>
  <c r="H159" i="53"/>
  <c r="J159" i="53"/>
  <c r="E159" i="53"/>
  <c r="A160" i="53"/>
  <c r="C160" i="53" s="1"/>
  <c r="I160" i="53" s="1"/>
  <c r="B163" i="53"/>
  <c r="G160" i="53" l="1"/>
  <c r="H160" i="53"/>
  <c r="J160" i="53"/>
  <c r="E160" i="53"/>
  <c r="A161" i="53"/>
  <c r="C161" i="53" s="1"/>
  <c r="I161" i="53" s="1"/>
  <c r="B164" i="53"/>
  <c r="D163" i="53"/>
  <c r="G161" i="53" l="1"/>
  <c r="H161" i="53"/>
  <c r="J161" i="53"/>
  <c r="E161" i="53"/>
  <c r="A162" i="53"/>
  <c r="C162" i="53" s="1"/>
  <c r="I162" i="53" s="1"/>
  <c r="D164" i="53"/>
  <c r="B165" i="53"/>
  <c r="G162" i="53" l="1"/>
  <c r="H162" i="53"/>
  <c r="J162" i="53"/>
  <c r="E162" i="53"/>
  <c r="A163" i="53"/>
  <c r="C163" i="53" s="1"/>
  <c r="I163" i="53" s="1"/>
  <c r="D165" i="53"/>
  <c r="B166" i="53"/>
  <c r="G163" i="53" l="1"/>
  <c r="H163" i="53"/>
  <c r="J163" i="53"/>
  <c r="E163" i="53"/>
  <c r="A164" i="53"/>
  <c r="C164" i="53" s="1"/>
  <c r="I164" i="53" s="1"/>
  <c r="D166" i="53"/>
  <c r="B167" i="53"/>
  <c r="G164" i="53" l="1"/>
  <c r="H164" i="53"/>
  <c r="J164" i="53"/>
  <c r="E164" i="53"/>
  <c r="A165" i="53"/>
  <c r="C165" i="53" s="1"/>
  <c r="I165" i="53" s="1"/>
  <c r="D167" i="53"/>
  <c r="B168" i="53"/>
  <c r="G165" i="53" l="1"/>
  <c r="H165" i="53"/>
  <c r="J165" i="53"/>
  <c r="E165" i="53"/>
  <c r="A166" i="53"/>
  <c r="C166" i="53" s="1"/>
  <c r="I166" i="53" s="1"/>
  <c r="D168" i="53"/>
  <c r="B169" i="53"/>
  <c r="G166" i="53" l="1"/>
  <c r="H166" i="53"/>
  <c r="J166" i="53"/>
  <c r="E166" i="53"/>
  <c r="A167" i="53"/>
  <c r="C167" i="53" s="1"/>
  <c r="I167" i="53" s="1"/>
  <c r="D169" i="53"/>
  <c r="G167" i="53" l="1"/>
  <c r="H167" i="53"/>
  <c r="J167" i="53"/>
  <c r="E167" i="53"/>
  <c r="A168" i="53"/>
  <c r="C168" i="53" s="1"/>
  <c r="I168" i="53" s="1"/>
  <c r="G168" i="53" l="1"/>
  <c r="H168" i="53"/>
  <c r="J168" i="53"/>
  <c r="E168" i="53"/>
  <c r="A169" i="53"/>
  <c r="C169" i="53" s="1"/>
  <c r="I169" i="53" s="1"/>
  <c r="G169" i="53" l="1"/>
  <c r="H169" i="53"/>
  <c r="J169" i="53"/>
  <c r="E169" i="53"/>
  <c r="F5" i="27" l="1"/>
  <c r="D5" i="27"/>
  <c r="H9" i="27"/>
  <c r="O9" i="27"/>
  <c r="L9" i="27"/>
  <c r="G9" i="27"/>
  <c r="C9" i="27"/>
  <c r="F9" i="27"/>
  <c r="R9" i="27"/>
  <c r="E9" i="27"/>
  <c r="D9" i="27"/>
  <c r="E13" i="27"/>
  <c r="F13" i="27"/>
  <c r="H13" i="27"/>
  <c r="R13" i="27"/>
  <c r="L13" i="27"/>
  <c r="D13" i="27"/>
  <c r="G13" i="27"/>
  <c r="C13" i="27"/>
  <c r="O13" i="27"/>
  <c r="C17" i="27"/>
  <c r="O17" i="27"/>
  <c r="G17" i="27"/>
  <c r="E17" i="27"/>
  <c r="F17" i="27"/>
  <c r="H17" i="27"/>
  <c r="R17" i="27"/>
  <c r="L17" i="27"/>
  <c r="D17" i="27"/>
  <c r="L21" i="27"/>
  <c r="F21" i="27"/>
  <c r="C21" i="27"/>
  <c r="D21" i="27"/>
  <c r="R21" i="27"/>
  <c r="E21" i="27"/>
  <c r="O21" i="27"/>
  <c r="G21" i="27"/>
  <c r="H21" i="27"/>
  <c r="H25" i="27"/>
  <c r="G25" i="27"/>
  <c r="R25" i="27"/>
  <c r="O25" i="27"/>
  <c r="C25" i="27"/>
  <c r="D25" i="27"/>
  <c r="F25" i="27"/>
  <c r="E25" i="27"/>
  <c r="L25" i="27"/>
  <c r="O29" i="27"/>
  <c r="G29" i="27"/>
  <c r="D29" i="27"/>
  <c r="H29" i="27"/>
  <c r="L29" i="27"/>
  <c r="R29" i="27"/>
  <c r="E29" i="27"/>
  <c r="F29" i="27"/>
  <c r="C29" i="27"/>
  <c r="C33" i="27"/>
  <c r="F33" i="27"/>
  <c r="O33" i="27"/>
  <c r="E33" i="27"/>
  <c r="D33" i="27"/>
  <c r="H33" i="27"/>
  <c r="L33" i="27"/>
  <c r="R33" i="27"/>
  <c r="G33" i="27"/>
  <c r="R37" i="27"/>
  <c r="G37" i="27"/>
  <c r="C37" i="27"/>
  <c r="F37" i="27"/>
  <c r="O37" i="27"/>
  <c r="E37" i="27"/>
  <c r="D37" i="27"/>
  <c r="H37" i="27"/>
  <c r="L37" i="27"/>
  <c r="H41" i="27"/>
  <c r="D41" i="27"/>
  <c r="L41" i="27"/>
  <c r="O41" i="27"/>
  <c r="C41" i="27"/>
  <c r="R41" i="27"/>
  <c r="G41" i="27"/>
  <c r="E41" i="27"/>
  <c r="F41" i="27"/>
  <c r="E45" i="27"/>
  <c r="D45" i="27"/>
  <c r="H45" i="27"/>
  <c r="O45" i="27"/>
  <c r="L45" i="27"/>
  <c r="G45" i="27"/>
  <c r="C45" i="27"/>
  <c r="R45" i="27"/>
  <c r="F45" i="27"/>
  <c r="C49" i="27"/>
  <c r="E49" i="27"/>
  <c r="L49" i="27"/>
  <c r="H49" i="27"/>
  <c r="G49" i="27"/>
  <c r="O49" i="27"/>
  <c r="D49" i="27"/>
  <c r="F49" i="27"/>
  <c r="R49" i="27"/>
  <c r="R53" i="27"/>
  <c r="L53" i="27"/>
  <c r="C53" i="27"/>
  <c r="O53" i="27"/>
  <c r="F53" i="27"/>
  <c r="E53" i="27"/>
  <c r="D53" i="27"/>
  <c r="H53" i="27"/>
  <c r="G53" i="27"/>
  <c r="H57" i="27"/>
  <c r="R57" i="27"/>
  <c r="F57" i="27"/>
  <c r="G57" i="27"/>
  <c r="C57" i="27"/>
  <c r="D57" i="27"/>
  <c r="O57" i="27"/>
  <c r="L57" i="27"/>
  <c r="E57" i="27"/>
  <c r="E61" i="27"/>
  <c r="R61" i="27"/>
  <c r="G61" i="27"/>
  <c r="D61" i="27"/>
  <c r="H61" i="27"/>
  <c r="F61" i="27"/>
  <c r="C61" i="27"/>
  <c r="L61" i="27"/>
  <c r="O61" i="27"/>
  <c r="C16" i="27"/>
  <c r="O16" i="27"/>
  <c r="F16" i="27"/>
  <c r="E16" i="27"/>
  <c r="D16" i="27"/>
  <c r="H16" i="27"/>
  <c r="R16" i="27"/>
  <c r="L16" i="27"/>
  <c r="G16" i="27"/>
  <c r="H28" i="27"/>
  <c r="R28" i="27"/>
  <c r="C28" i="27"/>
  <c r="D28" i="27"/>
  <c r="O28" i="27"/>
  <c r="E28" i="27"/>
  <c r="F28" i="27"/>
  <c r="G28" i="27"/>
  <c r="L28" i="27"/>
  <c r="H40" i="27"/>
  <c r="L40" i="27"/>
  <c r="R40" i="27"/>
  <c r="G40" i="27"/>
  <c r="C40" i="27"/>
  <c r="F40" i="27"/>
  <c r="O40" i="27"/>
  <c r="E40" i="27"/>
  <c r="D40" i="27"/>
  <c r="E52" i="27"/>
  <c r="D52" i="27"/>
  <c r="G52" i="27"/>
  <c r="F52" i="27"/>
  <c r="H52" i="27"/>
  <c r="L52" i="27"/>
  <c r="R52" i="27"/>
  <c r="C52" i="27"/>
  <c r="O52" i="27"/>
  <c r="C64" i="27"/>
  <c r="G64" i="27"/>
  <c r="E64" i="27"/>
  <c r="D64" i="27"/>
  <c r="O64" i="27"/>
  <c r="H64" i="27"/>
  <c r="L64" i="27"/>
  <c r="R64" i="27"/>
  <c r="F64" i="27"/>
  <c r="H6" i="27"/>
  <c r="L6" i="27"/>
  <c r="R6" i="27"/>
  <c r="F6" i="27"/>
  <c r="C6" i="27"/>
  <c r="D6" i="27"/>
  <c r="O6" i="27"/>
  <c r="G6" i="27"/>
  <c r="E6" i="27"/>
  <c r="E10" i="27"/>
  <c r="O10" i="27"/>
  <c r="H10" i="27"/>
  <c r="F10" i="27"/>
  <c r="L10" i="27"/>
  <c r="R10" i="27"/>
  <c r="C10" i="27"/>
  <c r="D10" i="27"/>
  <c r="G10" i="27"/>
  <c r="C14" i="27"/>
  <c r="O14" i="27"/>
  <c r="G14" i="27"/>
  <c r="E14" i="27"/>
  <c r="F14" i="27"/>
  <c r="H14" i="27"/>
  <c r="R14" i="27"/>
  <c r="L14" i="27"/>
  <c r="D14" i="27"/>
  <c r="L18" i="27"/>
  <c r="F18" i="27"/>
  <c r="C18" i="27"/>
  <c r="O18" i="27"/>
  <c r="R18" i="27"/>
  <c r="E18" i="27"/>
  <c r="D18" i="27"/>
  <c r="H18" i="27"/>
  <c r="G18" i="27"/>
  <c r="H22" i="27"/>
  <c r="O22" i="27"/>
  <c r="L22" i="27"/>
  <c r="G22" i="27"/>
  <c r="C22" i="27"/>
  <c r="R22" i="27"/>
  <c r="F22" i="27"/>
  <c r="E22" i="27"/>
  <c r="D22" i="27"/>
  <c r="E26" i="27"/>
  <c r="H26" i="27"/>
  <c r="R26" i="27"/>
  <c r="F26" i="27"/>
  <c r="G26" i="27"/>
  <c r="L26" i="27"/>
  <c r="O26" i="27"/>
  <c r="C26" i="27"/>
  <c r="D26" i="27"/>
  <c r="E30" i="27"/>
  <c r="R30" i="27"/>
  <c r="O30" i="27"/>
  <c r="L30" i="27"/>
  <c r="H30" i="27"/>
  <c r="G30" i="27"/>
  <c r="C30" i="27"/>
  <c r="F30" i="27"/>
  <c r="D30" i="27"/>
  <c r="C34" i="27"/>
  <c r="R34" i="27"/>
  <c r="F34" i="27"/>
  <c r="E34" i="27"/>
  <c r="D34" i="27"/>
  <c r="L34" i="27"/>
  <c r="O34" i="27"/>
  <c r="G34" i="27"/>
  <c r="H34" i="27"/>
  <c r="R38" i="27"/>
  <c r="G38" i="27"/>
  <c r="C38" i="27"/>
  <c r="F38" i="27"/>
  <c r="O38" i="27"/>
  <c r="H38" i="27"/>
  <c r="D38" i="27"/>
  <c r="L38" i="27"/>
  <c r="E38" i="27"/>
  <c r="H42" i="27"/>
  <c r="L42" i="27"/>
  <c r="R42" i="27"/>
  <c r="G42" i="27"/>
  <c r="E42" i="27"/>
  <c r="F42" i="27"/>
  <c r="D42" i="27"/>
  <c r="C42" i="27"/>
  <c r="O42" i="27"/>
  <c r="E46" i="27"/>
  <c r="R46" i="27"/>
  <c r="H46" i="27"/>
  <c r="G46" i="27"/>
  <c r="C46" i="27"/>
  <c r="F46" i="27"/>
  <c r="D46" i="27"/>
  <c r="L46" i="27"/>
  <c r="O46" i="27"/>
  <c r="C50" i="27"/>
  <c r="F50" i="27"/>
  <c r="R50" i="27"/>
  <c r="E50" i="27"/>
  <c r="L50" i="27"/>
  <c r="O50" i="27"/>
  <c r="G50" i="27"/>
  <c r="D50" i="27"/>
  <c r="H50" i="27"/>
  <c r="L54" i="27"/>
  <c r="F54" i="27"/>
  <c r="C54" i="27"/>
  <c r="R54" i="27"/>
  <c r="G54" i="27"/>
  <c r="O54" i="27"/>
  <c r="E54" i="27"/>
  <c r="H54" i="27"/>
  <c r="D54" i="27"/>
  <c r="G58" i="27"/>
  <c r="D58" i="27"/>
  <c r="H58" i="27"/>
  <c r="F58" i="27"/>
  <c r="O58" i="27"/>
  <c r="C58" i="27"/>
  <c r="L58" i="27"/>
  <c r="E58" i="27"/>
  <c r="R58" i="27"/>
  <c r="E62" i="27"/>
  <c r="O62" i="27"/>
  <c r="G62" i="27"/>
  <c r="R62" i="27"/>
  <c r="F62" i="27"/>
  <c r="H62" i="27"/>
  <c r="C62" i="27"/>
  <c r="L62" i="27"/>
  <c r="D62" i="27"/>
  <c r="C12" i="27"/>
  <c r="O12" i="27"/>
  <c r="G12" i="27"/>
  <c r="E12" i="27"/>
  <c r="F12" i="27"/>
  <c r="L12" i="27"/>
  <c r="D12" i="27"/>
  <c r="R12" i="27"/>
  <c r="H12" i="27"/>
  <c r="L20" i="27"/>
  <c r="R20" i="27"/>
  <c r="C20" i="27"/>
  <c r="D20" i="27"/>
  <c r="G20" i="27"/>
  <c r="H20" i="27"/>
  <c r="O20" i="27"/>
  <c r="F20" i="27"/>
  <c r="E20" i="27"/>
  <c r="H32" i="27"/>
  <c r="D32" i="27"/>
  <c r="L32" i="27"/>
  <c r="G32" i="27"/>
  <c r="E32" i="27"/>
  <c r="O32" i="27"/>
  <c r="R32" i="27"/>
  <c r="C32" i="27"/>
  <c r="F32" i="27"/>
  <c r="E44" i="27"/>
  <c r="H44" i="27"/>
  <c r="C44" i="27"/>
  <c r="G44" i="27"/>
  <c r="R44" i="27"/>
  <c r="O44" i="27"/>
  <c r="D44" i="27"/>
  <c r="F44" i="27"/>
  <c r="L44" i="27"/>
  <c r="E56" i="27"/>
  <c r="D56" i="27"/>
  <c r="H56" i="27"/>
  <c r="O56" i="27"/>
  <c r="L56" i="27"/>
  <c r="F56" i="27"/>
  <c r="C56" i="27"/>
  <c r="R56" i="27"/>
  <c r="G56" i="27"/>
  <c r="C7" i="27"/>
  <c r="D7" i="27"/>
  <c r="G7" i="27"/>
  <c r="E7" i="27"/>
  <c r="O7" i="27"/>
  <c r="H7" i="27"/>
  <c r="F7" i="27"/>
  <c r="R7" i="27"/>
  <c r="L7" i="27"/>
  <c r="L11" i="27"/>
  <c r="F11" i="27"/>
  <c r="C11" i="27"/>
  <c r="O11" i="27"/>
  <c r="R11" i="27"/>
  <c r="E11" i="27"/>
  <c r="D11" i="27"/>
  <c r="H11" i="27"/>
  <c r="G11" i="27"/>
  <c r="H15" i="27"/>
  <c r="G15" i="27"/>
  <c r="L15" i="27"/>
  <c r="F15" i="27"/>
  <c r="C15" i="27"/>
  <c r="O15" i="27"/>
  <c r="R15" i="27"/>
  <c r="D15" i="27"/>
  <c r="E15" i="27"/>
  <c r="E19" i="27"/>
  <c r="O19" i="27"/>
  <c r="H19" i="27"/>
  <c r="G19" i="27"/>
  <c r="L19" i="27"/>
  <c r="F19" i="27"/>
  <c r="C19" i="27"/>
  <c r="D19" i="27"/>
  <c r="R19" i="27"/>
  <c r="C23" i="27"/>
  <c r="R23" i="27"/>
  <c r="F23" i="27"/>
  <c r="E23" i="27"/>
  <c r="D23" i="27"/>
  <c r="H23" i="27"/>
  <c r="O23" i="27"/>
  <c r="L23" i="27"/>
  <c r="G23" i="27"/>
  <c r="L27" i="27"/>
  <c r="F27" i="27"/>
  <c r="C27" i="27"/>
  <c r="D27" i="27"/>
  <c r="R27" i="27"/>
  <c r="E27" i="27"/>
  <c r="O27" i="27"/>
  <c r="H27" i="27"/>
  <c r="G27" i="27"/>
  <c r="H31" i="27"/>
  <c r="F31" i="27"/>
  <c r="L31" i="27"/>
  <c r="R31" i="27"/>
  <c r="C31" i="27"/>
  <c r="D31" i="27"/>
  <c r="G31" i="27"/>
  <c r="E31" i="27"/>
  <c r="O31" i="27"/>
  <c r="E35" i="27"/>
  <c r="L35" i="27"/>
  <c r="H35" i="27"/>
  <c r="F35" i="27"/>
  <c r="R35" i="27"/>
  <c r="G35" i="27"/>
  <c r="O35" i="27"/>
  <c r="C35" i="27"/>
  <c r="D35" i="27"/>
  <c r="C39" i="27"/>
  <c r="F39" i="27"/>
  <c r="O39" i="27"/>
  <c r="E39" i="27"/>
  <c r="D39" i="27"/>
  <c r="H39" i="27"/>
  <c r="L39" i="27"/>
  <c r="R39" i="27"/>
  <c r="G39" i="27"/>
  <c r="R43" i="27"/>
  <c r="O43" i="27"/>
  <c r="C43" i="27"/>
  <c r="D43" i="27"/>
  <c r="F43" i="27"/>
  <c r="E43" i="27"/>
  <c r="L43" i="27"/>
  <c r="G43" i="27"/>
  <c r="H43" i="27"/>
  <c r="D47" i="27"/>
  <c r="E47" i="27"/>
  <c r="F47" i="27"/>
  <c r="G47" i="27"/>
  <c r="C47" i="27"/>
  <c r="O47" i="27"/>
  <c r="H47" i="27"/>
  <c r="L47" i="27"/>
  <c r="R47" i="27"/>
  <c r="G51" i="27"/>
  <c r="O51" i="27"/>
  <c r="L51" i="27"/>
  <c r="E51" i="27"/>
  <c r="D51" i="27"/>
  <c r="H51" i="27"/>
  <c r="F51" i="27"/>
  <c r="R51" i="27"/>
  <c r="C51" i="27"/>
  <c r="C55" i="27"/>
  <c r="O55" i="27"/>
  <c r="G55" i="27"/>
  <c r="E55" i="27"/>
  <c r="F55" i="27"/>
  <c r="H55" i="27"/>
  <c r="D55" i="27"/>
  <c r="R55" i="27"/>
  <c r="L55" i="27"/>
  <c r="F59" i="27"/>
  <c r="G59" i="27"/>
  <c r="C59" i="27"/>
  <c r="R59" i="27"/>
  <c r="L59" i="27"/>
  <c r="H59" i="27"/>
  <c r="O59" i="27"/>
  <c r="D59" i="27"/>
  <c r="E59" i="27"/>
  <c r="O63" i="27"/>
  <c r="H63" i="27"/>
  <c r="D63" i="27"/>
  <c r="R63" i="27"/>
  <c r="C63" i="27"/>
  <c r="F63" i="27"/>
  <c r="L63" i="27"/>
  <c r="G63" i="27"/>
  <c r="E63" i="27"/>
  <c r="E8" i="27"/>
  <c r="D8" i="27"/>
  <c r="H8" i="27"/>
  <c r="O8" i="27"/>
  <c r="L8" i="27"/>
  <c r="G8" i="27"/>
  <c r="C8" i="27"/>
  <c r="F8" i="27"/>
  <c r="R8" i="27"/>
  <c r="C24" i="27"/>
  <c r="F24" i="27"/>
  <c r="G24" i="27"/>
  <c r="E24" i="27"/>
  <c r="D24" i="27"/>
  <c r="H24" i="27"/>
  <c r="O24" i="27"/>
  <c r="R24" i="27"/>
  <c r="L24" i="27"/>
  <c r="L36" i="27"/>
  <c r="F36" i="27"/>
  <c r="C36" i="27"/>
  <c r="R36" i="27"/>
  <c r="G36" i="27"/>
  <c r="E36" i="27"/>
  <c r="D36" i="27"/>
  <c r="H36" i="27"/>
  <c r="O36" i="27"/>
  <c r="R48" i="27"/>
  <c r="H48" i="27"/>
  <c r="L48" i="27"/>
  <c r="D48" i="27"/>
  <c r="C48" i="27"/>
  <c r="E48" i="27"/>
  <c r="F48" i="27"/>
  <c r="G48" i="27"/>
  <c r="O48" i="27"/>
  <c r="D60" i="27"/>
  <c r="G60" i="27"/>
  <c r="F60" i="27"/>
  <c r="H60" i="27"/>
  <c r="O60" i="27"/>
  <c r="L60" i="27"/>
  <c r="C60" i="27"/>
  <c r="E60" i="27"/>
  <c r="R60" i="27"/>
  <c r="J6" i="27"/>
  <c r="J8" i="27"/>
  <c r="J7" i="27"/>
  <c r="J9" i="27"/>
  <c r="J10" i="27"/>
  <c r="J11" i="27"/>
  <c r="J12" i="27"/>
  <c r="J13" i="27"/>
  <c r="J14" i="27"/>
  <c r="J15" i="27"/>
  <c r="J16" i="27"/>
  <c r="J17" i="27"/>
  <c r="J18" i="27"/>
  <c r="J19" i="27"/>
  <c r="J20" i="27"/>
  <c r="J21" i="27"/>
  <c r="J22" i="27"/>
  <c r="J23" i="27"/>
  <c r="J24" i="27"/>
  <c r="J25" i="27"/>
  <c r="J26" i="27"/>
  <c r="J27" i="27"/>
  <c r="J29" i="27"/>
  <c r="J28" i="27"/>
  <c r="J30" i="27"/>
  <c r="J31" i="27"/>
  <c r="J32" i="27"/>
  <c r="J33" i="27"/>
  <c r="J34" i="27"/>
  <c r="J35" i="27"/>
  <c r="J36" i="27"/>
  <c r="J37" i="27"/>
  <c r="J38" i="27"/>
  <c r="J39" i="27"/>
  <c r="J40" i="27"/>
  <c r="J41" i="27"/>
  <c r="J42" i="27"/>
  <c r="J43" i="27"/>
  <c r="J44" i="27"/>
  <c r="J45" i="27"/>
  <c r="J49" i="27"/>
  <c r="J50" i="27"/>
  <c r="J46" i="27"/>
  <c r="J61" i="27"/>
  <c r="J51" i="27"/>
  <c r="J47" i="27"/>
  <c r="J59" i="27"/>
  <c r="J62" i="27"/>
  <c r="J56" i="27"/>
  <c r="J60" i="27"/>
  <c r="J58" i="27"/>
  <c r="J57" i="27"/>
  <c r="J52" i="27"/>
  <c r="J63" i="27"/>
  <c r="J48" i="27"/>
  <c r="J53" i="27"/>
  <c r="J54" i="27"/>
  <c r="J55" i="27"/>
  <c r="J64" i="27"/>
  <c r="H5" i="27"/>
  <c r="J5" i="27"/>
  <c r="R5" i="27"/>
  <c r="L5" i="27"/>
  <c r="C5" i="27"/>
  <c r="G5" i="27"/>
  <c r="E5" i="27"/>
  <c r="O5" i="27"/>
  <c r="D26" i="75" l="1"/>
  <c r="G26" i="75" s="1"/>
  <c r="F26" i="75" s="1"/>
  <c r="D19" i="75"/>
  <c r="G19" i="75" s="1"/>
  <c r="F19" i="75" s="1"/>
  <c r="D10" i="75"/>
  <c r="G10" i="75" s="1"/>
  <c r="F10" i="75" s="1"/>
  <c r="D6" i="75"/>
  <c r="G6" i="75" s="1"/>
  <c r="F6" i="75" s="1"/>
  <c r="I60" i="73"/>
  <c r="I61" i="73" s="1"/>
  <c r="H60" i="73"/>
  <c r="K21" i="73"/>
  <c r="I21" i="73"/>
  <c r="I38" i="73"/>
  <c r="G9" i="73"/>
  <c r="F49" i="73"/>
  <c r="K23" i="73"/>
  <c r="F39" i="73"/>
  <c r="F60" i="73"/>
  <c r="F61" i="73" s="1"/>
  <c r="I45" i="73"/>
  <c r="I33" i="73"/>
  <c r="H18" i="73"/>
  <c r="H45" i="73"/>
  <c r="H33" i="73"/>
  <c r="K26" i="73"/>
  <c r="H21" i="73"/>
  <c r="K18" i="73"/>
  <c r="H9" i="73"/>
  <c r="H48" i="73"/>
  <c r="G21" i="73"/>
  <c r="I55" i="73"/>
  <c r="I56" i="73" s="1"/>
  <c r="I18" i="73"/>
  <c r="F9" i="73"/>
  <c r="I66" i="73"/>
  <c r="H55" i="73"/>
  <c r="G48" i="73"/>
  <c r="F45" i="73"/>
  <c r="H38" i="73"/>
  <c r="F33" i="73"/>
  <c r="H26" i="73"/>
  <c r="G18" i="73"/>
  <c r="G66" i="73"/>
  <c r="F38" i="73"/>
  <c r="H35" i="73"/>
  <c r="F26" i="73"/>
  <c r="F18" i="73"/>
  <c r="I22" i="73"/>
  <c r="F55" i="73"/>
  <c r="F56" i="73" s="1"/>
  <c r="H23" i="73"/>
  <c r="H11" i="73"/>
  <c r="I50" i="73"/>
  <c r="H65" i="73"/>
  <c r="H25" i="73"/>
  <c r="H17" i="73"/>
  <c r="G17" i="73"/>
  <c r="G50" i="73"/>
  <c r="F50" i="73"/>
  <c r="G25" i="73"/>
  <c r="H50" i="73"/>
  <c r="I68" i="73"/>
  <c r="H37" i="73"/>
  <c r="K22" i="73"/>
  <c r="H68" i="73"/>
  <c r="I34" i="73"/>
  <c r="I10" i="73"/>
  <c r="F68" i="73"/>
  <c r="K9" i="73"/>
  <c r="I9" i="73"/>
  <c r="I26" i="73"/>
  <c r="F21" i="73"/>
  <c r="H19" i="73"/>
  <c r="F19" i="73"/>
  <c r="H8" i="73"/>
  <c r="H16" i="73"/>
  <c r="K40" i="73"/>
  <c r="K17" i="73"/>
  <c r="I24" i="73"/>
  <c r="H22" i="73"/>
  <c r="H20" i="73"/>
  <c r="I20" i="73"/>
  <c r="H67" i="73"/>
  <c r="H39" i="73"/>
  <c r="F22" i="73"/>
  <c r="I47" i="73"/>
  <c r="K8" i="73"/>
  <c r="G39" i="73"/>
  <c r="H32" i="73"/>
  <c r="I32" i="73"/>
  <c r="G49" i="73"/>
  <c r="I35" i="73"/>
  <c r="F37" i="73"/>
  <c r="I40" i="73"/>
  <c r="H10" i="73"/>
  <c r="F17" i="73"/>
  <c r="I48" i="73"/>
  <c r="I65" i="73"/>
  <c r="I7" i="73"/>
  <c r="H34" i="73"/>
  <c r="F35" i="73"/>
  <c r="H24" i="73"/>
  <c r="H40" i="73"/>
  <c r="F31" i="73"/>
  <c r="K36" i="73"/>
  <c r="G36" i="73"/>
  <c r="F7" i="73"/>
  <c r="K24" i="73"/>
  <c r="I19" i="73"/>
  <c r="K39" i="73"/>
  <c r="H47" i="73"/>
  <c r="F66" i="73"/>
  <c r="H36" i="73"/>
  <c r="F8" i="73"/>
  <c r="F47" i="73"/>
  <c r="I36" i="73"/>
  <c r="H49" i="73"/>
  <c r="H31" i="73"/>
  <c r="G22" i="73"/>
  <c r="I46" i="73"/>
  <c r="F48" i="73"/>
  <c r="F34" i="73"/>
  <c r="F24" i="73"/>
  <c r="G68" i="73"/>
  <c r="G23" i="73"/>
  <c r="F10" i="73"/>
  <c r="I31" i="73"/>
  <c r="F65" i="73"/>
  <c r="F20" i="73"/>
  <c r="F16" i="73"/>
  <c r="I16" i="73"/>
  <c r="I23" i="73"/>
  <c r="F32" i="73"/>
  <c r="I37" i="73"/>
  <c r="F11" i="73"/>
  <c r="F25" i="73"/>
  <c r="K25" i="73"/>
  <c r="H66" i="73"/>
  <c r="I39" i="73"/>
  <c r="I17" i="73"/>
  <c r="F36" i="73"/>
  <c r="F46" i="73"/>
  <c r="I11" i="73"/>
  <c r="G40" i="73"/>
  <c r="I8" i="73"/>
  <c r="G26" i="73"/>
  <c r="I67" i="73"/>
  <c r="H46" i="73"/>
  <c r="F40" i="73"/>
  <c r="F67" i="73"/>
  <c r="I49" i="73"/>
  <c r="I25" i="73"/>
  <c r="G8" i="73"/>
  <c r="G24" i="73"/>
  <c r="H7" i="73"/>
  <c r="F23" i="73"/>
  <c r="I82" i="73"/>
  <c r="I81" i="73"/>
  <c r="I80" i="73"/>
  <c r="I79" i="73"/>
  <c r="I77" i="73"/>
  <c r="I76" i="73"/>
  <c r="I75" i="73"/>
  <c r="H82" i="73"/>
  <c r="H81" i="73"/>
  <c r="H76" i="73"/>
  <c r="H80" i="73"/>
  <c r="H75" i="73"/>
  <c r="H79" i="73"/>
  <c r="H77" i="73"/>
  <c r="F82" i="73"/>
  <c r="F77" i="73"/>
  <c r="F81" i="73"/>
  <c r="F76" i="73"/>
  <c r="F80" i="73"/>
  <c r="F75" i="73"/>
  <c r="F79" i="73"/>
  <c r="P46" i="27"/>
  <c r="P20" i="27"/>
  <c r="P48" i="27"/>
  <c r="S44" i="27"/>
  <c r="S12" i="27"/>
  <c r="I49" i="27"/>
  <c r="P18" i="27"/>
  <c r="S6" i="27"/>
  <c r="P61" i="27"/>
  <c r="M17" i="27"/>
  <c r="M13" i="27"/>
  <c r="K33" i="73" s="1"/>
  <c r="S40" i="27"/>
  <c r="I50" i="27"/>
  <c r="S47" i="27"/>
  <c r="P39" i="27"/>
  <c r="P33" i="27"/>
  <c r="M62" i="27"/>
  <c r="P45" i="27"/>
  <c r="I6" i="27"/>
  <c r="G11" i="73" s="1"/>
  <c r="M64" i="27"/>
  <c r="S58" i="27"/>
  <c r="I32" i="27"/>
  <c r="I29" i="27"/>
  <c r="I24" i="27"/>
  <c r="S16" i="27"/>
  <c r="I7" i="27"/>
  <c r="G16" i="73" s="1"/>
  <c r="P55" i="27"/>
  <c r="M19" i="27"/>
  <c r="P15" i="27"/>
  <c r="P41" i="27"/>
  <c r="M7" i="27"/>
  <c r="K16" i="73" s="1"/>
  <c r="I54" i="27"/>
  <c r="S42" i="27"/>
  <c r="I34" i="27"/>
  <c r="P26" i="27"/>
  <c r="I8" i="27"/>
  <c r="G20" i="73" s="1"/>
  <c r="S36" i="27"/>
  <c r="M24" i="27"/>
  <c r="P7" i="27"/>
  <c r="P12" i="27"/>
  <c r="I16" i="27"/>
  <c r="G35" i="73" s="1"/>
  <c r="P16" i="27"/>
  <c r="M57" i="27"/>
  <c r="M6" i="27"/>
  <c r="K11" i="73" s="1"/>
  <c r="I36" i="27"/>
  <c r="S53" i="27"/>
  <c r="P32" i="27"/>
  <c r="P28" i="27"/>
  <c r="M46" i="27"/>
  <c r="S64" i="27"/>
  <c r="M44" i="27"/>
  <c r="I8" i="29"/>
  <c r="Q8" i="29" s="1"/>
  <c r="S48" i="27"/>
  <c r="I48" i="27"/>
  <c r="S24" i="27"/>
  <c r="M48" i="27"/>
  <c r="D31" i="29"/>
  <c r="P58" i="27"/>
  <c r="M31" i="27"/>
  <c r="S20" i="27"/>
  <c r="M12" i="27"/>
  <c r="K32" i="73" s="1"/>
  <c r="P51" i="27"/>
  <c r="M20" i="27"/>
  <c r="M63" i="27"/>
  <c r="P24" i="27"/>
  <c r="F7" i="29"/>
  <c r="R7" i="29" s="1"/>
  <c r="H65" i="27"/>
  <c r="S59" i="27"/>
  <c r="I46" i="27"/>
  <c r="I20" i="27"/>
  <c r="G55" i="73" s="1"/>
  <c r="G56" i="73" s="1"/>
  <c r="L66" i="27"/>
  <c r="P59" i="27"/>
  <c r="S55" i="27"/>
  <c r="M43" i="27"/>
  <c r="S35" i="27"/>
  <c r="L15" i="29"/>
  <c r="S7" i="27"/>
  <c r="P44" i="27"/>
  <c r="I44" i="27"/>
  <c r="S32" i="27"/>
  <c r="M32" i="27"/>
  <c r="I12" i="27"/>
  <c r="G32" i="73" s="1"/>
  <c r="M58" i="27"/>
  <c r="I58" i="27"/>
  <c r="S46" i="27"/>
  <c r="S30" i="27"/>
  <c r="D9" i="29"/>
  <c r="H66" i="27"/>
  <c r="P40" i="27"/>
  <c r="I7" i="29"/>
  <c r="Q7" i="29" s="1"/>
  <c r="P64" i="27"/>
  <c r="S52" i="27"/>
  <c r="S29" i="27"/>
  <c r="M21" i="27"/>
  <c r="O66" i="27"/>
  <c r="L10" i="29"/>
  <c r="D11" i="29"/>
  <c r="I59" i="27"/>
  <c r="M40" i="27"/>
  <c r="P29" i="27"/>
  <c r="M16" i="27"/>
  <c r="K35" i="73" s="1"/>
  <c r="P6" i="27"/>
  <c r="I22" i="29"/>
  <c r="Q22" i="29" s="1"/>
  <c r="F28" i="29"/>
  <c r="R28" i="29" s="1"/>
  <c r="I40" i="27"/>
  <c r="M29" i="27"/>
  <c r="P36" i="27"/>
  <c r="M36" i="27"/>
  <c r="D8" i="29"/>
  <c r="M59" i="27"/>
  <c r="I60" i="27"/>
  <c r="P60" i="27"/>
  <c r="S60" i="27"/>
  <c r="S37" i="27"/>
  <c r="M37" i="27"/>
  <c r="I37" i="27"/>
  <c r="I23" i="27"/>
  <c r="G37" i="73" s="1"/>
  <c r="M23" i="27"/>
  <c r="K37" i="73" s="1"/>
  <c r="S23" i="27"/>
  <c r="S10" i="27"/>
  <c r="P10" i="27"/>
  <c r="M10" i="27"/>
  <c r="D7" i="29"/>
  <c r="L9" i="29"/>
  <c r="R66" i="27"/>
  <c r="I31" i="29"/>
  <c r="Q31" i="29" s="1"/>
  <c r="L22" i="29"/>
  <c r="I10" i="29"/>
  <c r="Q10" i="29" s="1"/>
  <c r="F10" i="29"/>
  <c r="P53" i="27"/>
  <c r="M53" i="27"/>
  <c r="I53" i="27"/>
  <c r="M52" i="27"/>
  <c r="P52" i="27"/>
  <c r="I52" i="27"/>
  <c r="M60" i="27"/>
  <c r="P47" i="27"/>
  <c r="I47" i="27"/>
  <c r="M47" i="27"/>
  <c r="I61" i="27"/>
  <c r="M61" i="27"/>
  <c r="S61" i="27"/>
  <c r="M49" i="27"/>
  <c r="P49" i="27"/>
  <c r="S49" i="27"/>
  <c r="S43" i="27"/>
  <c r="P43" i="27"/>
  <c r="I43" i="27"/>
  <c r="S41" i="27"/>
  <c r="M41" i="27"/>
  <c r="I41" i="27"/>
  <c r="P37" i="27"/>
  <c r="M35" i="27"/>
  <c r="P35" i="27"/>
  <c r="I35" i="27"/>
  <c r="M33" i="27"/>
  <c r="I33" i="27"/>
  <c r="S33" i="27"/>
  <c r="I30" i="27"/>
  <c r="M30" i="27"/>
  <c r="P30" i="27"/>
  <c r="P23" i="27"/>
  <c r="M18" i="27"/>
  <c r="I18" i="27"/>
  <c r="G46" i="73" s="1"/>
  <c r="S18" i="27"/>
  <c r="I10" i="27"/>
  <c r="G65" i="73" s="1"/>
  <c r="P8" i="27"/>
  <c r="M8" i="27"/>
  <c r="K20" i="73" s="1"/>
  <c r="S8" i="27"/>
  <c r="D21" i="29"/>
  <c r="I23" i="29"/>
  <c r="Q23" i="29" s="1"/>
  <c r="F21" i="29"/>
  <c r="F22" i="29"/>
  <c r="D23" i="29"/>
  <c r="F20" i="29"/>
  <c r="L20" i="29"/>
  <c r="D19" i="29"/>
  <c r="D20" i="29"/>
  <c r="L19" i="29"/>
  <c r="I19" i="29"/>
  <c r="I62" i="27"/>
  <c r="P62" i="27"/>
  <c r="S62" i="27"/>
  <c r="S39" i="27"/>
  <c r="I39" i="27"/>
  <c r="M39" i="27"/>
  <c r="M26" i="27"/>
  <c r="I26" i="27"/>
  <c r="S26" i="27"/>
  <c r="S21" i="27"/>
  <c r="I21" i="27"/>
  <c r="G60" i="73" s="1"/>
  <c r="G61" i="73" s="1"/>
  <c r="P21" i="27"/>
  <c r="M15" i="27"/>
  <c r="I15" i="27"/>
  <c r="G67" i="73" s="1"/>
  <c r="S15" i="27"/>
  <c r="S13" i="27"/>
  <c r="I13" i="27"/>
  <c r="G33" i="73" s="1"/>
  <c r="P13" i="27"/>
  <c r="J66" i="27"/>
  <c r="D32" i="29"/>
  <c r="L30" i="29"/>
  <c r="F30" i="29"/>
  <c r="F31" i="29"/>
  <c r="I30" i="29"/>
  <c r="Q30" i="29" s="1"/>
  <c r="L29" i="29"/>
  <c r="I28" i="29"/>
  <c r="L32" i="29"/>
  <c r="L31" i="29"/>
  <c r="I29" i="29"/>
  <c r="Q29" i="29" s="1"/>
  <c r="D29" i="29"/>
  <c r="D28" i="29"/>
  <c r="L11" i="29"/>
  <c r="J65" i="27"/>
  <c r="P5" i="27"/>
  <c r="S5" i="27"/>
  <c r="I11" i="29"/>
  <c r="Q11" i="29" s="1"/>
  <c r="F23" i="29"/>
  <c r="D30" i="29"/>
  <c r="P38" i="27"/>
  <c r="M38" i="27"/>
  <c r="S38" i="27"/>
  <c r="S27" i="27"/>
  <c r="I27" i="27"/>
  <c r="P27" i="27"/>
  <c r="M22" i="27"/>
  <c r="K10" i="73" s="1"/>
  <c r="I22" i="27"/>
  <c r="G10" i="73" s="1"/>
  <c r="S22" i="27"/>
  <c r="I11" i="27"/>
  <c r="G31" i="73" s="1"/>
  <c r="M11" i="27"/>
  <c r="K31" i="73" s="1"/>
  <c r="P11" i="27"/>
  <c r="L8" i="29"/>
  <c r="F19" i="29"/>
  <c r="O65" i="27"/>
  <c r="F6" i="29"/>
  <c r="I21" i="29"/>
  <c r="Q21" i="29" s="1"/>
  <c r="L21" i="29"/>
  <c r="M5" i="27"/>
  <c r="K7" i="73" s="1"/>
  <c r="M56" i="27"/>
  <c r="P56" i="27"/>
  <c r="S56" i="27"/>
  <c r="S25" i="27"/>
  <c r="M25" i="27"/>
  <c r="I25" i="27"/>
  <c r="M14" i="27"/>
  <c r="K34" i="73" s="1"/>
  <c r="P14" i="27"/>
  <c r="S14" i="27"/>
  <c r="S9" i="27"/>
  <c r="I9" i="27"/>
  <c r="G19" i="73" s="1"/>
  <c r="P9" i="27"/>
  <c r="I20" i="29"/>
  <c r="Q20" i="29" s="1"/>
  <c r="L65" i="27"/>
  <c r="R65" i="27"/>
  <c r="L23" i="29"/>
  <c r="L28" i="29"/>
  <c r="I32" i="29"/>
  <c r="Q32" i="29" s="1"/>
  <c r="I5" i="27"/>
  <c r="G7" i="73" s="1"/>
  <c r="F29" i="29"/>
  <c r="L7" i="29"/>
  <c r="F32" i="29"/>
  <c r="D22" i="29"/>
  <c r="S54" i="27"/>
  <c r="P54" i="27"/>
  <c r="M54" i="27"/>
  <c r="S63" i="27"/>
  <c r="I63" i="27"/>
  <c r="P63" i="27"/>
  <c r="S57" i="27"/>
  <c r="P57" i="27"/>
  <c r="I57" i="27"/>
  <c r="I56" i="27"/>
  <c r="S51" i="27"/>
  <c r="I51" i="27"/>
  <c r="M51" i="27"/>
  <c r="M50" i="27"/>
  <c r="P50" i="27"/>
  <c r="S50" i="27"/>
  <c r="I45" i="27"/>
  <c r="S45" i="27"/>
  <c r="M45" i="27"/>
  <c r="P42" i="27"/>
  <c r="M42" i="27"/>
  <c r="I42" i="27"/>
  <c r="I38" i="27"/>
  <c r="P34" i="27"/>
  <c r="M34" i="27"/>
  <c r="S34" i="27"/>
  <c r="S31" i="27"/>
  <c r="P31" i="27"/>
  <c r="I31" i="27"/>
  <c r="S28" i="27"/>
  <c r="M28" i="27"/>
  <c r="I28" i="27"/>
  <c r="M27" i="27"/>
  <c r="P25" i="27"/>
  <c r="P22" i="27"/>
  <c r="P19" i="27"/>
  <c r="I19" i="27"/>
  <c r="G47" i="73" s="1"/>
  <c r="S19" i="27"/>
  <c r="S17" i="27"/>
  <c r="I17" i="27"/>
  <c r="G45" i="73" s="1"/>
  <c r="P17" i="27"/>
  <c r="I14" i="27"/>
  <c r="G34" i="73" s="1"/>
  <c r="S11" i="27"/>
  <c r="M9" i="27"/>
  <c r="K19" i="73" s="1"/>
  <c r="F8" i="29"/>
  <c r="I55" i="27"/>
  <c r="D10" i="29"/>
  <c r="F11" i="29"/>
  <c r="F9" i="29"/>
  <c r="L6" i="29"/>
  <c r="I6" i="29"/>
  <c r="D6" i="29"/>
  <c r="I64" i="27"/>
  <c r="M55" i="27"/>
  <c r="I9" i="29"/>
  <c r="Q9" i="29" s="1"/>
  <c r="K38" i="73" l="1"/>
  <c r="K41" i="73" s="1"/>
  <c r="G38" i="73"/>
  <c r="G41" i="73" s="1"/>
  <c r="F78" i="73"/>
  <c r="K66" i="73"/>
  <c r="H12" i="73"/>
  <c r="G51" i="73"/>
  <c r="I78" i="73"/>
  <c r="K47" i="73"/>
  <c r="K76" i="73"/>
  <c r="K81" i="73"/>
  <c r="K82" i="73"/>
  <c r="K46" i="73"/>
  <c r="I41" i="73"/>
  <c r="K68" i="73"/>
  <c r="G27" i="73"/>
  <c r="K77" i="73"/>
  <c r="K50" i="73"/>
  <c r="K80" i="73"/>
  <c r="G12" i="73"/>
  <c r="K27" i="73"/>
  <c r="K12" i="73"/>
  <c r="G69" i="73"/>
  <c r="H69" i="73"/>
  <c r="K65" i="73"/>
  <c r="F51" i="73"/>
  <c r="H83" i="73"/>
  <c r="K79" i="73"/>
  <c r="H51" i="73"/>
  <c r="K45" i="73"/>
  <c r="K75" i="73"/>
  <c r="H78" i="73"/>
  <c r="H27" i="73"/>
  <c r="H56" i="73"/>
  <c r="K55" i="73"/>
  <c r="K56" i="73" s="1"/>
  <c r="I51" i="73"/>
  <c r="G77" i="73"/>
  <c r="G82" i="73"/>
  <c r="G81" i="73"/>
  <c r="G76" i="73"/>
  <c r="G80" i="73"/>
  <c r="G75" i="73"/>
  <c r="G79" i="73"/>
  <c r="I12" i="73"/>
  <c r="I69" i="73"/>
  <c r="F83" i="73"/>
  <c r="I83" i="73"/>
  <c r="K48" i="73"/>
  <c r="H41" i="73"/>
  <c r="F12" i="73"/>
  <c r="K67" i="73"/>
  <c r="I27" i="73"/>
  <c r="F27" i="73"/>
  <c r="H61" i="73"/>
  <c r="K60" i="73"/>
  <c r="K61" i="73" s="1"/>
  <c r="F69" i="73"/>
  <c r="F41" i="73"/>
  <c r="F12" i="29"/>
  <c r="D12" i="29"/>
  <c r="M8" i="29"/>
  <c r="M30" i="29"/>
  <c r="E7" i="29"/>
  <c r="N28" i="29"/>
  <c r="M31" i="29"/>
  <c r="M10" i="29"/>
  <c r="M22" i="29"/>
  <c r="J7" i="29"/>
  <c r="M23" i="29"/>
  <c r="M7" i="29"/>
  <c r="D33" i="29"/>
  <c r="M32" i="29"/>
  <c r="N31" i="29"/>
  <c r="J31" i="29"/>
  <c r="E31" i="29"/>
  <c r="R31" i="29"/>
  <c r="D24" i="29"/>
  <c r="E22" i="29"/>
  <c r="J22" i="29"/>
  <c r="R22" i="29"/>
  <c r="N22" i="29"/>
  <c r="R10" i="29"/>
  <c r="J10" i="29"/>
  <c r="N10" i="29"/>
  <c r="E10" i="29"/>
  <c r="E9" i="29"/>
  <c r="N9" i="29"/>
  <c r="R9" i="29"/>
  <c r="J9" i="29"/>
  <c r="N8" i="29"/>
  <c r="J8" i="29"/>
  <c r="E8" i="29"/>
  <c r="R8" i="29"/>
  <c r="J29" i="29"/>
  <c r="N29" i="29"/>
  <c r="E29" i="29"/>
  <c r="R29" i="29"/>
  <c r="L33" i="29"/>
  <c r="M28" i="29"/>
  <c r="J6" i="29"/>
  <c r="R6" i="29"/>
  <c r="E6" i="29"/>
  <c r="N6" i="29"/>
  <c r="P66" i="27"/>
  <c r="P65" i="27"/>
  <c r="I33" i="29"/>
  <c r="Q33" i="29" s="1"/>
  <c r="Q28" i="29"/>
  <c r="J30" i="29"/>
  <c r="R30" i="29"/>
  <c r="E30" i="29"/>
  <c r="N30" i="29"/>
  <c r="Q19" i="29"/>
  <c r="I24" i="29"/>
  <c r="Q24" i="29" s="1"/>
  <c r="M20" i="29"/>
  <c r="E21" i="29"/>
  <c r="J21" i="29"/>
  <c r="R21" i="29"/>
  <c r="N21" i="29"/>
  <c r="N7" i="29"/>
  <c r="S66" i="27"/>
  <c r="S65" i="27"/>
  <c r="E11" i="29"/>
  <c r="R11" i="29"/>
  <c r="N11" i="29"/>
  <c r="J11" i="29"/>
  <c r="M65" i="27"/>
  <c r="M66" i="27"/>
  <c r="J23" i="29"/>
  <c r="N23" i="29"/>
  <c r="E23" i="29"/>
  <c r="R23" i="29"/>
  <c r="M29" i="29"/>
  <c r="M19" i="29"/>
  <c r="L24" i="29"/>
  <c r="N20" i="29"/>
  <c r="E20" i="29"/>
  <c r="R20" i="29"/>
  <c r="J20" i="29"/>
  <c r="F33" i="29"/>
  <c r="G28" i="29" s="1"/>
  <c r="M6" i="29"/>
  <c r="L12" i="29"/>
  <c r="I66" i="27"/>
  <c r="I65" i="27"/>
  <c r="Q6" i="29"/>
  <c r="I12" i="29"/>
  <c r="D39" i="75" s="1"/>
  <c r="B12" i="65" s="1"/>
  <c r="J32" i="29"/>
  <c r="E32" i="29"/>
  <c r="R32" i="29"/>
  <c r="N32" i="29"/>
  <c r="M21" i="29"/>
  <c r="F24" i="29"/>
  <c r="G20" i="29" s="1"/>
  <c r="E19" i="29"/>
  <c r="N19" i="29"/>
  <c r="J19" i="29"/>
  <c r="R19" i="29"/>
  <c r="M11" i="29"/>
  <c r="E28" i="29"/>
  <c r="M9" i="29"/>
  <c r="J28" i="29"/>
  <c r="I85" i="73" l="1"/>
  <c r="F85" i="73"/>
  <c r="H71" i="73"/>
  <c r="H85" i="73"/>
  <c r="K78" i="73"/>
  <c r="K83" i="73"/>
  <c r="G83" i="73"/>
  <c r="G78" i="73"/>
  <c r="K69" i="73"/>
  <c r="K51" i="73"/>
  <c r="I71" i="73"/>
  <c r="F71" i="73"/>
  <c r="G71" i="73"/>
  <c r="E12" i="29"/>
  <c r="G19" i="29"/>
  <c r="J24" i="29"/>
  <c r="R24" i="29"/>
  <c r="E33" i="29"/>
  <c r="M24" i="29"/>
  <c r="G23" i="29"/>
  <c r="R33" i="29"/>
  <c r="J33" i="29"/>
  <c r="E24" i="29"/>
  <c r="G21" i="29"/>
  <c r="G30" i="29"/>
  <c r="N33" i="29"/>
  <c r="M12" i="29"/>
  <c r="E15" i="29"/>
  <c r="G7" i="29"/>
  <c r="G8" i="29"/>
  <c r="G32" i="29"/>
  <c r="G6" i="29"/>
  <c r="G29" i="29"/>
  <c r="G22" i="29"/>
  <c r="I15" i="29"/>
  <c r="Q12" i="29"/>
  <c r="R15" i="29"/>
  <c r="R12" i="29"/>
  <c r="G31" i="29"/>
  <c r="N12" i="29"/>
  <c r="G9" i="29"/>
  <c r="N24" i="29"/>
  <c r="G11" i="29"/>
  <c r="J12" i="29"/>
  <c r="M33" i="29"/>
  <c r="G10" i="29"/>
  <c r="K85" i="73" l="1"/>
  <c r="K71" i="73"/>
  <c r="G85" i="73"/>
  <c r="G33" i="29"/>
  <c r="G24" i="29"/>
  <c r="G12" i="29"/>
  <c r="O16" i="72"/>
  <c r="AM16" i="72" s="1"/>
  <c r="O22" i="72" l="1"/>
  <c r="O25" i="72" s="1"/>
  <c r="J4" i="66"/>
  <c r="BW8" i="50"/>
  <c r="BW140" i="50" s="1"/>
  <c r="AO144" i="50"/>
  <c r="BM144" i="50"/>
  <c r="AS144" i="50"/>
  <c r="BA144" i="50"/>
  <c r="AK144" i="50"/>
  <c r="AW144" i="50"/>
  <c r="BU144" i="50"/>
  <c r="BQ144" i="50"/>
  <c r="AM22" i="72" l="1"/>
  <c r="BW165" i="50"/>
  <c r="O8" i="50"/>
  <c r="S3" i="66"/>
  <c r="W3" i="66"/>
  <c r="FS8" i="50"/>
  <c r="O3" i="66"/>
  <c r="AG165" i="50"/>
  <c r="BE144" i="50"/>
  <c r="BI165" i="50"/>
  <c r="R8" i="50"/>
  <c r="Q8" i="50" a="1"/>
  <c r="Q8" i="50" s="1"/>
  <c r="P8" i="50" a="1"/>
  <c r="P8" i="50" s="1"/>
  <c r="AU165" i="50"/>
  <c r="FS165" i="50" l="1"/>
  <c r="Q165" i="50"/>
  <c r="P165" i="50"/>
  <c r="O165" i="50"/>
  <c r="M8" i="50"/>
  <c r="M165" i="50" l="1"/>
  <c r="CY32" i="50" l="1"/>
  <c r="CY140" i="50" s="1"/>
  <c r="O32" i="50" l="1"/>
  <c r="R32" i="50"/>
  <c r="P32" i="50" a="1"/>
  <c r="P32" i="50" s="1"/>
  <c r="Q32" i="50" a="1"/>
  <c r="Q32" i="50" s="1"/>
  <c r="FS32" i="50"/>
  <c r="CY147" i="50"/>
  <c r="M32" i="50" l="1"/>
  <c r="DM90" i="50" l="1"/>
  <c r="DM140" i="50" s="1"/>
  <c r="BQ157" i="50"/>
  <c r="BE171" i="50"/>
  <c r="CG157" i="50"/>
  <c r="Y171" i="50"/>
  <c r="AK171" i="50"/>
  <c r="CO171" i="50"/>
  <c r="Y157" i="50"/>
  <c r="CC157" i="50"/>
  <c r="CC171" i="50"/>
  <c r="BA157" i="50"/>
  <c r="BA171" i="50"/>
  <c r="CW171" i="50"/>
  <c r="BY171" i="50"/>
  <c r="CO147" i="50"/>
  <c r="U141" i="50"/>
  <c r="V141" i="50" s="1"/>
  <c r="W141" i="50" s="1"/>
  <c r="X141" i="50" s="1"/>
  <c r="AC171" i="50"/>
  <c r="AC157" i="50"/>
  <c r="CW157" i="50"/>
  <c r="BQ171" i="50"/>
  <c r="U144" i="50"/>
  <c r="AO171" i="50"/>
  <c r="CW144" i="50"/>
  <c r="DA171" i="50"/>
  <c r="AS171" i="50"/>
  <c r="AS157" i="50"/>
  <c r="CS157" i="50"/>
  <c r="Y144" i="50"/>
  <c r="BM171" i="50"/>
  <c r="AO157" i="50"/>
  <c r="BU171" i="50"/>
  <c r="BU157" i="50"/>
  <c r="CG171" i="50"/>
  <c r="BM157" i="50"/>
  <c r="AC144" i="50"/>
  <c r="U171" i="50"/>
  <c r="DA144" i="50"/>
  <c r="BE157" i="50"/>
  <c r="AK157" i="50"/>
  <c r="K19" i="36"/>
  <c r="AW157" i="50"/>
  <c r="U157" i="50"/>
  <c r="O90" i="50" l="1"/>
  <c r="FS90" i="50"/>
  <c r="BI168" i="50"/>
  <c r="BI171" i="50" s="1"/>
  <c r="BW151" i="50"/>
  <c r="H53" i="36" s="1"/>
  <c r="BY157" i="50"/>
  <c r="CK151" i="50"/>
  <c r="I53" i="36" s="1"/>
  <c r="DM157" i="50"/>
  <c r="DM161" i="50" s="1"/>
  <c r="R151" i="50"/>
  <c r="K54" i="36"/>
  <c r="BI151" i="50"/>
  <c r="G53" i="36" s="1"/>
  <c r="AU151" i="50"/>
  <c r="F53" i="36" s="1"/>
  <c r="AG168" i="50"/>
  <c r="BW168" i="50"/>
  <c r="BW171" i="50" s="1"/>
  <c r="CO157" i="50"/>
  <c r="CY151" i="50"/>
  <c r="J53" i="36" s="1"/>
  <c r="CY168" i="50"/>
  <c r="CY171" i="50" s="1"/>
  <c r="CS171" i="50"/>
  <c r="R90" i="50"/>
  <c r="Q90" i="50" a="1"/>
  <c r="Q90" i="50" s="1"/>
  <c r="Q168" i="50" s="1"/>
  <c r="P90" i="50" a="1"/>
  <c r="P90" i="50" s="1"/>
  <c r="AW171" i="50"/>
  <c r="DA157" i="50"/>
  <c r="M3" i="66"/>
  <c r="CS144" i="50"/>
  <c r="CS147" i="50"/>
  <c r="CG144" i="50"/>
  <c r="DM168" i="50"/>
  <c r="CK168" i="50"/>
  <c r="CK171" i="50" s="1"/>
  <c r="Y141" i="50"/>
  <c r="Z141" i="50" s="1"/>
  <c r="AA141" i="50" s="1"/>
  <c r="AB141" i="50" s="1"/>
  <c r="AC141" i="50" s="1"/>
  <c r="AD141" i="50" s="1"/>
  <c r="AE141" i="50" s="1"/>
  <c r="AF141" i="50" s="1"/>
  <c r="AI141" i="50" s="1"/>
  <c r="AJ141" i="50" s="1"/>
  <c r="AK141" i="50" s="1"/>
  <c r="AL141" i="50" s="1"/>
  <c r="AM141" i="50" s="1"/>
  <c r="AN141" i="50" s="1"/>
  <c r="AO141" i="50" s="1"/>
  <c r="AP141" i="50" s="1"/>
  <c r="AQ141" i="50" s="1"/>
  <c r="AR141" i="50" s="1"/>
  <c r="AS141" i="50" s="1"/>
  <c r="AT141" i="50" s="1"/>
  <c r="AW141" i="50" s="1"/>
  <c r="AX141" i="50" s="1"/>
  <c r="AY141" i="50" s="1"/>
  <c r="AZ141" i="50" s="1"/>
  <c r="BA141" i="50" s="1"/>
  <c r="BB141" i="50" s="1"/>
  <c r="BC141" i="50" s="1"/>
  <c r="BD141" i="50" s="1"/>
  <c r="BE141" i="50" s="1"/>
  <c r="BF141" i="50" s="1"/>
  <c r="BG141" i="50" s="1"/>
  <c r="BH141" i="50" s="1"/>
  <c r="BK141" i="50" s="1"/>
  <c r="BL141" i="50" s="1"/>
  <c r="BM141" i="50" s="1"/>
  <c r="BN141" i="50" s="1"/>
  <c r="BO141" i="50" s="1"/>
  <c r="BP141" i="50" s="1"/>
  <c r="BQ141" i="50" s="1"/>
  <c r="BR141" i="50" s="1"/>
  <c r="BS141" i="50" s="1"/>
  <c r="BT141" i="50" s="1"/>
  <c r="BU141" i="50" s="1"/>
  <c r="BV141" i="50" s="1"/>
  <c r="BY141" i="50" s="1"/>
  <c r="BZ141" i="50" s="1"/>
  <c r="CA141" i="50" s="1"/>
  <c r="CB141" i="50" s="1"/>
  <c r="CC141" i="50" s="1"/>
  <c r="CD141" i="50" s="1"/>
  <c r="CE141" i="50" s="1"/>
  <c r="CF141" i="50" s="1"/>
  <c r="CG141" i="50" s="1"/>
  <c r="CH141" i="50" s="1"/>
  <c r="CI141" i="50" s="1"/>
  <c r="CJ141" i="50" s="1"/>
  <c r="CM141" i="50" s="1"/>
  <c r="CN141" i="50" s="1"/>
  <c r="CO141" i="50" s="1"/>
  <c r="CP141" i="50" s="1"/>
  <c r="CQ141" i="50" s="1"/>
  <c r="CR141" i="50" s="1"/>
  <c r="CS141" i="50" s="1"/>
  <c r="CT141" i="50" s="1"/>
  <c r="CU141" i="50" s="1"/>
  <c r="CV141" i="50" s="1"/>
  <c r="CW141" i="50" s="1"/>
  <c r="CX141" i="50" s="1"/>
  <c r="DA141" i="50" s="1"/>
  <c r="DB141" i="50" s="1"/>
  <c r="DC141" i="50" s="1"/>
  <c r="DD141" i="50" s="1"/>
  <c r="DE141" i="50" s="1"/>
  <c r="DF141" i="50" s="1"/>
  <c r="DG141" i="50" s="1"/>
  <c r="DH141" i="50" s="1"/>
  <c r="DI141" i="50" s="1"/>
  <c r="DJ141" i="50" s="1"/>
  <c r="DK141" i="50" s="1"/>
  <c r="CW147" i="50"/>
  <c r="AU168" i="50"/>
  <c r="AU171" i="50" s="1"/>
  <c r="CO144" i="50"/>
  <c r="FS168" i="50" l="1"/>
  <c r="M168" i="50" s="1"/>
  <c r="P168" i="50"/>
  <c r="P151" i="50"/>
  <c r="Q151" i="50"/>
  <c r="O151" i="50"/>
  <c r="E19" i="36"/>
  <c r="C2" i="53" s="1"/>
  <c r="FS151" i="50"/>
  <c r="M151" i="50" s="1"/>
  <c r="DL141" i="50"/>
  <c r="DO141" i="50" s="1"/>
  <c r="DP141" i="50" s="1"/>
  <c r="DQ141" i="50" s="1"/>
  <c r="DR141" i="50" s="1"/>
  <c r="DS141" i="50" s="1"/>
  <c r="DT141" i="50" s="1"/>
  <c r="DU141" i="50" s="1"/>
  <c r="DV141" i="50" s="1"/>
  <c r="DW141" i="50" s="1"/>
  <c r="DX141" i="50" s="1"/>
  <c r="DY141" i="50" s="1"/>
  <c r="DZ141" i="50" s="1"/>
  <c r="EC141" i="50" s="1"/>
  <c r="ED141" i="50" s="1"/>
  <c r="EE141" i="50" s="1"/>
  <c r="EF141" i="50" s="1"/>
  <c r="EG141" i="50" s="1"/>
  <c r="EH141" i="50" s="1"/>
  <c r="EI141" i="50" s="1"/>
  <c r="EJ141" i="50" s="1"/>
  <c r="EK141" i="50" s="1"/>
  <c r="EL141" i="50" s="1"/>
  <c r="EM141" i="50" s="1"/>
  <c r="EQ141" i="50" s="1"/>
  <c r="ER141" i="50" s="1"/>
  <c r="ES141" i="50" s="1"/>
  <c r="ET141" i="50" s="1"/>
  <c r="EU141" i="50" s="1"/>
  <c r="EV141" i="50" s="1"/>
  <c r="EW141" i="50" s="1"/>
  <c r="EX141" i="50" s="1"/>
  <c r="EY141" i="50" s="1"/>
  <c r="EZ141" i="50" s="1"/>
  <c r="FA141" i="50" s="1"/>
  <c r="FB141" i="50" s="1"/>
  <c r="FE141" i="50" s="1"/>
  <c r="FF141" i="50" s="1"/>
  <c r="FG141" i="50" s="1"/>
  <c r="FH141" i="50" s="1"/>
  <c r="FI141" i="50" s="1"/>
  <c r="FJ141" i="50" s="1"/>
  <c r="FK141" i="50" s="1"/>
  <c r="FL141" i="50" s="1"/>
  <c r="FM141" i="50" s="1"/>
  <c r="FN141" i="50" s="1"/>
  <c r="FO141" i="50" s="1"/>
  <c r="FP141" i="50" s="1"/>
  <c r="M90" i="50"/>
  <c r="BW157" i="50"/>
  <c r="BW161" i="50" s="1"/>
  <c r="AG157" i="50"/>
  <c r="AG161" i="50" s="1"/>
  <c r="AG171" i="50"/>
  <c r="O168" i="50"/>
  <c r="O171" i="50" s="1"/>
  <c r="BI157" i="50"/>
  <c r="BI161" i="50" s="1"/>
  <c r="CK157" i="50"/>
  <c r="CK161" i="50" s="1"/>
  <c r="AU157" i="50"/>
  <c r="AU161" i="50" s="1"/>
  <c r="CY157" i="50"/>
  <c r="CY161" i="50" s="1"/>
  <c r="R157" i="50"/>
  <c r="K3" i="66"/>
  <c r="C74" i="53"/>
  <c r="C84" i="53"/>
  <c r="C82" i="53"/>
  <c r="C78" i="53"/>
  <c r="C77" i="53"/>
  <c r="C80" i="53"/>
  <c r="C79" i="53"/>
  <c r="C76" i="53"/>
  <c r="C83" i="53"/>
  <c r="C81" i="53"/>
  <c r="K20" i="36"/>
  <c r="C75" i="53"/>
  <c r="C85" i="53"/>
  <c r="K23" i="36"/>
  <c r="K24" i="36" s="1"/>
  <c r="R171" i="50"/>
  <c r="DM171" i="50"/>
  <c r="C10" i="53" l="1"/>
  <c r="I10" i="53" s="1"/>
  <c r="E10" i="53" s="1"/>
  <c r="C11" i="53"/>
  <c r="I11" i="53" s="1"/>
  <c r="E11" i="53" s="1"/>
  <c r="C6" i="53"/>
  <c r="I6" i="53" s="1"/>
  <c r="E6" i="53" s="1"/>
  <c r="C9" i="53"/>
  <c r="I9" i="53" s="1"/>
  <c r="E9" i="53" s="1"/>
  <c r="C12" i="53"/>
  <c r="I12" i="53" s="1"/>
  <c r="E12" i="53" s="1"/>
  <c r="C8" i="53"/>
  <c r="I8" i="53" s="1"/>
  <c r="E8" i="53" s="1"/>
  <c r="E20" i="36"/>
  <c r="E23" i="36"/>
  <c r="E24" i="36" s="1"/>
  <c r="C4" i="53"/>
  <c r="I4" i="53" s="1"/>
  <c r="C13" i="53"/>
  <c r="I13" i="53" s="1"/>
  <c r="E13" i="53" s="1"/>
  <c r="C7" i="53"/>
  <c r="I7" i="53" s="1"/>
  <c r="C3" i="53"/>
  <c r="I3" i="53" s="1"/>
  <c r="E3" i="53" s="1"/>
  <c r="C5" i="53"/>
  <c r="I5" i="53" s="1"/>
  <c r="E5" i="53" s="1"/>
  <c r="E54" i="36"/>
  <c r="M161" i="50"/>
  <c r="H54" i="36"/>
  <c r="H19" i="36"/>
  <c r="I2" i="53"/>
  <c r="I83" i="53"/>
  <c r="I74" i="53"/>
  <c r="E74" i="53" s="1"/>
  <c r="I76" i="53"/>
  <c r="E76" i="53" s="1"/>
  <c r="I79" i="53"/>
  <c r="E79" i="53" s="1"/>
  <c r="M157" i="50"/>
  <c r="FS157" i="50"/>
  <c r="P157" i="50"/>
  <c r="I3" i="66"/>
  <c r="M171" i="50"/>
  <c r="FS171" i="50"/>
  <c r="I80" i="53"/>
  <c r="E80" i="53" s="1"/>
  <c r="O157" i="50"/>
  <c r="H3" i="66"/>
  <c r="I85" i="53"/>
  <c r="E85" i="53" s="1"/>
  <c r="I77" i="53"/>
  <c r="J54" i="36"/>
  <c r="J19" i="36"/>
  <c r="I54" i="36"/>
  <c r="I19" i="36"/>
  <c r="J3" i="66"/>
  <c r="Q157" i="50"/>
  <c r="G54" i="36"/>
  <c r="G19" i="36"/>
  <c r="I81" i="53"/>
  <c r="E81" i="53" s="1"/>
  <c r="I84" i="53"/>
  <c r="E84" i="53" s="1"/>
  <c r="I75" i="53"/>
  <c r="E75" i="53" s="1"/>
  <c r="I78" i="53"/>
  <c r="E78" i="53" s="1"/>
  <c r="M1" i="73"/>
  <c r="B3" i="73" s="1"/>
  <c r="F54" i="36"/>
  <c r="F19" i="36"/>
  <c r="W53" i="36"/>
  <c r="I82" i="53"/>
  <c r="E82" i="53" s="1"/>
  <c r="C45" i="53" l="1"/>
  <c r="C49" i="53"/>
  <c r="C39" i="53"/>
  <c r="H23" i="36"/>
  <c r="H24" i="36" s="1"/>
  <c r="C46" i="53"/>
  <c r="C40" i="53"/>
  <c r="C48" i="53"/>
  <c r="H20" i="36"/>
  <c r="C44" i="53"/>
  <c r="I44" i="53" s="1"/>
  <c r="C47" i="53"/>
  <c r="C43" i="53"/>
  <c r="C38" i="53"/>
  <c r="I38" i="53" s="1"/>
  <c r="C41" i="53"/>
  <c r="C42" i="53"/>
  <c r="H4" i="53"/>
  <c r="G4" i="53"/>
  <c r="J4" i="53"/>
  <c r="G77" i="53"/>
  <c r="H77" i="53"/>
  <c r="J7" i="53"/>
  <c r="H7" i="53"/>
  <c r="G7" i="53"/>
  <c r="I20" i="36"/>
  <c r="C60" i="53"/>
  <c r="C54" i="53"/>
  <c r="C52" i="53"/>
  <c r="C56" i="53"/>
  <c r="C59" i="53"/>
  <c r="C51" i="53"/>
  <c r="C58" i="53"/>
  <c r="C55" i="53"/>
  <c r="I23" i="36"/>
  <c r="I24" i="36" s="1"/>
  <c r="C50" i="53"/>
  <c r="C61" i="53"/>
  <c r="C57" i="53"/>
  <c r="C53" i="53"/>
  <c r="G80" i="53"/>
  <c r="H80" i="53"/>
  <c r="H74" i="53"/>
  <c r="J74" i="53"/>
  <c r="G74" i="53"/>
  <c r="E7" i="53"/>
  <c r="G2" i="53"/>
  <c r="J2" i="53"/>
  <c r="H2" i="53"/>
  <c r="H78" i="53"/>
  <c r="G78" i="53"/>
  <c r="G83" i="53"/>
  <c r="H83" i="53"/>
  <c r="E2" i="53"/>
  <c r="F2" i="53" s="1"/>
  <c r="J12" i="53"/>
  <c r="G12" i="53"/>
  <c r="H12" i="53"/>
  <c r="G20" i="36"/>
  <c r="C29" i="53"/>
  <c r="C26" i="53"/>
  <c r="C30" i="53"/>
  <c r="C27" i="53"/>
  <c r="C36" i="53"/>
  <c r="C34" i="53"/>
  <c r="C37" i="53"/>
  <c r="C32" i="53"/>
  <c r="C35" i="53"/>
  <c r="G23" i="36"/>
  <c r="G24" i="36" s="1"/>
  <c r="C33" i="53"/>
  <c r="C31" i="53"/>
  <c r="C28" i="53"/>
  <c r="J23" i="36"/>
  <c r="J24" i="36" s="1"/>
  <c r="J20" i="36"/>
  <c r="C63" i="53"/>
  <c r="C65" i="53"/>
  <c r="C70" i="53"/>
  <c r="C68" i="53"/>
  <c r="C66" i="53"/>
  <c r="C71" i="53"/>
  <c r="C62" i="53"/>
  <c r="C72" i="53"/>
  <c r="C64" i="53"/>
  <c r="C73" i="53"/>
  <c r="C69" i="53"/>
  <c r="C67" i="53"/>
  <c r="E83" i="53"/>
  <c r="C14" i="53"/>
  <c r="C23" i="53"/>
  <c r="C22" i="53"/>
  <c r="F23" i="36"/>
  <c r="C24" i="53"/>
  <c r="F20" i="36"/>
  <c r="C19" i="53"/>
  <c r="C20" i="53"/>
  <c r="C15" i="53"/>
  <c r="C17" i="53"/>
  <c r="C16" i="53"/>
  <c r="C21" i="53"/>
  <c r="C25" i="53"/>
  <c r="C18" i="53"/>
  <c r="W19" i="36"/>
  <c r="W20" i="36" s="1"/>
  <c r="H8" i="53"/>
  <c r="J8" i="53"/>
  <c r="G8" i="53"/>
  <c r="H76" i="53"/>
  <c r="G76" i="53"/>
  <c r="G6" i="53"/>
  <c r="J6" i="53"/>
  <c r="H6" i="53"/>
  <c r="H5" i="53"/>
  <c r="G5" i="53"/>
  <c r="J5" i="53"/>
  <c r="G85" i="53"/>
  <c r="H85" i="53"/>
  <c r="G82" i="53"/>
  <c r="H82" i="53"/>
  <c r="G75" i="53"/>
  <c r="H75" i="53"/>
  <c r="H84" i="53"/>
  <c r="G84" i="53"/>
  <c r="G81" i="53"/>
  <c r="H81" i="53"/>
  <c r="H13" i="53"/>
  <c r="G13" i="53"/>
  <c r="J13" i="53"/>
  <c r="H9" i="53"/>
  <c r="J9" i="53"/>
  <c r="G9" i="53"/>
  <c r="J11" i="53"/>
  <c r="G11" i="53"/>
  <c r="H11" i="53"/>
  <c r="E4" i="53"/>
  <c r="E77" i="53"/>
  <c r="H10" i="53"/>
  <c r="J10" i="53"/>
  <c r="G10" i="53"/>
  <c r="G79" i="53"/>
  <c r="H79" i="53"/>
  <c r="J3" i="53"/>
  <c r="G3" i="53"/>
  <c r="H3" i="53"/>
  <c r="F3" i="53" l="1"/>
  <c r="F4" i="53" s="1"/>
  <c r="I48" i="53"/>
  <c r="E48" i="53" s="1"/>
  <c r="I42" i="53"/>
  <c r="E42" i="53" s="1"/>
  <c r="I40" i="53"/>
  <c r="I41" i="53"/>
  <c r="E41" i="53" s="1"/>
  <c r="I46" i="53"/>
  <c r="E46" i="53" s="1"/>
  <c r="E38" i="53"/>
  <c r="G38" i="53"/>
  <c r="J38" i="53"/>
  <c r="H38" i="53"/>
  <c r="I43" i="53"/>
  <c r="E43" i="53" s="1"/>
  <c r="I39" i="53"/>
  <c r="E39" i="53" s="1"/>
  <c r="I47" i="53"/>
  <c r="E47" i="53" s="1"/>
  <c r="I49" i="53"/>
  <c r="E49" i="53" s="1"/>
  <c r="E44" i="53"/>
  <c r="J44" i="53"/>
  <c r="G44" i="53"/>
  <c r="H44" i="53"/>
  <c r="I45" i="53"/>
  <c r="E45" i="53" s="1"/>
  <c r="I18" i="53"/>
  <c r="E18" i="53" s="1"/>
  <c r="I67" i="53"/>
  <c r="E67" i="53" s="1"/>
  <c r="I68" i="53"/>
  <c r="I33" i="53"/>
  <c r="I30" i="53"/>
  <c r="E30" i="53" s="1"/>
  <c r="I60" i="53"/>
  <c r="I25" i="53"/>
  <c r="E25" i="53" s="1"/>
  <c r="I24" i="53"/>
  <c r="E24" i="53" s="1"/>
  <c r="I69" i="53"/>
  <c r="E69" i="53" s="1"/>
  <c r="I70" i="53"/>
  <c r="I26" i="53"/>
  <c r="E26" i="53" s="1"/>
  <c r="I55" i="53"/>
  <c r="E55" i="53" s="1"/>
  <c r="I21" i="53"/>
  <c r="E21" i="53" s="1"/>
  <c r="F24" i="36"/>
  <c r="W23" i="36"/>
  <c r="W24" i="36" s="1"/>
  <c r="I73" i="53"/>
  <c r="E73" i="53" s="1"/>
  <c r="I65" i="53"/>
  <c r="E65" i="53" s="1"/>
  <c r="I35" i="53"/>
  <c r="E35" i="53" s="1"/>
  <c r="I29" i="53"/>
  <c r="E29" i="53" s="1"/>
  <c r="I58" i="53"/>
  <c r="I16" i="53"/>
  <c r="E16" i="53" s="1"/>
  <c r="I22" i="53"/>
  <c r="E22" i="53" s="1"/>
  <c r="I64" i="53"/>
  <c r="E64" i="53" s="1"/>
  <c r="I63" i="53"/>
  <c r="E63" i="53" s="1"/>
  <c r="I32" i="53"/>
  <c r="E32" i="53" s="1"/>
  <c r="I51" i="53"/>
  <c r="E51" i="53" s="1"/>
  <c r="I17" i="53"/>
  <c r="E17" i="53" s="1"/>
  <c r="I23" i="53"/>
  <c r="E23" i="53" s="1"/>
  <c r="I72" i="53"/>
  <c r="E72" i="53" s="1"/>
  <c r="I37" i="53"/>
  <c r="E37" i="53" s="1"/>
  <c r="I53" i="53"/>
  <c r="E53" i="53" s="1"/>
  <c r="I59" i="53"/>
  <c r="E59" i="53" s="1"/>
  <c r="I15" i="53"/>
  <c r="E15" i="53" s="1"/>
  <c r="I14" i="53"/>
  <c r="E14" i="53" s="1"/>
  <c r="I62" i="53"/>
  <c r="E62" i="53" s="1"/>
  <c r="I34" i="53"/>
  <c r="E34" i="53" s="1"/>
  <c r="I57" i="53"/>
  <c r="I56" i="53"/>
  <c r="I20" i="53"/>
  <c r="E20" i="53" s="1"/>
  <c r="I71" i="53"/>
  <c r="E71" i="53" s="1"/>
  <c r="I28" i="53"/>
  <c r="E28" i="53" s="1"/>
  <c r="I36" i="53"/>
  <c r="E36" i="53" s="1"/>
  <c r="I61" i="53"/>
  <c r="E61" i="53" s="1"/>
  <c r="I52" i="53"/>
  <c r="E52" i="53" s="1"/>
  <c r="I19" i="53"/>
  <c r="E19" i="53" s="1"/>
  <c r="I66" i="53"/>
  <c r="E66" i="53" s="1"/>
  <c r="I31" i="53"/>
  <c r="I27" i="53"/>
  <c r="I50" i="53"/>
  <c r="E50" i="53" s="1"/>
  <c r="I54" i="53"/>
  <c r="F5" i="53" l="1"/>
  <c r="G43" i="53"/>
  <c r="J43" i="53"/>
  <c r="H43" i="53"/>
  <c r="G41" i="53"/>
  <c r="H41" i="53"/>
  <c r="J41" i="53"/>
  <c r="H49" i="53"/>
  <c r="J49" i="53"/>
  <c r="G49" i="53"/>
  <c r="G40" i="53"/>
  <c r="J40" i="53"/>
  <c r="H40" i="53"/>
  <c r="E40" i="53"/>
  <c r="G45" i="53"/>
  <c r="J45" i="53"/>
  <c r="H45" i="53"/>
  <c r="G47" i="53"/>
  <c r="H47" i="53"/>
  <c r="J47" i="53"/>
  <c r="G42" i="53"/>
  <c r="H42" i="53"/>
  <c r="J42" i="53"/>
  <c r="J39" i="53"/>
  <c r="G39" i="53"/>
  <c r="H39" i="53"/>
  <c r="H46" i="53"/>
  <c r="G46" i="53"/>
  <c r="J46" i="53"/>
  <c r="G48" i="53"/>
  <c r="H48" i="53"/>
  <c r="J48" i="53"/>
  <c r="J31" i="53"/>
  <c r="H31" i="53"/>
  <c r="G31" i="53"/>
  <c r="H33" i="53"/>
  <c r="J33" i="53"/>
  <c r="G33" i="53"/>
  <c r="J58" i="53"/>
  <c r="H58" i="53"/>
  <c r="G58" i="53"/>
  <c r="G54" i="53"/>
  <c r="J54" i="53"/>
  <c r="H54" i="53"/>
  <c r="G61" i="53"/>
  <c r="J61" i="53"/>
  <c r="H61" i="53"/>
  <c r="G34" i="53"/>
  <c r="H34" i="53"/>
  <c r="J34" i="53"/>
  <c r="J23" i="53"/>
  <c r="G23" i="53"/>
  <c r="H23" i="53"/>
  <c r="H63" i="53"/>
  <c r="G63" i="53"/>
  <c r="J63" i="53"/>
  <c r="E58" i="53"/>
  <c r="G73" i="53"/>
  <c r="J73" i="53"/>
  <c r="H73" i="53"/>
  <c r="H68" i="53"/>
  <c r="G68" i="53"/>
  <c r="J68" i="53"/>
  <c r="H20" i="53"/>
  <c r="J20" i="53"/>
  <c r="G20" i="53"/>
  <c r="E54" i="53"/>
  <c r="J66" i="53"/>
  <c r="H66" i="53"/>
  <c r="G66" i="53"/>
  <c r="G62" i="53"/>
  <c r="H62" i="53"/>
  <c r="J62" i="53"/>
  <c r="H29" i="53"/>
  <c r="J29" i="53"/>
  <c r="G29" i="53"/>
  <c r="H26" i="53"/>
  <c r="J26" i="53"/>
  <c r="G26" i="53"/>
  <c r="G25" i="53"/>
  <c r="H25" i="53"/>
  <c r="J25" i="53"/>
  <c r="E68" i="53"/>
  <c r="G59" i="53"/>
  <c r="J59" i="53"/>
  <c r="H59" i="53"/>
  <c r="G53" i="53"/>
  <c r="H53" i="53"/>
  <c r="J53" i="53"/>
  <c r="H17" i="53"/>
  <c r="G17" i="53"/>
  <c r="J17" i="53"/>
  <c r="H64" i="53"/>
  <c r="G64" i="53"/>
  <c r="J64" i="53"/>
  <c r="G70" i="53"/>
  <c r="H70" i="53"/>
  <c r="J70" i="53"/>
  <c r="H60" i="53"/>
  <c r="G60" i="53"/>
  <c r="J60" i="53"/>
  <c r="H36" i="53"/>
  <c r="G36" i="53"/>
  <c r="J36" i="53"/>
  <c r="H56" i="53"/>
  <c r="G56" i="53"/>
  <c r="J56" i="53"/>
  <c r="G50" i="53"/>
  <c r="H50" i="53"/>
  <c r="J50" i="53"/>
  <c r="E56" i="53"/>
  <c r="G14" i="53"/>
  <c r="J14" i="53"/>
  <c r="H14" i="53"/>
  <c r="H51" i="53"/>
  <c r="G51" i="53"/>
  <c r="J51" i="53"/>
  <c r="J22" i="53"/>
  <c r="G22" i="53"/>
  <c r="H22" i="53"/>
  <c r="E70" i="53"/>
  <c r="E60" i="53"/>
  <c r="J67" i="53"/>
  <c r="H67" i="53"/>
  <c r="G67" i="53"/>
  <c r="G27" i="53"/>
  <c r="H27" i="53"/>
  <c r="J27" i="53"/>
  <c r="G28" i="53"/>
  <c r="H28" i="53"/>
  <c r="J28" i="53"/>
  <c r="H57" i="53"/>
  <c r="J57" i="53"/>
  <c r="G57" i="53"/>
  <c r="H35" i="53"/>
  <c r="J35" i="53"/>
  <c r="G35" i="53"/>
  <c r="J37" i="53"/>
  <c r="H37" i="53"/>
  <c r="G37" i="53"/>
  <c r="H21" i="53"/>
  <c r="G21" i="53"/>
  <c r="J21" i="53"/>
  <c r="E27" i="53"/>
  <c r="J52" i="53"/>
  <c r="H52" i="53"/>
  <c r="G52" i="53"/>
  <c r="G71" i="53"/>
  <c r="J71" i="53"/>
  <c r="H71" i="53"/>
  <c r="E57" i="53"/>
  <c r="J65" i="53"/>
  <c r="G65" i="53"/>
  <c r="H65" i="53"/>
  <c r="H69" i="53"/>
  <c r="J69" i="53"/>
  <c r="G69" i="53"/>
  <c r="H30" i="53"/>
  <c r="G30" i="53"/>
  <c r="J30" i="53"/>
  <c r="J18" i="53"/>
  <c r="G18" i="53"/>
  <c r="H18" i="53"/>
  <c r="J19" i="53"/>
  <c r="G19" i="53"/>
  <c r="H19" i="53"/>
  <c r="E31" i="53"/>
  <c r="J15" i="53"/>
  <c r="G15" i="53"/>
  <c r="H15" i="53"/>
  <c r="H72" i="53"/>
  <c r="G72" i="53"/>
  <c r="J72" i="53"/>
  <c r="J32" i="53"/>
  <c r="G32" i="53"/>
  <c r="H32" i="53"/>
  <c r="J16" i="53"/>
  <c r="G16" i="53"/>
  <c r="H16" i="53"/>
  <c r="G55" i="53"/>
  <c r="H55" i="53"/>
  <c r="J55" i="53"/>
  <c r="J24" i="53"/>
  <c r="H24" i="53"/>
  <c r="G24" i="53"/>
  <c r="E33" i="53"/>
  <c r="F6" i="53" l="1"/>
  <c r="F7" i="53" s="1"/>
  <c r="F8" i="53" s="1"/>
  <c r="F9" i="53" s="1"/>
  <c r="F10" i="53" s="1"/>
  <c r="F11" i="53" s="1"/>
  <c r="F12" i="53" s="1"/>
  <c r="F13" i="53" s="1"/>
  <c r="F14" i="53" s="1"/>
  <c r="F15" i="53" s="1"/>
  <c r="F16" i="53" s="1"/>
  <c r="F17" i="53" s="1"/>
  <c r="F18" i="53" s="1"/>
  <c r="F19" i="53" s="1"/>
  <c r="F20" i="53" s="1"/>
  <c r="F21" i="53" s="1"/>
  <c r="F22" i="53" s="1"/>
  <c r="F23" i="53" s="1"/>
  <c r="F24" i="53" s="1"/>
  <c r="F25" i="53" s="1"/>
  <c r="F26" i="53" s="1"/>
  <c r="F27" i="53" s="1"/>
  <c r="F28" i="53" s="1"/>
  <c r="F29" i="53" s="1"/>
  <c r="F30" i="53" s="1"/>
  <c r="F31" i="53" s="1"/>
  <c r="F32" i="53" s="1"/>
  <c r="F33" i="53" s="1"/>
  <c r="F34" i="53" s="1"/>
  <c r="F35" i="53" s="1"/>
  <c r="F36" i="53" s="1"/>
  <c r="F37" i="53" s="1"/>
  <c r="F38" i="53" s="1"/>
  <c r="F39" i="53" s="1"/>
  <c r="F40" i="53" s="1"/>
  <c r="F41" i="53" s="1"/>
  <c r="F42" i="53" s="1"/>
  <c r="F43" i="53" s="1"/>
  <c r="F44" i="53" s="1"/>
  <c r="F45" i="53" s="1"/>
  <c r="F46" i="53" s="1"/>
  <c r="F47" i="53" s="1"/>
  <c r="F48" i="53" s="1"/>
  <c r="F49" i="53" s="1"/>
  <c r="F50" i="53" s="1"/>
  <c r="F51" i="53" s="1"/>
  <c r="F52" i="53" s="1"/>
  <c r="F53" i="53" s="1"/>
  <c r="F54" i="53" s="1"/>
  <c r="F55" i="53" s="1"/>
  <c r="F56" i="53" s="1"/>
  <c r="F57" i="53" s="1"/>
  <c r="F58" i="53" s="1"/>
  <c r="F59" i="53" s="1"/>
  <c r="F60" i="53" s="1"/>
  <c r="F61" i="53" s="1"/>
  <c r="F62" i="53" s="1"/>
  <c r="F63" i="53" s="1"/>
  <c r="F64" i="53" s="1"/>
  <c r="F65" i="53" s="1"/>
  <c r="F66" i="53" s="1"/>
  <c r="F67" i="53" s="1"/>
  <c r="F68" i="53" s="1"/>
  <c r="F69" i="53" s="1"/>
  <c r="F70" i="53" s="1"/>
  <c r="F71" i="53" s="1"/>
  <c r="F72" i="53" s="1"/>
  <c r="F73" i="53" s="1"/>
  <c r="F74" i="53" s="1"/>
  <c r="F75" i="53" s="1"/>
  <c r="F76" i="53" s="1"/>
  <c r="F77" i="53" s="1"/>
  <c r="F78" i="53" s="1"/>
  <c r="F79" i="53" s="1"/>
  <c r="F80" i="53" s="1"/>
  <c r="F81" i="53" s="1"/>
  <c r="F82" i="53" s="1"/>
  <c r="F83" i="53" s="1"/>
  <c r="F84" i="53" s="1"/>
  <c r="F85" i="53" s="1"/>
  <c r="F86" i="53" s="1"/>
  <c r="F87" i="53" s="1"/>
  <c r="F88" i="53" s="1"/>
  <c r="F89" i="53" s="1"/>
  <c r="F90" i="53" s="1"/>
  <c r="F91" i="53" s="1"/>
  <c r="F92" i="53" s="1"/>
  <c r="F93" i="53" s="1"/>
  <c r="F94" i="53" s="1"/>
  <c r="F95" i="53" s="1"/>
  <c r="F96" i="53" s="1"/>
  <c r="F97" i="53" s="1"/>
  <c r="F98" i="53" s="1"/>
  <c r="F99" i="53" s="1"/>
  <c r="F100" i="53" s="1"/>
  <c r="F101" i="53" s="1"/>
  <c r="F102" i="53" s="1"/>
  <c r="F103" i="53" s="1"/>
  <c r="F104" i="53" s="1"/>
  <c r="F105" i="53" s="1"/>
  <c r="F106" i="53" s="1"/>
  <c r="F107" i="53" s="1"/>
  <c r="F108" i="53" s="1"/>
  <c r="F109" i="53" s="1"/>
  <c r="F110" i="53" s="1"/>
  <c r="F111" i="53" s="1"/>
  <c r="F112" i="53" s="1"/>
  <c r="F113" i="53" s="1"/>
  <c r="F114" i="53" s="1"/>
  <c r="F115" i="53" s="1"/>
  <c r="F116" i="53" s="1"/>
  <c r="F117" i="53" s="1"/>
  <c r="F118" i="53" s="1"/>
  <c r="F119" i="53" s="1"/>
  <c r="F120" i="53" s="1"/>
  <c r="F121" i="53" s="1"/>
  <c r="F122" i="53" s="1"/>
  <c r="F123" i="53" s="1"/>
  <c r="F124" i="53" s="1"/>
  <c r="F125" i="53" s="1"/>
  <c r="F126" i="53" s="1"/>
  <c r="F127" i="53" s="1"/>
  <c r="F128" i="53" s="1"/>
  <c r="F129" i="53" s="1"/>
  <c r="F130" i="53" s="1"/>
  <c r="F131" i="53" s="1"/>
  <c r="F132" i="53" s="1"/>
  <c r="F133" i="53" s="1"/>
  <c r="F134" i="53" s="1"/>
  <c r="F135" i="53" s="1"/>
  <c r="F136" i="53" s="1"/>
  <c r="F137" i="53" s="1"/>
  <c r="F138" i="53" s="1"/>
  <c r="F139" i="53" s="1"/>
  <c r="F140" i="53" s="1"/>
  <c r="F141" i="53" s="1"/>
  <c r="F142" i="53" s="1"/>
  <c r="F143" i="53" s="1"/>
  <c r="F144" i="53" s="1"/>
  <c r="F145" i="53" s="1"/>
  <c r="F146" i="53" s="1"/>
  <c r="F147" i="53" s="1"/>
  <c r="F148" i="53" s="1"/>
  <c r="F149" i="53" s="1"/>
  <c r="F150" i="53" s="1"/>
  <c r="F151" i="53" s="1"/>
  <c r="F152" i="53" s="1"/>
  <c r="F153" i="53" s="1"/>
  <c r="F154" i="53" s="1"/>
  <c r="F155" i="53" s="1"/>
  <c r="F156" i="53" s="1"/>
  <c r="F157" i="53" s="1"/>
  <c r="F158" i="53" s="1"/>
  <c r="F159" i="53" s="1"/>
  <c r="F160" i="53" s="1"/>
  <c r="F161" i="53" s="1"/>
  <c r="F162" i="53" s="1"/>
  <c r="F163" i="53" s="1"/>
  <c r="F164" i="53" s="1"/>
  <c r="F165" i="53" s="1"/>
  <c r="F166" i="53" s="1"/>
  <c r="F167" i="53" s="1"/>
  <c r="F168" i="53" s="1"/>
  <c r="F169" i="53" s="1"/>
  <c r="J75" i="53" s="1"/>
  <c r="J100" i="53" l="1"/>
  <c r="J99" i="53"/>
  <c r="J98" i="53"/>
  <c r="J97" i="53"/>
  <c r="J96" i="53"/>
  <c r="J95" i="53"/>
  <c r="J94" i="53"/>
  <c r="J93" i="53"/>
  <c r="J92" i="53"/>
  <c r="J91" i="53"/>
  <c r="J90" i="53"/>
  <c r="J89" i="53"/>
  <c r="J88" i="53"/>
  <c r="J87" i="53"/>
  <c r="J86" i="53"/>
  <c r="J85" i="53"/>
  <c r="J84" i="53"/>
  <c r="J83" i="53"/>
  <c r="J82" i="53"/>
  <c r="J81" i="53"/>
  <c r="J80" i="53"/>
  <c r="J79" i="53"/>
  <c r="J78" i="53"/>
  <c r="J77" i="53"/>
  <c r="J76" i="53"/>
  <c r="EA125" i="50"/>
  <c r="O125" i="50" s="1"/>
  <c r="O140" i="50" l="1"/>
  <c r="B17" i="65" s="1"/>
  <c r="AO7" i="66"/>
  <c r="AT7" i="66"/>
  <c r="AT6" i="66"/>
  <c r="AO5" i="66"/>
  <c r="AJ4" i="66"/>
  <c r="AO4" i="66"/>
  <c r="AO6" i="66"/>
  <c r="AT3" i="66"/>
  <c r="AT5" i="66"/>
  <c r="AO3" i="66"/>
  <c r="AJ3" i="66"/>
  <c r="AJ7" i="66"/>
  <c r="AT4" i="66"/>
  <c r="AJ6" i="66"/>
  <c r="AJ5" i="66"/>
  <c r="R125" i="50"/>
  <c r="R140" i="50" s="1"/>
  <c r="P125" i="50" a="1"/>
  <c r="P125" i="50" s="1"/>
  <c r="EA140" i="50"/>
  <c r="Q125" i="50" a="1"/>
  <c r="Q125" i="50" s="1"/>
  <c r="Q166" i="50" s="1"/>
  <c r="FS125" i="50"/>
  <c r="M125" i="50" s="1"/>
  <c r="B4" i="65" l="1"/>
  <c r="AP6" i="66"/>
  <c r="AP7" i="66"/>
  <c r="AP3" i="66"/>
  <c r="AP4" i="66"/>
  <c r="AP5" i="66"/>
  <c r="P166" i="50"/>
  <c r="P171" i="50" s="1"/>
  <c r="AK3" i="66"/>
  <c r="P140" i="50"/>
  <c r="B16" i="65" s="1"/>
  <c r="AK4" i="66"/>
  <c r="M140" i="50"/>
  <c r="FS140" i="50"/>
  <c r="Q140" i="50"/>
  <c r="AL7" i="66" s="1"/>
  <c r="AL3" i="66"/>
  <c r="Q171" i="50"/>
  <c r="AV4" i="66" l="1"/>
  <c r="AL5" i="66"/>
  <c r="AV7" i="66"/>
  <c r="AV6" i="66"/>
  <c r="AL6" i="66"/>
  <c r="AV5" i="66"/>
  <c r="AV3" i="66"/>
  <c r="AL4" i="66"/>
  <c r="AK7" i="66"/>
  <c r="D28" i="75" a="1"/>
  <c r="D28" i="75" s="1"/>
  <c r="G28" i="75" s="1"/>
  <c r="F28" i="75" s="1"/>
  <c r="B13" i="65"/>
  <c r="AK5" i="66"/>
  <c r="D29" i="75"/>
  <c r="F29" i="75" s="1"/>
  <c r="B14" i="65"/>
  <c r="AU3" i="66"/>
  <c r="AU7" i="66"/>
  <c r="AU4" i="66"/>
  <c r="AU6" i="66"/>
  <c r="D30" i="75"/>
  <c r="F30" i="75" s="1"/>
  <c r="AK6" i="66"/>
  <c r="AU5" i="6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karolina.kowalski</author>
    <author>craig.moonen</author>
    <author>spencer.shandro</author>
    <author>alphonsus.liu</author>
  </authors>
  <commentList>
    <comment ref="B10" authorId="0" shapeId="0" xr:uid="{00000000-0006-0000-0000-000001000000}">
      <text>
        <r>
          <rPr>
            <sz val="9"/>
            <color indexed="81"/>
            <rFont val="Tahoma"/>
            <family val="2"/>
          </rPr>
          <t>Category ID code assigned for each primary category used in Budget Tracking. Forms part of the PA ID code.</t>
        </r>
      </text>
    </comment>
    <comment ref="C10" authorId="0" shapeId="0" xr:uid="{00000000-0006-0000-0000-000002000000}">
      <text>
        <r>
          <rPr>
            <sz val="9"/>
            <color indexed="81"/>
            <rFont val="Tahoma"/>
            <family val="2"/>
          </rPr>
          <t>Primary Categories are used for budget tracking. Each category is assigned a category ID which is used to form part of the PA ID code. Each primary category has unique secondary categories to further categorize budgets. This is used in the Budget Tracking sheet as a dropdown list for creating PA IDs.</t>
        </r>
      </text>
    </comment>
    <comment ref="D10" authorId="0" shapeId="0" xr:uid="{00000000-0006-0000-0000-000003000000}">
      <text>
        <r>
          <rPr>
            <sz val="9"/>
            <color indexed="81"/>
            <rFont val="Tahoma"/>
            <family val="2"/>
          </rPr>
          <t>List of key project roles. These are used in the Dashboard sheet in the Project Team table as a dropdown list for selecting project roles to assigned team members.</t>
        </r>
      </text>
    </comment>
    <comment ref="F10" authorId="1" shapeId="0" xr:uid="{00000000-0006-0000-0000-000004000000}">
      <text>
        <r>
          <rPr>
            <sz val="9"/>
            <color indexed="81"/>
            <rFont val="Tahoma"/>
            <family val="2"/>
          </rPr>
          <t>Fill in / overwrite to suit the project.
Authorization Reference options. Authorization Reference is used for authorizations within contracts. For CM that would be LOA’s.  For DB/DBB, use CA (cash allowance) and UNA (authorized portion of your contract value).
This is used in the Prime Cont. Summary sheet, the CA Tracking sheet, and the CAA Tracking sheet as a dropdown list for Authorization References.
The default list includes '--', 'UNA', and 'CA' which are locked. The remainder of the list is can be modified to include the authorization references required for the project. It is prepopulated with letters of authorizations LOA1-12. The LOA placeholders (LOA 1-12) can be used as is or modified to only include the specific LOAs required for your project. These can be renamed as needed to specify the authorization reference.</t>
        </r>
      </text>
    </comment>
    <comment ref="G10" authorId="0" shapeId="0" xr:uid="{00000000-0006-0000-0000-000005000000}">
      <text>
        <r>
          <rPr>
            <sz val="9"/>
            <color indexed="81"/>
            <rFont val="Tahoma"/>
            <family val="2"/>
          </rPr>
          <t>Fill in / overwrite to suit the project.
Project Fiscal Years. The default list includes '--', and is prepopulated with 2016-17 to 2027-28 fiscal years. These should be modified to only include the fiscal years required for your project. 
This is used in the Target Tracking sheet as a dropdown list for populating fiscal year columns. The fiscal year columns selected in the Target Tracking sheet will also be applied in the Fiscal Year column headings in the Cashflow sheet.</t>
        </r>
      </text>
    </comment>
    <comment ref="H10" authorId="1" shapeId="0" xr:uid="{00000000-0006-0000-0000-000006000000}">
      <text>
        <r>
          <rPr>
            <sz val="9"/>
            <color indexed="81"/>
            <rFont val="Tahoma"/>
            <family val="2"/>
          </rPr>
          <t>Fill in / Overwrite to suit the project.
Phase: generally linear allocation of work with defined start and end dates (Multiple turn overs).
Subproject: mutually exclusive work or locations. Can often have different contractors or funding sources.
The tool allows for breaking down complex projects into multiple phases and subprojects should you need them. Phases/Subprojects are used for budget tracking to track work under different phases/subprojects as needed. Each phase/subproject is assigned a PA ID Ref. # which is used to form part of the PA ID code. 
This is used in the Budget Tracking sheet as a dropdown list for creating PA IDs. 
Note: Both the Phase and Subproject list options are available under the same dropdown list.</t>
        </r>
      </text>
    </comment>
    <comment ref="J10" authorId="2" shapeId="0" xr:uid="{00000000-0006-0000-0000-000007000000}">
      <text>
        <r>
          <rPr>
            <sz val="9"/>
            <color indexed="81"/>
            <rFont val="Tahoma"/>
            <family val="2"/>
          </rPr>
          <t>Use to list all project funding sources. Enter the Project ID/unique CMS numbers for each funding source. This is used in the Budget Tracking sheet as a dropdown list for creating PA IDs and will populate the Funding Source column in the Target Tracking sheet. 
Unique identifier for the Funding Source is the CMS Project ID, as each distinct Funding Source in a project should be setup as its own CMS project.
CMS Number format: BXXXXXX-00XY</t>
        </r>
      </text>
    </comment>
    <comment ref="K10" authorId="3" shapeId="0" xr:uid="{00000000-0006-0000-0000-000008000000}">
      <text>
        <r>
          <rPr>
            <sz val="9"/>
            <color indexed="81"/>
            <rFont val="Tahoma"/>
            <family val="2"/>
          </rPr>
          <t xml:space="preserve">Use to assign the project funding source description to each funding source entered. This will populate the Funding Source Description column in the Target Tracking sheet.
HFI - Health Facilities Infrastructure Funding
GFI - Government Facilities Infrastructure Funding
IMP - Health Capital Maintenance and Renewal Funding 
LFI - Learning Facilities Infrastructure
GI   - Green Infrastructure Funding 
FED - Federal Funding 
FO  - Foundation Funding 
OT  - Other Funding
</t>
        </r>
      </text>
    </comment>
    <comment ref="L10" authorId="3" shapeId="0" xr:uid="{00000000-0006-0000-0000-000009000000}">
      <text>
        <r>
          <rPr>
            <sz val="9"/>
            <color indexed="81"/>
            <rFont val="Tahoma"/>
            <family val="2"/>
          </rPr>
          <t xml:space="preserve">Used to identify the capital plan line associated with funding source. Please select a value from the dropdown.
</t>
        </r>
      </text>
    </comment>
    <comment ref="M10" authorId="0" shapeId="0" xr:uid="{00000000-0006-0000-0000-00000A000000}">
      <text>
        <r>
          <rPr>
            <sz val="9"/>
            <color indexed="81"/>
            <rFont val="Tahoma"/>
            <family val="2"/>
          </rPr>
          <t xml:space="preserve">This is the corresponding PA ID Funding Source Reference code number assigned for each Funding Source line. The FS Ref. # is used to form part of the PA ID code in the Buget Tracking sheet. </t>
        </r>
      </text>
    </comment>
    <comment ref="N10" authorId="0" shapeId="0" xr:uid="{00000000-0006-0000-0000-00000B000000}">
      <text>
        <r>
          <rPr>
            <sz val="9"/>
            <color indexed="81"/>
            <rFont val="Tahoma"/>
            <family val="2"/>
          </rPr>
          <t>Used to identify the funding line associated with funding source. Please select a value from the dropdown.</t>
        </r>
      </text>
    </comment>
    <comment ref="C19" authorId="1" shapeId="0" xr:uid="{00000000-0006-0000-0000-00000C000000}">
      <text>
        <r>
          <rPr>
            <sz val="9"/>
            <color indexed="81"/>
            <rFont val="Tahoma"/>
            <family val="2"/>
          </rPr>
          <t>Full Reason Code list is used in the CA Tracking and Change Tracking Tab.  These reflects the options in the current documentation.</t>
        </r>
      </text>
    </comment>
    <comment ref="D19" authorId="0" shapeId="0" xr:uid="{00000000-0006-0000-0000-00000D000000}">
      <text>
        <r>
          <rPr>
            <sz val="9"/>
            <color indexed="81"/>
            <rFont val="Tahoma"/>
            <family val="2"/>
          </rPr>
          <t>Vendor contract status. Used in Vendor Listing sheet as a dropdown list for selecting the contract status of each contract.</t>
        </r>
      </text>
    </comment>
    <comment ref="B25" authorId="0" shapeId="0" xr:uid="{00000000-0006-0000-0000-00000E000000}">
      <text>
        <r>
          <rPr>
            <sz val="9"/>
            <color indexed="81"/>
            <rFont val="Tahoma"/>
            <family val="2"/>
          </rPr>
          <t>Contract holdback status options. Used in Cost Tracking sheet as a dropdown for identifying if a holdback is applied and whether it is released.</t>
        </r>
      </text>
    </comment>
    <comment ref="C25" authorId="1" shapeId="0" xr:uid="{00000000-0006-0000-0000-00000F000000}">
      <text>
        <r>
          <rPr>
            <sz val="9"/>
            <color indexed="81"/>
            <rFont val="Tahoma"/>
            <family val="2"/>
          </rPr>
          <t>Toggles depending on Delivery Method Selected.</t>
        </r>
      </text>
    </comment>
    <comment ref="K25" authorId="1" shapeId="0" xr:uid="{00000000-0006-0000-0000-000010000000}">
      <text>
        <r>
          <rPr>
            <sz val="9"/>
            <color indexed="81"/>
            <rFont val="Tahoma"/>
            <family val="2"/>
          </rPr>
          <t>Note, the PA Matrix Tab has a separate password.  Work with your PFMT administrator if you need updates to that tab.</t>
        </r>
      </text>
    </comment>
    <comment ref="B30" authorId="0" shapeId="0" xr:uid="{00000000-0006-0000-0000-000011000000}">
      <text>
        <r>
          <rPr>
            <sz val="9"/>
            <color indexed="81"/>
            <rFont val="Tahoma"/>
            <family val="2"/>
          </rPr>
          <t>Invoice status options. Used in Vendor Listing sheet as a dropdown list for selecting invoice status.</t>
        </r>
      </text>
    </comment>
    <comment ref="C36" authorId="0" shapeId="0" xr:uid="{00000000-0006-0000-0000-000012000000}">
      <text>
        <r>
          <rPr>
            <sz val="9"/>
            <color indexed="81"/>
            <rFont val="Tahoma"/>
            <family val="2"/>
          </rPr>
          <t>Funding Source Target status options. Used in Target Tracking sheet as a dropdown for selecting target status.</t>
        </r>
      </text>
    </comment>
    <comment ref="D36" authorId="0" shapeId="0" xr:uid="{00000000-0006-0000-0000-000013000000}">
      <text>
        <r>
          <rPr>
            <sz val="9"/>
            <color indexed="81"/>
            <rFont val="Tahoma"/>
            <family val="2"/>
          </rPr>
          <t>Funding Source Description options. Used in Validations sheet as a dropdown for selecting a funding source descriptions for each funding source in the Target Tracking sheet.
HFI - Health Facilities Infrastructure Funding
GFI - Government Facilities Infrastructure Funding
IMP - Health Capital Maintenance and Renewal Funding 
LFI - Learning Facilities Infrastructure
GI   - Green Infrastructure Funding 
FED - Federal Funding 
FO  - Foundation Funding 
OT  - Other Funding</t>
        </r>
      </text>
    </comment>
    <comment ref="B39" authorId="0" shapeId="0" xr:uid="{00000000-0006-0000-0000-000014000000}">
      <text>
        <r>
          <rPr>
            <sz val="9"/>
            <color indexed="81"/>
            <rFont val="Tahoma"/>
            <family val="2"/>
          </rPr>
          <t>Contract Change Order status options. Used in Change Tracking sheet as a dropdown list for selecting change order status.</t>
        </r>
      </text>
    </comment>
    <comment ref="C39" authorId="0" shapeId="0" xr:uid="{00000000-0006-0000-0000-000015000000}">
      <text>
        <r>
          <rPr>
            <sz val="9"/>
            <color indexed="81"/>
            <rFont val="Tahoma"/>
            <family val="2"/>
          </rPr>
          <t>Project delivery methods. Used in Dashboard sheet as a dropdown list for selecting the delivery method used for the project.</t>
        </r>
      </text>
    </comment>
    <comment ref="C45" authorId="0" shapeId="0" xr:uid="{00000000-0006-0000-0000-000016000000}">
      <text>
        <r>
          <rPr>
            <sz val="9"/>
            <color indexed="81"/>
            <rFont val="Tahoma"/>
            <family val="2"/>
          </rPr>
          <t>Fiscal Year status option. Used in Cashflow sheet to assign status to project fiscal years.</t>
        </r>
      </text>
    </comment>
    <comment ref="D45" authorId="0" shapeId="0" xr:uid="{00000000-0006-0000-0000-000017000000}">
      <text>
        <r>
          <rPr>
            <sz val="9"/>
            <color indexed="81"/>
            <rFont val="Tahoma"/>
            <family val="2"/>
          </rPr>
          <t>PIMS Project Phases. Used in Dashboard sheet as a dropdown list for selecting the current phase the project is in.</t>
        </r>
      </text>
    </comment>
    <comment ref="B48" authorId="0" shapeId="0" xr:uid="{00000000-0006-0000-0000-000018000000}">
      <text>
        <r>
          <rPr>
            <sz val="9"/>
            <color indexed="81"/>
            <rFont val="Tahoma"/>
            <family val="2"/>
          </rPr>
          <t>Project Status options. Used in Dashboard sheet as a dropdown list for selecting the current project status.</t>
        </r>
      </text>
    </comment>
    <comment ref="C50" authorId="1" shapeId="0" xr:uid="{00000000-0006-0000-0000-000019000000}">
      <text>
        <r>
          <rPr>
            <b/>
            <sz val="9"/>
            <color indexed="81"/>
            <rFont val="Tahoma"/>
            <family val="2"/>
          </rPr>
          <t xml:space="preserve">This Region drop down may have to be updated specific to the user.
</t>
        </r>
        <r>
          <rPr>
            <sz val="9"/>
            <color indexed="81"/>
            <rFont val="Tahoma"/>
            <family val="2"/>
          </rPr>
          <t xml:space="preserve">
Alberta project delivery regions. Used in Dashboard sheet as a dropdown list for selecting the region the project is in.</t>
        </r>
      </text>
    </comment>
    <comment ref="D53" authorId="1" shapeId="0" xr:uid="{00000000-0006-0000-0000-00001A000000}">
      <text>
        <r>
          <rPr>
            <b/>
            <sz val="9"/>
            <color indexed="81"/>
            <rFont val="Tahoma"/>
            <family val="2"/>
          </rPr>
          <t>Added to capture tracking of any supplementary approvals such as Deputy Minister Committee.</t>
        </r>
      </text>
    </comment>
    <comment ref="B54" authorId="0" shapeId="0" xr:uid="{00000000-0006-0000-0000-00001B000000}">
      <text>
        <r>
          <rPr>
            <sz val="9"/>
            <color indexed="81"/>
            <rFont val="Tahoma"/>
            <family val="2"/>
          </rPr>
          <t>Visual aid to denote project status in the dashboard. Used in Dashboard sheet as a dropdown list for selecting the current project health for each project health category (Budget, Schedule, Scope).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spencer.shandro</author>
    <author>karolina.kowalski</author>
    <author>alphonsus.liu</author>
  </authors>
  <commentList>
    <comment ref="C6" authorId="0" shapeId="0" xr:uid="{00000000-0006-0000-0200-000001000000}">
      <text>
        <r>
          <rPr>
            <sz val="9"/>
            <color indexed="81"/>
            <rFont val="Tahoma"/>
            <family val="2"/>
          </rPr>
          <t>HFI - Health Facilities Infrastructure Funding
GFI - Government Facilities Infrastructure Funding
IMP - Health Capital Maintenance and Renewal Funding 
LFI - Learning Facilities Infrastructure
GI   - Green Infrastructure Funding 
FED - Federal Funding 
FO  - Foundation Funding 
OT  - Other Funding</t>
        </r>
      </text>
    </comment>
    <comment ref="F6" authorId="1" shapeId="0" xr:uid="{00000000-0006-0000-0200-000002000000}">
      <text>
        <r>
          <rPr>
            <sz val="9"/>
            <color indexed="81"/>
            <rFont val="Tahoma"/>
            <family val="2"/>
          </rPr>
          <t>Displays the total 'approved' value of each funding source. Formula sums all Total value cells (column W cells in each Funding Source table) with an 'approved' status value entered for each Funding Source table.</t>
        </r>
      </text>
    </comment>
    <comment ref="J6" authorId="1" shapeId="0" xr:uid="{00000000-0006-0000-0200-000003000000}">
      <text>
        <r>
          <rPr>
            <sz val="9"/>
            <color indexed="81"/>
            <rFont val="Tahoma"/>
            <family val="2"/>
          </rPr>
          <t>This is an optional field intended to be used to document funding not from the general revenue fund, provided by other parties. Ex. Foundations, third party parking contributions, anything not in the INFRA capital plan. Use as needed.</t>
        </r>
      </text>
    </comment>
    <comment ref="F13" authorId="2" shapeId="0" xr:uid="{00000000-0006-0000-0200-000004000000}">
      <text>
        <r>
          <rPr>
            <sz val="9"/>
            <color indexed="81"/>
            <rFont val="Tahoma"/>
            <family val="2"/>
          </rPr>
          <t xml:space="preserve">Formally known as Total Project Cost (TPC)
</t>
        </r>
      </text>
    </comment>
    <comment ref="C27" authorId="0" shapeId="0" xr:uid="{00000000-0006-0000-0200-000005000000}">
      <text>
        <r>
          <rPr>
            <sz val="9"/>
            <color indexed="81"/>
            <rFont val="Tahoma"/>
            <family val="2"/>
          </rPr>
          <t>Enter</t>
        </r>
        <r>
          <rPr>
            <b/>
            <sz val="9"/>
            <color indexed="81"/>
            <rFont val="Tahoma"/>
            <family val="2"/>
          </rPr>
          <t xml:space="preserve">: </t>
        </r>
        <r>
          <rPr>
            <sz val="9"/>
            <color indexed="81"/>
            <rFont val="Tahoma"/>
            <family val="2"/>
          </rPr>
          <t>Year - Month - Day
Example: 2017-03-05 or 2017/3/5 = 5-Mar-17</t>
        </r>
      </text>
    </comment>
    <comment ref="C57" authorId="0" shapeId="0" xr:uid="{00000000-0006-0000-0200-000006000000}">
      <text>
        <r>
          <rPr>
            <sz val="9"/>
            <color indexed="81"/>
            <rFont val="Tahoma"/>
            <family val="2"/>
          </rPr>
          <t>Enter</t>
        </r>
        <r>
          <rPr>
            <b/>
            <sz val="9"/>
            <color indexed="81"/>
            <rFont val="Tahoma"/>
            <family val="2"/>
          </rPr>
          <t xml:space="preserve">: </t>
        </r>
        <r>
          <rPr>
            <sz val="9"/>
            <color indexed="81"/>
            <rFont val="Tahoma"/>
            <family val="2"/>
          </rPr>
          <t>Year - Month - Day
Example: 2017-03-05 or 2017/3/5 = 5-Mar-17</t>
        </r>
      </text>
    </comment>
    <comment ref="C84" authorId="0" shapeId="0" xr:uid="{00000000-0006-0000-0200-000007000000}">
      <text>
        <r>
          <rPr>
            <sz val="9"/>
            <color indexed="81"/>
            <rFont val="Tahoma"/>
            <family val="2"/>
          </rPr>
          <t>Enter</t>
        </r>
        <r>
          <rPr>
            <b/>
            <sz val="9"/>
            <color indexed="81"/>
            <rFont val="Tahoma"/>
            <family val="2"/>
          </rPr>
          <t xml:space="preserve">: </t>
        </r>
        <r>
          <rPr>
            <sz val="9"/>
            <color indexed="81"/>
            <rFont val="Tahoma"/>
            <family val="2"/>
          </rPr>
          <t>Year - Month - Day
Example: 2017-03-05 or 2017/3/5 = 5-Mar-17</t>
        </r>
      </text>
    </comment>
    <comment ref="C111" authorId="0" shapeId="0" xr:uid="{00000000-0006-0000-0200-000008000000}">
      <text>
        <r>
          <rPr>
            <sz val="9"/>
            <color indexed="81"/>
            <rFont val="Tahoma"/>
            <family val="2"/>
          </rPr>
          <t>Enter</t>
        </r>
        <r>
          <rPr>
            <b/>
            <sz val="9"/>
            <color indexed="81"/>
            <rFont val="Tahoma"/>
            <family val="2"/>
          </rPr>
          <t xml:space="preserve">: </t>
        </r>
        <r>
          <rPr>
            <sz val="9"/>
            <color indexed="81"/>
            <rFont val="Tahoma"/>
            <family val="2"/>
          </rPr>
          <t>Year - Month - Day
Example: 2017-03-05 or 2017/3/5 = 5-Mar-17</t>
        </r>
      </text>
    </comment>
    <comment ref="C138" authorId="0" shapeId="0" xr:uid="{00000000-0006-0000-0200-000009000000}">
      <text>
        <r>
          <rPr>
            <sz val="9"/>
            <color indexed="81"/>
            <rFont val="Tahoma"/>
            <family val="2"/>
          </rPr>
          <t>Enter</t>
        </r>
        <r>
          <rPr>
            <b/>
            <sz val="9"/>
            <color indexed="81"/>
            <rFont val="Tahoma"/>
            <family val="2"/>
          </rPr>
          <t xml:space="preserve">: </t>
        </r>
        <r>
          <rPr>
            <sz val="9"/>
            <color indexed="81"/>
            <rFont val="Tahoma"/>
            <family val="2"/>
          </rPr>
          <t>Year - Month - Day
Example: 2017-03-05 or 2017/3/5 = 5-Mar-17</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spencer.shandro</author>
    <author>craig.moonen</author>
  </authors>
  <commentList>
    <comment ref="B6" authorId="0" shapeId="0" xr:uid="{00000000-0006-0000-0400-000001000000}">
      <text>
        <r>
          <rPr>
            <sz val="9"/>
            <color indexed="81"/>
            <rFont val="Tahoma"/>
            <family val="2"/>
          </rPr>
          <t xml:space="preserve">Columns C to G must be populated in order for PA ID to auto populate (i.e. no blanks, select "--" instead)
</t>
        </r>
      </text>
    </comment>
    <comment ref="C6" authorId="0" shapeId="0" xr:uid="{00000000-0006-0000-0400-000002000000}">
      <text>
        <r>
          <rPr>
            <sz val="9"/>
            <color indexed="81"/>
            <rFont val="Tahoma"/>
            <family val="2"/>
          </rPr>
          <t xml:space="preserve">Select a Primary Category to build the PA ID.
In order to change the "Primary Category" field the corresponding "Secondary Category" field must be blank </t>
        </r>
      </text>
    </comment>
    <comment ref="D74" authorId="1" shapeId="0" xr:uid="{00000000-0006-0000-0400-000003000000}">
      <text>
        <r>
          <rPr>
            <sz val="9"/>
            <color indexed="81"/>
            <rFont val="Tahoma"/>
            <family val="2"/>
          </rPr>
          <t>Capture Executive Director review date.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craig.moonen</author>
    <author>spencer.shandro</author>
  </authors>
  <commentList>
    <comment ref="C5" authorId="0" shapeId="0" xr:uid="{00000000-0006-0000-0300-000001000000}">
      <text>
        <r>
          <rPr>
            <b/>
            <sz val="9"/>
            <color indexed="81"/>
            <rFont val="Tahoma"/>
            <family val="2"/>
          </rPr>
          <t>For Direct Pays, enter "Direct" in place of a contract ID number.</t>
        </r>
      </text>
    </comment>
    <comment ref="M5" authorId="1" shapeId="0" xr:uid="{00000000-0006-0000-0300-000002000000}">
      <text>
        <r>
          <rPr>
            <sz val="9"/>
            <color indexed="81"/>
            <rFont val="Tahoma"/>
            <family val="2"/>
          </rPr>
          <t>Enter</t>
        </r>
        <r>
          <rPr>
            <b/>
            <sz val="9"/>
            <color indexed="81"/>
            <rFont val="Tahoma"/>
            <family val="2"/>
          </rPr>
          <t xml:space="preserve">: </t>
        </r>
        <r>
          <rPr>
            <sz val="9"/>
            <color indexed="81"/>
            <rFont val="Tahoma"/>
            <family val="2"/>
          </rPr>
          <t>Year - Month - Day
Example: 2017-03-05 or 2017/3/5 = 5-Mar-17</t>
        </r>
      </text>
    </comment>
    <comment ref="N5" authorId="1" shapeId="0" xr:uid="{00000000-0006-0000-0300-000003000000}">
      <text>
        <r>
          <rPr>
            <sz val="9"/>
            <color indexed="81"/>
            <rFont val="Tahoma"/>
            <family val="2"/>
          </rPr>
          <t>Enter</t>
        </r>
        <r>
          <rPr>
            <b/>
            <sz val="9"/>
            <color indexed="81"/>
            <rFont val="Tahoma"/>
            <family val="2"/>
          </rPr>
          <t xml:space="preserve">: </t>
        </r>
        <r>
          <rPr>
            <sz val="9"/>
            <color indexed="81"/>
            <rFont val="Tahoma"/>
            <family val="2"/>
          </rPr>
          <t>Year - Month - Day
Example: 2017-03-05 or 2017/3/5 = 5-Mar-17
If Date Field shows as Red, then the end date of the contract is within 3 months of today's date.  If Yellow, contract end date is within 6 months of today's date.</t>
        </r>
      </text>
    </comment>
    <comment ref="U5" authorId="0" shapeId="0" xr:uid="{00000000-0006-0000-0300-000004000000}">
      <text>
        <r>
          <rPr>
            <b/>
            <sz val="9"/>
            <color indexed="81"/>
            <rFont val="Tahoma"/>
            <family val="2"/>
          </rPr>
          <t>Limits the list to vendors with a status of Open or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craig.moonen</author>
  </authors>
  <commentList>
    <comment ref="M8" authorId="0" shapeId="0" xr:uid="{00000000-0006-0000-0500-000001000000}">
      <text>
        <r>
          <rPr>
            <b/>
            <sz val="9"/>
            <color indexed="81"/>
            <rFont val="Tahoma"/>
            <family val="2"/>
          </rPr>
          <t>Optional Section to assist with tracking of any supplementary approvals such as Deputy Minister Council.</t>
        </r>
      </text>
    </comment>
    <comment ref="B11" authorId="0" shapeId="0" xr:uid="{00000000-0006-0000-0500-000002000000}">
      <text>
        <r>
          <rPr>
            <b/>
            <sz val="9"/>
            <color indexed="81"/>
            <rFont val="Tahoma"/>
            <family val="2"/>
          </rPr>
          <t>Locked Row designated for DB/DBB Projects that choose to rollup authorized changes to the Prime Contractor from the CA Tracking Tab.  See Description and Notes for more detail.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craig.moonen</author>
    <author>spencer.shandro</author>
    <author>alphonsus.liu</author>
    <author>karolina.kowalski</author>
  </authors>
  <commentList>
    <comment ref="I4" authorId="0" shapeId="0" xr:uid="{00000000-0006-0000-0600-000001000000}">
      <text>
        <r>
          <rPr>
            <b/>
            <sz val="9"/>
            <color indexed="81"/>
            <rFont val="Tahoma"/>
            <family val="2"/>
          </rPr>
          <t>Available for SCA to assist with reconciliation.</t>
        </r>
      </text>
    </comment>
    <comment ref="B5" authorId="1" shapeId="0" xr:uid="{00000000-0006-0000-0600-000002000000}">
      <text>
        <r>
          <rPr>
            <sz val="9"/>
            <color indexed="81"/>
            <rFont val="Tahoma"/>
            <family val="2"/>
          </rPr>
          <t>Select any Vendors that you want to see summary information for.  
If preference is to see more than 3 Vendor Summaries at any given time, Copy row below and  then select "Insert Copied Cells".  Once added, select additional Vendor.  Repeat as needed.</t>
        </r>
      </text>
    </comment>
    <comment ref="G5" authorId="1" shapeId="0" xr:uid="{00000000-0006-0000-0600-000003000000}">
      <text>
        <r>
          <rPr>
            <sz val="9"/>
            <color indexed="81"/>
            <rFont val="Tahoma"/>
            <family val="2"/>
          </rPr>
          <t>Hit "Ctrl+Shift+Enter" (in formula bar) to refresh formula if error message shown (i.e. "#value!")</t>
        </r>
      </text>
    </comment>
    <comment ref="J5" authorId="0" shapeId="0" xr:uid="{00000000-0006-0000-0600-000004000000}">
      <text>
        <r>
          <rPr>
            <b/>
            <sz val="9"/>
            <color indexed="81"/>
            <rFont val="Tahoma"/>
            <family val="2"/>
          </rPr>
          <t>Enter expenditures to date value from CMS</t>
        </r>
        <r>
          <rPr>
            <sz val="9"/>
            <color indexed="81"/>
            <rFont val="Tahoma"/>
            <family val="2"/>
          </rPr>
          <t xml:space="preserve">
</t>
        </r>
      </text>
    </comment>
    <comment ref="B12" authorId="0" shapeId="0" xr:uid="{00000000-0006-0000-0600-000005000000}">
      <text>
        <r>
          <rPr>
            <b/>
            <sz val="9"/>
            <color indexed="81"/>
            <rFont val="Tahoma"/>
            <family val="2"/>
          </rPr>
          <t>This column drop down list is limited to only show OPEN vendors from the Vendor Listing Tab to improve navigation.</t>
        </r>
        <r>
          <rPr>
            <sz val="9"/>
            <color indexed="81"/>
            <rFont val="Tahoma"/>
            <family val="2"/>
          </rPr>
          <t xml:space="preserve">
</t>
        </r>
      </text>
    </comment>
    <comment ref="D12" authorId="1" shapeId="0" xr:uid="{00000000-0006-0000-0600-000006000000}">
      <text>
        <r>
          <rPr>
            <sz val="9"/>
            <color indexed="81"/>
            <rFont val="Tahoma"/>
            <family val="2"/>
          </rPr>
          <t>Enter</t>
        </r>
        <r>
          <rPr>
            <b/>
            <sz val="9"/>
            <color indexed="81"/>
            <rFont val="Tahoma"/>
            <family val="2"/>
          </rPr>
          <t xml:space="preserve">: </t>
        </r>
        <r>
          <rPr>
            <sz val="9"/>
            <color indexed="81"/>
            <rFont val="Tahoma"/>
            <family val="2"/>
          </rPr>
          <t>Day - Month - Year
Example: 5-3-17 or 5/3/17= 5-Mar-17</t>
        </r>
      </text>
    </comment>
    <comment ref="L12" authorId="1" shapeId="0" xr:uid="{00000000-0006-0000-0600-000007000000}">
      <text>
        <r>
          <rPr>
            <sz val="9"/>
            <color indexed="81"/>
            <rFont val="Tahoma"/>
            <family val="2"/>
          </rPr>
          <t>Date Invoice received from Vendor
Enter: Year - Month - Day
Example: 2017-03-05 or 2017/3/5 = 5-Mar-17</t>
        </r>
      </text>
    </comment>
    <comment ref="M12" authorId="2" shapeId="0" xr:uid="{00000000-0006-0000-0600-000008000000}">
      <text>
        <r>
          <rPr>
            <sz val="9"/>
            <color indexed="81"/>
            <rFont val="Tahoma"/>
            <family val="2"/>
          </rPr>
          <t>Date on which the contractually-compliant invoice was received.</t>
        </r>
      </text>
    </comment>
    <comment ref="N12" authorId="2" shapeId="0" xr:uid="{00000000-0006-0000-0600-000009000000}">
      <text>
        <r>
          <rPr>
            <sz val="9"/>
            <color indexed="81"/>
            <rFont val="Tahoma"/>
            <family val="2"/>
          </rPr>
          <t>Error code for the invoice if applicable. Please refer to guide for more details.
VDO - Vendor Documentation
OVB - Overbilling
COP - Certificate of Payment
CON - Contract
PWA - PWA Claim
LIN - Lien
INT - Internal Issue
ACC - Accrual Issue
Please use the 'Notes' column to add any error details as applicable.</t>
        </r>
      </text>
    </comment>
    <comment ref="P12" authorId="1" shapeId="0" xr:uid="{00000000-0006-0000-0600-00000A000000}">
      <text>
        <r>
          <rPr>
            <sz val="9"/>
            <color indexed="81"/>
            <rFont val="Tahoma"/>
            <family val="2"/>
          </rPr>
          <t>Date Invoice signed off by PM
Enter: Year - Month - Day
Example: 2017-03-05 or 2017/3/5 = 5-Mar-17</t>
        </r>
      </text>
    </comment>
    <comment ref="AA12" authorId="0" shapeId="0" xr:uid="{00000000-0006-0000-0600-00000B000000}">
      <text>
        <r>
          <rPr>
            <sz val="9"/>
            <color indexed="81"/>
            <rFont val="Tahoma"/>
            <family val="2"/>
          </rPr>
          <t>Formula used to support the Fiscal Year actuals formula in the CashFlow Tab.  This helps identify the proper assignment of actuals around year end, including those that fall outside of the assigned fiscal period.</t>
        </r>
      </text>
    </comment>
    <comment ref="E103" authorId="3" shapeId="0" xr:uid="{00000000-0006-0000-0600-00000C000000}">
      <text>
        <r>
          <rPr>
            <b/>
            <sz val="9"/>
            <color indexed="81"/>
            <rFont val="Tahoma"/>
            <family val="2"/>
          </rPr>
          <t xml:space="preserve">susanne.martin:
</t>
        </r>
        <r>
          <rPr>
            <sz val="9"/>
            <color indexed="81"/>
            <rFont val="Tahoma"/>
            <family val="2"/>
          </rPr>
          <t xml:space="preserve">Same entry as line 147.  Not showing through IMAGIS or CMS.  Emailed finance to find out why not showing through to this project
</t>
        </r>
      </text>
    </comment>
    <comment ref="E104" authorId="3" shapeId="0" xr:uid="{00000000-0006-0000-0600-00000D000000}">
      <text>
        <r>
          <rPr>
            <b/>
            <sz val="9"/>
            <color indexed="81"/>
            <rFont val="Tahoma"/>
            <family val="2"/>
          </rPr>
          <t xml:space="preserve">susanne.martin:
</t>
        </r>
        <r>
          <rPr>
            <sz val="9"/>
            <color indexed="81"/>
            <rFont val="Tahoma"/>
            <family val="2"/>
          </rPr>
          <t xml:space="preserve">Duplicate of line 147, not in CMS or IMAGIS.  Finance to respond to why not
</t>
        </r>
      </text>
    </comment>
    <comment ref="E149" authorId="3" shapeId="0" xr:uid="{00000000-0006-0000-0600-00000E000000}">
      <text>
        <r>
          <rPr>
            <sz val="9"/>
            <color indexed="81"/>
            <rFont val="Tahoma"/>
            <family val="2"/>
          </rPr>
          <t>In PFMT twice, does not show through IMAGIS or CMS.  Emailed finance about this.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moonen</author>
    <author>alphonsus.liu</author>
    <author>piya.john</author>
    <author>rachel.sommer</author>
    <author>craig.moonen</author>
    <author>spencer.shandro</author>
  </authors>
  <commentList>
    <comment ref="P7" authorId="0" shapeId="0" xr:uid="{00000000-0006-0000-0A00-000001000000}">
      <text>
        <r>
          <rPr>
            <b/>
            <sz val="9"/>
            <color indexed="81"/>
            <rFont val="Tahoma"/>
            <family val="2"/>
          </rPr>
          <t xml:space="preserve">ARRAY Formula: Press Ctrl+Shift+Enter to engage
</t>
        </r>
        <r>
          <rPr>
            <sz val="9"/>
            <color indexed="81"/>
            <rFont val="Tahoma"/>
            <family val="2"/>
          </rPr>
          <t xml:space="preserve">
</t>
        </r>
      </text>
    </comment>
    <comment ref="Q7" authorId="1" shapeId="0" xr:uid="{00000000-0006-0000-0A00-000002000000}">
      <text>
        <r>
          <rPr>
            <b/>
            <sz val="9"/>
            <color indexed="81"/>
            <rFont val="Tahoma"/>
            <family val="2"/>
          </rPr>
          <t>ARRAY Formula: Press Ctrl+Shift+Enter to engage</t>
        </r>
        <r>
          <rPr>
            <sz val="9"/>
            <color indexed="81"/>
            <rFont val="Tahoma"/>
            <family val="2"/>
          </rPr>
          <t xml:space="preserve">
</t>
        </r>
      </text>
    </comment>
    <comment ref="DO25" authorId="2" shapeId="0" xr:uid="{00000000-0006-0000-0A00-000003000000}">
      <text>
        <r>
          <rPr>
            <b/>
            <sz val="9"/>
            <color indexed="81"/>
            <rFont val="Tahoma"/>
            <family val="2"/>
          </rPr>
          <t>piya.john:</t>
        </r>
        <r>
          <rPr>
            <sz val="9"/>
            <color indexed="81"/>
            <rFont val="Tahoma"/>
            <family val="2"/>
          </rPr>
          <t xml:space="preserve">
375000- facility start up at interim acceptance</t>
        </r>
      </text>
    </comment>
    <comment ref="DQ25" authorId="2" shapeId="0" xr:uid="{00000000-0006-0000-0A00-000004000000}">
      <text>
        <r>
          <rPr>
            <b/>
            <sz val="9"/>
            <color indexed="81"/>
            <rFont val="Tahoma"/>
            <family val="2"/>
          </rPr>
          <t>piya.john:</t>
        </r>
        <r>
          <rPr>
            <sz val="9"/>
            <color indexed="81"/>
            <rFont val="Tahoma"/>
            <family val="2"/>
          </rPr>
          <t xml:space="preserve">
facility start up practical completion </t>
        </r>
      </text>
    </comment>
    <comment ref="DS25" authorId="2" shapeId="0" xr:uid="{00000000-0006-0000-0A00-000005000000}">
      <text>
        <r>
          <rPr>
            <b/>
            <sz val="9"/>
            <color indexed="81"/>
            <rFont val="Tahoma"/>
            <family val="2"/>
          </rPr>
          <t>piya.john:</t>
        </r>
        <r>
          <rPr>
            <sz val="9"/>
            <color indexed="81"/>
            <rFont val="Tahoma"/>
            <family val="2"/>
          </rPr>
          <t xml:space="preserve">
facilty start up Final acceptance
</t>
        </r>
      </text>
    </comment>
    <comment ref="B67" authorId="1" shapeId="0" xr:uid="{00000000-0006-0000-0A00-000006000000}">
      <text>
        <r>
          <rPr>
            <sz val="9"/>
            <color indexed="81"/>
            <rFont val="Tahoma"/>
            <family val="2"/>
          </rPr>
          <t>To add rows, copy row from above and "Insert Copied Cells".  Do not just "Insert" rows as formulas may not work if done this way.</t>
        </r>
      </text>
    </comment>
    <comment ref="B68" authorId="1" shapeId="0" xr:uid="{00000000-0006-0000-0A00-000007000000}">
      <text>
        <r>
          <rPr>
            <sz val="9"/>
            <color indexed="81"/>
            <rFont val="Tahoma"/>
            <family val="2"/>
          </rPr>
          <t>To add rows, copy row from above and "Insert Copied Cells".  Do not just "Insert" rows as formulas may not work if done this way.</t>
        </r>
      </text>
    </comment>
    <comment ref="B69" authorId="1" shapeId="0" xr:uid="{00000000-0006-0000-0A00-000008000000}">
      <text>
        <r>
          <rPr>
            <sz val="9"/>
            <color indexed="81"/>
            <rFont val="Tahoma"/>
            <family val="2"/>
          </rPr>
          <t>To add rows, copy row from above and "Insert Copied Cells".  Do not just "Insert" rows as formulas may not work if done this way.</t>
        </r>
      </text>
    </comment>
    <comment ref="B70" authorId="1" shapeId="0" xr:uid="{00000000-0006-0000-0A00-000009000000}">
      <text>
        <r>
          <rPr>
            <sz val="9"/>
            <color indexed="81"/>
            <rFont val="Tahoma"/>
            <family val="2"/>
          </rPr>
          <t>To add rows, copy row from above and "Insert Copied Cells".  Do not just "Insert" rows as formulas may not work if done this way.</t>
        </r>
      </text>
    </comment>
    <comment ref="B71" authorId="1" shapeId="0" xr:uid="{00000000-0006-0000-0A00-00000A000000}">
      <text>
        <r>
          <rPr>
            <sz val="9"/>
            <color indexed="81"/>
            <rFont val="Tahoma"/>
            <family val="2"/>
          </rPr>
          <t>To add rows, copy row from above and "Insert Copied Cells".  Do not just "Insert" rows as formulas may not work if done this way.</t>
        </r>
      </text>
    </comment>
    <comment ref="Q142" authorId="3" shapeId="0" xr:uid="{00000000-0006-0000-0A00-00000B000000}">
      <text>
        <r>
          <rPr>
            <b/>
            <sz val="9"/>
            <color indexed="81"/>
            <rFont val="Tahoma"/>
            <family val="2"/>
          </rPr>
          <t>rachel.sommer:</t>
        </r>
        <r>
          <rPr>
            <sz val="9"/>
            <color indexed="81"/>
            <rFont val="Tahoma"/>
            <family val="2"/>
          </rPr>
          <t xml:space="preserve">
baseline created Oct 8, 2020 (starting Oct 2020)</t>
        </r>
      </text>
    </comment>
    <comment ref="S142" authorId="4" shapeId="0" xr:uid="{00000000-0006-0000-0A00-00000C000000}">
      <text>
        <r>
          <rPr>
            <sz val="9"/>
            <color indexed="81"/>
            <rFont val="Tahoma"/>
            <family val="2"/>
          </rPr>
          <t>To create a baseline forecast, it must be copied manually from the total cashflow line above.  This also shows on the dashboard for comparison.  Can be overwritten.</t>
        </r>
      </text>
    </comment>
    <comment ref="DM142" authorId="3" shapeId="0" xr:uid="{00000000-0006-0000-0A00-00000D000000}">
      <text>
        <r>
          <rPr>
            <b/>
            <sz val="9"/>
            <color indexed="81"/>
            <rFont val="Tahoma"/>
            <family val="2"/>
          </rPr>
          <t>rachel.sommer:</t>
        </r>
        <r>
          <rPr>
            <sz val="9"/>
            <color indexed="81"/>
            <rFont val="Tahoma"/>
            <family val="2"/>
          </rPr>
          <t xml:space="preserve">
contingency/management reserve not contained in baseline.</t>
        </r>
      </text>
    </comment>
    <comment ref="A150" authorId="5" shapeId="0" xr:uid="{00000000-0006-0000-0A00-00000E000000}">
      <text>
        <r>
          <rPr>
            <sz val="9"/>
            <color indexed="81"/>
            <rFont val="Tahoma"/>
            <family val="2"/>
          </rPr>
          <t>Red "X" below means your EAC exceeds your funding.  Action will be required by the PM to address (either through adjustment of your forecast, expenditures or approved target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Karolina Kowalski</author>
  </authors>
  <commentList>
    <comment ref="C4" authorId="0" shapeId="0" xr:uid="{00000000-0006-0000-0C00-000001000000}">
      <text>
        <r>
          <rPr>
            <sz val="11"/>
            <color theme="1"/>
            <rFont val="Calibri"/>
            <family val="2"/>
            <scheme val="minor"/>
          </rPr>
          <t xml:space="preserve">TAF from Target Tracking. TAF will only include approved entries by PM&amp;I. 
Review the Target Tracking tab for details on how TAF is calculated. </t>
        </r>
      </text>
    </comment>
    <comment ref="F4" authorId="0" shapeId="0" xr:uid="{00000000-0006-0000-0C00-000002000000}">
      <text>
        <r>
          <rPr>
            <sz val="11"/>
            <color theme="1"/>
            <rFont val="Calibri"/>
            <family val="2"/>
            <scheme val="minor"/>
          </rPr>
          <t>The variance tolerance is $1. Only items with variance of $1 or more will be flagged RED with 'No'.
Review and investigate any flagged items. 
Variance amounts less that $1 will still be displayed and should be investigated and resolved.</t>
        </r>
      </text>
    </comment>
    <comment ref="C5" authorId="0" shapeId="0" xr:uid="{00000000-0006-0000-0C00-000003000000}">
      <text>
        <r>
          <rPr>
            <sz val="11"/>
            <color theme="1"/>
            <rFont val="Calibri"/>
            <family val="2"/>
            <scheme val="minor"/>
          </rPr>
          <t>Current Budget Total from Budget Tracking tab. This total will include all budget updates to date.</t>
        </r>
      </text>
    </comment>
    <comment ref="E5" authorId="0" shapeId="0" xr:uid="{00000000-0006-0000-0C00-000004000000}">
      <text>
        <r>
          <rPr>
            <sz val="11"/>
            <color theme="1"/>
            <rFont val="Calibri"/>
            <family val="2"/>
            <scheme val="minor"/>
          </rPr>
          <t xml:space="preserve">Is there a variance between TAF and the Current Budget?
- Is there a budget surplus or need for funding? The budget should match the TAF unless there is a budget surplus or need for funding, in that case the variance will exist to flag this.
- Check that the TAF in Target Tracking includes all approved funding. Is all the funding approved in Target Tracking? Only approved funding updates are used to calculate the TAF. Check the Total Proposed Targets to see if funding changes are in progress that would resolve the budget variance once approved.
- Is your budget breakdown correct in Budget Tracking? Have you included the full budget amount? 
- Is a budget update needed?
- Have you allocated your contingency and management reserve in Budget Tracking?
- Is there a formula error in one of the tabs (Audit, Budget Tracking, Target Tracking)?
</t>
        </r>
      </text>
    </comment>
    <comment ref="C6" authorId="0" shapeId="0" xr:uid="{00000000-0006-0000-0C00-000005000000}">
      <text>
        <r>
          <rPr>
            <sz val="11"/>
            <color theme="1"/>
            <rFont val="Calibri"/>
            <family val="2"/>
            <scheme val="minor"/>
          </rPr>
          <t xml:space="preserve">Current Budget Total from Budget Details Report tab. The Budget Details Report tab is a mirror of the Budget Tracking tab. All PAID entries from the Budget Tracking tab will automatically have a corresponding entry in Budget Details tab. </t>
        </r>
      </text>
    </comment>
    <comment ref="E6" authorId="0" shapeId="0" xr:uid="{00000000-0006-0000-0C00-000006000000}">
      <text>
        <r>
          <rPr>
            <sz val="11"/>
            <color theme="1"/>
            <rFont val="Calibri"/>
            <family val="2"/>
            <scheme val="minor"/>
          </rPr>
          <t xml:space="preserve">Is there a variance between Current Budget from Budget Tracking and Budget Details tab? If there is a variance that means the Budget Details tab is not set up correctly and/or there is an issue with the mirrored table.
The Budget Details Report is a mirror of the Budget Tracking tab meaning that the each table has the same number of rows in the same order. Information entered in Budget Tracking flows through to the Budget Details Report tab. If there is a variance between the two tabs it is likely due to issues with the tables not matching rows.
- Does each table has the same number of rows? Check that each row number in column A is sequential.
- Are the Budget Details rows missing formulas?
- Is there a formula error in one of the tabs (Audit, Budget Tracking, Target Tracking)?
- Are column A row numbers missing, duplicated or out of order in either tab?
- Are formulas missing in Budget Details tab?
- Have new additional rows (60+) been added to Budget Tracking? Did the same rows get added to the Budget Details tab? </t>
        </r>
      </text>
    </comment>
    <comment ref="E8" authorId="0" shapeId="0" xr:uid="{00000000-0006-0000-0C00-000007000000}">
      <text>
        <r>
          <rPr>
            <sz val="11"/>
            <color theme="1"/>
            <rFont val="Calibri"/>
            <family val="2"/>
            <scheme val="minor"/>
          </rPr>
          <t xml:space="preserve">Is there a variance between EAC and TAF? 
- Is there a budget surplus or need for funding? The EAC should match the TAF unless there is a budget surplus or need for funding, in that case the variance will exist to flag this.
- Check that the TAF in Target Tracking includes all approved funding. Is all the funding approved in Target Tracking? Only approved funding updates are used to calculate the TAF. Check the Total Proposed Targets to see if funding changes are in progress that would resolve the budget variance once approved.
- Have you updated the EAC?
- Have you included and updated known Future / Not Awarded and/or placeholder items?
- Does the EAC include all vendors/contracts from Vendor Listing? Have new contracts been added?
- Is the Current Commitment for contracts in Vendor Listing correct?
- Is the contingency and management included in EAC?
- Do the contingency and management reserve amounts need to be updated? Has it been reallocated due to change orders? Etc.
- Are you reviewing and updating future commitment amounts?
- Is there a formula error in one of the tabs (Audit, EAC, Target Tracking)?
</t>
        </r>
      </text>
    </comment>
    <comment ref="E9" authorId="0" shapeId="0" xr:uid="{00000000-0006-0000-0C00-000008000000}">
      <text>
        <r>
          <rPr>
            <sz val="11"/>
            <color theme="1"/>
            <rFont val="Calibri"/>
            <family val="2"/>
            <scheme val="minor"/>
          </rPr>
          <t>Is there a variance between the EAC total and Budget Tracking EAC total? If you have a variance you may need to update the budget and/or update the EAC.
- Are any vendors in EAC missing a PAID?
- Have any PAID code been updated in Budget Tracking without updating them in EAC?
- Are there duplicate PAIDs in Budget Tracking? All PAIDs in Budget Tracking must be unique.
- Is there a formula error in one of the tabs (Audit, EAC, Budget Tracking)?</t>
        </r>
      </text>
    </comment>
    <comment ref="E10" authorId="0" shapeId="0" xr:uid="{00000000-0006-0000-0C00-000009000000}">
      <text>
        <r>
          <rPr>
            <sz val="11"/>
            <color theme="1"/>
            <rFont val="Calibri"/>
            <family val="2"/>
            <scheme val="minor"/>
          </rPr>
          <t>Is there a variance between the EAC tab total and Budget Details tab EAC total? 
- If there is a variance with Budget Details tab but not with Budget Tracking that means the Budget Details tab is not set up correctly and/or there is an issue with the mirrored table.
The Budget Details Report is a mirror of the Budget Tracking tab meaning that the each table has the same number of rows in the same order. Information entered in Budget Tracking flows through to the Budget Details Report tab. If there is a variance in EAC between the two tabs it is likely due to issues with the tables not matching rows.
- Does each Budget table have the same number of rows? Check that each row number in column A is sequential.
- Are the Budget Details rows missing formulas?
- Are column A row numbers missing, duplicated or out of order in either tab?
- Are formulas missing in Budget Details tab?
- Have new additional rows (60+) been added to Budget Tracking? Did the same rows get added to the Budget Details tab? 
- Are there duplicate PAIDs in Budget Tracking? All PAIDs in Budget Tracking must be unique.</t>
        </r>
      </text>
    </comment>
    <comment ref="C12" authorId="0" shapeId="0" xr:uid="{00000000-0006-0000-0C00-00000A000000}">
      <text>
        <r>
          <rPr>
            <sz val="11"/>
            <color theme="1"/>
            <rFont val="Calibri"/>
            <family val="2"/>
            <scheme val="minor"/>
          </rPr>
          <t>This is the total invoice value for all entries in Cost Tracking tab regardless of approved status or holdback status. This total is not used for Cashflow actuals or Expenditures to Date.</t>
        </r>
      </text>
    </comment>
    <comment ref="C13" authorId="0" shapeId="0" xr:uid="{00000000-0006-0000-0C00-00000B000000}">
      <text>
        <r>
          <rPr>
            <sz val="11"/>
            <color theme="1"/>
            <rFont val="Calibri"/>
            <family val="2"/>
            <scheme val="minor"/>
          </rPr>
          <t>This is the total invoice value for all entries in Cost Tracking excluding any entries with a holdback 'Release' status. This total will also include all entries which have may not be approved or may not have a CMS release date. For this reason this total may not align with the total Cashflow 'actuals' in Cashflow tab or the Expenditures to Date totals in Vendor Listing, Budget Tracking, EAC.
If this total does not match Expenditures to Date, check the Total Invoice Value of invoices with a status of 'On Hold' or 'In Review' for invoices that have not been approved yet.</t>
        </r>
      </text>
    </comment>
    <comment ref="C14" authorId="0" shapeId="0" xr:uid="{00000000-0006-0000-0C00-00000C000000}">
      <text>
        <r>
          <rPr>
            <sz val="11"/>
            <color theme="1"/>
            <rFont val="Calibri"/>
            <family val="2"/>
            <scheme val="minor"/>
          </rPr>
          <t xml:space="preserve">This is the total value of invoices in Cost Tracking with a status of 'On Hold' or 'In Review' excluding any entries with a holdback 'Release' status. This value will NOT be part of Expenditures to Date or Cashflow 'actuals'. Invoices must have a status of 'Approved' to be included. This field flags 'YELLOW' if there is a value other than $0.
If you have a variance with Expenditures to Date or Cashflow 'actuals' check this value to see if the entries account for the difference. 
- Check Cost Tracking tab for invoices with a status of 'On Hold' or 'In Review'.
- If an invoice is On Hold or In Review and may be approved in later month, review the forecast amount in Cashflow for the vendor and adjust it into a future month as needed. </t>
        </r>
      </text>
    </comment>
    <comment ref="C15" authorId="0" shapeId="0" xr:uid="{00000000-0006-0000-0C00-00000D000000}">
      <text>
        <r>
          <rPr>
            <sz val="11"/>
            <color theme="1"/>
            <rFont val="Calibri"/>
            <family val="2"/>
            <scheme val="minor"/>
          </rPr>
          <t>This is the total value of invoices in Cost Tracking missing a Release Date and/or Fiscal Period entry excluding any entries with a holdback 'Release' status (sometimes there is over lap with the On Hold/In Review status). These invoices will NOT be included in Cashflow total of 'actuals' if these fields are empty. Invoices must have a Release Date and Fiscal Period entry to be pulled into the correct month/year Cashflow tab cell for each vendor as 'actuals'.
This field flags 'YELLOW' if there is a value other than $0.
If you have a variance with total Cashflow 'actuals' and EAC check this value to see if the entries account for the difference. 
- Check Cost Tracking tab for invoices missing a Release Date entry and/or Fiscal Period entry.
- Check that the Release Date entry is correct and in the date format is correct.
- Check that the Fiscal Period is correct and matches the Release Date year.</t>
        </r>
      </text>
    </comment>
    <comment ref="E16" authorId="0" shapeId="0" xr:uid="{00000000-0006-0000-0C00-00000E000000}">
      <text>
        <r>
          <rPr>
            <sz val="11"/>
            <color theme="1"/>
            <rFont val="Calibri"/>
            <family val="2"/>
            <scheme val="minor"/>
          </rPr>
          <t>Is there a variance between total Expenditures to Date in Vendor Listing and the Invoice Value Excluding Release in Cost Tracking?
- Check the Total Invoice Value from Cost Tracking Tab (On Hold and In Review) in Audit tab. Does this value account for the difference?
- Check Cost Tracking tab for invoices with a status of 'On Hold' or 'In Review'. Does this account for the difference?
- Is there a formula error or formula missing the the Expenditures to Date column of Vendor Listing tab?
- Are all vendors/contracts updated in Vendor Listing?
- Have vendor names or contract ID been updated? If so those vendors will need to be reselected in Cost Tracking.
- Do all vendors in Vendor Listing have a PAID selected?</t>
        </r>
      </text>
    </comment>
    <comment ref="E17" authorId="0" shapeId="0" xr:uid="{00000000-0006-0000-0C00-00000F000000}">
      <text>
        <r>
          <rPr>
            <sz val="11"/>
            <color theme="1"/>
            <rFont val="Calibri"/>
            <family val="2"/>
            <scheme val="minor"/>
          </rPr>
          <t>Is there a variance between total Expenditures to Date in Vendor Listing and the Expenditures total in Budget Tracking?
- Is there a formula error or formula missing in the Expenditures to Date column of Vendor Listing tab?
- Is there a formula error or formula missing in the Expenditures column of Budget Tracking?
- Are all vendors/contracts updated in Vendor Listing?
- Do all vendors in Vendor Listing have a PAID selected?
- Have PAID codes been updated in Budget Tracking? If so, the PAID will need to be manually reselected in Vendor Listing.</t>
        </r>
      </text>
    </comment>
    <comment ref="E18" authorId="0" shapeId="0" xr:uid="{00000000-0006-0000-0C00-000010000000}">
      <text>
        <r>
          <rPr>
            <sz val="11"/>
            <color theme="1"/>
            <rFont val="Calibri"/>
            <family val="2"/>
            <scheme val="minor"/>
          </rPr>
          <t>Is there a variance between total Expenditures to Date in Vendor Listing and the Expenditures to Date total in EAC tab?
- Have you updated the EAC?
- Does the EAC include all vendors/contracts from Vendor Listing? 
- Have new contracts/direct pay items been added?
- Is there a formula error in one of the tabs (Audit, EAC, Vendor Listing)?
- Are there missing PAIDs in EAC?
- Do the PAIDs in EAC match the PAIDs used for contracts in Vendor Listing?
- Have vendor names or contract ID been updated in Vendor Listing? If so those vendors will need to be reselected in EAC.
- Do all vendors in Vendor Listing have a PAID selected?</t>
        </r>
      </text>
    </comment>
    <comment ref="E19" authorId="0" shapeId="0" xr:uid="{00000000-0006-0000-0C00-000011000000}">
      <text>
        <r>
          <rPr>
            <sz val="11"/>
            <color theme="1"/>
            <rFont val="Calibri"/>
            <family val="2"/>
            <scheme val="minor"/>
          </rPr>
          <t xml:space="preserve">Is there a variance between total Expenditures to Date in Budget Details and the Invoice Value Excluding Release in Cost Tracking?
- Check the Total Invoice Value from Cost Tracking Tab (On Hold and In Review) in Audit tab. Does this value account for the difference?
- Check Cost Tracking tab for invoices with a status of 'On Hold' or 'In Review'. Does this account for the difference?
- Are there duplicate PAIDs in Budget Tracking?
- Is there a formula error or formula missing the the Expenditures column of Budget Tracking tab?
- Do all vendors in Vendor Listing have a PAID selected?
- Does each Budget table have the same number of rows? Check that each row number in column A is sequential with the same numbers.
- Are the Budget Details rows missing formulas?
- Are column A row numbers missing, duplicated or out of order in Budget Tracking or Budget Details tab?
- Have new additional rows (60+) been added to Budget Tracking? Did the same rows get added to the Budget Details tab? </t>
        </r>
      </text>
    </comment>
    <comment ref="E21" authorId="0" shapeId="0" xr:uid="{00000000-0006-0000-0C00-000012000000}">
      <text>
        <r>
          <rPr>
            <sz val="11"/>
            <color theme="1"/>
            <rFont val="Calibri"/>
            <family val="2"/>
            <scheme val="minor"/>
          </rPr>
          <t>Only applicable to Design Build and Design Bid Build delivery method. If either is selected as the delivery method in Validations tab and the Prime Contractor Summary tab is being used for the prime contractor contract this will flag if there are duplicates of change order entries between Change Tracking tab and CA Tracking tab. Both totals should match as any approved CAs from CA Tracking will be added to Change Tracking in the first row for the prime contractor.
If using the Prime Contractor Summary tab also use the CA Tracking tab for change order of DB or DBB projects.</t>
        </r>
      </text>
    </comment>
    <comment ref="C24" authorId="0" shapeId="0" xr:uid="{00000000-0006-0000-0C00-000013000000}">
      <text>
        <r>
          <rPr>
            <sz val="11"/>
            <color theme="1"/>
            <rFont val="Calibri"/>
            <family val="2"/>
            <scheme val="minor"/>
          </rPr>
          <t>Current Commitment total from Vendor Listing. This is the source of truth for current commitment values in the PFMT.
This includes all vendors/contracts with an Original Contract Value plus any approved amendments for the contract in Change Tracking tab.</t>
        </r>
      </text>
    </comment>
    <comment ref="C25" authorId="0" shapeId="0" xr:uid="{00000000-0006-0000-0C00-000014000000}">
      <text>
        <r>
          <rPr>
            <sz val="11"/>
            <color theme="1"/>
            <rFont val="Calibri"/>
            <family val="2"/>
            <scheme val="minor"/>
          </rPr>
          <t>Current Commitment in EAC pulls from the Vendor Listing Current Commitment for each Vendor/Contractor listed in EAC.</t>
        </r>
      </text>
    </comment>
    <comment ref="E25" authorId="0" shapeId="0" xr:uid="{00000000-0006-0000-0C00-000015000000}">
      <text>
        <r>
          <rPr>
            <sz val="11"/>
            <color theme="1"/>
            <rFont val="Calibri"/>
            <family val="2"/>
            <scheme val="minor"/>
          </rPr>
          <t>Is there a variance between Current Commitment in Vendor Listing and EAC tab?
- Have you updated the EAC?
- Does the EAC include all vendors/contracts from Vendor Listing? 
- Have new contracts/direct pay items been added?
- Is there a formula error in one of the tabs (Audit, EAC, Vendor Listing)?
- Have vendor names or contract ID been updated in Vendor Listing? If so those vendors will need to be reselected in EAC.</t>
        </r>
      </text>
    </comment>
    <comment ref="C26" authorId="0" shapeId="0" xr:uid="{00000000-0006-0000-0C00-000016000000}">
      <text>
        <r>
          <rPr>
            <sz val="11"/>
            <color theme="1"/>
            <rFont val="Calibri"/>
            <family val="2"/>
            <scheme val="minor"/>
          </rPr>
          <t>Current Commitment to Date in Budget Details pulls from the EAC Current Commitment based on the PAID selected.</t>
        </r>
      </text>
    </comment>
    <comment ref="E26" authorId="0" shapeId="0" xr:uid="{00000000-0006-0000-0C00-000017000000}">
      <text>
        <r>
          <rPr>
            <sz val="11"/>
            <color theme="1"/>
            <rFont val="Calibri"/>
            <family val="2"/>
            <scheme val="minor"/>
          </rPr>
          <t xml:space="preserve">Is there a variance between Current Commitment in Budget Details and in Vendor Listing?
- Are there duplicate PAIDs in Budget Tracking/Budget Details?
- Is there a formula error or formula missing in the Current Commitment column of Budget Details tab?
- Do all vendors in Vendor Listing have a PAID selected?
- Does each Budget table have the same number of rows? Check that each row number in column A is sequential.
- Are column A row numbers missing, duplicated or out of order in Budget Tracking or Budget Details tab?
- Have new additional rows (60+) been added to Budget Tracking? Did the same rows get added to the Budget Details tab? </t>
        </r>
      </text>
    </comment>
    <comment ref="C28" authorId="0" shapeId="0" xr:uid="{00000000-0006-0000-0C00-000018000000}">
      <text>
        <r>
          <rPr>
            <sz val="11"/>
            <color theme="1"/>
            <rFont val="Calibri"/>
            <family val="2"/>
            <scheme val="minor"/>
          </rPr>
          <t>This is the total project Cashflow from Cashflow tab including 'actuals' and future forecast amounts for all fiscal years of the project.</t>
        </r>
      </text>
    </comment>
    <comment ref="E28" authorId="0" shapeId="0" xr:uid="{00000000-0006-0000-0C00-000019000000}">
      <text>
        <r>
          <rPr>
            <sz val="11"/>
            <color theme="1"/>
            <rFont val="Calibri"/>
            <family val="2"/>
            <scheme val="minor"/>
          </rPr>
          <t>Is there a variance between total EAC from EAC tab and Total Cashflow from Cashflow tab?
- Have you updated the EAC?
- Have you included and updated known Future / Not Awarded and/or placeholder items?
- Does the EAC include all vendors/contracts from Vendor Listing? Have new contracts been added?
- Is the Current Commitment for contracts in Vendor Listing correct?
- Is the contingency and management included in EAC?
- Do the contingency and management reserve amounts need to be updated? Has it been reallocated due to change orders? Etc.
- Are you reviewing and updating future commitment amounts in EAC?
- Check the Total Invoice Value from Cost Tracking Tab (On Hold and In Review) in Audit tab. Does this value account for the difference?
- Check Cost Tracking tab for invoices with a status of 'On Hold' or 'In Review'. Does this account for the difference?
- Is there a formula error in one of the tabs (Audit, EAC, Cashflow)?
- Have you allocated cashflow for all vendors/contracts in Cashflow tab? 
- Are future forecast amounts updated based on current EAC?
- Has the cashflow 'actuals' formula been applied for all items up to the previous month?
- Are invoice amounts missing from actual totals in Cashflow?
- Check the Total Invoice Value from Cost Tracking Tab (On Hold and In Review) in Audit tab. Does this value account for the difference?
- Check Cost Tracking tab for invoices with a status of 'On Hold' or 'In Review'. Does this account for the difference? 
- Check the Total Invoice Value from Cost Tracking (missing Release Date and/or Fiscal Period) in Audit tab. Does this value account for the difference?
- Check that the Release Date entry is correct and in the date format is correct in Cost Tracking for missing invoice amounts.
- Check that the Fiscal Period is correct and matches the Release Date year in Cost Tracking for missing invoice amounts.
- Does each table have the same number of rows? Check that each row number in column A is sequential with the same numbers.
- Are column A row numbers missing, duplicated or out of order in either tab?
- Have new additional rows (60+) been added to EAC or Cashflow?</t>
        </r>
      </text>
    </comment>
    <comment ref="C29" authorId="0" shapeId="0" xr:uid="{00000000-0006-0000-0C00-00001A000000}">
      <text>
        <r>
          <rPr>
            <sz val="11"/>
            <color theme="1"/>
            <rFont val="Calibri"/>
            <family val="2"/>
            <scheme val="minor"/>
          </rPr>
          <t>This is the amount of Cashflow that has not been allocated based on the current EAC total. If EAC and Cashflow match there is no unallocated cashflow.</t>
        </r>
      </text>
    </comment>
    <comment ref="E29" authorId="0" shapeId="0" xr:uid="{00000000-0006-0000-0C00-00001B000000}">
      <text>
        <r>
          <rPr>
            <sz val="11"/>
            <color theme="1"/>
            <rFont val="Calibri"/>
            <family val="2"/>
            <scheme val="minor"/>
          </rPr>
          <t xml:space="preserve">Is the Unallocated Cashflow Total NOT $0? In the PFMT you cashflow to the EAC.
- Have you allocated cashflow for all vendors/contracts in Cashflow tab? 
- Are future forecast amounts updated based on current EAC?
- Has the cashflow 'actuals' formula been applied for all items up to the previous month?
- Has the EAC been updated?
- Has the contingency and Management Reserve been reallocated?
- Does cashflow match EAC?
- Are invoice amounts missing from actual totals in Cashflow?
- Check the Total Invoice Value from Cost Tracking Tab (On Hold and In Review) in Audit tab. Does this value account for the difference?
- Check Cost Tracking tab for invoices with a status of 'On Hold' or 'In Review'. Does this account for the difference? 
- Check the Total Invoice Value from Cost Tracking (missing Release Date and/or Fiscal Period) in Audit tab. Does this value account for the difference?
- Check that the Release Date entry is correct and in the date format is correct in Cost Tracking for missing invoice amounts.
- Check that the Fiscal Period is correct and matches the Release Date year in Cost Tracking for missing invoice amounts.
</t>
        </r>
      </text>
    </comment>
    <comment ref="C30" authorId="0" shapeId="0" xr:uid="{00000000-0006-0000-0C00-00001C000000}">
      <text>
        <r>
          <rPr>
            <sz val="11"/>
            <color theme="1"/>
            <rFont val="Calibri"/>
            <family val="2"/>
            <scheme val="minor"/>
          </rPr>
          <t>A Cashflow baseline should be set once a baseline budget is allocated and the cashflow forecast is recorded. The baseline then can be updated annually or at key milestones.</t>
        </r>
      </text>
    </comment>
    <comment ref="D30" authorId="0" shapeId="0" xr:uid="{00000000-0006-0000-0C00-00001D000000}">
      <text>
        <r>
          <rPr>
            <sz val="11"/>
            <color theme="1"/>
            <rFont val="Calibri"/>
            <family val="2"/>
            <scheme val="minor"/>
          </rPr>
          <t>Date of the last baseline update in Cashflow tab. This is done manually. Refer to Cashflow tab for instructions.</t>
        </r>
      </text>
    </comment>
    <comment ref="E30" authorId="0" shapeId="0" xr:uid="{00000000-0006-0000-0C00-00001E000000}">
      <text>
        <r>
          <rPr>
            <sz val="11"/>
            <color theme="1"/>
            <rFont val="Calibri"/>
            <family val="2"/>
            <scheme val="minor"/>
          </rPr>
          <t>The baseline can be manually set and updated in Cashflow tab. Refer to instructions in the Cashflow tab for setting or updating your baseline. This can be done as needed or annually. 
This item will flag if the baseline has not been set or if it has not been updated in over a year. The date of the last baseline line update will display in D30. This date is manually entered in Cashflow tab.</t>
        </r>
      </text>
    </comment>
    <comment ref="C32" authorId="0" shapeId="0" xr:uid="{00000000-0006-0000-0C00-00001F000000}">
      <text>
        <r>
          <rPr>
            <sz val="11"/>
            <color theme="1"/>
            <rFont val="Calibri"/>
            <family val="2"/>
            <scheme val="minor"/>
          </rPr>
          <t>This is the total EAC value of all items assigned to a PAID with a category of 'Contingency', including:
Design Contingency, Construction Contingency, Professional Contingency.</t>
        </r>
      </text>
    </comment>
    <comment ref="E32" authorId="0" shapeId="0" xr:uid="{00000000-0006-0000-0C00-000020000000}">
      <text>
        <r>
          <rPr>
            <sz val="11"/>
            <color theme="1"/>
            <rFont val="Calibri"/>
            <family val="2"/>
            <scheme val="minor"/>
          </rPr>
          <t>This is the percentage of Contingency based on Total Contract Commitments from Vendor Listing.</t>
        </r>
      </text>
    </comment>
    <comment ref="C33" authorId="0" shapeId="0" xr:uid="{00000000-0006-0000-0C00-000021000000}">
      <text>
        <r>
          <rPr>
            <sz val="11"/>
            <color theme="1"/>
            <rFont val="Calibri"/>
            <family val="2"/>
            <scheme val="minor"/>
          </rPr>
          <t>This is the total EAC value of all items assigned to a PAID with a category of 'Allowance'.</t>
        </r>
      </text>
    </comment>
    <comment ref="E33" authorId="0" shapeId="0" xr:uid="{00000000-0006-0000-0C00-000022000000}">
      <text>
        <r>
          <rPr>
            <sz val="11"/>
            <color theme="1"/>
            <rFont val="Calibri"/>
            <family val="2"/>
            <scheme val="minor"/>
          </rPr>
          <t>This is the percentage of Allowance based on Total Contract Commitments from Vendor Listing.</t>
        </r>
      </text>
    </comment>
    <comment ref="C34" authorId="0" shapeId="0" xr:uid="{00000000-0006-0000-0C00-000023000000}">
      <text>
        <r>
          <rPr>
            <sz val="11"/>
            <color theme="1"/>
            <rFont val="Calibri"/>
            <family val="2"/>
            <scheme val="minor"/>
          </rPr>
          <t>This is the total EAC value of all items assigned to a PAID with a category of 'Management Reserve'.</t>
        </r>
      </text>
    </comment>
    <comment ref="E34" authorId="0" shapeId="0" xr:uid="{00000000-0006-0000-0C00-000024000000}">
      <text>
        <r>
          <rPr>
            <sz val="11"/>
            <color theme="1"/>
            <rFont val="Calibri"/>
            <family val="2"/>
            <scheme val="minor"/>
          </rPr>
          <t>This is the percentage of Management Reserve based on Total Contract Commitments from Vendor Listing.</t>
        </r>
      </text>
    </comment>
    <comment ref="C35" authorId="0" shapeId="0" xr:uid="{00000000-0006-0000-0C00-000025000000}">
      <text>
        <r>
          <rPr>
            <sz val="11"/>
            <color theme="1"/>
            <rFont val="Calibri"/>
            <family val="2"/>
            <scheme val="minor"/>
          </rPr>
          <t>This is the sum value of Total Contingency, Total Allowance, and Total Management Reserve.</t>
        </r>
      </text>
    </comment>
    <comment ref="E35" authorId="0" shapeId="0" xr:uid="{00000000-0006-0000-0C00-000026000000}">
      <text>
        <r>
          <rPr>
            <sz val="11"/>
            <color theme="1"/>
            <rFont val="Calibri"/>
            <family val="2"/>
            <scheme val="minor"/>
          </rPr>
          <t>This is the percentage of all Potential Surplus (Total Contingency, Total Allowance, and Total Management Reserve) based on Total Contract Commitments from Vendor Listing.</t>
        </r>
      </text>
    </comment>
    <comment ref="C36" authorId="0" shapeId="0" xr:uid="{00000000-0006-0000-0C00-000027000000}">
      <text>
        <r>
          <rPr>
            <sz val="11"/>
            <color theme="1"/>
            <rFont val="Calibri"/>
            <family val="2"/>
            <scheme val="minor"/>
          </rPr>
          <t>Formula:
=Contingency/((EAC-MR-Expenditures)
KPI not relevant for LF grant funded projects.</t>
        </r>
      </text>
    </comment>
    <comment ref="C38" authorId="0" shapeId="0" xr:uid="{00000000-0006-0000-0C00-000028000000}">
      <text>
        <r>
          <rPr>
            <sz val="11"/>
            <color theme="1"/>
            <rFont val="Calibri"/>
            <family val="2"/>
            <scheme val="minor"/>
          </rPr>
          <t>This is the percentage of project budget complete of TAF based on expenditures to date.
=Expenditures to Date/TAF</t>
        </r>
      </text>
    </comment>
    <comment ref="C39" authorId="0" shapeId="0" xr:uid="{00000000-0006-0000-0C00-000029000000}">
      <text>
        <r>
          <rPr>
            <sz val="11"/>
            <color theme="1"/>
            <rFont val="Calibri"/>
            <family val="2"/>
            <scheme val="minor"/>
          </rPr>
          <t>This is the percentage of project budget complete of EAC based on expenditures to date.
=Expenditures to Date/EAC
Note: The % Budget Complete (of EAC) may be a different value if there is a budget surplus or the EAC is higher than the current approved project funding.</t>
        </r>
      </text>
    </comment>
    <comment ref="C41" authorId="0" shapeId="0" xr:uid="{00000000-0006-0000-0C00-00002A000000}">
      <text>
        <r>
          <rPr>
            <sz val="11"/>
            <color theme="1"/>
            <rFont val="Calibri"/>
            <family val="2"/>
            <scheme val="minor"/>
          </rPr>
          <t>Do you have any contracts in Vendor Listing that are expired or expiring within 30 days?
- Check Vendor Listing for any contract with an end date that is flagged 'RED'.
- Update contract information and contract end dates to align with CMS.
- Has the contract been closed in CMS? Update the contract status to 'Closed' in Vendor Listing. Once a contract status is 'Closed' in Vendor Listing it will no longer be flagged.</t>
        </r>
      </text>
    </comment>
    <comment ref="C43" authorId="0" shapeId="0" xr:uid="{00000000-0006-0000-0C00-00002B000000}">
      <text>
        <r>
          <rPr>
            <sz val="11"/>
            <color theme="1"/>
            <rFont val="Calibri"/>
            <family val="2"/>
            <scheme val="minor"/>
          </rPr>
          <t>Vendors missing PAIDs in Vendor Listing? 
Check Vendor Listing tab and ensure all vendors/contracts listed have a PAID selected.
The PAID must be selected for all vendors/contracts for the Expenditures to Date and cashflows 'actuals' to be applied to the vendor.</t>
        </r>
      </text>
    </comment>
    <comment ref="C44" authorId="0" shapeId="0" xr:uid="{00000000-0006-0000-0C00-00002C000000}">
      <text>
        <r>
          <rPr>
            <sz val="11"/>
            <color theme="1"/>
            <rFont val="Calibri"/>
            <family val="2"/>
            <scheme val="minor"/>
          </rPr>
          <t>Vendors in EAC missing PAIDs? 
Check EAC tab and ensure all vendors/contracts listed have a PAID selected.
The PAID must be selected for the Expenditures to Date and cashflows 'actuals' to be applied to the vendor. For contracts listed in Vendor Listing the PAID must match what is entered in Vendor Listing.</t>
        </r>
      </text>
    </comment>
    <comment ref="C45" authorId="0" shapeId="0" xr:uid="{00000000-0006-0000-0C00-00002D000000}">
      <text>
        <r>
          <rPr>
            <sz val="11"/>
            <color theme="1"/>
            <rFont val="Calibri"/>
            <family val="2"/>
            <scheme val="minor"/>
          </rPr>
          <t>Are all contracts/vendors listed in the EAC Tab? This flags vendors listed in Vendor Listing which do not a corresponding entry in the EAC tab. All vendors/contracts in Vendor Listing with a commitment must be have a corresponding entry in EAC or they will not be included in EAC totals or Cashflow! 
- Check the EAC and Vendor Listing tabs for missing vendors.
- Check that new vendors have been added to the EAC tab.
- Check if vendor names have been updated in Vendor Listing and update them accordingly in the EAC tab. 
- Check if placeholders have been updated or replaced with contracts.</t>
        </r>
      </text>
    </comment>
    <comment ref="C47" authorId="0" shapeId="0" xr:uid="{00000000-0006-0000-0C00-00002E000000}">
      <text>
        <r>
          <rPr>
            <sz val="11"/>
            <color theme="1"/>
            <rFont val="Calibri"/>
            <family val="2"/>
            <scheme val="minor"/>
          </rPr>
          <t>Are there duplicate PAID codes in Budget Tracking? All PAID codes in Budget Tracking must be unique. If you have duplicate PAIDs it may cause variances in Expenditures to Date across the file.
- Check the Budget Tracking tab for any duplicate PAIDs. Update duplicate PAIDs to ensure they are all unique.</t>
        </r>
      </text>
    </comment>
    <comment ref="C48" authorId="0" shapeId="0" xr:uid="{00000000-0006-0000-0C00-00002F000000}">
      <text>
        <r>
          <rPr>
            <sz val="11"/>
            <color theme="1"/>
            <rFont val="Calibri"/>
            <family val="2"/>
            <scheme val="minor"/>
          </rPr>
          <t>Has the Cashflow 'actuals' formula been pulled over for all PAIDs/Vendors in Cashflow tab up to the previous month? 
If NO, then the actuals/expenditures to date from Cost Tracking will not be reflected in Cashflow tab. 
- Check Cashflow tab and ensure the 'actuals' formula is applied for all PAIDs/Vendors in Cashflow tab up to the previous month. 
- Check Cashflow tab for any 'actual' formula cell that may have been overwritten, deleted, or had the formula changed by mistake.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towo.z.adeyemi</author>
  </authors>
  <commentList>
    <comment ref="B1" authorId="0" shapeId="0" xr:uid="{00000000-0006-0000-0D00-000001000000}">
      <text>
        <r>
          <rPr>
            <b/>
            <sz val="9"/>
            <color indexed="81"/>
            <rFont val="Tahoma"/>
            <family val="2"/>
          </rPr>
          <t>To balance the SFC, the following must occur:</t>
        </r>
        <r>
          <rPr>
            <sz val="9"/>
            <color indexed="81"/>
            <rFont val="Tahoma"/>
            <family val="2"/>
          </rPr>
          <t xml:space="preserve">
To balance the SFC, the following values must be equal at project completion:
TAF = Current Budget (Budget Tracking &amp; Budget Details)
= EAC (in EAC, Budget Tracking &amp; Budget Details)
= Total Invoice Value and Expenditures (Vendor Listing, Budget Tracking, EAC &amp; Budget Details)
= Current Commitments (In Vendor Listing, EAC &amp; Budget Details)
Also:
All variances in the SFC sheet should be equal to zero.</t>
        </r>
      </text>
    </comment>
    <comment ref="M1" authorId="0" shapeId="0" xr:uid="{00000000-0006-0000-0D00-000002000000}">
      <text>
        <r>
          <rPr>
            <b/>
            <sz val="9"/>
            <color indexed="81"/>
            <rFont val="Tahoma"/>
            <family val="2"/>
          </rPr>
          <t xml:space="preserve">To balance the SFC, the Following must occur:
</t>
        </r>
        <r>
          <rPr>
            <sz val="9"/>
            <color indexed="81"/>
            <rFont val="Tahoma"/>
            <family val="2"/>
          </rPr>
          <t>To balance the SFC, the Following must be equal:
TAF = Current Budget (Budget Tracking&amp;Budget Deatils)
= EAC (in EAC, Budget Tracking &amp;Budget Details)
= Total invoice Value and Expenditure ( Vendor Listing, Budget Tracking, EAC &amp; Budget Details)
= Current Commitments (In Vendor Listing, EAC &amp; Budget Details)
Also:
All variances in the SFC sheet should be equal to zero.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spencer.shandro</author>
  </authors>
  <commentList>
    <comment ref="G11" authorId="0" shapeId="0" xr:uid="{00000000-0006-0000-0E00-000001000000}">
      <text>
        <r>
          <rPr>
            <sz val="9"/>
            <color indexed="81"/>
            <rFont val="Tahoma"/>
            <family val="2"/>
          </rPr>
          <t>Enter</t>
        </r>
        <r>
          <rPr>
            <b/>
            <sz val="9"/>
            <color indexed="81"/>
            <rFont val="Tahoma"/>
            <family val="2"/>
          </rPr>
          <t xml:space="preserve">: </t>
        </r>
        <r>
          <rPr>
            <sz val="9"/>
            <color indexed="81"/>
            <rFont val="Tahoma"/>
            <family val="2"/>
          </rPr>
          <t>Day - Month - Year
Example: 5-3-17 or 5/3/17= 5-Mar-17</t>
        </r>
      </text>
    </comment>
    <comment ref="B17" authorId="0" shapeId="0" xr:uid="{00000000-0006-0000-0E00-000002000000}">
      <text>
        <r>
          <rPr>
            <sz val="9"/>
            <color indexed="81"/>
            <rFont val="Tahoma"/>
            <family val="2"/>
          </rPr>
          <t xml:space="preserve">To add rows, copy row from above and "Insert Copied Cells".  </t>
        </r>
        <r>
          <rPr>
            <u/>
            <sz val="9"/>
            <color indexed="81"/>
            <rFont val="Tahoma"/>
            <family val="2"/>
          </rPr>
          <t>Do not</t>
        </r>
        <r>
          <rPr>
            <sz val="9"/>
            <color indexed="81"/>
            <rFont val="Tahoma"/>
            <family val="2"/>
          </rPr>
          <t xml:space="preserve"> just "Insert" rows as formulas may not work if done this way.</t>
        </r>
      </text>
    </comment>
    <comment ref="D27" authorId="0" shapeId="0" xr:uid="{00000000-0006-0000-0E00-000003000000}">
      <text>
        <r>
          <rPr>
            <sz val="9"/>
            <color indexed="81"/>
            <rFont val="Tahoma"/>
            <family val="2"/>
          </rPr>
          <t>E = Estimated Value
A = Awarded Value</t>
        </r>
      </text>
    </comment>
    <comment ref="B39" authorId="0" shapeId="0" xr:uid="{00000000-0006-0000-0E00-000004000000}">
      <text>
        <r>
          <rPr>
            <sz val="9"/>
            <color indexed="81"/>
            <rFont val="Tahoma"/>
            <family val="2"/>
          </rPr>
          <t xml:space="preserve">To add rows, copy row from above and "Insert Copied Cells".  </t>
        </r>
        <r>
          <rPr>
            <u/>
            <sz val="9"/>
            <color indexed="81"/>
            <rFont val="Tahoma"/>
            <family val="2"/>
          </rPr>
          <t>Do not</t>
        </r>
        <r>
          <rPr>
            <sz val="9"/>
            <color indexed="81"/>
            <rFont val="Tahoma"/>
            <family val="2"/>
          </rPr>
          <t xml:space="preserve"> just "Insert" rows as formulas may not work if done this way.</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alphonsus.liu</author>
    <author>craig.moonen</author>
    <author>spencer.shandro</author>
    <author>piya.john</author>
  </authors>
  <commentList>
    <comment ref="B13" authorId="0" shapeId="0" xr:uid="{00000000-0006-0000-0F00-000001000000}">
      <text>
        <r>
          <rPr>
            <sz val="9"/>
            <color indexed="81"/>
            <rFont val="Tahoma"/>
            <family val="2"/>
          </rPr>
          <t>To add rows, copy row from above and "Insert Copied Cells".  Do not just "Insert" rows as formulas may not work if done this way.</t>
        </r>
      </text>
    </comment>
    <comment ref="K15" authorId="1" shapeId="0" xr:uid="{00000000-0006-0000-0F00-000002000000}">
      <text>
        <r>
          <rPr>
            <sz val="9"/>
            <color indexed="81"/>
            <rFont val="Tahoma"/>
            <family val="2"/>
          </rPr>
          <t>Duplicate entries in this column will highlight.  There are instances where you may want to track and separate changes in separate rows.</t>
        </r>
      </text>
    </comment>
    <comment ref="U15" authorId="1" shapeId="0" xr:uid="{00000000-0006-0000-0F00-000003000000}">
      <text>
        <r>
          <rPr>
            <sz val="9"/>
            <color indexed="81"/>
            <rFont val="Tahoma"/>
            <family val="2"/>
          </rPr>
          <t>Duplicate entries in this column will highlight.  There are instances where you may want to track and separate changes in separate rows.</t>
        </r>
      </text>
    </comment>
    <comment ref="F16" authorId="1" shapeId="0" xr:uid="{00000000-0006-0000-0F00-000004000000}">
      <text>
        <r>
          <rPr>
            <sz val="9"/>
            <color indexed="81"/>
            <rFont val="Tahoma"/>
            <family val="2"/>
          </rPr>
          <t xml:space="preserve">The change origin.  Can be a number of areas and in some cases is captured on a document such as Request for Information, Site Instruction, User Change Request, Unsolicited Change Request
</t>
        </r>
      </text>
    </comment>
    <comment ref="H16" authorId="1" shapeId="0" xr:uid="{00000000-0006-0000-0F00-000005000000}">
      <text>
        <r>
          <rPr>
            <b/>
            <sz val="9"/>
            <color indexed="81"/>
            <rFont val="Tahoma"/>
            <family val="2"/>
          </rPr>
          <t>Reference contract for definition of how urgent changes are handled.</t>
        </r>
        <r>
          <rPr>
            <sz val="9"/>
            <color indexed="81"/>
            <rFont val="Tahoma"/>
            <family val="2"/>
          </rPr>
          <t xml:space="preserve">
</t>
        </r>
      </text>
    </comment>
    <comment ref="K16" authorId="1" shapeId="0" xr:uid="{00000000-0006-0000-0F00-000006000000}">
      <text>
        <r>
          <rPr>
            <b/>
            <sz val="9"/>
            <color indexed="81"/>
            <rFont val="Tahoma"/>
            <family val="2"/>
          </rPr>
          <t>Estimate from Consultant.</t>
        </r>
      </text>
    </comment>
    <comment ref="N16" authorId="1" shapeId="0" xr:uid="{00000000-0006-0000-0F00-000007000000}">
      <text>
        <r>
          <rPr>
            <b/>
            <sz val="9"/>
            <color indexed="81"/>
            <rFont val="Tahoma"/>
            <family val="2"/>
          </rPr>
          <t>Requesting the detailed contractual description of the change, full technical scope.</t>
        </r>
        <r>
          <rPr>
            <sz val="9"/>
            <color indexed="81"/>
            <rFont val="Tahoma"/>
            <family val="2"/>
          </rPr>
          <t xml:space="preserve">
</t>
        </r>
      </text>
    </comment>
    <comment ref="P16" authorId="1" shapeId="0" xr:uid="{00000000-0006-0000-0F00-000008000000}">
      <text>
        <r>
          <rPr>
            <b/>
            <sz val="9"/>
            <color indexed="81"/>
            <rFont val="Tahoma"/>
            <family val="2"/>
          </rPr>
          <t>Receive the pricing for the change from the Contractor.  May be documented on our forms or the Vendors forms.</t>
        </r>
      </text>
    </comment>
    <comment ref="AE16" authorId="1" shapeId="0" xr:uid="{00000000-0006-0000-0F00-000009000000}">
      <text>
        <r>
          <rPr>
            <b/>
            <sz val="9"/>
            <color indexed="81"/>
            <rFont val="Tahoma"/>
            <family val="2"/>
          </rPr>
          <t xml:space="preserve">Optional Section to assist with tracking of Deputy Minister Council or Other additional Approvals. </t>
        </r>
      </text>
    </comment>
    <comment ref="B21" authorId="1" shapeId="0" xr:uid="{00000000-0006-0000-0F00-00000A000000}">
      <text>
        <r>
          <rPr>
            <sz val="9"/>
            <color indexed="81"/>
            <rFont val="Tahoma"/>
            <family val="2"/>
          </rPr>
          <t>"Pending COW" - A COW Estimate has been provided and PCO has been issued, 
"Pending PCO" - Pricing has been proposed by the contractor
"Approved" - CO has been issued</t>
        </r>
      </text>
    </comment>
    <comment ref="C21" authorId="2" shapeId="0" xr:uid="{00000000-0006-0000-0F00-00000B000000}">
      <text>
        <r>
          <rPr>
            <sz val="9"/>
            <color indexed="81"/>
            <rFont val="Tahoma"/>
            <family val="2"/>
          </rPr>
          <t>Select "CA" if assigning Change Authorization to only one "pot" otherwise select applicable LOA (do not mix approaches i.e. assign some Change Authorizations to CA and others to LOA's). 
If Change Authorization impacts multiple LOA's (and you are not using the one "pot" approach for Change Authorizations) enter a line for each LOA (i.e. if the Change Authorization impacts 3 LOA's you will need to enter 3 lines in the spreadsheet.  Use the same CA#, but split the values as appropriate).</t>
        </r>
      </text>
    </comment>
    <comment ref="I21" authorId="2" shapeId="0" xr:uid="{00000000-0006-0000-0F00-00000C000000}">
      <text>
        <r>
          <rPr>
            <sz val="9"/>
            <color indexed="81"/>
            <rFont val="Tahoma"/>
            <family val="2"/>
          </rPr>
          <t>Enter</t>
        </r>
        <r>
          <rPr>
            <b/>
            <sz val="9"/>
            <color indexed="81"/>
            <rFont val="Tahoma"/>
            <family val="2"/>
          </rPr>
          <t xml:space="preserve">: </t>
        </r>
        <r>
          <rPr>
            <sz val="9"/>
            <color indexed="81"/>
            <rFont val="Tahoma"/>
            <family val="2"/>
          </rPr>
          <t>Day - Month - Year
Example: 5-3-17 or 5/3/17= 5-Mar-17</t>
        </r>
      </text>
    </comment>
    <comment ref="L21" authorId="2" shapeId="0" xr:uid="{00000000-0006-0000-0F00-00000D000000}">
      <text>
        <r>
          <rPr>
            <sz val="9"/>
            <color indexed="81"/>
            <rFont val="Tahoma"/>
            <family val="2"/>
          </rPr>
          <t>Enter</t>
        </r>
        <r>
          <rPr>
            <b/>
            <sz val="9"/>
            <color indexed="81"/>
            <rFont val="Tahoma"/>
            <family val="2"/>
          </rPr>
          <t xml:space="preserve">: </t>
        </r>
        <r>
          <rPr>
            <sz val="9"/>
            <color indexed="81"/>
            <rFont val="Tahoma"/>
            <family val="2"/>
          </rPr>
          <t>Day - Month - Year
Example: 5-3-17 or 5/3/17= 5-Mar-17</t>
        </r>
      </text>
    </comment>
    <comment ref="Q21" authorId="2" shapeId="0" xr:uid="{00000000-0006-0000-0F00-00000E000000}">
      <text>
        <r>
          <rPr>
            <sz val="9"/>
            <color indexed="81"/>
            <rFont val="Tahoma"/>
            <family val="2"/>
          </rPr>
          <t>Enter</t>
        </r>
        <r>
          <rPr>
            <b/>
            <sz val="9"/>
            <color indexed="81"/>
            <rFont val="Tahoma"/>
            <family val="2"/>
          </rPr>
          <t xml:space="preserve">: </t>
        </r>
        <r>
          <rPr>
            <sz val="9"/>
            <color indexed="81"/>
            <rFont val="Tahoma"/>
            <family val="2"/>
          </rPr>
          <t>Day - Month - Year
Example: 5-3-17 or 5/3/17= 5-Mar-17</t>
        </r>
      </text>
    </comment>
    <comment ref="V21" authorId="2" shapeId="0" xr:uid="{00000000-0006-0000-0F00-00000F000000}">
      <text>
        <r>
          <rPr>
            <sz val="9"/>
            <color indexed="81"/>
            <rFont val="Tahoma"/>
            <family val="2"/>
          </rPr>
          <t>Enter</t>
        </r>
        <r>
          <rPr>
            <b/>
            <sz val="9"/>
            <color indexed="81"/>
            <rFont val="Tahoma"/>
            <family val="2"/>
          </rPr>
          <t xml:space="preserve">: </t>
        </r>
        <r>
          <rPr>
            <sz val="9"/>
            <color indexed="81"/>
            <rFont val="Tahoma"/>
            <family val="2"/>
          </rPr>
          <t>Day - Month - Year
Example: 5-3-17 or 5/3/17= 5-Mar-17</t>
        </r>
      </text>
    </comment>
    <comment ref="Y21" authorId="1" shapeId="0" xr:uid="{00000000-0006-0000-0F00-000010000000}">
      <text>
        <r>
          <rPr>
            <b/>
            <sz val="9"/>
            <color indexed="81"/>
            <rFont val="Tahoma"/>
            <family val="2"/>
          </rPr>
          <t>Used as required to track individual CA billing.</t>
        </r>
      </text>
    </comment>
    <comment ref="U29" authorId="3" shapeId="0" xr:uid="{00000000-0006-0000-0F00-000011000000}">
      <text>
        <r>
          <rPr>
            <b/>
            <sz val="9"/>
            <color indexed="81"/>
            <rFont val="Tahoma"/>
            <family val="2"/>
          </rPr>
          <t>piya.john:</t>
        </r>
        <r>
          <rPr>
            <sz val="9"/>
            <color indexed="81"/>
            <rFont val="Tahoma"/>
            <family val="2"/>
          </rPr>
          <t xml:space="preserve">
issued under CO-00
02</t>
        </r>
      </text>
    </comment>
    <comment ref="U50" authorId="3" shapeId="0" xr:uid="{00000000-0006-0000-0F00-000012000000}">
      <text>
        <r>
          <rPr>
            <b/>
            <sz val="9"/>
            <color indexed="81"/>
            <rFont val="Tahoma"/>
            <family val="2"/>
          </rPr>
          <t>piya.john:</t>
        </r>
        <r>
          <rPr>
            <sz val="9"/>
            <color indexed="81"/>
            <rFont val="Tahoma"/>
            <family val="2"/>
          </rPr>
          <t xml:space="preserve">
issued under CO-001</t>
        </r>
      </text>
    </comment>
    <comment ref="P57" authorId="3" shapeId="0" xr:uid="{00000000-0006-0000-0F00-000013000000}">
      <text>
        <r>
          <rPr>
            <b/>
            <sz val="9"/>
            <color indexed="81"/>
            <rFont val="Tahoma"/>
            <family val="2"/>
          </rPr>
          <t>piya.john:</t>
        </r>
        <r>
          <rPr>
            <sz val="9"/>
            <color indexed="81"/>
            <rFont val="Tahoma"/>
            <family val="2"/>
          </rPr>
          <t xml:space="preserve">
issued under PCO-0016</t>
        </r>
      </text>
    </comment>
    <comment ref="X199" authorId="3" shapeId="0" xr:uid="{00000000-0006-0000-0F00-000014000000}">
      <text>
        <r>
          <rPr>
            <b/>
            <sz val="9"/>
            <color indexed="81"/>
            <rFont val="Tahoma"/>
            <family val="2"/>
          </rPr>
          <t>piya.john:</t>
        </r>
        <r>
          <rPr>
            <sz val="9"/>
            <color indexed="81"/>
            <rFont val="Tahoma"/>
            <family val="2"/>
          </rPr>
          <t xml:space="preserve">
addressed in another co</t>
        </r>
      </text>
    </comment>
    <comment ref="X200" authorId="3" shapeId="0" xr:uid="{00000000-0006-0000-0F00-000015000000}">
      <text>
        <r>
          <rPr>
            <b/>
            <sz val="9"/>
            <color indexed="81"/>
            <rFont val="Tahoma"/>
            <family val="2"/>
          </rPr>
          <t>piya.john:</t>
        </r>
        <r>
          <rPr>
            <sz val="9"/>
            <color indexed="81"/>
            <rFont val="Tahoma"/>
            <family val="2"/>
          </rPr>
          <t xml:space="preserve">
addressed in another co</t>
        </r>
      </text>
    </comment>
    <comment ref="K350" authorId="3" shapeId="0" xr:uid="{00000000-0006-0000-0F00-000016000000}">
      <text>
        <r>
          <rPr>
            <b/>
            <sz val="9"/>
            <color indexed="81"/>
            <rFont val="Tahoma"/>
            <family val="2"/>
          </rPr>
          <t>piya.john:</t>
        </r>
        <r>
          <rPr>
            <sz val="9"/>
            <color indexed="81"/>
            <rFont val="Tahoma"/>
            <family val="2"/>
          </rPr>
          <t xml:space="preserve">
refer to CO-0089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matthew.scotney</author>
    <author>spencer.shandro</author>
    <author>karolina.kowalski</author>
  </authors>
  <commentList>
    <comment ref="E7" authorId="0" shapeId="0" xr:uid="{00000000-0006-0000-1000-000001000000}">
      <text>
        <r>
          <rPr>
            <sz val="9"/>
            <color indexed="81"/>
            <rFont val="Tahoma"/>
            <family val="2"/>
          </rPr>
          <t>Value of estimates that have not formally been captured on a CARQ, COW's or PCO).</t>
        </r>
      </text>
    </comment>
    <comment ref="F7" authorId="0" shapeId="0" xr:uid="{00000000-0006-0000-1000-000002000000}">
      <text>
        <r>
          <rPr>
            <sz val="9"/>
            <color indexed="81"/>
            <rFont val="Tahoma"/>
            <family val="2"/>
          </rPr>
          <t>Value of estimates (CARQ, COW's and PCO) that have not received a Contractor Proposal.
Value based on the CARQ or COW estimate.</t>
        </r>
      </text>
    </comment>
    <comment ref="G7" authorId="0" shapeId="0" xr:uid="{00000000-0006-0000-1000-000003000000}">
      <text>
        <r>
          <rPr>
            <sz val="9"/>
            <color indexed="81"/>
            <rFont val="Tahoma"/>
            <family val="2"/>
          </rPr>
          <t xml:space="preserve">Value of Contractor Proposals that have not been followed up with a CA or CO. </t>
        </r>
      </text>
    </comment>
    <comment ref="E28" authorId="1" shapeId="0" xr:uid="{00000000-0006-0000-1000-000004000000}">
      <text>
        <r>
          <rPr>
            <sz val="9"/>
            <color indexed="81"/>
            <rFont val="Tahoma"/>
            <family val="2"/>
          </rPr>
          <t>Enter</t>
        </r>
        <r>
          <rPr>
            <b/>
            <sz val="9"/>
            <color indexed="81"/>
            <rFont val="Tahoma"/>
            <family val="2"/>
          </rPr>
          <t xml:space="preserve">: </t>
        </r>
        <r>
          <rPr>
            <sz val="9"/>
            <color indexed="81"/>
            <rFont val="Tahoma"/>
            <family val="2"/>
          </rPr>
          <t>Day - Month - Year
Example: 5-3-17 or 5/3/17= 5-Mar-17</t>
        </r>
      </text>
    </comment>
    <comment ref="H28" authorId="1" shapeId="0" xr:uid="{00000000-0006-0000-1000-000005000000}">
      <text>
        <r>
          <rPr>
            <sz val="9"/>
            <color indexed="81"/>
            <rFont val="Tahoma"/>
            <family val="2"/>
          </rPr>
          <t>Enter</t>
        </r>
        <r>
          <rPr>
            <b/>
            <sz val="9"/>
            <color indexed="81"/>
            <rFont val="Tahoma"/>
            <family val="2"/>
          </rPr>
          <t xml:space="preserve">: </t>
        </r>
        <r>
          <rPr>
            <sz val="9"/>
            <color indexed="81"/>
            <rFont val="Tahoma"/>
            <family val="2"/>
          </rPr>
          <t>Day - Month - Year
Example: 5-3-17 or 5/3/17= 5-Mar-17</t>
        </r>
      </text>
    </comment>
    <comment ref="J28" authorId="1" shapeId="0" xr:uid="{00000000-0006-0000-1000-000006000000}">
      <text>
        <r>
          <rPr>
            <sz val="9"/>
            <color indexed="81"/>
            <rFont val="Tahoma"/>
            <family val="2"/>
          </rPr>
          <t>Enter</t>
        </r>
        <r>
          <rPr>
            <b/>
            <sz val="9"/>
            <color indexed="81"/>
            <rFont val="Tahoma"/>
            <family val="2"/>
          </rPr>
          <t xml:space="preserve">: </t>
        </r>
        <r>
          <rPr>
            <sz val="9"/>
            <color indexed="81"/>
            <rFont val="Tahoma"/>
            <family val="2"/>
          </rPr>
          <t>Day - Month - Year
Example: 5-3-17 or 5/3/17= 5-Mar-17</t>
        </r>
      </text>
    </comment>
    <comment ref="L28" authorId="2" shapeId="0" xr:uid="{00000000-0006-0000-1000-000007000000}">
      <text>
        <r>
          <rPr>
            <sz val="9"/>
            <color indexed="81"/>
            <rFont val="Tahoma"/>
            <family val="2"/>
          </rPr>
          <t xml:space="preserve">Enter Allowance number followed by the Charge Order Number. [Allownance #].[Charge Order Ref #]
</t>
        </r>
      </text>
    </comment>
    <comment ref="M28" authorId="1" shapeId="0" xr:uid="{00000000-0006-0000-1000-000008000000}">
      <text>
        <r>
          <rPr>
            <sz val="9"/>
            <color indexed="81"/>
            <rFont val="Tahoma"/>
            <family val="2"/>
          </rPr>
          <t>Enter</t>
        </r>
        <r>
          <rPr>
            <b/>
            <sz val="9"/>
            <color indexed="81"/>
            <rFont val="Tahoma"/>
            <family val="2"/>
          </rPr>
          <t xml:space="preserve">: </t>
        </r>
        <r>
          <rPr>
            <sz val="9"/>
            <color indexed="81"/>
            <rFont val="Tahoma"/>
            <family val="2"/>
          </rPr>
          <t>Day - Month - Year
Example: 5-3-17 or 5/3/17= 5-Mar-17</t>
        </r>
      </text>
    </comment>
    <comment ref="B74" authorId="1" shapeId="0" xr:uid="{00000000-0006-0000-1000-000009000000}">
      <text>
        <r>
          <rPr>
            <sz val="9"/>
            <color indexed="81"/>
            <rFont val="Tahoma"/>
            <family val="2"/>
          </rPr>
          <t xml:space="preserve">To add rows, copy row from above and "Insert Copied Cells".  </t>
        </r>
        <r>
          <rPr>
            <u/>
            <sz val="9"/>
            <color indexed="81"/>
            <rFont val="Tahoma"/>
            <family val="2"/>
          </rPr>
          <t>Do not</t>
        </r>
        <r>
          <rPr>
            <sz val="9"/>
            <color indexed="81"/>
            <rFont val="Tahoma"/>
            <family val="2"/>
          </rPr>
          <t xml:space="preserve"> just "Insert" rows as formulas may not work if done this way.</t>
        </r>
      </text>
    </comment>
    <comment ref="B75" authorId="1" shapeId="0" xr:uid="{00000000-0006-0000-1000-00000A000000}">
      <text>
        <r>
          <rPr>
            <sz val="9"/>
            <color indexed="81"/>
            <rFont val="Tahoma"/>
            <family val="2"/>
          </rPr>
          <t xml:space="preserve">To add rows, copy row from above and "Insert Copied Cells".  </t>
        </r>
        <r>
          <rPr>
            <u/>
            <sz val="9"/>
            <color indexed="81"/>
            <rFont val="Tahoma"/>
            <family val="2"/>
          </rPr>
          <t>Do not</t>
        </r>
        <r>
          <rPr>
            <sz val="9"/>
            <color indexed="81"/>
            <rFont val="Tahoma"/>
            <family val="2"/>
          </rPr>
          <t xml:space="preserve"> just "Insert" rows as formulas may not work if done this way.</t>
        </r>
      </text>
    </comment>
    <comment ref="B76" authorId="1" shapeId="0" xr:uid="{00000000-0006-0000-1000-00000B000000}">
      <text>
        <r>
          <rPr>
            <sz val="9"/>
            <color indexed="81"/>
            <rFont val="Tahoma"/>
            <family val="2"/>
          </rPr>
          <t xml:space="preserve">To add rows, copy row from above and "Insert Copied Cells".  </t>
        </r>
        <r>
          <rPr>
            <u/>
            <sz val="9"/>
            <color indexed="81"/>
            <rFont val="Tahoma"/>
            <family val="2"/>
          </rPr>
          <t>Do not</t>
        </r>
        <r>
          <rPr>
            <sz val="9"/>
            <color indexed="81"/>
            <rFont val="Tahoma"/>
            <family val="2"/>
          </rPr>
          <t xml:space="preserve"> just "Insert" rows as formulas may not work if done this way.</t>
        </r>
      </text>
    </comment>
    <comment ref="B77" authorId="1" shapeId="0" xr:uid="{00000000-0006-0000-1000-00000C000000}">
      <text>
        <r>
          <rPr>
            <sz val="9"/>
            <color indexed="81"/>
            <rFont val="Tahoma"/>
            <family val="2"/>
          </rPr>
          <t xml:space="preserve">To add rows, copy row from above and "Insert Copied Cells".  </t>
        </r>
        <r>
          <rPr>
            <u/>
            <sz val="9"/>
            <color indexed="81"/>
            <rFont val="Tahoma"/>
            <family val="2"/>
          </rPr>
          <t>Do not</t>
        </r>
        <r>
          <rPr>
            <sz val="9"/>
            <color indexed="81"/>
            <rFont val="Tahoma"/>
            <family val="2"/>
          </rPr>
          <t xml:space="preserve"> just "Insert" rows as formulas may not work if done this way.</t>
        </r>
      </text>
    </comment>
    <comment ref="B78" authorId="1" shapeId="0" xr:uid="{00000000-0006-0000-1000-00000D000000}">
      <text>
        <r>
          <rPr>
            <sz val="9"/>
            <color indexed="81"/>
            <rFont val="Tahoma"/>
            <family val="2"/>
          </rPr>
          <t xml:space="preserve">To add rows, copy row from above and "Insert Copied Cells".  </t>
        </r>
        <r>
          <rPr>
            <u/>
            <sz val="9"/>
            <color indexed="81"/>
            <rFont val="Tahoma"/>
            <family val="2"/>
          </rPr>
          <t>Do not</t>
        </r>
        <r>
          <rPr>
            <sz val="9"/>
            <color indexed="81"/>
            <rFont val="Tahoma"/>
            <family val="2"/>
          </rPr>
          <t xml:space="preserve"> just "Insert" rows as formulas may not work if done this way.</t>
        </r>
      </text>
    </comment>
    <comment ref="B79" authorId="1" shapeId="0" xr:uid="{00000000-0006-0000-1000-00000E000000}">
      <text>
        <r>
          <rPr>
            <sz val="9"/>
            <color indexed="81"/>
            <rFont val="Tahoma"/>
            <family val="2"/>
          </rPr>
          <t xml:space="preserve">To add rows, copy row from above and "Insert Copied Cells".  </t>
        </r>
        <r>
          <rPr>
            <u/>
            <sz val="9"/>
            <color indexed="81"/>
            <rFont val="Tahoma"/>
            <family val="2"/>
          </rPr>
          <t>Do not</t>
        </r>
        <r>
          <rPr>
            <sz val="9"/>
            <color indexed="81"/>
            <rFont val="Tahoma"/>
            <family val="2"/>
          </rPr>
          <t xml:space="preserve"> just "Insert" rows as formulas may not work if done this way.</t>
        </r>
      </text>
    </comment>
    <comment ref="B90" authorId="1" shapeId="0" xr:uid="{00000000-0006-0000-1000-000010000000}">
      <text>
        <r>
          <rPr>
            <sz val="9"/>
            <color indexed="81"/>
            <rFont val="Tahoma"/>
            <family val="2"/>
          </rPr>
          <t xml:space="preserve">To add rows, copy row from above and "Insert Copied Cells".  </t>
        </r>
        <r>
          <rPr>
            <u/>
            <sz val="9"/>
            <color indexed="81"/>
            <rFont val="Tahoma"/>
            <family val="2"/>
          </rPr>
          <t>Do not</t>
        </r>
        <r>
          <rPr>
            <sz val="9"/>
            <color indexed="81"/>
            <rFont val="Tahoma"/>
            <family val="2"/>
          </rPr>
          <t xml:space="preserve"> just "Insert" rows as formulas may not work if done this way.</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Capital Plan Lines" description="Connection to the 'Capital Plan Lines' query in the workbook." type="5" refreshedVersion="0" background="1">
    <dbPr connection="Provider=Microsoft.Mashup.OleDb.1;Data Source=$Workbook$;Location=&quot;Capital Plan Lines&quot;;Extended Properties=&quot;&quot;" command="SELECT * FROM [Capital Plan Lines]"/>
  </connection>
  <connection id="2" xr16:uid="{00000000-0015-0000-FFFF-FFFF01000000}" keepAlive="1" name="Query - Funding Lines" description="Connection to the 'Funding Lines' query in the workbook." type="5" refreshedVersion="8" refreshOnLoad="1" saveData="1">
    <dbPr connection="Provider=Microsoft.Mashup.OleDb.1;Data Source=$Workbook$;Location=Funding Lines;Extended Properties=&quot;&quot;" command="SELECT * FROM [Funding Lin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<sst xmlns="http://schemas.openxmlformats.org/spreadsheetml/2006/main" count="18172" uniqueCount="7936">
  <si>
    <t>OVERVIEW:
The Validations sheet provides the source of all "drop down" fields (Data Validation) for the remainder of the Workbook.  Most are set as defaults, but there are a few places that are to be set up by the PM for the project.
Auth. Ref: Authorization Reference, used for authorizations within contracts.  For CM that would be LOA’s.  For DB/DBB, use CA (cash allowance) and UNA (authorized portion of your contract value).
Fiscal Year: Set up your project and enter all of the Fiscal Years that your project is expected to span.
Phase | Subproject:  The sheet allows for breaking down complex projects into multiple phases and subprojects should you need them.
Funding Source: Enter your Project ID/unique CMS numbers, plus a description of the source.</t>
  </si>
  <si>
    <t>Validation Information</t>
  </si>
  <si>
    <t>Project Title</t>
  </si>
  <si>
    <t>Justice Centre</t>
  </si>
  <si>
    <t>Locked Validation Lists</t>
  </si>
  <si>
    <t>Modifiable Validation Lists</t>
  </si>
  <si>
    <t>Category ID</t>
  </si>
  <si>
    <t>Primary Category</t>
  </si>
  <si>
    <t>Project Roles</t>
  </si>
  <si>
    <t>Auth. Ref.</t>
  </si>
  <si>
    <t>Fiscal Year</t>
  </si>
  <si>
    <t>Phase | Subproject</t>
  </si>
  <si>
    <t>PA ID Ref. #</t>
  </si>
  <si>
    <t>Funding Source</t>
  </si>
  <si>
    <t>FS Description</t>
  </si>
  <si>
    <t>Capital Plan Line</t>
  </si>
  <si>
    <t>FS Ref. #</t>
  </si>
  <si>
    <t>Funding Line</t>
  </si>
  <si>
    <t>Approved Fiscal Year</t>
  </si>
  <si>
    <t>Historical Project ID</t>
  </si>
  <si>
    <t>Administration</t>
  </si>
  <si>
    <t>Director</t>
  </si>
  <si>
    <t>--</t>
  </si>
  <si>
    <t>.F1</t>
  </si>
  <si>
    <t>P-002360 Red Deer Justice Centre</t>
  </si>
  <si>
    <t>Professional Services</t>
  </si>
  <si>
    <t>Senior PM</t>
  </si>
  <si>
    <t>UNA</t>
  </si>
  <si>
    <t>2017-18</t>
  </si>
  <si>
    <t>.P1</t>
  </si>
  <si>
    <t>.F2</t>
  </si>
  <si>
    <t>Construction</t>
  </si>
  <si>
    <t>Project Manager</t>
  </si>
  <si>
    <t>CA</t>
  </si>
  <si>
    <t>2018-19</t>
  </si>
  <si>
    <t>.P2</t>
  </si>
  <si>
    <t>.F3</t>
  </si>
  <si>
    <t>FE_IT</t>
  </si>
  <si>
    <t>Project Coordinator</t>
  </si>
  <si>
    <t>LOA</t>
  </si>
  <si>
    <t>2019-20</t>
  </si>
  <si>
    <t>.P3</t>
  </si>
  <si>
    <t>.F4</t>
  </si>
  <si>
    <t>Land</t>
  </si>
  <si>
    <t>Senior Contracts Administrator</t>
  </si>
  <si>
    <t>2020-21</t>
  </si>
  <si>
    <t>.P4</t>
  </si>
  <si>
    <t>.F5</t>
  </si>
  <si>
    <t>Management Reserve</t>
  </si>
  <si>
    <t>Prime Consultant</t>
  </si>
  <si>
    <t>2021-22</t>
  </si>
  <si>
    <t>.P5</t>
  </si>
  <si>
    <t>Prime Contractor/CM/Design Builder</t>
  </si>
  <si>
    <t>2022-23</t>
  </si>
  <si>
    <t>.P6</t>
  </si>
  <si>
    <t>Delivery Method</t>
  </si>
  <si>
    <t>Design Bid Build</t>
  </si>
  <si>
    <t>Bridging Consultant</t>
  </si>
  <si>
    <t>2023-24</t>
  </si>
  <si>
    <t>.P7</t>
  </si>
  <si>
    <t>Paid</t>
  </si>
  <si>
    <t>Reason Codes</t>
  </si>
  <si>
    <t>Vendor Status</t>
  </si>
  <si>
    <t>2024-25</t>
  </si>
  <si>
    <t>.P8</t>
  </si>
  <si>
    <t>Yes</t>
  </si>
  <si>
    <t>Contract Reconciliation</t>
  </si>
  <si>
    <t>2025-26</t>
  </si>
  <si>
    <t>.P9</t>
  </si>
  <si>
    <t>No</t>
  </si>
  <si>
    <t>Schedule Change</t>
  </si>
  <si>
    <t>Open</t>
  </si>
  <si>
    <t>2026-27</t>
  </si>
  <si>
    <t>.P10</t>
  </si>
  <si>
    <t>Contract T&amp;C Change</t>
  </si>
  <si>
    <t>Pending Closed</t>
  </si>
  <si>
    <t>2027-28</t>
  </si>
  <si>
    <t>PFMT Version:</t>
  </si>
  <si>
    <t>V3.0_2020.06.01</t>
  </si>
  <si>
    <t>Major Scope Change</t>
  </si>
  <si>
    <t>Closed</t>
  </si>
  <si>
    <t>.S1</t>
  </si>
  <si>
    <t xml:space="preserve">PFMT Administrator: </t>
  </si>
  <si>
    <t>PMCOE</t>
  </si>
  <si>
    <t>Cash Allowance</t>
  </si>
  <si>
    <t>.S2</t>
  </si>
  <si>
    <t>PFMT Resources:</t>
  </si>
  <si>
    <t>PFMT SharePoint Site</t>
  </si>
  <si>
    <t>Holdback</t>
  </si>
  <si>
    <t>CA/CAA Status</t>
  </si>
  <si>
    <t>.S3</t>
  </si>
  <si>
    <t xml:space="preserve">Template PW: </t>
  </si>
  <si>
    <t>pfmt</t>
  </si>
  <si>
    <t>Regulatory Change</t>
  </si>
  <si>
    <t>Pre-Authorized</t>
  </si>
  <si>
    <t>.S4</t>
  </si>
  <si>
    <t>Site Condition</t>
  </si>
  <si>
    <t>Pending - Quote</t>
  </si>
  <si>
    <t>.S5</t>
  </si>
  <si>
    <t>LEGEND</t>
  </si>
  <si>
    <t>Release</t>
  </si>
  <si>
    <t>Cost Savings</t>
  </si>
  <si>
    <t>Pending - Approve</t>
  </si>
  <si>
    <t>.S6</t>
  </si>
  <si>
    <t>A PM field</t>
  </si>
  <si>
    <t>Design Improvement</t>
  </si>
  <si>
    <t>Approved</t>
  </si>
  <si>
    <t>.S7</t>
  </si>
  <si>
    <t>Invoice Status</t>
  </si>
  <si>
    <t>User Change</t>
  </si>
  <si>
    <t>Cancelled</t>
  </si>
  <si>
    <t>.S8</t>
  </si>
  <si>
    <t>An SCA field</t>
  </si>
  <si>
    <t>Reviewing</t>
  </si>
  <si>
    <t>F&amp;E / IT Change</t>
  </si>
  <si>
    <t>Answered</t>
  </si>
  <si>
    <t>.S9</t>
  </si>
  <si>
    <t>Hold</t>
  </si>
  <si>
    <t>CM Error</t>
  </si>
  <si>
    <t>Issued</t>
  </si>
  <si>
    <t>.S10</t>
  </si>
  <si>
    <t>PM may initiate but finalized or validated by the SCA</t>
  </si>
  <si>
    <t>LOA Status</t>
  </si>
  <si>
    <t>Target Status</t>
  </si>
  <si>
    <t>Funding Source Description</t>
  </si>
  <si>
    <t>E</t>
  </si>
  <si>
    <t>HFI</t>
  </si>
  <si>
    <t>A</t>
  </si>
  <si>
    <t>Proposed</t>
  </si>
  <si>
    <t>GFI</t>
  </si>
  <si>
    <t>Change Status</t>
  </si>
  <si>
    <t>IMP</t>
  </si>
  <si>
    <t>Construction Management</t>
  </si>
  <si>
    <t>LFI</t>
  </si>
  <si>
    <t>Pending</t>
  </si>
  <si>
    <t>Design Build</t>
  </si>
  <si>
    <t>GI</t>
  </si>
  <si>
    <t>FED</t>
  </si>
  <si>
    <t>Rejected</t>
  </si>
  <si>
    <t>FO</t>
  </si>
  <si>
    <t>OT</t>
  </si>
  <si>
    <t>General</t>
  </si>
  <si>
    <t>Fiscal Tracking</t>
  </si>
  <si>
    <t>Phase</t>
  </si>
  <si>
    <t>Y</t>
  </si>
  <si>
    <t>Previous Fiscal</t>
  </si>
  <si>
    <t>Project Assessment</t>
  </si>
  <si>
    <t>N</t>
  </si>
  <si>
    <t>Current Fiscal</t>
  </si>
  <si>
    <t>Definition &amp; Startup</t>
  </si>
  <si>
    <t>Project Status</t>
  </si>
  <si>
    <t>Future Fiscal</t>
  </si>
  <si>
    <t>Consultant Selection</t>
  </si>
  <si>
    <t>Planning</t>
  </si>
  <si>
    <t>Design</t>
  </si>
  <si>
    <t>Underway</t>
  </si>
  <si>
    <t>Region</t>
  </si>
  <si>
    <t>Tender &amp; Award</t>
  </si>
  <si>
    <t>Complete</t>
  </si>
  <si>
    <t>Edmonton</t>
  </si>
  <si>
    <t>On Hold</t>
  </si>
  <si>
    <t>Central</t>
  </si>
  <si>
    <t>Warranty &amp; Closeout</t>
  </si>
  <si>
    <t>Calgary</t>
  </si>
  <si>
    <t>Supplementary Approval</t>
  </si>
  <si>
    <t>Traffic Light</t>
  </si>
  <si>
    <t>North</t>
  </si>
  <si>
    <t>N/A</t>
  </si>
  <si>
    <t>Green</t>
  </si>
  <si>
    <t>South</t>
  </si>
  <si>
    <t>Submitted</t>
  </si>
  <si>
    <t>Yellow</t>
  </si>
  <si>
    <t>Exempt</t>
  </si>
  <si>
    <t>Red</t>
  </si>
  <si>
    <t>Error Codes</t>
  </si>
  <si>
    <t>VDO</t>
  </si>
  <si>
    <t>OVB</t>
  </si>
  <si>
    <t>COP</t>
  </si>
  <si>
    <t>CON</t>
  </si>
  <si>
    <t>PWA</t>
  </si>
  <si>
    <t>LIN</t>
  </si>
  <si>
    <t>INT</t>
  </si>
  <si>
    <t>ACC</t>
  </si>
  <si>
    <t>Project Account Matrix</t>
  </si>
  <si>
    <t>200</t>
  </si>
  <si>
    <t>300</t>
  </si>
  <si>
    <t>400</t>
  </si>
  <si>
    <t>F&amp;E &amp; IT</t>
  </si>
  <si>
    <t>500</t>
  </si>
  <si>
    <t>600</t>
  </si>
  <si>
    <t>.010</t>
  </si>
  <si>
    <t>Staff Capitalization - INFRA</t>
  </si>
  <si>
    <t>Permits &amp; Fees</t>
  </si>
  <si>
    <t>Furniture &amp; Equipment</t>
  </si>
  <si>
    <t>Land Purchase</t>
  </si>
  <si>
    <t>.020</t>
  </si>
  <si>
    <t xml:space="preserve">Staff Capitalization - Other </t>
  </si>
  <si>
    <t>Cost Consulting</t>
  </si>
  <si>
    <t>Utilities</t>
  </si>
  <si>
    <t>Information Technology</t>
  </si>
  <si>
    <t>.030</t>
  </si>
  <si>
    <t>Insurance</t>
  </si>
  <si>
    <t>QA / QC</t>
  </si>
  <si>
    <t>Prime Contractor</t>
  </si>
  <si>
    <t>Movers</t>
  </si>
  <si>
    <t>.040</t>
  </si>
  <si>
    <t>Accrual Write Off</t>
  </si>
  <si>
    <t>Commissioning</t>
  </si>
  <si>
    <t>Other Contractor</t>
  </si>
  <si>
    <t>SuperNet</t>
  </si>
  <si>
    <t>.050</t>
  </si>
  <si>
    <t>Other Administration</t>
  </si>
  <si>
    <t>Other Professional Services</t>
  </si>
  <si>
    <t>Contingency - Design Phase</t>
  </si>
  <si>
    <t>Play Ground Grant</t>
  </si>
  <si>
    <t>.060</t>
  </si>
  <si>
    <t>Contingency - Professional</t>
  </si>
  <si>
    <t>Contingency - Const. Phase</t>
  </si>
  <si>
    <t>CTS</t>
  </si>
  <si>
    <t>.070</t>
  </si>
  <si>
    <t>Allowance - Escalation</t>
  </si>
  <si>
    <t>.080</t>
  </si>
  <si>
    <t>Geotechnical Consultant</t>
  </si>
  <si>
    <t>Design Builder</t>
  </si>
  <si>
    <t>.090</t>
  </si>
  <si>
    <t>Transaction Advisor</t>
  </si>
  <si>
    <t>Hazmat - Contractor</t>
  </si>
  <si>
    <t>.100</t>
  </si>
  <si>
    <t>Financial Advisor</t>
  </si>
  <si>
    <t>Demolition</t>
  </si>
  <si>
    <t>.110</t>
  </si>
  <si>
    <t>Central Markets Advisor</t>
  </si>
  <si>
    <t>Solar Technology System</t>
  </si>
  <si>
    <t>.120</t>
  </si>
  <si>
    <t>Fairness Advisor</t>
  </si>
  <si>
    <t>Modular Procurement</t>
  </si>
  <si>
    <t>.130</t>
  </si>
  <si>
    <t>Project Delivery Consultant</t>
  </si>
  <si>
    <t>Radon Mitigation</t>
  </si>
  <si>
    <t>.140</t>
  </si>
  <si>
    <t>.150</t>
  </si>
  <si>
    <t>.160</t>
  </si>
  <si>
    <t>.170</t>
  </si>
  <si>
    <t>.180</t>
  </si>
  <si>
    <t>.190</t>
  </si>
  <si>
    <t>.200</t>
  </si>
  <si>
    <t>Sample Project Account ID formats when Phases, Subprojects or Funding designators are utilized:</t>
  </si>
  <si>
    <t>- Construction - Other Contractor - Funding 1</t>
  </si>
  <si>
    <t>300.040.F1</t>
  </si>
  <si>
    <t>- Construction - Other Contractor - Phase 1 - Funding 1</t>
  </si>
  <si>
    <t>300.040.P1.F1</t>
  </si>
  <si>
    <t>- Construction - Other Contractor - Subproject 1 - Funding 1</t>
  </si>
  <si>
    <t>300.040.S1.F1</t>
  </si>
  <si>
    <t>- Construction - Other Contractor - Subproject 3 - Funding 2</t>
  </si>
  <si>
    <t>300.040.S3.F2</t>
  </si>
  <si>
    <t>- Construction - Other Contractor - Phase 2 - Subproject 3 - Funding 1</t>
  </si>
  <si>
    <t>300.040.P2.S3.F1</t>
  </si>
  <si>
    <t>- Construction - Other Contractor - Subproject 2 - Phase 3 - Funding 1</t>
  </si>
  <si>
    <t>300.040.S2.P3.F1</t>
  </si>
  <si>
    <t>The PFM Tool is setup to interchangeably accommodate Phases and Subprojects.  Add Phase, Subproject and Funding titles under the "Validation" tab.</t>
  </si>
  <si>
    <t>Target Management Worksheet</t>
  </si>
  <si>
    <t>As of May 15, 2025</t>
  </si>
  <si>
    <t>Approved Value</t>
  </si>
  <si>
    <t>Current Year Budget Target</t>
  </si>
  <si>
    <t>Current Year Current Approved Target</t>
  </si>
  <si>
    <t>Current Year Proposed Target</t>
  </si>
  <si>
    <t>Agreement
Established</t>
  </si>
  <si>
    <t>Notes</t>
  </si>
  <si>
    <t>n/a</t>
  </si>
  <si>
    <t>Building Only</t>
  </si>
  <si>
    <t>Staff Capitalization added to Funding Source .F1</t>
  </si>
  <si>
    <t>Total Approved Funding</t>
  </si>
  <si>
    <t>Update cells below to reflect the fiscal years applicable to your project (Update Cashflow tab to match)</t>
  </si>
  <si>
    <t>select year--&gt;</t>
  </si>
  <si>
    <t>Total</t>
  </si>
  <si>
    <t>Total Approved Targets</t>
  </si>
  <si>
    <t>Total Cashflow Estimates</t>
  </si>
  <si>
    <t>Variance:</t>
  </si>
  <si>
    <t>Total Proposed Targets</t>
  </si>
  <si>
    <t>Funding Source 1</t>
  </si>
  <si>
    <t>Ref.</t>
  </si>
  <si>
    <t>Date</t>
  </si>
  <si>
    <t>Status</t>
  </si>
  <si>
    <t>Initial</t>
  </si>
  <si>
    <t>R1</t>
  </si>
  <si>
    <t>Q1</t>
  </si>
  <si>
    <t>Budget 2020</t>
  </si>
  <si>
    <t>Q1 2020</t>
  </si>
  <si>
    <t>Staff Cap ADJ</t>
  </si>
  <si>
    <t>Q3 Proposed</t>
  </si>
  <si>
    <t>TB approved January 19, 2021. CL</t>
  </si>
  <si>
    <t>Q1 2021-22</t>
  </si>
  <si>
    <t>Q2 2021-22</t>
  </si>
  <si>
    <t>Q3 2021-22</t>
  </si>
  <si>
    <t>TPC 02</t>
  </si>
  <si>
    <t>$4M reallocated to Edmonton Yellowhead Youth Centre</t>
  </si>
  <si>
    <t>Q1 2022-23</t>
  </si>
  <si>
    <t>budget adjusted at executive level</t>
  </si>
  <si>
    <t>Q2 2022-23</t>
  </si>
  <si>
    <t>showing as approved, although it hasn't been officially approved by TB, however, we do have an approved TPC showing the approved reduction of $4m</t>
  </si>
  <si>
    <t>Q1 2023-24</t>
  </si>
  <si>
    <t>Q2 2023-24</t>
  </si>
  <si>
    <t>Q3 2023-24</t>
  </si>
  <si>
    <t>Q1 2024-25</t>
  </si>
  <si>
    <t>Schedule was impacted as a result of site change orders due to site conditions and consultant coordination issues. Contractor achieved Interim Acceptance March 2024. 2024-25 expenditures will be for extensive audio-visual installation, commissioning, and changes required for occupancy.</t>
  </si>
  <si>
    <t>ET is proposing to only request for carry overs along with a few reallocations, and to defer majority of the re-profiling to Q2.</t>
  </si>
  <si>
    <t>Q2 2024-25</t>
  </si>
  <si>
    <t xml:space="preserve">Q2 proposed target. 12,000,000 surplus. TPC 03 aligns </t>
  </si>
  <si>
    <t>Q3 2024-25</t>
  </si>
  <si>
    <t xml:space="preserve">Q3 Approved Targets. </t>
  </si>
  <si>
    <t xml:space="preserve">Fiscal Adjustment </t>
  </si>
  <si>
    <t xml:space="preserve">2024-25 finance actuals - CD </t>
  </si>
  <si>
    <t>Total Value</t>
  </si>
  <si>
    <t xml:space="preserve">Current Cashflow Estimate </t>
  </si>
  <si>
    <t>Funding Source 2</t>
  </si>
  <si>
    <t>staff cap added to Funding Source 1</t>
  </si>
  <si>
    <t>Current Cashflow Estimate</t>
  </si>
  <si>
    <t>Funding Source 3</t>
  </si>
  <si>
    <t>Funding Source 4</t>
  </si>
  <si>
    <t>Funding Source 5</t>
  </si>
  <si>
    <t>Budget Tracking Worksheet</t>
  </si>
  <si>
    <t>a</t>
  </si>
  <si>
    <r>
      <t>b</t>
    </r>
    <r>
      <rPr>
        <b/>
        <vertAlign val="superscript"/>
        <sz val="8"/>
        <color theme="1"/>
        <rFont val="Calibri"/>
        <family val="2"/>
        <scheme val="minor"/>
      </rPr>
      <t>1</t>
    </r>
  </si>
  <si>
    <r>
      <t>b</t>
    </r>
    <r>
      <rPr>
        <b/>
        <vertAlign val="superscript"/>
        <sz val="8"/>
        <color theme="1"/>
        <rFont val="Calibri"/>
        <family val="2"/>
        <scheme val="minor"/>
      </rPr>
      <t>2</t>
    </r>
  </si>
  <si>
    <r>
      <t>b</t>
    </r>
    <r>
      <rPr>
        <b/>
        <vertAlign val="superscript"/>
        <sz val="8"/>
        <color theme="1"/>
        <rFont val="Calibri"/>
        <family val="2"/>
        <scheme val="minor"/>
      </rPr>
      <t>3</t>
    </r>
    <r>
      <rPr>
        <sz val="11"/>
        <color theme="1"/>
        <rFont val="Calibri"/>
        <family val="2"/>
        <scheme val="minor"/>
      </rPr>
      <t/>
    </r>
  </si>
  <si>
    <r>
      <t>b</t>
    </r>
    <r>
      <rPr>
        <b/>
        <vertAlign val="superscript"/>
        <sz val="8"/>
        <color theme="1"/>
        <rFont val="Calibri"/>
        <family val="2"/>
        <scheme val="minor"/>
      </rPr>
      <t>4</t>
    </r>
    <r>
      <rPr>
        <sz val="11"/>
        <color theme="1"/>
        <rFont val="Calibri"/>
        <family val="2"/>
        <scheme val="minor"/>
      </rPr>
      <t/>
    </r>
  </si>
  <si>
    <r>
      <t>b</t>
    </r>
    <r>
      <rPr>
        <b/>
        <vertAlign val="superscript"/>
        <sz val="8"/>
        <color theme="1"/>
        <rFont val="Calibri"/>
        <family val="2"/>
        <scheme val="minor"/>
      </rPr>
      <t>5</t>
    </r>
    <r>
      <rPr>
        <sz val="11"/>
        <color theme="1"/>
        <rFont val="Calibri"/>
        <family val="2"/>
        <scheme val="minor"/>
      </rPr>
      <t/>
    </r>
  </si>
  <si>
    <r>
      <t>b</t>
    </r>
    <r>
      <rPr>
        <b/>
        <vertAlign val="superscript"/>
        <sz val="8"/>
        <color theme="1"/>
        <rFont val="Calibri"/>
        <family val="2"/>
        <scheme val="minor"/>
      </rPr>
      <t>6</t>
    </r>
    <r>
      <rPr>
        <sz val="11"/>
        <color theme="1"/>
        <rFont val="Calibri"/>
        <family val="2"/>
        <scheme val="minor"/>
      </rPr>
      <t/>
    </r>
  </si>
  <si>
    <r>
      <t>b</t>
    </r>
    <r>
      <rPr>
        <b/>
        <vertAlign val="superscript"/>
        <sz val="8"/>
        <color theme="1"/>
        <rFont val="Calibri"/>
        <family val="2"/>
        <scheme val="minor"/>
      </rPr>
      <t>7</t>
    </r>
    <r>
      <rPr>
        <sz val="11"/>
        <color theme="1"/>
        <rFont val="Calibri"/>
        <family val="2"/>
        <scheme val="minor"/>
      </rPr>
      <t/>
    </r>
  </si>
  <si>
    <r>
      <t>b</t>
    </r>
    <r>
      <rPr>
        <b/>
        <vertAlign val="superscript"/>
        <sz val="8"/>
        <color theme="1"/>
        <rFont val="Calibri"/>
        <family val="2"/>
        <scheme val="minor"/>
      </rPr>
      <t>8</t>
    </r>
    <r>
      <rPr>
        <sz val="11"/>
        <color theme="1"/>
        <rFont val="Calibri"/>
        <family val="2"/>
        <scheme val="minor"/>
      </rPr>
      <t/>
    </r>
  </si>
  <si>
    <r>
      <t>b</t>
    </r>
    <r>
      <rPr>
        <b/>
        <vertAlign val="superscript"/>
        <sz val="8"/>
        <color theme="1"/>
        <rFont val="Calibri"/>
        <family val="2"/>
        <scheme val="minor"/>
      </rPr>
      <t>9</t>
    </r>
    <r>
      <rPr>
        <sz val="11"/>
        <color theme="1"/>
        <rFont val="Calibri"/>
        <family val="2"/>
        <scheme val="minor"/>
      </rPr>
      <t/>
    </r>
  </si>
  <si>
    <r>
      <t>b</t>
    </r>
    <r>
      <rPr>
        <b/>
        <vertAlign val="superscript"/>
        <sz val="8"/>
        <color theme="1"/>
        <rFont val="Calibri"/>
        <family val="2"/>
        <scheme val="minor"/>
      </rPr>
      <t>10</t>
    </r>
  </si>
  <si>
    <t>c = a + sum(b)</t>
  </si>
  <si>
    <t>d</t>
  </si>
  <si>
    <t>e = c - d</t>
  </si>
  <si>
    <t>f</t>
  </si>
  <si>
    <t>&lt;enter date&gt;</t>
  </si>
  <si>
    <t>Row</t>
  </si>
  <si>
    <t>PA ID</t>
  </si>
  <si>
    <t>Secondary Category</t>
  </si>
  <si>
    <t>Phase / Subproject</t>
  </si>
  <si>
    <t>Phase / Subproject 2</t>
  </si>
  <si>
    <t>Baseline Budget</t>
  </si>
  <si>
    <t>Prime Consultant Contract Award</t>
  </si>
  <si>
    <t>&lt;enter milestone&gt;</t>
  </si>
  <si>
    <t>75% CD Submission</t>
  </si>
  <si>
    <t>Contract Award</t>
  </si>
  <si>
    <t>Post-Contract Award</t>
  </si>
  <si>
    <t>25% Construction</t>
  </si>
  <si>
    <t>50% Construction</t>
  </si>
  <si>
    <t>75% Construction</t>
  </si>
  <si>
    <t>95% Construction</t>
  </si>
  <si>
    <t>Post Interim</t>
  </si>
  <si>
    <t>Blank2</t>
  </si>
  <si>
    <t>Current Budget</t>
  </si>
  <si>
    <t>Blank3</t>
  </si>
  <si>
    <t>Estimate At Completion</t>
  </si>
  <si>
    <t>Budget Variance</t>
  </si>
  <si>
    <t>Expenditures</t>
  </si>
  <si>
    <t>Approved Changes</t>
  </si>
  <si>
    <t>Blank4</t>
  </si>
  <si>
    <t>P-002360</t>
  </si>
  <si>
    <t>Filtered Total</t>
  </si>
  <si>
    <t>* The "Budget Tracking" sheet is setup to accommodate a max of 60 Project Accounts.  Should more than 60 Project Accounts be required for a Project, additional rows need to be added to the "Budget Tracking" tab and the "Budget Details (Rpt)" sheet.  Ensure numbering in Column A is updated and uniform in both the "Budget Tracking" and Budget Details (Rpt)" sheets.</t>
  </si>
  <si>
    <t>Change Description(s):</t>
  </si>
  <si>
    <t>Milestone Review Date</t>
  </si>
  <si>
    <t>&lt;ED initials &amp; date&gt;</t>
  </si>
  <si>
    <t xml:space="preserve">Consultant contract awarded, actual cost much lower than estimate.  </t>
  </si>
  <si>
    <t xml:space="preserve">Moved additional funds to land purchase to accommodate the ex-gratia payment proposed to the City of Red Deer for Parsons House.  Utilities cost increased to accommodate the potential CoRD light/power and ATCO costs for the utility ROW.  Other contractor increased to include costs required for Parkade renovations (gas meter and exit).  Permits increased to include building permit (will apply early). </t>
  </si>
  <si>
    <t xml:space="preserve">Adjustments based on the 75% CD Estimate.  Utility costs and signage have been added to the GC contract.  </t>
  </si>
  <si>
    <t>Adjustments based consultant changes (move from contingency to Prime Consultant project)</t>
  </si>
  <si>
    <t>TP / Jan 5, 2021</t>
  </si>
  <si>
    <t xml:space="preserve">ADM requested that based on tender results, update to identify any surplus amounts.  </t>
  </si>
  <si>
    <t>&lt;Enter brief desciption of budget changes associated with milestone&gt;</t>
  </si>
  <si>
    <t>Vendor Listing Worksheet</t>
  </si>
  <si>
    <t>Hide Column</t>
  </si>
  <si>
    <t>Caution: Filter Never Sort Columns!</t>
  </si>
  <si>
    <t>b</t>
  </si>
  <si>
    <t>c = a + b</t>
  </si>
  <si>
    <t>e = d/c</t>
  </si>
  <si>
    <t>g = c - d</t>
  </si>
  <si>
    <t>Default Expenditure Coding</t>
  </si>
  <si>
    <t>Open Vendor Listing Helper Columns</t>
  </si>
  <si>
    <t>Vendor / Org.</t>
  </si>
  <si>
    <t>Contract ID</t>
  </si>
  <si>
    <t>Vendor / Org. with Contract ID</t>
  </si>
  <si>
    <t>Original Contract Value</t>
  </si>
  <si>
    <t>Amendment(s)</t>
  </si>
  <si>
    <t>Current Commitment</t>
  </si>
  <si>
    <t>Expenditures to Date</t>
  </si>
  <si>
    <t>% Spent</t>
  </si>
  <si>
    <t>Open Commitment</t>
  </si>
  <si>
    <t>Start</t>
  </si>
  <si>
    <t>End</t>
  </si>
  <si>
    <t>Open Vendors?</t>
  </si>
  <si>
    <t>Open Vendors without Blanks</t>
  </si>
  <si>
    <t>EAC</t>
  </si>
  <si>
    <t>Future / Not Awarded</t>
  </si>
  <si>
    <t xml:space="preserve">Group2 Architecture Interior Design Ltd. </t>
  </si>
  <si>
    <t>200.010.F1</t>
  </si>
  <si>
    <t xml:space="preserve">Pinchin Ltd. </t>
  </si>
  <si>
    <t>200.050.F1</t>
  </si>
  <si>
    <t xml:space="preserve">Aura Environmental Restorations Ltd. </t>
  </si>
  <si>
    <t>300.090.F1</t>
  </si>
  <si>
    <t xml:space="preserve">Stantec Consultant Ltd. </t>
  </si>
  <si>
    <t>200.040.F1</t>
  </si>
  <si>
    <t xml:space="preserve">Englobe Corp. </t>
  </si>
  <si>
    <t xml:space="preserve">Barb Shipmant Architects Ltd. </t>
  </si>
  <si>
    <t>City of Red Deer</t>
  </si>
  <si>
    <t>Direct Pay</t>
  </si>
  <si>
    <t>500.010.F1</t>
  </si>
  <si>
    <t xml:space="preserve">Enviro-Works Inc. </t>
  </si>
  <si>
    <t>CarbonCopy Digital</t>
  </si>
  <si>
    <t>100.050.F1</t>
  </si>
  <si>
    <t>Harrison Bowker Real Estate AP</t>
  </si>
  <si>
    <t>Fire Sail Holdings</t>
  </si>
  <si>
    <t>Shunda Consulting &amp; Construction Mgt</t>
  </si>
  <si>
    <t>Staff Capitalization</t>
  </si>
  <si>
    <t>100.010.F1</t>
  </si>
  <si>
    <t>Novus West Inc</t>
  </si>
  <si>
    <t>Visco Demolition Contractors Ltd.</t>
  </si>
  <si>
    <t>300.100.F1</t>
  </si>
  <si>
    <t>Tetra Tech Canada Inc.</t>
  </si>
  <si>
    <t>WDC Consulting</t>
  </si>
  <si>
    <t xml:space="preserve">Chapman Riebeek LLP </t>
  </si>
  <si>
    <t>Travel Expenses-Sommer</t>
  </si>
  <si>
    <t>City of Red Deer-Sorensen Station</t>
  </si>
  <si>
    <t>ATCO</t>
  </si>
  <si>
    <t>300.020.F1</t>
  </si>
  <si>
    <t>TELUS-Service Removal</t>
  </si>
  <si>
    <t>City of Red Deer-Permit Fees</t>
  </si>
  <si>
    <t>300.010.F1</t>
  </si>
  <si>
    <t>Travel Expenses-John</t>
  </si>
  <si>
    <t>Travel Expenses-Malchuk</t>
  </si>
  <si>
    <t>Travel Expenses-Misc</t>
  </si>
  <si>
    <t xml:space="preserve">Navigation Surveys Ltd. </t>
  </si>
  <si>
    <t>Riley's-CD Printing</t>
  </si>
  <si>
    <t>City of Red Deer-Tree Removal Fee</t>
  </si>
  <si>
    <t>Stantec-Parsons House Consultant</t>
  </si>
  <si>
    <t>Purolator-Land Title</t>
  </si>
  <si>
    <t>LEED- CAGBC</t>
  </si>
  <si>
    <t>ACI- Vibration Monitoring Consultant</t>
  </si>
  <si>
    <t>Clark Builders</t>
  </si>
  <si>
    <t>300.030.F1</t>
  </si>
  <si>
    <t>Accrual Write Off-Clearing</t>
  </si>
  <si>
    <t>100.040.F1</t>
  </si>
  <si>
    <t>Qualimet- Steel Testing consultant</t>
  </si>
  <si>
    <t>Cine Audio Visual-Groundbreaking</t>
  </si>
  <si>
    <t>Royal Rubber Stamps Co Ltd (Construction Site Signage-CPDD)</t>
  </si>
  <si>
    <t>Altus Group- Schedule and claim consulatnt</t>
  </si>
  <si>
    <t>Canadian Infrared Ltd. - Roofing Inspectinos</t>
  </si>
  <si>
    <t>Compugen- Network Switches Mock up</t>
  </si>
  <si>
    <t>400.020.F1</t>
  </si>
  <si>
    <t>Gap Wireless- Das Owner Supplied Standing Offer</t>
  </si>
  <si>
    <t>Gap Wireless- Das Owner Supplied</t>
  </si>
  <si>
    <t>Compugen -'Wireless prediction study</t>
  </si>
  <si>
    <t>Compugen- Network Switches</t>
  </si>
  <si>
    <t>AutoBody Services RED DEER Ltd.-Offsite Storage</t>
  </si>
  <si>
    <t xml:space="preserve">Enmax- Offsite Storage </t>
  </si>
  <si>
    <t>Equs- Offsite Storage</t>
  </si>
  <si>
    <t>Provincial Archives Vinyl Images</t>
  </si>
  <si>
    <t>Red deer lock &amp; safe</t>
  </si>
  <si>
    <t>TELUS-New Service</t>
  </si>
  <si>
    <t>Axia FibreNet Ltd-Supernet</t>
  </si>
  <si>
    <t>Travel Expenses-Burk</t>
  </si>
  <si>
    <t>Compugen-Network AV</t>
  </si>
  <si>
    <t>Schedue Reader</t>
  </si>
  <si>
    <t>Compugen- SA WAPS</t>
  </si>
  <si>
    <t>IUT-CTS Equipment-JSG</t>
  </si>
  <si>
    <t>IUT</t>
  </si>
  <si>
    <t>Krug Boardroom Tables</t>
  </si>
  <si>
    <t>400.010.F1</t>
  </si>
  <si>
    <t>Captain Courier Edmonton</t>
  </si>
  <si>
    <t>Keverest-PDUs</t>
  </si>
  <si>
    <t>MICROSERVE 
341234 B.C. LTD.</t>
  </si>
  <si>
    <t>Aurora Flags</t>
  </si>
  <si>
    <t>Impact Movers Ltd.- Misc Moves</t>
  </si>
  <si>
    <t>400.030.F1</t>
  </si>
  <si>
    <t>Compugen - WAP brackets</t>
  </si>
  <si>
    <t>HBI-Judicial Visiting Offices</t>
  </si>
  <si>
    <t>C8903</t>
  </si>
  <si>
    <t>Allwest Fursnishing Ltd.-Library Shelving</t>
  </si>
  <si>
    <t>PR101095</t>
  </si>
  <si>
    <t>Allwest Fursnishing Ltd.-Workstations</t>
  </si>
  <si>
    <t>Krug Boardroom Tables- delivery</t>
  </si>
  <si>
    <t>Looker Office furniture- lounge &amp;occasional tables</t>
  </si>
  <si>
    <t>COI- Beam Seating</t>
  </si>
  <si>
    <t>APA-Access Cards</t>
  </si>
  <si>
    <t>Krug Boardroom tables-storage</t>
  </si>
  <si>
    <t>Realty in Red Deer Ltd-Cleaning Fees</t>
  </si>
  <si>
    <t>ALLWEST Furnishings- Pac poles</t>
  </si>
  <si>
    <t>ALLWEST Furnishings-Add't Fees</t>
  </si>
  <si>
    <t>Allwest- Lateral Top Cut down</t>
  </si>
  <si>
    <t xml:space="preserve">Allwest- Additional System Power components </t>
  </si>
  <si>
    <t>EDON- AC units</t>
  </si>
  <si>
    <t>HBI-Credenzas</t>
  </si>
  <si>
    <t>HBI-Judicial Visiting Offices-Storage</t>
  </si>
  <si>
    <t>Looker-office furniture- lounge &amp; occasional tables- Storage</t>
  </si>
  <si>
    <t>ALLWEST-TEKNION SEATING</t>
  </si>
  <si>
    <t>RGO-LEAP Chairs</t>
  </si>
  <si>
    <t>COI-Furniture Reuse-RSC</t>
  </si>
  <si>
    <t>Global-Saxon Chairs</t>
  </si>
  <si>
    <t>Uline storage cabinets</t>
  </si>
  <si>
    <t xml:space="preserve">Chandos </t>
  </si>
  <si>
    <t>041280</t>
  </si>
  <si>
    <t>ACCRUAL WRITE-OFF-Clearing -Group2</t>
  </si>
  <si>
    <t>034413</t>
  </si>
  <si>
    <t>ACCRUAL WRITE-OFF-Clearing -Altus Group</t>
  </si>
  <si>
    <t>039170</t>
  </si>
  <si>
    <t>Allwest- Nursing Chair</t>
  </si>
  <si>
    <t>Uline Poster storage &amp; Mail sorter</t>
  </si>
  <si>
    <t>CDI Spaces- Keilhauer chairs</t>
  </si>
  <si>
    <t>Telus- Voip Phones</t>
  </si>
  <si>
    <t>288PA-20046</t>
  </si>
  <si>
    <t>TFA-Staff Relocation to RDJC</t>
  </si>
  <si>
    <t>Staples- Sheriif Chairs</t>
  </si>
  <si>
    <t>Gowling WLG -External Counsel</t>
  </si>
  <si>
    <t>Behrends-Plaque</t>
  </si>
  <si>
    <t>9000113355/9000113879</t>
  </si>
  <si>
    <t>IUT Out - CTS Operational Support</t>
  </si>
  <si>
    <t>IUT IN- CTS WAPS</t>
  </si>
  <si>
    <t>Facilities</t>
  </si>
  <si>
    <t>* If splitting single contract across multiple Project Accounts you need to have multiple lines and a unique name for the Vendor / Org. (For example, if you need to split your contract for construction across two phases, use ABC Contracting and ABC Contracting - Ph. 2).  It is strongly recommended not to split a contract number across multiple Project Accounts, but it may be required due to funding, phasing or subproject management.</t>
  </si>
  <si>
    <t>Vendor Change Order / Amendment Listing</t>
  </si>
  <si>
    <t>Key Vendor Summary</t>
  </si>
  <si>
    <t>Number of Changes</t>
  </si>
  <si>
    <t>Approved Change Value</t>
  </si>
  <si>
    <t>Group2 Architecture Interior Design Ltd. -34413</t>
  </si>
  <si>
    <t>Tetra Tech Canada Inc.-36168</t>
  </si>
  <si>
    <t>Clark Builders-37987</t>
  </si>
  <si>
    <t>Approved Date</t>
  </si>
  <si>
    <t>Change Value</t>
  </si>
  <si>
    <t>Reference #</t>
  </si>
  <si>
    <t>Reason Code</t>
  </si>
  <si>
    <t>Description</t>
  </si>
  <si>
    <t>Blank1</t>
  </si>
  <si>
    <t>ID</t>
  </si>
  <si>
    <t>Amount</t>
  </si>
  <si>
    <t>Approval Date</t>
  </si>
  <si>
    <t>``</t>
  </si>
  <si>
    <t>Various
See CA Tracking for Detail</t>
  </si>
  <si>
    <t xml:space="preserve">OPTIONAL: User can choose to track Approved Changes for the Prime Contractor in more detail on the CA Tracking Tab for DB and DBB projects.  </t>
  </si>
  <si>
    <t>OPTIONAL: This row is in use for DB/DBB projects using the CA Tracking Tab to capture Prime Contractor changes (rolled up) to avoid need to duplicate that work here.  Note, do not enter approved Prime Contractor changes in both locations or you may double count.  Requires a Contract ID entered in the Prime Contractor Summary.</t>
  </si>
  <si>
    <t>Pinchin Ltd. -33849</t>
  </si>
  <si>
    <t>Amend 1</t>
  </si>
  <si>
    <t>additional testing main and second floors</t>
  </si>
  <si>
    <t>Amend 2</t>
  </si>
  <si>
    <t>Hazardous Material Survey of Parsons House</t>
  </si>
  <si>
    <t>Englobe Corp. -33079</t>
  </si>
  <si>
    <t>Additional boreholes</t>
  </si>
  <si>
    <t>amend 2</t>
  </si>
  <si>
    <t>Legal Survey</t>
  </si>
  <si>
    <t>amend 3</t>
  </si>
  <si>
    <t>Additional ESA Phase 2 testing</t>
  </si>
  <si>
    <t>amend 4</t>
  </si>
  <si>
    <t>ESA Phase 2 cost estimate</t>
  </si>
  <si>
    <t>Barb Shipmant Architects Ltd. -32924</t>
  </si>
  <si>
    <t>amend 1</t>
  </si>
  <si>
    <t>Additional energy modelling, work on an alternative site option</t>
  </si>
  <si>
    <t>Amend 3</t>
  </si>
  <si>
    <t>end date revised to Sept 28, 2018</t>
  </si>
  <si>
    <t>Aura Environmental Restorations Ltd. -34790</t>
  </si>
  <si>
    <t>CO 1</t>
  </si>
  <si>
    <t>additional flooring to remove</t>
  </si>
  <si>
    <t>City of Red Deer-Direct Pay</t>
  </si>
  <si>
    <t>Land Agreement-2</t>
  </si>
  <si>
    <t>south road widening area</t>
  </si>
  <si>
    <t>Net zero Registration</t>
  </si>
  <si>
    <t>Services are complete - contract closed</t>
  </si>
  <si>
    <t>Visco Demolition Contractors Ltd.-36068</t>
  </si>
  <si>
    <t>Demo Development Permit Application</t>
  </si>
  <si>
    <t>CO 2</t>
  </si>
  <si>
    <t>Time extension to June 30, 2019</t>
  </si>
  <si>
    <t>Novus West Inc-36059</t>
  </si>
  <si>
    <t>Fees for meetings</t>
  </si>
  <si>
    <t>time extended to july 31, 2019</t>
  </si>
  <si>
    <t>time extended to Sept 30, 2019</t>
  </si>
  <si>
    <t>TELUS-Service Removal-Direct Pay</t>
  </si>
  <si>
    <t>manhole pumping</t>
  </si>
  <si>
    <t>unused unit rates</t>
  </si>
  <si>
    <t>Sorensen station and snow melt</t>
  </si>
  <si>
    <t xml:space="preserve">Additional hours for foundation design, shoring, and snow melt. </t>
  </si>
  <si>
    <t>City of Red Deer-Permit Fees-Direct Pay</t>
  </si>
  <si>
    <t>Building Permit Cost</t>
  </si>
  <si>
    <t>Development Permit Variance Review</t>
  </si>
  <si>
    <t>Navigation Surveys Ltd. -37137</t>
  </si>
  <si>
    <t>Additional survey points, legal survey, contract extension</t>
  </si>
  <si>
    <t>Deletion of demolition around Parsons House</t>
  </si>
  <si>
    <t>survey of additional inverts</t>
  </si>
  <si>
    <t>Finishing plaza snow melt &amp; deleting Green Roof</t>
  </si>
  <si>
    <t>DAS and rendering</t>
  </si>
  <si>
    <t>extended to June 1, 2022</t>
  </si>
  <si>
    <t>amend 5</t>
  </si>
  <si>
    <t>Parsons House Assessment</t>
  </si>
  <si>
    <t>Shoring survey monitoring</t>
  </si>
  <si>
    <t>amend 6</t>
  </si>
  <si>
    <t>Shoring / Utility Coordination for CoRD</t>
  </si>
  <si>
    <t>City of Red Deer-Sorensen Station-38249</t>
  </si>
  <si>
    <t>date extension</t>
  </si>
  <si>
    <t>date extension and addition of CPD (no cost)</t>
  </si>
  <si>
    <t>date extension to April 28, 2023</t>
  </si>
  <si>
    <t>Travel Expenses-Malchuk-Direct Pay</t>
  </si>
  <si>
    <t>Amend 7</t>
  </si>
  <si>
    <t>Change in scope for  re-design of piling due to conflict with shoring</t>
  </si>
  <si>
    <t>Amend 8</t>
  </si>
  <si>
    <t>'Change in scope for Short Crete Substitution</t>
  </si>
  <si>
    <t>Change in scope due to shortcrete substitution</t>
  </si>
  <si>
    <t>date extensio to april 28, 2023</t>
  </si>
  <si>
    <t>Amend 9</t>
  </si>
  <si>
    <t>Change in scope for Subgrade Drainage</t>
  </si>
  <si>
    <t>Amend 10</t>
  </si>
  <si>
    <t>Change in scope for Virtual Court</t>
  </si>
  <si>
    <t>Amend 4</t>
  </si>
  <si>
    <t>Subgrade water, field cure, bearing , shotcrete QA/QC</t>
  </si>
  <si>
    <t>Amend 11</t>
  </si>
  <si>
    <t>DPDA AutoCAd files</t>
  </si>
  <si>
    <t>Amend 12</t>
  </si>
  <si>
    <t>Storm water design</t>
  </si>
  <si>
    <t>Amend 13</t>
  </si>
  <si>
    <t>soldier piles redesign</t>
  </si>
  <si>
    <t>Amend 5</t>
  </si>
  <si>
    <t>pile installation delay</t>
  </si>
  <si>
    <t>Amend 14</t>
  </si>
  <si>
    <t>Virtual Court &amp; DAS</t>
  </si>
  <si>
    <t>Stantec Consultant Ltd. -34489</t>
  </si>
  <si>
    <t>Amendment 1</t>
  </si>
  <si>
    <t>Audio and Video Review of AV system</t>
  </si>
  <si>
    <t>Amendment 2</t>
  </si>
  <si>
    <t>Pull test</t>
  </si>
  <si>
    <t>Amendment 3</t>
  </si>
  <si>
    <t>Audio video review</t>
  </si>
  <si>
    <t>Amendment 15</t>
  </si>
  <si>
    <t>AV changes</t>
  </si>
  <si>
    <t>Amendment 16</t>
  </si>
  <si>
    <t>L2 beam remediation</t>
  </si>
  <si>
    <t>Amendment 17</t>
  </si>
  <si>
    <t>Shearwall Construction Joints</t>
  </si>
  <si>
    <t>Amendment 18</t>
  </si>
  <si>
    <t>Outrigger Loading</t>
  </si>
  <si>
    <t>Amend 6</t>
  </si>
  <si>
    <t>Shotcrete Overage</t>
  </si>
  <si>
    <t>Pile installation delay</t>
  </si>
  <si>
    <t>Amendment 19</t>
  </si>
  <si>
    <t>AV Library Furniture</t>
  </si>
  <si>
    <t>Amendment 20</t>
  </si>
  <si>
    <t>core PK wall remediation</t>
  </si>
  <si>
    <t>Masonry grout</t>
  </si>
  <si>
    <t>Amendment 21</t>
  </si>
  <si>
    <t>AV Mock UP Network</t>
  </si>
  <si>
    <t>Amendment 22</t>
  </si>
  <si>
    <t>Steel Contract Change</t>
  </si>
  <si>
    <t>Amendment 23</t>
  </si>
  <si>
    <t>Settlement</t>
  </si>
  <si>
    <t>Amendment 24</t>
  </si>
  <si>
    <t>CTS Network Architecture</t>
  </si>
  <si>
    <t>ACI- Vibration Monitoring Consultant-37915</t>
  </si>
  <si>
    <t>extension of contract to November 2022</t>
  </si>
  <si>
    <t>Amendment 4</t>
  </si>
  <si>
    <t>Cobie review scope</t>
  </si>
  <si>
    <t>Amendment 25</t>
  </si>
  <si>
    <t>Exterior column stirrup</t>
  </si>
  <si>
    <t xml:space="preserve">unused </t>
  </si>
  <si>
    <t>Qualimet- Steel Testing consultant-38384</t>
  </si>
  <si>
    <t>additional testing due to change in steel contractor</t>
  </si>
  <si>
    <t>Amendment 26</t>
  </si>
  <si>
    <t>Storm tank water design revision</t>
  </si>
  <si>
    <t>Altus Group- Schedule and claim consulatnt-39170</t>
  </si>
  <si>
    <t>Site monitoring + CO Review</t>
  </si>
  <si>
    <t>Amendment 28</t>
  </si>
  <si>
    <t>Offsite storage inventory</t>
  </si>
  <si>
    <t>Amendment 27</t>
  </si>
  <si>
    <t>Wifi Design</t>
  </si>
  <si>
    <t>Added scope</t>
  </si>
  <si>
    <t>time extention</t>
  </si>
  <si>
    <t>Amendment 9</t>
  </si>
  <si>
    <t>Time extension</t>
  </si>
  <si>
    <t>SOW-004</t>
  </si>
  <si>
    <t>Storm Tank Review</t>
  </si>
  <si>
    <t xml:space="preserve">Date Extension to April 28, 2024 and addition of repointing , infill, </t>
  </si>
  <si>
    <t>IUT-CTS Equipment-JSG-IUT</t>
  </si>
  <si>
    <t>Wireless Controller Scope added</t>
  </si>
  <si>
    <t>Additional hours/cupix reviews added</t>
  </si>
  <si>
    <t>Extended to March 31, 2024</t>
  </si>
  <si>
    <t>MICROSERVE 
341234 B.C. LTD.-40381</t>
  </si>
  <si>
    <t>pdu</t>
  </si>
  <si>
    <t xml:space="preserve">cable pass thru </t>
  </si>
  <si>
    <t>67 lenovo mini computers</t>
  </si>
  <si>
    <t>Amendment 29</t>
  </si>
  <si>
    <t>CTS network</t>
  </si>
  <si>
    <t>Amendment 31</t>
  </si>
  <si>
    <t>FAVI</t>
  </si>
  <si>
    <t>Amendment 32</t>
  </si>
  <si>
    <t>204 courtroom mock up integration</t>
  </si>
  <si>
    <t>Travel Expenses-Burk-Direct Pay</t>
  </si>
  <si>
    <t xml:space="preserve">Amend 1 </t>
  </si>
  <si>
    <t>Amend</t>
  </si>
  <si>
    <t>internal amendment to extend the contarct end date.</t>
  </si>
  <si>
    <t>amendment 10</t>
  </si>
  <si>
    <t>Impact Movers Ltd.- Misc Moves-40467</t>
  </si>
  <si>
    <t>CO-001</t>
  </si>
  <si>
    <t>10 moving blankets</t>
  </si>
  <si>
    <t>CO-002</t>
  </si>
  <si>
    <t>82 moving blankets</t>
  </si>
  <si>
    <t>amend 03</t>
  </si>
  <si>
    <t>pdu brackets</t>
  </si>
  <si>
    <t>amend 06</t>
  </si>
  <si>
    <t>Amend 04</t>
  </si>
  <si>
    <t>cabels for 100 G sfp</t>
  </si>
  <si>
    <t>Amend-07</t>
  </si>
  <si>
    <t>cupix -6 months</t>
  </si>
  <si>
    <t>Enmax- Offsite Storage -Direct Pay</t>
  </si>
  <si>
    <t>Equs- Offsite Storage-Direct Pay</t>
  </si>
  <si>
    <t>Amend 05</t>
  </si>
  <si>
    <t>CAT6A 7 feet cable</t>
  </si>
  <si>
    <t>SFPs (8)</t>
  </si>
  <si>
    <t>Amend 33, 34, 35</t>
  </si>
  <si>
    <t>Waterline investigation, waterline design, UPS design</t>
  </si>
  <si>
    <t>Courtroom mock-up review</t>
  </si>
  <si>
    <t>Red deer lock &amp; safe-Direct Pay</t>
  </si>
  <si>
    <t>Inv 589558</t>
  </si>
  <si>
    <t>Fire department boxes</t>
  </si>
  <si>
    <t>amend 8</t>
  </si>
  <si>
    <t>6 additional cupix visits</t>
  </si>
  <si>
    <t>224568 CMS Release ID#</t>
  </si>
  <si>
    <t>Contract Closed-release unused commitment</t>
  </si>
  <si>
    <t>Waterline Construction</t>
  </si>
  <si>
    <t>picking up blankets</t>
  </si>
  <si>
    <t>microphones , monitors and licenses</t>
  </si>
  <si>
    <t>amend 9</t>
  </si>
  <si>
    <t>Aurora Flags-Direct Pay</t>
  </si>
  <si>
    <t>locks</t>
  </si>
  <si>
    <t>Travel Expenses-Sommer-Direct Pay</t>
  </si>
  <si>
    <t>CMS Ref.ID 228282</t>
  </si>
  <si>
    <t>Contract Close-release unused commitment in CMS.</t>
  </si>
  <si>
    <t>Canadian Infrared Ltd. - Roofing Inspectinos-39222</t>
  </si>
  <si>
    <t>CMS Ref.ID 228374</t>
  </si>
  <si>
    <t>Staff Capitalization-34830</t>
  </si>
  <si>
    <t>2024-2025 staff cap</t>
  </si>
  <si>
    <t>Chandos -041280</t>
  </si>
  <si>
    <t>witness box guardrail</t>
  </si>
  <si>
    <t>CO 001</t>
  </si>
  <si>
    <t>Amendment 36</t>
  </si>
  <si>
    <t>Admin for waterline replacement</t>
  </si>
  <si>
    <t>Amendment 37</t>
  </si>
  <si>
    <t>VOIP phones</t>
  </si>
  <si>
    <t>Additional cupix captures</t>
  </si>
  <si>
    <t>Amendment 11</t>
  </si>
  <si>
    <t>End date revised to March 31, 2025</t>
  </si>
  <si>
    <t>CO-004</t>
  </si>
  <si>
    <t>Table move from Infra bldg to RDJC</t>
  </si>
  <si>
    <t>Stantec-Parsons House Consultant-37614</t>
  </si>
  <si>
    <t>CMS Ref. ID 229001</t>
  </si>
  <si>
    <t>Amendment 38</t>
  </si>
  <si>
    <t>#38 AV Contractor change</t>
  </si>
  <si>
    <t>Travel Expenses-John-Direct Pay</t>
  </si>
  <si>
    <t>Travel Expenses-Misc-Direct Pay</t>
  </si>
  <si>
    <t>Amendment 39</t>
  </si>
  <si>
    <t>#39 UPS Power and PDU networking</t>
  </si>
  <si>
    <t>CMS Ref. ID 230349</t>
  </si>
  <si>
    <t>CO 02</t>
  </si>
  <si>
    <t>Amendment 40</t>
  </si>
  <si>
    <t>max upset for AV reviews</t>
  </si>
  <si>
    <t>CO 003</t>
  </si>
  <si>
    <t>flag poles</t>
  </si>
  <si>
    <t>amendment 41</t>
  </si>
  <si>
    <t>compugen audit support</t>
  </si>
  <si>
    <t>Contract Close- release unused commitment in CMS</t>
  </si>
  <si>
    <t>CMS Ref.ID 232528</t>
  </si>
  <si>
    <t>amendment 42</t>
  </si>
  <si>
    <t>Additional AV site verification</t>
  </si>
  <si>
    <t>amendment 43</t>
  </si>
  <si>
    <t>AV operational support</t>
  </si>
  <si>
    <t>TFA with Justice-Justice funded</t>
  </si>
  <si>
    <t>amendment 7</t>
  </si>
  <si>
    <t>AV additional commissioning</t>
  </si>
  <si>
    <t>TFA-Staff Relocation to RDJC-IUT</t>
  </si>
  <si>
    <t>=150397.31+H16296543</t>
  </si>
  <si>
    <t>Cost Tracking Worksheet</t>
  </si>
  <si>
    <t>CMS Reconciliation</t>
  </si>
  <si>
    <t>Billed to Date</t>
  </si>
  <si>
    <t>Latest Cost Date</t>
  </si>
  <si>
    <t>Cashflow Total</t>
  </si>
  <si>
    <t>CMS Value</t>
  </si>
  <si>
    <t>CMS As of Date</t>
  </si>
  <si>
    <t>Variance</t>
  </si>
  <si>
    <t>Imagis</t>
  </si>
  <si>
    <t>1GX</t>
  </si>
  <si>
    <t>Comments</t>
  </si>
  <si>
    <r>
      <rPr>
        <b/>
        <sz val="10"/>
        <color rgb="FFFF33CC"/>
        <rFont val="Calibri"/>
        <family val="2"/>
        <scheme val="minor"/>
      </rPr>
      <t>Clark PWAC2 $24,528.07 deducted from PC35 Inv#28866-Paid to Vendor less 10% HB($22,075.26)-Vchr#A0281182 Jun 27, 2023</t>
    </r>
    <r>
      <rPr>
        <sz val="10"/>
        <color theme="1"/>
        <rFont val="Calibri"/>
        <family val="2"/>
        <scheme val="minor"/>
      </rPr>
      <t xml:space="preserve">
Clark PWAC $411,521.99-Paid to the Court.Correct Court File#2303-01387-Cheque#0013643625 Dated Mar 7, 2023.</t>
    </r>
    <r>
      <rPr>
        <b/>
        <sz val="10"/>
        <color rgb="FFFF0000"/>
        <rFont val="Calibri"/>
        <family val="2"/>
        <scheme val="minor"/>
      </rPr>
      <t>2021-22 Acrrual#ACCM043050 cleared.</t>
    </r>
  </si>
  <si>
    <t>Detailed Cost Listing</t>
  </si>
  <si>
    <t>c = a - b</t>
  </si>
  <si>
    <t>For SCA Use Only</t>
  </si>
  <si>
    <t>Vendor - Contract</t>
  </si>
  <si>
    <t>Invoice Number</t>
  </si>
  <si>
    <t>Invoice Date</t>
  </si>
  <si>
    <t>Value</t>
  </si>
  <si>
    <t>Holdback (Y/N/R)</t>
  </si>
  <si>
    <t>Holdback Value</t>
  </si>
  <si>
    <t>Payable</t>
  </si>
  <si>
    <t>PC #</t>
  </si>
  <si>
    <t xml:space="preserve">Billing Period </t>
  </si>
  <si>
    <t>Received Date</t>
  </si>
  <si>
    <t>Received Date - Compliant</t>
  </si>
  <si>
    <t>Error Code</t>
  </si>
  <si>
    <t>PM Approved Date</t>
  </si>
  <si>
    <t>Release Date (CMS)</t>
  </si>
  <si>
    <t>Flag</t>
  </si>
  <si>
    <t>Fiscal Period</t>
  </si>
  <si>
    <t>InMarch</t>
  </si>
  <si>
    <t>Reconciled Amount</t>
  </si>
  <si>
    <t>Reconciled Date</t>
  </si>
  <si>
    <t>Amount Changed?</t>
  </si>
  <si>
    <t>Column1</t>
  </si>
  <si>
    <t>018-478</t>
  </si>
  <si>
    <t>May 1-31, 2018</t>
  </si>
  <si>
    <t>unknown</t>
  </si>
  <si>
    <t>Pinchin Ltd. -33133</t>
  </si>
  <si>
    <t>LAB012418001</t>
  </si>
  <si>
    <t>Enviro-Works Inc. -Direct Pay</t>
  </si>
  <si>
    <t>INV-14967</t>
  </si>
  <si>
    <t>INV-14968</t>
  </si>
  <si>
    <t>CarbonCopy Digital-Direct Pay</t>
  </si>
  <si>
    <t>F27306-1</t>
  </si>
  <si>
    <t>Harrison Bowker Real Estate AP-Direct Pay</t>
  </si>
  <si>
    <t>LAB051818001</t>
  </si>
  <si>
    <t>Fire Sail Holdings-Direct Pay</t>
  </si>
  <si>
    <t>LAB061118001</t>
  </si>
  <si>
    <t>018-574</t>
  </si>
  <si>
    <t>June 1-30, 2018</t>
  </si>
  <si>
    <t>018-692</t>
  </si>
  <si>
    <t>july1-31, 2018</t>
  </si>
  <si>
    <t>ending July 27, 2018</t>
  </si>
  <si>
    <t>ACCM036169</t>
  </si>
  <si>
    <t>018-777</t>
  </si>
  <si>
    <t>Aug1-31, 2018</t>
  </si>
  <si>
    <t>018-916</t>
  </si>
  <si>
    <t>Sept1-30, 2018</t>
  </si>
  <si>
    <t>018-966</t>
  </si>
  <si>
    <t>October 1-31, 2018</t>
  </si>
  <si>
    <t>ending Nov 30, 2018</t>
  </si>
  <si>
    <t>18-1056</t>
  </si>
  <si>
    <t>Apr-June 2018</t>
  </si>
  <si>
    <t>18-1170</t>
  </si>
  <si>
    <t>ending Dec 31, 2018</t>
  </si>
  <si>
    <t>18-1157</t>
  </si>
  <si>
    <t>Dec Disbursement</t>
  </si>
  <si>
    <t>019-055</t>
  </si>
  <si>
    <t>ending Jan 31, 2019</t>
  </si>
  <si>
    <t xml:space="preserve">LAB02132019001 </t>
  </si>
  <si>
    <t>019-112</t>
  </si>
  <si>
    <t>ending Feb 2019</t>
  </si>
  <si>
    <t>ACCM038336</t>
  </si>
  <si>
    <t>ACCM038330</t>
  </si>
  <si>
    <t>Shunda Consulting &amp; Construction Mgt-35131</t>
  </si>
  <si>
    <t>ACCM038332</t>
  </si>
  <si>
    <t>ACCM038334</t>
  </si>
  <si>
    <t>ACCM038326</t>
  </si>
  <si>
    <t>ACCM038328</t>
  </si>
  <si>
    <t>019-350</t>
  </si>
  <si>
    <t>WDC Consulting-Direct Pay</t>
  </si>
  <si>
    <t>Mar,Apr 2019</t>
  </si>
  <si>
    <t>Chapman Riebeek LLP -Direct Pay</t>
  </si>
  <si>
    <t>019-396</t>
  </si>
  <si>
    <t>019-520</t>
  </si>
  <si>
    <t>EXC1948482</t>
  </si>
  <si>
    <t>EXC1951720</t>
  </si>
  <si>
    <t>EXC1960316</t>
  </si>
  <si>
    <t>EXC1965529</t>
  </si>
  <si>
    <t>April112019Malchuk</t>
  </si>
  <si>
    <t>Amount reconciled - initial entry(351.65). In consultation with the PM(RS) deducted (-200.76) to balance with Imagis entry</t>
  </si>
  <si>
    <t>April23Malchuk</t>
  </si>
  <si>
    <t>Amount reconciled</t>
  </si>
  <si>
    <t>019-619</t>
  </si>
  <si>
    <t>EXC0000001983674</t>
  </si>
  <si>
    <t>019-656</t>
  </si>
  <si>
    <t>2019-09-09-</t>
  </si>
  <si>
    <t>Didn't receive COP until Oct 7th</t>
  </si>
  <si>
    <t>EXC0000002002606</t>
  </si>
  <si>
    <t>Aug-Sep 2019</t>
  </si>
  <si>
    <t>EXC0000002003219</t>
  </si>
  <si>
    <t>Aug-Oct 2019</t>
  </si>
  <si>
    <t>Ellen Buchan expenses</t>
  </si>
  <si>
    <t>To July 5/19</t>
  </si>
  <si>
    <t>To Aug 2/19</t>
  </si>
  <si>
    <t>To Aug 23/19</t>
  </si>
  <si>
    <t>Oct212019</t>
  </si>
  <si>
    <t>July122019</t>
  </si>
  <si>
    <t>Development Permit</t>
  </si>
  <si>
    <t>ECC0000002006625</t>
  </si>
  <si>
    <t>Nov122019</t>
  </si>
  <si>
    <t>Building Permit</t>
  </si>
  <si>
    <t>019-877</t>
  </si>
  <si>
    <t>Nov302019</t>
  </si>
  <si>
    <t>019-969</t>
  </si>
  <si>
    <t>8208R</t>
  </si>
  <si>
    <t>HB Release</t>
  </si>
  <si>
    <t>Did not add the amount on the reconcilation tab as it is adding the amount on the total.</t>
  </si>
  <si>
    <t>May212019</t>
  </si>
  <si>
    <t>Deducted $8.50 tax to match Imagis entry (E Column-Jan 19/21)</t>
  </si>
  <si>
    <t>Sept 17/2020</t>
  </si>
  <si>
    <t>Deducted $5.33 tax to match Imagis entry (E Column-Jan 19/21)</t>
  </si>
  <si>
    <t>Deducted $2.93 tax to match Imagis entry (E Column-Jan 19/21)</t>
  </si>
  <si>
    <t>Deducted $7.25 tax to match Imagis entry (E Column-Jan 19/21)</t>
  </si>
  <si>
    <t>Nov 12/2020</t>
  </si>
  <si>
    <t>Deducted $7.15 tax to match Imagis entry (E Column-Jan 19/21)</t>
  </si>
  <si>
    <t>Deducted $14.25 tax to match Imagis entry (E Column -Jan 19/21)</t>
  </si>
  <si>
    <t>Deducted $7.19 tax to match Imagis entry (E Column-Jan 19/21)</t>
  </si>
  <si>
    <t>ACCM039040</t>
  </si>
  <si>
    <t>Mar2020</t>
  </si>
  <si>
    <t>EXC0000002040856</t>
  </si>
  <si>
    <t>20-0145</t>
  </si>
  <si>
    <t>Riley's-CD Printing-Direct Pay</t>
  </si>
  <si>
    <t>To July 31/2020</t>
  </si>
  <si>
    <t>to Sept 25/2020</t>
  </si>
  <si>
    <t>to Oct 30/2020</t>
  </si>
  <si>
    <t>Feb2020</t>
  </si>
  <si>
    <t>Purolator-Land Title-Direct Pay</t>
  </si>
  <si>
    <t>444581003ADJMIN</t>
  </si>
  <si>
    <t>Journal adjustment from B0663A-0020</t>
  </si>
  <si>
    <t>Sep2020</t>
  </si>
  <si>
    <t>Updated Dec. 8 based on the actual Nov. Staff. Caps</t>
  </si>
  <si>
    <t>20-0013</t>
  </si>
  <si>
    <t>20-0124</t>
  </si>
  <si>
    <t>20-0223</t>
  </si>
  <si>
    <t>200-268</t>
  </si>
  <si>
    <t>20-0334</t>
  </si>
  <si>
    <t>20-0405</t>
  </si>
  <si>
    <t>20-0476</t>
  </si>
  <si>
    <t>Aug 1-31/2020</t>
  </si>
  <si>
    <t>20-0537</t>
  </si>
  <si>
    <t>20-0584</t>
  </si>
  <si>
    <t>20-0690</t>
  </si>
  <si>
    <t>24550R</t>
  </si>
  <si>
    <t>City of Red Deer-Tree Removal Fee-Direct Pay</t>
  </si>
  <si>
    <t>Cine Audio Visual-Groundbreaking-Direct Pay</t>
  </si>
  <si>
    <t>ATCO-36789</t>
  </si>
  <si>
    <t>FEB252020</t>
  </si>
  <si>
    <t>Updated Jan 11, 2021 based on the actual Dec. Staff. Caps</t>
  </si>
  <si>
    <t>20-0739</t>
  </si>
  <si>
    <t>25043-R</t>
  </si>
  <si>
    <t>5-R</t>
  </si>
  <si>
    <t>Jan2021 Staff Caps</t>
  </si>
  <si>
    <t>Updated Feb 10, 2021 based on the actual Jan Staff. Caps</t>
  </si>
  <si>
    <t>21-0033</t>
  </si>
  <si>
    <t>December 2020 Invoice</t>
  </si>
  <si>
    <t>January 2021 Invoice</t>
  </si>
  <si>
    <t>Feb2021 Staff Caps</t>
  </si>
  <si>
    <t>Updated March 3, 2021 based on the actual Feb Staff. Caps</t>
  </si>
  <si>
    <t>21-0091</t>
  </si>
  <si>
    <t>-RDJC Site Meeting Nov 24, 2020.
-Release date  is the Report date and the approved date is the submit date in 1 GX.
'-Amount less tax.</t>
  </si>
  <si>
    <t>ACCM040883</t>
  </si>
  <si>
    <t>Accrual at March 31, 2021</t>
  </si>
  <si>
    <t>Invoice for ACCM040883</t>
  </si>
  <si>
    <t>Reverse ACCM040883 in the new year for invoice 1590565</t>
  </si>
  <si>
    <t>ACCM040874</t>
  </si>
  <si>
    <t>25388-R</t>
  </si>
  <si>
    <t>Invoice for ACCM040874</t>
  </si>
  <si>
    <t>Reverse ACCM040874  in the new year for invoice 25388-R</t>
  </si>
  <si>
    <t>Same Invoice of the accrual - portion of FY 2021_22</t>
  </si>
  <si>
    <t>ACCM040863</t>
  </si>
  <si>
    <t>Invoice for ACCM040863</t>
  </si>
  <si>
    <t>Reverse ACCM040863 in the new year for invoice 419305</t>
  </si>
  <si>
    <t>ACCM040873</t>
  </si>
  <si>
    <t>Invoice for ACCM040873</t>
  </si>
  <si>
    <t>Reverse ACCM040873 in the new year for invoice 1594783</t>
  </si>
  <si>
    <t>ACCM040843</t>
  </si>
  <si>
    <t>21-0143</t>
  </si>
  <si>
    <t>Invoice for ACCM040843</t>
  </si>
  <si>
    <t>Reverse ACCM040843 in the new year for invoice 21-0143</t>
  </si>
  <si>
    <t>ACCM040868</t>
  </si>
  <si>
    <t>Invoice forACCM040868</t>
  </si>
  <si>
    <t>Reverse ACCM040868 in the new year for invoice 60701404</t>
  </si>
  <si>
    <t>ACCM040050</t>
  </si>
  <si>
    <t>Invoice forACCM040050</t>
  </si>
  <si>
    <t>Reverse ACCM040050 in the new year for invoice 2711</t>
  </si>
  <si>
    <t>Mar2021 Staff Cap</t>
  </si>
  <si>
    <t>Updated  from $32,000 to $26,281.35 on May 20 based on the revised (Apr 23) actual March  Staff. Caps</t>
  </si>
  <si>
    <t>Apr 2021 Staff Cap 
(see April &amp; May combined)</t>
  </si>
  <si>
    <t>$ 46,538 place holder for April . April staff Caps conbined with may as per 1 GX Report</t>
  </si>
  <si>
    <t>April &amp; May 2021 Staff Cap</t>
  </si>
  <si>
    <t>April &amp; may Staff Caps combined as per 1 GX Cost Centre report</t>
  </si>
  <si>
    <t>25561-R1</t>
  </si>
  <si>
    <t>Updated May 20, 2021</t>
  </si>
  <si>
    <t>21-0226</t>
  </si>
  <si>
    <r>
      <t>Updated May 20, 2021.</t>
    </r>
    <r>
      <rPr>
        <sz val="11"/>
        <color rgb="FFFF0000"/>
        <rFont val="Calibri"/>
        <family val="2"/>
        <scheme val="minor"/>
      </rPr>
      <t xml:space="preserve"> Not reconciled.</t>
    </r>
  </si>
  <si>
    <t>Updated May 27, 2021</t>
  </si>
  <si>
    <t>Updated Placeholder amount $2100 to the Actual Inv. Amount of $6900 May 28, 2021.</t>
  </si>
  <si>
    <t>21-0298</t>
  </si>
  <si>
    <t>Jun 2021 Staff Cap</t>
  </si>
  <si>
    <t>PM Approval &amp; Released Date as per 1 GX Cost Ctr Rprt Posting Date</t>
  </si>
  <si>
    <t>Replacement of Inv#1617782 dated July 2, 2021.</t>
  </si>
  <si>
    <t>21-0363</t>
  </si>
  <si>
    <t>24881 R1</t>
  </si>
  <si>
    <t>Amount Updated Aug 13 - based on the 1 GX cost centre Report.</t>
  </si>
  <si>
    <t xml:space="preserve"> Exclaim was 108.75 and 1 GX deducted 5% tax so the total becomes $103.58 (updated Aug. 13, 2021 to reflect 1 GX amount).</t>
  </si>
  <si>
    <t>21-0407</t>
  </si>
  <si>
    <t>Royal Rubber Stamps Co Ltd (Construction Site Signage-CPDD)-38933</t>
  </si>
  <si>
    <t>00243154</t>
  </si>
  <si>
    <t>Pm Approval date based on 1 GX posting date. Donna B. processed the invoice in CMS.</t>
  </si>
  <si>
    <t>Aug 2021 Staff Caps</t>
  </si>
  <si>
    <t>Updated based on the Monthly report- PM approval and release date will be updated once reconciled with 1 GX.</t>
  </si>
  <si>
    <t>21-0469</t>
  </si>
  <si>
    <t>26067 R1</t>
  </si>
  <si>
    <t>Sep 2021 Staff Caps</t>
  </si>
  <si>
    <t>Placeholder, PM approval and release date updated based on 1 GX report</t>
  </si>
  <si>
    <t>21-0584</t>
  </si>
  <si>
    <t>Oct 2021 Staff Caps</t>
  </si>
  <si>
    <t>Placeholder 46537.58 updated to $46806.44 as per Staff Caps monthly report &amp; 1 GX cost centre report</t>
  </si>
  <si>
    <t>Updated Stat Dec received from vendor Oct 18, 2021</t>
  </si>
  <si>
    <t>Amount updated based on Cost Ce ntre Report  177.85 less 5 %.Site Vist - Transaction dates varies/from Aug 31 to Oct 26, 2021
Inv# is the Doc #, Invoice, Recived, Approved, Released date is the postin date in 1 GX.</t>
  </si>
  <si>
    <t>21-0636</t>
  </si>
  <si>
    <t>Note Nov 15, 2021: Bank details updated in 1 GX Oct 10, 2021.</t>
  </si>
  <si>
    <t>26351 R1</t>
  </si>
  <si>
    <t>As per PM there were 3 revisions on the invoice.</t>
  </si>
  <si>
    <t>Nov 2021 Staff Caps</t>
  </si>
  <si>
    <t>Placeholder 36537.58 updated to $46532.39. InvDate, Rcvd, Pm Approval, release date based on 1 GX last Posting Date.</t>
  </si>
  <si>
    <t>Released date revised to match 1 gX posting date</t>
  </si>
  <si>
    <t>21-0708</t>
  </si>
  <si>
    <t>186.50 updated to 178.67 1 GX amount.Inv#,date,Rcvd date is the Exclaim Report Date. Pm Approved and release date based on 1 GX posting date.</t>
  </si>
  <si>
    <t>26598 R1</t>
  </si>
  <si>
    <t>CMS Holdback (280,266.20)
Amount Due:$2,522,395.85</t>
  </si>
  <si>
    <t>Dec 2021 Staff Caps</t>
  </si>
  <si>
    <t>Approved and Released date as per CCReport posting date.Amount updtated Jan 7, 2022 as per 1 GX CCReport.Place holder for december 2021 $36268.72.</t>
  </si>
  <si>
    <t>21-0750</t>
  </si>
  <si>
    <t>407017REV</t>
  </si>
  <si>
    <t>canceled invoice 407017 and reissued Nov and included Dec oninvoice 407017REV.</t>
  </si>
  <si>
    <t>Jan2022 Staff Caps</t>
  </si>
  <si>
    <t>Placeholder $36537.53 updated to $44,906.96.InvDate, Rcvd, Pm Approval, release date based on 1 GX last Posting Date.</t>
  </si>
  <si>
    <t>22-0036</t>
  </si>
  <si>
    <t>800063121</t>
  </si>
  <si>
    <t>ExClaim $399.70 updated as per 1 GX Cost Ctr. Rprt. Value. Invoice# as per 1 GX Doc. #. Invoice, Rcvd. Pm Approval &amp; Released date as per 1 GX Posting date.</t>
  </si>
  <si>
    <t>26783R1</t>
  </si>
  <si>
    <t>Invoice /Balance to pay less PWAC $ 411,521.99. Lien cleared Mar 1, 2022.</t>
  </si>
  <si>
    <t>800064411</t>
  </si>
  <si>
    <t>ExClaim $267.17 updated as per 1 GX Cost Ctr. Rprt. Value. Invoice# as per 1 GX Doc. #. Invoice, Rcvd. Pm Approval &amp; Released date as per 1 GX Posting date.</t>
  </si>
  <si>
    <t>Amount updated June 7,2022 to include $79.14 amount missing on the initial entry of $146.28. Rcvd, Amount, approval, release date &amp; Invoice date as per posting date in 1 GX. Invoice# is the Document # in 1 GX</t>
  </si>
  <si>
    <t>Feb2022 Staff Caps</t>
  </si>
  <si>
    <t>Approved and Released date as per 1 GX posting date..Placeholder amount of $36537.58 updated to $43,494.16 as per 1 GX report Mar8_2022.</t>
  </si>
  <si>
    <t>Invoice received from PM Feb 28, 2022</t>
  </si>
  <si>
    <t>22-0084</t>
  </si>
  <si>
    <t>26924 R2</t>
  </si>
  <si>
    <t>20-PHB</t>
  </si>
  <si>
    <t>HB Release-Partial - already reflected on the actual invoice entry as invoice with HB amount in 1 GX.Did not add the amount on the reconcilation tab as it is adding the amount on the total.
Will not show up in 1 GX report</t>
  </si>
  <si>
    <t>Mar2022 Staff Caps</t>
  </si>
  <si>
    <t>ACCM042825</t>
  </si>
  <si>
    <t>Accrual at Mar 31, 2022</t>
  </si>
  <si>
    <t>22-0146</t>
  </si>
  <si>
    <t>Invoice for ACCM042825. Release date as per 1 GX posting date.</t>
  </si>
  <si>
    <t>Reverse ACCM042825 in the new year for Invoice 22-0146. Release date as per 1 GX posting date.</t>
  </si>
  <si>
    <t>ACCM043051</t>
  </si>
  <si>
    <t>Accrual at Mar 31, 2022.</t>
  </si>
  <si>
    <t>60753656A</t>
  </si>
  <si>
    <t>Invoice for ACCM043050 - For FY 2022/2023 portion of the invoice refer to Inv# 60753656/vchr#A0225424</t>
  </si>
  <si>
    <t>Reverse ACCM043050 in the new year for Invoice 60753656A</t>
  </si>
  <si>
    <t>For FY 2021-22/Accrual portion refer to invoice  #60753656Avchr#A0225423</t>
  </si>
  <si>
    <t>Rcvd, Amount, approval, release date &amp; Invoice date as per posting date in 1 GX. Invoice# is the Document # in 1 GX</t>
  </si>
  <si>
    <t>ACCM043088</t>
  </si>
  <si>
    <t>Mar 25,2022</t>
  </si>
  <si>
    <t xml:space="preserve">Accrual at Mar 31, 2022. </t>
  </si>
  <si>
    <t>Invoice for ACCM043088</t>
  </si>
  <si>
    <t>Reverse ACCM043088 in the new year for Invoice 418853</t>
  </si>
  <si>
    <t>Write-off remaining accrual balance for ACCM043088</t>
  </si>
  <si>
    <t>Accrual Write Off-Clearing-Direct Pay</t>
  </si>
  <si>
    <t>Balance remaining in ACCM043088/Contract# 038170/Project ID: B83224-001 transferred to accrual write-off.</t>
  </si>
  <si>
    <t>ACCM043410</t>
  </si>
  <si>
    <t>PC21</t>
  </si>
  <si>
    <t>Accrual for March 31, 2022</t>
  </si>
  <si>
    <t>27070 R2 A</t>
  </si>
  <si>
    <t>Invoice of ACCM043410. Fiscal 2022-23 portion of the invoice refer to vchr#A0224156.</t>
  </si>
  <si>
    <t>Reverse  ACCM043410 in the new year for Invoice# 27070 R2</t>
  </si>
  <si>
    <t>27070 R2</t>
  </si>
  <si>
    <t>Acrrual Portion of the Invoice 27070 R2 refer to voucher A0224154.</t>
  </si>
  <si>
    <t>Fiscal Yr 2022-23</t>
  </si>
  <si>
    <t>Compugen- Network Switches Mock up-9000027253</t>
  </si>
  <si>
    <t>JE Ref. Doc#100173284 WBS transfer from P-001375.01 TO P-002360.01.Inv date as per Changed Requisition PR47899-V4 date; PM Approval, Rcvd Date as per 1 GX Posting Date.</t>
  </si>
  <si>
    <t>$195.70 updated to 187.78 as per 1 GX report. Inv# as per 1 GX Doc. #</t>
  </si>
  <si>
    <t>22-0207</t>
  </si>
  <si>
    <t>27219 R1</t>
  </si>
  <si>
    <t>PC22</t>
  </si>
  <si>
    <t>Apr &amp; May2022 Staff Caps</t>
  </si>
  <si>
    <t>Inv# as per 1 GX Doc.#. Inv, Approval, Recevd, Released date as per 1 GX posting date.</t>
  </si>
  <si>
    <t xml:space="preserve">Amount updated from $171.12 as per 1 GX report.Inv, Approved, Released date as per Exclaim Report Date. </t>
  </si>
  <si>
    <t>22-0270</t>
  </si>
  <si>
    <t xml:space="preserve">Amount updated from $115.94 as per 1 GX report.Inv, Approved, Released date as per Exclaim Report Date. </t>
  </si>
  <si>
    <t>27365R2</t>
  </si>
  <si>
    <t>PC23</t>
  </si>
  <si>
    <t>Provincial Archives Vinyl Images-Direct Pay</t>
  </si>
  <si>
    <t>AutoBody Services RED DEER Ltd.-Offsite Storage-39689</t>
  </si>
  <si>
    <t>039689070122</t>
  </si>
  <si>
    <t>CMS Batch#16365 for Jul 1, 2022. 1 GX Doc#1900875519
Release date as per 1 GX posting date.Inv Date-CMS Created Date.</t>
  </si>
  <si>
    <t>Release date as per 1 GX posting date. Invice## as per 1 GX doc.#. Initial INV At enterd $174.95 updated as per 1 GX amt.</t>
  </si>
  <si>
    <t>NPO invoice</t>
  </si>
  <si>
    <t>Jun2022 Staff Caps</t>
  </si>
  <si>
    <t>Dates as per 1 GX posting date</t>
  </si>
  <si>
    <t>22-0363</t>
  </si>
  <si>
    <t>039689080122</t>
  </si>
  <si>
    <t>CMS Batch#16385 for Aug 1, 2022. 1 GX Doc#1901150047
 Approved &amp;Release dates  as per 1 GX posting date.Inv Date-CMS Created Date.</t>
  </si>
  <si>
    <t>27483 R1</t>
  </si>
  <si>
    <t>PC24</t>
  </si>
  <si>
    <t>Jul2022 Staff Caps</t>
  </si>
  <si>
    <t>Adj of $97.19 from $54713.68 to $54,810.87.  Ref. Doc #100057273.Inv, approved &amp; released date as per 1 GX posting date</t>
  </si>
  <si>
    <t>22-0439</t>
  </si>
  <si>
    <t>Release date as per 1 GX Posting date.</t>
  </si>
  <si>
    <t>039689090122</t>
  </si>
  <si>
    <t xml:space="preserve">CMS Batch#16402 for Sep 1, 2022.Release dateas per 1 GX Posting date.
</t>
  </si>
  <si>
    <t>27590 R1</t>
  </si>
  <si>
    <t>PC25</t>
  </si>
  <si>
    <t xml:space="preserve">70.48 as per 1 GX amount. </t>
  </si>
  <si>
    <t>Aug2022 Staff Caps</t>
  </si>
  <si>
    <t>Dates as per 1 GX posting date.</t>
  </si>
  <si>
    <t>Actual CMS release date Aug 31, 2022.</t>
  </si>
  <si>
    <t>Project Summary Report received Sep 6, 2022</t>
  </si>
  <si>
    <t>433828REV</t>
  </si>
  <si>
    <t>Compugen -'Wireless prediction study-39678</t>
  </si>
  <si>
    <t>Received updated invoice Sep 20, 2022</t>
  </si>
  <si>
    <t>22-0499</t>
  </si>
  <si>
    <t>039689100122</t>
  </si>
  <si>
    <t xml:space="preserve">CMS Batch#16414 for Oct 1, 2022. Release dateas per 1 GX Posting date.
</t>
  </si>
  <si>
    <t>$40.71 - Vehicle Fuel
$11.05 - Meal</t>
  </si>
  <si>
    <t>27723 R2</t>
  </si>
  <si>
    <t>PC26</t>
  </si>
  <si>
    <t>437641REV</t>
  </si>
  <si>
    <t>039689110122</t>
  </si>
  <si>
    <t xml:space="preserve">CMS Batch#16417 for Nov 1, 2022.Release dateas per 1 GX Posting date.
</t>
  </si>
  <si>
    <t>Sep2022 Staff Caps</t>
  </si>
  <si>
    <t>Invoice # is 1 GX Doc. #/Amount as per 1 GC Cost centre Report.$34.41 Vehicle Fuel
$39.62 - Meal</t>
  </si>
  <si>
    <t>PC27</t>
  </si>
  <si>
    <t>Invoice # is 1 GX Doc. #/Amount as per 1 GC Cost centre Report.$7 Other Cost_$110 Lodging_
$110 - Meal</t>
  </si>
  <si>
    <t>Oct2022 Staff Caps</t>
  </si>
  <si>
    <t>039689120122</t>
  </si>
  <si>
    <t xml:space="preserve">CMS Batch#16446 for Dec 1, 2022.Release dateas per 1 GX Posting date.
</t>
  </si>
  <si>
    <t>Compugen-Network AV-9000032855</t>
  </si>
  <si>
    <t>Ariba-RC39714</t>
  </si>
  <si>
    <t>Ariba-RC51993</t>
  </si>
  <si>
    <t>Compugen- Network Switches-9000032640</t>
  </si>
  <si>
    <t>Ariba-RC39445</t>
  </si>
  <si>
    <t>Ariba-RC50575</t>
  </si>
  <si>
    <t>Ariba-RC51009</t>
  </si>
  <si>
    <t>Gap Wireless- Das Owner Supplied-9000032727</t>
  </si>
  <si>
    <t>Ariba-RC39565</t>
  </si>
  <si>
    <t>Gap Wireless- Das Owner Supplied Standing Offer-9000029997</t>
  </si>
  <si>
    <t>Ariba-RC36182</t>
  </si>
  <si>
    <t>Pc28</t>
  </si>
  <si>
    <t>PC29</t>
  </si>
  <si>
    <t>Ariba-RC51617</t>
  </si>
  <si>
    <t>Non-Capital Computer Hardware</t>
  </si>
  <si>
    <t>Ariba-RC54045</t>
  </si>
  <si>
    <t>Ariba-RC56963</t>
  </si>
  <si>
    <t>Non-Capital Equipment and Furniture + Computer Hardware</t>
  </si>
  <si>
    <t>Ariba-RC56998</t>
  </si>
  <si>
    <t>Non-Capital Equipment and Furniture</t>
  </si>
  <si>
    <t>Ariba-RC57007</t>
  </si>
  <si>
    <t>Ariba-RC54693</t>
  </si>
  <si>
    <t>Compugen- SA WAPS-9000042321</t>
  </si>
  <si>
    <t>Ariba -RC51548</t>
  </si>
  <si>
    <r>
      <rPr>
        <b/>
        <sz val="11"/>
        <color rgb="FFFF0000"/>
        <rFont val="Calibri"/>
        <family val="2"/>
        <scheme val="minor"/>
      </rPr>
      <t xml:space="preserve"> </t>
    </r>
    <r>
      <rPr>
        <sz val="11"/>
        <color rgb="FFFF0000"/>
        <rFont val="Calibri"/>
        <family val="2"/>
        <scheme val="minor"/>
      </rPr>
      <t>Asset Purchase-Other - 56539.5  PO-9000042321</t>
    </r>
  </si>
  <si>
    <t>Meals $19.81 + 19.81 + Other Costs $5.71</t>
  </si>
  <si>
    <t xml:space="preserve">CMS Batch#16457 for Jan 1, 2023.Release dateas per 1 GX Posting date.
</t>
  </si>
  <si>
    <t>Nov2022 Staff Caps</t>
  </si>
  <si>
    <t>10220342212</t>
  </si>
  <si>
    <t>Release date  based on Financial Report posting date</t>
  </si>
  <si>
    <t>Schedue Reader-Direct Pay</t>
  </si>
  <si>
    <t>PR73648 - PO 9000044189
RC 54088-Paid via EFT</t>
  </si>
  <si>
    <t>Release and Invoice date based on Financial Report posting date</t>
  </si>
  <si>
    <t xml:space="preserve">CMS Batch#16461 For Feb 1, 2023.Release dateas per 1 GX Posting date.
</t>
  </si>
  <si>
    <t>Dec2022 Staff Caps</t>
  </si>
  <si>
    <t>PC30</t>
  </si>
  <si>
    <t>Release date will be updated as per 1 GX.</t>
  </si>
  <si>
    <t>Inv# &amp; Release date updated as per 1 GX.</t>
  </si>
  <si>
    <t>Jan2023 Staff Caps</t>
  </si>
  <si>
    <t>23016B</t>
  </si>
  <si>
    <t xml:space="preserve">CMS Batch#16482 For Mar 1, 2023.Release dateas per 1 GX Posting date.Inv Date-CMS Created Date.
</t>
  </si>
  <si>
    <t>Lodging $115.00 - Other $7.35 - Meals 347.47.Inv# &amp; Release date updated as shown in 1 GX.</t>
  </si>
  <si>
    <r>
      <t xml:space="preserve">Lodging 220.10 - Meals $389.28 - Other $14.00 - Transpo $56.64. </t>
    </r>
    <r>
      <rPr>
        <sz val="11"/>
        <color rgb="FFFF33CC"/>
        <rFont val="Calibri"/>
        <family val="2"/>
        <scheme val="minor"/>
      </rPr>
      <t>Initiated 2022- approved and posted in 1 GX Mar 6, 2023</t>
    </r>
    <r>
      <rPr>
        <sz val="11"/>
        <color theme="1"/>
        <rFont val="Calibri"/>
        <family val="2"/>
        <scheme val="minor"/>
      </rPr>
      <t>. Inv# &amp; Release date updated as shown in 1 GX.</t>
    </r>
  </si>
  <si>
    <r>
      <t xml:space="preserve">Lodging $110.05-Meals $30.81. </t>
    </r>
    <r>
      <rPr>
        <sz val="11"/>
        <color rgb="FFFF33CC"/>
        <rFont val="Calibri"/>
        <family val="2"/>
        <scheme val="minor"/>
      </rPr>
      <t>Generated Oct2022,  approved &amp; posted Mar  2, 2023</t>
    </r>
    <r>
      <rPr>
        <sz val="11"/>
        <color theme="1"/>
        <rFont val="Calibri"/>
        <family val="2"/>
        <scheme val="minor"/>
      </rPr>
      <t>. Inv# &amp; Release date updated as shown in 1 GX.</t>
    </r>
  </si>
  <si>
    <t>Meals $101.19 - Lodging $120.53 - Ohers $7. Inv# &amp; Release date updated as per 1 GX.</t>
  </si>
  <si>
    <t>Feb2023 Staff Caps</t>
  </si>
  <si>
    <t>Ariba-RC57010</t>
  </si>
  <si>
    <r>
      <rPr>
        <sz val="11"/>
        <color rgb="FFFF0000"/>
        <rFont val="Calibri"/>
        <family val="2"/>
        <scheme val="minor"/>
      </rPr>
      <t>Posted April 2023 1 GX Report.</t>
    </r>
    <r>
      <rPr>
        <sz val="11"/>
        <color theme="1"/>
        <rFont val="Calibri"/>
        <family val="2"/>
        <scheme val="minor"/>
      </rPr>
      <t xml:space="preserve"> </t>
    </r>
    <r>
      <rPr>
        <sz val="11"/>
        <color rgb="FFFF0000"/>
        <rFont val="Calibri"/>
        <family val="2"/>
        <scheme val="minor"/>
      </rPr>
      <t>CMS Batch#16491 For Apr 1, 2023</t>
    </r>
    <r>
      <rPr>
        <sz val="11"/>
        <color theme="1"/>
        <rFont val="Calibri"/>
        <family val="2"/>
        <scheme val="minor"/>
      </rPr>
      <t xml:space="preserve">.Release dateas per 1 GX Posting date.Inv Date-CMS Created Date.
</t>
    </r>
  </si>
  <si>
    <t>PC31</t>
  </si>
  <si>
    <t>PC32</t>
  </si>
  <si>
    <t>ACCM043050/220305482</t>
  </si>
  <si>
    <t>PWA Amt./PC18</t>
  </si>
  <si>
    <r>
      <rPr>
        <b/>
        <sz val="11"/>
        <color rgb="FFFF0000"/>
        <rFont val="Calibri"/>
        <family val="2"/>
        <scheme val="minor"/>
      </rPr>
      <t>Accrual at Mar 31, 2022</t>
    </r>
    <r>
      <rPr>
        <sz val="11"/>
        <color rgb="FF0070C0"/>
        <rFont val="Calibri"/>
        <family val="2"/>
        <scheme val="minor"/>
      </rPr>
      <t>. Posted in Accrued Liablity-Capital Assets Mar 3, 2023.  PWAC Amount- deducted from Inv#26783R1 .Ref.VchrA0217397.1GXDoc#100165250</t>
    </r>
  </si>
  <si>
    <t>Reverse ACCM043050 in the new Year for PWA Invoice 220305482-Payment to the court. Correct Court File#2303-01387-Cheque#0013643625 Dated Mar 7, 2023.</t>
  </si>
  <si>
    <t>220305482/ACCM043050</t>
  </si>
  <si>
    <t>NOT YET IN 1 GX Report. PWA Invoice for ACCM043050</t>
  </si>
  <si>
    <t>ACCM044628/CI-0000007387</t>
  </si>
  <si>
    <t>Accrual at March 31, 2023</t>
  </si>
  <si>
    <t>CI-0000007387/ACCM044628</t>
  </si>
  <si>
    <t>Invoice for ACCM044628</t>
  </si>
  <si>
    <t>Reverse ACCM044628 in the new year for the invoice CI-0000007387</t>
  </si>
  <si>
    <t>ACCM044628/CI-0000007391</t>
  </si>
  <si>
    <t>CI-0000007391/ACCM044628</t>
  </si>
  <si>
    <t>Reverse ACCM044628 in the new year for the invoice CI-0000007391</t>
  </si>
  <si>
    <t>ACCM044673/7894</t>
  </si>
  <si>
    <t>7894/ACCM044673</t>
  </si>
  <si>
    <t>Invoice for ACCM044673</t>
  </si>
  <si>
    <t>Reverse ACCM044673 in the new year for the invoice 7894</t>
  </si>
  <si>
    <t>ACCM044672/28566A</t>
  </si>
  <si>
    <t>PC33</t>
  </si>
  <si>
    <t>28566A/ACCM044672</t>
  </si>
  <si>
    <t>Invoice for ACCM044672</t>
  </si>
  <si>
    <t>Reverse ACCM044672 in the new year for the invoice 28566A</t>
  </si>
  <si>
    <t>FY 2023-24</t>
  </si>
  <si>
    <t>ACCM044670/1792626A</t>
  </si>
  <si>
    <t>1792626/ACCM044670</t>
  </si>
  <si>
    <t>Invoice for ACCM044670</t>
  </si>
  <si>
    <t>Reverse ACCM044670 in the new year for the invoice 1792626</t>
  </si>
  <si>
    <t>ACCM044671/60807360A</t>
  </si>
  <si>
    <t>60807360A/ACCM044671</t>
  </si>
  <si>
    <t>Invoice for ACCM044671</t>
  </si>
  <si>
    <t>60807360/ACCM044671</t>
  </si>
  <si>
    <t>Reverse ACCM044671 in the new year for the invoice 60807360A</t>
  </si>
  <si>
    <t>ACCM044667/230190</t>
  </si>
  <si>
    <t>230190/ACCM044667</t>
  </si>
  <si>
    <t>Invoice for ACCM044667</t>
  </si>
  <si>
    <t>Reverse ACCM044667 in the new year for the invoice 230190</t>
  </si>
  <si>
    <t>Mar2023 Staff Caps</t>
  </si>
  <si>
    <t>Compugen- Network Switches-9000053475</t>
  </si>
  <si>
    <t>Ariba-RC66483</t>
  </si>
  <si>
    <t>Ariba-RC65860</t>
  </si>
  <si>
    <t>Ariba-RC65859</t>
  </si>
  <si>
    <t>Ariba-RC65154</t>
  </si>
  <si>
    <t>Ariba-RC66220</t>
  </si>
  <si>
    <t>Ariba-RC51995</t>
  </si>
  <si>
    <t>Ariba-RC63858</t>
  </si>
  <si>
    <t>Ariba-RC66191</t>
  </si>
  <si>
    <t>Ariba-RC63894</t>
  </si>
  <si>
    <t>Ariba-RC62748</t>
  </si>
  <si>
    <t>0396890501233</t>
  </si>
  <si>
    <r>
      <rPr>
        <sz val="11"/>
        <color rgb="FFFF0000"/>
        <rFont val="Calibri"/>
        <family val="2"/>
        <scheme val="minor"/>
      </rPr>
      <t>Posted April 2023 1 GX Report.</t>
    </r>
    <r>
      <rPr>
        <sz val="11"/>
        <color theme="1"/>
        <rFont val="Calibri"/>
        <family val="2"/>
        <scheme val="minor"/>
      </rPr>
      <t xml:space="preserve"> </t>
    </r>
    <r>
      <rPr>
        <sz val="11"/>
        <color rgb="FFFF0000"/>
        <rFont val="Calibri"/>
        <family val="2"/>
        <scheme val="minor"/>
      </rPr>
      <t>CMS Batch#16515 F</t>
    </r>
    <r>
      <rPr>
        <sz val="11"/>
        <color rgb="FF00B050"/>
        <rFont val="Calibri"/>
        <family val="2"/>
        <scheme val="minor"/>
      </rPr>
      <t>or MAY 1, 2023</t>
    </r>
    <r>
      <rPr>
        <sz val="11"/>
        <color theme="1"/>
        <rFont val="Calibri"/>
        <family val="2"/>
        <scheme val="minor"/>
      </rPr>
      <t xml:space="preserve">.Release date as per 1 GX Posting date
</t>
    </r>
  </si>
  <si>
    <t>039689060123</t>
  </si>
  <si>
    <r>
      <t xml:space="preserve"> </t>
    </r>
    <r>
      <rPr>
        <sz val="11"/>
        <color rgb="FFFF0000"/>
        <rFont val="Calibri"/>
        <family val="2"/>
        <scheme val="minor"/>
      </rPr>
      <t>CMS Batch#16536 For JUNE 1, 2023</t>
    </r>
    <r>
      <rPr>
        <sz val="11"/>
        <color theme="1"/>
        <rFont val="Calibri"/>
        <family val="2"/>
        <scheme val="minor"/>
      </rPr>
      <t xml:space="preserve">.Release dateas per 1 GX Posting date.
</t>
    </r>
  </si>
  <si>
    <t>Captain Courier Edmonton-Direct Pay</t>
  </si>
  <si>
    <t>cheque sent to Lawyer for the Clark PWA cheque-payment to the court</t>
  </si>
  <si>
    <t>Meals-$79.19  Vehicle/Fuel -$62.26</t>
  </si>
  <si>
    <t>23-0233</t>
  </si>
  <si>
    <t>CI-0000019410</t>
  </si>
  <si>
    <t>CI0000019421</t>
  </si>
  <si>
    <t>PC34</t>
  </si>
  <si>
    <t>Amount including $ 1,422.74 Apr Inv#102003570712 not received. Not in 1 GX/Financial report yet</t>
  </si>
  <si>
    <t>Compugen - WAP brackets-9000050226</t>
  </si>
  <si>
    <t>Ariba-RC61637</t>
  </si>
  <si>
    <t>Apr &amp; May2023 Staff Caps</t>
  </si>
  <si>
    <t>PC35</t>
  </si>
  <si>
    <t>Clark PWAC2 $24,528.07 -deducted on this invoice.</t>
  </si>
  <si>
    <t>28866A</t>
  </si>
  <si>
    <t>Clark PWAC2 $24,528.07-Paid to Vendor</t>
  </si>
  <si>
    <t>23-0306</t>
  </si>
  <si>
    <t>Batch#16561 - for July 1, 2023</t>
  </si>
  <si>
    <t>Actual Inv#102003619617</t>
  </si>
  <si>
    <t>Two new flagpoles for RDJC</t>
  </si>
  <si>
    <t>CI-0000028315</t>
  </si>
  <si>
    <t>CI-0000028320</t>
  </si>
  <si>
    <t>Jun2023 Staff Caps</t>
  </si>
  <si>
    <t>Keverest-PDUs-9000054828</t>
  </si>
  <si>
    <t>Ariba-RC66676</t>
  </si>
  <si>
    <t>9000054828</t>
  </si>
  <si>
    <t>Ariba-RC66618</t>
  </si>
  <si>
    <t>9000053475</t>
  </si>
  <si>
    <t>23-0389</t>
  </si>
  <si>
    <t>Invoice in Fin Report is the Acct.# as per SA 1 GX.</t>
  </si>
  <si>
    <t>039689080123</t>
  </si>
  <si>
    <t>Batch#16592-Aug 1, 2023</t>
  </si>
  <si>
    <t>101703677257</t>
  </si>
  <si>
    <t>PC36</t>
  </si>
  <si>
    <t>CI0000039020</t>
  </si>
  <si>
    <t>CI0000039018</t>
  </si>
  <si>
    <t>Ariba-RC74439</t>
  </si>
  <si>
    <t>Ariba-RC72091</t>
  </si>
  <si>
    <t>Ariba-RC74436</t>
  </si>
  <si>
    <t>Jul2023 Staff Caps</t>
  </si>
  <si>
    <t>PC37</t>
  </si>
  <si>
    <t>Batch 16615-Sep 1, 2023</t>
  </si>
  <si>
    <t>23-0473</t>
  </si>
  <si>
    <t>Aug2023 Staff Caps</t>
  </si>
  <si>
    <t>Meals</t>
  </si>
  <si>
    <t>Vehicle-$29.49 &amp; Meals $90.29</t>
  </si>
  <si>
    <t>CI0000046625</t>
  </si>
  <si>
    <t>CI0000046626</t>
  </si>
  <si>
    <t>03969100123</t>
  </si>
  <si>
    <t>Batch 16631 Oct 1, 2023</t>
  </si>
  <si>
    <t>23537R</t>
  </si>
  <si>
    <t>Sep2023 Staff Caps</t>
  </si>
  <si>
    <t>PC38</t>
  </si>
  <si>
    <t>CI-0000054008</t>
  </si>
  <si>
    <t>CI-0000054017</t>
  </si>
  <si>
    <t>CI-0000061168</t>
  </si>
  <si>
    <t>CI-0000061175</t>
  </si>
  <si>
    <t>Batch#16648 Nov 1, 2023</t>
  </si>
  <si>
    <t>23-0592R</t>
  </si>
  <si>
    <t>Krug Boardroom tables-storage-900068755</t>
  </si>
  <si>
    <t xml:space="preserve">Ref:SS77111
Po#9000068755 </t>
  </si>
  <si>
    <t>29310R</t>
  </si>
  <si>
    <t>PC39</t>
  </si>
  <si>
    <t>Oct2023 Staff Caps</t>
  </si>
  <si>
    <t>Meals:59.43
Oth Cost:6.86</t>
  </si>
  <si>
    <t>Meals:50.62
Oth Cost:18.11
Lodging: 120.53</t>
  </si>
  <si>
    <t>Batch 16682 - Dec 1, 2023</t>
  </si>
  <si>
    <t>CI-0000066254</t>
  </si>
  <si>
    <t>CI-0000066258</t>
  </si>
  <si>
    <t>23-671R</t>
  </si>
  <si>
    <t>Meals-$118.81
Other Cost-$15.28</t>
  </si>
  <si>
    <t>Lodging:$120.53
Meals-$90.19
Other Cost-$31.65</t>
  </si>
  <si>
    <t>29406R</t>
  </si>
  <si>
    <t>PC40</t>
  </si>
  <si>
    <t>Axia FibreNet Ltd-Supernet-Direct Pay</t>
  </si>
  <si>
    <t>Ariba-RC86784</t>
  </si>
  <si>
    <t xml:space="preserve">PO 9000034110
Ref. draft April 2025 Finnacil Report-Posting date April 14, 2025 under Bell Canada ( Axia was bought by Bell 2024)
Reference X10503045124060
Michael Ta &amp; Andrew Lim (aware of the vendor changes)
</t>
  </si>
  <si>
    <t>Krug Boardroom Tables-9000054326</t>
  </si>
  <si>
    <t>Ariba-RC66188</t>
  </si>
  <si>
    <t>Krug Boardroom Tables- delivery-9000069690</t>
  </si>
  <si>
    <t>SS78396</t>
  </si>
  <si>
    <t>Nov2023 Staff Caps</t>
  </si>
  <si>
    <t>Nov 31, 2023</t>
  </si>
  <si>
    <t>PC41</t>
  </si>
  <si>
    <t>23-752R</t>
  </si>
  <si>
    <t>Dec2023 Staff Caps</t>
  </si>
  <si>
    <t>CI-0000024780</t>
  </si>
  <si>
    <t>CI-0000073772</t>
  </si>
  <si>
    <t>23-0807</t>
  </si>
  <si>
    <t>Realty in Red Deer Ltd-Cleaning Fees-Direct Pay</t>
  </si>
  <si>
    <t>29524 R1</t>
  </si>
  <si>
    <t>PC41-HBR2</t>
  </si>
  <si>
    <t>CI-0000082829</t>
  </si>
  <si>
    <t>Jan2024 Staff Caps</t>
  </si>
  <si>
    <t>24-0036</t>
  </si>
  <si>
    <t>Feb2024 Staff Caps</t>
  </si>
  <si>
    <t>Exclaim for Harshit Taheem</t>
  </si>
  <si>
    <t>29797R</t>
  </si>
  <si>
    <t>CI-0000095646</t>
  </si>
  <si>
    <t>CI0000090693</t>
  </si>
  <si>
    <t>CI0000090698</t>
  </si>
  <si>
    <t>24-0078</t>
  </si>
  <si>
    <t>384190-1</t>
  </si>
  <si>
    <t>LEED- CAGBC-Direct Pay</t>
  </si>
  <si>
    <t>Leed NC D &amp; C Review</t>
  </si>
  <si>
    <t>ACCM045855/240137</t>
  </si>
  <si>
    <t>Accrual at March 31, 2024</t>
  </si>
  <si>
    <t>Invoice for ACCM045855</t>
  </si>
  <si>
    <t>Reverse ACCM045855 in the new year for the invoice 240137.</t>
  </si>
  <si>
    <t>ACCM045855</t>
  </si>
  <si>
    <t>Confirmed no other invoices to be issued, write-off balance.</t>
  </si>
  <si>
    <t>ACCRUAL WRITE-OFF-Clearing -Group2-034413</t>
  </si>
  <si>
    <t>Balance remaining ACCM045855/Contract#034413/RDJC/transferred to Accrual</t>
  </si>
  <si>
    <t>ACCM045856/1884929</t>
  </si>
  <si>
    <t>Invoice for ACCM045856</t>
  </si>
  <si>
    <t>Reverse ACCM045856 in the new year for the invoice 1884929</t>
  </si>
  <si>
    <t>ACCM045858/CI-0000109623</t>
  </si>
  <si>
    <t>Invoice for ACCM045858</t>
  </si>
  <si>
    <t>Reverse ACCM045858 in the new year for the invoice CI-0000109623</t>
  </si>
  <si>
    <t>ACCM045858</t>
  </si>
  <si>
    <t>ACCRUAL WRITE-OFF-Clearing -Altus Group-039170</t>
  </si>
  <si>
    <t>Balance remaining ACCM045858/Contract#039170/RDJC/transferred to Accrual</t>
  </si>
  <si>
    <t>IUT/JSG</t>
  </si>
  <si>
    <t>42 FTR comp.</t>
  </si>
  <si>
    <t>Mar2024 Staff Caps</t>
  </si>
  <si>
    <t>EDON- AC units-Direct Pay</t>
  </si>
  <si>
    <t>RDCH Air conditioner installation</t>
  </si>
  <si>
    <t>Allwest Fursnishing Ltd.-Workstations-9000075816</t>
  </si>
  <si>
    <t>PO9000075816/Ariba RC9017</t>
  </si>
  <si>
    <t xml:space="preserve">Replaces C9469 /PR115061/PO9000073368
Furniture-RDJC Systems </t>
  </si>
  <si>
    <t>ALLWEST Furnishings-Add't Fees-9000077924</t>
  </si>
  <si>
    <t>PO9000077924/Ariba-RC92747</t>
  </si>
  <si>
    <t>Addtl. Fee ref. Delivery &amp; Installation of Systems workstation on PO 9000073368</t>
  </si>
  <si>
    <t>ALLWEST Furnishings- Pac poles-9000075998</t>
  </si>
  <si>
    <t>PO9000075998/Ariba-RC90387</t>
  </si>
  <si>
    <t>Allwest Fursnishing Ltd.-Library Shelving-PR101095</t>
  </si>
  <si>
    <t>PO9000063567/Ariba-RC46030</t>
  </si>
  <si>
    <t>Trvl Meals $17.00
Trvl Transpo $41.14</t>
  </si>
  <si>
    <t>Trvl Mileage</t>
  </si>
  <si>
    <t>April 19,2024</t>
  </si>
  <si>
    <t>Looker-office furniture- lounge &amp; occasional tables- Storage-Direct Pay</t>
  </si>
  <si>
    <t>Looker Office furniture- lounge &amp;occasional tables-90000069628</t>
  </si>
  <si>
    <t>9000069628/Ariba-RC82986</t>
  </si>
  <si>
    <t>Apil 18, 2024</t>
  </si>
  <si>
    <t>Lounge &amp; occasional tables</t>
  </si>
  <si>
    <t>HBI-Judicial Visiting Offices-Storage-Direct Pay</t>
  </si>
  <si>
    <t>Storage Fee</t>
  </si>
  <si>
    <t>HBI-Judicial Visiting Offices-C8903</t>
  </si>
  <si>
    <t>9000068053/Ariba-RC81230</t>
  </si>
  <si>
    <t>APA-Access Cards-9000081170</t>
  </si>
  <si>
    <t>Ariba-RC96577/PR 128463</t>
  </si>
  <si>
    <t>24-0223</t>
  </si>
  <si>
    <t>TELUS-New Service-Direct Pay</t>
  </si>
  <si>
    <t>Allwest- Lateral Top Cut down-9000082427</t>
  </si>
  <si>
    <t>Lateral Top Cut-Down-Area 1524 Main Flr</t>
  </si>
  <si>
    <t>Global-Saxon Chairs-9000084417</t>
  </si>
  <si>
    <t>Global Saxxon chair (Vendor: Staple Professional Inc on the Financial Report-May 2024)</t>
  </si>
  <si>
    <t>Meals-$16.19
Others$-4.76
Fuel-$31.53</t>
  </si>
  <si>
    <t>Meals-$119.04
Others$-27.51
Fuel-$171.79</t>
  </si>
  <si>
    <t>24-0261</t>
  </si>
  <si>
    <t>30190R</t>
  </si>
  <si>
    <t>PC47-HBR3</t>
  </si>
  <si>
    <t>HBR3-Major</t>
  </si>
  <si>
    <t>CI0000128274</t>
  </si>
  <si>
    <t>Apr_May_Jun2024 Staff Caps</t>
  </si>
  <si>
    <t>COI- Beam Seating-9000072438</t>
  </si>
  <si>
    <t>PO 9000071237Ariba-RC86184/'PR115685-V2</t>
  </si>
  <si>
    <t>PO 9000072438 -Spec. Traffic Beam Seating. Not delivered yet</t>
  </si>
  <si>
    <t>HBI-Credenzas-9000082358</t>
  </si>
  <si>
    <t>PO 000082358/Ariba-RC97907</t>
  </si>
  <si>
    <t>C10255-Supply of 9 Krug Artemis Credenzas</t>
  </si>
  <si>
    <t>RGO-LEAP Chairs-9000084833</t>
  </si>
  <si>
    <t>PO 9000084833/Ariba RC100078</t>
  </si>
  <si>
    <t>Leap Chairs</t>
  </si>
  <si>
    <t>Meals: $32.38
Others: 8.57
Transport: $ 31.14
Vehicle Rental:64.99</t>
  </si>
  <si>
    <t>Galab Acharya
Meals: $48.57
Others: $2.14</t>
  </si>
  <si>
    <t>A0340117</t>
  </si>
  <si>
    <t>A0341084</t>
  </si>
  <si>
    <t>A0345280</t>
  </si>
  <si>
    <t>Jul2024 Staff Caps</t>
  </si>
  <si>
    <t>ALLWEST-TEKNION SEATING-9000085601</t>
  </si>
  <si>
    <t>PO 000085601/Ariba-RC100757</t>
  </si>
  <si>
    <t>Allwest- Additional System Power components -9000082421</t>
  </si>
  <si>
    <t>PO 9000082421/Ariba-RC97953</t>
  </si>
  <si>
    <t>Addt'l System Power Component</t>
  </si>
  <si>
    <t>Allwest- Nursing Chair-9000086396</t>
  </si>
  <si>
    <t>P 000086396/Ariba-RC101423</t>
  </si>
  <si>
    <t>Allwest-Nursing Chair</t>
  </si>
  <si>
    <t>A0343067</t>
  </si>
  <si>
    <t>A0344836
Total Gross invoice amt: $986,866.96 deducted Part of PWAC amount of $815,820.36)</t>
  </si>
  <si>
    <t>A0344695</t>
  </si>
  <si>
    <t>30476R</t>
  </si>
  <si>
    <t>PC49</t>
  </si>
  <si>
    <t>A0344836
Actual Gross Inv. Amt.$986,866.96 deducted $815,520.36 part of PWAC Amount withheld.</t>
  </si>
  <si>
    <t>Received date of June 27, 2024 is the Canada Post date stamped on the envelope.
Invcoie received Aug 8 via email form the ADM EA.</t>
  </si>
  <si>
    <t>A0347761</t>
  </si>
  <si>
    <t>Aug 27, 204</t>
  </si>
  <si>
    <t>A0348097</t>
  </si>
  <si>
    <t>Uline Poster storage &amp; Mail sorter-9000088137</t>
  </si>
  <si>
    <t>9000088137
Ariba 103002</t>
  </si>
  <si>
    <t>CDI-Uline Poster Storage &amp; mail Sorter</t>
  </si>
  <si>
    <t>Uline storage cabinets-9000087761</t>
  </si>
  <si>
    <t>9000087761
Ariba 102666</t>
  </si>
  <si>
    <t>CDI-Uline Storage Cabinets</t>
  </si>
  <si>
    <t>CDI Spaces- Keilhauer chairs-9000087881</t>
  </si>
  <si>
    <t>9000087881
Ariba 111764</t>
  </si>
  <si>
    <t>CDI-Keilhauer Chairs</t>
  </si>
  <si>
    <t>Aug2024 Staff Caps</t>
  </si>
  <si>
    <t>A0349933</t>
  </si>
  <si>
    <t>Sep2024 Staff Caps</t>
  </si>
  <si>
    <t>Meals-$44.76
Vehicle fuels-$31.96
Others-$16.71</t>
  </si>
  <si>
    <t>240317681/Clark Inv#30343</t>
  </si>
  <si>
    <t>Cheque#0014416738 courired to the Court Oct 17, 2024 AWB#1478 733 1850</t>
  </si>
  <si>
    <t>240317681/Clark Inv#30476R</t>
  </si>
  <si>
    <t>Part of PC49</t>
  </si>
  <si>
    <t>24-0483</t>
  </si>
  <si>
    <t>PC50</t>
  </si>
  <si>
    <t>A0356071</t>
  </si>
  <si>
    <t>Oct2024 Staff Caps</t>
  </si>
  <si>
    <t>Oct 31,2024</t>
  </si>
  <si>
    <t>Staples- Sheriif Chairs-Direct Pay</t>
  </si>
  <si>
    <t>9000096486/Ariba-RC111890</t>
  </si>
  <si>
    <t>A0358230</t>
  </si>
  <si>
    <t>PC51</t>
  </si>
  <si>
    <t>A0359106</t>
  </si>
  <si>
    <t>24-0538</t>
  </si>
  <si>
    <t>A0359841</t>
  </si>
  <si>
    <t>PC2</t>
  </si>
  <si>
    <t>A0359869</t>
  </si>
  <si>
    <t>Meals-28.57
Others-$7.62
Fuels-$35.67</t>
  </si>
  <si>
    <t>Meals-$41.90
Others-$6.5
Fuels-$39.75</t>
  </si>
  <si>
    <t>Meals-$12.38
Others-$1.50
Fuels-$33.39</t>
  </si>
  <si>
    <t>Ariba-RC111787/9000087881</t>
  </si>
  <si>
    <t>INV-2013</t>
  </si>
  <si>
    <t>Q2 RDJC -Infax Licenses</t>
  </si>
  <si>
    <t>INV-2012</t>
  </si>
  <si>
    <t>Nov2024 Staff Caps</t>
  </si>
  <si>
    <t>24-0586</t>
  </si>
  <si>
    <t>A0363764</t>
  </si>
  <si>
    <t>A0363556</t>
  </si>
  <si>
    <t>30978R2</t>
  </si>
  <si>
    <t>PC52</t>
  </si>
  <si>
    <t>A0366396</t>
  </si>
  <si>
    <t>Meals-$16.19
Others-$6.10
Vehicles Fuels-$29.72</t>
  </si>
  <si>
    <t>Meals-$28.57
Others-$7.14
Vehicles Fuels-$35.80</t>
  </si>
  <si>
    <t>Dec2024 Staff Caps</t>
  </si>
  <si>
    <t>A0367758</t>
  </si>
  <si>
    <t>A0368030</t>
  </si>
  <si>
    <t>A0368224</t>
  </si>
  <si>
    <t>PO9000084825
PO9000084826</t>
  </si>
  <si>
    <t>$20,517-Infax Inv#2149 
$17,858.50
$</t>
  </si>
  <si>
    <t>A0372540</t>
  </si>
  <si>
    <t>25-0024</t>
  </si>
  <si>
    <t>A0374177</t>
  </si>
  <si>
    <t>Jan2025 Staff Caps</t>
  </si>
  <si>
    <t>Galab A-Expense Claim
$16.19 -Meals
$10.30 - Fuels</t>
  </si>
  <si>
    <t>COI-Furniture Reuse-RSC-9000084647</t>
  </si>
  <si>
    <t>PO 09000084647
Ariba-RC99889</t>
  </si>
  <si>
    <t>Furniture Reuse</t>
  </si>
  <si>
    <t>31160R2</t>
  </si>
  <si>
    <t>Gowling WLG -External Counsel-41876</t>
  </si>
  <si>
    <t>Meals-$86.66
Other-$18.29
Fuels-$76.52</t>
  </si>
  <si>
    <t>25-0067</t>
  </si>
  <si>
    <t>A0379425</t>
  </si>
  <si>
    <t>Feb2025 Staff Caps</t>
  </si>
  <si>
    <t>Telus- Voip Phones-288PA-20046</t>
  </si>
  <si>
    <t>Behrends-Plaque-9000113355/9000113879</t>
  </si>
  <si>
    <t>9000113355 PO</t>
  </si>
  <si>
    <t>RDJC-Plaque</t>
  </si>
  <si>
    <t>HBR-A0381056-waited  completiong of 45 days to process HBR</t>
  </si>
  <si>
    <t>9000113879 PO</t>
  </si>
  <si>
    <t>Plaque</t>
  </si>
  <si>
    <t>Other Materials and Supplies- Rachel S.</t>
  </si>
  <si>
    <t>9000109550
17-1308885
1 GX Doc#900002071</t>
  </si>
  <si>
    <t>IUT 1 from Justice
Office Move Pro Invoice</t>
  </si>
  <si>
    <t>A0381664</t>
  </si>
  <si>
    <t>ACCM047005</t>
  </si>
  <si>
    <t>Accrual at March 31, 2025
On Hold Feb Invoice</t>
  </si>
  <si>
    <t>1991949/ACCM047005</t>
  </si>
  <si>
    <t>April 7 2025</t>
  </si>
  <si>
    <t>Invoice for ACCM047005
A0385775</t>
  </si>
  <si>
    <t>Reverse ACCM047005 in the new year for the invoice 1991949</t>
  </si>
  <si>
    <t>1991949-FY 2025-26</t>
  </si>
  <si>
    <t>ACCM046983</t>
  </si>
  <si>
    <r>
      <t xml:space="preserve">Accrual at March 31, 2025
</t>
    </r>
    <r>
      <rPr>
        <sz val="11"/>
        <color rgb="FFC00000"/>
        <rFont val="Calibri"/>
        <family val="2"/>
        <scheme val="minor"/>
      </rPr>
      <t>(waiting fro Actual invoice)</t>
    </r>
  </si>
  <si>
    <t>20473994/ACCM046983</t>
  </si>
  <si>
    <t>Invoice for ACCM046983
A0386991</t>
  </si>
  <si>
    <t>Reverse ACCM046983  in the new year for the invoice 20473994</t>
  </si>
  <si>
    <t>Confirmed with PM May 1, 2025-no other invoices to be issued, write off balance.</t>
  </si>
  <si>
    <t>Balance remaining in ACCM0469833 /Contract ID 041876-Gowling/Project ID B6211A-0002 transferred to accrual writeoff</t>
  </si>
  <si>
    <t>ACCM046982</t>
  </si>
  <si>
    <t>Accrual at March 31, 2025</t>
  </si>
  <si>
    <t>20456776/ACCM046982</t>
  </si>
  <si>
    <t>Invoice for ACCM046982
A0385901</t>
  </si>
  <si>
    <t>Reverse ACCM046982  in the new year for the invoice 20456776</t>
  </si>
  <si>
    <t>ACCM046952</t>
  </si>
  <si>
    <t>25-0109/ACCM046952</t>
  </si>
  <si>
    <t>Invoice for ACCM046952
A0385770</t>
  </si>
  <si>
    <t>Reverse ACCM046952 in the new year for the invoice 25-0109</t>
  </si>
  <si>
    <t>25-0109/FY 2025-26</t>
  </si>
  <si>
    <t>TRA-OUT. JUS Accrued -IUT will be initiated once Posted in 1 GX/Cost Centre report
A0385770</t>
  </si>
  <si>
    <t>25-0109/FY 2025-26
1 GX JE Doc#900000078</t>
  </si>
  <si>
    <t>TRA-OUT. JUS Accrued -IUT to Justice. IUT Doc. Date May 2, 2025</t>
  </si>
  <si>
    <t>17-1309144
ref 25-FSD-RDJC
1 GX Doc#900002168</t>
  </si>
  <si>
    <t>IUT 2 from Justice
Office Move Pro Invoice</t>
  </si>
  <si>
    <t>17-1309155
ref 25-FSD-RDJC
1 GX Doc.#900002244</t>
  </si>
  <si>
    <t>IUT 3 from Justice
Office Move Pro Invoice</t>
  </si>
  <si>
    <t>5245417
1 GX Doc.#900002339</t>
  </si>
  <si>
    <t>Compuget invoice-To Procure IT equipment -Memo dated Aug 7, 2024.</t>
  </si>
  <si>
    <t>Mar2025 Staff Caps</t>
  </si>
  <si>
    <t>Vehicle-$94.15
Tvl Meals-$58.09</t>
  </si>
  <si>
    <t>A0388307</t>
  </si>
  <si>
    <t>31423R3</t>
  </si>
  <si>
    <t>PC56-HBR5</t>
  </si>
  <si>
    <t>A0389817</t>
  </si>
  <si>
    <t>31424R6</t>
  </si>
  <si>
    <t>PC57-HBR6</t>
  </si>
  <si>
    <t>A0390131</t>
  </si>
  <si>
    <t>A0390114</t>
  </si>
  <si>
    <t>25-185R</t>
  </si>
  <si>
    <t>A0391158</t>
  </si>
  <si>
    <t>A0391809</t>
  </si>
  <si>
    <t>Total Excluding Release</t>
  </si>
  <si>
    <t>Month Num</t>
  </si>
  <si>
    <t>Month</t>
  </si>
  <si>
    <t>Offset</t>
  </si>
  <si>
    <t>Cashflow</t>
  </si>
  <si>
    <t>Cumulative</t>
  </si>
  <si>
    <t>Baseline</t>
  </si>
  <si>
    <t>Baseline Cumulative</t>
  </si>
  <si>
    <t>MonthDate</t>
  </si>
  <si>
    <t>TodayLine</t>
  </si>
  <si>
    <t xml:space="preserve">Budget Detail Report </t>
  </si>
  <si>
    <t>g = c - f</t>
  </si>
  <si>
    <t>h</t>
  </si>
  <si>
    <t>i = c - h</t>
  </si>
  <si>
    <t>Base Budget</t>
  </si>
  <si>
    <t>Budget Updates</t>
  </si>
  <si>
    <t>Estimate at Completion</t>
  </si>
  <si>
    <t>Commitments to Date</t>
  </si>
  <si>
    <t>Available Funds</t>
  </si>
  <si>
    <t>Unspent</t>
  </si>
  <si>
    <t>Cashflow Worksheet</t>
  </si>
  <si>
    <t>previous CB</t>
  </si>
  <si>
    <t>Phase |</t>
  </si>
  <si>
    <t xml:space="preserve"> Subproject</t>
  </si>
  <si>
    <t>Vendor</t>
  </si>
  <si>
    <t>Unallocated 
Cashflow</t>
  </si>
  <si>
    <t>Total Previous Year Spend</t>
  </si>
  <si>
    <t>Total Current Year Actuals</t>
  </si>
  <si>
    <t>Total Current Year Forecasts</t>
  </si>
  <si>
    <t>Total Current Year Spend</t>
  </si>
  <si>
    <t>Total Future Year Spend</t>
  </si>
  <si>
    <t>Total Spend</t>
  </si>
  <si>
    <t xml:space="preserve">$1.5M removed, per change in direction on ownership. </t>
  </si>
  <si>
    <t xml:space="preserve">Forecasted in last fiscal year of project. </t>
  </si>
  <si>
    <t>Forecast Cumulative</t>
  </si>
  <si>
    <t>DATE of MANUAL Copy+Paste from CF Totals Row</t>
  </si>
  <si>
    <t>Baseline Forecast</t>
  </si>
  <si>
    <t>Baseline Forecast Cumulative</t>
  </si>
  <si>
    <t>Baseline Forecast Variation</t>
  </si>
  <si>
    <t>P-002057.01</t>
  </si>
  <si>
    <t>1GX Cap Invest (Invoices Paid)</t>
  </si>
  <si>
    <t>Cashflow vs 1GX Payment Differential</t>
  </si>
  <si>
    <t>FS #</t>
  </si>
  <si>
    <t>Expenditure</t>
  </si>
  <si>
    <t>April</t>
  </si>
  <si>
    <t>May</t>
  </si>
  <si>
    <t>June</t>
  </si>
  <si>
    <t>July</t>
  </si>
  <si>
    <t>August</t>
  </si>
  <si>
    <t>September</t>
  </si>
  <si>
    <t>October</t>
  </si>
  <si>
    <t>November</t>
  </si>
  <si>
    <t>December</t>
  </si>
  <si>
    <t>January</t>
  </si>
  <si>
    <t>February</t>
  </si>
  <si>
    <t>March</t>
  </si>
  <si>
    <t xml:space="preserve">Total Spend </t>
  </si>
  <si>
    <t>Current Approved Targets</t>
  </si>
  <si>
    <t>]</t>
  </si>
  <si>
    <t>Variance Explanation:</t>
  </si>
  <si>
    <t>Summary Report</t>
  </si>
  <si>
    <t>Summary by Primary Category</t>
  </si>
  <si>
    <t>Budget Amendments</t>
  </si>
  <si>
    <t>% Split</t>
  </si>
  <si>
    <t>Commitment to Date</t>
  </si>
  <si>
    <t>% of EAC</t>
  </si>
  <si>
    <t>% of EAC 2</t>
  </si>
  <si>
    <t>TAF Value</t>
  </si>
  <si>
    <t>Variance TAF to Budget</t>
  </si>
  <si>
    <t>Variance TAF to EAC</t>
  </si>
  <si>
    <t>Total Contingency/ Allowance/ MR</t>
  </si>
  <si>
    <t>% Budget Complete
(of TAF)</t>
  </si>
  <si>
    <t>% Budget Complete
(of EAC)</t>
  </si>
  <si>
    <t>Summary by Phase | Subproject</t>
  </si>
  <si>
    <t>Summary by Funding Source</t>
  </si>
  <si>
    <t>B8322A-0001</t>
  </si>
  <si>
    <t>Estimate At Completion Worksheet</t>
  </si>
  <si>
    <t>Estimate To Completion</t>
  </si>
  <si>
    <t>e = b + c + d</t>
  </si>
  <si>
    <t>f = a - e</t>
  </si>
  <si>
    <t>Scope Description</t>
  </si>
  <si>
    <t>Open Commit.</t>
  </si>
  <si>
    <t>Future Commit.</t>
  </si>
  <si>
    <t>Commitment Variance</t>
  </si>
  <si>
    <t>Staff Travel Costs</t>
  </si>
  <si>
    <t>Hazardous Material Consultant</t>
  </si>
  <si>
    <t>Site Investigations</t>
  </si>
  <si>
    <t>Haz Mat Report-Basement-Old RCMP Bldg</t>
  </si>
  <si>
    <t>Pre-Design Report</t>
  </si>
  <si>
    <t>Hazmat Tests-Old RCMP Building (main and second)</t>
  </si>
  <si>
    <t>Geotechnical Engineer of Record &amp; Material Testing</t>
  </si>
  <si>
    <t>Vibration Monitoring</t>
  </si>
  <si>
    <t>Steel Testing</t>
  </si>
  <si>
    <t>Roof Inspections</t>
  </si>
  <si>
    <t>Radon Inspections- air testing</t>
  </si>
  <si>
    <t>200.060.F1</t>
  </si>
  <si>
    <t>Consultant Contingency - Parsons House Fit-up consultant, others as required</t>
  </si>
  <si>
    <t>City of Red Deer - Development Permit Fees and Building Permit Fees</t>
  </si>
  <si>
    <t>General Contractor</t>
  </si>
  <si>
    <t>Abatement Old RCMP Bldg</t>
  </si>
  <si>
    <t>Demo &amp; Site Remediation</t>
  </si>
  <si>
    <t>Select Demo-Parsons House</t>
  </si>
  <si>
    <t>300.060.F1</t>
  </si>
  <si>
    <t>Construction Contingency - Building</t>
  </si>
  <si>
    <t>Construction Contingency - Demo &amp; Site Remediation</t>
  </si>
  <si>
    <t>300.070.F1</t>
  </si>
  <si>
    <t>Escalation Allowance - Construction</t>
  </si>
  <si>
    <t>Workstations</t>
  </si>
  <si>
    <t>Will be broken out later into subpackages</t>
  </si>
  <si>
    <t>IT Eqpt (CTS/SA)</t>
  </si>
  <si>
    <t>Chairs</t>
  </si>
  <si>
    <t>Moves old building to new</t>
  </si>
  <si>
    <t>Move Consultant (not hiring)</t>
  </si>
  <si>
    <t>City of Red Deer Properties</t>
  </si>
  <si>
    <t>Parsons House</t>
  </si>
  <si>
    <t>Parsons House Fit-up (if required)</t>
  </si>
  <si>
    <t>4,000,000.00 moved to another project</t>
  </si>
  <si>
    <t>Land Appraisal</t>
  </si>
  <si>
    <t>Scans of old RCMP drawings</t>
  </si>
  <si>
    <t>Renovations to the CoRD Parkade (in GC budget)</t>
  </si>
  <si>
    <t>ATCO (in GC Budget)</t>
  </si>
  <si>
    <t xml:space="preserve">Utilities will likely be coordinated by the GC, so this funding should be transferred to the Prime Contractor.  </t>
  </si>
  <si>
    <t>Red Deer Light and Power (in GC Budget)</t>
  </si>
  <si>
    <t>Parkland Geo Arbitration costs</t>
  </si>
  <si>
    <t>Misc off-site construction TBD (in GC Budget)</t>
  </si>
  <si>
    <t>600.010.F1</t>
  </si>
  <si>
    <t>Risks related to AV/Security Eqpt/Consultant E&amp;Os</t>
  </si>
  <si>
    <t>modifications to sorensen station for gas and door</t>
  </si>
  <si>
    <t>New meter for sorensen, abandoning meter on-site</t>
  </si>
  <si>
    <t>Abandoning lines in the URW</t>
  </si>
  <si>
    <t>Travel</t>
  </si>
  <si>
    <t>Travel for misc project team members</t>
  </si>
  <si>
    <t>Updated Topographic Survey</t>
  </si>
  <si>
    <t>unknown related utility costs</t>
  </si>
  <si>
    <t>Vibration Monitoring-Base Building</t>
  </si>
  <si>
    <t>Site Camera/Photography</t>
  </si>
  <si>
    <t>Work done as a change order to GC</t>
  </si>
  <si>
    <t>Parsons House Monitoring Consultant</t>
  </si>
  <si>
    <t>Printing 100% CD documents</t>
  </si>
  <si>
    <t xml:space="preserve">Fee to remove tree behind Parsons. </t>
  </si>
  <si>
    <t>Shipping land title to Surveyor in Red Deer</t>
  </si>
  <si>
    <t>LEED fees</t>
  </si>
  <si>
    <t>Comms eqpt groundbreaking ceremony</t>
  </si>
  <si>
    <t>Post occupancy work</t>
  </si>
  <si>
    <t>Minister rqmnts</t>
  </si>
  <si>
    <t>Schedule and claim consulatnt</t>
  </si>
  <si>
    <t>DAS standing offer owner supplied equipment</t>
  </si>
  <si>
    <t>7TE panel</t>
  </si>
  <si>
    <t>Claims</t>
  </si>
  <si>
    <t>Offsite Storage</t>
  </si>
  <si>
    <t>Enmax- Offsite Storage Utility</t>
  </si>
  <si>
    <t>Equs- Offsite Storage Utility</t>
  </si>
  <si>
    <t>Vinyl Images</t>
  </si>
  <si>
    <t>wifi prediction study</t>
  </si>
  <si>
    <t xml:space="preserve">lock and key </t>
  </si>
  <si>
    <t>Planning,design,installation for new telephone service</t>
  </si>
  <si>
    <t>Travel Expenses</t>
  </si>
  <si>
    <t>Primavera software costs</t>
  </si>
  <si>
    <t>Krug Furniture- Judicial Visiting Offices</t>
  </si>
  <si>
    <t>Boardroom tables and credenzas</t>
  </si>
  <si>
    <t>Looker Office furniture- lounge &amp;occasional tables-</t>
  </si>
  <si>
    <t>Lounge, public seating and occasional tables</t>
  </si>
  <si>
    <t>Cisco Switches - 2nd part</t>
  </si>
  <si>
    <t>SA WAPS</t>
  </si>
  <si>
    <t>FTR computers, Wireless Controller Scope, Signage Mini computers</t>
  </si>
  <si>
    <t>PDU's</t>
  </si>
  <si>
    <t>PWA courier</t>
  </si>
  <si>
    <t>Rack &amp; Stack</t>
  </si>
  <si>
    <t>Library shelving</t>
  </si>
  <si>
    <t>Flag Poles</t>
  </si>
  <si>
    <t>Misc Moves</t>
  </si>
  <si>
    <t>Boardroom tables extra charge delivery</t>
  </si>
  <si>
    <t>access cards</t>
  </si>
  <si>
    <t>Beam Seating public waiting</t>
  </si>
  <si>
    <t>storage fee</t>
  </si>
  <si>
    <t>off-site storage cleaning</t>
  </si>
  <si>
    <t>pac poles</t>
  </si>
  <si>
    <t>additional fees</t>
  </si>
  <si>
    <t>Credenza</t>
  </si>
  <si>
    <t>storage cabinets</t>
  </si>
  <si>
    <t>Modesty panels supply and install</t>
  </si>
  <si>
    <t>Legal Fees, Settlement Costs</t>
  </si>
  <si>
    <t>Grand opening plaque</t>
  </si>
  <si>
    <t>IUT Out - CTS Operational Support-IUT</t>
  </si>
  <si>
    <t>First week of operations support from Arcadis/Fibretel</t>
  </si>
  <si>
    <t>IUT IN- CTS WAPS-IUT</t>
  </si>
  <si>
    <t>Facilities-</t>
  </si>
  <si>
    <t>Audit Report</t>
  </si>
  <si>
    <t xml:space="preserve">The Audit Report tab should be reviewed monthly when conducting a monthly update. The Audit Report tab pulls in data from the rest of the sheet, cross referencing total values from each sheet and highlights potential conflicts and variances within the PFMT. There are multiple duplicate formulas within the PFMT that should balance or align. This sheet displays where totals across sheets are balancing or where there are variances that may need to be reviewed. Check for any items that are flagged 'RED' and investigate variances that may exist. These may be know items that are justified  (such as a budget surplus which would flag a variance), or items that may need review and correction. Use as a diagnostics tool highlighting potential areas of concern to prompt further investigation. </t>
  </si>
  <si>
    <t>Targets &amp; Budget</t>
  </si>
  <si>
    <t>Total Approved Funding Value from Target Tracking Tab</t>
  </si>
  <si>
    <r>
      <rPr>
        <b/>
        <sz val="14"/>
        <color rgb="FF000000"/>
        <rFont val="Calibri"/>
        <family val="2"/>
      </rPr>
      <t xml:space="preserve">Instructions
</t>
    </r>
    <r>
      <rPr>
        <sz val="10"/>
        <color rgb="FF000000"/>
        <rFont val="Calibri"/>
        <family val="2"/>
      </rPr>
      <t>For more information on what to check for each flag item, refer to the notes for each item.</t>
    </r>
  </si>
  <si>
    <t>Flag Tolerance  $1</t>
  </si>
  <si>
    <r>
      <rPr>
        <b/>
        <sz val="14"/>
        <color rgb="FF000000"/>
        <rFont val="Calibri"/>
        <family val="2"/>
      </rPr>
      <t xml:space="preserve">Notes
</t>
    </r>
    <r>
      <rPr>
        <sz val="10"/>
        <color rgb="FF000000"/>
        <rFont val="Calibri"/>
        <family val="2"/>
      </rPr>
      <t>Add notes as needed.</t>
    </r>
  </si>
  <si>
    <t>Current Budget from Budget Tracking Tab</t>
  </si>
  <si>
    <r>
      <rPr>
        <sz val="10"/>
        <color rgb="FF1F497D"/>
        <rFont val="Calibri"/>
        <family val="2"/>
      </rPr>
      <t xml:space="preserve">Matches TAF from Target Tracking?
</t>
    </r>
    <r>
      <rPr>
        <i/>
        <sz val="10"/>
        <color rgb="FF1F497D"/>
        <rFont val="Calibri"/>
        <family val="2"/>
      </rPr>
      <t>Is the budget breakdown correct? Budget update needed? Funding approved? Formula error?</t>
    </r>
  </si>
  <si>
    <t>Current Budget from Budget Details (Rpt) Tab</t>
  </si>
  <si>
    <r>
      <rPr>
        <sz val="10"/>
        <color rgb="FF1F497D"/>
        <rFont val="Calibri"/>
        <family val="2"/>
      </rPr>
      <t xml:space="preserve">Matches Current Budget Total from Budget Tracking?
</t>
    </r>
    <r>
      <rPr>
        <i/>
        <sz val="10"/>
        <color rgb="FF1F497D"/>
        <rFont val="Calibri"/>
        <family val="2"/>
      </rPr>
      <t>Formula error? Budget Details table missing rows? Different rows in each tab?</t>
    </r>
  </si>
  <si>
    <t>Estimate At Completion from EAC Tab</t>
  </si>
  <si>
    <r>
      <rPr>
        <sz val="10"/>
        <color rgb="FF1F497D"/>
        <rFont val="Calibri"/>
        <family val="2"/>
      </rPr>
      <t xml:space="preserve">Matches TAF from Target Tracking?
</t>
    </r>
    <r>
      <rPr>
        <i/>
        <sz val="10"/>
        <color rgb="FF1F497D"/>
        <rFont val="Calibri"/>
        <family val="2"/>
      </rPr>
      <t>Do you have a surplus or funding request? Does EAC include all costs/future commitments?</t>
    </r>
  </si>
  <si>
    <t>Tier 1 KPI</t>
  </si>
  <si>
    <t>Estimate At Completion from Budget Tracking Tab</t>
  </si>
  <si>
    <r>
      <rPr>
        <sz val="10"/>
        <color rgb="FF1F497D"/>
        <rFont val="Calibri"/>
        <family val="2"/>
      </rPr>
      <t xml:space="preserve">Matches the EAC total from the EAC?
</t>
    </r>
    <r>
      <rPr>
        <i/>
        <sz val="10"/>
        <color rgb="FF1F497D"/>
        <rFont val="Calibri"/>
        <family val="2"/>
      </rPr>
      <t>Formula error? Budget Update needed? EAC update needed? Are vendors missing PAIDs?</t>
    </r>
  </si>
  <si>
    <t>Estimate At Completion from Budget Details (Rpt) Tab</t>
  </si>
  <si>
    <r>
      <rPr>
        <sz val="10"/>
        <color rgb="FF1F497D"/>
        <rFont val="Calibri"/>
        <family val="2"/>
      </rPr>
      <t xml:space="preserve">Matches the EAC total from the EAC?
</t>
    </r>
    <r>
      <rPr>
        <i/>
        <sz val="10"/>
        <color rgb="FF1F497D"/>
        <rFont val="Calibri"/>
        <family val="2"/>
      </rPr>
      <t>Formula error? Budget Details table missing rows?</t>
    </r>
  </si>
  <si>
    <t>Total Invoice Value from Cost Tracking Tab</t>
  </si>
  <si>
    <t>Total Invoice Value from Cost Tracking Tab (excl. Release)</t>
  </si>
  <si>
    <t>Total Invoice Value from Cost Tracking Tab (On Hold and In Review)</t>
  </si>
  <si>
    <t>Total Invoice Value from Cost Tracking Tab (missing Release Date and/or Fiscal Period)</t>
  </si>
  <si>
    <t>Expenditures from Vendor Listing Tab</t>
  </si>
  <si>
    <r>
      <rPr>
        <sz val="10"/>
        <color rgb="FF1F497D"/>
        <rFont val="Calibri"/>
        <family val="2"/>
      </rPr>
      <t xml:space="preserve">Matches the total invoice value (excl. Release) from the Cost Tracking?
</t>
    </r>
    <r>
      <rPr>
        <i/>
        <sz val="10"/>
        <color rgb="FF1F497D"/>
        <rFont val="Calibri"/>
        <family val="2"/>
      </rPr>
      <t xml:space="preserve">Formula error? Are invoices on hold or in review status? </t>
    </r>
  </si>
  <si>
    <t>Expenditures from Budget Tracking Tab</t>
  </si>
  <si>
    <r>
      <rPr>
        <sz val="10"/>
        <color rgb="FF1F497D"/>
        <rFont val="Calibri"/>
        <family val="2"/>
      </rPr>
      <t xml:space="preserve">Matches the expenditures from Vendor Listing? 
</t>
    </r>
    <r>
      <rPr>
        <i/>
        <sz val="10"/>
        <color rgb="FF1F497D"/>
        <rFont val="Calibri"/>
        <family val="2"/>
      </rPr>
      <t xml:space="preserve">Formula error? Are vendors missing PAID? </t>
    </r>
  </si>
  <si>
    <t>Expenditures to Date from EAC</t>
  </si>
  <si>
    <r>
      <rPr>
        <sz val="10"/>
        <color rgb="FF1F497D"/>
        <rFont val="Calibri"/>
        <family val="2"/>
      </rPr>
      <t>Matches the expenditures from Vendor Listing?</t>
    </r>
    <r>
      <rPr>
        <i/>
        <sz val="10"/>
        <color rgb="FF1F497D"/>
        <rFont val="Calibri"/>
        <family val="2"/>
      </rPr>
      <t xml:space="preserve"> 
Formula error? Are vendors missing in EAC? Are vendors missing PAID?</t>
    </r>
  </si>
  <si>
    <t>Expenditures from Budget Details (Rpt) Tab</t>
  </si>
  <si>
    <r>
      <rPr>
        <sz val="10"/>
        <color rgb="FF1F497D"/>
        <rFont val="Calibri"/>
        <family val="2"/>
      </rPr>
      <t xml:space="preserve">Matches the total invoice value (excl. Release) from the Cost Tracking? </t>
    </r>
    <r>
      <rPr>
        <i/>
        <sz val="10"/>
        <color rgb="FF1F497D"/>
        <rFont val="Calibri"/>
        <family val="2"/>
      </rPr>
      <t xml:space="preserve"> Formula error?  Budget Details missing rows? Vendors missing PAID? Are invoices on hold or in review status? Holdback release status correct?</t>
    </r>
  </si>
  <si>
    <t>Prime Contractor Changes</t>
  </si>
  <si>
    <t>Approved Prime Contractor Changes from Change Tracking Tab</t>
  </si>
  <si>
    <r>
      <t xml:space="preserve">FOR DB &amp; DBB Projects: Approved Prime Contractor Changes Match?
</t>
    </r>
    <r>
      <rPr>
        <i/>
        <sz val="10"/>
        <color theme="3"/>
        <rFont val="Calibri"/>
        <family val="2"/>
        <scheme val="minor"/>
      </rPr>
      <t>Are you using both the Change Tracking Tab and the CA Tracking Tab to capture Prime Contractor Changes?  Use only one or other.</t>
    </r>
  </si>
  <si>
    <t>Approved Prime Contractor Changes from CA Tracking Tab</t>
  </si>
  <si>
    <t>Commitments</t>
  </si>
  <si>
    <t>Current Commitment from Vendor Listing Tab</t>
  </si>
  <si>
    <t>Current Commitment from EAC Tab</t>
  </si>
  <si>
    <r>
      <rPr>
        <sz val="10"/>
        <color rgb="FF1F497D"/>
        <rFont val="Calibri"/>
        <family val="2"/>
      </rPr>
      <t xml:space="preserve">Matches the current commitments from the Vendor Listing?
</t>
    </r>
    <r>
      <rPr>
        <i/>
        <sz val="10"/>
        <color rgb="FF1F497D"/>
        <rFont val="Calibri"/>
        <family val="2"/>
      </rPr>
      <t>Formula error? EAC update needed? Are all vendors/contracts listed in EAC?</t>
    </r>
  </si>
  <si>
    <t>Current Commitment from Budget Details (Rpt) Tab</t>
  </si>
  <si>
    <r>
      <rPr>
        <sz val="10"/>
        <color rgb="FF1F497D"/>
        <rFont val="Calibri"/>
        <family val="2"/>
      </rPr>
      <t xml:space="preserve">Matches the current commitments from the Vendor Listing?
</t>
    </r>
    <r>
      <rPr>
        <i/>
        <sz val="10"/>
        <color rgb="FF1F497D"/>
        <rFont val="Calibri"/>
        <family val="2"/>
      </rPr>
      <t xml:space="preserve">Formula error? Budget Details missing rows? Vendors missing PAID? </t>
    </r>
  </si>
  <si>
    <t>Total Cashflow from Cashflow Tab</t>
  </si>
  <si>
    <r>
      <rPr>
        <sz val="10"/>
        <color rgb="FF1F497D"/>
        <rFont val="Calibri"/>
        <family val="2"/>
      </rPr>
      <t xml:space="preserve">Matches the EAC total from the EAC? </t>
    </r>
    <r>
      <rPr>
        <i/>
        <sz val="10"/>
        <color rgb="FF1F497D"/>
        <rFont val="Calibri"/>
        <family val="2"/>
      </rPr>
      <t>Formula error?  Different rows in each tab? Cashflow 'actuals' formula applied to previous months? Cashflow forecast updated? EAC updated?</t>
    </r>
  </si>
  <si>
    <t>Unallocated Cashflow Total</t>
  </si>
  <si>
    <r>
      <rPr>
        <sz val="10"/>
        <color rgb="FF1F497D"/>
        <rFont val="Calibri"/>
        <family val="2"/>
      </rPr>
      <t xml:space="preserve">Has Cashflow been allocated?
</t>
    </r>
    <r>
      <rPr>
        <i/>
        <sz val="10"/>
        <color rgb="FF1F497D"/>
        <rFont val="Calibri"/>
        <family val="2"/>
      </rPr>
      <t>Incorrect cashflow math? Cashflow 'actuals' formula applied to previous months?</t>
    </r>
  </si>
  <si>
    <t>Cashflow Baseline Date</t>
  </si>
  <si>
    <r>
      <rPr>
        <sz val="10"/>
        <color rgb="FF1F497D"/>
        <rFont val="Calibri"/>
        <family val="2"/>
      </rPr>
      <t xml:space="preserve">Baseline set in Cashflow tab?  This alerts if not present or older than 1 year. </t>
    </r>
    <r>
      <rPr>
        <i/>
        <sz val="10"/>
        <color rgb="FF1F497D"/>
        <rFont val="Calibri"/>
        <family val="2"/>
      </rPr>
      <t xml:space="preserve">Have you cut and paste a cashflow baseline?  Have you updated the baseline in the last year? </t>
    </r>
  </si>
  <si>
    <t>Potential Surplus Tracking</t>
  </si>
  <si>
    <t>Total Contingency</t>
  </si>
  <si>
    <t>% Contingency of Total Contract Commitments</t>
  </si>
  <si>
    <t>Total Allowance</t>
  </si>
  <si>
    <t>% Allowance of Total Contract Commitments</t>
  </si>
  <si>
    <t>Total Management Reserve</t>
  </si>
  <si>
    <t>% Management Reserve of Total Contract Commitments</t>
  </si>
  <si>
    <t>Total Potential Surplus Categories</t>
  </si>
  <si>
    <t>% Potential Surplus of Total Contract Commitments</t>
  </si>
  <si>
    <t>% Contingency of EAC (less MR &amp; Actuals)</t>
  </si>
  <si>
    <r>
      <rPr>
        <sz val="10"/>
        <color rgb="FF1F497D"/>
        <rFont val="Calibri"/>
        <family val="2"/>
      </rPr>
      <t xml:space="preserve">% Contingency of remaining EAC, less Management Reserve and Expenditures to Date. 
</t>
    </r>
    <r>
      <rPr>
        <i/>
        <sz val="10"/>
        <color rgb="FF1F497D"/>
        <rFont val="Calibri"/>
        <family val="2"/>
      </rPr>
      <t xml:space="preserve">Refer to the Audit Tab Report for % KPI tolerance range. </t>
    </r>
  </si>
  <si>
    <t>% Budget Completion</t>
  </si>
  <si>
    <t>% Budget Complete (of TAF)</t>
  </si>
  <si>
    <t>% Budget Complete (of EAC)</t>
  </si>
  <si>
    <t>Contracts</t>
  </si>
  <si>
    <t>Count of Open Contracts Expiring within 30 days</t>
  </si>
  <si>
    <t>Vendors</t>
  </si>
  <si>
    <t>Count of Vendors Missing PA IDs</t>
  </si>
  <si>
    <t>Count of PA IDs Missing Vendors</t>
  </si>
  <si>
    <t>Count of Vendors Missing in EAC</t>
  </si>
  <si>
    <t>PAIDs</t>
  </si>
  <si>
    <t>Count of Duplicate PAIDs in Budget Tracking</t>
  </si>
  <si>
    <t>Has the formula been pulled over for all PA IDs/Vendors in the Cashflow tab, up to the previous month?</t>
  </si>
  <si>
    <t>Statement of Final Costs - Infrastructure Managed Projects</t>
  </si>
  <si>
    <t>SECTION 1 - Summary by Primary Category</t>
  </si>
  <si>
    <t xml:space="preserve"> Baseline Budget</t>
  </si>
  <si>
    <t>Actual Project Cost</t>
  </si>
  <si>
    <t>Variance Excess/(Shortfall)</t>
  </si>
  <si>
    <t xml:space="preserve">Sub-Total </t>
  </si>
  <si>
    <t>Contingency</t>
  </si>
  <si>
    <t>Total Approved Provincial Support - including Mgmt. Costs</t>
  </si>
  <si>
    <t>SECTION 2 - Summary by Funding Sources</t>
  </si>
  <si>
    <t>Infrastructure Funding - HFI / GFI / LFI</t>
  </si>
  <si>
    <t xml:space="preserve">IMP - Health Capital Maintenance and Renewal Funding </t>
  </si>
  <si>
    <t xml:space="preserve">GI   - Green Infrastructure Funding </t>
  </si>
  <si>
    <t>Sub-Total Infrastructure Funding</t>
  </si>
  <si>
    <t xml:space="preserve">FED - Federal Funding </t>
  </si>
  <si>
    <t xml:space="preserve">FO  - Foundation Funding </t>
  </si>
  <si>
    <t>OT  - Other Funding</t>
  </si>
  <si>
    <t>TFA</t>
  </si>
  <si>
    <t>Sub-Total External Funding</t>
  </si>
  <si>
    <t>Total Funding</t>
  </si>
  <si>
    <t>SECTION 3 - CheckList</t>
  </si>
  <si>
    <t>PM</t>
  </si>
  <si>
    <t>Small scale plans have been received.</t>
  </si>
  <si>
    <t>All known expenses on this project have been received and paid.</t>
  </si>
  <si>
    <t>If there is a third party agreement, the final costs have been provided to Education and a copy of the final invoice to the third party is on file.</t>
  </si>
  <si>
    <t>Final plans and specifications have been received and confirmed with the Inventory Program Coordinator.</t>
  </si>
  <si>
    <t>Director has verified and reviewed the SFC.</t>
  </si>
  <si>
    <t>PFMT:</t>
  </si>
  <si>
    <t>All contracts and non-contracts are closed.</t>
  </si>
  <si>
    <t>EAC = Expenditures in 1GX for each fiscal year.</t>
  </si>
  <si>
    <t>Expenditures = Commitments (contracts + non contracts).</t>
  </si>
  <si>
    <t>Budget = EAC</t>
  </si>
  <si>
    <t>Contigency = 0</t>
  </si>
  <si>
    <t>Management Reserve = 0 (with surplus removed).</t>
  </si>
  <si>
    <t>PM&amp;I:</t>
  </si>
  <si>
    <t>Surplus has been removed.</t>
  </si>
  <si>
    <t>Targets = EAC once surplus is removed.</t>
  </si>
  <si>
    <t>APPROVALS</t>
  </si>
  <si>
    <t>Verified and Approved by PM&amp;I.</t>
  </si>
  <si>
    <t>Almadina School Society</t>
  </si>
  <si>
    <t>S036</t>
  </si>
  <si>
    <t>Aspen View Public School Division No. 78</t>
  </si>
  <si>
    <t>S037</t>
  </si>
  <si>
    <t>Aurora Charter School</t>
  </si>
  <si>
    <t>S038</t>
  </si>
  <si>
    <t>Battle River Regional Division No. 31</t>
  </si>
  <si>
    <t>S039</t>
  </si>
  <si>
    <t>Black Gold Regional Division No. 18</t>
  </si>
  <si>
    <t>S040</t>
  </si>
  <si>
    <t>Boyle Street Education Centre</t>
  </si>
  <si>
    <t>S041</t>
  </si>
  <si>
    <t>Buffalo Trail Public Schools Regional Division No. 28</t>
  </si>
  <si>
    <t>S042</t>
  </si>
  <si>
    <t>Calgary Arts Academy Society</t>
  </si>
  <si>
    <t>S043</t>
  </si>
  <si>
    <t>Calgary Girls' School Society</t>
  </si>
  <si>
    <t>S044</t>
  </si>
  <si>
    <t>Calgary Roman Catholic Separate School District No. 1</t>
  </si>
  <si>
    <t>S045</t>
  </si>
  <si>
    <t>Calgary School District No. 19</t>
  </si>
  <si>
    <t>S046</t>
  </si>
  <si>
    <t>Calgary Science School Society</t>
  </si>
  <si>
    <t>S047</t>
  </si>
  <si>
    <t>Canadian Rockies Regional Division No. 12</t>
  </si>
  <si>
    <t>S048</t>
  </si>
  <si>
    <t>CAPE Charter - Centre for Academic &amp; Personal Excellence Institute</t>
  </si>
  <si>
    <t>S049</t>
  </si>
  <si>
    <t>Chinook's Edge School Division No. 73</t>
  </si>
  <si>
    <t>S050</t>
  </si>
  <si>
    <t>Christ the Redeemer Catholic Separate Regional Division No. 3</t>
  </si>
  <si>
    <t>S051</t>
  </si>
  <si>
    <t>Clearview School Division No. 71</t>
  </si>
  <si>
    <t>S052</t>
  </si>
  <si>
    <t>East Central Alberta Catholic Separate Schools Regional Division No. 16</t>
  </si>
  <si>
    <t>S053</t>
  </si>
  <si>
    <t>East Central Francophone Education Region No. 3</t>
  </si>
  <si>
    <t>S054</t>
  </si>
  <si>
    <t>Edmonton Catholic Separate School District No. 7</t>
  </si>
  <si>
    <t>S055</t>
  </si>
  <si>
    <t>Edmonton School District No. 7</t>
  </si>
  <si>
    <t>S056</t>
  </si>
  <si>
    <t>Elk Island Catholic Separate Regional Division No. 41</t>
  </si>
  <si>
    <t>S057</t>
  </si>
  <si>
    <t>Elk Island Public Schools Regional Division No. 14</t>
  </si>
  <si>
    <t>S058</t>
  </si>
  <si>
    <t>Evergreen Catholic Separate Regional Division No. 2</t>
  </si>
  <si>
    <t>S059</t>
  </si>
  <si>
    <t>Foothills School Division No. 38</t>
  </si>
  <si>
    <t>S060</t>
  </si>
  <si>
    <t>Fort McMurray Public School District No. 2833</t>
  </si>
  <si>
    <t>S061</t>
  </si>
  <si>
    <t>Fort McMurray Roman Catholic Separate School District No. 32</t>
  </si>
  <si>
    <t>S062</t>
  </si>
  <si>
    <t>Fort Vermilion School Division No. 52</t>
  </si>
  <si>
    <t>S063</t>
  </si>
  <si>
    <t>Foundations for the Future Charter Academy FFCA</t>
  </si>
  <si>
    <t>S064</t>
  </si>
  <si>
    <t>Golden Hills School Division No. 75</t>
  </si>
  <si>
    <t>S065</t>
  </si>
  <si>
    <t>Grande Prairie Roman Catholic Separate School District No. 28</t>
  </si>
  <si>
    <t>S066</t>
  </si>
  <si>
    <t>Grande Prairie School District No. 2357</t>
  </si>
  <si>
    <t>S067</t>
  </si>
  <si>
    <t>Grande Yellowhead Public School Division No. 77</t>
  </si>
  <si>
    <t>S068</t>
  </si>
  <si>
    <t>Grasslands Regional Division No. 6</t>
  </si>
  <si>
    <t>S069</t>
  </si>
  <si>
    <t>Greater North Central Francophone Education Region No. 2</t>
  </si>
  <si>
    <t>S070</t>
  </si>
  <si>
    <t>Greater Southern Public Francophone Education Region No. 4</t>
  </si>
  <si>
    <t>S071</t>
  </si>
  <si>
    <t>Greater Southern Separate Catholic Francophone Education Region No. 4</t>
  </si>
  <si>
    <t>S072</t>
  </si>
  <si>
    <t>Greater St. Albert Roman Catholic Separate School District No. 734</t>
  </si>
  <si>
    <t>S073</t>
  </si>
  <si>
    <t>High Prairie School Division No. 48</t>
  </si>
  <si>
    <t>S074</t>
  </si>
  <si>
    <t>Holy Family Catholic Regional Division No. 37</t>
  </si>
  <si>
    <t>S075</t>
  </si>
  <si>
    <t>Holy Spirit Roman Catholic Separate Regional Division No. 4</t>
  </si>
  <si>
    <t>S076</t>
  </si>
  <si>
    <t>Horizon School Division No. 67</t>
  </si>
  <si>
    <t>S077</t>
  </si>
  <si>
    <t>Lakeland Roman Catholic Separate School District No. 150</t>
  </si>
  <si>
    <t>S078</t>
  </si>
  <si>
    <t>Lethbridge School District No. 51</t>
  </si>
  <si>
    <t>S079</t>
  </si>
  <si>
    <t>Living Waters Catholic Regional Division No. 42</t>
  </si>
  <si>
    <t>S080</t>
  </si>
  <si>
    <t>Livingstone Range School Division No. 68</t>
  </si>
  <si>
    <t>S081</t>
  </si>
  <si>
    <t>Lloydminster Public School Division</t>
  </si>
  <si>
    <t>S082</t>
  </si>
  <si>
    <t>Lloydminster Roman Catholic Separate School Division</t>
  </si>
  <si>
    <t>S083</t>
  </si>
  <si>
    <t>Medicine Hat Catholic Separate Regional Division No. 20</t>
  </si>
  <si>
    <t>S084</t>
  </si>
  <si>
    <t>Medicine Hat School District No. 76</t>
  </si>
  <si>
    <t>S085</t>
  </si>
  <si>
    <t>Mother Earth's Children's Charter School Society</t>
  </si>
  <si>
    <t>S086</t>
  </si>
  <si>
    <t>New Horizon Charter School</t>
  </si>
  <si>
    <t>S087</t>
  </si>
  <si>
    <t>Northern Gateway Regional Division No. 10</t>
  </si>
  <si>
    <t>S088</t>
  </si>
  <si>
    <t>Northern Lights School Division No. 69</t>
  </si>
  <si>
    <t>S089</t>
  </si>
  <si>
    <t>Northland School Division No. 61</t>
  </si>
  <si>
    <t>S090</t>
  </si>
  <si>
    <t>Northwest Francophone Education Region No. 1</t>
  </si>
  <si>
    <t>S091</t>
  </si>
  <si>
    <t>Palliser Regional Division No. 26</t>
  </si>
  <si>
    <t>S092</t>
  </si>
  <si>
    <t>Parkland School Division No. 70</t>
  </si>
  <si>
    <t>S093</t>
  </si>
  <si>
    <t>Peace River School Division No. 10</t>
  </si>
  <si>
    <t>S094</t>
  </si>
  <si>
    <t>Peace Wapiti School Division No. 76</t>
  </si>
  <si>
    <t>S095</t>
  </si>
  <si>
    <t>Pembina Hills Regional Division No. 7</t>
  </si>
  <si>
    <t>S096</t>
  </si>
  <si>
    <t>Prairie Land Regional Division No. 25</t>
  </si>
  <si>
    <t>S097</t>
  </si>
  <si>
    <t>Prairie Rose School Division No. 8</t>
  </si>
  <si>
    <t>S098</t>
  </si>
  <si>
    <t>Red Deer Catholic Regional Division No. 39</t>
  </si>
  <si>
    <t>S099</t>
  </si>
  <si>
    <t>Red Deer Public School District No. 104</t>
  </si>
  <si>
    <t>S100</t>
  </si>
  <si>
    <t>Rocky View School Division No. 41</t>
  </si>
  <si>
    <t>S101</t>
  </si>
  <si>
    <t>St. Albert Public School District No. 5565</t>
  </si>
  <si>
    <t>S102</t>
  </si>
  <si>
    <t>St. Paul Education Regional Division No. 1</t>
  </si>
  <si>
    <t>S103</t>
  </si>
  <si>
    <t>St. Thomas Aquinas Roman Catholic Separate Regional Division No. 38</t>
  </si>
  <si>
    <t>S104</t>
  </si>
  <si>
    <t>Sturgeon School Division No. 24</t>
  </si>
  <si>
    <t>S105</t>
  </si>
  <si>
    <t>Suzuki Charter School Society</t>
  </si>
  <si>
    <t>S106</t>
  </si>
  <si>
    <t>Valhalla Charter School</t>
  </si>
  <si>
    <t>S107</t>
  </si>
  <si>
    <t>Westmount Charter School Society</t>
  </si>
  <si>
    <t>S108</t>
  </si>
  <si>
    <t>Westwind School Division No. 74</t>
  </si>
  <si>
    <t>S109</t>
  </si>
  <si>
    <t>Wetaskiwin Regional Division No. 11</t>
  </si>
  <si>
    <t>S110</t>
  </si>
  <si>
    <t>Wild Rose School Division No. 66</t>
  </si>
  <si>
    <t>S111</t>
  </si>
  <si>
    <t>Wolf Creek School Division No. 72</t>
  </si>
  <si>
    <t>S112</t>
  </si>
  <si>
    <t>S113</t>
  </si>
  <si>
    <t>S114</t>
  </si>
  <si>
    <t>S115</t>
  </si>
  <si>
    <t>S116</t>
  </si>
  <si>
    <t>S117</t>
  </si>
  <si>
    <t>S118</t>
  </si>
  <si>
    <t>S119</t>
  </si>
  <si>
    <t>S120</t>
  </si>
  <si>
    <t>S121</t>
  </si>
  <si>
    <t>S122</t>
  </si>
  <si>
    <t>S123</t>
  </si>
  <si>
    <t>S124</t>
  </si>
  <si>
    <t>S125</t>
  </si>
  <si>
    <t>S126</t>
  </si>
  <si>
    <t>S127</t>
  </si>
  <si>
    <t>S128</t>
  </si>
  <si>
    <t>S129</t>
  </si>
  <si>
    <t>S130</t>
  </si>
  <si>
    <t>S131</t>
  </si>
  <si>
    <t>S132</t>
  </si>
  <si>
    <t>S133</t>
  </si>
  <si>
    <t>S134</t>
  </si>
  <si>
    <t>S135</t>
  </si>
  <si>
    <t>S136</t>
  </si>
  <si>
    <t>S137</t>
  </si>
  <si>
    <t>S138</t>
  </si>
  <si>
    <t>S139</t>
  </si>
  <si>
    <t>S140</t>
  </si>
  <si>
    <t>S141</t>
  </si>
  <si>
    <t>S142</t>
  </si>
  <si>
    <t>S143</t>
  </si>
  <si>
    <t>S144</t>
  </si>
  <si>
    <t>S145</t>
  </si>
  <si>
    <t>S146</t>
  </si>
  <si>
    <t>S147</t>
  </si>
  <si>
    <t>S148</t>
  </si>
  <si>
    <t>S149</t>
  </si>
  <si>
    <t>S150</t>
  </si>
  <si>
    <t>S151</t>
  </si>
  <si>
    <t>S152</t>
  </si>
  <si>
    <t>S153</t>
  </si>
  <si>
    <t>S154</t>
  </si>
  <si>
    <t>S155</t>
  </si>
  <si>
    <t>S156</t>
  </si>
  <si>
    <t>S157</t>
  </si>
  <si>
    <t>S158</t>
  </si>
  <si>
    <t>S159</t>
  </si>
  <si>
    <t>S160</t>
  </si>
  <si>
    <t>S161</t>
  </si>
  <si>
    <t>S162</t>
  </si>
  <si>
    <t>S163</t>
  </si>
  <si>
    <t>S164</t>
  </si>
  <si>
    <t>S165</t>
  </si>
  <si>
    <t>S166</t>
  </si>
  <si>
    <t>S167</t>
  </si>
  <si>
    <t>S168</t>
  </si>
  <si>
    <t>S169</t>
  </si>
  <si>
    <t>S170</t>
  </si>
  <si>
    <t>S171</t>
  </si>
  <si>
    <t>S172</t>
  </si>
  <si>
    <t>S173</t>
  </si>
  <si>
    <t>S174</t>
  </si>
  <si>
    <t>S175</t>
  </si>
  <si>
    <t>S176</t>
  </si>
  <si>
    <t>S177</t>
  </si>
  <si>
    <t>S178</t>
  </si>
  <si>
    <t>S179</t>
  </si>
  <si>
    <t>S180</t>
  </si>
  <si>
    <t>S181</t>
  </si>
  <si>
    <t>S182</t>
  </si>
  <si>
    <t>S183</t>
  </si>
  <si>
    <t>S184</t>
  </si>
  <si>
    <t>S185</t>
  </si>
  <si>
    <t>S186</t>
  </si>
  <si>
    <t>S187</t>
  </si>
  <si>
    <t>S188</t>
  </si>
  <si>
    <t>S189</t>
  </si>
  <si>
    <t>S190</t>
  </si>
  <si>
    <t>S191</t>
  </si>
  <si>
    <t>S192</t>
  </si>
  <si>
    <t>S193</t>
  </si>
  <si>
    <t>S194</t>
  </si>
  <si>
    <t>S195</t>
  </si>
  <si>
    <t>S196</t>
  </si>
  <si>
    <t>S197</t>
  </si>
  <si>
    <t>S198</t>
  </si>
  <si>
    <t>S199</t>
  </si>
  <si>
    <t>S200</t>
  </si>
  <si>
    <t>S201</t>
  </si>
  <si>
    <t>S202</t>
  </si>
  <si>
    <t>S203</t>
  </si>
  <si>
    <t>S204</t>
  </si>
  <si>
    <t>S205</t>
  </si>
  <si>
    <t>S206</t>
  </si>
  <si>
    <t>S207</t>
  </si>
  <si>
    <t>S208</t>
  </si>
  <si>
    <t>S209</t>
  </si>
  <si>
    <t>S210</t>
  </si>
  <si>
    <t>S211</t>
  </si>
  <si>
    <t>S212</t>
  </si>
  <si>
    <t>S213</t>
  </si>
  <si>
    <t>S214</t>
  </si>
  <si>
    <t>S215</t>
  </si>
  <si>
    <t>S216</t>
  </si>
  <si>
    <t>S217</t>
  </si>
  <si>
    <t>S218</t>
  </si>
  <si>
    <t>S219</t>
  </si>
  <si>
    <t>S220</t>
  </si>
  <si>
    <t>S221</t>
  </si>
  <si>
    <t>S222</t>
  </si>
  <si>
    <t>S223</t>
  </si>
  <si>
    <t>S224</t>
  </si>
  <si>
    <t>S225</t>
  </si>
  <si>
    <t>S226</t>
  </si>
  <si>
    <t>S227</t>
  </si>
  <si>
    <t>S228</t>
  </si>
  <si>
    <t>S229</t>
  </si>
  <si>
    <t>S230</t>
  </si>
  <si>
    <t>Prime Contractor Summary</t>
  </si>
  <si>
    <t>Delivery Method:</t>
  </si>
  <si>
    <t>e</t>
  </si>
  <si>
    <t>f = e - d</t>
  </si>
  <si>
    <t>Original 
Contract Value</t>
  </si>
  <si>
    <t>Change
Orders</t>
  </si>
  <si>
    <t>Current
Contract Value</t>
  </si>
  <si>
    <t>Approved % Increase</t>
  </si>
  <si>
    <t>Forecasted % Increase</t>
  </si>
  <si>
    <t>Forecasted Contract Value</t>
  </si>
  <si>
    <t>Original 
End Date</t>
  </si>
  <si>
    <t>Current
End Date</t>
  </si>
  <si>
    <t>Extension
(months)</t>
  </si>
  <si>
    <t>Total Contract Tolerance (CCCCI):</t>
  </si>
  <si>
    <t>Remaining:</t>
  </si>
  <si>
    <t>Revision Listing</t>
  </si>
  <si>
    <t>Title</t>
  </si>
  <si>
    <t>Approved 
Value</t>
  </si>
  <si>
    <t>7 - User Change</t>
  </si>
  <si>
    <t>8 - User Change</t>
  </si>
  <si>
    <t>9 - User Change</t>
  </si>
  <si>
    <t>10 - User Change</t>
  </si>
  <si>
    <t>Subtotal</t>
  </si>
  <si>
    <t>CD</t>
  </si>
  <si>
    <t>CR</t>
  </si>
  <si>
    <t>CP</t>
  </si>
  <si>
    <t>Subtotal Forecasted CA</t>
  </si>
  <si>
    <t>Approved CA</t>
  </si>
  <si>
    <t>COW</t>
  </si>
  <si>
    <t>Subtotal Forecasted CO</t>
  </si>
  <si>
    <t>Approved CO</t>
  </si>
  <si>
    <r>
      <t>d</t>
    </r>
    <r>
      <rPr>
        <b/>
        <vertAlign val="superscript"/>
        <sz val="8"/>
        <color theme="1"/>
        <rFont val="Calibri"/>
        <family val="2"/>
        <scheme val="minor"/>
      </rPr>
      <t>1</t>
    </r>
  </si>
  <si>
    <r>
      <t>d</t>
    </r>
    <r>
      <rPr>
        <b/>
        <vertAlign val="superscript"/>
        <sz val="8"/>
        <color theme="1"/>
        <rFont val="Calibri"/>
        <family val="2"/>
        <scheme val="minor"/>
      </rPr>
      <t>2</t>
    </r>
    <r>
      <rPr>
        <sz val="11"/>
        <color theme="1"/>
        <rFont val="Calibri"/>
        <family val="2"/>
        <scheme val="minor"/>
      </rPr>
      <t/>
    </r>
  </si>
  <si>
    <r>
      <t>d</t>
    </r>
    <r>
      <rPr>
        <b/>
        <vertAlign val="superscript"/>
        <sz val="8"/>
        <color theme="1"/>
        <rFont val="Calibri"/>
        <family val="2"/>
        <scheme val="minor"/>
      </rPr>
      <t>3</t>
    </r>
    <r>
      <rPr>
        <sz val="11"/>
        <color theme="1"/>
        <rFont val="Calibri"/>
        <family val="2"/>
        <scheme val="minor"/>
      </rPr>
      <t/>
    </r>
  </si>
  <si>
    <t>e=sum(d)</t>
  </si>
  <si>
    <t>g = e+ f</t>
  </si>
  <si>
    <t>i</t>
  </si>
  <si>
    <t>j</t>
  </si>
  <si>
    <t>k = h - i - j</t>
  </si>
  <si>
    <t>l</t>
  </si>
  <si>
    <t>m = c - l</t>
  </si>
  <si>
    <t>Authorization Summary</t>
  </si>
  <si>
    <t>Forecasted Changes</t>
  </si>
  <si>
    <t>Authorization Ref. Number</t>
  </si>
  <si>
    <t>Authorization Description</t>
  </si>
  <si>
    <t>E/A</t>
  </si>
  <si>
    <t>Original</t>
  </si>
  <si>
    <t>Revision</t>
  </si>
  <si>
    <t>Current</t>
  </si>
  <si>
    <t>Opening Bal.</t>
  </si>
  <si>
    <t>Approved CAA</t>
  </si>
  <si>
    <t>Pending CAA</t>
  </si>
  <si>
    <t>Available Bal.</t>
  </si>
  <si>
    <t>Billed Through Date</t>
  </si>
  <si>
    <t>Remaining</t>
  </si>
  <si>
    <t>Unallocated</t>
  </si>
  <si>
    <t>Change Authorizations</t>
  </si>
  <si>
    <t>01</t>
  </si>
  <si>
    <t>AV</t>
  </si>
  <si>
    <t>ESS</t>
  </si>
  <si>
    <t>DAS</t>
  </si>
  <si>
    <t>Virtual Court</t>
  </si>
  <si>
    <t>Courtroom Backwall</t>
  </si>
  <si>
    <t>Memorial Relocation</t>
  </si>
  <si>
    <t>Signage</t>
  </si>
  <si>
    <t>Off-site Improvements</t>
  </si>
  <si>
    <t>Sorensen Station</t>
  </si>
  <si>
    <t>Service Connections</t>
  </si>
  <si>
    <t>Total within Contract Value?</t>
  </si>
  <si>
    <t>* If you are allocating Change Authorizations to individual LOA's, the default "CA" row in Authorization Summary table should be zero/blank.  If you are allocating all Change Authorizations to one "pot", ensure the 'Approved' amount in M26 does not exceed the funds allocated to your CA budget in G26 (if it does you will need to reallocate funds from your UNA account or LOA's to cover).</t>
  </si>
  <si>
    <t>As of Oct 7, 2024</t>
  </si>
  <si>
    <t>Change Code Summary (Excluding Cash Allowance Authorizations)</t>
  </si>
  <si>
    <t>Total CA</t>
  </si>
  <si>
    <t>Percentages</t>
  </si>
  <si>
    <t>Duplicate</t>
  </si>
  <si>
    <t>Updated May 31, 2022</t>
  </si>
  <si>
    <t>Detailed CA Listing</t>
  </si>
  <si>
    <t>Identify Change</t>
  </si>
  <si>
    <t>Pre-Authorize Change (Urgent as required)</t>
  </si>
  <si>
    <t>Define Scope Change</t>
  </si>
  <si>
    <t>Request for Pricing</t>
  </si>
  <si>
    <t>Quote for Work</t>
  </si>
  <si>
    <t>Approve Change (Final)</t>
  </si>
  <si>
    <t>RFI | SI | UCR</t>
  </si>
  <si>
    <t>Change Directive</t>
  </si>
  <si>
    <t>Change Request</t>
  </si>
  <si>
    <t>Contemplated Change Notice</t>
  </si>
  <si>
    <t>Contractor Proposal</t>
  </si>
  <si>
    <t>Change Authorization</t>
  </si>
  <si>
    <t>Change Order Worksheet</t>
  </si>
  <si>
    <t>Change Order</t>
  </si>
  <si>
    <t>Field Order</t>
  </si>
  <si>
    <t>Proposed Change Order</t>
  </si>
  <si>
    <t>Change Title</t>
  </si>
  <si>
    <t>Expiry Date</t>
  </si>
  <si>
    <t>Contractor Proposed Schedule Impact</t>
  </si>
  <si>
    <t>Percent Complete (to June 2024)</t>
  </si>
  <si>
    <t>Schedule Impact Costs*</t>
  </si>
  <si>
    <t>Approved Schedule impact (working days)</t>
  </si>
  <si>
    <t>*Included in CO Value</t>
  </si>
  <si>
    <t>Overdue Date</t>
  </si>
  <si>
    <t>Closed Date</t>
  </si>
  <si>
    <t>Closed date</t>
  </si>
  <si>
    <t>RFI-0001</t>
  </si>
  <si>
    <t xml:space="preserve">DPDA question on fee/letter of credit. </t>
  </si>
  <si>
    <t>Removal of Ductbank for Shoring</t>
  </si>
  <si>
    <t>RFI-0002</t>
  </si>
  <si>
    <t>FO-0001</t>
  </si>
  <si>
    <t>COW-0002</t>
  </si>
  <si>
    <t>PCO-0001</t>
  </si>
  <si>
    <t>CE#1 R2</t>
  </si>
  <si>
    <t>CO-0002</t>
  </si>
  <si>
    <t>Concrete ductbanks - removal</t>
  </si>
  <si>
    <t>SI-0001</t>
  </si>
  <si>
    <t>Issuing IFC drawings</t>
  </si>
  <si>
    <t>RFI-0003</t>
  </si>
  <si>
    <t>Building corner location confirmation</t>
  </si>
  <si>
    <t>RFI-0004</t>
  </si>
  <si>
    <t>Shower/Change Room compartments</t>
  </si>
  <si>
    <t>Site Camera</t>
  </si>
  <si>
    <t>COW-0001</t>
  </si>
  <si>
    <t>PCO-0002</t>
  </si>
  <si>
    <t xml:space="preserve">Site Camera change was not approved. </t>
  </si>
  <si>
    <t>Site Camera Admin Fee</t>
  </si>
  <si>
    <t>COW-0001R1</t>
  </si>
  <si>
    <t>PCO-0002R1</t>
  </si>
  <si>
    <t>CE#2</t>
  </si>
  <si>
    <t>CO-0003</t>
  </si>
  <si>
    <t>Admin Fee to cost Site camera change</t>
  </si>
  <si>
    <t>Removal of Ductbank from Excavation</t>
  </si>
  <si>
    <t>FO-0002</t>
  </si>
  <si>
    <t>COW-0003</t>
  </si>
  <si>
    <t>PCO-0003</t>
  </si>
  <si>
    <t>CE#3</t>
  </si>
  <si>
    <t>CO-0002 P2</t>
  </si>
  <si>
    <t>See CO-0002</t>
  </si>
  <si>
    <t>Removal of ductbank from Utility ROW</t>
  </si>
  <si>
    <t>RFI-0005</t>
  </si>
  <si>
    <t xml:space="preserve">Security Bollard Lighting - details do not show any lighting. </t>
  </si>
  <si>
    <t>RFI-0006</t>
  </si>
  <si>
    <t>Cash Allowance administration question</t>
  </si>
  <si>
    <t>SI-0002</t>
  </si>
  <si>
    <t xml:space="preserve">Authorisation to remove existing Telus line </t>
  </si>
  <si>
    <t>SI-0003</t>
  </si>
  <si>
    <t>Security Bollard Lighting (RFI-0005)</t>
  </si>
  <si>
    <t>RFI-0007</t>
  </si>
  <si>
    <t>Additional drawings for Sorensen Station</t>
  </si>
  <si>
    <t>None available</t>
  </si>
  <si>
    <t>RFI-0008</t>
  </si>
  <si>
    <t xml:space="preserve">Request for north american reinforcing steel to be acceptable for use. </t>
  </si>
  <si>
    <t xml:space="preserve">Steel acceptable. </t>
  </si>
  <si>
    <t>RFI-0009</t>
  </si>
  <si>
    <t>Requesting a two piece wall vertical/dowel to allow for pre-tying/ storage on site</t>
  </si>
  <si>
    <t>No structural objection to the proposed detail. Ensure dowel matches wall rebar size and spacing. Provide 'Class B' Tension Lap Splice.</t>
  </si>
  <si>
    <t>RFI-0010</t>
  </si>
  <si>
    <t>Requesting 2 piece stirrups for all interior beams to reduce bar threading and back/muscle strains on site during installation.</t>
  </si>
  <si>
    <t xml:space="preserve">The 2-piece stirrup shown in sketch is NOT an acceptable replacement for a T1 stirrup. </t>
  </si>
  <si>
    <t>RFI-0011</t>
  </si>
  <si>
    <t xml:space="preserve">Questions on the reference to reports on contaminated soils. </t>
  </si>
  <si>
    <t>RFI-0012</t>
  </si>
  <si>
    <t xml:space="preserve">Crane base location. </t>
  </si>
  <si>
    <t>Delete FSC requirements</t>
  </si>
  <si>
    <t>COW-0005</t>
  </si>
  <si>
    <t>PCO-0004</t>
  </si>
  <si>
    <t>to be issued as SI</t>
  </si>
  <si>
    <t>Delete ductbank to Parsons House</t>
  </si>
  <si>
    <t>COW-0006</t>
  </si>
  <si>
    <t>PCO-0005</t>
  </si>
  <si>
    <t xml:space="preserve">CE#5 r1 </t>
  </si>
  <si>
    <t>CO-0007</t>
  </si>
  <si>
    <t>RFI-0013</t>
  </si>
  <si>
    <t>Printer Carrell spec question</t>
  </si>
  <si>
    <t>RFI-0014</t>
  </si>
  <si>
    <t>Address confirmation</t>
  </si>
  <si>
    <t>4810 48 Ave, Red Deer, AB T4N 1T8</t>
  </si>
  <si>
    <t xml:space="preserve">Sorensen Station Block Infill Structural Support </t>
  </si>
  <si>
    <t>RFI-0015</t>
  </si>
  <si>
    <t>COW-0019</t>
  </si>
  <si>
    <t>PCO-0016</t>
  </si>
  <si>
    <t>CE#006</t>
  </si>
  <si>
    <t>CO-0022</t>
  </si>
  <si>
    <t>Design Errors &amp; Omissions</t>
  </si>
  <si>
    <t>Request for structural support details for block infill at sorensen station</t>
  </si>
  <si>
    <t>SS CMU Infill Support</t>
  </si>
  <si>
    <t>COW-0019R1</t>
  </si>
  <si>
    <t>PCO-0016R1</t>
  </si>
  <si>
    <t>CE#034</t>
  </si>
  <si>
    <t>CO-0041</t>
  </si>
  <si>
    <t>RFI-0016</t>
  </si>
  <si>
    <t>Conflict between shoring and piles on grid 10 &amp; 11</t>
  </si>
  <si>
    <t>RFI-0017</t>
  </si>
  <si>
    <t>Adjustable height workstation</t>
  </si>
  <si>
    <t>RFI-0018</t>
  </si>
  <si>
    <t>Fixed jury seating design</t>
  </si>
  <si>
    <t>RFI-0019</t>
  </si>
  <si>
    <t xml:space="preserve">confirm dimension  form G/L to O/S </t>
  </si>
  <si>
    <t>Included in CO-0001</t>
  </si>
  <si>
    <t>RFI-0020</t>
  </si>
  <si>
    <t>COW-0010</t>
  </si>
  <si>
    <t>CO-0001 P2</t>
  </si>
  <si>
    <t>Strip Footing Change due to shoring. Refer to CO-001</t>
  </si>
  <si>
    <t>Issued under CO-001</t>
  </si>
  <si>
    <t>RFI-0021</t>
  </si>
  <si>
    <t>PVC DWV Pipe</t>
  </si>
  <si>
    <t>PVC DWV not permitted</t>
  </si>
  <si>
    <t>RFI-0022</t>
  </si>
  <si>
    <t>Floor Drains is needed in Rm 2061, 2073, 2069</t>
  </si>
  <si>
    <t>PCO to be issued deleting the drains- Addressed in COW-008</t>
  </si>
  <si>
    <t>Delete and add floor drains</t>
  </si>
  <si>
    <t>RFI-0023</t>
  </si>
  <si>
    <t>COW-0008</t>
  </si>
  <si>
    <t>PCO-0008</t>
  </si>
  <si>
    <t>CE#10</t>
  </si>
  <si>
    <t>CO-0004</t>
  </si>
  <si>
    <t>Garbage and Loading Area floor drains missing in drawings</t>
  </si>
  <si>
    <t xml:space="preserve">Remove exposed fastners from sorenson station </t>
  </si>
  <si>
    <t>COW-0007</t>
  </si>
  <si>
    <t>PCO-0006</t>
  </si>
  <si>
    <t>CE#07</t>
  </si>
  <si>
    <t>Remove exposed fastners from existing sorenson station formwork on NE face</t>
  </si>
  <si>
    <t>RFI-0024</t>
  </si>
  <si>
    <t>Parsons House Power/Communications Conduit Size</t>
  </si>
  <si>
    <t>power and communication conduits to be 4" as coordinated with civil</t>
  </si>
  <si>
    <t>RFI-0025</t>
  </si>
  <si>
    <t>Sealed Insulation Glass edge Seal</t>
  </si>
  <si>
    <t>warm edge spacer required only on exterior glass units</t>
  </si>
  <si>
    <t>SI-0004</t>
  </si>
  <si>
    <t>Sorenson Station Grade beam foundation /Piling changes</t>
  </si>
  <si>
    <t>SI-0005</t>
  </si>
  <si>
    <t>Pile clarification to avoid shoring wall</t>
  </si>
  <si>
    <t>Old house foundation removal</t>
  </si>
  <si>
    <t>FO-0003</t>
  </si>
  <si>
    <t>COW-0009</t>
  </si>
  <si>
    <t>PCO-0007</t>
  </si>
  <si>
    <t>CE#08</t>
  </si>
  <si>
    <t>CO-0008</t>
  </si>
  <si>
    <t>Old House Foundation Removal</t>
  </si>
  <si>
    <t>SI-0006</t>
  </si>
  <si>
    <t>Utilities Revision as attched on Utilities Plan C103</t>
  </si>
  <si>
    <t>Shotcrete Substitution / strip footing change due to shoring along GL 9</t>
  </si>
  <si>
    <t>COW-0011</t>
  </si>
  <si>
    <t>CO-0001</t>
  </si>
  <si>
    <t>Shortcrete Substitution</t>
  </si>
  <si>
    <t>CO issued credit  for both Shotcrete substitution and Design fee for footing revision.</t>
  </si>
  <si>
    <t>RFI-0026</t>
  </si>
  <si>
    <t>BarSplice 5ab Terminators</t>
  </si>
  <si>
    <t>Dampproofing Membrane extent @footing</t>
  </si>
  <si>
    <t>RFI-0027</t>
  </si>
  <si>
    <t>COW-0014</t>
  </si>
  <si>
    <t>PCO-0011</t>
  </si>
  <si>
    <t>CE#15</t>
  </si>
  <si>
    <t>SEE CO-0080</t>
  </si>
  <si>
    <t>Dampproofing Membrane extent @ footing</t>
  </si>
  <si>
    <t>Waterproofing extended to bottom of footing, PCO to be issued</t>
  </si>
  <si>
    <t>Strip footing pt1</t>
  </si>
  <si>
    <t>FO-0005 R1</t>
  </si>
  <si>
    <t>COW-0016R</t>
  </si>
  <si>
    <t>PCO-0013 R1</t>
  </si>
  <si>
    <t>CO-0010</t>
  </si>
  <si>
    <t>Power for Trap Primers</t>
  </si>
  <si>
    <t>RFI-0028</t>
  </si>
  <si>
    <t>COW-0045</t>
  </si>
  <si>
    <t>PCO-0039</t>
  </si>
  <si>
    <t>CE#64</t>
  </si>
  <si>
    <t>CO-0034</t>
  </si>
  <si>
    <t>Trap Seal Primer- alternate not accepted</t>
  </si>
  <si>
    <t>hydrocarbon soil testing</t>
  </si>
  <si>
    <t>FO-0004</t>
  </si>
  <si>
    <t>COW-0012</t>
  </si>
  <si>
    <t>PCO-0009</t>
  </si>
  <si>
    <t>CE#11 r1</t>
  </si>
  <si>
    <t>CO-0015</t>
  </si>
  <si>
    <t>Contaminated soil testing</t>
  </si>
  <si>
    <t>pricing to be revised</t>
  </si>
  <si>
    <t>Thermally broken motorized damper</t>
  </si>
  <si>
    <t>COW-0013</t>
  </si>
  <si>
    <t>PCO-0010</t>
  </si>
  <si>
    <t>CE#12</t>
  </si>
  <si>
    <t>CO-0006</t>
  </si>
  <si>
    <t xml:space="preserve">revise motorized damper to be thermally broken for outside air intake dampers </t>
  </si>
  <si>
    <t>RFI-0029</t>
  </si>
  <si>
    <t>hollow metal door stiffeners</t>
  </si>
  <si>
    <t>RFI-0030</t>
  </si>
  <si>
    <t>product for damprooofing missing</t>
  </si>
  <si>
    <t>Elevator Sump Pit Water Proofing</t>
  </si>
  <si>
    <t>RFI-0031</t>
  </si>
  <si>
    <t>COW-0015</t>
  </si>
  <si>
    <t>PCO-0012 R1</t>
  </si>
  <si>
    <t>CE#16R1</t>
  </si>
  <si>
    <t>CO-0066</t>
  </si>
  <si>
    <t>waterproofing to elevator pit</t>
  </si>
  <si>
    <t>PCO to be issued</t>
  </si>
  <si>
    <t>RFI-0032</t>
  </si>
  <si>
    <t>wood door stain color</t>
  </si>
  <si>
    <t>Detention Toilet Modifications</t>
  </si>
  <si>
    <t>RFI-0033</t>
  </si>
  <si>
    <t>COW-0018</t>
  </si>
  <si>
    <t>PCO-0015</t>
  </si>
  <si>
    <t>CE#17</t>
  </si>
  <si>
    <t>CO-0009</t>
  </si>
  <si>
    <t xml:space="preserve">ada compliant fixture. </t>
  </si>
  <si>
    <t>PCO to be issued.Combination unit is to be replaced with a standard combination Unit.</t>
  </si>
  <si>
    <t>RFI-0034</t>
  </si>
  <si>
    <t>streamline- confirm door operation for pre-Action areas</t>
  </si>
  <si>
    <t>a sper spec</t>
  </si>
  <si>
    <t>RFI-0035</t>
  </si>
  <si>
    <t>use city water pressure for parkade &amp; level o fire protection</t>
  </si>
  <si>
    <t>Clean Agent Cylinder Locations</t>
  </si>
  <si>
    <t>RFI-0036</t>
  </si>
  <si>
    <t>COW-0069</t>
  </si>
  <si>
    <t>PCO-0060</t>
  </si>
  <si>
    <t>CE#79</t>
  </si>
  <si>
    <t>CO-0051</t>
  </si>
  <si>
    <t>clean agent -pre action design</t>
  </si>
  <si>
    <t>RFI-0037</t>
  </si>
  <si>
    <t>revised Clean agent Supression Systems height.re opened: More details required</t>
  </si>
  <si>
    <t xml:space="preserve">mounting 2150 above floor </t>
  </si>
  <si>
    <t>Pre-Action Systems electrical connections</t>
  </si>
  <si>
    <t>RFI-0038</t>
  </si>
  <si>
    <t>COW-0032</t>
  </si>
  <si>
    <t>PCO-0029</t>
  </si>
  <si>
    <t>CE#20</t>
  </si>
  <si>
    <t>CO-0011</t>
  </si>
  <si>
    <t xml:space="preserve">streamline- Pre-Action system confirm electrical connections. </t>
  </si>
  <si>
    <t xml:space="preserve">Each valve to be controlled and monitored from the pre-action cabinet, and monitored by the fire alarm panel.  Some zones not labelled on the fire alarm zoning details. </t>
  </si>
  <si>
    <t>Exit Stairwells 7 &amp; 8 Revised Standpipe Locations</t>
  </si>
  <si>
    <t>RFI-0039</t>
  </si>
  <si>
    <t>COW-0050</t>
  </si>
  <si>
    <t>PCO-0044</t>
  </si>
  <si>
    <t>CE # 52</t>
  </si>
  <si>
    <t>CO-0039</t>
  </si>
  <si>
    <t>Review standpipe location in stairs 7&amp;8</t>
  </si>
  <si>
    <t>RFI-0040</t>
  </si>
  <si>
    <t>Parsons data connection. No Specific requirement for AI</t>
  </si>
  <si>
    <t>RFI-0041</t>
  </si>
  <si>
    <t>stud rail /shear reinforcement required along G/L, Q</t>
  </si>
  <si>
    <t>stud rails not required within column locations</t>
  </si>
  <si>
    <t>SI-0007</t>
  </si>
  <si>
    <t>Strip footing change due to shoring along SE</t>
  </si>
  <si>
    <t>RFI-0042</t>
  </si>
  <si>
    <t>Lightning protection question due to bed rock</t>
  </si>
  <si>
    <t>proposed alternate accepted</t>
  </si>
  <si>
    <t>RFI-0043</t>
  </si>
  <si>
    <t>Follow-up to RFI #27, waterproofing on raft slabs/footings that extend beyond exterior walls</t>
  </si>
  <si>
    <t>Details provided by Entuitive</t>
  </si>
  <si>
    <t>RFI-0044</t>
  </si>
  <si>
    <t>Slop/elevations of floor drains</t>
  </si>
  <si>
    <t xml:space="preserve">Slope drawing modified (A2.01.2).  Slopes modified to percentages, ratios were improperly rounded down. </t>
  </si>
  <si>
    <t>RFI-0045</t>
  </si>
  <si>
    <t>Request to splice long wall verticals at ramp</t>
  </si>
  <si>
    <t>can be spliced with conditions</t>
  </si>
  <si>
    <t>RFI-0046</t>
  </si>
  <si>
    <t>Confirmation if couplers are required in L3 walls</t>
  </si>
  <si>
    <t>Couplers required for future expansion.</t>
  </si>
  <si>
    <t>RFI-0047</t>
  </si>
  <si>
    <t>Questions on SECTION 07 13 52 Sheet membrane waterproofing</t>
  </si>
  <si>
    <t>Provided recommendations from Suprema, reiterated spec section</t>
  </si>
  <si>
    <t>A 90min. Fire Rating is required for door P501C</t>
  </si>
  <si>
    <t>COW-0017</t>
  </si>
  <si>
    <t>PCO-0014</t>
  </si>
  <si>
    <t>CE#19</t>
  </si>
  <si>
    <t>CO-0005</t>
  </si>
  <si>
    <t>Underslab drainage sump pit replacement</t>
  </si>
  <si>
    <t>RFI-0048</t>
  </si>
  <si>
    <t>FO-0006 R1</t>
  </si>
  <si>
    <t>COW-0020R2</t>
  </si>
  <si>
    <t>PCO-0017r2</t>
  </si>
  <si>
    <t>CE# 24</t>
  </si>
  <si>
    <t>CO-0026</t>
  </si>
  <si>
    <t xml:space="preserve">Sump pump sizing </t>
  </si>
  <si>
    <t>Underslab Drainage Sump Pumps</t>
  </si>
  <si>
    <t>COW-0025</t>
  </si>
  <si>
    <t>PCO-0022</t>
  </si>
  <si>
    <t>CE# 21 R1</t>
  </si>
  <si>
    <t>CO-0020</t>
  </si>
  <si>
    <t>RFI-0049</t>
  </si>
  <si>
    <t>Ramp slab keyway depth</t>
  </si>
  <si>
    <t>no structural objection</t>
  </si>
  <si>
    <t>RFI-0050</t>
  </si>
  <si>
    <t>radon consultant and 10 mil ply question</t>
  </si>
  <si>
    <t>Parkland Geo is the consultant</t>
  </si>
  <si>
    <t>RFI-0051</t>
  </si>
  <si>
    <t>concrete slump revision</t>
  </si>
  <si>
    <t xml:space="preserve">Maximum slump can be increased to 80 mm with caveats. </t>
  </si>
  <si>
    <t>RFI-0052</t>
  </si>
  <si>
    <t>foundation wall construction joint waterproofing</t>
  </si>
  <si>
    <t>Depends on the location</t>
  </si>
  <si>
    <t>RFI-0053</t>
  </si>
  <si>
    <t>Reinforcement details for foundations walls from level 1 to level 2</t>
  </si>
  <si>
    <t>Delete requirements for Telephone utility conduits</t>
  </si>
  <si>
    <t>RFI-0054</t>
  </si>
  <si>
    <t>COW-0023</t>
  </si>
  <si>
    <t>PCO-0020</t>
  </si>
  <si>
    <t>CE#26</t>
  </si>
  <si>
    <t>CO-0012</t>
  </si>
  <si>
    <t>Telecommunications Site Service Conduit Location and Quantity Clarifications</t>
  </si>
  <si>
    <t>RFI-0055</t>
  </si>
  <si>
    <t>Storm pump pit elevation and parkade drain</t>
  </si>
  <si>
    <t>sump elevation is acceptable. Details to be revisisted</t>
  </si>
  <si>
    <t>RFI-0056</t>
  </si>
  <si>
    <t>Waterproofing watertable elevation</t>
  </si>
  <si>
    <t>one meter above highest water level (100 year flood)</t>
  </si>
  <si>
    <t>RFI-0057</t>
  </si>
  <si>
    <t>Blindside waterproofing reinforcement strips</t>
  </si>
  <si>
    <t>L0 to L1 Column Elevations</t>
  </si>
  <si>
    <t>RFI-0058</t>
  </si>
  <si>
    <t>COW-0070</t>
  </si>
  <si>
    <t>PCO-0064</t>
  </si>
  <si>
    <t>CE#41</t>
  </si>
  <si>
    <t>CO-0050</t>
  </si>
  <si>
    <t>answered in SI-0012, m-21</t>
  </si>
  <si>
    <t>SI-0012</t>
  </si>
  <si>
    <t>Level 0 Sally port Floor slopes-RFI 58</t>
  </si>
  <si>
    <t>RFI-0059</t>
  </si>
  <si>
    <t>Flooring protection specifications</t>
  </si>
  <si>
    <t>RFI-0060</t>
  </si>
  <si>
    <t>Level PK Ramp Dimensions</t>
  </si>
  <si>
    <t>see attached sketch</t>
  </si>
  <si>
    <t>RFI-0061</t>
  </si>
  <si>
    <t>Can ENT conduit be used. Potential $10,000 credit</t>
  </si>
  <si>
    <t>Terminate spare conduit in secondary duct bank, install junction box rm B501</t>
  </si>
  <si>
    <t>RFI-0062</t>
  </si>
  <si>
    <t>COW-0030</t>
  </si>
  <si>
    <t>PCO-0027</t>
  </si>
  <si>
    <t>CE#38</t>
  </si>
  <si>
    <t>CO-0023</t>
  </si>
  <si>
    <t>Can spare conduit quantity be reduced? Currently 13 spares</t>
  </si>
  <si>
    <t>keep the spare conduits for future capability</t>
  </si>
  <si>
    <t>RFI-0063</t>
  </si>
  <si>
    <t>Weeping tile sump and sanitary sump elevation clarification</t>
  </si>
  <si>
    <t>A2.01.1 _R4 to be issued</t>
  </si>
  <si>
    <t>Sallyport Ramp Step Detail</t>
  </si>
  <si>
    <t>RFI-0064</t>
  </si>
  <si>
    <t>FO-0007</t>
  </si>
  <si>
    <t>COW-0040</t>
  </si>
  <si>
    <t>PCO-0035</t>
  </si>
  <si>
    <t>CE#60</t>
  </si>
  <si>
    <t>Clarification for survey and layout of L0 suspended slab. Need further information</t>
  </si>
  <si>
    <t>comments on sketch</t>
  </si>
  <si>
    <t>RFI-0065</t>
  </si>
  <si>
    <t>Confirm C-1/Corrosion Inhibitor Concrete Requirements</t>
  </si>
  <si>
    <t>RFI-0066</t>
  </si>
  <si>
    <t xml:space="preserve">RF3 Bar reinforcement for mechanical sleeve </t>
  </si>
  <si>
    <t>RFI-0067</t>
  </si>
  <si>
    <t>Weight of Prisoner Cages in Elevators 5 &amp; 6</t>
  </si>
  <si>
    <t>RFI-0068</t>
  </si>
  <si>
    <t>O&amp;M Manual Clarifications</t>
  </si>
  <si>
    <t>Provide and install Fire Alarm devices in stairwells</t>
  </si>
  <si>
    <t>RFI-0069</t>
  </si>
  <si>
    <t>COW-0026</t>
  </si>
  <si>
    <t>PCO-0023</t>
  </si>
  <si>
    <t>CE#22</t>
  </si>
  <si>
    <t>CO-0024</t>
  </si>
  <si>
    <t>Fire Alarm Riser on E9.02 refers to signalling devices in the stairwell. None shown on floor plans.</t>
  </si>
  <si>
    <t>Devices to be added</t>
  </si>
  <si>
    <t>RFI-0070</t>
  </si>
  <si>
    <t>Bituminous coating - hollow metal frames</t>
  </si>
  <si>
    <t>refer to section 08 12 13</t>
  </si>
  <si>
    <t>RFI-0071</t>
  </si>
  <si>
    <t>Bituminous coating - Detantion Frames</t>
  </si>
  <si>
    <t>RFI-0072</t>
  </si>
  <si>
    <t>Architecturally exposed concrete mock up</t>
  </si>
  <si>
    <t>RFI-0073</t>
  </si>
  <si>
    <t>Core wall pour breaks</t>
  </si>
  <si>
    <t>RFI-0074</t>
  </si>
  <si>
    <t>Raft footing RF2- footing steo Requirement</t>
  </si>
  <si>
    <t>RFI-0075</t>
  </si>
  <si>
    <t>concrete type location</t>
  </si>
  <si>
    <t>Detention Deal Tray and Transaction Drawer</t>
  </si>
  <si>
    <t>RFI-0076</t>
  </si>
  <si>
    <t>See CO-0055</t>
  </si>
  <si>
    <t>Transaction drawer conflict with wall construction</t>
  </si>
  <si>
    <t>armotex to provide more durable product</t>
  </si>
  <si>
    <t>RFI-0077</t>
  </si>
  <si>
    <t xml:space="preserve">  </t>
  </si>
  <si>
    <t>COW-0078</t>
  </si>
  <si>
    <t>PCO-0071</t>
  </si>
  <si>
    <t>CE # 115</t>
  </si>
  <si>
    <t>CO-0055</t>
  </si>
  <si>
    <t>Detention deal tray /stainless steel detainee counter</t>
  </si>
  <si>
    <t>Please have supplier provide product recommendation for alternate deal tray to accommodate 4-sided window frame</t>
  </si>
  <si>
    <t>RFI-0078</t>
  </si>
  <si>
    <t>PK EAST ramp wall extent</t>
  </si>
  <si>
    <t>Dimension is 2705mm from end wall to Grid K.</t>
  </si>
  <si>
    <t>RFI-0079</t>
  </si>
  <si>
    <t>Foundation Walls - ALTERNATING HORIZONTALS IF/OF @ CJ'</t>
  </si>
  <si>
    <t>section E/CW3 does not apply to the project. intent is to create a spot where crack will form.</t>
  </si>
  <si>
    <t>RFI-0080</t>
  </si>
  <si>
    <t>Deal tray mounting detail</t>
  </si>
  <si>
    <t>overlap design is acceptable</t>
  </si>
  <si>
    <t>RFI-0081</t>
  </si>
  <si>
    <t>Main Entrance Handrail Dimensions and Radius</t>
  </si>
  <si>
    <t>attached dimensions. Hand Rail is post mount not wall mount.</t>
  </si>
  <si>
    <t>RFI-0082</t>
  </si>
  <si>
    <t>300mm wall has SR5 stud rails that are 500mm wide called out in S5.60 section 3.  Please advise ASAP if we should use SR3, SR4 or other size stud rail in this location.</t>
  </si>
  <si>
    <t>RFI-0083</t>
  </si>
  <si>
    <t xml:space="preserve">Level 0 700 Thk slab </t>
  </si>
  <si>
    <t>provide continuous reinforcement</t>
  </si>
  <si>
    <t>RFI-0084</t>
  </si>
  <si>
    <t>Level 0 Drag Bars @ Elevator 6 &amp; 8</t>
  </si>
  <si>
    <t>bars that hit elevator core should terminate with a std hook and continued again at opposite side</t>
  </si>
  <si>
    <t>Detention door food pass and thumb turn locks</t>
  </si>
  <si>
    <t>RFI-0085</t>
  </si>
  <si>
    <t>COW-0028</t>
  </si>
  <si>
    <t>PCO-0025</t>
  </si>
  <si>
    <t>CE#35</t>
  </si>
  <si>
    <t>CO-0028</t>
  </si>
  <si>
    <t>Food Pass Doors in detention Doors</t>
  </si>
  <si>
    <t>all de doors to have food pass . Thumb turn locks</t>
  </si>
  <si>
    <t>RFI-0086</t>
  </si>
  <si>
    <t>fire rated glazing for detention doors &amp; window</t>
  </si>
  <si>
    <t>SI-0008</t>
  </si>
  <si>
    <t>MH D7 adjustment</t>
  </si>
  <si>
    <t>SI-0009</t>
  </si>
  <si>
    <t>Short crete substitution</t>
  </si>
  <si>
    <t>SI-0010</t>
  </si>
  <si>
    <t>Airflow Measuring station Caliberation</t>
  </si>
  <si>
    <t>Electrical Room P517 Size increase required to accommodate electrical equipment clearances</t>
  </si>
  <si>
    <t>RFI-0087</t>
  </si>
  <si>
    <t>COW-0022</t>
  </si>
  <si>
    <t>PCO-0019</t>
  </si>
  <si>
    <t>CE # 32</t>
  </si>
  <si>
    <t>CO-0018</t>
  </si>
  <si>
    <t>Electrical Room P517 Size Conflicts. Confirm if structural beam runs through the room</t>
  </si>
  <si>
    <t>RFI-0088</t>
  </si>
  <si>
    <t>Confirm S1611A is to be detention grade or pressed steel.</t>
  </si>
  <si>
    <t>both to be detention grade</t>
  </si>
  <si>
    <t>Architecturally exposed concrete</t>
  </si>
  <si>
    <t>RFI-0089</t>
  </si>
  <si>
    <t>COW-0029</t>
  </si>
  <si>
    <t>PCO-0026</t>
  </si>
  <si>
    <t>CE#59</t>
  </si>
  <si>
    <t>CO-0045</t>
  </si>
  <si>
    <t>all other exposed concrete is EC and not AEC. Cant find in document</t>
  </si>
  <si>
    <t>Smoke Exhaust Fans and Access platforms</t>
  </si>
  <si>
    <t>RFI-0090</t>
  </si>
  <si>
    <t>COW-0086</t>
  </si>
  <si>
    <t>PCO-0078</t>
  </si>
  <si>
    <t>CE # 0087</t>
  </si>
  <si>
    <t>CO-0061</t>
  </si>
  <si>
    <t>Camber in suspended Slabs- Confirm detail CS23/S0.14</t>
  </si>
  <si>
    <t>shown on plan no need to calculate</t>
  </si>
  <si>
    <t>RFI-0091</t>
  </si>
  <si>
    <t>Parkade Column corner gaurds</t>
  </si>
  <si>
    <t>no need for corner gaurds in parkade</t>
  </si>
  <si>
    <t>RFI-0092</t>
  </si>
  <si>
    <t>adding accelerator in shortcrete</t>
  </si>
  <si>
    <t>accelerator is not acceptable</t>
  </si>
  <si>
    <t>Lighting Protection Revisions</t>
  </si>
  <si>
    <t>RFI-0093</t>
  </si>
  <si>
    <t>COW-0031</t>
  </si>
  <si>
    <t>PCO-0028</t>
  </si>
  <si>
    <t>CE # 0033</t>
  </si>
  <si>
    <t>CO-0021</t>
  </si>
  <si>
    <t>Lightning protection gropund Grid</t>
  </si>
  <si>
    <t>RFI-0094</t>
  </si>
  <si>
    <t>CIP Concrete Stair Detail</t>
  </si>
  <si>
    <t>use of couplers is permitted</t>
  </si>
  <si>
    <t>RFI-0095</t>
  </si>
  <si>
    <t>cut section thru man door opening</t>
  </si>
  <si>
    <t>A2.01.1</t>
  </si>
  <si>
    <t>RFI-0096</t>
  </si>
  <si>
    <t>Level 0 framing plan column L-5 dimension clarification.</t>
  </si>
  <si>
    <t>SI-0011</t>
  </si>
  <si>
    <t>Steel testing scope</t>
  </si>
  <si>
    <t>RFI-0097</t>
  </si>
  <si>
    <t>electrical conduit size in concrete</t>
  </si>
  <si>
    <t>RFI-0098</t>
  </si>
  <si>
    <t>Level 3 Roof Joist Dimensions</t>
  </si>
  <si>
    <t>RFI-0099</t>
  </si>
  <si>
    <t>Drawing dimension issue - building layout</t>
  </si>
  <si>
    <t>difference is due to .08 degrees off axis relative to true north</t>
  </si>
  <si>
    <t>RFI-0100</t>
  </si>
  <si>
    <t>Steel Primer-Red oxide</t>
  </si>
  <si>
    <t>RFI-0101</t>
  </si>
  <si>
    <t>Door installation in concrete</t>
  </si>
  <si>
    <t>RFI-0102</t>
  </si>
  <si>
    <t>Sump pit grouiting  and water proofing</t>
  </si>
  <si>
    <t>RFI-0103</t>
  </si>
  <si>
    <t>Secure area floor drains- installation</t>
  </si>
  <si>
    <t xml:space="preserve">no issues with installation  arch/struc to confirm / CB needs confirmation if the configuration of the drain will create a structural issues. </t>
  </si>
  <si>
    <t>Window S1611A &amp; S1611B</t>
  </si>
  <si>
    <t>COW-0021</t>
  </si>
  <si>
    <t>PCO-0018</t>
  </si>
  <si>
    <t>CE # 81</t>
  </si>
  <si>
    <t>CO-0030</t>
  </si>
  <si>
    <t>Revise Chiller &amp; Boiler power requirements</t>
  </si>
  <si>
    <t>COW-0024</t>
  </si>
  <si>
    <t>PCO-0021</t>
  </si>
  <si>
    <t>CE # 25</t>
  </si>
  <si>
    <t>CO-0016</t>
  </si>
  <si>
    <t>RFI-0104</t>
  </si>
  <si>
    <t>connection details grade beam /SOG to slab beam</t>
  </si>
  <si>
    <t>qstn 3 answered</t>
  </si>
  <si>
    <t>Concrete Thermal Control Revisions</t>
  </si>
  <si>
    <t>COW-0027</t>
  </si>
  <si>
    <t>PCO-0024</t>
  </si>
  <si>
    <t>CE # 27</t>
  </si>
  <si>
    <t>CO-0042</t>
  </si>
  <si>
    <t>RFI-0105</t>
  </si>
  <si>
    <t>Level 0 Suspended Slab Formwork Stripping</t>
  </si>
  <si>
    <t>RFI-0106</t>
  </si>
  <si>
    <t>240+ Masonry wall Dowel on level 0</t>
  </si>
  <si>
    <t>RFI-0107</t>
  </si>
  <si>
    <t>Door centrelines for Doors in Concrete Walls</t>
  </si>
  <si>
    <t>RFI-0108</t>
  </si>
  <si>
    <t>sloping Concrete Plan</t>
  </si>
  <si>
    <t>RFI-0109</t>
  </si>
  <si>
    <t>Grade Beam/ Pile Cap - cover</t>
  </si>
  <si>
    <t>Room P517 Ventilation</t>
  </si>
  <si>
    <t>RFI-0110</t>
  </si>
  <si>
    <t>COW-0034</t>
  </si>
  <si>
    <t>PCO-0031</t>
  </si>
  <si>
    <t>CE # 40</t>
  </si>
  <si>
    <t>CO-0019</t>
  </si>
  <si>
    <t>Room P517 contains electrical equipment including transformer TX-BD-EA that will generate heat. The mechanical drawings do not show any ventilation for the room. Please review and confirm if ventilation is required for this room.</t>
  </si>
  <si>
    <t>proposed solution is acceptable</t>
  </si>
  <si>
    <t>Elevator Pit Platform</t>
  </si>
  <si>
    <t>RFI-0111</t>
  </si>
  <si>
    <t>COW-0175</t>
  </si>
  <si>
    <t>PCO-0157</t>
  </si>
  <si>
    <t>CE 241</t>
  </si>
  <si>
    <t>CO-0166</t>
  </si>
  <si>
    <t>Elevator platforms</t>
  </si>
  <si>
    <t>Fire Suppression , Fire Alarm, Dampers</t>
  </si>
  <si>
    <t>RFI-0112</t>
  </si>
  <si>
    <t>COW-0083</t>
  </si>
  <si>
    <t>PCO-0075R1</t>
  </si>
  <si>
    <t>CE # 53</t>
  </si>
  <si>
    <t>CO-0083</t>
  </si>
  <si>
    <t>fire supression &amp; fire alarm</t>
  </si>
  <si>
    <t>Combined with RFI-242</t>
  </si>
  <si>
    <t>RFI-0113</t>
  </si>
  <si>
    <t>Mechanical Backfill Material</t>
  </si>
  <si>
    <t>attached drawing</t>
  </si>
  <si>
    <t>Revise AHU. APU, MUA, HRV breaker requirements</t>
  </si>
  <si>
    <t>COW-0033</t>
  </si>
  <si>
    <t>PCO-0030</t>
  </si>
  <si>
    <t>CE # 39</t>
  </si>
  <si>
    <t>CO-0017</t>
  </si>
  <si>
    <t>RFI-0114</t>
  </si>
  <si>
    <t>Priming of structral steel compatible</t>
  </si>
  <si>
    <t>RFI-0115</t>
  </si>
  <si>
    <t>vetrical formwork stripping</t>
  </si>
  <si>
    <t>SI-0016</t>
  </si>
  <si>
    <t>Revise concrete formwork stripping  SDN-009</t>
  </si>
  <si>
    <t>RFI 115</t>
  </si>
  <si>
    <t>RFI-0116</t>
  </si>
  <si>
    <t>Slab step detail. More details required</t>
  </si>
  <si>
    <t>RFI-0117</t>
  </si>
  <si>
    <t>Bar arrangement request for inter</t>
  </si>
  <si>
    <t>RFI-0118</t>
  </si>
  <si>
    <t>Lvl 0 CMU Non load bearing walls. No reinforcing detail called out</t>
  </si>
  <si>
    <t>RFI-0119</t>
  </si>
  <si>
    <t>PK-L1 Core walls . Proceeding with 2 bars instead of 4 zone bars . Please review</t>
  </si>
  <si>
    <t>There was never a zone structurally required next to the door opening. The zone "Z3" is required to align next to the large elevator door opening on the floors above. .</t>
  </si>
  <si>
    <t>RFI-0120</t>
  </si>
  <si>
    <t>Elevator shaft Sprinklers</t>
  </si>
  <si>
    <t>RFI-0121</t>
  </si>
  <si>
    <t>no Stud rail design was created 250mm Wall G/L-Q</t>
  </si>
  <si>
    <t xml:space="preserve">Detention door frames- DF1 DF2 DF3 revise frame width, B612A, B617A, B630A, B635A, B637A, B639A, B645A to 915mm clear opening </t>
  </si>
  <si>
    <t>RFI-0122</t>
  </si>
  <si>
    <t>COW-0035</t>
  </si>
  <si>
    <t>PCO-0032</t>
  </si>
  <si>
    <t>CE # 42</t>
  </si>
  <si>
    <t>CO-0013</t>
  </si>
  <si>
    <t>Detention Frame Intercom Height. Confirm if 965 is the required height</t>
  </si>
  <si>
    <t>RFI-0123</t>
  </si>
  <si>
    <t>Level 0 Rough Openings in Concrete Walls</t>
  </si>
  <si>
    <t>RFI-0124</t>
  </si>
  <si>
    <t>APU fire rated cable</t>
  </si>
  <si>
    <t xml:space="preserve">not acceptable </t>
  </si>
  <si>
    <t>RFI-0125</t>
  </si>
  <si>
    <t>liding door B6937A, when slid into the door position will come into contact with the concrete column/pilaster to the south and will not allow the door to fully open. Please confirm design solution.</t>
  </si>
  <si>
    <t>Issued under PCO-0032</t>
  </si>
  <si>
    <t>RFI-0126</t>
  </si>
  <si>
    <t>Foundation Wall A/1-2 Adjustment Due to Secant Wall</t>
  </si>
  <si>
    <t>RFI-0127</t>
  </si>
  <si>
    <t>Detention door B635A and B637A Intercom location</t>
  </si>
  <si>
    <t>issued under PCO-002</t>
  </si>
  <si>
    <t>RFI-0128</t>
  </si>
  <si>
    <t>feature steel details</t>
  </si>
  <si>
    <t>SI-0013</t>
  </si>
  <si>
    <t>Revise duct work and breeching rqmnts . Revise boiler schematics M-3</t>
  </si>
  <si>
    <t>SI-0014</t>
  </si>
  <si>
    <t>Updated legal survey</t>
  </si>
  <si>
    <t>SI-0015</t>
  </si>
  <si>
    <t>Stud rail clarification SDN-007</t>
  </si>
  <si>
    <t>Fire Rated Feeders</t>
  </si>
  <si>
    <t>RFI-0129</t>
  </si>
  <si>
    <t>COW-0042</t>
  </si>
  <si>
    <t>PCO-0037</t>
  </si>
  <si>
    <t>CE#49</t>
  </si>
  <si>
    <t>CO-0029</t>
  </si>
  <si>
    <t>Feeder to DB-BD-2EA. No head room for required 2 hr cable</t>
  </si>
  <si>
    <t>RFI-0130</t>
  </si>
  <si>
    <t>Pile/CB/Pilecap/Beam Locations</t>
  </si>
  <si>
    <t>SI issued</t>
  </si>
  <si>
    <t>Parkade Lighting Revisions</t>
  </si>
  <si>
    <t>RFI-0131</t>
  </si>
  <si>
    <t>COW-0063</t>
  </si>
  <si>
    <t>PCO-0055</t>
  </si>
  <si>
    <t>CE # 90</t>
  </si>
  <si>
    <t>CO-0038</t>
  </si>
  <si>
    <t>Parkade lighting an duct work location. rfi to be revised</t>
  </si>
  <si>
    <t>RFI-0132</t>
  </si>
  <si>
    <t>block wall dowels</t>
  </si>
  <si>
    <t>only in some location it is acceptable</t>
  </si>
  <si>
    <t>RFI-0133</t>
  </si>
  <si>
    <t>differentiate between load bearing and non load bearing cmu walls</t>
  </si>
  <si>
    <t>RFI-0134</t>
  </si>
  <si>
    <t>gaurdrail height GL 2.struct refers to arch arch refers to structural</t>
  </si>
  <si>
    <t>RFI-0135</t>
  </si>
  <si>
    <t>detention floor drain delay in fd-240</t>
  </si>
  <si>
    <t>block out option 1 was chosen floor drains to be installed when it arrives.</t>
  </si>
  <si>
    <t>RFI-0136</t>
  </si>
  <si>
    <t>lvl 0 drop area reinforcement</t>
  </si>
  <si>
    <t>Shower Stall</t>
  </si>
  <si>
    <t>RFI-0137</t>
  </si>
  <si>
    <t>COW-0047</t>
  </si>
  <si>
    <t>PCO-0041</t>
  </si>
  <si>
    <t>CE 54</t>
  </si>
  <si>
    <t>CO-0043</t>
  </si>
  <si>
    <t>level 0 shower stall /drains</t>
  </si>
  <si>
    <t>SH-1 to be deleted CCN M13R1. SH-2 revise dto barrier free. Floor drian moved to tiled area</t>
  </si>
  <si>
    <t>RFI-0138</t>
  </si>
  <si>
    <t>SMP</t>
  </si>
  <si>
    <t xml:space="preserve">FP 129 equipment taggingconflict </t>
  </si>
  <si>
    <t>shown on mechanical plans</t>
  </si>
  <si>
    <t>RFI-0139</t>
  </si>
  <si>
    <t>is AVB or air barrier required behind steel cladding</t>
  </si>
  <si>
    <t>RFI-0140</t>
  </si>
  <si>
    <t>Pre finished steel cladding - color spec maybe incorrect</t>
  </si>
  <si>
    <t>Parkade Gas Detectors</t>
  </si>
  <si>
    <t>RFI-0141</t>
  </si>
  <si>
    <t>COW-0044</t>
  </si>
  <si>
    <t>PCO-0038</t>
  </si>
  <si>
    <t>CE#55</t>
  </si>
  <si>
    <t>CO-0027</t>
  </si>
  <si>
    <t>parkade gas detector- alternate</t>
  </si>
  <si>
    <t>FCU-118 &amp; HRV-105 Acoustic Duct Insulation</t>
  </si>
  <si>
    <t>COW-0036</t>
  </si>
  <si>
    <t>PCO-0033</t>
  </si>
  <si>
    <t>CE # 44</t>
  </si>
  <si>
    <t>CO-0014</t>
  </si>
  <si>
    <t>CU-118 &amp; HRV-105 Acoustic Duct Insulation. M-10</t>
  </si>
  <si>
    <t xml:space="preserve">Parkade trench drain location </t>
  </si>
  <si>
    <t>COW-0039</t>
  </si>
  <si>
    <t>PCO-0034</t>
  </si>
  <si>
    <t>CE # 45</t>
  </si>
  <si>
    <t>CO-0025</t>
  </si>
  <si>
    <t>Parkade trench drain location . SDN-008</t>
  </si>
  <si>
    <t>Connect sanitary to sally port trench drain</t>
  </si>
  <si>
    <t>COW-0038</t>
  </si>
  <si>
    <t>See CO-0025</t>
  </si>
  <si>
    <t>Connect sanitary to sally port trench drain M-12</t>
  </si>
  <si>
    <t>Connect sanitary stack near Grid K-6</t>
  </si>
  <si>
    <t>COW-0037</t>
  </si>
  <si>
    <t>See 2 CO-0025</t>
  </si>
  <si>
    <t>Connect sanitary stack near Grid K-6, CCN M-11</t>
  </si>
  <si>
    <t>Revise concrete formwork stripping requirements. SDN-009</t>
  </si>
  <si>
    <t>Terminal Fan and FP-149 power changes</t>
  </si>
  <si>
    <t>SI-0017</t>
  </si>
  <si>
    <t>COW-0110</t>
  </si>
  <si>
    <t>PCO-0098</t>
  </si>
  <si>
    <t>CE # 0061</t>
  </si>
  <si>
    <t>CO-0094</t>
  </si>
  <si>
    <t>Fan Powered box FP-149. M-4</t>
  </si>
  <si>
    <t>SI-0018</t>
  </si>
  <si>
    <t>HEX and Chiller isolation and Balancing Valves. M-5</t>
  </si>
  <si>
    <t>SI-0019</t>
  </si>
  <si>
    <t>clarification of exterior meter enclosure. SDN-010</t>
  </si>
  <si>
    <t>SI-0020</t>
  </si>
  <si>
    <t>Grade beam clarification. SDN-011</t>
  </si>
  <si>
    <t>SI-0021</t>
  </si>
  <si>
    <t>discharge inverts. Grade beam revisions required to accommodate storm main invert revisions M-6. SDN-011</t>
  </si>
  <si>
    <t>RFI-0142</t>
  </si>
  <si>
    <t>Opening in PK GL 8 wall</t>
  </si>
  <si>
    <t>RFI-0143</t>
  </si>
  <si>
    <t>Blcok out detail for Lvl 1</t>
  </si>
  <si>
    <t>RFI-0144</t>
  </si>
  <si>
    <t>LVl 1 floor box clarification, information kiosk, psco, turnstile.</t>
  </si>
  <si>
    <t>RFI-0145</t>
  </si>
  <si>
    <t>Transformer vault opening size</t>
  </si>
  <si>
    <t>RFI-0146</t>
  </si>
  <si>
    <t>PCO-0016 to be revised</t>
  </si>
  <si>
    <t xml:space="preserve">sorensen sattion hardening </t>
  </si>
  <si>
    <t>Construction Dewatering</t>
  </si>
  <si>
    <t>FO-0008</t>
  </si>
  <si>
    <t>COW-0041</t>
  </si>
  <si>
    <t>PCO-0036</t>
  </si>
  <si>
    <t>CE # 48</t>
  </si>
  <si>
    <t>CO-0088</t>
  </si>
  <si>
    <t>Partial change order</t>
  </si>
  <si>
    <t>Design fees required foundation modification as a result of south secant wall piles encroaching into the foundation wall</t>
  </si>
  <si>
    <t>RFI-0147</t>
  </si>
  <si>
    <t>COW-0059</t>
  </si>
  <si>
    <t>PCO-0051</t>
  </si>
  <si>
    <t>CE # 58</t>
  </si>
  <si>
    <t>CO-0031</t>
  </si>
  <si>
    <t>South Secant Wall Piles Encroaching into Foundation</t>
  </si>
  <si>
    <t>South secant wall pile encroachment foundation</t>
  </si>
  <si>
    <t>SI-0026</t>
  </si>
  <si>
    <t>RFI-0148</t>
  </si>
  <si>
    <t>Wet Curing for Suspended Slab</t>
  </si>
  <si>
    <t>RFI-0149</t>
  </si>
  <si>
    <t>Devices that require 120 volt connections</t>
  </si>
  <si>
    <t>RFI-0150</t>
  </si>
  <si>
    <t>Question related to PCO 16</t>
  </si>
  <si>
    <t>RFI-0151</t>
  </si>
  <si>
    <t>Column Corner Guards vs HSS Embeds @ Ramp Level</t>
  </si>
  <si>
    <t>RFI-0152</t>
  </si>
  <si>
    <t>Pile #11 Low Cutoff</t>
  </si>
  <si>
    <t>RFI-0153</t>
  </si>
  <si>
    <t>L2 GL-A Base Plate Anchors</t>
  </si>
  <si>
    <t>SI-0022</t>
  </si>
  <si>
    <t>FSC Wood Req's deleted</t>
  </si>
  <si>
    <t>Silencer SL-163 (HRV-102) Requirements</t>
  </si>
  <si>
    <t>SI-0023</t>
  </si>
  <si>
    <t>COW-0060</t>
  </si>
  <si>
    <t>PCO-0052</t>
  </si>
  <si>
    <t>CE # 62</t>
  </si>
  <si>
    <t>CO-0033</t>
  </si>
  <si>
    <t>HRV-102 Silencer modified</t>
  </si>
  <si>
    <t>Revised Exit Lighting layout</t>
  </si>
  <si>
    <t>RFI-0154</t>
  </si>
  <si>
    <t>COW-0066</t>
  </si>
  <si>
    <t>PCO-0058</t>
  </si>
  <si>
    <t>CE # 92</t>
  </si>
  <si>
    <t>CO-0063</t>
  </si>
  <si>
    <t>Exit signs</t>
  </si>
  <si>
    <t>E-14</t>
  </si>
  <si>
    <t>RFI-0155</t>
  </si>
  <si>
    <t>Junction box and enclosure color identification</t>
  </si>
  <si>
    <t>RFI-0156</t>
  </si>
  <si>
    <t>Detention Frame Installation in CIP Walls</t>
  </si>
  <si>
    <t>RFI-0157</t>
  </si>
  <si>
    <t>conflicting zone steel form PK to L0 door</t>
  </si>
  <si>
    <t>RFI-0158</t>
  </si>
  <si>
    <t>Piling =tremie Concrete mix design</t>
  </si>
  <si>
    <t>RFI-0159</t>
  </si>
  <si>
    <t>Door 4405B swing</t>
  </si>
  <si>
    <t>RFI-0160</t>
  </si>
  <si>
    <t>pile diameter - upsize suggestion</t>
  </si>
  <si>
    <t>RFI-0161</t>
  </si>
  <si>
    <t>security card reader coordination</t>
  </si>
  <si>
    <t>Long Range Card Readers</t>
  </si>
  <si>
    <t>COW-0064</t>
  </si>
  <si>
    <t>PCO-0056</t>
  </si>
  <si>
    <t>CE # 91</t>
  </si>
  <si>
    <t>CO-0036</t>
  </si>
  <si>
    <t>CE # 413</t>
  </si>
  <si>
    <t>CO-0258</t>
  </si>
  <si>
    <t>RFI-0162</t>
  </si>
  <si>
    <t>Fire alarm annuciator level 0 location</t>
  </si>
  <si>
    <t>RFI-0163</t>
  </si>
  <si>
    <t>Level 0 security doors junction box location</t>
  </si>
  <si>
    <t>Retractable bollards</t>
  </si>
  <si>
    <t>RFI-0164</t>
  </si>
  <si>
    <t>FO-0009</t>
  </si>
  <si>
    <t>COW-0048</t>
  </si>
  <si>
    <t>PCO-0042</t>
  </si>
  <si>
    <t>Operable bollards encasement vs ramp extent</t>
  </si>
  <si>
    <t>SI-0044</t>
  </si>
  <si>
    <t>RFI-0165</t>
  </si>
  <si>
    <t>Secant wall tieback buck outs</t>
  </si>
  <si>
    <t>RFI-0166</t>
  </si>
  <si>
    <t>Prisoner Elevator Divider Door &amp; Frame</t>
  </si>
  <si>
    <t>RFI-0167</t>
  </si>
  <si>
    <t>Radius dimension for level 1 Curved Feature</t>
  </si>
  <si>
    <t>RFI-0168</t>
  </si>
  <si>
    <t>Realty Capture Needs</t>
  </si>
  <si>
    <t>LVL 0 SE Floor Slab</t>
  </si>
  <si>
    <t>RFI-0169</t>
  </si>
  <si>
    <t>FO-0011</t>
  </si>
  <si>
    <t>COW-0049</t>
  </si>
  <si>
    <t>PCO-0043</t>
  </si>
  <si>
    <t>CE # 70</t>
  </si>
  <si>
    <t>CO-0060</t>
  </si>
  <si>
    <t>Lvl 0 suspended Slab at GL8-9/A-B</t>
  </si>
  <si>
    <t>RFI-0170</t>
  </si>
  <si>
    <t>meeting rqd</t>
  </si>
  <si>
    <t>retractable bollard electrical and security</t>
  </si>
  <si>
    <t>1EX1B &amp; 1EX1D revise door hardware group</t>
  </si>
  <si>
    <t>COW-0046</t>
  </si>
  <si>
    <t>PCO-0040</t>
  </si>
  <si>
    <t>SI-0043</t>
  </si>
  <si>
    <t>L0 GL 8 Wall Duct Opening and coordination</t>
  </si>
  <si>
    <t>RFI-0171</t>
  </si>
  <si>
    <t>COW-0073</t>
  </si>
  <si>
    <t>PCO-0065</t>
  </si>
  <si>
    <t>CE#80</t>
  </si>
  <si>
    <t>CO-0052</t>
  </si>
  <si>
    <t>Level 0 OA Duct Size and concrete Opening</t>
  </si>
  <si>
    <t>RFI-0172</t>
  </si>
  <si>
    <t>Hollow metal door color</t>
  </si>
  <si>
    <t>RFI-0173</t>
  </si>
  <si>
    <t>Vinyl Coated Fabric Wall coverings- Digital Image. Rachel to send two images</t>
  </si>
  <si>
    <t>Ai to sent</t>
  </si>
  <si>
    <t>RFI-0174</t>
  </si>
  <si>
    <t>Embedded vs Post Applied Plates</t>
  </si>
  <si>
    <t>RFI-0175</t>
  </si>
  <si>
    <t>Vault Wall Waterproffing</t>
  </si>
  <si>
    <t>RFI-0176</t>
  </si>
  <si>
    <t>L1 -SOG3 rebar clarification</t>
  </si>
  <si>
    <t>RFI-0177</t>
  </si>
  <si>
    <t>Pour break Clarification</t>
  </si>
  <si>
    <t>RFI-0178</t>
  </si>
  <si>
    <t>L1-GB04 details</t>
  </si>
  <si>
    <t>RFI-0179</t>
  </si>
  <si>
    <t>Detail CB1- clarification</t>
  </si>
  <si>
    <t>RFI-0180</t>
  </si>
  <si>
    <t>Structural steel Joist Loadings/Point Loads</t>
  </si>
  <si>
    <t>RFI-0181</t>
  </si>
  <si>
    <t>Dimensions of level GL M/5-6 and y2/M</t>
  </si>
  <si>
    <t>Emergency generator room slab Reinforcement</t>
  </si>
  <si>
    <t>RFI-0182</t>
  </si>
  <si>
    <t>COW-0056</t>
  </si>
  <si>
    <t>PCO-0049</t>
  </si>
  <si>
    <t>Generator Platform</t>
  </si>
  <si>
    <t>SI-49</t>
  </si>
  <si>
    <t>RFI-0183</t>
  </si>
  <si>
    <t>Herring bone pattern on ramp</t>
  </si>
  <si>
    <t>RFI-0184</t>
  </si>
  <si>
    <t xml:space="preserve">Hollow metal door , frames and painted </t>
  </si>
  <si>
    <t>17 amy 21</t>
  </si>
  <si>
    <t>Ductwork in Corridor B511</t>
  </si>
  <si>
    <t>RFI-0185</t>
  </si>
  <si>
    <t>COW-0054</t>
  </si>
  <si>
    <t>PCO-0047</t>
  </si>
  <si>
    <t>CE # 77</t>
  </si>
  <si>
    <t>CO-0032</t>
  </si>
  <si>
    <t>Ductwork in corridor B511</t>
  </si>
  <si>
    <t xml:space="preserve">M-16 </t>
  </si>
  <si>
    <t>RFI-0186</t>
  </si>
  <si>
    <t>Elevator 7/8 Cab clearance</t>
  </si>
  <si>
    <t>RFI-0187</t>
  </si>
  <si>
    <t>Exterior door sill embed Galv</t>
  </si>
  <si>
    <t>RFI-0188</t>
  </si>
  <si>
    <t>Ductwork in corridor B610</t>
  </si>
  <si>
    <t>RFI-0189</t>
  </si>
  <si>
    <t>Exterior Foundation Rigid Insulation</t>
  </si>
  <si>
    <t>Prisoner Box Framing level 2</t>
  </si>
  <si>
    <t>RFI-0190</t>
  </si>
  <si>
    <t>COW-0082</t>
  </si>
  <si>
    <t>PCO-0074</t>
  </si>
  <si>
    <t>CE # 121</t>
  </si>
  <si>
    <t>CO-0065</t>
  </si>
  <si>
    <t>prisoner box steel Framing</t>
  </si>
  <si>
    <t>RFI-0191</t>
  </si>
  <si>
    <t>Millwork castor clarification</t>
  </si>
  <si>
    <t>Radio charging station key cabinet power</t>
  </si>
  <si>
    <t>COW-0053</t>
  </si>
  <si>
    <t>PCO-0046</t>
  </si>
  <si>
    <t>CE # 76</t>
  </si>
  <si>
    <t>CO-0035</t>
  </si>
  <si>
    <t>South -east Mechanical shaft Waterproofing</t>
  </si>
  <si>
    <t>FO-0010</t>
  </si>
  <si>
    <t>COW-0052R3</t>
  </si>
  <si>
    <t>PCO-0045 R4</t>
  </si>
  <si>
    <t>CE-0071</t>
  </si>
  <si>
    <t>CO-0062</t>
  </si>
  <si>
    <t>RFI-0192</t>
  </si>
  <si>
    <t>Step Detail &amp; Dimension for L2 Slope</t>
  </si>
  <si>
    <t>WV1 Core Material Change</t>
  </si>
  <si>
    <t>RFI-0193</t>
  </si>
  <si>
    <t>COW-0076</t>
  </si>
  <si>
    <t>PCO-0068</t>
  </si>
  <si>
    <t>CE # 145</t>
  </si>
  <si>
    <t>CO-0087</t>
  </si>
  <si>
    <t>Required WV1 Core Material Change</t>
  </si>
  <si>
    <t>RFI-0194</t>
  </si>
  <si>
    <t>L1 Dimension- door openings</t>
  </si>
  <si>
    <t>RFI-0195</t>
  </si>
  <si>
    <t>CE# 43</t>
  </si>
  <si>
    <t xml:space="preserve">Fire alarm Sequence of operation </t>
  </si>
  <si>
    <t>RFI-0196</t>
  </si>
  <si>
    <t>Ductwork &amp; RWL to 1005 structural Clash</t>
  </si>
  <si>
    <t>RFI-0197</t>
  </si>
  <si>
    <t>Sf-103 to 105 service platform</t>
  </si>
  <si>
    <t>Ramp Slab Support Clarification at grid 2, A-B</t>
  </si>
  <si>
    <t>RFI-0198</t>
  </si>
  <si>
    <t>COW-0061</t>
  </si>
  <si>
    <t>PCO-0054</t>
  </si>
  <si>
    <t>CE#97</t>
  </si>
  <si>
    <t>CO-0057</t>
  </si>
  <si>
    <t>Ramp slab support L0at GL2 between A&amp;B</t>
  </si>
  <si>
    <t>SDN-018</t>
  </si>
  <si>
    <t>RFI-0199</t>
  </si>
  <si>
    <t>MUA-101 Fire damper</t>
  </si>
  <si>
    <t>RFI-0200</t>
  </si>
  <si>
    <t>security workstations and monitors</t>
  </si>
  <si>
    <t>RFI-0201</t>
  </si>
  <si>
    <t>Stainless steel tables</t>
  </si>
  <si>
    <t>Transformer Lid elevation</t>
  </si>
  <si>
    <t>COW-0055</t>
  </si>
  <si>
    <t>PCO-0048</t>
  </si>
  <si>
    <t>Transformer vault lid elevation</t>
  </si>
  <si>
    <t>SI-0045</t>
  </si>
  <si>
    <t>Storm System Revisions</t>
  </si>
  <si>
    <t>FO-0017R3</t>
  </si>
  <si>
    <t>COW-0103</t>
  </si>
  <si>
    <t>PCO-0092R4</t>
  </si>
  <si>
    <t>CE 43</t>
  </si>
  <si>
    <t>CO-0189</t>
  </si>
  <si>
    <t>Storm water tank</t>
  </si>
  <si>
    <t>Interim Acceptance revised to Sept 22, 2023</t>
  </si>
  <si>
    <t>Concrete Wall Modification Grid N. Level O</t>
  </si>
  <si>
    <t>FO-0012</t>
  </si>
  <si>
    <t>COW-0062</t>
  </si>
  <si>
    <t>PCO-0053</t>
  </si>
  <si>
    <t>CE # 85</t>
  </si>
  <si>
    <t>CO-0081</t>
  </si>
  <si>
    <t>North Sally port Card Reader &amp; Custody Intercom</t>
  </si>
  <si>
    <t>COW-0057</t>
  </si>
  <si>
    <t>PCO-0050</t>
  </si>
  <si>
    <t>CE # 78</t>
  </si>
  <si>
    <t>CO-0040</t>
  </si>
  <si>
    <t>level 1 floor box</t>
  </si>
  <si>
    <t>SI-0027</t>
  </si>
  <si>
    <t>Printer carrel - to be not supplied by contractor</t>
  </si>
  <si>
    <t>SI-0028</t>
  </si>
  <si>
    <t>Terminal box reheat coil access</t>
  </si>
  <si>
    <t>SI-0029</t>
  </si>
  <si>
    <t>M-8</t>
  </si>
  <si>
    <t>Domestic Hot water Expansion Tank</t>
  </si>
  <si>
    <t>SI-0030</t>
  </si>
  <si>
    <t>M-9</t>
  </si>
  <si>
    <t>Exhaust Fan Sf-103 to Sf-105 locations</t>
  </si>
  <si>
    <t>SI-0031</t>
  </si>
  <si>
    <t>RFI-0202</t>
  </si>
  <si>
    <t>Pk-L0 Elevator 4 lintel- NCR</t>
  </si>
  <si>
    <t>RFI-0203</t>
  </si>
  <si>
    <t>Spacing of M&amp; E sleeves from the L1 Lift plan</t>
  </si>
  <si>
    <t>RFI-0204</t>
  </si>
  <si>
    <t>GL1 Chainlink knife plates</t>
  </si>
  <si>
    <t>RFI-0205</t>
  </si>
  <si>
    <t>L1 built-up ramp details</t>
  </si>
  <si>
    <t>RFI-0206</t>
  </si>
  <si>
    <t>modification to lvl 1 slab reinforcements under Generator</t>
  </si>
  <si>
    <t>RFI-0207</t>
  </si>
  <si>
    <t>communication detail symbol clarification</t>
  </si>
  <si>
    <t>SI 0049</t>
  </si>
  <si>
    <t>Communication room detail symbol clarification</t>
  </si>
  <si>
    <t>SI-0049</t>
  </si>
  <si>
    <t>RFI 207</t>
  </si>
  <si>
    <t>RFI-0208</t>
  </si>
  <si>
    <t>heat trace panel P501 parkade ramp</t>
  </si>
  <si>
    <t>RFI-0209</t>
  </si>
  <si>
    <t>Door frame in CMU detail with furring wall</t>
  </si>
  <si>
    <t>RFI-0210</t>
  </si>
  <si>
    <t>Lvl embeds clarification</t>
  </si>
  <si>
    <t>SDN-010 refers to Site Instruction SI-0019</t>
  </si>
  <si>
    <t>RFI-0211</t>
  </si>
  <si>
    <t>stairwell 3/4 canopy structure loads</t>
  </si>
  <si>
    <t>Walk-Off Mats in Vest 1001 &amp; 1003</t>
  </si>
  <si>
    <t>COW-0065</t>
  </si>
  <si>
    <t>PCO-0057</t>
  </si>
  <si>
    <t>CE # 96</t>
  </si>
  <si>
    <t>CO-0046</t>
  </si>
  <si>
    <t>RFI-0212</t>
  </si>
  <si>
    <t>RFI-0213</t>
  </si>
  <si>
    <t>radius of Li Arc at GL J/X4</t>
  </si>
  <si>
    <t>RFI-0214</t>
  </si>
  <si>
    <t>Round coulmn Mock up reglets</t>
  </si>
  <si>
    <t>RFI-0215</t>
  </si>
  <si>
    <t>Detention becnh and shelf</t>
  </si>
  <si>
    <t>RFI-0216</t>
  </si>
  <si>
    <t>reinforcemnt for transformer secondary duct bank</t>
  </si>
  <si>
    <t>RFI-0217</t>
  </si>
  <si>
    <t xml:space="preserve">differing dimensions for L1 St07 Wall on Gl 10 </t>
  </si>
  <si>
    <t>RFI-0218</t>
  </si>
  <si>
    <t>Room 5200 fixture type 301, 303</t>
  </si>
  <si>
    <t>RFI-0219</t>
  </si>
  <si>
    <t>dwg A0.03 top of the wall details</t>
  </si>
  <si>
    <t>RFI-0220</t>
  </si>
  <si>
    <t>firestop spec clarification</t>
  </si>
  <si>
    <t>RFI-0221</t>
  </si>
  <si>
    <t>Main entrance motorized blinds</t>
  </si>
  <si>
    <t>RFI-0222</t>
  </si>
  <si>
    <t>hardware conflict</t>
  </si>
  <si>
    <t>RFI-0223</t>
  </si>
  <si>
    <t>Conflciting elevations at Sally port</t>
  </si>
  <si>
    <t>Misc Door Hardware Revisions</t>
  </si>
  <si>
    <t>RFI-0224</t>
  </si>
  <si>
    <t>COW-0077</t>
  </si>
  <si>
    <t>PCO-0069 R</t>
  </si>
  <si>
    <t>CE#116</t>
  </si>
  <si>
    <t>CO-0069</t>
  </si>
  <si>
    <t>door hardware and wiring discrepanciesPK, LO, L1</t>
  </si>
  <si>
    <t>RFI-0225</t>
  </si>
  <si>
    <t>Discontinued millwork hardware</t>
  </si>
  <si>
    <t>Type 406 Luminaire</t>
  </si>
  <si>
    <t>SI-0032</t>
  </si>
  <si>
    <t>Transformer Vault Snow Melt Piping</t>
  </si>
  <si>
    <t>SI-0033</t>
  </si>
  <si>
    <t>Stairwell Relief Motorized Damper Blades</t>
  </si>
  <si>
    <t>SI-0034</t>
  </si>
  <si>
    <t>Magnetic Detection Loops</t>
  </si>
  <si>
    <t>SI-0035</t>
  </si>
  <si>
    <t>Light Type 5 in Stairwell BST5</t>
  </si>
  <si>
    <t>SI-0036</t>
  </si>
  <si>
    <t>Pit Radon Waterproofing Membrane Mock up</t>
  </si>
  <si>
    <t>COW-0067</t>
  </si>
  <si>
    <t>PCO-0059</t>
  </si>
  <si>
    <t>CE # 98</t>
  </si>
  <si>
    <t>CO-0037</t>
  </si>
  <si>
    <t>Level 0, 1, 2 Power revisions</t>
  </si>
  <si>
    <t>COW-0068</t>
  </si>
  <si>
    <t>PCO-0061</t>
  </si>
  <si>
    <t>CE#94</t>
  </si>
  <si>
    <t>CO-0047</t>
  </si>
  <si>
    <t>RFI-0226</t>
  </si>
  <si>
    <t>Sally port Grid J beam conduit Sleeeve</t>
  </si>
  <si>
    <t>RFI-0227</t>
  </si>
  <si>
    <t>Discontinued Millwork hardware</t>
  </si>
  <si>
    <t>RFI-0228</t>
  </si>
  <si>
    <t>Sally port Grid J Beam conduit sleeve</t>
  </si>
  <si>
    <t>RFI-0229</t>
  </si>
  <si>
    <t>lvl 3 -8 GL-y2/P Curtain Wall Street Support</t>
  </si>
  <si>
    <t>RFI-0230</t>
  </si>
  <si>
    <t>Room 1566 and 1567 floor slope and drain locaTION</t>
  </si>
  <si>
    <t>RFI-0231</t>
  </si>
  <si>
    <t>Lvl 1 A/V Clarification</t>
  </si>
  <si>
    <t>RFI-0232</t>
  </si>
  <si>
    <t>PCO -0048 vault Stair Landing Slab</t>
  </si>
  <si>
    <t>Elevator Breakers and New Electrical Panel</t>
  </si>
  <si>
    <t>RFI-0233</t>
  </si>
  <si>
    <t>COW-0084R</t>
  </si>
  <si>
    <t>PCO-0076R2</t>
  </si>
  <si>
    <t>CE 122</t>
  </si>
  <si>
    <t>CO-0140</t>
  </si>
  <si>
    <t>TR 2D and 0A racks and containment Coordination</t>
  </si>
  <si>
    <t>Fire Rated Impact Glazing</t>
  </si>
  <si>
    <t>RFI-0234</t>
  </si>
  <si>
    <t>COW-0091</t>
  </si>
  <si>
    <t>PCO-0082</t>
  </si>
  <si>
    <t>CE-127</t>
  </si>
  <si>
    <t>CO-0079</t>
  </si>
  <si>
    <t>Impact and fire rated glazing Assembly</t>
  </si>
  <si>
    <t>DB-P-6SA distribution Board</t>
  </si>
  <si>
    <t>Exterior Soffit Light Fixture</t>
  </si>
  <si>
    <t>COW-0071</t>
  </si>
  <si>
    <t>PCO-0062</t>
  </si>
  <si>
    <t>CE#108</t>
  </si>
  <si>
    <t>CO-0056</t>
  </si>
  <si>
    <t>Revised Conduit Routes Data Outlet Locations</t>
  </si>
  <si>
    <t>COW-0072</t>
  </si>
  <si>
    <t>PCO-0063</t>
  </si>
  <si>
    <t>CE # 0106</t>
  </si>
  <si>
    <t>CO-0075</t>
  </si>
  <si>
    <t>T01</t>
  </si>
  <si>
    <t xml:space="preserve">Courtroom 1100 Data Cabling Revisions for Av </t>
  </si>
  <si>
    <t>COW-0074</t>
  </si>
  <si>
    <t>PCO-0066</t>
  </si>
  <si>
    <t>CE # 0107</t>
  </si>
  <si>
    <t>CO-0053</t>
  </si>
  <si>
    <t>T02</t>
  </si>
  <si>
    <t>Holding Cell 6652/6654 North Wall Type</t>
  </si>
  <si>
    <t>COW-0075</t>
  </si>
  <si>
    <t>PCO-0067</t>
  </si>
  <si>
    <t>CE #105</t>
  </si>
  <si>
    <t>CO-0049</t>
  </si>
  <si>
    <t>RFI-0235</t>
  </si>
  <si>
    <t>2nd Flr, GL A, 4-5. Drawing Discrepancy</t>
  </si>
  <si>
    <t>RFI-0236</t>
  </si>
  <si>
    <t>Level 1 200mm SOG Transitions</t>
  </si>
  <si>
    <t>RFI-0237</t>
  </si>
  <si>
    <t>Concrete Block Security Wall Anchors</t>
  </si>
  <si>
    <t>SI-0037</t>
  </si>
  <si>
    <t>Emergency Generator Room Slab Reinforcement</t>
  </si>
  <si>
    <t xml:space="preserve">SI issued to replace PCO.  Zero cost change order.  </t>
  </si>
  <si>
    <t>SI-0038</t>
  </si>
  <si>
    <t>Door 5653A Swing</t>
  </si>
  <si>
    <t>SI-0039</t>
  </si>
  <si>
    <t>Level 2 Furniture Power Revisions</t>
  </si>
  <si>
    <t>SI-0040</t>
  </si>
  <si>
    <t>Level 1 A/V Revisions (RFI-0229)</t>
  </si>
  <si>
    <t>SI-0041</t>
  </si>
  <si>
    <t>Shoring Wall Tieback Patch Detail</t>
  </si>
  <si>
    <t>Strip footing pt2 (kichton and alberta dampproofing only)</t>
  </si>
  <si>
    <t>REF FO-0005 R1</t>
  </si>
  <si>
    <t>SEE COW-0016R</t>
  </si>
  <si>
    <t>CO-0044</t>
  </si>
  <si>
    <t xml:space="preserve">Partial costs - Kichton / Alberta Dampproofing.  Remainder under review.  </t>
  </si>
  <si>
    <t>Strip footing pt2 (CB agreeable Direct costs, cB concrete costs))</t>
  </si>
  <si>
    <t>SEE 2 COW-0016R</t>
  </si>
  <si>
    <t>CO-0080</t>
  </si>
  <si>
    <t>Emergency Generator Remote Radiator</t>
  </si>
  <si>
    <t>FO-0013</t>
  </si>
  <si>
    <t>COW-0081</t>
  </si>
  <si>
    <t>PCO-0073R1</t>
  </si>
  <si>
    <t>CE # 93</t>
  </si>
  <si>
    <t>CO-0070</t>
  </si>
  <si>
    <t>PCO to be revised with additional design information.  FO issued to CB/Supplier can proceed with ordering generator in order to avoid price increase on 31 july 2021</t>
  </si>
  <si>
    <t>LM BARR to Voltex DS Adhesion Test Mockup</t>
  </si>
  <si>
    <t>COW-0079</t>
  </si>
  <si>
    <t>PCO-0070</t>
  </si>
  <si>
    <t>CE#110</t>
  </si>
  <si>
    <t>CO-0048</t>
  </si>
  <si>
    <t>Concrete Wall Clarifications</t>
  </si>
  <si>
    <t>COW-0080</t>
  </si>
  <si>
    <t>PCO-0072</t>
  </si>
  <si>
    <t>CE # 0117</t>
  </si>
  <si>
    <t>CO-0054</t>
  </si>
  <si>
    <t>Concrete wall clarification SDN-021</t>
  </si>
  <si>
    <t>RFI-0238</t>
  </si>
  <si>
    <t>arch dwg discrepancy A2.04, Gl 9</t>
  </si>
  <si>
    <t>RFI-0239</t>
  </si>
  <si>
    <t>Stairwell Relief Damper opening</t>
  </si>
  <si>
    <t>Detention Modesty Panel &amp; Speaker ports trim</t>
  </si>
  <si>
    <t>RFI-0240</t>
  </si>
  <si>
    <t>REF COW-0120</t>
  </si>
  <si>
    <t>Detention Modesty panel Custom Mounting Bracket</t>
  </si>
  <si>
    <t>RFI-0241</t>
  </si>
  <si>
    <t>Feature stair details</t>
  </si>
  <si>
    <t xml:space="preserve">Additional Fire Alarm power for smoke Dampers and fire dampers </t>
  </si>
  <si>
    <t>RFI-0242</t>
  </si>
  <si>
    <t>FO-0020R3</t>
  </si>
  <si>
    <t>COW-0117R2</t>
  </si>
  <si>
    <t>PCO-0104 R3</t>
  </si>
  <si>
    <t>CE 123</t>
  </si>
  <si>
    <t>CO-0170</t>
  </si>
  <si>
    <t>Smoke damper and fire damper coordination with fire alarm</t>
  </si>
  <si>
    <t>issued under RFI-112 / Interim Acceptance extended to July 20, 2023</t>
  </si>
  <si>
    <t>RFI-0243</t>
  </si>
  <si>
    <t>09 54 27 Speciality Ceiling Specifications clarification</t>
  </si>
  <si>
    <t>RFI-0244</t>
  </si>
  <si>
    <t>Separation strip- shoring , striping reshore</t>
  </si>
  <si>
    <t>RFI-0245</t>
  </si>
  <si>
    <t>Prisoner box column base elevations</t>
  </si>
  <si>
    <t>RFI-0246</t>
  </si>
  <si>
    <t>Fire alarm panel and elevator phone lines clarification</t>
  </si>
  <si>
    <t>RFI-0247</t>
  </si>
  <si>
    <t>elevation top of round column</t>
  </si>
  <si>
    <t>RFI-0248</t>
  </si>
  <si>
    <t>PCO-0069 misc door hardware revisions</t>
  </si>
  <si>
    <t>RFI-0249</t>
  </si>
  <si>
    <t>Pew material Specification</t>
  </si>
  <si>
    <t>RFI-0250</t>
  </si>
  <si>
    <t>GLA-6/9 Piles Lined Up with Secant Wall</t>
  </si>
  <si>
    <t>RFI-0251</t>
  </si>
  <si>
    <t>Beam 2B03b-Stirrups</t>
  </si>
  <si>
    <t>RFI-0252</t>
  </si>
  <si>
    <t>SOG thickening Detail</t>
  </si>
  <si>
    <t>RFI-0253</t>
  </si>
  <si>
    <t>RFI-0254</t>
  </si>
  <si>
    <t>Sorensen Station =Dowel Horizontal Bars from GB to Existing Column</t>
  </si>
  <si>
    <t>RFI-0255</t>
  </si>
  <si>
    <t>Beam Side Taper on Typical Floors</t>
  </si>
  <si>
    <t>RFI-0256</t>
  </si>
  <si>
    <t>Penal Fixture Shear Wall Conflict</t>
  </si>
  <si>
    <t>Rectractable Bollard Drainage</t>
  </si>
  <si>
    <t>RFI-0257</t>
  </si>
  <si>
    <t>COW-0096</t>
  </si>
  <si>
    <t>PCO-0086</t>
  </si>
  <si>
    <t>CE # 124</t>
  </si>
  <si>
    <t>CO-0095</t>
  </si>
  <si>
    <t>Bollard Vault Drainage</t>
  </si>
  <si>
    <t>M-24</t>
  </si>
  <si>
    <t>RFI-0258</t>
  </si>
  <si>
    <t>Sorensen Station ductwork revisions. Running ductwork along the south side under the slab.</t>
  </si>
  <si>
    <t>RFI-0259</t>
  </si>
  <si>
    <t>Shaft Sheet &lt;etal Liner Clarification</t>
  </si>
  <si>
    <t>RFI-0260</t>
  </si>
  <si>
    <t>Rebar Missed on L1 Beam (GLG-1/2)</t>
  </si>
  <si>
    <t>RFI-0261</t>
  </si>
  <si>
    <t>CE # 130</t>
  </si>
  <si>
    <t>Level 2 Structure Steel Thermal Breaks</t>
  </si>
  <si>
    <t>RFI-0262</t>
  </si>
  <si>
    <t>L2 Beam Width Discrepancy (Lift plans vs Structural)</t>
  </si>
  <si>
    <t>RFI-0263</t>
  </si>
  <si>
    <t>Level2 Beam Dimensions- Clarification</t>
  </si>
  <si>
    <t>Level 1 stairwell Lighting</t>
  </si>
  <si>
    <t>COW-0085</t>
  </si>
  <si>
    <t>PCO-0077</t>
  </si>
  <si>
    <t>CE 136</t>
  </si>
  <si>
    <t>CO-0058</t>
  </si>
  <si>
    <t>Level stairwell light</t>
  </si>
  <si>
    <t>Pre-Action Zone Valves</t>
  </si>
  <si>
    <t>COW-0087</t>
  </si>
  <si>
    <t>PCO-0079</t>
  </si>
  <si>
    <t xml:space="preserve"> CE # 181</t>
  </si>
  <si>
    <t>CO-0059</t>
  </si>
  <si>
    <t>Sorensen Station Steel Plate Slab Infill</t>
  </si>
  <si>
    <t>COW-0089</t>
  </si>
  <si>
    <t>PCO-0080R1</t>
  </si>
  <si>
    <t>CE # 146</t>
  </si>
  <si>
    <t>CO-0090</t>
  </si>
  <si>
    <t>Sorensen station Steel plate slab infill</t>
  </si>
  <si>
    <t>SDN-025</t>
  </si>
  <si>
    <t>Beam Schedule Update</t>
  </si>
  <si>
    <t>COW-0090</t>
  </si>
  <si>
    <t>PCO-0081</t>
  </si>
  <si>
    <t>SDN-026</t>
  </si>
  <si>
    <t>Room 1522 size increase</t>
  </si>
  <si>
    <t>RFI-0264</t>
  </si>
  <si>
    <t>RFI-0265</t>
  </si>
  <si>
    <t>Cnt strip Request</t>
  </si>
  <si>
    <t>Sorensen CMU Infill FRR</t>
  </si>
  <si>
    <t>RFI-0266</t>
  </si>
  <si>
    <t>COW-0095</t>
  </si>
  <si>
    <t>PCO-0085</t>
  </si>
  <si>
    <t>CE-0138</t>
  </si>
  <si>
    <t>CO-0071</t>
  </si>
  <si>
    <t>Sorensenson station Fire Rating</t>
  </si>
  <si>
    <t>Electrical and data room heating</t>
  </si>
  <si>
    <t>COW-0092</t>
  </si>
  <si>
    <t>PCO-0083 R1</t>
  </si>
  <si>
    <t>CE-0134</t>
  </si>
  <si>
    <t>CO-0067</t>
  </si>
  <si>
    <t>RO Requirements for Sliding Detention Doors</t>
  </si>
  <si>
    <t>SI-0024</t>
  </si>
  <si>
    <t>L2 Grid A Base Plate Anchors</t>
  </si>
  <si>
    <t>SI-0025</t>
  </si>
  <si>
    <t xml:space="preserve"> Transformer Vault Lid Elevations</t>
  </si>
  <si>
    <t>Level 2 - Floor Box Locations</t>
  </si>
  <si>
    <t>SI-0046</t>
  </si>
  <si>
    <t>Revised Stairwell Light Location</t>
  </si>
  <si>
    <t>SI-0047</t>
  </si>
  <si>
    <t>Panel 8N-2NB and Breaker UPS-1P Revision</t>
  </si>
  <si>
    <t>SI-0048</t>
  </si>
  <si>
    <t>Fixture Type 114 revision</t>
  </si>
  <si>
    <t>COW-0093</t>
  </si>
  <si>
    <t>PCO-0084</t>
  </si>
  <si>
    <t>CE 126</t>
  </si>
  <si>
    <t>CO-0064</t>
  </si>
  <si>
    <t>Revise fixture 114 to coordinate with architectural details</t>
  </si>
  <si>
    <t>E-28</t>
  </si>
  <si>
    <t>RFI-0267</t>
  </si>
  <si>
    <t>Cobie file submission</t>
  </si>
  <si>
    <t>RFI-0268</t>
  </si>
  <si>
    <t>Facility Start up procedures -missing spec</t>
  </si>
  <si>
    <t>Si-0051</t>
  </si>
  <si>
    <t>Facility Start up procedures</t>
  </si>
  <si>
    <t>SI-0051</t>
  </si>
  <si>
    <t>RFI-0269</t>
  </si>
  <si>
    <t>DB-P-6SA, e-25 breakers Pco 76</t>
  </si>
  <si>
    <t>RFI-0270</t>
  </si>
  <si>
    <t>Centralized key switch</t>
  </si>
  <si>
    <t>Door 3001B Revised Hardware</t>
  </si>
  <si>
    <t>RFI-0271</t>
  </si>
  <si>
    <t>COW-0101</t>
  </si>
  <si>
    <t>PCO-0090</t>
  </si>
  <si>
    <t>CE-0140</t>
  </si>
  <si>
    <t>CO-0078</t>
  </si>
  <si>
    <t>Door hardware and wiring discrepancies L2-L9</t>
  </si>
  <si>
    <t>RFI-0272</t>
  </si>
  <si>
    <t>Lock Status Comm Inputs</t>
  </si>
  <si>
    <t>RFI-0273</t>
  </si>
  <si>
    <t>Interlocking theory of operation</t>
  </si>
  <si>
    <t>RFI-0274</t>
  </si>
  <si>
    <t>Rprisoner dock Card Reader Mounting</t>
  </si>
  <si>
    <t>B001A Entry Intercom</t>
  </si>
  <si>
    <t>RFI-0275</t>
  </si>
  <si>
    <t>COW-0108</t>
  </si>
  <si>
    <t>PCO-0096</t>
  </si>
  <si>
    <t>CE 149</t>
  </si>
  <si>
    <t>CO-0085</t>
  </si>
  <si>
    <t>Custody intercom</t>
  </si>
  <si>
    <t>Detention Lighting Control Zone</t>
  </si>
  <si>
    <t>RFI-0276</t>
  </si>
  <si>
    <t>COW-0125</t>
  </si>
  <si>
    <t>PCO-0112R1</t>
  </si>
  <si>
    <t>CE175</t>
  </si>
  <si>
    <t>CO-0119</t>
  </si>
  <si>
    <t>Lighting control Zone clarification</t>
  </si>
  <si>
    <t>E-33</t>
  </si>
  <si>
    <t>RFI-0277</t>
  </si>
  <si>
    <t>Elevator interlock Clarification</t>
  </si>
  <si>
    <t>RFI-0278</t>
  </si>
  <si>
    <t>Fixture 114 location lengths</t>
  </si>
  <si>
    <t>SE Air Intake Plenum &amp; Transformer Vault Building Envelope</t>
  </si>
  <si>
    <t>RFI-0279</t>
  </si>
  <si>
    <t>COW-0133</t>
  </si>
  <si>
    <t>PCO-0116R1</t>
  </si>
  <si>
    <t>CE 141</t>
  </si>
  <si>
    <t>CO-0142</t>
  </si>
  <si>
    <t>SE Outside Air Plenum Insulation</t>
  </si>
  <si>
    <t>m-25</t>
  </si>
  <si>
    <t>RFI-0280</t>
  </si>
  <si>
    <t>PL1 Alternates</t>
  </si>
  <si>
    <t>Si-0053</t>
  </si>
  <si>
    <t>Plastic Alminate PL-1- formica 5782</t>
  </si>
  <si>
    <t>SI-0053</t>
  </si>
  <si>
    <t>PL-1 Formica</t>
  </si>
  <si>
    <t>RFI-0281</t>
  </si>
  <si>
    <t>Curb reinforcement Details PCO 73 R!</t>
  </si>
  <si>
    <t>RFI-0282</t>
  </si>
  <si>
    <t>Fire rated detention glazing with speaker holes</t>
  </si>
  <si>
    <t>RFI-0283</t>
  </si>
  <si>
    <t>Room Number schedules</t>
  </si>
  <si>
    <t>RFI-0284</t>
  </si>
  <si>
    <t>Court in session light Clarification</t>
  </si>
  <si>
    <t>RFI-0285</t>
  </si>
  <si>
    <t>Clean Agent Room Voltage</t>
  </si>
  <si>
    <t>Level 2-3 wall return and steel column placement</t>
  </si>
  <si>
    <t>FO-0014</t>
  </si>
  <si>
    <t>COW-0097</t>
  </si>
  <si>
    <t>PCO-0087</t>
  </si>
  <si>
    <t>CE-0129</t>
  </si>
  <si>
    <t>CO-0072</t>
  </si>
  <si>
    <t>Level 2-3 wall return and steel column placement.</t>
  </si>
  <si>
    <t>SDN-0027</t>
  </si>
  <si>
    <t>Transformer Vault Envelope at GL 10</t>
  </si>
  <si>
    <t>RFI-0286</t>
  </si>
  <si>
    <t>COW-0100</t>
  </si>
  <si>
    <t>PCO-0089</t>
  </si>
  <si>
    <t>L1 sla@ exterior above transformer</t>
  </si>
  <si>
    <t>issued under COW-0115</t>
  </si>
  <si>
    <t>RFI-0287</t>
  </si>
  <si>
    <t>Slab on grade Subgrade Detail</t>
  </si>
  <si>
    <t>RFI-0288</t>
  </si>
  <si>
    <t>Acoustic Wall panel in room B603</t>
  </si>
  <si>
    <t>RFI-0289</t>
  </si>
  <si>
    <t>SAP-5 Air Space</t>
  </si>
  <si>
    <t>RFI-0290</t>
  </si>
  <si>
    <t>DAS antenna Quantities</t>
  </si>
  <si>
    <t>RFI-0291</t>
  </si>
  <si>
    <t>REF COW-0133</t>
  </si>
  <si>
    <t>Transformer Vault Interior A?V barrier</t>
  </si>
  <si>
    <t>RFI-0292</t>
  </si>
  <si>
    <t>Ductwork securit Bars</t>
  </si>
  <si>
    <t>RFI-0293</t>
  </si>
  <si>
    <t>design change for telecommunication Grounding and Bonding</t>
  </si>
  <si>
    <t>RFI-0294</t>
  </si>
  <si>
    <t>NCR 345 - missed L2-3 Button head terminators</t>
  </si>
  <si>
    <t>RFI-0295</t>
  </si>
  <si>
    <t>Room 2533 Access floor height</t>
  </si>
  <si>
    <t>Front Entrance Steel Beam Revision</t>
  </si>
  <si>
    <t>COW-0102</t>
  </si>
  <si>
    <t>PCO-0091</t>
  </si>
  <si>
    <t>CE#144</t>
  </si>
  <si>
    <t>RFI-0296</t>
  </si>
  <si>
    <t>NCR 361-L1 GL J remediation</t>
  </si>
  <si>
    <t>RFI-0297</t>
  </si>
  <si>
    <t>SOG-Sog transition</t>
  </si>
  <si>
    <t>RFI-0298</t>
  </si>
  <si>
    <t>PCO 92 stormwater storage tank question</t>
  </si>
  <si>
    <t>Building Presurization Monitoring</t>
  </si>
  <si>
    <t>RFI-0299</t>
  </si>
  <si>
    <t>COW-0114</t>
  </si>
  <si>
    <t>PCO-0102</t>
  </si>
  <si>
    <t>CE # 156</t>
  </si>
  <si>
    <t>CO-0098</t>
  </si>
  <si>
    <t>Building pressurization options, SOAPs</t>
  </si>
  <si>
    <t>M-27</t>
  </si>
  <si>
    <t>RFI-0300</t>
  </si>
  <si>
    <t>Smoke Exhaust fans SF 101 to 108 Damper Clarification</t>
  </si>
  <si>
    <t>RFI-0301</t>
  </si>
  <si>
    <t>Floor pressurization Dampers Clarification</t>
  </si>
  <si>
    <t>RFI-0302</t>
  </si>
  <si>
    <t>Mail Room 1558 Damper Clarification</t>
  </si>
  <si>
    <t>Exhaust Air isolation Dampers</t>
  </si>
  <si>
    <t>RFI-0303</t>
  </si>
  <si>
    <t>COW-0109</t>
  </si>
  <si>
    <t>PCO-0097</t>
  </si>
  <si>
    <t>CE 151</t>
  </si>
  <si>
    <t>CO-0084</t>
  </si>
  <si>
    <t>HRV 103 and HRV 104 Damper Clarification</t>
  </si>
  <si>
    <t>RFI-0304</t>
  </si>
  <si>
    <t>Apu Relief Damper Clarification</t>
  </si>
  <si>
    <t>Sorensen Station . AC 108 an drelocated EF1 &amp; EF2</t>
  </si>
  <si>
    <t>RFI-0305</t>
  </si>
  <si>
    <t>COW-0111</t>
  </si>
  <si>
    <t>PCO-0099</t>
  </si>
  <si>
    <t>CE # 154</t>
  </si>
  <si>
    <t>CO-0082</t>
  </si>
  <si>
    <t>Sorensen Station EF-1 amd EF -2 relocation electrical</t>
  </si>
  <si>
    <t>E-20</t>
  </si>
  <si>
    <t>Design fees related to Structural remediation and structural revisions</t>
  </si>
  <si>
    <t>COW-0104</t>
  </si>
  <si>
    <t>PCO-0093</t>
  </si>
  <si>
    <t>CE # 142</t>
  </si>
  <si>
    <t>CO-0074</t>
  </si>
  <si>
    <t>Room 1569 Sound Masking Revisions</t>
  </si>
  <si>
    <t>COW-0105</t>
  </si>
  <si>
    <t>PCO-0094</t>
  </si>
  <si>
    <t>CE-0147</t>
  </si>
  <si>
    <t>CO-0076</t>
  </si>
  <si>
    <t>Room 1569 sound masking</t>
  </si>
  <si>
    <t>Level 8 EMCS RCU Cabinet Relocation</t>
  </si>
  <si>
    <t>SI-0050</t>
  </si>
  <si>
    <t>M-13</t>
  </si>
  <si>
    <t>Level 3-8 Floor box locations</t>
  </si>
  <si>
    <t>SI-0052</t>
  </si>
  <si>
    <t>ASK-008 to ASK-013</t>
  </si>
  <si>
    <t>Single line riser Diagram Panel &amp; UPS Revision</t>
  </si>
  <si>
    <t>SI-0054</t>
  </si>
  <si>
    <t>E-07</t>
  </si>
  <si>
    <t>Mechanical Units Revision</t>
  </si>
  <si>
    <t>SI-0055</t>
  </si>
  <si>
    <t>E-08</t>
  </si>
  <si>
    <t>Lobby Lighting Revision Type</t>
  </si>
  <si>
    <t>SI-0056</t>
  </si>
  <si>
    <t>E-09</t>
  </si>
  <si>
    <t>Size G fan Powered Terminal Box Voltage</t>
  </si>
  <si>
    <t>SI-0057</t>
  </si>
  <si>
    <t>M-14</t>
  </si>
  <si>
    <t>RFI-0306</t>
  </si>
  <si>
    <t>RFI-0307</t>
  </si>
  <si>
    <t>RFI-0308</t>
  </si>
  <si>
    <t>RFI-0309</t>
  </si>
  <si>
    <t>Server room Access Flooring</t>
  </si>
  <si>
    <t>RFI-0310</t>
  </si>
  <si>
    <t>COW-0123</t>
  </si>
  <si>
    <t>PCO-0110</t>
  </si>
  <si>
    <t>CE 172</t>
  </si>
  <si>
    <t>CO-0102</t>
  </si>
  <si>
    <t>RFI-0311</t>
  </si>
  <si>
    <t>RFI-0312</t>
  </si>
  <si>
    <t>RFI-0313</t>
  </si>
  <si>
    <t>Card Reader Location Coordination</t>
  </si>
  <si>
    <t>RFI-0314</t>
  </si>
  <si>
    <t>COW-0116</t>
  </si>
  <si>
    <t>PCO-0103</t>
  </si>
  <si>
    <t>Si-0067</t>
  </si>
  <si>
    <t>Data Cabling Clarifications</t>
  </si>
  <si>
    <t>RFI-0315</t>
  </si>
  <si>
    <t>COW-0118</t>
  </si>
  <si>
    <t>PCO-0105</t>
  </si>
  <si>
    <t>CE # 167</t>
  </si>
  <si>
    <t>CO-0093</t>
  </si>
  <si>
    <t>RFI-0316</t>
  </si>
  <si>
    <t>TR-0A (B602) &amp; TR-2D (2533) Racks and Containment</t>
  </si>
  <si>
    <t>COW-0107</t>
  </si>
  <si>
    <t>PCO-0095</t>
  </si>
  <si>
    <t>CE # 113</t>
  </si>
  <si>
    <t>CO-0091</t>
  </si>
  <si>
    <t>Floor Box Revisions and Data cabling for AV</t>
  </si>
  <si>
    <t>COW-0099</t>
  </si>
  <si>
    <t>PCO-0088</t>
  </si>
  <si>
    <t>CE # 125</t>
  </si>
  <si>
    <t>CO-0068</t>
  </si>
  <si>
    <t>RFI-0317</t>
  </si>
  <si>
    <t>L1 GL J remediation</t>
  </si>
  <si>
    <t>Consultant design fees</t>
  </si>
  <si>
    <t>RFI-0318</t>
  </si>
  <si>
    <t>REF COW-0129</t>
  </si>
  <si>
    <t>PCO-0118</t>
  </si>
  <si>
    <t>CE 159</t>
  </si>
  <si>
    <t xml:space="preserve">Missed CP-6 Embed on Elevation 1/2/3 Core </t>
  </si>
  <si>
    <t>NCR 392 NCR 380</t>
  </si>
  <si>
    <t>Missed CP-6 Embed on Elevation 1_2_3 Core</t>
  </si>
  <si>
    <t>SI-0079</t>
  </si>
  <si>
    <t>RFI-0319</t>
  </si>
  <si>
    <t>Flashing Material and Color</t>
  </si>
  <si>
    <t>RFI-0320</t>
  </si>
  <si>
    <t>COW-0129</t>
  </si>
  <si>
    <t>CE-158</t>
  </si>
  <si>
    <t>CO-0154</t>
  </si>
  <si>
    <t>Cored PK Wall Remediation</t>
  </si>
  <si>
    <t>Captured  RFI 318</t>
  </si>
  <si>
    <t>RFI-0321</t>
  </si>
  <si>
    <t>L2 Honey Comb Remediation</t>
  </si>
  <si>
    <t>RFI-0322</t>
  </si>
  <si>
    <t>Tension Lap Splice Issue- GL L 3B17</t>
  </si>
  <si>
    <t>RFI-0323</t>
  </si>
  <si>
    <t>Transfer Fan Control Question</t>
  </si>
  <si>
    <t>RFI-0324</t>
  </si>
  <si>
    <t>HRV 103 &amp; 104 Return Air Co2 Suggestion</t>
  </si>
  <si>
    <t>HRV 103 &amp; 104 Demand Control Sequence</t>
  </si>
  <si>
    <t>SI-0059</t>
  </si>
  <si>
    <t>M-15</t>
  </si>
  <si>
    <t>RFI-0326</t>
  </si>
  <si>
    <t>Schocj Thermal Break Question</t>
  </si>
  <si>
    <t>RFI-0327</t>
  </si>
  <si>
    <t>T315 Level 3 Terminal Unit Clarification</t>
  </si>
  <si>
    <t>Level 1 &amp; 3 Air terminal Unit sensors</t>
  </si>
  <si>
    <t>SI-0060</t>
  </si>
  <si>
    <t>Site Grading Revisions</t>
  </si>
  <si>
    <t>SI-0042</t>
  </si>
  <si>
    <t>Wall Zone Tie Clariifcation</t>
  </si>
  <si>
    <t>SI-0058</t>
  </si>
  <si>
    <t>SDn-030</t>
  </si>
  <si>
    <t>RFI-0328</t>
  </si>
  <si>
    <t>Low Compressive Strength Results (test 182-35 Mpa)</t>
  </si>
  <si>
    <t>Long Range Card Reader Pedestal Location and Additional Bollards</t>
  </si>
  <si>
    <t>RFI-0329</t>
  </si>
  <si>
    <t>COW-0137</t>
  </si>
  <si>
    <t>PCO-0124</t>
  </si>
  <si>
    <t>CE-186</t>
  </si>
  <si>
    <t>CO-0117</t>
  </si>
  <si>
    <t>Card reader Stand/Loop Detector and Room B587 Lighting  clariifcation</t>
  </si>
  <si>
    <t>RFI-0330</t>
  </si>
  <si>
    <t>VF101 &amp; VF102 Low Temperature Switch</t>
  </si>
  <si>
    <t>RFI-0331</t>
  </si>
  <si>
    <t>Filliing Tie holes- Concrete Walls</t>
  </si>
  <si>
    <t>RFI-0332</t>
  </si>
  <si>
    <t>Ventillation Overides Switch Locations</t>
  </si>
  <si>
    <t>RFI-0333</t>
  </si>
  <si>
    <t>T117 &amp; 118 Thermostats</t>
  </si>
  <si>
    <t>RFI-0334</t>
  </si>
  <si>
    <t>NCR 378 - Corbel Detail Missed</t>
  </si>
  <si>
    <t>RFI-0335</t>
  </si>
  <si>
    <t>B559 Washroom Accessory Fixture Conflict</t>
  </si>
  <si>
    <t>RFI-0336</t>
  </si>
  <si>
    <t>Fall Arrest/ Windows Washing Anchors on Podium Roof</t>
  </si>
  <si>
    <t>RFI-0337</t>
  </si>
  <si>
    <t>L1GLR- 5/7 Beam Depth</t>
  </si>
  <si>
    <t>Consultant design fees- slab reinf for outrigger loading</t>
  </si>
  <si>
    <t>COW-0112</t>
  </si>
  <si>
    <t>PCO-0100</t>
  </si>
  <si>
    <t>CE 160</t>
  </si>
  <si>
    <t>CO-0155</t>
  </si>
  <si>
    <t>HRV 103 &amp; HRV 104 Dampers</t>
  </si>
  <si>
    <t>COW-0113</t>
  </si>
  <si>
    <t>PCO-0101</t>
  </si>
  <si>
    <t>RFI-0338</t>
  </si>
  <si>
    <t>OWSJ Spacing</t>
  </si>
  <si>
    <t>Lightning Protection Penetrations</t>
  </si>
  <si>
    <t>RFI-0339</t>
  </si>
  <si>
    <t>COW-0150R1</t>
  </si>
  <si>
    <t>PCO-0135</t>
  </si>
  <si>
    <t>CE-170</t>
  </si>
  <si>
    <t>CO-0148</t>
  </si>
  <si>
    <t>Lightning protection penetration at roof level</t>
  </si>
  <si>
    <t>ASK-019</t>
  </si>
  <si>
    <t>RFI-0340</t>
  </si>
  <si>
    <t xml:space="preserve">LvL 2 GL Y2/D Concrete Column Location </t>
  </si>
  <si>
    <t>Podium Column and steel location Clarifications</t>
  </si>
  <si>
    <t>SI-0066</t>
  </si>
  <si>
    <t>RFI-0341</t>
  </si>
  <si>
    <t>L1D SSOG Separation Strip</t>
  </si>
  <si>
    <t>Level 6 Concrete Wall type Modification</t>
  </si>
  <si>
    <t>RFI-0342</t>
  </si>
  <si>
    <t>COW-0138</t>
  </si>
  <si>
    <t>PCO-0125 R1</t>
  </si>
  <si>
    <t>CE 165</t>
  </si>
  <si>
    <t>CO-0131</t>
  </si>
  <si>
    <t>L6 Concrete Wall Discrepancy</t>
  </si>
  <si>
    <t>RFI-0343</t>
  </si>
  <si>
    <t>D2101A door vs hardware discrepancy</t>
  </si>
  <si>
    <t>Security Screening Ceiling &amp; Window Revisions</t>
  </si>
  <si>
    <t>COW-0115</t>
  </si>
  <si>
    <t>PCO-0091R1</t>
  </si>
  <si>
    <t>CE # 157</t>
  </si>
  <si>
    <t>CO-0099</t>
  </si>
  <si>
    <t>Securtiy Screening Ceiling &amp; Window Revisions</t>
  </si>
  <si>
    <t>RFI-0344</t>
  </si>
  <si>
    <t>COW-0120</t>
  </si>
  <si>
    <t>PCO-0107</t>
  </si>
  <si>
    <t>CE  169</t>
  </si>
  <si>
    <t>CO-0089</t>
  </si>
  <si>
    <t>Speaker Port</t>
  </si>
  <si>
    <t>Manual Window Roller Shades</t>
  </si>
  <si>
    <t>RFI-0345</t>
  </si>
  <si>
    <t>COW-0134</t>
  </si>
  <si>
    <t>PCO-0122</t>
  </si>
  <si>
    <t>CE 184</t>
  </si>
  <si>
    <t>CO-0103</t>
  </si>
  <si>
    <t>Corded Window</t>
  </si>
  <si>
    <t>RFI-0346</t>
  </si>
  <si>
    <t>Level 9 Sprinkler piping Support Request</t>
  </si>
  <si>
    <t>RFI-0347</t>
  </si>
  <si>
    <t>Heat Trace Alarm Monitoring Clariifcation</t>
  </si>
  <si>
    <t>Heat Trace Monitoring Alarm</t>
  </si>
  <si>
    <t>SI-0062</t>
  </si>
  <si>
    <t>RFI-0348</t>
  </si>
  <si>
    <t>Unit heater UH107 Control  Valve Clarification</t>
  </si>
  <si>
    <t>RFI-0349</t>
  </si>
  <si>
    <t>Radon membrane wall/ Gradebeam Tie-in detail</t>
  </si>
  <si>
    <t>RFI-0350</t>
  </si>
  <si>
    <t>L1 Podium Entrance anchor bolts vs Grade beams</t>
  </si>
  <si>
    <t>Penthouse Plug Revisions- Emergency power</t>
  </si>
  <si>
    <t>RFI-0351</t>
  </si>
  <si>
    <t>COW-0119</t>
  </si>
  <si>
    <t>PCO-0106</t>
  </si>
  <si>
    <t>CE 168</t>
  </si>
  <si>
    <t>CO-0086</t>
  </si>
  <si>
    <t>Operators work station Location Confirmation</t>
  </si>
  <si>
    <t>Unit Masonry Reinforcing Steel Finish</t>
  </si>
  <si>
    <t>RFI-0352</t>
  </si>
  <si>
    <t>COW-0121</t>
  </si>
  <si>
    <t>PCO-0108</t>
  </si>
  <si>
    <t>CE 171</t>
  </si>
  <si>
    <t>CO-0207</t>
  </si>
  <si>
    <t>Unit masonry- Galvanised rebar</t>
  </si>
  <si>
    <t>RFI-0353</t>
  </si>
  <si>
    <t>Column location for Y3, X2 and Y3, X5</t>
  </si>
  <si>
    <t>RFI-0354</t>
  </si>
  <si>
    <t>Keying and control system</t>
  </si>
  <si>
    <t>RFI-0355</t>
  </si>
  <si>
    <t>Void form for L1 SSOG</t>
  </si>
  <si>
    <t>RFI-0356</t>
  </si>
  <si>
    <t>Crush Gravel for L1 SSOG &amp; SOG</t>
  </si>
  <si>
    <t>RFI-0357</t>
  </si>
  <si>
    <t>Prisoner Operatiion of elevator Clariifcation</t>
  </si>
  <si>
    <t>COW-0088</t>
  </si>
  <si>
    <t>PCA-005/4</t>
  </si>
  <si>
    <t>CE # 137</t>
  </si>
  <si>
    <t>CO-0073</t>
  </si>
  <si>
    <t>COW-0098</t>
  </si>
  <si>
    <t>PCA-006-B</t>
  </si>
  <si>
    <t>CE # 114</t>
  </si>
  <si>
    <t>CO-0077</t>
  </si>
  <si>
    <t>RFI-0358</t>
  </si>
  <si>
    <t>Large mobile shelving clarification</t>
  </si>
  <si>
    <t>RFI-0359</t>
  </si>
  <si>
    <t>Brace details to be verified</t>
  </si>
  <si>
    <t>RFI-0360</t>
  </si>
  <si>
    <t>Review overhang for snow loads</t>
  </si>
  <si>
    <t>RFI-0361</t>
  </si>
  <si>
    <t>Skewed Thermal Breaks</t>
  </si>
  <si>
    <t>RFI-0362</t>
  </si>
  <si>
    <t>Insulation Fasteners</t>
  </si>
  <si>
    <t>RFI-0363</t>
  </si>
  <si>
    <t>Window Washing equipment Contact</t>
  </si>
  <si>
    <t>RFI-0364</t>
  </si>
  <si>
    <t>Retractable bollard Master/ Slave Control Panels</t>
  </si>
  <si>
    <t>Retractable Bollard Master slave control Panel Locations</t>
  </si>
  <si>
    <t>SI-0077</t>
  </si>
  <si>
    <t>RFI-0365</t>
  </si>
  <si>
    <t>Deal Tray Shop Drawing Review</t>
  </si>
  <si>
    <t>RFI-0366</t>
  </si>
  <si>
    <t>Instruction PCO-0110</t>
  </si>
  <si>
    <t>RFI-0367</t>
  </si>
  <si>
    <t>Angle Dimension for L1 Angled Turnstiles</t>
  </si>
  <si>
    <t>RFI-0368</t>
  </si>
  <si>
    <t>Gridline Dimension arch &amp; Landscape</t>
  </si>
  <si>
    <t>RFI-0369</t>
  </si>
  <si>
    <t>Thermal Break Sit on top of ColumnGL Y3</t>
  </si>
  <si>
    <t>Fire Rated Duct Insulation</t>
  </si>
  <si>
    <t>RFI-0370</t>
  </si>
  <si>
    <t>COW-0131</t>
  </si>
  <si>
    <t>PCO-0120</t>
  </si>
  <si>
    <t>CE  182</t>
  </si>
  <si>
    <t>CO-0101</t>
  </si>
  <si>
    <t>Fire Rated Duct Insulation ClarificationL2- L5 Zone Z29/Z28 Width Revision</t>
  </si>
  <si>
    <t>M-29</t>
  </si>
  <si>
    <t>RFI-0371</t>
  </si>
  <si>
    <t>PCO-104 Damper Clarification</t>
  </si>
  <si>
    <t>RFI-0372</t>
  </si>
  <si>
    <t>SEE COW-0117R2</t>
  </si>
  <si>
    <t>BP6 at GLX5/Y2</t>
  </si>
  <si>
    <t>RFI-0373</t>
  </si>
  <si>
    <t>Fixture 102 Cove detail</t>
  </si>
  <si>
    <t>RFI-0374</t>
  </si>
  <si>
    <t>Masonry Security Wall Reinforcing</t>
  </si>
  <si>
    <t>Stationary Scissor Lift</t>
  </si>
  <si>
    <t>RFI-0375</t>
  </si>
  <si>
    <t>COW-0130</t>
  </si>
  <si>
    <t>PCO-0117</t>
  </si>
  <si>
    <t>CE # 0179</t>
  </si>
  <si>
    <t>CO-0097</t>
  </si>
  <si>
    <t>Updated podium Grade Beam &amp; Steel Locations</t>
  </si>
  <si>
    <t>FO-0015</t>
  </si>
  <si>
    <t>COW-0128</t>
  </si>
  <si>
    <t>PCO-0115</t>
  </si>
  <si>
    <t>CE 177</t>
  </si>
  <si>
    <t>CO-0104</t>
  </si>
  <si>
    <t>SDN-32</t>
  </si>
  <si>
    <t>Door 430C Revisions</t>
  </si>
  <si>
    <t>COW-0127</t>
  </si>
  <si>
    <t>PCO-0114</t>
  </si>
  <si>
    <t>CE# 176</t>
  </si>
  <si>
    <t>CO-0092</t>
  </si>
  <si>
    <t>Exit Light Revisions</t>
  </si>
  <si>
    <t>COW-0126</t>
  </si>
  <si>
    <t>PCO-0113</t>
  </si>
  <si>
    <t>CE # 0174</t>
  </si>
  <si>
    <t>CO-0096</t>
  </si>
  <si>
    <t>Emergency Overflow Roof Drains</t>
  </si>
  <si>
    <t>COW-0124</t>
  </si>
  <si>
    <t>PCO-0111</t>
  </si>
  <si>
    <t>CE-173</t>
  </si>
  <si>
    <t>CO-0122</t>
  </si>
  <si>
    <t>M-28</t>
  </si>
  <si>
    <t>PCO-0111B</t>
  </si>
  <si>
    <t>CE 173</t>
  </si>
  <si>
    <t>CO-0195</t>
  </si>
  <si>
    <t>Type 105, 106 &amp; 304 Luminaire Revisions</t>
  </si>
  <si>
    <t>FO-0016</t>
  </si>
  <si>
    <t>COW-0122</t>
  </si>
  <si>
    <t>PCO-0109</t>
  </si>
  <si>
    <t>CE 192</t>
  </si>
  <si>
    <t>CO-0113</t>
  </si>
  <si>
    <t>RFI-0376</t>
  </si>
  <si>
    <t>SEE 2 COW-0117R2</t>
  </si>
  <si>
    <t>AC-105-122 fire alarm Shutdown</t>
  </si>
  <si>
    <t>RFI-0377</t>
  </si>
  <si>
    <t>Beam 4B02 Formed Low</t>
  </si>
  <si>
    <t>B535 Vestibule Revision</t>
  </si>
  <si>
    <t>RFI-0378</t>
  </si>
  <si>
    <t>COW-0132</t>
  </si>
  <si>
    <t>PCO-0119</t>
  </si>
  <si>
    <t>CE # 0181</t>
  </si>
  <si>
    <t>CO-0100</t>
  </si>
  <si>
    <t>B535 Vestibule and ductwork Conflict</t>
  </si>
  <si>
    <t>RFI-0379</t>
  </si>
  <si>
    <t>SEE COW-0131</t>
  </si>
  <si>
    <t>Fire rated duct Insulation</t>
  </si>
  <si>
    <t>RFI-0380</t>
  </si>
  <si>
    <t>Fire Rated Duct Connection at Units</t>
  </si>
  <si>
    <t>RFI-0381</t>
  </si>
  <si>
    <t>COW-0147</t>
  </si>
  <si>
    <t>PCO-0132</t>
  </si>
  <si>
    <t>CE 190</t>
  </si>
  <si>
    <t>CO-0112</t>
  </si>
  <si>
    <t>RFI-0382</t>
  </si>
  <si>
    <t>RFI-0383</t>
  </si>
  <si>
    <t>Mechanical Penthouse Framing Clarification</t>
  </si>
  <si>
    <t>SI-0078</t>
  </si>
  <si>
    <t>CE 0201</t>
  </si>
  <si>
    <t>CO-0111</t>
  </si>
  <si>
    <t>Wood Veener Panelling Thickness</t>
  </si>
  <si>
    <t>RFI-0384</t>
  </si>
  <si>
    <t>COW-0135</t>
  </si>
  <si>
    <t>PCO-0123</t>
  </si>
  <si>
    <t>Wood Veneer</t>
  </si>
  <si>
    <t>RFI-0385</t>
  </si>
  <si>
    <t>RFI-0386</t>
  </si>
  <si>
    <t xml:space="preserve">Lateral Support at top of masonry walls </t>
  </si>
  <si>
    <t>SI-0074</t>
  </si>
  <si>
    <t>CE 187</t>
  </si>
  <si>
    <t>CO-0105</t>
  </si>
  <si>
    <t>RFI-0387</t>
  </si>
  <si>
    <t>Secure Area Domestic Water Shut-off Valve Switches</t>
  </si>
  <si>
    <t>RFI-0388</t>
  </si>
  <si>
    <t>COW-0144</t>
  </si>
  <si>
    <t>PCO-0128</t>
  </si>
  <si>
    <t>CE 191</t>
  </si>
  <si>
    <t>CO-0107</t>
  </si>
  <si>
    <t>Secure area Domestic water shut off valve</t>
  </si>
  <si>
    <t>M-31, E-40</t>
  </si>
  <si>
    <t>RFI-0389</t>
  </si>
  <si>
    <t>RFI-0390</t>
  </si>
  <si>
    <t>Elevator Comm Cable Revisions</t>
  </si>
  <si>
    <t>RFI-0391</t>
  </si>
  <si>
    <t>COW-0182</t>
  </si>
  <si>
    <t>PCO-0165R2</t>
  </si>
  <si>
    <t>CE 247</t>
  </si>
  <si>
    <t>CO-0198</t>
  </si>
  <si>
    <t xml:space="preserve">Room 1613 Ceiling Revision </t>
  </si>
  <si>
    <t>COW-0143</t>
  </si>
  <si>
    <t>PCO-0129R1</t>
  </si>
  <si>
    <t>CE 193</t>
  </si>
  <si>
    <t>CO-0108</t>
  </si>
  <si>
    <t>A2.36 R6</t>
  </si>
  <si>
    <t>RFI-0392</t>
  </si>
  <si>
    <t>RFI-0393</t>
  </si>
  <si>
    <t>Roofing Insulation Modification</t>
  </si>
  <si>
    <t>SI-0075</t>
  </si>
  <si>
    <t>RFI-0394</t>
  </si>
  <si>
    <t>RFI-0395</t>
  </si>
  <si>
    <t>RFI-0396</t>
  </si>
  <si>
    <t>Fixture Type 113, Room B587 Light Fixture</t>
  </si>
  <si>
    <t>COW-0136R1</t>
  </si>
  <si>
    <t>PCO-0121R2</t>
  </si>
  <si>
    <t>CE 183</t>
  </si>
  <si>
    <t>CO-0110</t>
  </si>
  <si>
    <t>Level 1 &amp; 2 Drywall Revisions</t>
  </si>
  <si>
    <t>COW-0140</t>
  </si>
  <si>
    <t>PCO-0126</t>
  </si>
  <si>
    <t>CE 133</t>
  </si>
  <si>
    <t>CO-0106</t>
  </si>
  <si>
    <t>Level 1&amp;2 Drywall</t>
  </si>
  <si>
    <t>RFI-0397</t>
  </si>
  <si>
    <t>Level 0 EMCS Cabinet Locations</t>
  </si>
  <si>
    <t>RFI-0398</t>
  </si>
  <si>
    <t>Interior Finishes- PT4 &amp; PT14</t>
  </si>
  <si>
    <t>RFI-0399</t>
  </si>
  <si>
    <t>Urethane Sealer on Resinous Wall Coatings</t>
  </si>
  <si>
    <t>RFI-0400</t>
  </si>
  <si>
    <t>PCN -0092 R1 Precast bench details Clarifications</t>
  </si>
  <si>
    <t>RFI-0401</t>
  </si>
  <si>
    <t>RDJC Das System 27 53 20 .02 Cellular DAS</t>
  </si>
  <si>
    <t>RFI-0402</t>
  </si>
  <si>
    <t>Del Level 9 Separation strip</t>
  </si>
  <si>
    <t>Strobe warning light at Sally port</t>
  </si>
  <si>
    <t>COW-0141</t>
  </si>
  <si>
    <t>PCO-0127R1</t>
  </si>
  <si>
    <t>CE-188</t>
  </si>
  <si>
    <t>CO-0116</t>
  </si>
  <si>
    <t>Strobe warning lights sally port</t>
  </si>
  <si>
    <t>NOPC-E-38</t>
  </si>
  <si>
    <t>RFI-0403</t>
  </si>
  <si>
    <t>RFI-0404</t>
  </si>
  <si>
    <t>Ceiling Finish - Rm 1613  pCO 129</t>
  </si>
  <si>
    <t>Security Panel Power Requiremnets</t>
  </si>
  <si>
    <t>RFI-0405</t>
  </si>
  <si>
    <t>COW-0153</t>
  </si>
  <si>
    <t>PCO-0138</t>
  </si>
  <si>
    <t>CE-203</t>
  </si>
  <si>
    <t>CO-0121</t>
  </si>
  <si>
    <t>Security Panel Power</t>
  </si>
  <si>
    <t>NOPS E-42R2</t>
  </si>
  <si>
    <t>RFI-0406</t>
  </si>
  <si>
    <t>Parkade Ramp Access Control Revisions</t>
  </si>
  <si>
    <t>RFI-0407</t>
  </si>
  <si>
    <t>COW-0283R1</t>
  </si>
  <si>
    <t>PCO-0257R1</t>
  </si>
  <si>
    <t>CE-0389</t>
  </si>
  <si>
    <t>CO-0263</t>
  </si>
  <si>
    <t>Retractable Bollard Sequence of operations</t>
  </si>
  <si>
    <t>RFI-0408</t>
  </si>
  <si>
    <t>Audio amplifie for wall an dceiling speakers</t>
  </si>
  <si>
    <t>RFI-0409</t>
  </si>
  <si>
    <t>Audio System Design questions</t>
  </si>
  <si>
    <t>Courtroom entrance Lighting circuit Revisions</t>
  </si>
  <si>
    <t>SI-0082</t>
  </si>
  <si>
    <t>RFI-0411</t>
  </si>
  <si>
    <t>Proposed 75" flat panel display</t>
  </si>
  <si>
    <t>RFI-0412</t>
  </si>
  <si>
    <t>GFRC bench connection and concrete plaza detail</t>
  </si>
  <si>
    <t>RFI-0413</t>
  </si>
  <si>
    <t>Planter/ Bench Radius Optimization</t>
  </si>
  <si>
    <t>Anti Graffiti Coating for planters</t>
  </si>
  <si>
    <t>RFI-0414</t>
  </si>
  <si>
    <t>COW-0148</t>
  </si>
  <si>
    <t>PCO-0133</t>
  </si>
  <si>
    <t>CE 197</t>
  </si>
  <si>
    <t>Antigraffiitti Coating for benches</t>
  </si>
  <si>
    <t>Smm-PCN3</t>
  </si>
  <si>
    <t>RFI-0415</t>
  </si>
  <si>
    <t>Bollard Color</t>
  </si>
  <si>
    <t>RFI-0416</t>
  </si>
  <si>
    <t>PK wall Leak GLA-1</t>
  </si>
  <si>
    <t>Level 8 Revised Lighting Circuiting</t>
  </si>
  <si>
    <t>COW-0145</t>
  </si>
  <si>
    <t>PCO-0130</t>
  </si>
  <si>
    <t>CE 196</t>
  </si>
  <si>
    <t>CO-0114</t>
  </si>
  <si>
    <t>level 8 revised lighting circuiting</t>
  </si>
  <si>
    <t>NOPC-E-36</t>
  </si>
  <si>
    <t>RFI-0417</t>
  </si>
  <si>
    <t>Bleed Style air floe Sensor Clarification</t>
  </si>
  <si>
    <t>RFI-0418</t>
  </si>
  <si>
    <t>TF-111 Status Monitoring Clarification</t>
  </si>
  <si>
    <t>RFI-0419</t>
  </si>
  <si>
    <t>Submittal 09 91 10-8.0 P9 Gloss Level</t>
  </si>
  <si>
    <t>RFI-0420</t>
  </si>
  <si>
    <t>Swing Stage anchoring</t>
  </si>
  <si>
    <t>RFI-0421</t>
  </si>
  <si>
    <t>Cable label Standards 27 05 53 Clarification</t>
  </si>
  <si>
    <t>RFI-0422</t>
  </si>
  <si>
    <t>Stone Veneer on radius Walls</t>
  </si>
  <si>
    <t>RFI-0423</t>
  </si>
  <si>
    <t>Grain Direction for Wood Panelling and Wood Doors</t>
  </si>
  <si>
    <t>Parkade &amp; Level 0 Damper Rqmnts</t>
  </si>
  <si>
    <t>RFI-0424</t>
  </si>
  <si>
    <t>COW-0152R2</t>
  </si>
  <si>
    <t>PCO-0137R1</t>
  </si>
  <si>
    <t>CE 207</t>
  </si>
  <si>
    <t>CO-0124</t>
  </si>
  <si>
    <t>Level 0  Damper Requirements</t>
  </si>
  <si>
    <t>RFI-0425</t>
  </si>
  <si>
    <t>Concrete Parging &amp; Insulation -CFI Alternate</t>
  </si>
  <si>
    <t>Smoke Control Matrix</t>
  </si>
  <si>
    <t>RFI-0426</t>
  </si>
  <si>
    <t>FO-0027</t>
  </si>
  <si>
    <t>COW-0163</t>
  </si>
  <si>
    <t>PCO-0147</t>
  </si>
  <si>
    <t>CE 219</t>
  </si>
  <si>
    <t>CO-0132</t>
  </si>
  <si>
    <t>Smoke control Matrix Coordination</t>
  </si>
  <si>
    <t>Courtroom 6200 Light Fixture Revisions, Fixture Type 303 Revisions</t>
  </si>
  <si>
    <t>RFI-0427</t>
  </si>
  <si>
    <t>COW-0157 R1</t>
  </si>
  <si>
    <t>PCO-0142</t>
  </si>
  <si>
    <t>CE 221</t>
  </si>
  <si>
    <t>CO-0128</t>
  </si>
  <si>
    <t>Court Room 6200 Lighting Fixture Clarification</t>
  </si>
  <si>
    <t>Labeling of horizontal cabeling</t>
  </si>
  <si>
    <t>SI-0083</t>
  </si>
  <si>
    <t xml:space="preserve">EMCS Control Panel Power </t>
  </si>
  <si>
    <t>RFI-0428</t>
  </si>
  <si>
    <t>COW-0174</t>
  </si>
  <si>
    <t>PCO-0158</t>
  </si>
  <si>
    <t>CE-242</t>
  </si>
  <si>
    <t>CO-0150</t>
  </si>
  <si>
    <t>EMCS Control Panel and 120 Volt Power</t>
  </si>
  <si>
    <t>RFI-0429</t>
  </si>
  <si>
    <t>Lighting Control Panel Integration</t>
  </si>
  <si>
    <t>RFI-0430</t>
  </si>
  <si>
    <t>Power Meter Integration</t>
  </si>
  <si>
    <t>Exterior steel stud Design Requirements</t>
  </si>
  <si>
    <t>RFI-0431</t>
  </si>
  <si>
    <t>FO-0018</t>
  </si>
  <si>
    <t>COW-0155</t>
  </si>
  <si>
    <t>PCO-0140</t>
  </si>
  <si>
    <t>CE 208R</t>
  </si>
  <si>
    <t>CO-0141</t>
  </si>
  <si>
    <t>Structural Metal Light weight Framing - Steel Gauge</t>
  </si>
  <si>
    <t>Interim acceptance extended to June 20, 2023</t>
  </si>
  <si>
    <t>RFI-0432</t>
  </si>
  <si>
    <t>Interior Stone Panel Layout</t>
  </si>
  <si>
    <t>RFI-0433</t>
  </si>
  <si>
    <t>Dry Fire Stand Pipe Relocation L2, L3 &amp; L4</t>
  </si>
  <si>
    <t>Exterior site concrete Mix Rqmnts</t>
  </si>
  <si>
    <t>RFI-0434</t>
  </si>
  <si>
    <t>COW-0201</t>
  </si>
  <si>
    <t>PCO-0182</t>
  </si>
  <si>
    <t>CE 212</t>
  </si>
  <si>
    <t>CO-0177</t>
  </si>
  <si>
    <t>Exterior Site Concrete Mix Location</t>
  </si>
  <si>
    <t>RFI-0435</t>
  </si>
  <si>
    <t>Overhead Door Storbe Lights</t>
  </si>
  <si>
    <t>RFI-0436</t>
  </si>
  <si>
    <t>Fire Rated Ductwork Clarification forMechanical Rooms</t>
  </si>
  <si>
    <t>RFI-0437</t>
  </si>
  <si>
    <t>Prisoner Dock 1104 Ventilation</t>
  </si>
  <si>
    <t>RFI-0438</t>
  </si>
  <si>
    <t>Radiator Posts details</t>
  </si>
  <si>
    <t>RFI-0439</t>
  </si>
  <si>
    <t>Podium Dimensions and Elevations</t>
  </si>
  <si>
    <t>RFI-0440</t>
  </si>
  <si>
    <t>Podium W1000 Beams Alternates</t>
  </si>
  <si>
    <t>Penthouse Transformers</t>
  </si>
  <si>
    <t>RFI-0441</t>
  </si>
  <si>
    <t>COW-0173</t>
  </si>
  <si>
    <t>PCO-0156</t>
  </si>
  <si>
    <t>CE-237</t>
  </si>
  <si>
    <t>CO-0160</t>
  </si>
  <si>
    <t>Sink Type Revisions</t>
  </si>
  <si>
    <t>RFI-0442</t>
  </si>
  <si>
    <t>COW-0165</t>
  </si>
  <si>
    <t>PCO-0148</t>
  </si>
  <si>
    <t>CE 220</t>
  </si>
  <si>
    <t>CO-0129</t>
  </si>
  <si>
    <t>Review Comments from 06 41 11-7.0</t>
  </si>
  <si>
    <t>RFI-0443</t>
  </si>
  <si>
    <t>Sound Atenuation/ Fire Blanket Insulation</t>
  </si>
  <si>
    <t>Sealed Insulating Glass Revisions</t>
  </si>
  <si>
    <t>COW-0146</t>
  </si>
  <si>
    <t>PCO-0131</t>
  </si>
  <si>
    <t>CE 189</t>
  </si>
  <si>
    <t>CO-0109</t>
  </si>
  <si>
    <t>Sealed Insulation Glass revisions</t>
  </si>
  <si>
    <t>Motor Starters</t>
  </si>
  <si>
    <t>COW-0149</t>
  </si>
  <si>
    <t>PCO-0134</t>
  </si>
  <si>
    <t>CE 198</t>
  </si>
  <si>
    <t>CO-0115</t>
  </si>
  <si>
    <t>Level 1-7 Lighting Controls</t>
  </si>
  <si>
    <t>COW-0151</t>
  </si>
  <si>
    <t>PCO-0136</t>
  </si>
  <si>
    <t>CE-202</t>
  </si>
  <si>
    <t>CO-0120</t>
  </si>
  <si>
    <t>E-43</t>
  </si>
  <si>
    <t>m-33</t>
  </si>
  <si>
    <t>Room 2533 Revised Access Flooring Height</t>
  </si>
  <si>
    <t>SI-0061</t>
  </si>
  <si>
    <t>Air System Sequence of Operation Revision</t>
  </si>
  <si>
    <t>SI-0063</t>
  </si>
  <si>
    <t>Site Instruction Verbiage</t>
  </si>
  <si>
    <t>SI-0064</t>
  </si>
  <si>
    <t>Penthouse AHU-101 to 104 SA Ductwork</t>
  </si>
  <si>
    <t>SI-0065</t>
  </si>
  <si>
    <t>ESS &amp; Av Facility Start up Amounts</t>
  </si>
  <si>
    <t>SI-0068</t>
  </si>
  <si>
    <t>Wood Trims and Base</t>
  </si>
  <si>
    <t>SI-0069</t>
  </si>
  <si>
    <t>Motor Control Schedule Note</t>
  </si>
  <si>
    <t>SI-0070</t>
  </si>
  <si>
    <t>Cell Solenoid Clarification</t>
  </si>
  <si>
    <t>SI-0071</t>
  </si>
  <si>
    <t>Painting Clarifications (APCA Inquiry)</t>
  </si>
  <si>
    <t>SI-0072</t>
  </si>
  <si>
    <t>Column A -6(550) Remediation- NCR 380</t>
  </si>
  <si>
    <t>SI-0073</t>
  </si>
  <si>
    <t>Data outlet Network Designation Clarification</t>
  </si>
  <si>
    <t>SI-0076</t>
  </si>
  <si>
    <t>RFI-0444</t>
  </si>
  <si>
    <t>Steel Substitution</t>
  </si>
  <si>
    <t>Penthouse Panel P-6NA Revisions</t>
  </si>
  <si>
    <t>RFI-0445</t>
  </si>
  <si>
    <t>COW-0161</t>
  </si>
  <si>
    <t>PCO-0145</t>
  </si>
  <si>
    <t>CE 217</t>
  </si>
  <si>
    <t>CO-0143</t>
  </si>
  <si>
    <t>Penthouse Panel P-6NA Feed</t>
  </si>
  <si>
    <t>Boiler Control Valves, Terminal Unit Reheats &amp; inrow Ac clarifications</t>
  </si>
  <si>
    <t>SI-0080</t>
  </si>
  <si>
    <t>Light Fixture type 305 Revised Circuiting (Courtroom Lighting)</t>
  </si>
  <si>
    <t>SI-0081</t>
  </si>
  <si>
    <t>RFI-0446</t>
  </si>
  <si>
    <t>Grand master key system</t>
  </si>
  <si>
    <t>RFI-0447</t>
  </si>
  <si>
    <t xml:space="preserve">Room 1525 Dimension from cornerof wall to door </t>
  </si>
  <si>
    <t>Miscellaneous Wall modifications</t>
  </si>
  <si>
    <t>RFI-0448</t>
  </si>
  <si>
    <t>COW-0159</t>
  </si>
  <si>
    <t>PCO-0144</t>
  </si>
  <si>
    <t>SEE CO-0123</t>
  </si>
  <si>
    <t>Confirmation for non rated walls</t>
  </si>
  <si>
    <t>room 5661 Detention Ceiling Height</t>
  </si>
  <si>
    <t>RFI-0449</t>
  </si>
  <si>
    <t>COW-0156</t>
  </si>
  <si>
    <t>PCO-0141</t>
  </si>
  <si>
    <t>SEE 2 CO-0123</t>
  </si>
  <si>
    <t xml:space="preserve">Ceiling Height of Detention areas conflict with detention </t>
  </si>
  <si>
    <t>RFI-0450</t>
  </si>
  <si>
    <t>Plywood servic panel  paint color</t>
  </si>
  <si>
    <t>RFI-0451</t>
  </si>
  <si>
    <t>PCO-0136 level 1-7 lighting controls clarification</t>
  </si>
  <si>
    <t>RFI-0452</t>
  </si>
  <si>
    <t>NCR 634 missed CP-2 Embed on L3 (GL Q-6)</t>
  </si>
  <si>
    <t>RFI-0453</t>
  </si>
  <si>
    <t>Ac unit and room Size coordination</t>
  </si>
  <si>
    <t>RFI-0454</t>
  </si>
  <si>
    <t>Proposed 2 hr rated system for APU Sensors</t>
  </si>
  <si>
    <t>RFI-0455</t>
  </si>
  <si>
    <t>owner supplied saftey Das equipment</t>
  </si>
  <si>
    <t>RFI-0456</t>
  </si>
  <si>
    <t>on site das equipment storage</t>
  </si>
  <si>
    <t>RFI-0457</t>
  </si>
  <si>
    <t>Podium- VSC, horizontal Girt Forces and beam W760 x 161</t>
  </si>
  <si>
    <t>RFI-0458</t>
  </si>
  <si>
    <t>Penthouse beam Designations Off GL 5/L-N</t>
  </si>
  <si>
    <t>RFI-0459</t>
  </si>
  <si>
    <t>Door 501B card reader Clarification</t>
  </si>
  <si>
    <t xml:space="preserve">Ventilation Shaft Fire separation Details </t>
  </si>
  <si>
    <t>RFI-0460</t>
  </si>
  <si>
    <t>FO-0030</t>
  </si>
  <si>
    <t>COW-0178</t>
  </si>
  <si>
    <t>PCO-0162R1</t>
  </si>
  <si>
    <t>CE 246</t>
  </si>
  <si>
    <t>CO-0167</t>
  </si>
  <si>
    <t>Ventilation shaft Fire Separation Details</t>
  </si>
  <si>
    <t>RFI-0461</t>
  </si>
  <si>
    <t>Staff Access for damper Inspection</t>
  </si>
  <si>
    <t>RFI-0462</t>
  </si>
  <si>
    <t>Lightning protection on lower canopy</t>
  </si>
  <si>
    <t>Additional L3 Column Brace L2 L3 Thermal Break Connections</t>
  </si>
  <si>
    <t>RFI-0463</t>
  </si>
  <si>
    <t>FO-0022R1</t>
  </si>
  <si>
    <t>COW-0166</t>
  </si>
  <si>
    <t>PCO-0149</t>
  </si>
  <si>
    <t>CE-130</t>
  </si>
  <si>
    <t>CO-0133</t>
  </si>
  <si>
    <t>Thermal Break Connection @ L3</t>
  </si>
  <si>
    <t>RFI-0464</t>
  </si>
  <si>
    <t>Quantity of fall arresst &amp; window Washing Anchors</t>
  </si>
  <si>
    <t>RFI-0465</t>
  </si>
  <si>
    <t>Interior design Jamb Beam inquiries</t>
  </si>
  <si>
    <t>SallyPort Parapet Framing</t>
  </si>
  <si>
    <t>RFI-0466</t>
  </si>
  <si>
    <t>FO-0023 R1</t>
  </si>
  <si>
    <t>COW-0171</t>
  </si>
  <si>
    <t>PCO-0154</t>
  </si>
  <si>
    <t>CE-231</t>
  </si>
  <si>
    <t>CO-0135</t>
  </si>
  <si>
    <t>Level 2 parapet Height</t>
  </si>
  <si>
    <t>RFI-0467</t>
  </si>
  <si>
    <t>Additional Podium beam substitution</t>
  </si>
  <si>
    <t>RFI-0468</t>
  </si>
  <si>
    <t>27 53 20.02  Cellular DAS specification Clarification</t>
  </si>
  <si>
    <t>RFI-0469</t>
  </si>
  <si>
    <t>SEE COW-0159</t>
  </si>
  <si>
    <t>CE-211</t>
  </si>
  <si>
    <t>CO-0123</t>
  </si>
  <si>
    <t>Furing wall not called up on both walls of B003</t>
  </si>
  <si>
    <t>Linked to RFI 448, COW 159</t>
  </si>
  <si>
    <t>RFI-0470</t>
  </si>
  <si>
    <t>Specification 01 32 17 part 7.1 Clarification</t>
  </si>
  <si>
    <t>RFI-0471</t>
  </si>
  <si>
    <t>27 53 20.02 Cellular Das Fibre Connectors Clarification</t>
  </si>
  <si>
    <t>RFI-0472</t>
  </si>
  <si>
    <t>AV user inetrface template</t>
  </si>
  <si>
    <t>RFI-0473</t>
  </si>
  <si>
    <t>Level 0 Grid Line E Additional Mechanical Coring location</t>
  </si>
  <si>
    <t>RFI-0474</t>
  </si>
  <si>
    <t>Millwork construction and access flooring</t>
  </si>
  <si>
    <t>RFI-0475</t>
  </si>
  <si>
    <t>B543 Bulkhead or furring wall required</t>
  </si>
  <si>
    <t>RFI-0476</t>
  </si>
  <si>
    <t>Grout materials</t>
  </si>
  <si>
    <t>RFI-0477</t>
  </si>
  <si>
    <t>WCS 1-4 Inquiries</t>
  </si>
  <si>
    <t>RFI-0478</t>
  </si>
  <si>
    <t>1566 Garbage Gaurdrail Embed layout</t>
  </si>
  <si>
    <t>RFI-0479</t>
  </si>
  <si>
    <t>missing podium structural steel</t>
  </si>
  <si>
    <t>RFI-0480</t>
  </si>
  <si>
    <t>RM 1565 Walll finish</t>
  </si>
  <si>
    <t>RFI-0481</t>
  </si>
  <si>
    <t>Bar congestion for L6 Columnon GLJ</t>
  </si>
  <si>
    <t>Masonry Lateral Support at Stairs</t>
  </si>
  <si>
    <t>RFI-0482</t>
  </si>
  <si>
    <t>FO-0019 R1</t>
  </si>
  <si>
    <t>COW-0167</t>
  </si>
  <si>
    <t>PCO-0151 R</t>
  </si>
  <si>
    <t>CE-223</t>
  </si>
  <si>
    <t>CO-0149</t>
  </si>
  <si>
    <t>Lateral stability for masonry walls in stairwells</t>
  </si>
  <si>
    <t>SDN-039</t>
  </si>
  <si>
    <t>RFI-0483</t>
  </si>
  <si>
    <t>Podium Structural Steel Clarifications</t>
  </si>
  <si>
    <t>RFI-0484</t>
  </si>
  <si>
    <t>Alberta Infrastructure Color coding Rqmnts</t>
  </si>
  <si>
    <t>RFI-0485</t>
  </si>
  <si>
    <t>millwork on top of flooring</t>
  </si>
  <si>
    <t>Motorized blind coordination</t>
  </si>
  <si>
    <t>RFI-0486</t>
  </si>
  <si>
    <t>FO-0029R1</t>
  </si>
  <si>
    <t>COW-0192</t>
  </si>
  <si>
    <t>PCO-0174</t>
  </si>
  <si>
    <t>CE-259</t>
  </si>
  <si>
    <t>CO-0214</t>
  </si>
  <si>
    <t>Motorized blinds electrical coordination</t>
  </si>
  <si>
    <t>RFI-0487</t>
  </si>
  <si>
    <t>PCO-0163</t>
  </si>
  <si>
    <t>Critical Detention Door Frames Over Sized (B632A &amp; B631A)</t>
  </si>
  <si>
    <t>RFI-0488</t>
  </si>
  <si>
    <t>Wall type along corridor 1531 GL E2.5</t>
  </si>
  <si>
    <t>Door 6100A Location</t>
  </si>
  <si>
    <t>SI-0084</t>
  </si>
  <si>
    <t>Emergency Generator Remote Radiator Supports</t>
  </si>
  <si>
    <t>FO-0021</t>
  </si>
  <si>
    <t>COW-0154</t>
  </si>
  <si>
    <t>PCO-0139</t>
  </si>
  <si>
    <t>CE-175</t>
  </si>
  <si>
    <t>CO-0134</t>
  </si>
  <si>
    <t>Emergency Generator Ductwork Acoustics</t>
  </si>
  <si>
    <t>COW-0160</t>
  </si>
  <si>
    <t>PCO-0143</t>
  </si>
  <si>
    <t>CE-215</t>
  </si>
  <si>
    <t>CO-0118</t>
  </si>
  <si>
    <t>Gas Meter Enclosure Panel Reinforcement</t>
  </si>
  <si>
    <t>COW-0162</t>
  </si>
  <si>
    <t>PCO-0146</t>
  </si>
  <si>
    <t>CO-0127</t>
  </si>
  <si>
    <t>DAS Detailed BOM</t>
  </si>
  <si>
    <t>SI-0085</t>
  </si>
  <si>
    <t>Exterior fixtures, equipment, signage at overhead doors</t>
  </si>
  <si>
    <t>SI-0086</t>
  </si>
  <si>
    <t>RFI-0489</t>
  </si>
  <si>
    <t>Courtroom A jury Side elevation</t>
  </si>
  <si>
    <t>RFI-0490</t>
  </si>
  <si>
    <t>M06 in courtroom C</t>
  </si>
  <si>
    <t>RFI-0491</t>
  </si>
  <si>
    <t>Hand dryer and paper towel dispenser coordination</t>
  </si>
  <si>
    <t>RFI-0492</t>
  </si>
  <si>
    <t xml:space="preserve">DAS product Data Amendment </t>
  </si>
  <si>
    <t>RFI-0493</t>
  </si>
  <si>
    <t>Block wall height</t>
  </si>
  <si>
    <t>RFI-0494</t>
  </si>
  <si>
    <t>Level 1 &amp; Level 2 Room Dimensions</t>
  </si>
  <si>
    <t>Consultant Fee missed colun ties</t>
  </si>
  <si>
    <t>RFI-0495</t>
  </si>
  <si>
    <t>COW-0170</t>
  </si>
  <si>
    <t>PCO-0153</t>
  </si>
  <si>
    <t>CE 228</t>
  </si>
  <si>
    <t>CO-0130</t>
  </si>
  <si>
    <t>Missed ties on exterior Column</t>
  </si>
  <si>
    <t>RFI-0496</t>
  </si>
  <si>
    <t>edge of deck dimension @ lower podium roof</t>
  </si>
  <si>
    <t>RFI-0497</t>
  </si>
  <si>
    <t>Public safety Das - AFFRRCS reqmnts</t>
  </si>
  <si>
    <t>RFI-0498</t>
  </si>
  <si>
    <t>cellular DAS sunwave compatible connectors</t>
  </si>
  <si>
    <t>RFI-0499</t>
  </si>
  <si>
    <t>Acoustical sealant inquiries</t>
  </si>
  <si>
    <t>RFI-0500</t>
  </si>
  <si>
    <t>Typical application for interior drywall to exterior</t>
  </si>
  <si>
    <t>CMU Wall type for CUH-107</t>
  </si>
  <si>
    <t>RFI-0501</t>
  </si>
  <si>
    <t>COW-0185</t>
  </si>
  <si>
    <t>PCO-0167</t>
  </si>
  <si>
    <t>CE 250</t>
  </si>
  <si>
    <t>CO-0145</t>
  </si>
  <si>
    <t>Heater in block wall in stair 1 on 1st floor landing</t>
  </si>
  <si>
    <t>RFI-0502</t>
  </si>
  <si>
    <t>Elevator beam pockets</t>
  </si>
  <si>
    <t>Comm Room Data Rack Power Revisions</t>
  </si>
  <si>
    <t>RFI-0503</t>
  </si>
  <si>
    <t>FO-0039</t>
  </si>
  <si>
    <t>COW-0213</t>
  </si>
  <si>
    <t>PCO-0195</t>
  </si>
  <si>
    <t>CE-0288</t>
  </si>
  <si>
    <t>CO-0210</t>
  </si>
  <si>
    <t>Submittal 26 27 26-1 wiring devices missing recept</t>
  </si>
  <si>
    <t>RFI-0504</t>
  </si>
  <si>
    <t>Plumbing wall coordination Requirements</t>
  </si>
  <si>
    <t>RFI-0505</t>
  </si>
  <si>
    <t>PA#4 Level 8 clarification</t>
  </si>
  <si>
    <t>RFI-0506</t>
  </si>
  <si>
    <t>S-5 Grille and plenum Coordination with Roller shades</t>
  </si>
  <si>
    <t>RFI-0507</t>
  </si>
  <si>
    <t>Lvl 7 vertical lift plan ductwork opening adjustment</t>
  </si>
  <si>
    <t>RFI-0508</t>
  </si>
  <si>
    <t>Revise control Panels &amp; Light Fixture type 109 at lobby information desk</t>
  </si>
  <si>
    <t>COW-0168R1</t>
  </si>
  <si>
    <t>PCO-0152</t>
  </si>
  <si>
    <t>CE 224</t>
  </si>
  <si>
    <t>CO-0139</t>
  </si>
  <si>
    <t>E-51, E-52</t>
  </si>
  <si>
    <t>RFI-0509</t>
  </si>
  <si>
    <t>Juror box Misc metals details</t>
  </si>
  <si>
    <t>RFI-0510</t>
  </si>
  <si>
    <t>requirements for painting of mechanical ductwork</t>
  </si>
  <si>
    <t>RFI-0511</t>
  </si>
  <si>
    <t>epoxy paint on detention doors and frames</t>
  </si>
  <si>
    <t>Courtroom Stair Details</t>
  </si>
  <si>
    <t>RFI-0512</t>
  </si>
  <si>
    <t>COW-0197</t>
  </si>
  <si>
    <t>PCO-0178</t>
  </si>
  <si>
    <t>CE 266</t>
  </si>
  <si>
    <t>CO-0176</t>
  </si>
  <si>
    <t>riser finish in juror box</t>
  </si>
  <si>
    <t>RFI-0513</t>
  </si>
  <si>
    <t>joist bridging @ beam</t>
  </si>
  <si>
    <t>RFI-0514</t>
  </si>
  <si>
    <t>mech web openings</t>
  </si>
  <si>
    <t>Steel Roof Framing Revs &amp; Lvl 3 Canopy Long Span HSS</t>
  </si>
  <si>
    <t>RFI-0515</t>
  </si>
  <si>
    <t>FO-0032R1</t>
  </si>
  <si>
    <t>COW-0181R1</t>
  </si>
  <si>
    <t>PCO-0164 R1</t>
  </si>
  <si>
    <t>CE 236</t>
  </si>
  <si>
    <t>CO-0178</t>
  </si>
  <si>
    <t>long span HSS confirmation</t>
  </si>
  <si>
    <t>Room in use courtrrom session lights</t>
  </si>
  <si>
    <t>RFI-0516</t>
  </si>
  <si>
    <t>COW-0294</t>
  </si>
  <si>
    <t>PCO-0267</t>
  </si>
  <si>
    <t>Proposed room in use and court in session lights</t>
  </si>
  <si>
    <t>RFI-0517</t>
  </si>
  <si>
    <t>samsung display models</t>
  </si>
  <si>
    <t>RFI-0518</t>
  </si>
  <si>
    <t>transfer ductwork in corridor B587</t>
  </si>
  <si>
    <t>RFI-0519</t>
  </si>
  <si>
    <t>soltec kiosks- color selection</t>
  </si>
  <si>
    <t>RFI-0520</t>
  </si>
  <si>
    <t>Clock audio latching base Mic</t>
  </si>
  <si>
    <t>RFI-0521</t>
  </si>
  <si>
    <t>fall aresst anchor insulation</t>
  </si>
  <si>
    <t>RFI-0522</t>
  </si>
  <si>
    <t>switch wall types 6.2 an d2.4</t>
  </si>
  <si>
    <t>RFI-0523</t>
  </si>
  <si>
    <t>priming unpainted spaces</t>
  </si>
  <si>
    <t>RFI-0524</t>
  </si>
  <si>
    <t>Acoustic sealant notes for wall penetrations</t>
  </si>
  <si>
    <t>RFI-0525</t>
  </si>
  <si>
    <t>GFL RFI  06</t>
  </si>
  <si>
    <t>RFI-0526</t>
  </si>
  <si>
    <t>GL B/6 joist to column connection</t>
  </si>
  <si>
    <t>RFI-0527</t>
  </si>
  <si>
    <t>Vibration isolation additional information required</t>
  </si>
  <si>
    <t>RFI-0528</t>
  </si>
  <si>
    <t>conformation of millwork locations</t>
  </si>
  <si>
    <t>RFI-0529</t>
  </si>
  <si>
    <t>podium deck support embed depth</t>
  </si>
  <si>
    <t>RFI-0530</t>
  </si>
  <si>
    <t>urgent- deck edge support GL Y2</t>
  </si>
  <si>
    <t>Removable Bollards</t>
  </si>
  <si>
    <t>RFI-0531</t>
  </si>
  <si>
    <t>COW-0191</t>
  </si>
  <si>
    <t>PCO-0173</t>
  </si>
  <si>
    <t>CE 248</t>
  </si>
  <si>
    <t>CO-0162</t>
  </si>
  <si>
    <t>removable bollard quantity</t>
  </si>
  <si>
    <t>Wheelchair Lift Power and GFCI REreceptacles</t>
  </si>
  <si>
    <t>RFI-0532</t>
  </si>
  <si>
    <t>COW-0186</t>
  </si>
  <si>
    <t>PCO-0169</t>
  </si>
  <si>
    <t>CE-255</t>
  </si>
  <si>
    <t>CO-0152</t>
  </si>
  <si>
    <t>wheelchair lift electrical coordination</t>
  </si>
  <si>
    <t>RFI-0533</t>
  </si>
  <si>
    <t>stone veneer exterior layouts &amp; details</t>
  </si>
  <si>
    <t>RFI-0534</t>
  </si>
  <si>
    <t>fire extinguisher details</t>
  </si>
  <si>
    <t>RFI-0535</t>
  </si>
  <si>
    <t>13mm illuminated resin panel from PCO 152</t>
  </si>
  <si>
    <t>RFI-0536</t>
  </si>
  <si>
    <t>PCA-0010 AV clarifications</t>
  </si>
  <si>
    <t>RFI-0537</t>
  </si>
  <si>
    <t>SF-101 and sf-102 roof opening coordination with structural steel</t>
  </si>
  <si>
    <t>RFI-0538</t>
  </si>
  <si>
    <t>tie holes in acoustic concrete wall</t>
  </si>
  <si>
    <t>RFI-0539</t>
  </si>
  <si>
    <t>Podium added bracing for window support</t>
  </si>
  <si>
    <t>RFI-0540</t>
  </si>
  <si>
    <t>side frame asembly for stainaless steel detainee</t>
  </si>
  <si>
    <t>RFI-0541</t>
  </si>
  <si>
    <t>stub walls at end hallway</t>
  </si>
  <si>
    <t>RFI-0542</t>
  </si>
  <si>
    <t>furring wall in 563</t>
  </si>
  <si>
    <t>Rain Water Leader at Lobby</t>
  </si>
  <si>
    <t>RFI-0543</t>
  </si>
  <si>
    <t>COW-0176</t>
  </si>
  <si>
    <t>PCO-0159</t>
  </si>
  <si>
    <t>CE-243</t>
  </si>
  <si>
    <t>CO-0157</t>
  </si>
  <si>
    <t>Y4/H Missing column</t>
  </si>
  <si>
    <t>RFI-0544</t>
  </si>
  <si>
    <t>crank owsj geometry</t>
  </si>
  <si>
    <t>RFI-0545</t>
  </si>
  <si>
    <t>missing architectural dimensions</t>
  </si>
  <si>
    <t>Deck Edge Closure Angle</t>
  </si>
  <si>
    <t>RFI-0546</t>
  </si>
  <si>
    <t>COW-0183</t>
  </si>
  <si>
    <t>PCO-0166</t>
  </si>
  <si>
    <t>CE-249</t>
  </si>
  <si>
    <t>CO-0147</t>
  </si>
  <si>
    <t>podium deck closure angle L3 Canopy</t>
  </si>
  <si>
    <t>SBS Roof Warranty</t>
  </si>
  <si>
    <t>RFI-0547</t>
  </si>
  <si>
    <t>COW-0189</t>
  </si>
  <si>
    <t>PCO-0171</t>
  </si>
  <si>
    <t>CE-151</t>
  </si>
  <si>
    <t>CO-0151</t>
  </si>
  <si>
    <t>15 year arca warranty &amp; ballast on podium</t>
  </si>
  <si>
    <t>RFI-0548</t>
  </si>
  <si>
    <t>elevator shaft sprinkler protection clarification</t>
  </si>
  <si>
    <t>RFI-0549</t>
  </si>
  <si>
    <t>conformation of millwork locations in courtroom A</t>
  </si>
  <si>
    <t>RFI-0550</t>
  </si>
  <si>
    <t>extending L1 SOG Delay strip</t>
  </si>
  <si>
    <t>Fibre backbone Cabling for cellular</t>
  </si>
  <si>
    <t>RFI-0551</t>
  </si>
  <si>
    <t>COW-0194</t>
  </si>
  <si>
    <t>PCO-0176</t>
  </si>
  <si>
    <t>CE-261</t>
  </si>
  <si>
    <t>CO-0161</t>
  </si>
  <si>
    <t>cellular DAS fibre backbone design clarification</t>
  </si>
  <si>
    <t>Canopy Steel Finish</t>
  </si>
  <si>
    <t>RFI-0552</t>
  </si>
  <si>
    <t>COW-0190</t>
  </si>
  <si>
    <t>PCO-0172</t>
  </si>
  <si>
    <t>CE-257</t>
  </si>
  <si>
    <t>CO-0156</t>
  </si>
  <si>
    <t>canopy steel finish</t>
  </si>
  <si>
    <t>RFI-0553</t>
  </si>
  <si>
    <t>confirm wireless AP locations</t>
  </si>
  <si>
    <t>RFI-0554</t>
  </si>
  <si>
    <t>mechanical equipment naming confirmation</t>
  </si>
  <si>
    <t>Exterior Sheathing on Parapets</t>
  </si>
  <si>
    <t>RFI-0555</t>
  </si>
  <si>
    <t>COW-0187</t>
  </si>
  <si>
    <t>PCO-0168</t>
  </si>
  <si>
    <t>CE 253</t>
  </si>
  <si>
    <t>CO-0146</t>
  </si>
  <si>
    <t>exterior sheeting on parapets</t>
  </si>
  <si>
    <t>RFI-0556</t>
  </si>
  <si>
    <t xml:space="preserve">Room 2533 sprinkler coverage for hot Aisle </t>
  </si>
  <si>
    <t>RFI-0557</t>
  </si>
  <si>
    <t xml:space="preserve">Courtroom delayed exit device mode of operation </t>
  </si>
  <si>
    <t>RFI-0558</t>
  </si>
  <si>
    <t>Roof Scuppers</t>
  </si>
  <si>
    <t>Structural Steel Thermal Breaks</t>
  </si>
  <si>
    <t>RFI-0559</t>
  </si>
  <si>
    <t>FO-0031</t>
  </si>
  <si>
    <t>COW-0198</t>
  </si>
  <si>
    <t>PCO-0179</t>
  </si>
  <si>
    <t>CE-258</t>
  </si>
  <si>
    <t>CO-0159</t>
  </si>
  <si>
    <t>Thermal Connection CP-11 GL R/2-4</t>
  </si>
  <si>
    <t>RFI-0560</t>
  </si>
  <si>
    <t xml:space="preserve">Pco-0162- ventilation Shaft fire separation </t>
  </si>
  <si>
    <t>RFI-0561</t>
  </si>
  <si>
    <t>W1000 Connection to Column</t>
  </si>
  <si>
    <t>RFI-0562</t>
  </si>
  <si>
    <t>Podium layout discrepancy - GL Y2 transition</t>
  </si>
  <si>
    <t>RFI-0563</t>
  </si>
  <si>
    <t>Flat Soffit for L8 Slab</t>
  </si>
  <si>
    <t>Direct Costs-PCA-006 -ESS</t>
  </si>
  <si>
    <t>CE 114</t>
  </si>
  <si>
    <t>CO-0125</t>
  </si>
  <si>
    <t>Direct Costs-PCA-004- DAS</t>
  </si>
  <si>
    <t>CE 137</t>
  </si>
  <si>
    <t>CO-0126</t>
  </si>
  <si>
    <t>RFI-0564</t>
  </si>
  <si>
    <t>Acoustically Rated door &amp; Frames</t>
  </si>
  <si>
    <t>RFI-0565</t>
  </si>
  <si>
    <t>NCR 777: Door 2660 A Opening</t>
  </si>
  <si>
    <t>RFI-0566</t>
  </si>
  <si>
    <t>Gloss Level for P7</t>
  </si>
  <si>
    <t>RFI-0567</t>
  </si>
  <si>
    <t>AV network Inquiries</t>
  </si>
  <si>
    <t>RFI-0568</t>
  </si>
  <si>
    <t>Wall protection WP-1 Koroseal- Colors</t>
  </si>
  <si>
    <t>RFI-0569</t>
  </si>
  <si>
    <t>NCR 772-L4 Opening Location (GL G-5/6)</t>
  </si>
  <si>
    <t>RFI-0570</t>
  </si>
  <si>
    <t>Control room touch screen location</t>
  </si>
  <si>
    <t>RFI-0571</t>
  </si>
  <si>
    <t xml:space="preserve">Smoke Seal </t>
  </si>
  <si>
    <t>RFI-0572</t>
  </si>
  <si>
    <t>REF FO-0031</t>
  </si>
  <si>
    <t>REF COW-0198</t>
  </si>
  <si>
    <t>See CO-0159</t>
  </si>
  <si>
    <t>Level 2 GL-Y2 Thermal Break Conflicts</t>
  </si>
  <si>
    <t>RFI-0573</t>
  </si>
  <si>
    <t>Sprinkler coverage question for room B577 and B551</t>
  </si>
  <si>
    <t>RFI-0574</t>
  </si>
  <si>
    <t>Detail 9/A0.03</t>
  </si>
  <si>
    <t>RFI-0575</t>
  </si>
  <si>
    <t>Detail 13-A0.03 inquireis</t>
  </si>
  <si>
    <t>RFI-0576</t>
  </si>
  <si>
    <t>Incorrect insulation</t>
  </si>
  <si>
    <t>RFI-0577</t>
  </si>
  <si>
    <t>Extending Detention Benches</t>
  </si>
  <si>
    <t>RFI-0578</t>
  </si>
  <si>
    <t>Elevator #4 Penthouse duct opening Modification</t>
  </si>
  <si>
    <t>RFI-0579</t>
  </si>
  <si>
    <t>REF FO-0030</t>
  </si>
  <si>
    <t>SEE COW-0178</t>
  </si>
  <si>
    <t>See CO-0167</t>
  </si>
  <si>
    <t>Penthouse damper Floor Openings Modifcation</t>
  </si>
  <si>
    <t>Wood Grain</t>
  </si>
  <si>
    <t>COW-0164</t>
  </si>
  <si>
    <t>PCO-0150</t>
  </si>
  <si>
    <t>CE 227</t>
  </si>
  <si>
    <t>CO-0171</t>
  </si>
  <si>
    <t>Fall Arrest Anchor  Requirement</t>
  </si>
  <si>
    <t>FO-0028</t>
  </si>
  <si>
    <t>COW-0177 R2</t>
  </si>
  <si>
    <t>PCO-0160 R2</t>
  </si>
  <si>
    <t>CE 244</t>
  </si>
  <si>
    <t>CO-0165</t>
  </si>
  <si>
    <t xml:space="preserve">document discrepancy required additional roof penetrations and structure for in-contract roof anchors.  </t>
  </si>
  <si>
    <t>Emergency Generator and Remote Radiator Vibration Isolation</t>
  </si>
  <si>
    <t>FO-0025</t>
  </si>
  <si>
    <t>COW-0179</t>
  </si>
  <si>
    <t>PCO-0161</t>
  </si>
  <si>
    <t>CE 245</t>
  </si>
  <si>
    <t>CO-0180</t>
  </si>
  <si>
    <t>Detention Door Frames B631A &amp; B632A</t>
  </si>
  <si>
    <t>COW-0180</t>
  </si>
  <si>
    <t>CE-0238</t>
  </si>
  <si>
    <t>CO-0153</t>
  </si>
  <si>
    <t>Steel Roof Framing Rev &amp; L3 Canopy span HSS</t>
  </si>
  <si>
    <t>SEE COW-0181R1</t>
  </si>
  <si>
    <t>Strip footing pt2 (Schedule impact costs))</t>
  </si>
  <si>
    <t>SEE 3 COW-0016R</t>
  </si>
  <si>
    <t>CO-0136</t>
  </si>
  <si>
    <t>Interim Acceptance extended to June 19, 2023</t>
  </si>
  <si>
    <t>SEE COW-0062</t>
  </si>
  <si>
    <t>CO-0137</t>
  </si>
  <si>
    <t>Amendment to interim date</t>
  </si>
  <si>
    <t>CO-0138</t>
  </si>
  <si>
    <t>RFI-0580</t>
  </si>
  <si>
    <t>Courtroom 2100 ductwork and cross bracing conflict.</t>
  </si>
  <si>
    <t>RFI-0581</t>
  </si>
  <si>
    <t>Additional Mechanical coring in Level 0</t>
  </si>
  <si>
    <t>RFI-0582</t>
  </si>
  <si>
    <t>shaft wall partition 6.5 Limited space</t>
  </si>
  <si>
    <t>RFI-0583</t>
  </si>
  <si>
    <t>RDJC parapet heights inquiries</t>
  </si>
  <si>
    <t>CB/Empire proceeding with work - in dispute</t>
  </si>
  <si>
    <t>RFI-0584</t>
  </si>
  <si>
    <t>cooling tower beam locations</t>
  </si>
  <si>
    <t>RFI-0585</t>
  </si>
  <si>
    <t>Alternate Interior Door paint</t>
  </si>
  <si>
    <t>RFI-0586</t>
  </si>
  <si>
    <t>Door 2500B Size change</t>
  </si>
  <si>
    <t>RFI-0587</t>
  </si>
  <si>
    <t>Type J and Type K Security Joint sealant</t>
  </si>
  <si>
    <t>RFI-0588</t>
  </si>
  <si>
    <t>type B &amp; Type D Acoustic sealant</t>
  </si>
  <si>
    <t>RFI-0589</t>
  </si>
  <si>
    <t>Pavement markings</t>
  </si>
  <si>
    <t>RFI-0590</t>
  </si>
  <si>
    <t>Riser Sensor Location clarification</t>
  </si>
  <si>
    <t>RFI-0591</t>
  </si>
  <si>
    <t>Confirm Ceiling height in room B575</t>
  </si>
  <si>
    <t>Mechanical Grille revisions</t>
  </si>
  <si>
    <t>RFI-0592</t>
  </si>
  <si>
    <t>COW-0195</t>
  </si>
  <si>
    <t>PCO-0177</t>
  </si>
  <si>
    <t>CE 264</t>
  </si>
  <si>
    <t>CO-0163</t>
  </si>
  <si>
    <t>s-5 Grille coordiantion in lobby 1000 at GL 9</t>
  </si>
  <si>
    <t>RFI-0593</t>
  </si>
  <si>
    <t>SEE COW-0195</t>
  </si>
  <si>
    <t>s-4 Grille Coordination in lobby 1000 at GL 9</t>
  </si>
  <si>
    <t>Courtroom S-10 Grille Revisions</t>
  </si>
  <si>
    <t>SI-113</t>
  </si>
  <si>
    <t>RFI-0594</t>
  </si>
  <si>
    <t>detail 2-A5.16 inquiries</t>
  </si>
  <si>
    <t>RFI-0595</t>
  </si>
  <si>
    <t>Terrazzo pattern design</t>
  </si>
  <si>
    <t>5 kjuly 22</t>
  </si>
  <si>
    <t>Masonry Wall at Parallel OWSJ</t>
  </si>
  <si>
    <t>RFI-0596</t>
  </si>
  <si>
    <t>COW 205R1</t>
  </si>
  <si>
    <t>PCO -186R1</t>
  </si>
  <si>
    <t>CE 277</t>
  </si>
  <si>
    <t>CO-0174</t>
  </si>
  <si>
    <t>masonry wall at parallel OWSJ</t>
  </si>
  <si>
    <t>RFI-0597</t>
  </si>
  <si>
    <t>Detention bench interferes with door frames.</t>
  </si>
  <si>
    <t>RFI-0598</t>
  </si>
  <si>
    <t>Lvl 3 parapet Elevation Disrepancy</t>
  </si>
  <si>
    <t>RFI-0599</t>
  </si>
  <si>
    <t>Modesty Panel Clear Dimension</t>
  </si>
  <si>
    <t>B-587 - Steel Stud &amp; Dry Wall Infill</t>
  </si>
  <si>
    <t>RFI-0600</t>
  </si>
  <si>
    <t>SEE COW 205R1</t>
  </si>
  <si>
    <t>See CO-0174</t>
  </si>
  <si>
    <t>B587- Steel Stud &amp; Drywall Infill</t>
  </si>
  <si>
    <t>Washroom Partitions</t>
  </si>
  <si>
    <t>RFI-0601</t>
  </si>
  <si>
    <t>FO-0035</t>
  </si>
  <si>
    <t>COW-0206</t>
  </si>
  <si>
    <t>PCO-0187</t>
  </si>
  <si>
    <t>CE 278</t>
  </si>
  <si>
    <t>CO-0172</t>
  </si>
  <si>
    <t>Washroom partition- Builtin framing</t>
  </si>
  <si>
    <t>Prisoner Docket Glazing Support</t>
  </si>
  <si>
    <t>RFI-0602</t>
  </si>
  <si>
    <t>COW-0229</t>
  </si>
  <si>
    <t>PCO-0208</t>
  </si>
  <si>
    <t>CE-0311</t>
  </si>
  <si>
    <t>CO-0200</t>
  </si>
  <si>
    <t>Glazing support</t>
  </si>
  <si>
    <t>Stair PA Grille Coordination With Ceiling</t>
  </si>
  <si>
    <t>RFI-0603</t>
  </si>
  <si>
    <t>COW-0200</t>
  </si>
  <si>
    <t>PCO-0181</t>
  </si>
  <si>
    <t>CE-272</t>
  </si>
  <si>
    <t>CO-0158</t>
  </si>
  <si>
    <t>Stair PA Grille coordination with ceiling</t>
  </si>
  <si>
    <t>RFI-0604</t>
  </si>
  <si>
    <t>Stainless steel detainee counters</t>
  </si>
  <si>
    <t>RFI-0605</t>
  </si>
  <si>
    <t>Acoustical chaulking details</t>
  </si>
  <si>
    <t>CO-0144</t>
  </si>
  <si>
    <t>Warehouse becomes part of place of the work</t>
  </si>
  <si>
    <t>RFI-0606</t>
  </si>
  <si>
    <t>MIssing dimension room 2003, 2005, 2007 &amp; 2013</t>
  </si>
  <si>
    <t xml:space="preserve">Level 0 Grille Types Clarification </t>
  </si>
  <si>
    <t>RFI-0607</t>
  </si>
  <si>
    <t>COW-0202</t>
  </si>
  <si>
    <t>Lvl 0 Grille Types Clarification</t>
  </si>
  <si>
    <t>RFI-0608</t>
  </si>
  <si>
    <t>Pas soffit VentingLVL 0 Grille types clarification</t>
  </si>
  <si>
    <t>RFI-0609</t>
  </si>
  <si>
    <t xml:space="preserve">Retractable Bollard concrete Pad Heating </t>
  </si>
  <si>
    <t>RFI-0610</t>
  </si>
  <si>
    <t>Prisoner Fire Alarm Duct Detector Coordination</t>
  </si>
  <si>
    <t>RFI-0611</t>
  </si>
  <si>
    <t>Appliances specification</t>
  </si>
  <si>
    <t>RFI-0612</t>
  </si>
  <si>
    <t>Penthouse and chiller wall lighting clarification</t>
  </si>
  <si>
    <t>South Door swing at West Easement</t>
  </si>
  <si>
    <t>COW-0199</t>
  </si>
  <si>
    <t>PCO-0180</t>
  </si>
  <si>
    <t>Mechanical Penthouse Masonry Walls &amp; Ceiling Revisions</t>
  </si>
  <si>
    <t>COW-0196</t>
  </si>
  <si>
    <t>CE 271R1</t>
  </si>
  <si>
    <t>CO-0173</t>
  </si>
  <si>
    <t>Card Readers</t>
  </si>
  <si>
    <t>COW-0193</t>
  </si>
  <si>
    <t>PCO-0175</t>
  </si>
  <si>
    <t>CE 260</t>
  </si>
  <si>
    <t>CO-0164</t>
  </si>
  <si>
    <t>RFI-0613</t>
  </si>
  <si>
    <t>Millwork fillers</t>
  </si>
  <si>
    <t>RFI-0614</t>
  </si>
  <si>
    <t>PCO-92R3 storm tank</t>
  </si>
  <si>
    <t>RFI-0615</t>
  </si>
  <si>
    <t>see ce 43</t>
  </si>
  <si>
    <t>Frame systems for wood wall Coverings</t>
  </si>
  <si>
    <t>RFI-0616</t>
  </si>
  <si>
    <t>Steel Track to window connection detail</t>
  </si>
  <si>
    <t>L2 &amp; L3 Ceiling, Wall &amp; Infill Revisions (RFI-0653 &amp; RFI-0617)</t>
  </si>
  <si>
    <t>RFI-0617</t>
  </si>
  <si>
    <t>REF FO-0036</t>
  </si>
  <si>
    <t>SEE COW-0211 R1</t>
  </si>
  <si>
    <t>PCO-0191</t>
  </si>
  <si>
    <t>CE 283</t>
  </si>
  <si>
    <t xml:space="preserve"> See CO-0179</t>
  </si>
  <si>
    <t>P501 Parkade Access Ramp North Wall</t>
  </si>
  <si>
    <t>RFI-0618</t>
  </si>
  <si>
    <t>COW-0203</t>
  </si>
  <si>
    <t>PCO-0184</t>
  </si>
  <si>
    <t>CE 275</t>
  </si>
  <si>
    <t>CO-0168</t>
  </si>
  <si>
    <t>RFI-0619</t>
  </si>
  <si>
    <t xml:space="preserve">27 53 20.01 public safety DAS tapper and wiring </t>
  </si>
  <si>
    <t>RFI-0620</t>
  </si>
  <si>
    <t>clarification- Toilet Carrier space in public washroom</t>
  </si>
  <si>
    <t>RFI-0621</t>
  </si>
  <si>
    <t>sally port exhaust roof curbs</t>
  </si>
  <si>
    <t>RFI-0622</t>
  </si>
  <si>
    <t>steel protection to jambs of O/H Doors</t>
  </si>
  <si>
    <t>RFI-0623</t>
  </si>
  <si>
    <t xml:space="preserve">Submittal 07 44 63 3.2 stone panel shop drawings </t>
  </si>
  <si>
    <t>SI-101</t>
  </si>
  <si>
    <t>Stone Cladding Revisions RFI-623</t>
  </si>
  <si>
    <t>RFI-0624</t>
  </si>
  <si>
    <t xml:space="preserve">digital images digital files and images cropping with </t>
  </si>
  <si>
    <t>RFI-0625</t>
  </si>
  <si>
    <t>missing structural support for walls and roof</t>
  </si>
  <si>
    <t>RFI-0626</t>
  </si>
  <si>
    <t>storm water tank BMS+VFD clarifications</t>
  </si>
  <si>
    <t>RFI-0627</t>
  </si>
  <si>
    <t>mull-it -over/7/A0.03</t>
  </si>
  <si>
    <t>RFI-0628</t>
  </si>
  <si>
    <t>Alter ceiling heights on level 2 GL L/5-6 for ductwork</t>
  </si>
  <si>
    <t>RFI-0629</t>
  </si>
  <si>
    <t>spectator pews</t>
  </si>
  <si>
    <t>RFI-0630</t>
  </si>
  <si>
    <t>room 2102 missing dimensions</t>
  </si>
  <si>
    <t>Masonry Wall Parallel to OWSJ_RFI-0596_Fire Separation at L2 Podium</t>
  </si>
  <si>
    <t>RFI-0631</t>
  </si>
  <si>
    <t>SEE 2 COW 205R1</t>
  </si>
  <si>
    <t>SEE 3 CO-0174</t>
  </si>
  <si>
    <t>fire ratings at level 2 podium</t>
  </si>
  <si>
    <t>Penthouse RES-2 Flooring &amp; Housekeeping Pads</t>
  </si>
  <si>
    <t>RFI-0632</t>
  </si>
  <si>
    <t>penthouse RES-2 flooring &amp; Housekeeping pads</t>
  </si>
  <si>
    <t>Courtroom 2100 Proposed Damper Access Locations</t>
  </si>
  <si>
    <t>RFI-0633</t>
  </si>
  <si>
    <t>courtroom 2100 proposed damper access locations</t>
  </si>
  <si>
    <t>Corridor Transfer Air Smoke Damper Locations</t>
  </si>
  <si>
    <t>RFI-0634</t>
  </si>
  <si>
    <t>corridor transfer air smoke damper locations</t>
  </si>
  <si>
    <t>North South Connection walls at West easement</t>
  </si>
  <si>
    <t>RFI-0635</t>
  </si>
  <si>
    <t>COW-0214</t>
  </si>
  <si>
    <t>PCO-0194R1</t>
  </si>
  <si>
    <t>CE-0291</t>
  </si>
  <si>
    <t>CO-0201</t>
  </si>
  <si>
    <t xml:space="preserve">wall construction and bracing to existing building </t>
  </si>
  <si>
    <t>Level 6 - Missing Dimensions</t>
  </si>
  <si>
    <t>RFI-0636</t>
  </si>
  <si>
    <t>level 6 missing dimensions</t>
  </si>
  <si>
    <t>NCR - 879 Concrete Topper for L8 Roof Section</t>
  </si>
  <si>
    <t>RFI-0637</t>
  </si>
  <si>
    <t>NCR 879 concrete topper for l8 roof section</t>
  </si>
  <si>
    <t>Roof Top Anchers vs Door Swings</t>
  </si>
  <si>
    <t>RFI-0638</t>
  </si>
  <si>
    <t>roof top anchors vs door swings</t>
  </si>
  <si>
    <t>Outside Air Intake Plenum Level 0 Insulation Alternate</t>
  </si>
  <si>
    <t>RFI-0639</t>
  </si>
  <si>
    <t>outside air intake plenum level 0 insulation alternate</t>
  </si>
  <si>
    <t>Mechanical Penthouse Concrete Curbs</t>
  </si>
  <si>
    <t>RFI-0640</t>
  </si>
  <si>
    <t>mechanical penthouse concrete curbs</t>
  </si>
  <si>
    <t>Courtroom Ceiling  Acoustics</t>
  </si>
  <si>
    <t>COW-0204</t>
  </si>
  <si>
    <t>PCO-0185</t>
  </si>
  <si>
    <t>CE 276</t>
  </si>
  <si>
    <t>CO-0169</t>
  </si>
  <si>
    <t>Courtroom 2100 Clarification of Backlit Wall Panels</t>
  </si>
  <si>
    <t>SI-0087</t>
  </si>
  <si>
    <t>Data Cooling Room Size Revisions (RFI-0537)</t>
  </si>
  <si>
    <t>SI-0088</t>
  </si>
  <si>
    <t>Cellular DAS Band Support Clarification (RFI-0468)</t>
  </si>
  <si>
    <t>SI-0089</t>
  </si>
  <si>
    <t>SI-0090</t>
  </si>
  <si>
    <t>Cellular DAS &amp; Emergency DAS System Labeling (RFI-421)</t>
  </si>
  <si>
    <t>SI-0091</t>
  </si>
  <si>
    <t>EF-104 Exhause Duct Configuration</t>
  </si>
  <si>
    <t>SI-0092</t>
  </si>
  <si>
    <t>Witness Stand Data Port Assignment</t>
  </si>
  <si>
    <t>SI-0093</t>
  </si>
  <si>
    <t>Smoke Control Matrix Revision</t>
  </si>
  <si>
    <t>SI-0094</t>
  </si>
  <si>
    <t>Patinting Revisions</t>
  </si>
  <si>
    <t>SI-0095</t>
  </si>
  <si>
    <t>Painting Revisions</t>
  </si>
  <si>
    <t>SI-0095 R1</t>
  </si>
  <si>
    <t>Smoke Control Matrix Design Intent Clarifications</t>
  </si>
  <si>
    <t>SI-0096</t>
  </si>
  <si>
    <t>EMCS Control Sequence Revisions (PCO-0073 R2)</t>
  </si>
  <si>
    <t>SI-0097</t>
  </si>
  <si>
    <t>REF PCO-0073</t>
  </si>
  <si>
    <t>Updated Mechanical Equipment Schedule (RFI-0623)</t>
  </si>
  <si>
    <t>SI-0098</t>
  </si>
  <si>
    <t>Fall Arrest Beams</t>
  </si>
  <si>
    <t>SI-0099</t>
  </si>
  <si>
    <t>Fall Arrest Anchor Requirements</t>
  </si>
  <si>
    <t>SEE COW-0177</t>
  </si>
  <si>
    <t>See CO-0165</t>
  </si>
  <si>
    <t>9 roof anchors requested to accommodate swing stage</t>
  </si>
  <si>
    <t>RFI-0641</t>
  </si>
  <si>
    <t>L1 wicket millwork rails</t>
  </si>
  <si>
    <t>RFI-0642</t>
  </si>
  <si>
    <t>vanity coutertop overhang</t>
  </si>
  <si>
    <t>PCO 186 Inquires (RFI 596&amp; 631)</t>
  </si>
  <si>
    <t>RFI-0643</t>
  </si>
  <si>
    <t>SEE COW-0205R1</t>
  </si>
  <si>
    <t>SEE 2 CO-0174</t>
  </si>
  <si>
    <t>PCO-186 inquiries (rfi 596 &amp; 631</t>
  </si>
  <si>
    <t>Room 2006 and 3578 Electrical and Low Voltage Design</t>
  </si>
  <si>
    <t>RFI-0644</t>
  </si>
  <si>
    <t>COW-0212</t>
  </si>
  <si>
    <t>PCO-0193</t>
  </si>
  <si>
    <t>CE 286</t>
  </si>
  <si>
    <t>CO-0187</t>
  </si>
  <si>
    <t xml:space="preserve">room 2006 and 3578 electrical and low voltage </t>
  </si>
  <si>
    <t>Sprinkler Zones and Nomenclature for Fire Alarm Panel</t>
  </si>
  <si>
    <t>RFI-0645</t>
  </si>
  <si>
    <t>Sprinkler zones and nomenclature for fire alarm</t>
  </si>
  <si>
    <t>Back of Toliet GB-2 Heights</t>
  </si>
  <si>
    <t>RFI-0646</t>
  </si>
  <si>
    <t>back of toilet GB-2 heights</t>
  </si>
  <si>
    <t>R2-R3 coordination details</t>
  </si>
  <si>
    <t>RFI-0647</t>
  </si>
  <si>
    <t>200 vs 250 Forcemain Inlet Pipe at Lift Station</t>
  </si>
  <si>
    <t>RFI-0648</t>
  </si>
  <si>
    <t>200 vs 250 forcemain inlet pipe t lift station</t>
  </si>
  <si>
    <t>Podium Clearstory - Roof Ponding</t>
  </si>
  <si>
    <t>RFI-0649</t>
  </si>
  <si>
    <t>podium clearstory- roof ponding</t>
  </si>
  <si>
    <t>CIP Sleeves for Lift Station</t>
  </si>
  <si>
    <t>RFI-0650</t>
  </si>
  <si>
    <t>cip sleeves for lift station</t>
  </si>
  <si>
    <t>Courtroom Lectern Casters</t>
  </si>
  <si>
    <t>RFI-0651</t>
  </si>
  <si>
    <t>courtroom lectern casters</t>
  </si>
  <si>
    <t>Duct Cleaning Clarification</t>
  </si>
  <si>
    <t>RFI-0652</t>
  </si>
  <si>
    <t>duct cleaning clarification</t>
  </si>
  <si>
    <t>L2 &amp; L3 Ceiling , wall &amp; Infill Revisions</t>
  </si>
  <si>
    <t>RFI-0653</t>
  </si>
  <si>
    <t>FO-0036</t>
  </si>
  <si>
    <t>COW-0211 R1</t>
  </si>
  <si>
    <t>CO-0179</t>
  </si>
  <si>
    <t>open shaft PA1/2</t>
  </si>
  <si>
    <t>Confirm Public Safety and Cellular DAS Rack Layouts</t>
  </si>
  <si>
    <t>RFI-0654</t>
  </si>
  <si>
    <t>confirm public safety and cellular das rack layouts</t>
  </si>
  <si>
    <t>Stone Veneer Cladding Return Detail</t>
  </si>
  <si>
    <t>RFI-0655</t>
  </si>
  <si>
    <t>stone veneer cladding return detail</t>
  </si>
  <si>
    <t>Level-2 W12 Header Detail</t>
  </si>
  <si>
    <t>RFI-0656</t>
  </si>
  <si>
    <t>level 2-W12 header detail</t>
  </si>
  <si>
    <t>Public Safety and Cellular Das Antenna Conduit and Infrastructure Coordination</t>
  </si>
  <si>
    <t>RFI-0657</t>
  </si>
  <si>
    <t xml:space="preserve">public safety and cellular das antenna conduit and </t>
  </si>
  <si>
    <t>Storm System Piping Insulation</t>
  </si>
  <si>
    <t>RFI-0658</t>
  </si>
  <si>
    <t>Storm system piping insulation</t>
  </si>
  <si>
    <t>Firelite Glass in HMD</t>
  </si>
  <si>
    <t>RFI-0659</t>
  </si>
  <si>
    <t>RDJC- Firelites Glass in HMD</t>
  </si>
  <si>
    <t>Judges Benches &amp; Clerk Station Chaseways</t>
  </si>
  <si>
    <t>RFI-0660</t>
  </si>
  <si>
    <t>Judges Benches &amp; Clerk Stations Chaseways</t>
  </si>
  <si>
    <t>Entryway Wall Types do not Match Drawings</t>
  </si>
  <si>
    <t>RFI-0661</t>
  </si>
  <si>
    <t>Entry way Wall types do not match drawings</t>
  </si>
  <si>
    <t>Solid Walnut/Recon Walnut Veneer Aesthetic</t>
  </si>
  <si>
    <t>RFI-0662</t>
  </si>
  <si>
    <t>Solid Walnut/Recon Walnut Veneer aethetic</t>
  </si>
  <si>
    <t>Detention Stairwell surveillance Cameras</t>
  </si>
  <si>
    <t>COW-0207</t>
  </si>
  <si>
    <t>PCO-0188</t>
  </si>
  <si>
    <t>CE 279</t>
  </si>
  <si>
    <t>CO-0182</t>
  </si>
  <si>
    <t>Detention cell frames</t>
  </si>
  <si>
    <t>COW-0208</t>
  </si>
  <si>
    <t>PCO-0189</t>
  </si>
  <si>
    <t>CE 281</t>
  </si>
  <si>
    <t>CO-0175</t>
  </si>
  <si>
    <t>Wap revisions</t>
  </si>
  <si>
    <t>COW-0210</t>
  </si>
  <si>
    <t>PCO-0190</t>
  </si>
  <si>
    <t>Sally Port Roof Inner Parapet Finish</t>
  </si>
  <si>
    <t>RFI-0663</t>
  </si>
  <si>
    <t>sally port roof inner parapet finish</t>
  </si>
  <si>
    <t>Additional Backing for Millwork Supports</t>
  </si>
  <si>
    <t>RFI-0664</t>
  </si>
  <si>
    <t>additional backing for millwork supports</t>
  </si>
  <si>
    <t>26 28 16-1  R1 Motor and Ciruit Disconnect submittal answer</t>
  </si>
  <si>
    <t>RFI-0665</t>
  </si>
  <si>
    <t>motor and circuit disconnects</t>
  </si>
  <si>
    <t>Elevator 1/2/3 Exterior Cladding Construction Part 2</t>
  </si>
  <si>
    <t>RFI-0666</t>
  </si>
  <si>
    <t>elevator 1/2/3/ exterior cladding construction</t>
  </si>
  <si>
    <t>Podium GL X3 Cladding</t>
  </si>
  <si>
    <t>RFI-0667</t>
  </si>
  <si>
    <t>Flashing &amp; Louver Finish Schedule</t>
  </si>
  <si>
    <t>SI-100</t>
  </si>
  <si>
    <t>Flashing &amp; Louver Finish schedule</t>
  </si>
  <si>
    <t>DAS Infrastructure Installation</t>
  </si>
  <si>
    <t>SI-102</t>
  </si>
  <si>
    <t>DAS Installation</t>
  </si>
  <si>
    <t>DAS Fabrication Model</t>
  </si>
  <si>
    <t>SI-103</t>
  </si>
  <si>
    <t>Das Installation Fabrication model</t>
  </si>
  <si>
    <t>RFI-0668</t>
  </si>
  <si>
    <t>COW-0232 R1</t>
  </si>
  <si>
    <t>PCO-0210R1</t>
  </si>
  <si>
    <t>CE-0315</t>
  </si>
  <si>
    <t>CO-0202</t>
  </si>
  <si>
    <t>PMI RFI-23 Clearstory Radient Grilles</t>
  </si>
  <si>
    <t>RFI-0669</t>
  </si>
  <si>
    <t>Level 1 Access Panel Location Concerns</t>
  </si>
  <si>
    <t>RFI-0670</t>
  </si>
  <si>
    <t>Acess Door Paint Colours</t>
  </si>
  <si>
    <t>RFI-0671</t>
  </si>
  <si>
    <t>PCO-0190-WAP Location Mounting Brackets</t>
  </si>
  <si>
    <t>RFI-0672</t>
  </si>
  <si>
    <t>Bifold Door Construction and Hardware</t>
  </si>
  <si>
    <t>RFI-0673</t>
  </si>
  <si>
    <t>RFI-656 Response Clarifications</t>
  </si>
  <si>
    <t>RFI-0674</t>
  </si>
  <si>
    <t>Tactile Plates &amp; Indicators Options</t>
  </si>
  <si>
    <t>RFI-0675</t>
  </si>
  <si>
    <t>Regenerative Elevator on Generator Power</t>
  </si>
  <si>
    <t>RFI-0676</t>
  </si>
  <si>
    <t>Chiller Well Platform Thrermal Bridging</t>
  </si>
  <si>
    <t>RFI-0677</t>
  </si>
  <si>
    <t>Revised courts Naming</t>
  </si>
  <si>
    <t>SI-104</t>
  </si>
  <si>
    <t xml:space="preserve">IAQ testing </t>
  </si>
  <si>
    <t>SI-105</t>
  </si>
  <si>
    <t>SI-106</t>
  </si>
  <si>
    <t>radiant heating and cabinets in APU rooms P%!% &amp; P513</t>
  </si>
  <si>
    <t>SI-107</t>
  </si>
  <si>
    <t>General Mechanical Accessibility</t>
  </si>
  <si>
    <t>SI-108</t>
  </si>
  <si>
    <t>RFI-0678</t>
  </si>
  <si>
    <t>Level ) corridor ceiling height</t>
  </si>
  <si>
    <t>RFI-0679</t>
  </si>
  <si>
    <t>STC Rated Ceilings</t>
  </si>
  <si>
    <t>Penthouse Parapet Supports</t>
  </si>
  <si>
    <t>RFI-0680</t>
  </si>
  <si>
    <t>COW-000</t>
  </si>
  <si>
    <t>CE 290</t>
  </si>
  <si>
    <t>CO-0203</t>
  </si>
  <si>
    <t>Penthouse roof parapets support</t>
  </si>
  <si>
    <t>RFI-0681</t>
  </si>
  <si>
    <t>shower soap dishes and ledges</t>
  </si>
  <si>
    <t>RFI-0682</t>
  </si>
  <si>
    <t>static dissipiative tile on access flooring</t>
  </si>
  <si>
    <t>Chiller Well Damp RO Framing</t>
  </si>
  <si>
    <t>RFI-0683</t>
  </si>
  <si>
    <t>COW-0218</t>
  </si>
  <si>
    <t>PCO-0199</t>
  </si>
  <si>
    <t>CE 296</t>
  </si>
  <si>
    <t>CO-0193</t>
  </si>
  <si>
    <t>Chiller well louver support</t>
  </si>
  <si>
    <t>RFI-0684</t>
  </si>
  <si>
    <t>ECMS Panel location conflict with radiator</t>
  </si>
  <si>
    <t>RFI-0685</t>
  </si>
  <si>
    <t>Owner supplied system furniture</t>
  </si>
  <si>
    <t>RFI-0686</t>
  </si>
  <si>
    <t>AV fire alarm connection</t>
  </si>
  <si>
    <t>RFI-0687</t>
  </si>
  <si>
    <t>Courtroom 1100 WV1 Grain direction clarification</t>
  </si>
  <si>
    <t>RFI-0688</t>
  </si>
  <si>
    <t>3rd floor south - missing dimensions</t>
  </si>
  <si>
    <t>RFI-0689</t>
  </si>
  <si>
    <t>main floor podium partial height wall height at rm</t>
  </si>
  <si>
    <t>RFI-0690</t>
  </si>
  <si>
    <t>courtroom entrance lighting</t>
  </si>
  <si>
    <t>Courtroom entrance lighting circuit</t>
  </si>
  <si>
    <t>SI-110</t>
  </si>
  <si>
    <t>Revised Silencer SL-150 Configuration</t>
  </si>
  <si>
    <t>RFI-0691</t>
  </si>
  <si>
    <t>COW-0220</t>
  </si>
  <si>
    <t>PCO-0201</t>
  </si>
  <si>
    <t>CE-299</t>
  </si>
  <si>
    <t>CO-0188</t>
  </si>
  <si>
    <t>courtroom 6202 silencer</t>
  </si>
  <si>
    <t>Revised East Linear Grille  Roller Shade Ceiling Detail (RFI-0692)</t>
  </si>
  <si>
    <t>RFI-0692</t>
  </si>
  <si>
    <t>COW-0221</t>
  </si>
  <si>
    <t>PCO-0202</t>
  </si>
  <si>
    <t>CE-300</t>
  </si>
  <si>
    <t>CO-0217</t>
  </si>
  <si>
    <t>glazing linear grilles</t>
  </si>
  <si>
    <t>RFI-0693</t>
  </si>
  <si>
    <t>millwork length in jury deliberation rooms</t>
  </si>
  <si>
    <t>RFI-0694</t>
  </si>
  <si>
    <t>penthouse west wall outside air plenum</t>
  </si>
  <si>
    <t>RFI-0695</t>
  </si>
  <si>
    <t>PCO-92 r4 light standard pile vs storm tanl</t>
  </si>
  <si>
    <t>RFI-0696</t>
  </si>
  <si>
    <t>missing dimensions for courtroom 6400</t>
  </si>
  <si>
    <t>RFI-0697</t>
  </si>
  <si>
    <t>type 400 hand rail lighting</t>
  </si>
  <si>
    <t>RFI-0698</t>
  </si>
  <si>
    <t>PCO-0111 emergency overflow drain</t>
  </si>
  <si>
    <t>RFI-0699</t>
  </si>
  <si>
    <t>PCO-196-Detention modesty existing materials</t>
  </si>
  <si>
    <t>RFI-0700</t>
  </si>
  <si>
    <t>Removable jury rail method of attachment</t>
  </si>
  <si>
    <t>RFI-0701</t>
  </si>
  <si>
    <t>Check valve line &amp; back pressure for MH D6 &amp; OGS</t>
  </si>
  <si>
    <t>HSS support at Fire Shutters</t>
  </si>
  <si>
    <t>RFI-0702</t>
  </si>
  <si>
    <t>COW-0230</t>
  </si>
  <si>
    <t>PCO-0209</t>
  </si>
  <si>
    <t>CE-0313</t>
  </si>
  <si>
    <t>CO-0206</t>
  </si>
  <si>
    <t>Steel Supports for fire shutters</t>
  </si>
  <si>
    <t>RFI-0703</t>
  </si>
  <si>
    <t xml:space="preserve">terazzo base detail </t>
  </si>
  <si>
    <t>Chiller Well Stair Landing</t>
  </si>
  <si>
    <t>RFI-0704</t>
  </si>
  <si>
    <t>SEE COW-0244R1</t>
  </si>
  <si>
    <t>PCO-0219</t>
  </si>
  <si>
    <t>SEE CO-0237</t>
  </si>
  <si>
    <t>chiller well interior stair landing</t>
  </si>
  <si>
    <t>RFI-0705</t>
  </si>
  <si>
    <t>penthouse EMCS panel relocation</t>
  </si>
  <si>
    <t>RFI-0706</t>
  </si>
  <si>
    <t>sign 1d-10 and sign 1d-25</t>
  </si>
  <si>
    <t xml:space="preserve">W34A Opening- 8th floor 8555B </t>
  </si>
  <si>
    <t>RFI-0707</t>
  </si>
  <si>
    <t>COW-0228</t>
  </si>
  <si>
    <t>PCO-0207</t>
  </si>
  <si>
    <t>CE 0309</t>
  </si>
  <si>
    <t>CO-0197</t>
  </si>
  <si>
    <t>Fibreglass frame W34A vs structural steel</t>
  </si>
  <si>
    <t>RFI-0708</t>
  </si>
  <si>
    <t>penthouse gravity relief hood support</t>
  </si>
  <si>
    <t>RFI-0709</t>
  </si>
  <si>
    <t>Braille on signs on ID-0 and ID-10</t>
  </si>
  <si>
    <t>Signage Braile Rev</t>
  </si>
  <si>
    <t>SI-111</t>
  </si>
  <si>
    <t>RFI-0710</t>
  </si>
  <si>
    <t>Bulk head interferes with aluminium frmae</t>
  </si>
  <si>
    <t>RFI-0711</t>
  </si>
  <si>
    <t>measurements required backing 2nd floor</t>
  </si>
  <si>
    <t>Misc. Steel Stud &amp; Gypsum Board Revisions</t>
  </si>
  <si>
    <t>RFI-0712</t>
  </si>
  <si>
    <t>SEE 2 CO-0237</t>
  </si>
  <si>
    <t>rm 1053 fire rating</t>
  </si>
  <si>
    <t>RFI-0713</t>
  </si>
  <si>
    <t>Dimensions required</t>
  </si>
  <si>
    <t>RFI-0714</t>
  </si>
  <si>
    <t>Light standards within planters discrepancy</t>
  </si>
  <si>
    <t>RFI-0715</t>
  </si>
  <si>
    <t>Courtroom 2100 transfer Air openings</t>
  </si>
  <si>
    <t>RFI-0716</t>
  </si>
  <si>
    <t>Courtroom Panelling detailing</t>
  </si>
  <si>
    <t>Detention Modesty Panels</t>
  </si>
  <si>
    <t>COW-0215</t>
  </si>
  <si>
    <t>PCO-0196 R1</t>
  </si>
  <si>
    <t>CE 0384</t>
  </si>
  <si>
    <t>see CO-0239</t>
  </si>
  <si>
    <t>Door Hardware Acoustic revisions</t>
  </si>
  <si>
    <t>COW-0216</t>
  </si>
  <si>
    <t>PCO-0197</t>
  </si>
  <si>
    <t>CE 293</t>
  </si>
  <si>
    <t>CO-0190</t>
  </si>
  <si>
    <t>Concrete Beam 2B18A</t>
  </si>
  <si>
    <t>COW-0217</t>
  </si>
  <si>
    <t>PCO-0198</t>
  </si>
  <si>
    <t>CE 295</t>
  </si>
  <si>
    <t>CO-0183</t>
  </si>
  <si>
    <t>1549 Generator Romm Access Platform</t>
  </si>
  <si>
    <t>COW-0219</t>
  </si>
  <si>
    <t>PCO-0200</t>
  </si>
  <si>
    <t>CE 298</t>
  </si>
  <si>
    <t>CO-0196</t>
  </si>
  <si>
    <t>Misc Level 0,1 &amp; 9interior Revisions</t>
  </si>
  <si>
    <t>COW-0223</t>
  </si>
  <si>
    <t>PCO-0204</t>
  </si>
  <si>
    <t>CE 303</t>
  </si>
  <si>
    <t>CO-0191</t>
  </si>
  <si>
    <t>Enhanced Das Fabrication</t>
  </si>
  <si>
    <t>COW-0224</t>
  </si>
  <si>
    <t>CE 294</t>
  </si>
  <si>
    <t>CO-0181</t>
  </si>
  <si>
    <t>Millwork Revisions</t>
  </si>
  <si>
    <t>COW-0225</t>
  </si>
  <si>
    <t>PCO-0205</t>
  </si>
  <si>
    <t>CE 304</t>
  </si>
  <si>
    <t>CO-0236</t>
  </si>
  <si>
    <t>RFI-0717</t>
  </si>
  <si>
    <t>Accessory locations in bathroom 2041 &amp; 2051</t>
  </si>
  <si>
    <t>Elevator 1,2,3, Revised framing</t>
  </si>
  <si>
    <t>RFI-0718</t>
  </si>
  <si>
    <t>See Cow-0232 R1</t>
  </si>
  <si>
    <t>Elevator 1/2/3/ Cladding vs roof maintenance</t>
  </si>
  <si>
    <t>RFI-0719</t>
  </si>
  <si>
    <t>Braile on signage</t>
  </si>
  <si>
    <t>RFI-0720</t>
  </si>
  <si>
    <t>Clerk Headset stereo</t>
  </si>
  <si>
    <t>RFI-0721</t>
  </si>
  <si>
    <t>courtroom entrance drywall</t>
  </si>
  <si>
    <t>RFI-0722</t>
  </si>
  <si>
    <t>Fire damper between 2100 an dcorridor 2656</t>
  </si>
  <si>
    <t>Virtual Court - Cash Allowance closeout</t>
  </si>
  <si>
    <t>CO-0184</t>
  </si>
  <si>
    <t>Sorensen Station Licensing Agreement CA closeout</t>
  </si>
  <si>
    <t>CO-0185</t>
  </si>
  <si>
    <t>Courtroom backwall modifications CA closeout</t>
  </si>
  <si>
    <t>CO-0186</t>
  </si>
  <si>
    <t>RFI-0723</t>
  </si>
  <si>
    <t>CB 4A &amp; D3 vs utility conflicts</t>
  </si>
  <si>
    <t>RFI-0724</t>
  </si>
  <si>
    <t xml:space="preserve">Penthouse trnsformer box beam revision room </t>
  </si>
  <si>
    <t>RFI-0725</t>
  </si>
  <si>
    <t>Glazing comments related to the shop drawings review</t>
  </si>
  <si>
    <t>Misc. Steel Stud &amp; Gypsum Board Revisions (RFI-0712, RFI-0726), PCO-0217 - Vestibule 1101 Damper Relocation, PCO-0219 R1 - Chiller Well Stair Landing (RFI-0704)</t>
  </si>
  <si>
    <t>RFI-0726</t>
  </si>
  <si>
    <t>COW-0235</t>
  </si>
  <si>
    <t>PCO-0213</t>
  </si>
  <si>
    <t>CE 319</t>
  </si>
  <si>
    <t>CO-0237</t>
  </si>
  <si>
    <t>L8 Column &amp; millwork Conflicts</t>
  </si>
  <si>
    <t>RFI-0727</t>
  </si>
  <si>
    <t>Bulkheads above millwork</t>
  </si>
  <si>
    <t>Lvl 6 VAV Box Holding cells</t>
  </si>
  <si>
    <t>RFI-0728</t>
  </si>
  <si>
    <t>COW-0233</t>
  </si>
  <si>
    <t>PCO-0211</t>
  </si>
  <si>
    <t>CE 317</t>
  </si>
  <si>
    <t>CO-0204</t>
  </si>
  <si>
    <t>6th floor VAV Box rqmnt</t>
  </si>
  <si>
    <t>RFI-0729</t>
  </si>
  <si>
    <t>Security Camera Network type identifier</t>
  </si>
  <si>
    <t>RFI-0730</t>
  </si>
  <si>
    <t>Minimum distance from DAS Antenna to WAP</t>
  </si>
  <si>
    <t>RFI-0731</t>
  </si>
  <si>
    <t>Lvl 0 &amp; 1 Electrical detention fixture discrepancies</t>
  </si>
  <si>
    <t>Frost Control Sequencing</t>
  </si>
  <si>
    <t>RFI-0732</t>
  </si>
  <si>
    <t>COW-0243</t>
  </si>
  <si>
    <t>PCO-0218</t>
  </si>
  <si>
    <t>HRV 101-104 Frost control sequecing</t>
  </si>
  <si>
    <t>HRV101-104 Frost Control Sequencing</t>
  </si>
  <si>
    <t>SI-124</t>
  </si>
  <si>
    <t>Rm 1045 &amp; 1043 Ventilation Requirements</t>
  </si>
  <si>
    <t>RFI-0733</t>
  </si>
  <si>
    <t>COW-0234</t>
  </si>
  <si>
    <t>PCO-0212</t>
  </si>
  <si>
    <t>CE 320</t>
  </si>
  <si>
    <t>CO-0205</t>
  </si>
  <si>
    <t>Ventilation rqmnts room 1045 &amp; 1043</t>
  </si>
  <si>
    <t>RFI-0734</t>
  </si>
  <si>
    <t>Courtroom 2100 exit sign discrepancies</t>
  </si>
  <si>
    <t>Courtroom Conference_Interview Room</t>
  </si>
  <si>
    <t>COW-0222</t>
  </si>
  <si>
    <t>PCO-0203</t>
  </si>
  <si>
    <t>CE 308</t>
  </si>
  <si>
    <t>CO-0192</t>
  </si>
  <si>
    <t>M-42</t>
  </si>
  <si>
    <t>Crown Change</t>
  </si>
  <si>
    <t>CO-0194</t>
  </si>
  <si>
    <t>RFI-0735</t>
  </si>
  <si>
    <t>retractable bollards traffic lights</t>
  </si>
  <si>
    <t>RFI-0736</t>
  </si>
  <si>
    <t>27 53 20.02 cellular DAS hybrid fibre in cable tray</t>
  </si>
  <si>
    <t xml:space="preserve">Generator Power </t>
  </si>
  <si>
    <t>RFI-0737</t>
  </si>
  <si>
    <t>COW-0249</t>
  </si>
  <si>
    <t>PCO-0224</t>
  </si>
  <si>
    <t>CE 0338</t>
  </si>
  <si>
    <t>CO-0240</t>
  </si>
  <si>
    <t>generator accessory power</t>
  </si>
  <si>
    <t>Fire alarm Smoke damper Revisions</t>
  </si>
  <si>
    <t>RFI-0738</t>
  </si>
  <si>
    <t>COW-0261</t>
  </si>
  <si>
    <t>PCO-0235</t>
  </si>
  <si>
    <t>CE 357</t>
  </si>
  <si>
    <t>CO-0230</t>
  </si>
  <si>
    <t>control of extra damper motor</t>
  </si>
  <si>
    <t>Concurrent with CE 83</t>
  </si>
  <si>
    <t>RFI-0739</t>
  </si>
  <si>
    <t>installation of porcelin tile orientation</t>
  </si>
  <si>
    <t>RFI-0740</t>
  </si>
  <si>
    <t>closure of raised access floor</t>
  </si>
  <si>
    <t>RFI-0741</t>
  </si>
  <si>
    <t>lighting control schedule</t>
  </si>
  <si>
    <t>RFI-0742</t>
  </si>
  <si>
    <t>west chiller wall louver framing</t>
  </si>
  <si>
    <t>RFI-0743</t>
  </si>
  <si>
    <t>shaft wall relocation due to mechanical piping</t>
  </si>
  <si>
    <t>RFI-0744</t>
  </si>
  <si>
    <t>washroom accessories mounting heights</t>
  </si>
  <si>
    <t>RFI-0745</t>
  </si>
  <si>
    <t>light fixture 110 &amp; 110C layout</t>
  </si>
  <si>
    <t>RFI-0746</t>
  </si>
  <si>
    <t>Concrete protruding  past drywall finish</t>
  </si>
  <si>
    <t>RFI-0747</t>
  </si>
  <si>
    <t>request to del shaft on L9</t>
  </si>
  <si>
    <t>RFI-0748</t>
  </si>
  <si>
    <t>Elevator 7/8- PA 4 shaft separation</t>
  </si>
  <si>
    <t>RFI-0749</t>
  </si>
  <si>
    <t>EMCS Samle Graphic comment followup</t>
  </si>
  <si>
    <t>EMCS Sample Graphic</t>
  </si>
  <si>
    <t>SI-121</t>
  </si>
  <si>
    <t>RFI-0750</t>
  </si>
  <si>
    <t>Lift station FIT -011 position</t>
  </si>
  <si>
    <t>Elevator equipment Conduit</t>
  </si>
  <si>
    <t>RFI-0751</t>
  </si>
  <si>
    <t>COW-0250</t>
  </si>
  <si>
    <t>PCO-0225</t>
  </si>
  <si>
    <t>CE-0339</t>
  </si>
  <si>
    <t>CO-0215</t>
  </si>
  <si>
    <t>conduit required for elevator equipment wiring</t>
  </si>
  <si>
    <t>Canvas Wrap SAP</t>
  </si>
  <si>
    <t>RFI-0752</t>
  </si>
  <si>
    <t>COW-0259</t>
  </si>
  <si>
    <t>PCO-0233</t>
  </si>
  <si>
    <t>CE-0351</t>
  </si>
  <si>
    <t>CO-0225</t>
  </si>
  <si>
    <t>Painting rqmnt above SAP-2 ceiling</t>
  </si>
  <si>
    <t>Level 7 EV4 landing</t>
  </si>
  <si>
    <t>RFI-0753</t>
  </si>
  <si>
    <t>COW-0239</t>
  </si>
  <si>
    <t>PCO-0215</t>
  </si>
  <si>
    <t>CE 0329</t>
  </si>
  <si>
    <t>CO-0239</t>
  </si>
  <si>
    <t>Elevator Threshold Height on L7</t>
  </si>
  <si>
    <t>RFI-0754</t>
  </si>
  <si>
    <t>Snowmelt trench direction</t>
  </si>
  <si>
    <t>RFI-0755</t>
  </si>
  <si>
    <t>Furring wall missing</t>
  </si>
  <si>
    <t>RFI-0756</t>
  </si>
  <si>
    <t>Exterior mock ups proposal</t>
  </si>
  <si>
    <t>RFI-0757</t>
  </si>
  <si>
    <t>ceiling height vs radiant panel elevation</t>
  </si>
  <si>
    <t>RFI-0758</t>
  </si>
  <si>
    <t>SAP-5 Ceiling structure</t>
  </si>
  <si>
    <t>RFI-0759</t>
  </si>
  <si>
    <t>27 53 20.01 Public safety DAS Coax  Tolerance</t>
  </si>
  <si>
    <t>RFI-0760</t>
  </si>
  <si>
    <t>Smoke detector at top of stair 1/2 &amp; 3/4 not accessible</t>
  </si>
  <si>
    <t>Stair 1_2 &amp; 3_4 Smoke Detectors</t>
  </si>
  <si>
    <t>SI-118</t>
  </si>
  <si>
    <t>Penthouse Damper Revisions</t>
  </si>
  <si>
    <t>RFI-0761</t>
  </si>
  <si>
    <t>COW-0248</t>
  </si>
  <si>
    <t>PCO-0223</t>
  </si>
  <si>
    <t>CE-0341</t>
  </si>
  <si>
    <t>CO-0211</t>
  </si>
  <si>
    <t xml:space="preserve">PCO-0155 follow up smoke dampers </t>
  </si>
  <si>
    <t>RFI-0762</t>
  </si>
  <si>
    <t>Acrylic shower base vs epoxy base in B629</t>
  </si>
  <si>
    <t>RFI-0763</t>
  </si>
  <si>
    <t>Ceiling height for rooms 6401, 6402, 6403</t>
  </si>
  <si>
    <t>Courtroom 6200 Docket Glazing</t>
  </si>
  <si>
    <t>COW-0236</t>
  </si>
  <si>
    <t>PCO-0214</t>
  </si>
  <si>
    <t>CE-0321</t>
  </si>
  <si>
    <t>CO-0216</t>
  </si>
  <si>
    <t>PDUs for AV, ESS and CTS Equipment Racks</t>
  </si>
  <si>
    <t>COW-0237</t>
  </si>
  <si>
    <t>PCO-0192</t>
  </si>
  <si>
    <t>CE-0323</t>
  </si>
  <si>
    <t>CO-0222</t>
  </si>
  <si>
    <t>RFI-0764</t>
  </si>
  <si>
    <t>Courtroom 6200 Supply boot closet</t>
  </si>
  <si>
    <t>Courtroom 6200 supply Boot Conflict</t>
  </si>
  <si>
    <t>SI-117</t>
  </si>
  <si>
    <t>RFI-0765</t>
  </si>
  <si>
    <t>Basement bulk head request</t>
  </si>
  <si>
    <t>RFI-0766</t>
  </si>
  <si>
    <t>Fire rating Room 1611</t>
  </si>
  <si>
    <t>RFI-0767</t>
  </si>
  <si>
    <t>shaft and duct conflict corridor 2539</t>
  </si>
  <si>
    <t>RFI-0768</t>
  </si>
  <si>
    <t>SAP-5 in room 2559</t>
  </si>
  <si>
    <t>RFI-0769</t>
  </si>
  <si>
    <t>Av shop drawing Vulnerable witness room question</t>
  </si>
  <si>
    <t>RFI-0770</t>
  </si>
  <si>
    <t>Network Draft report Question</t>
  </si>
  <si>
    <t>Chiller Well Stair Landing_RFI-704_Transformer Vault Access Grating (RFI-771)</t>
  </si>
  <si>
    <t>RFI-0771</t>
  </si>
  <si>
    <t>COW-0244R1</t>
  </si>
  <si>
    <t>Transformer Vault Steel Grating Access</t>
  </si>
  <si>
    <t>RFI-0772</t>
  </si>
  <si>
    <t>Level 7 Door 7St5A and 7ST6A</t>
  </si>
  <si>
    <t>RFI-0773</t>
  </si>
  <si>
    <t>PCO-0192 PDU Procurement Lead Time</t>
  </si>
  <si>
    <t>RFI-0774</t>
  </si>
  <si>
    <t>Roof Anchors 32a &amp; 34A vs Mechanical Curbs</t>
  </si>
  <si>
    <t>RFI-0775</t>
  </si>
  <si>
    <t>2316- SAP5- SAP6</t>
  </si>
  <si>
    <t>Solid Wood Stops in Wood Doors</t>
  </si>
  <si>
    <t>RFI-0776</t>
  </si>
  <si>
    <t>COW-0252</t>
  </si>
  <si>
    <t>PCO-0228</t>
  </si>
  <si>
    <t>CE-0344</t>
  </si>
  <si>
    <t>CO-0209</t>
  </si>
  <si>
    <t>Solid Wood Stops in Wood doors</t>
  </si>
  <si>
    <t>RFI-0777</t>
  </si>
  <si>
    <t>Diffusers in courtroom 2100 Ceiling</t>
  </si>
  <si>
    <t>Misc Interior Revisions</t>
  </si>
  <si>
    <t>RFI-0778</t>
  </si>
  <si>
    <t>COW-0247 R1</t>
  </si>
  <si>
    <t>PCO-0222R1</t>
  </si>
  <si>
    <t>CE-0337</t>
  </si>
  <si>
    <t>CO-0218</t>
  </si>
  <si>
    <t xml:space="preserve">Black wall height </t>
  </si>
  <si>
    <t>Reasons also: Site conditions and cost savings</t>
  </si>
  <si>
    <t>Courtroom 5400 Exhaust Grill</t>
  </si>
  <si>
    <t>RFI-0779</t>
  </si>
  <si>
    <t>COW-0257</t>
  </si>
  <si>
    <t>PCO-0230</t>
  </si>
  <si>
    <t>CE-0347</t>
  </si>
  <si>
    <t>CO-0219</t>
  </si>
  <si>
    <t>Courtroom 5400 exhaust grille clarification</t>
  </si>
  <si>
    <t>Vestibule 101 Damper Relocation</t>
  </si>
  <si>
    <t>COW-0242</t>
  </si>
  <si>
    <t>PCO-0217</t>
  </si>
  <si>
    <t>SEE 3 CO-0237</t>
  </si>
  <si>
    <t>Cable tray Covers</t>
  </si>
  <si>
    <t>COW-0241</t>
  </si>
  <si>
    <t>PCO-0216</t>
  </si>
  <si>
    <t>CE-0331</t>
  </si>
  <si>
    <t>CO-0212</t>
  </si>
  <si>
    <t>Walkable ceiling Maintenance Access</t>
  </si>
  <si>
    <t>COW-0227</t>
  </si>
  <si>
    <t>PCO-0206R1</t>
  </si>
  <si>
    <t>CE 306</t>
  </si>
  <si>
    <t>CO-0199</t>
  </si>
  <si>
    <t>Memorial - cash allowance close out</t>
  </si>
  <si>
    <t>CO-0208</t>
  </si>
  <si>
    <t>cash allowance close out. CACO -0020</t>
  </si>
  <si>
    <t>RFI-0780</t>
  </si>
  <si>
    <t>irrigation controller location</t>
  </si>
  <si>
    <t>RFI-0781</t>
  </si>
  <si>
    <t>generator room load bank conduits &amp; ducts</t>
  </si>
  <si>
    <t>RFI-0782</t>
  </si>
  <si>
    <t>confirmation of electrical distribution lamacoids</t>
  </si>
  <si>
    <t>RFI-0783</t>
  </si>
  <si>
    <t>ceiling type for rooms 4527, 5525 &amp; 6519</t>
  </si>
  <si>
    <t>RFI-0784</t>
  </si>
  <si>
    <t>8541 closet furring</t>
  </si>
  <si>
    <t>Fire Alarm Smoke Damper Revisions (RFI-0738 &amp; RFI-0785)</t>
  </si>
  <si>
    <t>RFI-0785</t>
  </si>
  <si>
    <t>See COW-0261</t>
  </si>
  <si>
    <t>SEE CE 357</t>
  </si>
  <si>
    <t>See CO-0230</t>
  </si>
  <si>
    <t>Control of extra dampers motors &amp; zoning</t>
  </si>
  <si>
    <t>DAS donor Antenna Coax Cables</t>
  </si>
  <si>
    <t>RFI-0786</t>
  </si>
  <si>
    <t>COW-0281</t>
  </si>
  <si>
    <t>PCO-0255</t>
  </si>
  <si>
    <t>CE 387</t>
  </si>
  <si>
    <t>CO-0244</t>
  </si>
  <si>
    <t>27 53 20.01 public safety donor antenna cable</t>
  </si>
  <si>
    <t>Courtroom 2100 Diffusers Fure rated Bulkhead Rm 2oo6</t>
  </si>
  <si>
    <t>RFI-0787</t>
  </si>
  <si>
    <t>COW-0256</t>
  </si>
  <si>
    <t>PCO-0232</t>
  </si>
  <si>
    <t>CE-0349</t>
  </si>
  <si>
    <t>CO-0223</t>
  </si>
  <si>
    <t>Fire rated bulkhead in room 2006</t>
  </si>
  <si>
    <t>Reason also: site conditions</t>
  </si>
  <si>
    <t>RFI-0788</t>
  </si>
  <si>
    <t>HRV101-!04 heat wheel control sequencing</t>
  </si>
  <si>
    <t>RFI-0789</t>
  </si>
  <si>
    <t>pco-104 damper zones confirmation</t>
  </si>
  <si>
    <t>RFI-0790</t>
  </si>
  <si>
    <t>fixed bollards layout vs storm &amp; planters</t>
  </si>
  <si>
    <t>RFI-0791</t>
  </si>
  <si>
    <t>Courtroom status monitor locations</t>
  </si>
  <si>
    <t>RFI-0792</t>
  </si>
  <si>
    <t>PCO-227 fire retardant coating on plywood</t>
  </si>
  <si>
    <t>RFI-0793</t>
  </si>
  <si>
    <t>cobie design file missing doors</t>
  </si>
  <si>
    <t>Radiant heating</t>
  </si>
  <si>
    <t>RFI-0794</t>
  </si>
  <si>
    <t>COW-0260</t>
  </si>
  <si>
    <t>PCO-0234</t>
  </si>
  <si>
    <t>CE 356</t>
  </si>
  <si>
    <t>CO-0228</t>
  </si>
  <si>
    <t>Sta-1/Sta-2 radiant heating</t>
  </si>
  <si>
    <t>RFI-0795</t>
  </si>
  <si>
    <t>auto dialer cabinet</t>
  </si>
  <si>
    <t>RFI-0796</t>
  </si>
  <si>
    <t>entry planter lighting conflicts</t>
  </si>
  <si>
    <t>Step Lighting type 402</t>
  </si>
  <si>
    <t>SI-133</t>
  </si>
  <si>
    <t>RFI-0797</t>
  </si>
  <si>
    <t>27 53 20.01 Public safety 27 53 20.02 cell DAS</t>
  </si>
  <si>
    <t>RFI-0798</t>
  </si>
  <si>
    <t>security bollard integration</t>
  </si>
  <si>
    <t>fire alarm control module relays for mech units</t>
  </si>
  <si>
    <t>RFI-0799</t>
  </si>
  <si>
    <t>COW-0277R1</t>
  </si>
  <si>
    <t>PCO-0251R!</t>
  </si>
  <si>
    <t>CE-0380</t>
  </si>
  <si>
    <t>CO-0259</t>
  </si>
  <si>
    <t>mech eqpmnt Fire alarm shutdown</t>
  </si>
  <si>
    <t>RFI-0800</t>
  </si>
  <si>
    <t>Ceiling height and duct conflict room 1515</t>
  </si>
  <si>
    <t>Bulkhead Rm 1515 CR vest PSF</t>
  </si>
  <si>
    <t>COW-0264</t>
  </si>
  <si>
    <t>PCO-0238</t>
  </si>
  <si>
    <t>CE-0359</t>
  </si>
  <si>
    <t>CO-0224</t>
  </si>
  <si>
    <t>RFI-0801</t>
  </si>
  <si>
    <t>B502 south wall location</t>
  </si>
  <si>
    <t>RFI-0802</t>
  </si>
  <si>
    <t>flagpole locations</t>
  </si>
  <si>
    <t>Revised Faucet in First Aid room B629</t>
  </si>
  <si>
    <t>RFI-0803</t>
  </si>
  <si>
    <t>COW-0265</t>
  </si>
  <si>
    <t>PCO-0239</t>
  </si>
  <si>
    <t>B629 sink power</t>
  </si>
  <si>
    <t>SI-127</t>
  </si>
  <si>
    <t>RFI-0804</t>
  </si>
  <si>
    <t>GL-Y3 Exterior precast concrete panels</t>
  </si>
  <si>
    <t>RFI-0805</t>
  </si>
  <si>
    <t>gas meter enclosure finish conflict</t>
  </si>
  <si>
    <t>RFI-0806</t>
  </si>
  <si>
    <t>pot lights or mechanical rough in at entry 5300</t>
  </si>
  <si>
    <t>Lenel Server - Access Control Licenses</t>
  </si>
  <si>
    <t>RFI-0807</t>
  </si>
  <si>
    <t>COW-0288</t>
  </si>
  <si>
    <t>PCO - 0261</t>
  </si>
  <si>
    <t>CE-0395</t>
  </si>
  <si>
    <t>CO-0250</t>
  </si>
  <si>
    <t xml:space="preserve">lenel server </t>
  </si>
  <si>
    <t>Power requirements at snow melt locations</t>
  </si>
  <si>
    <t>RFI-0808</t>
  </si>
  <si>
    <t>See PCO-0236</t>
  </si>
  <si>
    <t>Snow Melt Manifold Receptacles  &amp; Add power rm 9517</t>
  </si>
  <si>
    <t>SI-135</t>
  </si>
  <si>
    <t>RFI-0809</t>
  </si>
  <si>
    <t>existing flagpole baseplates &amp; Covers</t>
  </si>
  <si>
    <t>RFI-0810</t>
  </si>
  <si>
    <t xml:space="preserve">mullion acoustical details </t>
  </si>
  <si>
    <t>RFI-0811</t>
  </si>
  <si>
    <t>cell DAS Outdoor Signal Strength</t>
  </si>
  <si>
    <t>6200 Prisoner Docket Steel Framing</t>
  </si>
  <si>
    <t>RFI-0812</t>
  </si>
  <si>
    <t>COW-0269</t>
  </si>
  <si>
    <t>PCO-0243</t>
  </si>
  <si>
    <t>CE 369</t>
  </si>
  <si>
    <t>CO-0231</t>
  </si>
  <si>
    <t>6200 prisoner docket Steel framing issue</t>
  </si>
  <si>
    <t>Lightning protection  for DAS Antenna</t>
  </si>
  <si>
    <t>COW-0255</t>
  </si>
  <si>
    <t>PCO-0231</t>
  </si>
  <si>
    <t>CE-0348</t>
  </si>
  <si>
    <t>CO-0213</t>
  </si>
  <si>
    <t>RFI-0813</t>
  </si>
  <si>
    <t>Main Floor PT 5 installation</t>
  </si>
  <si>
    <t>Retractable bollar control wiring</t>
  </si>
  <si>
    <t>RFI-0814</t>
  </si>
  <si>
    <t>COW-0273</t>
  </si>
  <si>
    <t>PCO-0247</t>
  </si>
  <si>
    <t>CE # 374</t>
  </si>
  <si>
    <t>CO-0254</t>
  </si>
  <si>
    <t>retractable bollard control wiring</t>
  </si>
  <si>
    <t>Level 2 Access Platform</t>
  </si>
  <si>
    <t>RFI-0815</t>
  </si>
  <si>
    <t>COW-0287</t>
  </si>
  <si>
    <t>PCO-0260</t>
  </si>
  <si>
    <t>CE-0393</t>
  </si>
  <si>
    <t>CO-0268</t>
  </si>
  <si>
    <t>lvl 2 duct detector coordination</t>
  </si>
  <si>
    <t>Generator Fuel Controller</t>
  </si>
  <si>
    <t>RFI-0816</t>
  </si>
  <si>
    <t>COW-0266</t>
  </si>
  <si>
    <t>PCO-0240</t>
  </si>
  <si>
    <t>CE 362</t>
  </si>
  <si>
    <t>CO-0229</t>
  </si>
  <si>
    <t>fuel controller</t>
  </si>
  <si>
    <t>RFI-0817</t>
  </si>
  <si>
    <t>Courtroom A &amp; F IO Expanders</t>
  </si>
  <si>
    <t>RFI-0818</t>
  </si>
  <si>
    <t>Digital signage Lvl 2 corridor</t>
  </si>
  <si>
    <t>RFI-0819</t>
  </si>
  <si>
    <t>docket displays</t>
  </si>
  <si>
    <t>RFI-0820</t>
  </si>
  <si>
    <t>Mech room bypass lines</t>
  </si>
  <si>
    <t>RFI-0821</t>
  </si>
  <si>
    <t>acoustic metal wall panelling height from floor</t>
  </si>
  <si>
    <t>RFI-0822</t>
  </si>
  <si>
    <t xml:space="preserve">27 53 20.01 public sfety donor </t>
  </si>
  <si>
    <t>RFI-0823</t>
  </si>
  <si>
    <t>public safety distributed antenna system</t>
  </si>
  <si>
    <t>RFI-0824</t>
  </si>
  <si>
    <t>GB FR room 9521</t>
  </si>
  <si>
    <t>Fire Alarm devices Revisions in Clean Agent rooms &amp; Common Areas</t>
  </si>
  <si>
    <t>RFI-0825</t>
  </si>
  <si>
    <t>COW-0267</t>
  </si>
  <si>
    <t>PCO-0241</t>
  </si>
  <si>
    <t>see CE-0363</t>
  </si>
  <si>
    <t>See CO-0241</t>
  </si>
  <si>
    <t>Fire alarm interaction with fire protection</t>
  </si>
  <si>
    <t>RFI-0826</t>
  </si>
  <si>
    <t>landscaping and irrigation around Parsons house</t>
  </si>
  <si>
    <t>Pull Station and exit Lighting Revisions for stair</t>
  </si>
  <si>
    <t>RFI-0827</t>
  </si>
  <si>
    <t>COW-0268</t>
  </si>
  <si>
    <t>PCO-0242</t>
  </si>
  <si>
    <t>See 2 CO-0230</t>
  </si>
  <si>
    <t>pull station level 1 North stair 3/4 exit</t>
  </si>
  <si>
    <t>RFI-0828</t>
  </si>
  <si>
    <t>SAP-5 Ceiling Height of 2069</t>
  </si>
  <si>
    <t>RFI-0829</t>
  </si>
  <si>
    <t>Door 1650a Millwork Wall paneling</t>
  </si>
  <si>
    <t>RFI-0830</t>
  </si>
  <si>
    <t>Fibre Port Placement and Labels</t>
  </si>
  <si>
    <t>Labeling of structured cabling backbone</t>
  </si>
  <si>
    <t>SI-132</t>
  </si>
  <si>
    <t>RFI-0831</t>
  </si>
  <si>
    <t>Level 9 Shaft opening</t>
  </si>
  <si>
    <t>RFI-0832</t>
  </si>
  <si>
    <t>South stair to parsons house</t>
  </si>
  <si>
    <t>RFI-0833</t>
  </si>
  <si>
    <t>Wood veener door detail in courtrooms B&lt;C,D,E and F</t>
  </si>
  <si>
    <t>RFI-0834</t>
  </si>
  <si>
    <t>Fire rating exposed steel columns in penthouse</t>
  </si>
  <si>
    <t>RFI-0835</t>
  </si>
  <si>
    <t>fire rating above fire shutters</t>
  </si>
  <si>
    <t>RFI-0836</t>
  </si>
  <si>
    <t>exterior entry signage planter dimensions</t>
  </si>
  <si>
    <t>RFI-0837</t>
  </si>
  <si>
    <t>elevator homing on fire alarm function</t>
  </si>
  <si>
    <t>RFI-0838</t>
  </si>
  <si>
    <t>SI-130 lobby monitors and power</t>
  </si>
  <si>
    <t>RFI-0839</t>
  </si>
  <si>
    <t>Recessed monitors behind judges Desk</t>
  </si>
  <si>
    <t>Pressurization Dampers and Additional Signal Devices</t>
  </si>
  <si>
    <t>RFI-0840</t>
  </si>
  <si>
    <t>FO-0069R2</t>
  </si>
  <si>
    <t>COW-0275R1</t>
  </si>
  <si>
    <t>PCO-0249R2</t>
  </si>
  <si>
    <t>CE-0375</t>
  </si>
  <si>
    <t>CO-0249</t>
  </si>
  <si>
    <t>fire alarm devices</t>
  </si>
  <si>
    <t>RFI-0841</t>
  </si>
  <si>
    <t>horizontal placement of washroom accessories</t>
  </si>
  <si>
    <t>Elevator access platforms</t>
  </si>
  <si>
    <t>RFI-0842</t>
  </si>
  <si>
    <t>COW-0301</t>
  </si>
  <si>
    <t>PCO-0271</t>
  </si>
  <si>
    <t>CE-0417</t>
  </si>
  <si>
    <t>CO-0266</t>
  </si>
  <si>
    <t>elevator catwlak</t>
  </si>
  <si>
    <t>RFI-0843</t>
  </si>
  <si>
    <t>courtroom 5400 damper access</t>
  </si>
  <si>
    <t>RFI-0844</t>
  </si>
  <si>
    <t>200mm border around elevator doors</t>
  </si>
  <si>
    <t>RFI-0845</t>
  </si>
  <si>
    <t>door 8555A auto drop bottom</t>
  </si>
  <si>
    <t>RFI-0846</t>
  </si>
  <si>
    <t>fixed detention stool location</t>
  </si>
  <si>
    <t>RFI-0847</t>
  </si>
  <si>
    <t xml:space="preserve">2nd floor ventilation clearstory radiant heat </t>
  </si>
  <si>
    <t>Existing Sub grade Concret at Parsons House</t>
  </si>
  <si>
    <t>RFI-0848</t>
  </si>
  <si>
    <t>PCO-0245</t>
  </si>
  <si>
    <t>CE 371</t>
  </si>
  <si>
    <t>CO-0232</t>
  </si>
  <si>
    <t>concrete block next to parsons</t>
  </si>
  <si>
    <t>RFI-0849</t>
  </si>
  <si>
    <t>Stone veneer conflict with ductwork at vestibule</t>
  </si>
  <si>
    <t>RFI-0850</t>
  </si>
  <si>
    <t>Stairwell Ceiling Paint color</t>
  </si>
  <si>
    <t>RFI-0851</t>
  </si>
  <si>
    <t>Door 1605 A flush bolts</t>
  </si>
  <si>
    <t>RFI-0852</t>
  </si>
  <si>
    <t>Room 6202 Wall assembly</t>
  </si>
  <si>
    <t>Detention Door ADB's &amp; Door 1605A Flush Bolts</t>
  </si>
  <si>
    <t>RFI-0853</t>
  </si>
  <si>
    <t>COW-0276</t>
  </si>
  <si>
    <t>PCO-0250</t>
  </si>
  <si>
    <t>CE 0378</t>
  </si>
  <si>
    <t>CO-0242</t>
  </si>
  <si>
    <t>Detention Door bottoms</t>
  </si>
  <si>
    <t>BMS Bacnet converter</t>
  </si>
  <si>
    <t>SI-109</t>
  </si>
  <si>
    <t>Level 1 Motorized Exhaust damper</t>
  </si>
  <si>
    <t>SI-112</t>
  </si>
  <si>
    <t>Room 4507 Reheat Coil pipping</t>
  </si>
  <si>
    <t>SI-114</t>
  </si>
  <si>
    <t>Tactile Warning Plate Offset</t>
  </si>
  <si>
    <t>SI-116</t>
  </si>
  <si>
    <t>SI-116R1</t>
  </si>
  <si>
    <t>Terracotta Panels</t>
  </si>
  <si>
    <t>SI-119</t>
  </si>
  <si>
    <t>Level 7 Elevator Programming</t>
  </si>
  <si>
    <t>SI-120</t>
  </si>
  <si>
    <t>Courtroom 5400 FA Ceiling Devices</t>
  </si>
  <si>
    <t>SI-122</t>
  </si>
  <si>
    <t>Courtroom Vestibule Pressed Stell Frames</t>
  </si>
  <si>
    <t>SI-123</t>
  </si>
  <si>
    <t>Entrance Canopy Light Fixtures</t>
  </si>
  <si>
    <t>SI-125</t>
  </si>
  <si>
    <t>Telecommunication Room layout &amp; CTS _ SA rack Coordination</t>
  </si>
  <si>
    <t>SI-126</t>
  </si>
  <si>
    <t>Paint revisions summary</t>
  </si>
  <si>
    <t>SI-128</t>
  </si>
  <si>
    <t>Docket Monitors at Lobby Room 1000</t>
  </si>
  <si>
    <t>SI-130</t>
  </si>
  <si>
    <t>PDU Mounting Coordination</t>
  </si>
  <si>
    <t>SI-131</t>
  </si>
  <si>
    <t>Court Admin Courtroom Status Monitors</t>
  </si>
  <si>
    <t>SI-134</t>
  </si>
  <si>
    <t>Parsons House Concrete</t>
  </si>
  <si>
    <t>COW-0271</t>
  </si>
  <si>
    <t>Ce 371</t>
  </si>
  <si>
    <t>L-1 L-2 Faucet Power Accomodations</t>
  </si>
  <si>
    <t>COW-0270</t>
  </si>
  <si>
    <t>PCO-0244</t>
  </si>
  <si>
    <t>CE 367</t>
  </si>
  <si>
    <t>CO-0233</t>
  </si>
  <si>
    <t>COW-0263</t>
  </si>
  <si>
    <t>PCO-0237</t>
  </si>
  <si>
    <t>CE-0363</t>
  </si>
  <si>
    <t>CO-0241</t>
  </si>
  <si>
    <t>Reason also: site conditions /Concurrent with CE 83</t>
  </si>
  <si>
    <t>COW-0262</t>
  </si>
  <si>
    <t>PCO-0236</t>
  </si>
  <si>
    <t>Optical fibre Patch cords</t>
  </si>
  <si>
    <t>COW-0251</t>
  </si>
  <si>
    <t>PCO-0226</t>
  </si>
  <si>
    <t>CE 342</t>
  </si>
  <si>
    <t>CO-0234</t>
  </si>
  <si>
    <t>Aluminium Door Glazing Revisions</t>
  </si>
  <si>
    <t>COW-0254</t>
  </si>
  <si>
    <t>PCO-0229</t>
  </si>
  <si>
    <t>CE-0345</t>
  </si>
  <si>
    <t>CO-0221</t>
  </si>
  <si>
    <t>SEE COW-0254</t>
  </si>
  <si>
    <t>CE-0370</t>
  </si>
  <si>
    <t>CO-0235</t>
  </si>
  <si>
    <t>Wall type 8.2 Revisions</t>
  </si>
  <si>
    <t>COW-0253</t>
  </si>
  <si>
    <t>PCO-0227</t>
  </si>
  <si>
    <t>CE-0343</t>
  </si>
  <si>
    <t>CO-0220</t>
  </si>
  <si>
    <t>Sorensen Station Scaffold</t>
  </si>
  <si>
    <t>CE-0368</t>
  </si>
  <si>
    <t>CO-0226</t>
  </si>
  <si>
    <t>Detention Lock Access</t>
  </si>
  <si>
    <t>COW-0278</t>
  </si>
  <si>
    <t>PCO-0252</t>
  </si>
  <si>
    <t>CE-381</t>
  </si>
  <si>
    <t>CO-0238</t>
  </si>
  <si>
    <t>Lighting Clarification</t>
  </si>
  <si>
    <t>RFI-0854</t>
  </si>
  <si>
    <t>Lectern Modifications and Curtain Wall W11 Sill</t>
  </si>
  <si>
    <t>RFI-0855</t>
  </si>
  <si>
    <t>COW-0272R1</t>
  </si>
  <si>
    <t>PCO-0246R1</t>
  </si>
  <si>
    <t>CE 0373</t>
  </si>
  <si>
    <t>CO-0246</t>
  </si>
  <si>
    <t>Lectern Mods &amp; Curtain wall W11</t>
  </si>
  <si>
    <t>Reason also: design improvement</t>
  </si>
  <si>
    <t>Cellular antenna 0C.05 move</t>
  </si>
  <si>
    <t>RFI-0856</t>
  </si>
  <si>
    <t xml:space="preserve">Room 3577 Transfer Air Duct </t>
  </si>
  <si>
    <t>RFI-0857</t>
  </si>
  <si>
    <t>FO-0072</t>
  </si>
  <si>
    <t>COW-0279</t>
  </si>
  <si>
    <t>PCO-0253</t>
  </si>
  <si>
    <t>CE-0384</t>
  </si>
  <si>
    <t>CO-0247</t>
  </si>
  <si>
    <t>Courtroom Stone Furring /Stud Support</t>
  </si>
  <si>
    <t>RFI-0858</t>
  </si>
  <si>
    <t>Extent of furring wall B579</t>
  </si>
  <si>
    <t>RFI-0859</t>
  </si>
  <si>
    <t>Detention door Head in courtroom</t>
  </si>
  <si>
    <t>RFI-0860</t>
  </si>
  <si>
    <t>Public Interview Room Dampers</t>
  </si>
  <si>
    <t>RFI-0861</t>
  </si>
  <si>
    <t>FO-0070</t>
  </si>
  <si>
    <t>COW-0280</t>
  </si>
  <si>
    <t>PCO-0254</t>
  </si>
  <si>
    <t>CE-386</t>
  </si>
  <si>
    <t>CO-0248</t>
  </si>
  <si>
    <t>Current Longest Path</t>
  </si>
  <si>
    <t>Kiosk Freestanding Way Finder/Queuing Kiosk Total</t>
  </si>
  <si>
    <t>RFI-0862</t>
  </si>
  <si>
    <t>RDJC Cubical/Wicket Fire sprinkler</t>
  </si>
  <si>
    <t>RFI-0863</t>
  </si>
  <si>
    <t>Inside Corner Jamb at sout elevation Elevator 1/2/3</t>
  </si>
  <si>
    <t>RFI-0864</t>
  </si>
  <si>
    <t>Shaft wall in ST4 shaft</t>
  </si>
  <si>
    <t>RFI-0865</t>
  </si>
  <si>
    <t>Penthouse Lighting Layout</t>
  </si>
  <si>
    <t>RFI-0866</t>
  </si>
  <si>
    <t>SI-139</t>
  </si>
  <si>
    <t>Irrigation Compressor Connections</t>
  </si>
  <si>
    <t>RFI-0867</t>
  </si>
  <si>
    <t>COW-0282</t>
  </si>
  <si>
    <t>PCO-0256</t>
  </si>
  <si>
    <t>CE 0388</t>
  </si>
  <si>
    <t>CO-0245</t>
  </si>
  <si>
    <t>Jury Deliberation Intercom Power</t>
  </si>
  <si>
    <t>RFI-0868</t>
  </si>
  <si>
    <t>Fire Phone Wiring</t>
  </si>
  <si>
    <t>RFI-0869</t>
  </si>
  <si>
    <t>Level 2 Server Room Thermostat Locations</t>
  </si>
  <si>
    <t>RFI-0870</t>
  </si>
  <si>
    <t>Door frames in Courtroom G</t>
  </si>
  <si>
    <t>RFI-0871</t>
  </si>
  <si>
    <t>expansion joints for acoustical plaster 2100</t>
  </si>
  <si>
    <t>RFI-0872</t>
  </si>
  <si>
    <t>expansion joints for courtroom 5400</t>
  </si>
  <si>
    <t>RFI-0873</t>
  </si>
  <si>
    <t>expansion joints for courtroom 6200</t>
  </si>
  <si>
    <t>RFI-0874</t>
  </si>
  <si>
    <t>Entry Signage steel panels</t>
  </si>
  <si>
    <t>RFI-0875</t>
  </si>
  <si>
    <t>Acoustic Wall Panel - Installaion Enviro Req</t>
  </si>
  <si>
    <t>RFI-0876</t>
  </si>
  <si>
    <t>Fan Plateform Handrail change</t>
  </si>
  <si>
    <t>RFI-0877</t>
  </si>
  <si>
    <t>Room 6519 Light Fixture</t>
  </si>
  <si>
    <t>RFI-0878</t>
  </si>
  <si>
    <t>Additional Das coverage- public safety</t>
  </si>
  <si>
    <t>COW-0245</t>
  </si>
  <si>
    <t>PCO-0221R1</t>
  </si>
  <si>
    <t>CE 335</t>
  </si>
  <si>
    <t>CO-0227</t>
  </si>
  <si>
    <t>Additional Das coverage- cellular</t>
  </si>
  <si>
    <t>COW-0246</t>
  </si>
  <si>
    <t>PCO-0220R1</t>
  </si>
  <si>
    <t>CE 336</t>
  </si>
  <si>
    <t>see CO-0227</t>
  </si>
  <si>
    <t>RFI-0879</t>
  </si>
  <si>
    <t>PCO-249R1 Damper end switches</t>
  </si>
  <si>
    <t>POP Room Fibre Enclosure</t>
  </si>
  <si>
    <t>RFI-0880</t>
  </si>
  <si>
    <t>COW-0293</t>
  </si>
  <si>
    <t>PCO-0265</t>
  </si>
  <si>
    <t>CE # 404</t>
  </si>
  <si>
    <t>CO-0253</t>
  </si>
  <si>
    <t>SI-0126 data rack changes</t>
  </si>
  <si>
    <t>Fire Rate Glass Discrepency</t>
  </si>
  <si>
    <t>RFI-0881</t>
  </si>
  <si>
    <t>COW-0292</t>
  </si>
  <si>
    <t>PCO-0266</t>
  </si>
  <si>
    <t>CE # 402R</t>
  </si>
  <si>
    <t>CO-0255</t>
  </si>
  <si>
    <t>Fire rated glass discrepancy</t>
  </si>
  <si>
    <t>Ceiling Finish at 2100 entrance</t>
  </si>
  <si>
    <t>RFI-0882</t>
  </si>
  <si>
    <t>ceiling finish at 2100 entrance</t>
  </si>
  <si>
    <t>Courtroom Entrance - Gap Above Light Box</t>
  </si>
  <si>
    <t>RFI-0883</t>
  </si>
  <si>
    <t>coourtroom entrance - Gap above light box</t>
  </si>
  <si>
    <t>Solid Surface Backsplach behind hand dryers</t>
  </si>
  <si>
    <t>RFI-0884</t>
  </si>
  <si>
    <t>solid surface backsplash behind hand dryers</t>
  </si>
  <si>
    <t>Chiller Well East Wall Membrane</t>
  </si>
  <si>
    <t>RFI-0885</t>
  </si>
  <si>
    <t>chiller well east wall membrane</t>
  </si>
  <si>
    <t>Courtroom Ceiling Gloss Level</t>
  </si>
  <si>
    <t>RFI-0886</t>
  </si>
  <si>
    <t>courtroom ceiling gloss level</t>
  </si>
  <si>
    <t>Power for FCE Condensate Pumps</t>
  </si>
  <si>
    <t>RFI-0887</t>
  </si>
  <si>
    <t>COW -0291R1</t>
  </si>
  <si>
    <t>PCO-0263R1</t>
  </si>
  <si>
    <t>CE # 405</t>
  </si>
  <si>
    <t>CO-0256</t>
  </si>
  <si>
    <t>FCE unit Pump requirements</t>
  </si>
  <si>
    <t>Key Control Mounting Location &amp; Data Requirements</t>
  </si>
  <si>
    <t>RFI-0888</t>
  </si>
  <si>
    <t>COW-0297</t>
  </si>
  <si>
    <t>PCO-0264</t>
  </si>
  <si>
    <t>CE-0411</t>
  </si>
  <si>
    <t>CO-0264</t>
  </si>
  <si>
    <t>key control mounting locations and data rqmnts</t>
  </si>
  <si>
    <t>Additional Cat 6 Cabling</t>
  </si>
  <si>
    <t>RFI-0889</t>
  </si>
  <si>
    <t>additional category 6 cabling</t>
  </si>
  <si>
    <t>CIS Elevator Button</t>
  </si>
  <si>
    <t>RFI-0890</t>
  </si>
  <si>
    <t>CIS elevator buttons</t>
  </si>
  <si>
    <t>Exerior Handrail Outside 1ST8B</t>
  </si>
  <si>
    <t>RFI-0891</t>
  </si>
  <si>
    <t>Exterior handrail outside 1ST8B</t>
  </si>
  <si>
    <t>Fixed Jury Seating - Tablet Handedness</t>
  </si>
  <si>
    <t>RFI-0892</t>
  </si>
  <si>
    <t>Fixed jury seating- tablet hanedness</t>
  </si>
  <si>
    <t>Air Tran Grille for Lobby Clear Windows</t>
  </si>
  <si>
    <t>COW-0274</t>
  </si>
  <si>
    <t>PCO-0248</t>
  </si>
  <si>
    <t>CE 0376</t>
  </si>
  <si>
    <t>CO-0243</t>
  </si>
  <si>
    <t>Public Safety DAS Surge Suppressor Installation</t>
  </si>
  <si>
    <t>SI-136</t>
  </si>
  <si>
    <t>Static IP Addressing for AV Device Equipment</t>
  </si>
  <si>
    <t>SI-137</t>
  </si>
  <si>
    <t>Courtroom Ceiling Air Transfer Slots</t>
  </si>
  <si>
    <t>SI-138</t>
  </si>
  <si>
    <t>Light Fixture Type 107_10</t>
  </si>
  <si>
    <t>SI-140</t>
  </si>
  <si>
    <t>Data Rack Elevations</t>
  </si>
  <si>
    <t>SI-141</t>
  </si>
  <si>
    <t>SI-141R1</t>
  </si>
  <si>
    <t>Snowmelt Trench Covers</t>
  </si>
  <si>
    <t>RFI-0893</t>
  </si>
  <si>
    <t>snowmelt trench covers</t>
  </si>
  <si>
    <t>Interior Courtroom Cladding</t>
  </si>
  <si>
    <t>RFI-0894</t>
  </si>
  <si>
    <t>Interiro courtroom cladding fastening</t>
  </si>
  <si>
    <t>Terracotta North Elevation Base Flashing</t>
  </si>
  <si>
    <t>RFI-0895</t>
  </si>
  <si>
    <t>terracotta north elevation base flashing</t>
  </si>
  <si>
    <t>SI 0056 Light 110/110C Height</t>
  </si>
  <si>
    <t>RFI-0896</t>
  </si>
  <si>
    <t>SI-56 light110/110C height</t>
  </si>
  <si>
    <t>Flooring Transition from Courtroom to Docket Epoxy</t>
  </si>
  <si>
    <t>RFI-0897</t>
  </si>
  <si>
    <t>flooring transition form courtroom carpet to docket</t>
  </si>
  <si>
    <t>L8 Vanity Millwork Depth Confilct</t>
  </si>
  <si>
    <t>RFI-0898</t>
  </si>
  <si>
    <t>L8 vanity millwork depth conflict</t>
  </si>
  <si>
    <t>L8 Vanity Door Conflict</t>
  </si>
  <si>
    <t>RFI-0899</t>
  </si>
  <si>
    <t>L8 vanity door conflict</t>
  </si>
  <si>
    <t>Tactile Warning Strip at Top of Entry Stairs vs. Pour Breaks</t>
  </si>
  <si>
    <t>RFI-0900</t>
  </si>
  <si>
    <t>tactile warning strips at top of entry stairs</t>
  </si>
  <si>
    <t>Window washing receptacles</t>
  </si>
  <si>
    <t>RFI-0901</t>
  </si>
  <si>
    <t>window washing receptacles</t>
  </si>
  <si>
    <t>600V connection Jockey Pump - Label</t>
  </si>
  <si>
    <t>RFI-0902</t>
  </si>
  <si>
    <t>COW-0295</t>
  </si>
  <si>
    <t>CE-0408</t>
  </si>
  <si>
    <t>CO-0262</t>
  </si>
  <si>
    <t>600 volt connection jockey pump</t>
  </si>
  <si>
    <t>Mop Holder in Janitor rooms</t>
  </si>
  <si>
    <t>RFI-0903</t>
  </si>
  <si>
    <t>mop holder in janitor room</t>
  </si>
  <si>
    <t>Elevator divider screens</t>
  </si>
  <si>
    <t>RFI-0904</t>
  </si>
  <si>
    <t>COW-0300</t>
  </si>
  <si>
    <t>PCO-0270</t>
  </si>
  <si>
    <t>CE-0416</t>
  </si>
  <si>
    <t>CO-0270</t>
  </si>
  <si>
    <t>elevator divider screens</t>
  </si>
  <si>
    <t>Landscaping Around Parson's House</t>
  </si>
  <si>
    <t>COW-0290</t>
  </si>
  <si>
    <t>PCO-0262</t>
  </si>
  <si>
    <t>CE 400</t>
  </si>
  <si>
    <t>CO-0251</t>
  </si>
  <si>
    <t>Drain Panin Drains for Data &amp; Electrical Rooms</t>
  </si>
  <si>
    <t>COW-0285R1</t>
  </si>
  <si>
    <t>PCO-0258</t>
  </si>
  <si>
    <t>CE 391</t>
  </si>
  <si>
    <t>CO-0252</t>
  </si>
  <si>
    <t>DAS Power Requirements POP room B593</t>
  </si>
  <si>
    <t>COW-0286R1</t>
  </si>
  <si>
    <t>PCO-0259R1</t>
  </si>
  <si>
    <t>CE-0392</t>
  </si>
  <si>
    <t>CO-0260</t>
  </si>
  <si>
    <t>SA WAP Installation Locations</t>
  </si>
  <si>
    <t>SI-0142</t>
  </si>
  <si>
    <t>Sprinkler Riser Room 1015</t>
  </si>
  <si>
    <t>RFI-0905</t>
  </si>
  <si>
    <t>sprikler romm 1015</t>
  </si>
  <si>
    <t>Long Range Card Reader Model</t>
  </si>
  <si>
    <t>RFI-0906</t>
  </si>
  <si>
    <t>Long range card reader model</t>
  </si>
  <si>
    <t>CH105 Additional Sensors and Sequencing</t>
  </si>
  <si>
    <t>RFI-0907</t>
  </si>
  <si>
    <t>COW-0305</t>
  </si>
  <si>
    <t>PCO-0274</t>
  </si>
  <si>
    <t>CE-0421</t>
  </si>
  <si>
    <t>CO-0267</t>
  </si>
  <si>
    <t>CH105 Additional sensors and sequencing</t>
  </si>
  <si>
    <t>Missing power/ethernet M25's</t>
  </si>
  <si>
    <t>RFI-0908</t>
  </si>
  <si>
    <t>COW-0296</t>
  </si>
  <si>
    <t>PCO-0268</t>
  </si>
  <si>
    <t>missing power/ethernet M25's</t>
  </si>
  <si>
    <t>2533 Server Room Railing</t>
  </si>
  <si>
    <t>RFI-0909</t>
  </si>
  <si>
    <t>2533 Srever room railing</t>
  </si>
  <si>
    <t>Additional FA Control and monitoring for VFS</t>
  </si>
  <si>
    <t>RFI-0910</t>
  </si>
  <si>
    <t>COW-0303</t>
  </si>
  <si>
    <t>PCO-0273</t>
  </si>
  <si>
    <t>CE-0420</t>
  </si>
  <si>
    <t>CO-0265</t>
  </si>
  <si>
    <t>Smoke control matrix clarification</t>
  </si>
  <si>
    <t>Glazing Caulking</t>
  </si>
  <si>
    <t>RFI-0911</t>
  </si>
  <si>
    <t>Glazing chauking</t>
  </si>
  <si>
    <t>Elevator EV4 Conductors</t>
  </si>
  <si>
    <t>RFI-0912</t>
  </si>
  <si>
    <t>FO-0080</t>
  </si>
  <si>
    <t>COW-0311R1</t>
  </si>
  <si>
    <t>PCO-0279 R1</t>
  </si>
  <si>
    <t>CE 434</t>
  </si>
  <si>
    <t>CO-0284</t>
  </si>
  <si>
    <t>NON life safety vs lift safety power for elevator Power</t>
  </si>
  <si>
    <t>Glazing Supports at wickets</t>
  </si>
  <si>
    <t>RFI-0913</t>
  </si>
  <si>
    <t>Glazing support at wickets</t>
  </si>
  <si>
    <t>Door 2104C Height</t>
  </si>
  <si>
    <t>RFI-0914</t>
  </si>
  <si>
    <t>door 2104C height</t>
  </si>
  <si>
    <t>Gate and Access Flooring Infills at Vertical Lifts_RFI-0915_L8 Vanity Revisions</t>
  </si>
  <si>
    <t>RFI-0915</t>
  </si>
  <si>
    <t>FO-0082</t>
  </si>
  <si>
    <t>COW-0307</t>
  </si>
  <si>
    <t>PCO-0276R1</t>
  </si>
  <si>
    <t>CE-0424</t>
  </si>
  <si>
    <t>CO-0271</t>
  </si>
  <si>
    <t>Vertical Platform lift question</t>
  </si>
  <si>
    <t>Additional steel framing  for terracotta Baguettes</t>
  </si>
  <si>
    <t>RFI-0916</t>
  </si>
  <si>
    <t>FO-0077</t>
  </si>
  <si>
    <t>COW-0302</t>
  </si>
  <si>
    <t>PCO-0272</t>
  </si>
  <si>
    <t>CE-0419</t>
  </si>
  <si>
    <t>CO-0269</t>
  </si>
  <si>
    <t>Terracotta Baguette Louver Mid-Span Support</t>
  </si>
  <si>
    <t>RFI-0917</t>
  </si>
  <si>
    <t>Speaker port hold locations</t>
  </si>
  <si>
    <t>RFI-0918</t>
  </si>
  <si>
    <t>stone Inset Courtroom 5400</t>
  </si>
  <si>
    <t>RFI-0919</t>
  </si>
  <si>
    <t>BF Button locations at front entrance</t>
  </si>
  <si>
    <t>RFI-0920</t>
  </si>
  <si>
    <t>main floor feature stair -fire sprinkler coverage</t>
  </si>
  <si>
    <t>RFI-0921</t>
  </si>
  <si>
    <t>Facility UPS EMCS monitoring</t>
  </si>
  <si>
    <t>RFI-0922</t>
  </si>
  <si>
    <t>COW-0304</t>
  </si>
  <si>
    <t>Chiller lakos filter</t>
  </si>
  <si>
    <t>RFI-0923</t>
  </si>
  <si>
    <t>Location of elevator key switch in guard room</t>
  </si>
  <si>
    <t>RFI-0924</t>
  </si>
  <si>
    <t>bollard concreet Cap paint</t>
  </si>
  <si>
    <t>DAS original Antenna coring &amp; upsize conduit</t>
  </si>
  <si>
    <t>COW-0299</t>
  </si>
  <si>
    <t>CE # 346</t>
  </si>
  <si>
    <t>CO-0257</t>
  </si>
  <si>
    <t>RFI-0925</t>
  </si>
  <si>
    <t>RFI-0926</t>
  </si>
  <si>
    <t>RFI-0927</t>
  </si>
  <si>
    <t>RFI-0928</t>
  </si>
  <si>
    <t>RFI-0929</t>
  </si>
  <si>
    <t>LiftNet Elevator Management System (RFI-0930)</t>
  </si>
  <si>
    <t>RFI-0930</t>
  </si>
  <si>
    <t>COW-0325</t>
  </si>
  <si>
    <t>PCO-0291</t>
  </si>
  <si>
    <t>RFI-0931</t>
  </si>
  <si>
    <t>RFI-0932</t>
  </si>
  <si>
    <t>Smoke Detector in Penthouse Elevator Lobby (RFI-0933)</t>
  </si>
  <si>
    <t>RFI-0933</t>
  </si>
  <si>
    <t>COW-0323</t>
  </si>
  <si>
    <t>PCO-0289</t>
  </si>
  <si>
    <t>CE 0456</t>
  </si>
  <si>
    <t>CO-0281</t>
  </si>
  <si>
    <t>Room 9521 East Elevation Louvers (RFI-0934)</t>
  </si>
  <si>
    <t>RFI-0934</t>
  </si>
  <si>
    <t>COW-0310</t>
  </si>
  <si>
    <t>PCO-0280</t>
  </si>
  <si>
    <t>CE 432</t>
  </si>
  <si>
    <t>CO-0272</t>
  </si>
  <si>
    <t>RFI-0935</t>
  </si>
  <si>
    <t>RFI-0936</t>
  </si>
  <si>
    <t>RFI-0937</t>
  </si>
  <si>
    <t>RFI-0938</t>
  </si>
  <si>
    <t>RFI-0939</t>
  </si>
  <si>
    <t>RFI-0940</t>
  </si>
  <si>
    <t>Courtroom Guardrail at Step Behind Witnes Stand (RFI-0941)</t>
  </si>
  <si>
    <t>RFI-0941</t>
  </si>
  <si>
    <t>COW-0331</t>
  </si>
  <si>
    <t>PCO-0296</t>
  </si>
  <si>
    <t>CE-474.1</t>
  </si>
  <si>
    <t>CO-0307</t>
  </si>
  <si>
    <t>change cancellation costs for mock-up</t>
  </si>
  <si>
    <t xml:space="preserve">Trim for VWC-1, VWC-2, Fixture Type 111 </t>
  </si>
  <si>
    <t>RFI-0942</t>
  </si>
  <si>
    <t>COW-0315</t>
  </si>
  <si>
    <t>PCO-0282</t>
  </si>
  <si>
    <t>CE 442</t>
  </si>
  <si>
    <t>CO-0273</t>
  </si>
  <si>
    <t>RFI-0943</t>
  </si>
  <si>
    <t>VLAN Revisions to Av Port Mapping</t>
  </si>
  <si>
    <t>SI-157</t>
  </si>
  <si>
    <t>RFI-0944</t>
  </si>
  <si>
    <t>RFI-0945</t>
  </si>
  <si>
    <t>RFI-0946</t>
  </si>
  <si>
    <t>RFI-0947</t>
  </si>
  <si>
    <t>RFI-0948</t>
  </si>
  <si>
    <t>RFI-0949</t>
  </si>
  <si>
    <t>RFI-0950</t>
  </si>
  <si>
    <t>RFI-0951</t>
  </si>
  <si>
    <t>RFI-0952</t>
  </si>
  <si>
    <t>Cooling Tower Sump</t>
  </si>
  <si>
    <t>COW-0309</t>
  </si>
  <si>
    <t>PCO-0278</t>
  </si>
  <si>
    <t>CE-0429</t>
  </si>
  <si>
    <t>CO-0293</t>
  </si>
  <si>
    <t>Addl Smoke Detection at Stair ST2 and ST4 Landings (RFI-0944)</t>
  </si>
  <si>
    <t>COW-0314</t>
  </si>
  <si>
    <t>PCO-0281</t>
  </si>
  <si>
    <t>CE 438</t>
  </si>
  <si>
    <t>CO-0274</t>
  </si>
  <si>
    <t>Storm tank access platform and ladder</t>
  </si>
  <si>
    <t>COW-0298</t>
  </si>
  <si>
    <t>PCO-0269</t>
  </si>
  <si>
    <t>CE-0412</t>
  </si>
  <si>
    <t>CO-0261</t>
  </si>
  <si>
    <t>sally port vs ramp fire alarm signalling conflicts</t>
  </si>
  <si>
    <t>COW-0306</t>
  </si>
  <si>
    <t>Terracotta cladding revision</t>
  </si>
  <si>
    <t>SI-0143</t>
  </si>
  <si>
    <t>Relocate industrial shelving  from room 7100 to room B553</t>
  </si>
  <si>
    <t>SI-0144</t>
  </si>
  <si>
    <t>courtoom 5400- revise galery railing to be fixed</t>
  </si>
  <si>
    <t>SI-0145</t>
  </si>
  <si>
    <t>Main entrnace door operator revisions</t>
  </si>
  <si>
    <t>Si-0146</t>
  </si>
  <si>
    <t>AV control UI Revisions</t>
  </si>
  <si>
    <t>SI-0147</t>
  </si>
  <si>
    <t>courtroom 5400 data nad AV layout</t>
  </si>
  <si>
    <t>SI-0149</t>
  </si>
  <si>
    <t>sallypotr vs sally ramp</t>
  </si>
  <si>
    <t>SI-0150</t>
  </si>
  <si>
    <t>exterior BF ramp access signs</t>
  </si>
  <si>
    <t>SI-0151</t>
  </si>
  <si>
    <t>HRV-101 balancing</t>
  </si>
  <si>
    <t>SI-0152</t>
  </si>
  <si>
    <t>Bollard dome finish</t>
  </si>
  <si>
    <t>SI-0153</t>
  </si>
  <si>
    <t>fibre and data porting</t>
  </si>
  <si>
    <t>SI-0154</t>
  </si>
  <si>
    <t>Av port mapping</t>
  </si>
  <si>
    <t>SI-0155</t>
  </si>
  <si>
    <t>Level 7 detention elevator door infills</t>
  </si>
  <si>
    <t>SI-0156</t>
  </si>
  <si>
    <t>Additional Emerg Lighting (Rm 2541  2547) and Reloc Lighting (Room P501)</t>
  </si>
  <si>
    <t>COW-0317</t>
  </si>
  <si>
    <t>PCO-0283</t>
  </si>
  <si>
    <t>CE 0448</t>
  </si>
  <si>
    <t>CO-0276</t>
  </si>
  <si>
    <t>RFI-0953</t>
  </si>
  <si>
    <t>RFI-0954</t>
  </si>
  <si>
    <t>RFI-0955</t>
  </si>
  <si>
    <t>Elevator Phone Line (RFI-0956)</t>
  </si>
  <si>
    <t>RFI-0956</t>
  </si>
  <si>
    <t>COW-0324</t>
  </si>
  <si>
    <t>PCO-0290</t>
  </si>
  <si>
    <t>CE 0464</t>
  </si>
  <si>
    <t>CO-0279</t>
  </si>
  <si>
    <t>RFI-0957</t>
  </si>
  <si>
    <t>RFI-0958</t>
  </si>
  <si>
    <t>RFI-0959</t>
  </si>
  <si>
    <t>RFI-0960</t>
  </si>
  <si>
    <t>Door 8555A Auto Operator Power (RFI-0961)</t>
  </si>
  <si>
    <t>RFI-0961</t>
  </si>
  <si>
    <t>COW-0318</t>
  </si>
  <si>
    <t>PCO-0284</t>
  </si>
  <si>
    <t>CE 0449</t>
  </si>
  <si>
    <t>CO-0277</t>
  </si>
  <si>
    <t>RFI-0962</t>
  </si>
  <si>
    <t>RFI-0963</t>
  </si>
  <si>
    <t>Accent wall paint Gloss level and quantity of finish</t>
  </si>
  <si>
    <t>RFI-0964</t>
  </si>
  <si>
    <t>Lighting panel Integration</t>
  </si>
  <si>
    <t>UPS Room 9531 - Temporary Cooling #1</t>
  </si>
  <si>
    <t>FO-0086 R2</t>
  </si>
  <si>
    <t>COW-0319</t>
  </si>
  <si>
    <t>PCO-0285</t>
  </si>
  <si>
    <t>CE-0445</t>
  </si>
  <si>
    <t>CO-0291</t>
  </si>
  <si>
    <t>Room 8563 Sink Type (RFI-0965)</t>
  </si>
  <si>
    <t>RFI-0965</t>
  </si>
  <si>
    <t>COW-0321</t>
  </si>
  <si>
    <t>PCO-0287</t>
  </si>
  <si>
    <t>CE 0454</t>
  </si>
  <si>
    <t>CO-0275</t>
  </si>
  <si>
    <t>Sink vs Countertop</t>
  </si>
  <si>
    <t>RFI-0966</t>
  </si>
  <si>
    <t>Int room WD-1 Profile</t>
  </si>
  <si>
    <t>RFI-0967</t>
  </si>
  <si>
    <t>Conference room table Microphones</t>
  </si>
  <si>
    <t>Heat in Corridor 2553 SE (RFI-0972), Heat in Room 2003 (RFI-0968)</t>
  </si>
  <si>
    <t>RFI-0968</t>
  </si>
  <si>
    <t>COW-0327 R1</t>
  </si>
  <si>
    <t>PCO-0293 R1</t>
  </si>
  <si>
    <t>CE-475</t>
  </si>
  <si>
    <t>CO-0288</t>
  </si>
  <si>
    <t>Missing Heat in room 2003</t>
  </si>
  <si>
    <t>RFI-0969</t>
  </si>
  <si>
    <t>Washer Dryer</t>
  </si>
  <si>
    <t>RFI-0970</t>
  </si>
  <si>
    <t>Prisoner Plate</t>
  </si>
  <si>
    <t>RFI-0971</t>
  </si>
  <si>
    <t>Problems with tv location 3553 &amp; 3543</t>
  </si>
  <si>
    <t>RFI-0972</t>
  </si>
  <si>
    <t>Cold spot in corridor 2553 SE</t>
  </si>
  <si>
    <t>RFI-0973</t>
  </si>
  <si>
    <t>Sign type D-3 Elevator Lobby Directories</t>
  </si>
  <si>
    <t>RFI-0974</t>
  </si>
  <si>
    <t>IN-4</t>
  </si>
  <si>
    <t>RFI-0975</t>
  </si>
  <si>
    <t>Placemnet IN-1</t>
  </si>
  <si>
    <t>RFI-0976</t>
  </si>
  <si>
    <t>Placement of ID-19 Elevator !D</t>
  </si>
  <si>
    <t>RFI-0977</t>
  </si>
  <si>
    <t>Courtroom Signs ID-9D</t>
  </si>
  <si>
    <t>RFI-0978</t>
  </si>
  <si>
    <t>Courtroom Prison Dock Card Reader</t>
  </si>
  <si>
    <t>RFI-0979</t>
  </si>
  <si>
    <t>Parkade mechanical Room P507 Heat</t>
  </si>
  <si>
    <t>Added modified exit signage</t>
  </si>
  <si>
    <t>RFI-0980</t>
  </si>
  <si>
    <t>COW-0326</t>
  </si>
  <si>
    <t>PCO-0292</t>
  </si>
  <si>
    <t>CE 0468</t>
  </si>
  <si>
    <t>CO-0282</t>
  </si>
  <si>
    <t>Exit signage City Comments</t>
  </si>
  <si>
    <t>RFI-0981</t>
  </si>
  <si>
    <t>Brail Sign Mounting Height</t>
  </si>
  <si>
    <t>Air Humidity Set point</t>
  </si>
  <si>
    <t>SI-158</t>
  </si>
  <si>
    <t>AV Cable mangement</t>
  </si>
  <si>
    <t>SI-159</t>
  </si>
  <si>
    <t>AV Grommet Locations in room 1000, 3023, 5400, 8500</t>
  </si>
  <si>
    <t>SI-160</t>
  </si>
  <si>
    <t>DWH Bacnet power supply</t>
  </si>
  <si>
    <t>RFI-0982</t>
  </si>
  <si>
    <t>PLC cabinet power supply</t>
  </si>
  <si>
    <t>RFI-0983</t>
  </si>
  <si>
    <t>Additional Misc 120V-15A-1PH Connections for Mechanical-BMS-EMCS (RFI-0982, RFI-0983, RFI-0984)</t>
  </si>
  <si>
    <t>RFI-0984</t>
  </si>
  <si>
    <t>COW-0328</t>
  </si>
  <si>
    <t>PCO-0294</t>
  </si>
  <si>
    <t>CE-0480</t>
  </si>
  <si>
    <t>CO-0290</t>
  </si>
  <si>
    <t>courtroom F prisoner Docket Plate</t>
  </si>
  <si>
    <t>RFI-0985</t>
  </si>
  <si>
    <t>door threshold</t>
  </si>
  <si>
    <t>RFI-0986</t>
  </si>
  <si>
    <t>prisoner dock door laminate reveals</t>
  </si>
  <si>
    <t>RFI-0987</t>
  </si>
  <si>
    <t>COW-0343</t>
  </si>
  <si>
    <t>PCO-0307</t>
  </si>
  <si>
    <t>CE 494</t>
  </si>
  <si>
    <t>CO-0298</t>
  </si>
  <si>
    <t>maintenance material cylinders</t>
  </si>
  <si>
    <t>RFI-0988</t>
  </si>
  <si>
    <t>Hardware group 150</t>
  </si>
  <si>
    <t>RFI-0989</t>
  </si>
  <si>
    <t>COW-0341</t>
  </si>
  <si>
    <t>PCO-0305</t>
  </si>
  <si>
    <t>CE 495</t>
  </si>
  <si>
    <t>CO-0305</t>
  </si>
  <si>
    <t>Revised Fire Ratings for Courtroom Side Entrance Doors (RFI-0990)</t>
  </si>
  <si>
    <t>RFI-0990</t>
  </si>
  <si>
    <t>FO-0090R1</t>
  </si>
  <si>
    <t>COW-0333</t>
  </si>
  <si>
    <t>PCO-0298</t>
  </si>
  <si>
    <t>CE 483</t>
  </si>
  <si>
    <t>CO-0327</t>
  </si>
  <si>
    <t>Acoustics STCSET door seals</t>
  </si>
  <si>
    <t>RFI-0991</t>
  </si>
  <si>
    <t>Storage room shelving</t>
  </si>
  <si>
    <t>RFI-0992</t>
  </si>
  <si>
    <t>Library Negative air</t>
  </si>
  <si>
    <t>RFI-0993</t>
  </si>
  <si>
    <t>COW-0332</t>
  </si>
  <si>
    <t>PCO-0297</t>
  </si>
  <si>
    <t>CE 476</t>
  </si>
  <si>
    <t>CO-0285</t>
  </si>
  <si>
    <t>confirm location of ID -35</t>
  </si>
  <si>
    <t>RFI-0994</t>
  </si>
  <si>
    <t>R-3 eyewash station placemnet</t>
  </si>
  <si>
    <t>RFI-0995</t>
  </si>
  <si>
    <t>loctaion of IN -5 Emergency elevator ID/info</t>
  </si>
  <si>
    <t>RFI-0996</t>
  </si>
  <si>
    <t>signs ID 14C for elevators</t>
  </si>
  <si>
    <t>RFI-0997</t>
  </si>
  <si>
    <t>Irrigation meter information</t>
  </si>
  <si>
    <t>RFI-0998</t>
  </si>
  <si>
    <t>Door B501B Hardware Conflict</t>
  </si>
  <si>
    <t>RFI-0999</t>
  </si>
  <si>
    <t>see COW-0341</t>
  </si>
  <si>
    <t>room 8564 &amp; 5200 speaker layout conflict</t>
  </si>
  <si>
    <t>RFI-1000</t>
  </si>
  <si>
    <t>Hardware group 156</t>
  </si>
  <si>
    <t>COW-0320</t>
  </si>
  <si>
    <t>PCO-0286</t>
  </si>
  <si>
    <t>CE 0453</t>
  </si>
  <si>
    <t>CO-0280</t>
  </si>
  <si>
    <t>Emergency Lighting in Room B593 &amp; B591</t>
  </si>
  <si>
    <t>COW-0322</t>
  </si>
  <si>
    <t>PCO-0288</t>
  </si>
  <si>
    <t>CE 0455</t>
  </si>
  <si>
    <t>CO-0278</t>
  </si>
  <si>
    <t>Lockbox Mounting</t>
  </si>
  <si>
    <t>COW-0329</t>
  </si>
  <si>
    <t>PCO-0295</t>
  </si>
  <si>
    <t>CE-472</t>
  </si>
  <si>
    <t>CO-0283</t>
  </si>
  <si>
    <t>Power and FA for door hardware Groups 138 192</t>
  </si>
  <si>
    <t>RFI-1001</t>
  </si>
  <si>
    <t>COW-0339</t>
  </si>
  <si>
    <t>PCO-0304R1</t>
  </si>
  <si>
    <t>CE 487</t>
  </si>
  <si>
    <t>CO-0297</t>
  </si>
  <si>
    <t>RFI-1002</t>
  </si>
  <si>
    <t>RFI-1003</t>
  </si>
  <si>
    <t>RFI-1004</t>
  </si>
  <si>
    <t>RFI-1005</t>
  </si>
  <si>
    <t>RFI-1006</t>
  </si>
  <si>
    <t>RFI-1007</t>
  </si>
  <si>
    <t>DOOR BST2A Relocation</t>
  </si>
  <si>
    <t>RFI-1008</t>
  </si>
  <si>
    <t>COW-0344</t>
  </si>
  <si>
    <t>PCO-0309</t>
  </si>
  <si>
    <t>CE 498</t>
  </si>
  <si>
    <t>CO-0299</t>
  </si>
  <si>
    <t>RFI-1009</t>
  </si>
  <si>
    <t>Plastic Laminate Finish for Access Flooring Infills at Vertical Lifts</t>
  </si>
  <si>
    <t>COW-0334</t>
  </si>
  <si>
    <t>PCO-0299</t>
  </si>
  <si>
    <t>CE-477</t>
  </si>
  <si>
    <t>CO-0286</t>
  </si>
  <si>
    <t>Corridor 1551 Exit Lights and Blue Pull Stations</t>
  </si>
  <si>
    <t>COW-0335</t>
  </si>
  <si>
    <t>PCO-0300</t>
  </si>
  <si>
    <t>CO-0289</t>
  </si>
  <si>
    <t>Continuity of Elevator Control Room Fire Separations</t>
  </si>
  <si>
    <t>COW-0336</t>
  </si>
  <si>
    <t>PCO-0301</t>
  </si>
  <si>
    <t>CE 484</t>
  </si>
  <si>
    <t>CO-0294</t>
  </si>
  <si>
    <t>Extension of Insurance Conditions</t>
  </si>
  <si>
    <t>COW-0337</t>
  </si>
  <si>
    <t>PCO-0302 R1</t>
  </si>
  <si>
    <t>CE-0473</t>
  </si>
  <si>
    <t>CO-0296</t>
  </si>
  <si>
    <t>UPS Room 9531 Cooling - Supply Only</t>
  </si>
  <si>
    <t>COW-0338</t>
  </si>
  <si>
    <t>PCO-0303</t>
  </si>
  <si>
    <t>CE-0486</t>
  </si>
  <si>
    <t>CO-0292</t>
  </si>
  <si>
    <t>Door 2045A Access control vs hardware</t>
  </si>
  <si>
    <t>RFI-1010</t>
  </si>
  <si>
    <t>Doors 4st1A, 4St3A, 6St1A, 6St3A</t>
  </si>
  <si>
    <t>RFI-1011</t>
  </si>
  <si>
    <t>Door 1ST5B</t>
  </si>
  <si>
    <t>RFI-1012</t>
  </si>
  <si>
    <t>AV cash  allowance partial close out</t>
  </si>
  <si>
    <t>CO-0287</t>
  </si>
  <si>
    <t>RFI-1013</t>
  </si>
  <si>
    <t>RFI-1014</t>
  </si>
  <si>
    <t>RFI-1015</t>
  </si>
  <si>
    <t>RFI-1016</t>
  </si>
  <si>
    <t>RFI-1017</t>
  </si>
  <si>
    <t>Heat Recovery Chiller Control Valves</t>
  </si>
  <si>
    <t>COW-0342</t>
  </si>
  <si>
    <t>PCO-0306</t>
  </si>
  <si>
    <t>CE 493</t>
  </si>
  <si>
    <t>CO-0295</t>
  </si>
  <si>
    <t>UPS Room 9531 cooling - installation</t>
  </si>
  <si>
    <t>COW-0345R1</t>
  </si>
  <si>
    <t>PCO--0308R1</t>
  </si>
  <si>
    <t>CE-0499</t>
  </si>
  <si>
    <t>CO-0306</t>
  </si>
  <si>
    <t>Chiller Tower Sequence</t>
  </si>
  <si>
    <t>RFI-1018</t>
  </si>
  <si>
    <t>Occupancy Control Sequence</t>
  </si>
  <si>
    <t>RFI-1019</t>
  </si>
  <si>
    <t>P501 Parkade Access platform Lighting</t>
  </si>
  <si>
    <t>RFI-1020</t>
  </si>
  <si>
    <t>COW-0348</t>
  </si>
  <si>
    <t>PCO-0310</t>
  </si>
  <si>
    <t>CE-505</t>
  </si>
  <si>
    <t>CO-0304</t>
  </si>
  <si>
    <t>Courtroom 5400 future receptacle conflict</t>
  </si>
  <si>
    <t>RFI-1021</t>
  </si>
  <si>
    <t>ftr Recording light location- JDR room</t>
  </si>
  <si>
    <t>RFI-1022</t>
  </si>
  <si>
    <t>Lighting control P501 Mech Platform</t>
  </si>
  <si>
    <t>Sally port vs Sally ramps Fire alarms signalling conflicts</t>
  </si>
  <si>
    <t>PCO-0275</t>
  </si>
  <si>
    <t>Signage cash allowance close out</t>
  </si>
  <si>
    <t>CO-0300</t>
  </si>
  <si>
    <t>Offsite improvemets Cash allowance close out</t>
  </si>
  <si>
    <t>CO-0301</t>
  </si>
  <si>
    <t>Service connections cash allowance close out</t>
  </si>
  <si>
    <t>CO-0302</t>
  </si>
  <si>
    <t>AV partial cash allowance close out</t>
  </si>
  <si>
    <t>CO-0303</t>
  </si>
  <si>
    <t>Acoustic panel adjustment for handrail</t>
  </si>
  <si>
    <t>RFI-1023</t>
  </si>
  <si>
    <t>Eventide Centralised Recording System</t>
  </si>
  <si>
    <t>RFI-1025</t>
  </si>
  <si>
    <t>5400 Accused Mute Button and Shure Boundary Mic</t>
  </si>
  <si>
    <t>RFI-1026</t>
  </si>
  <si>
    <t>mode of operation 3579A door group 136</t>
  </si>
  <si>
    <t>RFI-1027</t>
  </si>
  <si>
    <t>COW-0349</t>
  </si>
  <si>
    <t>PCO-0311</t>
  </si>
  <si>
    <t>CE-517</t>
  </si>
  <si>
    <t>CO-0310</t>
  </si>
  <si>
    <t>Inadequate elevator lobby lighting</t>
  </si>
  <si>
    <t>RFI-1028</t>
  </si>
  <si>
    <t>CE-0519</t>
  </si>
  <si>
    <t>CO-0309</t>
  </si>
  <si>
    <t>Elevator machine room lighting levels</t>
  </si>
  <si>
    <t>RFI-1029</t>
  </si>
  <si>
    <t>See CO 309</t>
  </si>
  <si>
    <t>occupancy control integration with EMCS</t>
  </si>
  <si>
    <t>COW-0350</t>
  </si>
  <si>
    <t>CE-518</t>
  </si>
  <si>
    <t>CO-0311</t>
  </si>
  <si>
    <t>Retractable Bollard EFO</t>
  </si>
  <si>
    <t>RFI-1030</t>
  </si>
  <si>
    <t>UI Training Manuals Functuonality</t>
  </si>
  <si>
    <t>RFI-1031</t>
  </si>
  <si>
    <t>5400 Podium Power</t>
  </si>
  <si>
    <t>RFI-1032</t>
  </si>
  <si>
    <t>COW-0355</t>
  </si>
  <si>
    <t>Safety paint to Parkade corners</t>
  </si>
  <si>
    <t>RFI-1033</t>
  </si>
  <si>
    <t>High Humidity Warning</t>
  </si>
  <si>
    <t>RFI-1034</t>
  </si>
  <si>
    <t>Settlement Agreement #3</t>
  </si>
  <si>
    <t>CO-0308</t>
  </si>
  <si>
    <t>Insurance Extension 2</t>
  </si>
  <si>
    <t>COW-337 R1</t>
  </si>
  <si>
    <t>PCO-0302 1.1</t>
  </si>
  <si>
    <t>CE-473.1</t>
  </si>
  <si>
    <t>CO-0312</t>
  </si>
  <si>
    <t>Emergency Power for Overhead Doors</t>
  </si>
  <si>
    <t>COW-353</t>
  </si>
  <si>
    <t>PCO-0314</t>
  </si>
  <si>
    <t>CE-523</t>
  </si>
  <si>
    <t>CO-0313</t>
  </si>
  <si>
    <t>Floor Level Mixing Valve Assembly</t>
  </si>
  <si>
    <t>COW-354</t>
  </si>
  <si>
    <t>PCO-0315</t>
  </si>
  <si>
    <t>CE 525</t>
  </si>
  <si>
    <t>CO-0314</t>
  </si>
  <si>
    <t>Vestibule B515 Emergency Lighting</t>
  </si>
  <si>
    <t>COW-0356</t>
  </si>
  <si>
    <t>PCO-0316</t>
  </si>
  <si>
    <t>CE 0526</t>
  </si>
  <si>
    <t>CO-0315</t>
  </si>
  <si>
    <t>Elevator EV3 Main Floor Lighting, Level 7 landing lighting</t>
  </si>
  <si>
    <t>COW-0357</t>
  </si>
  <si>
    <t>PCO-317 R2</t>
  </si>
  <si>
    <t>CE-532</t>
  </si>
  <si>
    <t>CO-0317</t>
  </si>
  <si>
    <t>Partial Elevator Certification (EV4 EV5)</t>
  </si>
  <si>
    <t>FO-0097</t>
  </si>
  <si>
    <t>COW-0359</t>
  </si>
  <si>
    <t>PCO-0318</t>
  </si>
  <si>
    <t>CE-0528</t>
  </si>
  <si>
    <t>CO-0318</t>
  </si>
  <si>
    <t>Public safety DAS coverage enhancement</t>
  </si>
  <si>
    <t>COW-0360</t>
  </si>
  <si>
    <t>PCO-0319</t>
  </si>
  <si>
    <t>CE-533</t>
  </si>
  <si>
    <t>CO-0324</t>
  </si>
  <si>
    <t>Elevator sump Pumps P-145 P-146 Rev</t>
  </si>
  <si>
    <t>COW-0362</t>
  </si>
  <si>
    <t>PCO-0320</t>
  </si>
  <si>
    <t>CE-535</t>
  </si>
  <si>
    <t>CO-0320</t>
  </si>
  <si>
    <t>UPS Room 9531 Temp cooling #2</t>
  </si>
  <si>
    <t>PCO-0308R1-B</t>
  </si>
  <si>
    <t>CE-0530</t>
  </si>
  <si>
    <t>CO-0316</t>
  </si>
  <si>
    <t>CTS Switch Power Requirements</t>
  </si>
  <si>
    <t>RFI-1035</t>
  </si>
  <si>
    <t>Missing V Ports</t>
  </si>
  <si>
    <t>RFI-1036</t>
  </si>
  <si>
    <t>Sheriff Control Room AV Monitors</t>
  </si>
  <si>
    <t>RFI-1037</t>
  </si>
  <si>
    <t>Door - 8555A Mode of Operation</t>
  </si>
  <si>
    <t>RFI-1038</t>
  </si>
  <si>
    <t>Door 1009A Operation</t>
  </si>
  <si>
    <t>RFI-1039</t>
  </si>
  <si>
    <t>Keying Revisions for Firefighting Access</t>
  </si>
  <si>
    <t>COW-0363</t>
  </si>
  <si>
    <t>PCO-0321</t>
  </si>
  <si>
    <t>CO-0328</t>
  </si>
  <si>
    <t>Directional exit sign in Corridor 3561</t>
  </si>
  <si>
    <t>COW-0364</t>
  </si>
  <si>
    <t>PCO-0322</t>
  </si>
  <si>
    <t>CE-0538</t>
  </si>
  <si>
    <t>CO-0319</t>
  </si>
  <si>
    <t>Change Mobile Shelving System to Legal Size</t>
  </si>
  <si>
    <t>COW-0365</t>
  </si>
  <si>
    <t>PCO-0323</t>
  </si>
  <si>
    <t>CO-0323</t>
  </si>
  <si>
    <t>Elev 1,2,3 flooring substrate</t>
  </si>
  <si>
    <t>Cow-0367</t>
  </si>
  <si>
    <t>PCO-0325</t>
  </si>
  <si>
    <t>CO-0322</t>
  </si>
  <si>
    <t>CH105 Sequencing</t>
  </si>
  <si>
    <t>COW-0366</t>
  </si>
  <si>
    <t>PCO-0324</t>
  </si>
  <si>
    <t>CO-0321</t>
  </si>
  <si>
    <t>UPS Room 9531 Temp cooling #3</t>
  </si>
  <si>
    <t>CE-0499.1</t>
  </si>
  <si>
    <t>CO-0326</t>
  </si>
  <si>
    <t>RSC workstation disconenct reconnect</t>
  </si>
  <si>
    <t>Ce 347</t>
  </si>
  <si>
    <t>CO-0325</t>
  </si>
  <si>
    <t>Elevator 1,2,3,6,7,8 AEDARSA Re-inspect</t>
  </si>
  <si>
    <t>See PCO-0326</t>
  </si>
  <si>
    <t>CO-0329</t>
  </si>
  <si>
    <t>Room 4519 6005 6202 Air Balancing</t>
  </si>
  <si>
    <t>COW-0372</t>
  </si>
  <si>
    <t>PCO-0327</t>
  </si>
  <si>
    <t>CE-551</t>
  </si>
  <si>
    <t>CO-0330</t>
  </si>
  <si>
    <t>Domestic Hot Water Recirculation</t>
  </si>
  <si>
    <t>RFI-1040</t>
  </si>
  <si>
    <t>COW-0373</t>
  </si>
  <si>
    <t>PCO-0328</t>
  </si>
  <si>
    <t>CE-552</t>
  </si>
  <si>
    <t>CO-0331</t>
  </si>
  <si>
    <t>Exit PB for door B627A</t>
  </si>
  <si>
    <t>RFI-1043</t>
  </si>
  <si>
    <t>COW-0375</t>
  </si>
  <si>
    <t>PCO-0330</t>
  </si>
  <si>
    <t>CE-554</t>
  </si>
  <si>
    <t>CO-0333</t>
  </si>
  <si>
    <t>Ups Power edge Router in POP B593</t>
  </si>
  <si>
    <t>COW-0374</t>
  </si>
  <si>
    <t>PCO-0329</t>
  </si>
  <si>
    <t>CE-553</t>
  </si>
  <si>
    <t>CO-0332</t>
  </si>
  <si>
    <t>COW-0360-b</t>
  </si>
  <si>
    <t>PCO-0319-b</t>
  </si>
  <si>
    <t>CE-559</t>
  </si>
  <si>
    <t>CO-0334</t>
  </si>
  <si>
    <t>Fire extinguisher Cabinets B608 &amp; B628</t>
  </si>
  <si>
    <t>COW-0379</t>
  </si>
  <si>
    <t>PCO-0331</t>
  </si>
  <si>
    <t>CE 560</t>
  </si>
  <si>
    <t>CO-0335</t>
  </si>
  <si>
    <t>Cash Allowance Authorization Tracking Worksheet</t>
  </si>
  <si>
    <t>Cash Allowance Summary (may be collapsed below)</t>
  </si>
  <si>
    <t>Forecast CA's</t>
  </si>
  <si>
    <t>Allowance #</t>
  </si>
  <si>
    <t>Cash Allowance Balance</t>
  </si>
  <si>
    <t>Forecasted Balance</t>
  </si>
  <si>
    <t>CA's Billed to Date</t>
  </si>
  <si>
    <t>Charge Order Balance</t>
  </si>
  <si>
    <t>A/V Systems</t>
  </si>
  <si>
    <t>Courtroom Back Wall</t>
  </si>
  <si>
    <t>Off-Site Improvements</t>
  </si>
  <si>
    <t>Totals</t>
  </si>
  <si>
    <t>Detailed CAA Listing</t>
  </si>
  <si>
    <t>Define Scope</t>
  </si>
  <si>
    <t>Approve CAA (Final)</t>
  </si>
  <si>
    <t>Cash Allowance Request for Quotation</t>
  </si>
  <si>
    <t>Cash Allowance Authorization</t>
  </si>
  <si>
    <t>Proposed Charge Order</t>
  </si>
  <si>
    <t>Cash Allowance Charge Order</t>
  </si>
  <si>
    <t>Authorization</t>
  </si>
  <si>
    <t>COW-0004</t>
  </si>
  <si>
    <t>PCA-0001</t>
  </si>
  <si>
    <t>CE #003</t>
  </si>
  <si>
    <t>CACO-0001</t>
  </si>
  <si>
    <t>service connections - water, sewer, storm</t>
  </si>
  <si>
    <t>3[pp</t>
  </si>
  <si>
    <t>CE #47</t>
  </si>
  <si>
    <t>CACO-0002</t>
  </si>
  <si>
    <t>broken piles</t>
  </si>
  <si>
    <t>234567890-</t>
  </si>
  <si>
    <t>COW-0051</t>
  </si>
  <si>
    <t>PCA-0002R1</t>
  </si>
  <si>
    <t>CACO-0005</t>
  </si>
  <si>
    <t>AV RFQ criteria</t>
  </si>
  <si>
    <t>COW-0058</t>
  </si>
  <si>
    <t>Sorensen Sattion Licensing</t>
  </si>
  <si>
    <t>PCA-0004</t>
  </si>
  <si>
    <t>CE # !37</t>
  </si>
  <si>
    <t>CACO-0003</t>
  </si>
  <si>
    <t>DAS procurement documents</t>
  </si>
  <si>
    <t>COW-0094</t>
  </si>
  <si>
    <t>refer to CA tracking sheet</t>
  </si>
  <si>
    <t>Das receptacle</t>
  </si>
  <si>
    <t>E-024 - cash allowance value already exceeded, will be CO</t>
  </si>
  <si>
    <t>COW-0106</t>
  </si>
  <si>
    <t>PCA-0007</t>
  </si>
  <si>
    <t>CE 153</t>
  </si>
  <si>
    <t>CACO-0006</t>
  </si>
  <si>
    <t>Signage Backing</t>
  </si>
  <si>
    <t>PCA-0006</t>
  </si>
  <si>
    <t>CACO-0004</t>
  </si>
  <si>
    <t>COW-0139</t>
  </si>
  <si>
    <t>COW-0158</t>
  </si>
  <si>
    <t>PCA-0009</t>
  </si>
  <si>
    <t>CE # 209</t>
  </si>
  <si>
    <t>CACO-0008R1</t>
  </si>
  <si>
    <t>AV Mock up codec &amp; Touch panel changes</t>
  </si>
  <si>
    <t>FO-0024/ FO-0026</t>
  </si>
  <si>
    <t>PCA-0002 R1-b</t>
  </si>
  <si>
    <t>CACO-0007</t>
  </si>
  <si>
    <t>AV cash allowance - CB direct costs only</t>
  </si>
  <si>
    <t>COW-0172</t>
  </si>
  <si>
    <t>PCA-0011R1</t>
  </si>
  <si>
    <t>CE 233</t>
  </si>
  <si>
    <t>CACO-0009</t>
  </si>
  <si>
    <t>PCA-0008</t>
  </si>
  <si>
    <t>CE # 195</t>
  </si>
  <si>
    <t>CACO-0010</t>
  </si>
  <si>
    <t>COW-0169</t>
  </si>
  <si>
    <t>COW-0184</t>
  </si>
  <si>
    <t>PCA-0012</t>
  </si>
  <si>
    <t>CE # 251</t>
  </si>
  <si>
    <t>CACO-0011</t>
  </si>
  <si>
    <t>AV Codec Supply</t>
  </si>
  <si>
    <t>PCA-0014</t>
  </si>
  <si>
    <t>CE # 280</t>
  </si>
  <si>
    <t>CACO-0012</t>
  </si>
  <si>
    <t>Utility Atco Gas</t>
  </si>
  <si>
    <t>PCA-0003</t>
  </si>
  <si>
    <t>CACO-0013</t>
  </si>
  <si>
    <t>sorensen licensing</t>
  </si>
  <si>
    <t>CACO-0014</t>
  </si>
  <si>
    <t>close out</t>
  </si>
  <si>
    <t>PCA-0010</t>
  </si>
  <si>
    <t>FO-0034/ FO-0033</t>
  </si>
  <si>
    <t>COW-0188R1</t>
  </si>
  <si>
    <t>COW-0226</t>
  </si>
  <si>
    <t>COW-0231</t>
  </si>
  <si>
    <t>PCA-0017</t>
  </si>
  <si>
    <t>CE 307</t>
  </si>
  <si>
    <t>CACO-0015</t>
  </si>
  <si>
    <t>PCA-0015</t>
  </si>
  <si>
    <t>CACO-0019</t>
  </si>
  <si>
    <t>Primary Power service connections</t>
  </si>
  <si>
    <t>CACO-0017</t>
  </si>
  <si>
    <t>credit chang order CO-0186</t>
  </si>
  <si>
    <t>PCA-0013R1</t>
  </si>
  <si>
    <t>CE 225</t>
  </si>
  <si>
    <t>CACO-0018</t>
  </si>
  <si>
    <t>Courtroom Av revisions</t>
  </si>
  <si>
    <t>CACO-0016</t>
  </si>
  <si>
    <t>credit chang order CO-0185</t>
  </si>
  <si>
    <t>CACO-0020</t>
  </si>
  <si>
    <t>PCA-0018</t>
  </si>
  <si>
    <t>CE 0324</t>
  </si>
  <si>
    <t>CACO-0021</t>
  </si>
  <si>
    <t>Clerk FTR</t>
  </si>
  <si>
    <t>CE 0355</t>
  </si>
  <si>
    <t>CACO-0022</t>
  </si>
  <si>
    <t>Gallery AV mounts</t>
  </si>
  <si>
    <t>COW 284</t>
  </si>
  <si>
    <t>PCA -0020</t>
  </si>
  <si>
    <t>CE 390</t>
  </si>
  <si>
    <t>CACO-0023</t>
  </si>
  <si>
    <t>COW 289</t>
  </si>
  <si>
    <t>PCA-0021</t>
  </si>
  <si>
    <t>CE 398</t>
  </si>
  <si>
    <t>CACO-0024</t>
  </si>
  <si>
    <t>Congregation Point</t>
  </si>
  <si>
    <t>PCA-022R1</t>
  </si>
  <si>
    <t>CE 409</t>
  </si>
  <si>
    <t>CACO-0025</t>
  </si>
  <si>
    <t>room in use court in session light</t>
  </si>
  <si>
    <t>COW-0316</t>
  </si>
  <si>
    <t>PCA-0026</t>
  </si>
  <si>
    <t>CACO-0026</t>
  </si>
  <si>
    <t>pump flow test</t>
  </si>
  <si>
    <t>COW-0308</t>
  </si>
  <si>
    <t>PCA-0023</t>
  </si>
  <si>
    <t>CACO-0027</t>
  </si>
  <si>
    <t>courtroom 5400 SI -17, SI-06</t>
  </si>
  <si>
    <t>COW-0312</t>
  </si>
  <si>
    <t>PCA-0024</t>
  </si>
  <si>
    <t>CACO-0028</t>
  </si>
  <si>
    <t>mock up completion</t>
  </si>
  <si>
    <t>COW-0330</t>
  </si>
  <si>
    <t>PCA -0027</t>
  </si>
  <si>
    <t>CACO-0029</t>
  </si>
  <si>
    <t>crossover floor signage</t>
  </si>
  <si>
    <t>CACO-0030</t>
  </si>
  <si>
    <t>partial closeout of Av cash allowance</t>
  </si>
  <si>
    <t>PCA-0025R2</t>
  </si>
  <si>
    <t>CACO-0031</t>
  </si>
  <si>
    <t>judges microphone</t>
  </si>
  <si>
    <t>PCA-0030</t>
  </si>
  <si>
    <t>CE 504</t>
  </si>
  <si>
    <t>microphone bases</t>
  </si>
  <si>
    <t>COW-0340</t>
  </si>
  <si>
    <t>PCA-0028</t>
  </si>
  <si>
    <t>CACO-0032</t>
  </si>
  <si>
    <t>Fire pump flow test</t>
  </si>
  <si>
    <t>PCA-0005</t>
  </si>
  <si>
    <t>Das receptacles</t>
  </si>
  <si>
    <t>PCA-0016</t>
  </si>
  <si>
    <t>Memmorial relocation</t>
  </si>
  <si>
    <t>PCA-0019</t>
  </si>
  <si>
    <t>courtroom status monitor</t>
  </si>
  <si>
    <t>COW-0346</t>
  </si>
  <si>
    <t>PCA-0029</t>
  </si>
  <si>
    <t>CE 503</t>
  </si>
  <si>
    <t>CACO-0033</t>
  </si>
  <si>
    <t>Audio plate installation</t>
  </si>
  <si>
    <t>COW-0347</t>
  </si>
  <si>
    <t>CACO-0038</t>
  </si>
  <si>
    <t>Conference &amp; JDR Room Microphone Bases</t>
  </si>
  <si>
    <t>CACO-0034</t>
  </si>
  <si>
    <t>signage cash allowance close-out</t>
  </si>
  <si>
    <t>CACO-0035</t>
  </si>
  <si>
    <t>off-site improvements close-out</t>
  </si>
  <si>
    <t>CACO-0036</t>
  </si>
  <si>
    <t>service connections close-out</t>
  </si>
  <si>
    <t>CACO-0037</t>
  </si>
  <si>
    <t>AV cash allowance partial close-out</t>
  </si>
  <si>
    <t>COW-0353</t>
  </si>
  <si>
    <t>CACO-0039</t>
  </si>
  <si>
    <t>AV Switch Port Matrix</t>
  </si>
  <si>
    <t>PCA-0032</t>
  </si>
  <si>
    <t>CACO-0040</t>
  </si>
  <si>
    <t>CR 5400 power for podium</t>
  </si>
  <si>
    <t>COW-0361</t>
  </si>
  <si>
    <t>PCA-0034</t>
  </si>
  <si>
    <t>CACO-0041</t>
  </si>
  <si>
    <t>Digital Signage Display in Sheriff Control Rooms (RFI-1037)</t>
  </si>
  <si>
    <t>COW-0358</t>
  </si>
  <si>
    <t>PCA-0033</t>
  </si>
  <si>
    <t>CACO-0042</t>
  </si>
  <si>
    <t>AV data drops B583</t>
  </si>
  <si>
    <t>COW-368</t>
  </si>
  <si>
    <t>PCA-0035</t>
  </si>
  <si>
    <t>CACO-0043</t>
  </si>
  <si>
    <t xml:space="preserve">UPS av Data racks </t>
  </si>
  <si>
    <t>PCA-0036</t>
  </si>
  <si>
    <t>CACO-0044</t>
  </si>
  <si>
    <t>drawing review comments for B583</t>
  </si>
  <si>
    <t>COW-0377</t>
  </si>
  <si>
    <t>PCA-0039</t>
  </si>
  <si>
    <t>CE 557</t>
  </si>
  <si>
    <t>CACO-0045</t>
  </si>
  <si>
    <t>AV operational support Opening Week</t>
  </si>
  <si>
    <t>COW-0376</t>
  </si>
  <si>
    <t>PCA-0038</t>
  </si>
  <si>
    <t>CE 555</t>
  </si>
  <si>
    <t>CACO-0046</t>
  </si>
  <si>
    <t>PDU networking and elec</t>
  </si>
  <si>
    <t>COW-0371</t>
  </si>
  <si>
    <t>PCA-0037</t>
  </si>
  <si>
    <t>CE 550</t>
  </si>
  <si>
    <t>CACO-0047</t>
  </si>
  <si>
    <t>AV switch port Matrix</t>
  </si>
  <si>
    <t>COW-0378</t>
  </si>
  <si>
    <t>PCA-0040</t>
  </si>
  <si>
    <t>CE 562</t>
  </si>
  <si>
    <t>CACO-0048</t>
  </si>
  <si>
    <t>Jury Box Monitor Configuration</t>
  </si>
  <si>
    <t>Terminology</t>
  </si>
  <si>
    <t>Planned Value (PV)</t>
  </si>
  <si>
    <t xml:space="preserve">Authorized Work, with authorized budget within the authorized time-frame, which in total forms the project baseline. </t>
  </si>
  <si>
    <t>Earned Value (EV)</t>
  </si>
  <si>
    <t xml:space="preserve">Authorized work completed at a given point in time (typically current time of the review). EV is measured in terms of the authorized budget. </t>
  </si>
  <si>
    <t>Actual Costs (AC)</t>
  </si>
  <si>
    <t xml:space="preserve">Costs incurred to complete the authorized work referenced in the EV description. </t>
  </si>
  <si>
    <t>Schedule Performance Index (SPI)</t>
  </si>
  <si>
    <t xml:space="preserve">=EV / PV. Any CPI value below 1.0 indicates that the project is behind its planned schedule. </t>
  </si>
  <si>
    <t>Cost Performance Index (CPI)</t>
  </si>
  <si>
    <t>=EV / AC. Any CPI value below 1.0 indicates that the project is overrunning its planned budget. (Cannot be tracked as ACTUAL COSTS are unknown)</t>
  </si>
  <si>
    <t>Current
Commitment</t>
  </si>
  <si>
    <t>Expenditures
 to Date</t>
  </si>
  <si>
    <t xml:space="preserve">Contract Start Date </t>
  </si>
  <si>
    <t>2020/2021</t>
  </si>
  <si>
    <t>2021/2022</t>
  </si>
  <si>
    <t>2022/2023</t>
  </si>
  <si>
    <t>2023/2024</t>
  </si>
  <si>
    <t>Current Commitment as of the month</t>
  </si>
  <si>
    <t>-</t>
  </si>
  <si>
    <t>Planned Value (Baseline)</t>
  </si>
  <si>
    <t>Changes to Forecast (+/-)</t>
  </si>
  <si>
    <t>Current PV</t>
  </si>
  <si>
    <t>Earned Value (Actuals)</t>
  </si>
  <si>
    <t>Earned Value Actuals (Cumulative)</t>
  </si>
  <si>
    <t>SPI (=EV/PV)</t>
  </si>
  <si>
    <t>SPI (=EV/Baseline PV)</t>
  </si>
  <si>
    <t>Percentage Complete</t>
  </si>
  <si>
    <t>Weeks from Start of Project</t>
  </si>
  <si>
    <t>Schedule Completion (% of 142 weeks)</t>
  </si>
  <si>
    <t>Field</t>
  </si>
  <si>
    <t>SPOApprovedTPC</t>
  </si>
  <si>
    <t>SPOBudgetTotal</t>
  </si>
  <si>
    <t>SPOCashflowCurrentYearTotal</t>
  </si>
  <si>
    <t>SPOCashflowFutureYearTotal</t>
  </si>
  <si>
    <t>SPOEAC</t>
  </si>
  <si>
    <t>SPOCurrentYearTargetTotal</t>
  </si>
  <si>
    <t>&lt;----Al: Need one of these for the Current Year Proposed Targets as well.</t>
  </si>
  <si>
    <t>SPOCurrentYearProposedTargetTotal</t>
  </si>
  <si>
    <t>SPOPreviousYearsApprovedTargets</t>
  </si>
  <si>
    <t>SPOFutureYearsApprovedTargets</t>
  </si>
  <si>
    <t>SPOPercentCompleteTAFBudget</t>
  </si>
  <si>
    <t>SPOPercentCompleteEACBudget</t>
  </si>
  <si>
    <t>SPOTotalCashflow</t>
  </si>
  <si>
    <t>SPOUnallocatedCashflowTotal</t>
  </si>
  <si>
    <t>SPOTotalExpenditurestoDate</t>
  </si>
  <si>
    <t>SPOCurrentFiscalYearActuals</t>
  </si>
  <si>
    <t>SPOCashflowPreviousYearsTotal</t>
  </si>
  <si>
    <t>SPOCurrentYearBudgetTarget</t>
  </si>
  <si>
    <t>Funding Source (Load to SharePoint Table)</t>
  </si>
  <si>
    <t>Current Year</t>
  </si>
  <si>
    <t>PY Targets</t>
  </si>
  <si>
    <t>FY Forecast 1</t>
  </si>
  <si>
    <t>FY Forecast 2</t>
  </si>
  <si>
    <t>FY Forecast 3</t>
  </si>
  <si>
    <t>FY Forecast 4</t>
  </si>
  <si>
    <t>FY Forecast 5</t>
  </si>
  <si>
    <t>Staff Cap EAC</t>
  </si>
  <si>
    <t>Staff Cap PY Spend</t>
  </si>
  <si>
    <t>Staff Cap CY Actuals</t>
  </si>
  <si>
    <t>Staff Cap CY Forecast</t>
  </si>
  <si>
    <t>Staff Cap FY Spend</t>
  </si>
  <si>
    <t>Mgmt Rsrv EAC</t>
  </si>
  <si>
    <t>Mgmt Rsrv PY Spend</t>
  </si>
  <si>
    <t>Mgmt Rsrv CY Spend</t>
  </si>
  <si>
    <t>Mgmt Rsrv FY Spend</t>
  </si>
  <si>
    <t>Current Committed Amt</t>
  </si>
  <si>
    <t>FE_IT EAC</t>
  </si>
  <si>
    <t>FE_IT PY Spend</t>
  </si>
  <si>
    <t>FE_IT CY Actuals</t>
  </si>
  <si>
    <t>FE_IT CY Forecast</t>
  </si>
  <si>
    <t>FE_IT FY Spend</t>
  </si>
  <si>
    <t>WBS</t>
  </si>
  <si>
    <t>Funding Description</t>
  </si>
  <si>
    <t>Project ID</t>
  </si>
  <si>
    <t>Capital Plan Status</t>
  </si>
  <si>
    <t>Column2</t>
  </si>
  <si>
    <t>Column3</t>
  </si>
  <si>
    <t>Column4</t>
  </si>
  <si>
    <t>Column5</t>
  </si>
  <si>
    <t>Column6</t>
  </si>
  <si>
    <t>Column7</t>
  </si>
  <si>
    <t>Column8</t>
  </si>
  <si>
    <t>Column9</t>
  </si>
  <si>
    <t>P-002088</t>
  </si>
  <si>
    <t>Agrivalue Processing Business Incubator (Leduc)</t>
  </si>
  <si>
    <t>P-002088 Agrivalue Processing Business Incubator (Leduc)</t>
  </si>
  <si>
    <t>B0536D-0010</t>
  </si>
  <si>
    <t>Agrivalue Processing Business Incubator Program (Leduc)</t>
  </si>
  <si>
    <t>2016-17</t>
  </si>
  <si>
    <t>Active</t>
  </si>
  <si>
    <t>P-002018</t>
  </si>
  <si>
    <t>Calgary Remand Centre Divided Living Units</t>
  </si>
  <si>
    <t>P-002018 Calgary Remand Centre Divided Living Units</t>
  </si>
  <si>
    <t>B0068AE-0030</t>
  </si>
  <si>
    <t>Calgary Remand Centre Divide Living Units</t>
  </si>
  <si>
    <t>P-002035</t>
  </si>
  <si>
    <t>CRI - Canmore</t>
  </si>
  <si>
    <t>P-002035 CRI - Canmore</t>
  </si>
  <si>
    <t>B0113A-0012</t>
  </si>
  <si>
    <t>Courthouse Renewal Initiative (CRI)</t>
  </si>
  <si>
    <t>2015-16</t>
  </si>
  <si>
    <t>P-002036</t>
  </si>
  <si>
    <t>CRI - Cochrane</t>
  </si>
  <si>
    <t>P-002036 CRI - Cochrane</t>
  </si>
  <si>
    <t>B0138A-0021</t>
  </si>
  <si>
    <t>P-002037</t>
  </si>
  <si>
    <t>CRI - Didsbury</t>
  </si>
  <si>
    <t>P-002037 CRI - Didsbury</t>
  </si>
  <si>
    <t>B0165A-0005</t>
  </si>
  <si>
    <t>P-002059</t>
  </si>
  <si>
    <t>CRI - Edmonton Law Courts</t>
  </si>
  <si>
    <t>P-002059 CRI - Edmonton Law Courts</t>
  </si>
  <si>
    <t>B0235A-0144</t>
  </si>
  <si>
    <t>P-002063</t>
  </si>
  <si>
    <t>P-002063 CRI - Edmonton Law Courts</t>
  </si>
  <si>
    <t>B0235B-0026</t>
  </si>
  <si>
    <t>P-002082</t>
  </si>
  <si>
    <t>CRI - Hinton</t>
  </si>
  <si>
    <t>P-002082 CRI - Hinton</t>
  </si>
  <si>
    <t>B0457A-0010</t>
  </si>
  <si>
    <t>P-002085</t>
  </si>
  <si>
    <t>CRI - Brooks</t>
  </si>
  <si>
    <t>P-002085 CRI - Brooks</t>
  </si>
  <si>
    <t>B0498A-0005</t>
  </si>
  <si>
    <t>P-002106</t>
  </si>
  <si>
    <t>CRI - Red Deer</t>
  </si>
  <si>
    <t>P-002106 CRI - Red Deer</t>
  </si>
  <si>
    <t>B0663A-0020</t>
  </si>
  <si>
    <t>P-002124</t>
  </si>
  <si>
    <t>CRI - Wabasca</t>
  </si>
  <si>
    <t>P-002124 CRI - Wabasca</t>
  </si>
  <si>
    <t>B0820A-0009</t>
  </si>
  <si>
    <t>P-002127</t>
  </si>
  <si>
    <t>CRI - Whitecourt</t>
  </si>
  <si>
    <t>P-002127 CRI - Whitecourt</t>
  </si>
  <si>
    <t>B0852A-0016</t>
  </si>
  <si>
    <t>P-002276</t>
  </si>
  <si>
    <t>CRI - Various Modular Courthouses</t>
  </si>
  <si>
    <t>P-002276 CRI - Various Modular Courthouses</t>
  </si>
  <si>
    <t>B7777A-0924</t>
  </si>
  <si>
    <t>B0208B-0131</t>
  </si>
  <si>
    <t>B0208B-0131 CRI - Edmonton Law Courts</t>
  </si>
  <si>
    <t>P-003105</t>
  </si>
  <si>
    <t>Strathmore Courthouse</t>
  </si>
  <si>
    <t>P-003105 Strathmore Courthouse</t>
  </si>
  <si>
    <t>P-XXXXXX-TBD</t>
  </si>
  <si>
    <t>Glenbow Revitalization</t>
  </si>
  <si>
    <t>P-XXXXXX-TBD Glenbow Revitalization</t>
  </si>
  <si>
    <t>BXXXXX-TBD</t>
  </si>
  <si>
    <t>Glenbow Revitalization (Calgary)</t>
  </si>
  <si>
    <t>P-002091</t>
  </si>
  <si>
    <t>Kananaskis Emergency Services Centre</t>
  </si>
  <si>
    <t>P-002091 Kananaskis Emergency Services Centre</t>
  </si>
  <si>
    <t>B0582A-0004</t>
  </si>
  <si>
    <t>B0582A-0005</t>
  </si>
  <si>
    <t>Kananaskis Emergency Services Centre - Deeper Greening</t>
  </si>
  <si>
    <t>B0582A-0005 Kananaskis Emergency Services Centre - Deeper Greening</t>
  </si>
  <si>
    <t>B0287U-0002</t>
  </si>
  <si>
    <t>Provincial Operations Centre</t>
  </si>
  <si>
    <t>B0287U-0002 Provincial Operations Centre</t>
  </si>
  <si>
    <t>Red Deer Justice Centre</t>
  </si>
  <si>
    <t>P-002126</t>
  </si>
  <si>
    <t>Reynolds-Alberta Museum</t>
  </si>
  <si>
    <t>P-002126 Reynolds-Alberta Museum</t>
  </si>
  <si>
    <t>B0833G-0001</t>
  </si>
  <si>
    <t>Reynolds-Alberta Museum (Wetaskiwin)</t>
  </si>
  <si>
    <t>P-003299</t>
  </si>
  <si>
    <t>Yellowhead Youth Centre</t>
  </si>
  <si>
    <t>P-003299 Yellowhead Youth Centre</t>
  </si>
  <si>
    <t>S0233-0025</t>
  </si>
  <si>
    <t>P-002289</t>
  </si>
  <si>
    <t>Calgary Court of Appeal - Functional Program</t>
  </si>
  <si>
    <t>P-002289 Calgary Court of Appeal - Functional Program</t>
  </si>
  <si>
    <t>B7777C-0035</t>
  </si>
  <si>
    <t>Calgary Court of Appeal - Planning</t>
  </si>
  <si>
    <t>P-003039</t>
  </si>
  <si>
    <t>Lake Louise - Community Rec Centre</t>
  </si>
  <si>
    <t>P-003039 Lake Louise - Community Rec Centre</t>
  </si>
  <si>
    <t>B8078A-0001</t>
  </si>
  <si>
    <t>P-005065</t>
  </si>
  <si>
    <t>Calgary Medical Examiner Building - Planning</t>
  </si>
  <si>
    <t>P-005065 Calgary Medical Examiner Building - Planning</t>
  </si>
  <si>
    <t>B0067C-0026</t>
  </si>
  <si>
    <t>B0068AE-0031</t>
  </si>
  <si>
    <t>Calgary Remand Centre Divided Living Units - Properties</t>
  </si>
  <si>
    <t>B0068AE-0031 Calgary Remand Centre Divided Living Units - Properties</t>
  </si>
  <si>
    <t>PROP</t>
  </si>
  <si>
    <t>P-XXXX FMC Mtce Shop</t>
  </si>
  <si>
    <t>FMC expenditures on Mtce shop</t>
  </si>
  <si>
    <t>P-XXXX FMC Mtce Shop FMC expenditures on Mtce shop</t>
  </si>
  <si>
    <t>P-000185</t>
  </si>
  <si>
    <t>Northern Lights Regional Health Centre Cooling Tower Repl</t>
  </si>
  <si>
    <t>P-000185 Northern Lights Regional Health Centre Cooling Tower Repl</t>
  </si>
  <si>
    <t>B1056A-0028</t>
  </si>
  <si>
    <t>Health Capital Maintenance and Renewal</t>
  </si>
  <si>
    <t>ongoing</t>
  </si>
  <si>
    <t>P-002139</t>
  </si>
  <si>
    <t>MHRH - Civil Piping (IMP)</t>
  </si>
  <si>
    <t>P-002139 MHRH - Civil Piping (IMP)</t>
  </si>
  <si>
    <t>B1126A-0022</t>
  </si>
  <si>
    <t>P-002134</t>
  </si>
  <si>
    <t>IMP - Rockyview Hosp Elec Upgrade</t>
  </si>
  <si>
    <t>P-002134 IMP - Rockyview Hosp Elec Upgrade</t>
  </si>
  <si>
    <t>B1069A-0006</t>
  </si>
  <si>
    <t>P-003136</t>
  </si>
  <si>
    <t>IMP Angus McGugan Pavilion (AMP) Stair Underpinning</t>
  </si>
  <si>
    <t>P-003136 IMP Angus McGugan Pavilion (AMP) Stair Underpinning</t>
  </si>
  <si>
    <t>P-003137</t>
  </si>
  <si>
    <t>IMP Angus McGugan Pavilion (AMP) Windows and Roofing Replacements</t>
  </si>
  <si>
    <t>P-003137 IMP Angus McGugan Pavilion (AMP) Windows and Roofing Replacements</t>
  </si>
  <si>
    <t>P-004499</t>
  </si>
  <si>
    <t>IMP - Misericordia - Cooling Upgrade in SB-08</t>
  </si>
  <si>
    <t>P-004499 IMP - Misericordia - Cooling Upgrade in SB-08</t>
  </si>
  <si>
    <t>P-002132</t>
  </si>
  <si>
    <t>Northern Lights Regional Health Centre Repairs (Fort McMurray)</t>
  </si>
  <si>
    <t>P-002132 Northern Lights Regional Health Centre Repairs (Fort McMurray)</t>
  </si>
  <si>
    <t>B1056A-0027</t>
  </si>
  <si>
    <t>2013-14</t>
  </si>
  <si>
    <t>P-002268</t>
  </si>
  <si>
    <t>Calgary Cancer Centre</t>
  </si>
  <si>
    <t>P-002268 Calgary Cancer Centre</t>
  </si>
  <si>
    <t>B7777A-0744</t>
  </si>
  <si>
    <t>2011-12</t>
  </si>
  <si>
    <t>P-002288</t>
  </si>
  <si>
    <t>Calgary Cancer Centre - Parking Lot</t>
  </si>
  <si>
    <t>P-002288 Calgary Cancer Centre - Parking Lot</t>
  </si>
  <si>
    <t>B7777A-1007</t>
  </si>
  <si>
    <t>P-002268.03</t>
  </si>
  <si>
    <t>Calgary Cancer Project - McCaig Link</t>
  </si>
  <si>
    <t>P-002268.03 Calgary Cancer Project - McCaig Link</t>
  </si>
  <si>
    <t>P-002274</t>
  </si>
  <si>
    <t>Provincial Heliports</t>
  </si>
  <si>
    <t>P-002274 Provincial Heliports</t>
  </si>
  <si>
    <t>B7777A-0873</t>
  </si>
  <si>
    <t>P-002422</t>
  </si>
  <si>
    <t>Bridgeland Riverside Continuing Care Centre</t>
  </si>
  <si>
    <t>P-002422 Bridgeland Riverside Continuing Care Centre</t>
  </si>
  <si>
    <t>S1073-0002</t>
  </si>
  <si>
    <t>P-002255</t>
  </si>
  <si>
    <t>Stollery Children's Hospital Critical Care Program (Edmonton)</t>
  </si>
  <si>
    <t>P-002255 Stollery Children's Hospital Critical Care Program (Edmonton)</t>
  </si>
  <si>
    <t>B6631A-0002</t>
  </si>
  <si>
    <t>B6631A-0004</t>
  </si>
  <si>
    <t>Stollery Children's Hospital Critical Care - Foundation Funding</t>
  </si>
  <si>
    <t>B6631A-0004 Stollery Children's Hospital Critical Care - Foundation Funding</t>
  </si>
  <si>
    <t>P-002407</t>
  </si>
  <si>
    <t>New Edmonton Hospital</t>
  </si>
  <si>
    <t>P-002407 New Edmonton Hospital</t>
  </si>
  <si>
    <t>S0194-0003</t>
  </si>
  <si>
    <t>Edmonton Hospital</t>
  </si>
  <si>
    <t>P-002273</t>
  </si>
  <si>
    <t>Red Deer - Secure Detoxification and Residential Treatment Facility (PChAD)</t>
  </si>
  <si>
    <t>P-002273 Red Deer - Secure Detoxification and Residential Treatment Facility (PChAD)</t>
  </si>
  <si>
    <t>B7777A-0872</t>
  </si>
  <si>
    <t>Red Deer - Secure Detoxification And Residential Treatment Facility (PChad)</t>
  </si>
  <si>
    <t>P-002252</t>
  </si>
  <si>
    <t>Edson Healthcare Centre</t>
  </si>
  <si>
    <t>P-002252 Edson Healthcare Centre</t>
  </si>
  <si>
    <t>B6354A-0001</t>
  </si>
  <si>
    <t>P-002024</t>
  </si>
  <si>
    <t>Foothills Medical Centre Power Plant (Calgary)</t>
  </si>
  <si>
    <t>P-002024 Foothills Medical Centre Power Plant (Calgary)</t>
  </si>
  <si>
    <t>B0076B-0009</t>
  </si>
  <si>
    <t>Foothills Medical Centre Urgent Power Plant Capacity (Calgary)</t>
  </si>
  <si>
    <t>P-002025</t>
  </si>
  <si>
    <t>Former Climate Leadership Plan - Foothills Medical Centre Power Plant Redevelopment</t>
  </si>
  <si>
    <t>P-002025 Former Climate Leadership Plan - Foothills Medical Centre Power Plant Redevelopment</t>
  </si>
  <si>
    <t>B0076B-0010</t>
  </si>
  <si>
    <t>P-002253</t>
  </si>
  <si>
    <t>Fort McMurray Residential Facility-Based Care Centre (Willow Square)</t>
  </si>
  <si>
    <t>P-002253 Fort McMurray Residential Facility-Based Care Centre (Willow Square)</t>
  </si>
  <si>
    <t>B6616V-0001</t>
  </si>
  <si>
    <t>P-002251</t>
  </si>
  <si>
    <t>Grande Prairie Regional Hospital</t>
  </si>
  <si>
    <t>P-002251 Grande Prairie Regional Hospital</t>
  </si>
  <si>
    <t>B6351A-0001</t>
  </si>
  <si>
    <t>2010-11</t>
  </si>
  <si>
    <t>P-002254</t>
  </si>
  <si>
    <t>High Prairie Health Complex</t>
  </si>
  <si>
    <t>P-002254 High Prairie Health Complex</t>
  </si>
  <si>
    <t>B6627A-0001</t>
  </si>
  <si>
    <t>P-002249</t>
  </si>
  <si>
    <t>Lloydminster Continuing Care Centre</t>
  </si>
  <si>
    <t>P-002249 Lloydminster Continuing Care Centre</t>
  </si>
  <si>
    <t>B6211A-0002</t>
  </si>
  <si>
    <t>P-002138</t>
  </si>
  <si>
    <t>Medicine Hat Regional Hospital</t>
  </si>
  <si>
    <t>P-002138 Medicine Hat Regional Hospital</t>
  </si>
  <si>
    <t>B1126A-0021</t>
  </si>
  <si>
    <t>P-002057</t>
  </si>
  <si>
    <t>Misericordia Community Hospital Modernization Program</t>
  </si>
  <si>
    <t>P-002057 Misericordia Community Hospital Modernization Program</t>
  </si>
  <si>
    <t>B0230D-0022</t>
  </si>
  <si>
    <t>Misericordia Community Hospital Modernization Program (Edmonton)</t>
  </si>
  <si>
    <t>P-002051</t>
  </si>
  <si>
    <t>Gene Zwozdesky Centre at Norwood (Edmonton) - Construction</t>
  </si>
  <si>
    <t>P-002051 Gene Zwozdesky Centre at Norwood (Edmonton) - Construction</t>
  </si>
  <si>
    <t>Gene Zwozdesky Centre at Norwood (Edmonton) (Construction portion only)</t>
  </si>
  <si>
    <t>P-002021</t>
  </si>
  <si>
    <t>Peter Lougheed Centre Emergency Department, (Calgary)</t>
  </si>
  <si>
    <t>P-002021 Peter Lougheed Centre Emergency Department, (Calgary)</t>
  </si>
  <si>
    <t>Peter Lougheed Centre Emergency Department, Mental Health Intensive Care Unit and Laboratory Redevelopment (Calgary)</t>
  </si>
  <si>
    <t>P-002291</t>
  </si>
  <si>
    <t>Provincial Pharmacy - Edmonton - Construction</t>
  </si>
  <si>
    <t>P-002291 Provincial Pharmacy - Edmonton - Construction</t>
  </si>
  <si>
    <t>Provincial Pharmacy Central Drug Production and Distribution Centre - Construction</t>
  </si>
  <si>
    <t>P-004497</t>
  </si>
  <si>
    <t>Provincial Pharmacy - Calgary, Central</t>
  </si>
  <si>
    <t>P-004497 Provincial Pharmacy - Calgary, Central</t>
  </si>
  <si>
    <t>Health Facilities Planning Funds</t>
  </si>
  <si>
    <t>Provincial Pharmacy  - Regional</t>
  </si>
  <si>
    <t>P-XXXXXX-TBD Provincial Pharmacy  - Regional</t>
  </si>
  <si>
    <t>P-005167</t>
  </si>
  <si>
    <t>Health Facility Design - Rural Hospital / Urgent Care</t>
  </si>
  <si>
    <t>P-005167 Health Facility Design - Rural Hospital / Urgent Care</t>
  </si>
  <si>
    <t>B7777A-0934</t>
  </si>
  <si>
    <t>P-000125</t>
  </si>
  <si>
    <t>Alberta Hospital - Youth Treatment Center Functional Program</t>
  </si>
  <si>
    <t>P-000125 Alberta Hospital - Youth Treatment Center Functional Program</t>
  </si>
  <si>
    <t>S1022-0006</t>
  </si>
  <si>
    <t>P-003138</t>
  </si>
  <si>
    <t>New Stollery Children's Hospital Business Case</t>
  </si>
  <si>
    <t>P-003138 New Stollery Children's Hospital Business Case</t>
  </si>
  <si>
    <t>P-004498</t>
  </si>
  <si>
    <t>Chinook Regional Hospital Renal Dialysis Functional Program</t>
  </si>
  <si>
    <t>P-004498 Chinook Regional Hospital Renal Dialysis Functional Program</t>
  </si>
  <si>
    <t>Central Drug Production Facility Functional Program Calgary</t>
  </si>
  <si>
    <t>P-004497 Central Drug Production Facility Functional Program Calgary</t>
  </si>
  <si>
    <t>P-002022</t>
  </si>
  <si>
    <t>MDR - Peter Lougheed Centre</t>
  </si>
  <si>
    <t>P-002022 MDR - Peter Lougheed Centre</t>
  </si>
  <si>
    <t>B0071A-0021</t>
  </si>
  <si>
    <t>Medical Device Reprocessing Upgrades Program - Phase 1</t>
  </si>
  <si>
    <t>P-002140</t>
  </si>
  <si>
    <t>MDR - Red Deer</t>
  </si>
  <si>
    <t>P-002140 MDR - Red Deer</t>
  </si>
  <si>
    <t>B1144C-0026</t>
  </si>
  <si>
    <t>P-002023</t>
  </si>
  <si>
    <t>MDR - Foothills Medical Centre</t>
  </si>
  <si>
    <t>P-002023 MDR - Foothills Medical Centre</t>
  </si>
  <si>
    <t>B0076A-0025</t>
  </si>
  <si>
    <t>P-002141</t>
  </si>
  <si>
    <t>MDR - Sturgeon (Functional Program)</t>
  </si>
  <si>
    <t>P-002141 MDR - Sturgeon (Functional Program)</t>
  </si>
  <si>
    <t>B1158A-0010</t>
  </si>
  <si>
    <t>P-002142</t>
  </si>
  <si>
    <t>MDR - Westlock (Functional Program)</t>
  </si>
  <si>
    <t>P-002142 MDR - Westlock (Functional Program)</t>
  </si>
  <si>
    <t>B1184A-0009</t>
  </si>
  <si>
    <t>P-002133</t>
  </si>
  <si>
    <t>MDR - Northern Lights</t>
  </si>
  <si>
    <t>P-002133 MDR - Northern Lights</t>
  </si>
  <si>
    <t>B1056A-0029</t>
  </si>
  <si>
    <t>P-003020</t>
  </si>
  <si>
    <t>UofA Brain Centre</t>
  </si>
  <si>
    <t>P-003020 UofA Brain Centre</t>
  </si>
  <si>
    <t>B6631A-0006</t>
  </si>
  <si>
    <t>University of Alberta Hospital Brain Centre - Neurosciences Intensive Care Unit (Edmonton)</t>
  </si>
  <si>
    <t>B7777A-0845</t>
  </si>
  <si>
    <t>Grossing Factors/Net Areas Study</t>
  </si>
  <si>
    <t>B7777A-0845 Grossing Factors/Net Areas Study</t>
  </si>
  <si>
    <t>Studies &amp; Building Evaluations</t>
  </si>
  <si>
    <t>P-005166</t>
  </si>
  <si>
    <t>Health Building Performance Evaluations</t>
  </si>
  <si>
    <t>P-005166 Health Building Performance Evaluations</t>
  </si>
  <si>
    <t>B7777A-0928</t>
  </si>
  <si>
    <t>P-005165</t>
  </si>
  <si>
    <t>Misericordia Community Hospital - Planning</t>
  </si>
  <si>
    <t>P-005165 Misericordia Community Hospital - Planning</t>
  </si>
  <si>
    <t>B7777A-0920</t>
  </si>
  <si>
    <t>P-003100</t>
  </si>
  <si>
    <t>Red Deer Health Capital Planning</t>
  </si>
  <si>
    <t>P-003100 Red Deer Health Capital Planning</t>
  </si>
  <si>
    <t>B1144C-0027</t>
  </si>
  <si>
    <t>P-005128</t>
  </si>
  <si>
    <t>ASI - Chinook Lethbridge</t>
  </si>
  <si>
    <t>P-005128 ASI - Chinook Lethbridge</t>
  </si>
  <si>
    <t>B1112A-0023</t>
  </si>
  <si>
    <t>Alberta Surgical Initiative Capital Program</t>
  </si>
  <si>
    <t>P-004960</t>
  </si>
  <si>
    <t>ASI - FMC (FP)</t>
  </si>
  <si>
    <t>P-004960 ASI - FMC (FP)</t>
  </si>
  <si>
    <t>S0076-0002</t>
  </si>
  <si>
    <t>P-005160</t>
  </si>
  <si>
    <t>ASI - Rocky Mountain</t>
  </si>
  <si>
    <t>P-005160 ASI - Rocky Mountain</t>
  </si>
  <si>
    <t>B1152A-0015</t>
  </si>
  <si>
    <t>P-005159</t>
  </si>
  <si>
    <t>ASI - UofA</t>
  </si>
  <si>
    <t>P-005159 ASI - UofA</t>
  </si>
  <si>
    <t>B6631A-0007</t>
  </si>
  <si>
    <t>P-005161</t>
  </si>
  <si>
    <t>ASI - Grande Prairie</t>
  </si>
  <si>
    <t>P-005161 ASI - Grande Prairie</t>
  </si>
  <si>
    <t>B6351A-0002</t>
  </si>
  <si>
    <t>P-005162</t>
  </si>
  <si>
    <t>ASI - FMC</t>
  </si>
  <si>
    <t>P-005162 ASI - FMC</t>
  </si>
  <si>
    <t>S0076-0003</t>
  </si>
  <si>
    <t>P-000156</t>
  </si>
  <si>
    <t>Recovery Communities - Red Deer</t>
  </si>
  <si>
    <t>P-000156 Recovery Communities - Red Deer</t>
  </si>
  <si>
    <t>B7777A-1036</t>
  </si>
  <si>
    <t>Recovery Communities</t>
  </si>
  <si>
    <t>P-002656</t>
  </si>
  <si>
    <t>Recovery Communities - Lakeview Recovery Community in Gunn</t>
  </si>
  <si>
    <t>P-002656 Recovery Communities - Lakeview Recovery Community in Gunn</t>
  </si>
  <si>
    <t>P-002657</t>
  </si>
  <si>
    <t>Recovery Communities - Lethbridge</t>
  </si>
  <si>
    <t>P-002657 Recovery Communities - Lethbridge</t>
  </si>
  <si>
    <t>P-002659</t>
  </si>
  <si>
    <t>Recovery Communities - Calgary Cancelled</t>
  </si>
  <si>
    <t>P-002659 Recovery Communities - Calgary Cancelled</t>
  </si>
  <si>
    <t>P-002658</t>
  </si>
  <si>
    <t>Recovery Communities - Blood</t>
  </si>
  <si>
    <t>P-002658 Recovery Communities - Blood</t>
  </si>
  <si>
    <t>P-005420</t>
  </si>
  <si>
    <t>Recovery Communities - Calgary  - Stream 3</t>
  </si>
  <si>
    <t>P-005420 Recovery Communities - Calgary  - Stream 3</t>
  </si>
  <si>
    <t>P-005420.01</t>
  </si>
  <si>
    <t>P-005419</t>
  </si>
  <si>
    <t>Recovery Communities - Edmonton - Stream 3</t>
  </si>
  <si>
    <t>P-005419 Recovery Communities - Edmonton - Stream 3</t>
  </si>
  <si>
    <t>P-005419.01</t>
  </si>
  <si>
    <t>P-005557</t>
  </si>
  <si>
    <t>Recovery Communities - TLU - Various</t>
  </si>
  <si>
    <t>P-005557 Recovery Communities - TLU - Various</t>
  </si>
  <si>
    <t>P-005557.01</t>
  </si>
  <si>
    <t>P-000448</t>
  </si>
  <si>
    <t>High Prairie Hospital Demolition</t>
  </si>
  <si>
    <t>P-000448 High Prairie Hospital Demolition</t>
  </si>
  <si>
    <t>P-000448.01</t>
  </si>
  <si>
    <t>P-003252</t>
  </si>
  <si>
    <t>Bellerose Composite High School</t>
  </si>
  <si>
    <t>P-003252 Bellerose Composite High School</t>
  </si>
  <si>
    <t>School Capital Annoucement 2019</t>
  </si>
  <si>
    <t>2019-2020</t>
  </si>
  <si>
    <t>P-001047</t>
  </si>
  <si>
    <t>Foothills Medical Centre NICU</t>
  </si>
  <si>
    <t>P-001047 Foothills Medical Centre NICU</t>
  </si>
  <si>
    <t>Foothills Medical Centre Neonatal Intensive Care Unit (Calgary)</t>
  </si>
  <si>
    <t>P-001063</t>
  </si>
  <si>
    <t>Rockyview General Hosp ICU/CCU/GI</t>
  </si>
  <si>
    <t>P-001063 Rockyview General Hosp ICU/CCU/GI</t>
  </si>
  <si>
    <t>Rockyview General Hospital ICU/CCU/GI Redevelopment</t>
  </si>
  <si>
    <t>P-001048</t>
  </si>
  <si>
    <t>Calgary Radiopharmaceutical Centre</t>
  </si>
  <si>
    <t>P-001048 Calgary Radiopharmaceutical Centre</t>
  </si>
  <si>
    <t>P-001050</t>
  </si>
  <si>
    <t>Court of Appeal, Calgary - Redevelopment</t>
  </si>
  <si>
    <t>P-001050 Court of Appeal, Calgary - Redevelopment</t>
  </si>
  <si>
    <t>P-001050.01</t>
  </si>
  <si>
    <t>Court of Appeal, Calgary</t>
  </si>
  <si>
    <t>P-001061</t>
  </si>
  <si>
    <t>Complex Needs Residential Build PDD Client</t>
  </si>
  <si>
    <t>P-001061 Complex Needs Residential Build PDD Client</t>
  </si>
  <si>
    <t>P-001061.01</t>
  </si>
  <si>
    <t>P-001041</t>
  </si>
  <si>
    <t>La Crete Maternity and Community Health Centre</t>
  </si>
  <si>
    <t>P-001041 La Crete Maternity and Community Health Centre</t>
  </si>
  <si>
    <t>P-002594</t>
  </si>
  <si>
    <t>Red Deer Regional Hospital - Redevelopment</t>
  </si>
  <si>
    <t>P-002594 Red Deer Regional Hospital - Redevelopment</t>
  </si>
  <si>
    <t>Red Deer Regional Hospital</t>
  </si>
  <si>
    <t>P-002547.01</t>
  </si>
  <si>
    <t>Canmore Nordic Centre Upgrade</t>
  </si>
  <si>
    <t>P-002547.01 Canmore Nordic Centre Upgrade</t>
  </si>
  <si>
    <t>P-002547</t>
  </si>
  <si>
    <t>Canmore Nordic Centre</t>
  </si>
  <si>
    <t>2021-2022</t>
  </si>
  <si>
    <t>S0981-0004</t>
  </si>
  <si>
    <t>Canmore Nordic Centre Upgrade - TFA AEP funding</t>
  </si>
  <si>
    <t>S0981-0004 Canmore Nordic Centre Upgrade - TFA AEP funding</t>
  </si>
  <si>
    <t xml:space="preserve">Canmore Nordic Centre - TFA AEP funded </t>
  </si>
  <si>
    <t>2018-2019</t>
  </si>
  <si>
    <t>P-004972.01</t>
  </si>
  <si>
    <t>Office of the Chief Medical Examiner (OCME), Calgary</t>
  </si>
  <si>
    <t>P-004972.01 Office of the Chief Medical Examiner (OCME), Calgary</t>
  </si>
  <si>
    <t>P-004972</t>
  </si>
  <si>
    <t>P-005182</t>
  </si>
  <si>
    <t>Edmonton Law Courts (ELC) Planning Study</t>
  </si>
  <si>
    <t>P-005182 Edmonton Law Courts (ELC) Planning Study</t>
  </si>
  <si>
    <t>P-005183</t>
  </si>
  <si>
    <t>Sherwood Park Courthouse (SPC) Planning</t>
  </si>
  <si>
    <t>P-005183 Sherwood Park Courthouse (SPC) Planning</t>
  </si>
  <si>
    <t>Sherwood Park Courthouse (SPC) Planning Study</t>
  </si>
  <si>
    <t>Various</t>
  </si>
  <si>
    <t>SCA 2019 - P3SB2</t>
  </si>
  <si>
    <t>Various SCA 2019 - P3SB2</t>
  </si>
  <si>
    <t>P-005396.01</t>
  </si>
  <si>
    <t>Lake Louise Fire Hall and Staff Housing</t>
  </si>
  <si>
    <t>P-005396.01 Lake Louise Fire Hall and Staff Housing</t>
  </si>
  <si>
    <t>Lake Louise Fire Hall and Staff Housing TFA with MA</t>
  </si>
  <si>
    <t>P-005499.01</t>
  </si>
  <si>
    <t>ICU Expansion University of Alberta Hospital</t>
  </si>
  <si>
    <t>P-005499.01 ICU Expansion University of Alberta Hospital</t>
  </si>
  <si>
    <t>P-005499</t>
  </si>
  <si>
    <t>Intensive Care Units Expansion</t>
  </si>
  <si>
    <t>P-005623</t>
  </si>
  <si>
    <t>ICU Expansion - Red Deer Regional Hospital</t>
  </si>
  <si>
    <t>P-005623 ICU Expansion - Red Deer Regional Hospital</t>
  </si>
  <si>
    <t>P-005705</t>
  </si>
  <si>
    <t>New Secondary School in Airdrie</t>
  </si>
  <si>
    <t>P-005705 New Secondary School in Airdrie</t>
  </si>
  <si>
    <t>School Capital Announcement 2023</t>
  </si>
  <si>
    <t>2023-2024</t>
  </si>
  <si>
    <t>P-005699</t>
  </si>
  <si>
    <t>New K-8 School in SW Airdrie</t>
  </si>
  <si>
    <t>P-005699 New K-8 School in SW Airdrie</t>
  </si>
  <si>
    <t>P-005694</t>
  </si>
  <si>
    <t>Barrhead Composite High School</t>
  </si>
  <si>
    <t>P-005694 Barrhead Composite High School</t>
  </si>
  <si>
    <t>P-005702</t>
  </si>
  <si>
    <t>New K-5 School in Blackfalds</t>
  </si>
  <si>
    <t>P-005702 New K-5 School in Blackfalds</t>
  </si>
  <si>
    <t>P-005706</t>
  </si>
  <si>
    <t>Parkside School</t>
  </si>
  <si>
    <t>P-005706 Parkside School</t>
  </si>
  <si>
    <t>P-005687</t>
  </si>
  <si>
    <t>Breton High School and Demolition of Breton Elementary School</t>
  </si>
  <si>
    <t>P-005687 Breton High School and Demolition of Breton Elementary School</t>
  </si>
  <si>
    <t>P-005707</t>
  </si>
  <si>
    <t>Brooks Junior High School</t>
  </si>
  <si>
    <t>P-005707 Brooks Junior High School</t>
  </si>
  <si>
    <t>P-005708</t>
  </si>
  <si>
    <t>John G. Diefenbaker High School</t>
  </si>
  <si>
    <t>P-005708 John G. Diefenbaker High School</t>
  </si>
  <si>
    <t>P-005704</t>
  </si>
  <si>
    <t>New K-9 School in Nolan Hill</t>
  </si>
  <si>
    <t>P-005704 New K-9 School in Nolan Hill</t>
  </si>
  <si>
    <t>P-005710</t>
  </si>
  <si>
    <t>New High School in Rangeview</t>
  </si>
  <si>
    <t>P-005710 New High School in Rangeview</t>
  </si>
  <si>
    <t>P-005700</t>
  </si>
  <si>
    <t>New K-9 Catholic School in Chestermere</t>
  </si>
  <si>
    <t>P-005700 New K-9 Catholic School in Chestermere</t>
  </si>
  <si>
    <t>P-005714</t>
  </si>
  <si>
    <t>Solution for École Michaëlle-Jean and Gabrielle-Roy</t>
  </si>
  <si>
    <t>P-005714 Solution for École Michaëlle-Jean and Gabrielle-Roy</t>
  </si>
  <si>
    <t>P-005703</t>
  </si>
  <si>
    <t>New K-9 School in Edgemont</t>
  </si>
  <si>
    <t>P-005703 New K-9 School in Edgemont</t>
  </si>
  <si>
    <t>P-005697</t>
  </si>
  <si>
    <t>Solution for Rundle Heights</t>
  </si>
  <si>
    <t>P-005697 Solution for Rundle Heights</t>
  </si>
  <si>
    <t>P-005701</t>
  </si>
  <si>
    <t>New Jr-Sr High School in Glenridding Heights</t>
  </si>
  <si>
    <t>P-005701 New Jr-Sr High School in Glenridding Heights</t>
  </si>
  <si>
    <t>P-005688</t>
  </si>
  <si>
    <t>École Boréale K-12 Replacement School</t>
  </si>
  <si>
    <t>P-005688 École Boréale K-12 Replacement School</t>
  </si>
  <si>
    <t>P-005698</t>
  </si>
  <si>
    <t>Vera M. Welsh School</t>
  </si>
  <si>
    <t>P-005698 Vera M. Welsh School</t>
  </si>
  <si>
    <t>P-005689</t>
  </si>
  <si>
    <t>Ecole Corinthia Park School</t>
  </si>
  <si>
    <t>P-005689 Ecole Corinthia Park School</t>
  </si>
  <si>
    <t>P-005709</t>
  </si>
  <si>
    <t>New K-6 school in West Lethbridge</t>
  </si>
  <si>
    <t>P-005709 New K-6 school in West Lethbridge</t>
  </si>
  <si>
    <t>P-005716</t>
  </si>
  <si>
    <t>Ecole La Verendyre Gym Project</t>
  </si>
  <si>
    <t>P-005716 Ecole La Verendyre Gym Project</t>
  </si>
  <si>
    <t>P-005690</t>
  </si>
  <si>
    <t>Ecole Mallaig School</t>
  </si>
  <si>
    <t>P-005690 Ecole Mallaig School</t>
  </si>
  <si>
    <t>P-005712</t>
  </si>
  <si>
    <t>Holy Trinity Academy</t>
  </si>
  <si>
    <t>P-005712 Holy Trinity Academy</t>
  </si>
  <si>
    <t>P-005711</t>
  </si>
  <si>
    <t>Solution for Nanton</t>
  </si>
  <si>
    <t>P-005711 Solution for Nanton</t>
  </si>
  <si>
    <t>P-005696</t>
  </si>
  <si>
    <t>Red Earth Creek School</t>
  </si>
  <si>
    <t>P-005696 Red Earth Creek School</t>
  </si>
  <si>
    <t>P-005692</t>
  </si>
  <si>
    <t>Spruce Grove Composite High School</t>
  </si>
  <si>
    <t>P-005692 Spruce Grove Composite High School</t>
  </si>
  <si>
    <t>P-005713</t>
  </si>
  <si>
    <t>W.R. Myers and D.A. Ferguson schools</t>
  </si>
  <si>
    <t>P-005713 W.R. Myers and D.A. Ferguson schools</t>
  </si>
  <si>
    <t>P-005693</t>
  </si>
  <si>
    <t>Wainwright School</t>
  </si>
  <si>
    <t>P-005693 Wainwright School</t>
  </si>
  <si>
    <t>P-005695</t>
  </si>
  <si>
    <t>Holy Family Catholic School</t>
  </si>
  <si>
    <t>P-005695 Holy Family Catholic School</t>
  </si>
  <si>
    <t>P-005715</t>
  </si>
  <si>
    <t>École Good Shepherd K-9 Replacement</t>
  </si>
  <si>
    <t>P-005715 École Good Shepherd K-9 Replacement</t>
  </si>
  <si>
    <t>P-005849</t>
  </si>
  <si>
    <t>Red Deer Regional Hospital - Ambulatory</t>
  </si>
  <si>
    <t>P-005849 Red Deer Regional Hospital - Ambulatory</t>
  </si>
  <si>
    <t>P-002231</t>
  </si>
  <si>
    <t>Tilley School</t>
  </si>
  <si>
    <t>P-002231 Tilley School</t>
  </si>
  <si>
    <t>School Capital Annoucement 2018</t>
  </si>
  <si>
    <t>P-002218</t>
  </si>
  <si>
    <t>École Père Kenneth Kearns Catholic School</t>
  </si>
  <si>
    <t>P-002218 École Père Kenneth Kearns Catholic School</t>
  </si>
  <si>
    <t>P-005823</t>
  </si>
  <si>
    <t>Grande Prairie Courthouse Expansion</t>
  </si>
  <si>
    <t>P-005823 Grande Prairie Courthouse Expansion</t>
  </si>
  <si>
    <t>Grande Prairie Courthouse Expansion/New Build Planning</t>
  </si>
  <si>
    <t>2023</t>
  </si>
  <si>
    <t>P-005822</t>
  </si>
  <si>
    <t>Correctional Facilities Planning</t>
  </si>
  <si>
    <t>P-005822 Correctional Facilities Planning</t>
  </si>
  <si>
    <t>P-005856</t>
  </si>
  <si>
    <t>Red Deer Justice Centre Additional Planning</t>
  </si>
  <si>
    <t>P-005856 Red Deer Justice Centre Additional Planning</t>
  </si>
  <si>
    <t>Red Deer Justice Centre Additional Courtrooms Planning</t>
  </si>
  <si>
    <t>P-005827</t>
  </si>
  <si>
    <t>Recovery Communities - Northern Alberta</t>
  </si>
  <si>
    <t>P-005827 Recovery Communities - Northern Alberta</t>
  </si>
  <si>
    <t>P-005828</t>
  </si>
  <si>
    <t>Recovery Communities - Central Alberta</t>
  </si>
  <si>
    <t>P-005828 Recovery Communities - Central Alberta</t>
  </si>
  <si>
    <t>P-005858</t>
  </si>
  <si>
    <t>P-005829</t>
  </si>
  <si>
    <t>Recovery Communities - Grande Prairie</t>
  </si>
  <si>
    <t>P-005829 Recovery Communities - Grande Prairie</t>
  </si>
  <si>
    <t>P-005930</t>
  </si>
  <si>
    <t>ASI - Alberta Children's Hospital</t>
  </si>
  <si>
    <t>P-005930 ASI - Alberta Children's Hospital</t>
  </si>
  <si>
    <t>P-005932</t>
  </si>
  <si>
    <t>ASI - Brooks</t>
  </si>
  <si>
    <t>P-005932 ASI - Brooks</t>
  </si>
  <si>
    <t>P-005931</t>
  </si>
  <si>
    <t>ASI - South Health Campus</t>
  </si>
  <si>
    <t>P-005931 ASI - South Health Campus</t>
  </si>
  <si>
    <t>P-007472</t>
  </si>
  <si>
    <t>ASI - Royal Alexandra Hospital</t>
  </si>
  <si>
    <t>P-007472 ASI - Royal Alexandra Hospital</t>
  </si>
  <si>
    <t>P-007476</t>
  </si>
  <si>
    <t>MDR - Royal Alexandra Hospital</t>
  </si>
  <si>
    <t>P-007476 MDR - Royal Alexandra Hospital</t>
  </si>
  <si>
    <t>P-005902</t>
  </si>
  <si>
    <t>NAPRA - Medicine Hat</t>
  </si>
  <si>
    <t>P-005902 NAPRA - Medicine Hat</t>
  </si>
  <si>
    <t>P-005826</t>
  </si>
  <si>
    <t>Reynolds Alberta Museum - Storage Warehouse - Planning</t>
  </si>
  <si>
    <t>P-005826 Reynolds Alberta Museum - Storage Warehouse - Planning</t>
  </si>
  <si>
    <t>P-005824</t>
  </si>
  <si>
    <t>Office of the Chief Medical Examiner - OCME - Edmonton</t>
  </si>
  <si>
    <t>P-005824 Office of the Chief Medical Examiner - OCME - Edmonton</t>
  </si>
  <si>
    <t>P-005916</t>
  </si>
  <si>
    <t>MDR - FMC Construction</t>
  </si>
  <si>
    <t>P-005916 MDR - FMC Construction</t>
  </si>
  <si>
    <t>P-005850</t>
  </si>
  <si>
    <t>Chinook Regional Hospital - Renal Dialysis (Lethbridge)</t>
  </si>
  <si>
    <t>P-005850 Chinook Regional Hospital - Renal Dialysis (Lethbridge)</t>
  </si>
  <si>
    <t>P-005929</t>
  </si>
  <si>
    <t>ASI - Sturgeon Community Hospital</t>
  </si>
  <si>
    <t>P-005929 ASI - Sturgeon Community Hospital</t>
  </si>
  <si>
    <t>P-005831</t>
  </si>
  <si>
    <t>MDR - St. Albert Construction</t>
  </si>
  <si>
    <t>P-005831 MDR - St. Albert Construction</t>
  </si>
  <si>
    <t>P-005830</t>
  </si>
  <si>
    <t>MDR - Westlock Construction</t>
  </si>
  <si>
    <t>P-005830 MDR - Westlock Construction</t>
  </si>
  <si>
    <t>WBSXXXX</t>
  </si>
  <si>
    <t>Test Funding Line</t>
  </si>
  <si>
    <t>WBSXXXX Test Funding Line</t>
  </si>
  <si>
    <t>Test Capital Plan line</t>
  </si>
  <si>
    <t>P-005949</t>
  </si>
  <si>
    <t>ASI - Ponoka</t>
  </si>
  <si>
    <t>P-005949 ASI - Ponoka</t>
  </si>
  <si>
    <t>P-005947</t>
  </si>
  <si>
    <t>ASI - Innisfail Health Centre</t>
  </si>
  <si>
    <t>P-005947 ASI - Innisfail Health Centre</t>
  </si>
  <si>
    <t>P-005948</t>
  </si>
  <si>
    <t>ASI - Olds Hospital and Care Centre</t>
  </si>
  <si>
    <t>P-005948 ASI - Olds Hospital and Care Centre</t>
  </si>
  <si>
    <t>P-005950</t>
  </si>
  <si>
    <t>ASI - Stettler Hospital and Care Centre</t>
  </si>
  <si>
    <t>P-005950 ASI - Stettler Hospital and Care Centre</t>
  </si>
  <si>
    <t>P-005958</t>
  </si>
  <si>
    <t>North Calgary/Airdrie Regional Health Centre Business Case</t>
  </si>
  <si>
    <t>P-005958 North Calgary/Airdrie Regional Health Centre Business Case</t>
  </si>
  <si>
    <t>North Calgary/Airdrie Regional Health Centre</t>
  </si>
  <si>
    <t>P-005957</t>
  </si>
  <si>
    <t>Rockyview General Hospital Decanting of Trailers (Unit 45) Mental Health Relocation Business Case</t>
  </si>
  <si>
    <t>P-005957 Rockyview General Hospital Decanting of Trailers (Unit 45) Mental Health Relocation Business Case</t>
  </si>
  <si>
    <t>P-005957.01</t>
  </si>
  <si>
    <t>Planning for Proposed Health Capital Initiatives</t>
  </si>
  <si>
    <t>P-005956</t>
  </si>
  <si>
    <t>Southern Alberta Forensic Psychiatry Centre (Phase 2) Redevelopment Business Case</t>
  </si>
  <si>
    <t>P-005956 Southern Alberta Forensic Psychiatry Centre (Phase 2) Redevelopment Business Case</t>
  </si>
  <si>
    <t>P-003020.04</t>
  </si>
  <si>
    <t>UofA Brain Centre - Foundation Funding</t>
  </si>
  <si>
    <t>P-003020.04 UofA Brain Centre - Foundation Funding</t>
  </si>
  <si>
    <t>P-005833</t>
  </si>
  <si>
    <t>Stollery Children's Hospital Planning</t>
  </si>
  <si>
    <t>P-005833 Stollery Children's Hospital Planning</t>
  </si>
  <si>
    <t>Stollery Children’s Hospital Planning</t>
  </si>
  <si>
    <t>P-005832</t>
  </si>
  <si>
    <t>Cardston Health Centre Replacement</t>
  </si>
  <si>
    <t>P-005832 Cardston Health Centre Replacement</t>
  </si>
  <si>
    <t>P-005835</t>
  </si>
  <si>
    <t>Unallocated (planning for new/upgraded facilities in Bassano, Whitecourt, etc.)</t>
  </si>
  <si>
    <t>P-005835 Unallocated (planning for new/upgraded facilities in Bassano, Whitecourt, etc.)</t>
  </si>
  <si>
    <t>P-005834</t>
  </si>
  <si>
    <t>Strathcona Community Hospital Expansion Planning</t>
  </si>
  <si>
    <t>P-005834 Strathcona Community Hospital Expansion Planning</t>
  </si>
  <si>
    <t>TBD</t>
  </si>
  <si>
    <t>Strathcona Community Hospital Expansion</t>
  </si>
  <si>
    <t>P-005459</t>
  </si>
  <si>
    <t>P-005459 ASI - Ponoka</t>
  </si>
  <si>
    <t>P-005974</t>
  </si>
  <si>
    <t>ASI - Fort Saskatchewan</t>
  </si>
  <si>
    <t>P-005974 ASI - Fort Saskatchewan</t>
  </si>
  <si>
    <t>P-005954</t>
  </si>
  <si>
    <t>High Prairie Campus Based Treatment Centre Study</t>
  </si>
  <si>
    <t>P-005954 High Prairie Campus Based Treatment Centre Study</t>
  </si>
  <si>
    <t>P-005954.01</t>
  </si>
  <si>
    <t>P-005420.02</t>
  </si>
  <si>
    <t>Recovery Communities - Valleyview (Properties)</t>
  </si>
  <si>
    <t>P-005420.02 Recovery Communities - Valleyview (Properties)</t>
  </si>
  <si>
    <t>P-005983</t>
  </si>
  <si>
    <t>ASI - Walter C. McKenzie Centre</t>
  </si>
  <si>
    <t>P-005983 ASI - Walter C. McKenzie Centre</t>
  </si>
  <si>
    <t>P-005984</t>
  </si>
  <si>
    <t>ASI - Misercordia Community Hospital</t>
  </si>
  <si>
    <t>P-005984 ASI - Misercordia Community Hospital</t>
  </si>
  <si>
    <t>P-007459</t>
  </si>
  <si>
    <t>Southern Alberta Youth Recovery Centre (SAYRC) - Calgary</t>
  </si>
  <si>
    <t>P-007459 Southern Alberta Youth Recovery Centre (SAYRC) - Calgary</t>
  </si>
  <si>
    <t>Specialized Mental Health and Addiction Facilities</t>
  </si>
  <si>
    <t>P-007448</t>
  </si>
  <si>
    <t>Northern Alberta Youth Recovery Centre (NAYRC) - Edmonton</t>
  </si>
  <si>
    <t>P-007448 Northern Alberta Youth Recovery Centre (NAYRC) - Edmonton</t>
  </si>
  <si>
    <t>P-007488</t>
  </si>
  <si>
    <t>Royal Alex Hosp. Campus - Business Case</t>
  </si>
  <si>
    <t>P-007488 Royal Alex Hosp. Campus - Business Case</t>
  </si>
  <si>
    <t>E-00000</t>
  </si>
  <si>
    <t>S000 - Test - Escalation</t>
  </si>
  <si>
    <t>E-00000 S000 - Test - Escalation</t>
  </si>
  <si>
    <t>Escalation</t>
  </si>
  <si>
    <t>E-00001</t>
  </si>
  <si>
    <t>Test Project 2 - Escalation</t>
  </si>
  <si>
    <t>E-00001 Test Project 2 - Escalation</t>
  </si>
  <si>
    <t>P-007508</t>
  </si>
  <si>
    <t>ASI - Grey Nuns Community Hospital</t>
  </si>
  <si>
    <t>P-007508 ASI - Grey Nuns Community Hospital</t>
  </si>
  <si>
    <t>P-007501</t>
  </si>
  <si>
    <t>ASI - St. Marys Hospital Camrose</t>
  </si>
  <si>
    <t>P-007501 ASI - St. Marys Hospital Camrose</t>
  </si>
  <si>
    <t>P-007549</t>
  </si>
  <si>
    <t>O.S. Longman Building (Edmonton) Planning</t>
  </si>
  <si>
    <t>P-007549 O.S. Longman Building (Edmonton) Planning</t>
  </si>
  <si>
    <t>P-007549.01</t>
  </si>
  <si>
    <t>2024</t>
  </si>
  <si>
    <t>P-007590</t>
  </si>
  <si>
    <t>Compassionate Intervention Facilities (CIF) P3 Business Case</t>
  </si>
  <si>
    <t>P-007590 Compassionate Intervention Facilities (CIF) P3 Business Case</t>
  </si>
  <si>
    <t>P-007590-01</t>
  </si>
  <si>
    <t>Specialized Mental Health and Addiction Facilities (P3 Business Case)</t>
  </si>
  <si>
    <t>P-007596</t>
  </si>
  <si>
    <t>ASI - FMC McCaig Tower</t>
  </si>
  <si>
    <t>P-007596 ASI - FMC McCaig Tower</t>
  </si>
  <si>
    <t>P-007612</t>
  </si>
  <si>
    <t>New 5-9 School in Saddle Ridge</t>
  </si>
  <si>
    <t>P-007612 New 5-9 School in Saddle Ridge</t>
  </si>
  <si>
    <t>School Capital Announcement 2024</t>
  </si>
  <si>
    <t>2024-2025</t>
  </si>
  <si>
    <t>P-007615</t>
  </si>
  <si>
    <t>New K-6 Francophone School</t>
  </si>
  <si>
    <t>P-007615 New K-6 Francophone School</t>
  </si>
  <si>
    <t>P-007614</t>
  </si>
  <si>
    <t>New 9-12 High School in North Calgary</t>
  </si>
  <si>
    <t>P-007614 New 9-12 High School in North Calgary</t>
  </si>
  <si>
    <t>P-007617</t>
  </si>
  <si>
    <t>Delton K-6 Replacement School</t>
  </si>
  <si>
    <t>P-007617 Delton K-6 Replacement School</t>
  </si>
  <si>
    <t>P-007616</t>
  </si>
  <si>
    <t>Replacement 7-9 Spruce Avenue School</t>
  </si>
  <si>
    <t>P-007616 Replacement 7-9 Spruce Avenue School</t>
  </si>
  <si>
    <t>P-007613</t>
  </si>
  <si>
    <t>New 7-12 School in West Edmonton</t>
  </si>
  <si>
    <t>P-007613 New 7-12 School in West Edmonton</t>
  </si>
  <si>
    <t>P-007611</t>
  </si>
  <si>
    <t>Ecole Beausejour K-12 Modernization</t>
  </si>
  <si>
    <t>P-007611 Ecole Beausejour K-12 Modernization</t>
  </si>
  <si>
    <t>P-007610</t>
  </si>
  <si>
    <t>Norwood K-8 Replacement School</t>
  </si>
  <si>
    <t>P-007610 Norwood K-8 Replacement School</t>
  </si>
  <si>
    <t>P-005396.02</t>
  </si>
  <si>
    <t>P-005396.02 Lake Louise Fire Hall and Staff Housing</t>
  </si>
  <si>
    <t>P-005396.03</t>
  </si>
  <si>
    <t>P-005396.03 Lake Louise Fire Hall and Staff Housing</t>
  </si>
  <si>
    <t>P-007641</t>
  </si>
  <si>
    <t>New K-6 School in Rosenthal</t>
  </si>
  <si>
    <t>P-007641 New K-6 School in Rosenthal</t>
  </si>
  <si>
    <t>P-007642</t>
  </si>
  <si>
    <t>New 7-9 School in Pilot Sound-McConachie</t>
  </si>
  <si>
    <t>P-007642 New 7-9 School in Pilot Sound-McConachie</t>
  </si>
  <si>
    <t>P-007643</t>
  </si>
  <si>
    <t>New K-6 School in Glenridding Heights</t>
  </si>
  <si>
    <t>P-007643 New K-6 School in Glenridding Heights</t>
  </si>
  <si>
    <t>P-007628</t>
  </si>
  <si>
    <t>New K-6 Ecole Publique in North Calgary</t>
  </si>
  <si>
    <t>P-007628 New K-6 Ecole Publique in North Calgary</t>
  </si>
  <si>
    <t>P-007629</t>
  </si>
  <si>
    <t>Annie Gale School Modernization</t>
  </si>
  <si>
    <t>P-007629 Annie Gale School Modernization</t>
  </si>
  <si>
    <t>P-007630</t>
  </si>
  <si>
    <t>Galbraith K-5 School Modernization</t>
  </si>
  <si>
    <t>P-007630 Galbraith K-5 School Modernization</t>
  </si>
  <si>
    <t>P-007631</t>
  </si>
  <si>
    <t>New K-4 Evanston School</t>
  </si>
  <si>
    <t>P-007631 New K-4 Evanston School</t>
  </si>
  <si>
    <t>P-007632</t>
  </si>
  <si>
    <t>New K-9 School in Chestermere</t>
  </si>
  <si>
    <t>P-007632 New K-9 School in Chestermere</t>
  </si>
  <si>
    <t>P-007633</t>
  </si>
  <si>
    <t>New 9-12 High School in Airdrie</t>
  </si>
  <si>
    <t>P-007633 New 9-12 High School in Airdrie</t>
  </si>
  <si>
    <t>P-007634</t>
  </si>
  <si>
    <t>New High School in Cornerstone Calgary</t>
  </si>
  <si>
    <t>P-007634 New High School in Cornerstone Calgary</t>
  </si>
  <si>
    <t>P-007635</t>
  </si>
  <si>
    <t>New High School in Okotoks</t>
  </si>
  <si>
    <t>P-007635 New High School in Okotoks</t>
  </si>
  <si>
    <t>P-007636</t>
  </si>
  <si>
    <t>New High School in West Calgary</t>
  </si>
  <si>
    <t>P-007636 New High School in West Calgary</t>
  </si>
  <si>
    <t>P-007637</t>
  </si>
  <si>
    <t>New K-5 School in Redstone Calgary</t>
  </si>
  <si>
    <t>P-007637 New K-5 School in Redstone Calgary</t>
  </si>
  <si>
    <t>P-007638</t>
  </si>
  <si>
    <t>New K-6 School in Redstone Calgary</t>
  </si>
  <si>
    <t>P-007638 New K-6 School in Redstone Calgary</t>
  </si>
  <si>
    <t>P-007639</t>
  </si>
  <si>
    <t>New K-8 School in Bayview (SW Airdrie)</t>
  </si>
  <si>
    <t>P-007639 New K-8 School in Bayview (SW Airdrie)</t>
  </si>
  <si>
    <t>P-007640</t>
  </si>
  <si>
    <t>New K-8 School in Cochrane</t>
  </si>
  <si>
    <t>P-007640 New K-8 School in Cochrane</t>
  </si>
  <si>
    <t>P-007620</t>
  </si>
  <si>
    <t>New K-9 School in River's Edge</t>
  </si>
  <si>
    <t>P-007620 New K-9 School in River's Edge</t>
  </si>
  <si>
    <t>P-007621</t>
  </si>
  <si>
    <t>New K-9 School in Crystallina Nera East</t>
  </si>
  <si>
    <t>P-007621 New K-9 School in Crystallina Nera East</t>
  </si>
  <si>
    <t>P-007622</t>
  </si>
  <si>
    <t>New K-9 School in Hays Ridge</t>
  </si>
  <si>
    <t>P-007622 New K-9 School in Hays Ridge</t>
  </si>
  <si>
    <t>P-007623</t>
  </si>
  <si>
    <t>New K-9 School Heritage Valley Cavanagh</t>
  </si>
  <si>
    <t>P-007623 New K-9 School Heritage Valley Cavanagh</t>
  </si>
  <si>
    <t>P-007625</t>
  </si>
  <si>
    <t>New K-9 School in Laurel</t>
  </si>
  <si>
    <t>P-007625 New K-9 School in Laurel</t>
  </si>
  <si>
    <t>P-007626</t>
  </si>
  <si>
    <t>Ecole Heritage K-12 Modernization</t>
  </si>
  <si>
    <t>P-007626 Ecole Heritage K-12 Modernization</t>
  </si>
  <si>
    <t>P-007627</t>
  </si>
  <si>
    <t>Land Acquisition and Replacement of Ecole Sainte-Catherine</t>
  </si>
  <si>
    <t>P-007627 Land Acquisition and Replacement of Ecole Sainte-Catherine</t>
  </si>
  <si>
    <t>P-007645</t>
  </si>
  <si>
    <t>New 7-12 Gym for Charter Hub School</t>
  </si>
  <si>
    <t>P-007645 New 7-12 Gym for Charter Hub School</t>
  </si>
  <si>
    <t>P-007660</t>
  </si>
  <si>
    <t>Mazankowski Alberta Heart Institute Shelled Space - Expanded Test Fit Study</t>
  </si>
  <si>
    <t>P-007660 Mazankowski Alberta Heart Institute Shelled Space - Expanded Test Fit Study</t>
  </si>
  <si>
    <t>P-007656</t>
  </si>
  <si>
    <t>MDRD - Grey Nuns Community Hospital</t>
  </si>
  <si>
    <t>P-007656 MDRD - Grey Nuns Community Hospital</t>
  </si>
  <si>
    <t xml:space="preserve">Medical Device Reprocessing Upgrades Program - Phase 2 </t>
  </si>
  <si>
    <t>P-007664</t>
  </si>
  <si>
    <t xml:space="preserve">MDR - MisericordiaCommunity Hospital </t>
  </si>
  <si>
    <t xml:space="preserve">P-007664 MDR - MisericordiaCommunity Hospital </t>
  </si>
  <si>
    <t>P-007672</t>
  </si>
  <si>
    <t>MDR - Drumheller Health Centre</t>
  </si>
  <si>
    <t>P-007672 MDR - Drumheller Health Centre</t>
  </si>
  <si>
    <t>P-007673</t>
  </si>
  <si>
    <t>MDR - Alberta Children's Hospital</t>
  </si>
  <si>
    <t>P-007673 MDR - Alberta Children's Hospital</t>
  </si>
  <si>
    <t>P-007698</t>
  </si>
  <si>
    <t>SAAMIS Childrens Centre Business Case</t>
  </si>
  <si>
    <t>P-007698 SAAMIS Childrens Centre Business Case</t>
  </si>
  <si>
    <t>P-007705</t>
  </si>
  <si>
    <t>Clear Vista School Sprinkler System</t>
  </si>
  <si>
    <t>P-007705 Clear Vista School Sprinkler System</t>
  </si>
  <si>
    <t>P-007715</t>
  </si>
  <si>
    <t>Alberta Kidney Care Planning</t>
  </si>
  <si>
    <t>P-007715 Alberta Kidney Care Planning</t>
  </si>
  <si>
    <t>P-007818</t>
  </si>
  <si>
    <t>Northern Alberta Compassionate Intervention Centre (NACIC) - Edmonton</t>
  </si>
  <si>
    <t>P-007818 Northern Alberta Compassionate Intervention Centre (NACIC) - Edmonton</t>
  </si>
  <si>
    <t>P-007817</t>
  </si>
  <si>
    <t>Southern Alberta Compassionate Intervention Centre (SACIC) - Calgary</t>
  </si>
  <si>
    <t>P-007817 Southern Alberta Compassionate Intervention Centre (SACIC) - Calgary</t>
  </si>
  <si>
    <t>P-007812</t>
  </si>
  <si>
    <t>Bishop McNally High School</t>
  </si>
  <si>
    <t>P-007812 Bishop McNally High School</t>
  </si>
  <si>
    <t>P-007831</t>
  </si>
  <si>
    <t>Calgary - South Zone Cardiac Services and ICU Functional Program</t>
  </si>
  <si>
    <t>P-007831 Calgary - South Zone Cardiac Services and ICU Functional Program</t>
  </si>
  <si>
    <t>South Zone Cardiac and ICU Capacity Planning</t>
  </si>
  <si>
    <t>P-007845</t>
  </si>
  <si>
    <t>Sundre Community Health Centre Replacement Business Care and Site Master Plan</t>
  </si>
  <si>
    <t>P-007845 Sundre Community Health Centre Replacement Business Care and Site Master Plan</t>
  </si>
  <si>
    <t>P-007917</t>
  </si>
  <si>
    <t>FFCA - Quarry Park Modernization &amp; Gym Addition</t>
  </si>
  <si>
    <t>P-007917 FFCA - Quarry Park Modernization &amp; Gym Addition</t>
  </si>
  <si>
    <t>School Construction Accelerator Program (SCAP) 2025</t>
  </si>
  <si>
    <t>P-007981</t>
  </si>
  <si>
    <t>Genetics and Genomics Lab Relocation</t>
  </si>
  <si>
    <t>P-007981 Genetics and Genomics Lab Relocation</t>
  </si>
  <si>
    <t>P-007714</t>
  </si>
  <si>
    <t>Peter Lougheed Centre 6th Flr Shelled Space Project Costing</t>
  </si>
  <si>
    <t>P-007714 Peter Lougheed Centre 6th Flr Shelled Space Project Costing</t>
  </si>
  <si>
    <t>P-008032</t>
  </si>
  <si>
    <t>Charter Hub Society SMART Building Phase 3 Renovation</t>
  </si>
  <si>
    <t>P-008032 Charter Hub Society SMART Building Phase 3 Renovation</t>
  </si>
  <si>
    <t>P-008049</t>
  </si>
  <si>
    <t>Unite 5G Decanting Brain Centre (WMC) Business Case</t>
  </si>
  <si>
    <t>P-008049 Unite 5G Decanting Brain Centre (WMC) Business Case</t>
  </si>
  <si>
    <t>P-008203</t>
  </si>
  <si>
    <t>Edmonton Young Offenders Centre - Domestic Waterline Renewal</t>
  </si>
  <si>
    <t>P-008203 Edmonton Young Offenders Centre - Domestic Waterline Renewal</t>
  </si>
  <si>
    <t>Edmonton Young Offenders Centre - Domestic waterline renewal</t>
  </si>
  <si>
    <t>2025</t>
  </si>
  <si>
    <t>P-008235</t>
  </si>
  <si>
    <t xml:space="preserve">In-patient Towers at Grey Nuns - Planning </t>
  </si>
  <si>
    <t xml:space="preserve">P-008235 In-patient Towers at Grey Nuns - Planning </t>
  </si>
  <si>
    <t>In-patient Towers at Grey Nuns and Misericordia Community Hospitals Planning (Edmonton)</t>
  </si>
  <si>
    <t>P-008234</t>
  </si>
  <si>
    <t xml:space="preserve">In-patient Towers at Misericordia Community Hospital Planning </t>
  </si>
  <si>
    <t xml:space="preserve">P-008234 In-patient Towers at Misericordia Community Hospital Planning </t>
  </si>
  <si>
    <t>P-008239</t>
  </si>
  <si>
    <t xml:space="preserve">Central Drug Production Facility (Calgary) </t>
  </si>
  <si>
    <t xml:space="preserve">P-008239 Central Drug Production Facility (Calgary) </t>
  </si>
  <si>
    <t>Central Drug Production Facility (Calgary)</t>
  </si>
  <si>
    <t>P-008267</t>
  </si>
  <si>
    <t>Dr. Anne Anderson HS Addition</t>
  </si>
  <si>
    <t>P-008267 Dr. Anne Anderson HS Addition</t>
  </si>
  <si>
    <t>P-008275</t>
  </si>
  <si>
    <t>New K-6 in Cornerstone NE Calgary</t>
  </si>
  <si>
    <t>P-008275 New K-6 in Cornerstone NE Calgary</t>
  </si>
  <si>
    <t>P-008276</t>
  </si>
  <si>
    <t>New 5-9 in Mahogany SE Calgary</t>
  </si>
  <si>
    <t>P-008276 New 5-9 in Mahogany SE Calgary</t>
  </si>
  <si>
    <t>P-008277</t>
  </si>
  <si>
    <t>New 10-12 in West Chestermere Chelsea</t>
  </si>
  <si>
    <t>P-008277 New 10-12 in West Chestermere Chelsea</t>
  </si>
  <si>
    <t>P-008278</t>
  </si>
  <si>
    <t>New K-4 School in Sage Hill NNW Calgary</t>
  </si>
  <si>
    <t>P-008278 New K-4 School in Sage Hill NNW Calgary</t>
  </si>
  <si>
    <t>P-008279</t>
  </si>
  <si>
    <t>New K-8 School in Lanark SE Airdrie</t>
  </si>
  <si>
    <t>P-008279 New K-8 School in Lanark SE Airdrie</t>
  </si>
  <si>
    <t>P-008268</t>
  </si>
  <si>
    <t>New K-6 School in Hawks Ridge</t>
  </si>
  <si>
    <t>P-008268 New K-6 School in Hawks Ridge</t>
  </si>
  <si>
    <t>P-008280</t>
  </si>
  <si>
    <t>New 5-9 School in Sage Hill or Kincora</t>
  </si>
  <si>
    <t>P-008280 New 5-9 School in Sage Hill or Kincora</t>
  </si>
  <si>
    <t>P-008257</t>
  </si>
  <si>
    <t>New 10-12 Catholic School in Lewis Estates</t>
  </si>
  <si>
    <t>P-008257 New 10-12 Catholic School in Lewis Estates</t>
  </si>
  <si>
    <t>P-008281</t>
  </si>
  <si>
    <t>New K-5 School in SW Lethbridge</t>
  </si>
  <si>
    <t>P-008281 New K-5 School in SW Lethbridge</t>
  </si>
  <si>
    <t>P-008258</t>
  </si>
  <si>
    <t>Grande Prairie Composite High School Addition</t>
  </si>
  <si>
    <t>P-008258 Grande Prairie Composite High School Addition</t>
  </si>
  <si>
    <t>P-008244</t>
  </si>
  <si>
    <t>Red Deer Interim Cardiac Catheterization Lab</t>
  </si>
  <si>
    <t>P-008244 Red Deer Interim Cardiac Catheterization Lab</t>
  </si>
  <si>
    <t>P-008269</t>
  </si>
  <si>
    <t>New 10-12 Catholic School in Beaumont</t>
  </si>
  <si>
    <t>P-008269 New 10-12 Catholic School in Beaumont</t>
  </si>
  <si>
    <t>P-008270</t>
  </si>
  <si>
    <t>New 10-12 High School in Beaumont</t>
  </si>
  <si>
    <t>P-008270 New 10-12 High School in Beaumont</t>
  </si>
  <si>
    <t>P-008253</t>
  </si>
  <si>
    <t>MDR - Rockyview General Hospital</t>
  </si>
  <si>
    <t>P-008253 MDR - Rockyview General Hospital</t>
  </si>
  <si>
    <t>P-008227</t>
  </si>
  <si>
    <t xml:space="preserve">Alberta Sheriffs Facility Consolidation - Planning </t>
  </si>
  <si>
    <t xml:space="preserve">P-008227 Alberta Sheriffs Facility Consolidation - Planning </t>
  </si>
  <si>
    <t xml:space="preserve">Alberta Sheriffs Facility Consolidation Planning </t>
  </si>
  <si>
    <t xml:space="preserve">Genetics and Genomics Lab (Edmonton) </t>
  </si>
  <si>
    <t>Genetics and Genomics Lab (Edmonton)</t>
  </si>
  <si>
    <t>Genetics and Genomics Lab (Edmonton)  Genetics and Genomics Lab (Edmonton)</t>
  </si>
  <si>
    <t>P-008282</t>
  </si>
  <si>
    <t>New 5-9 School in Sherwood or Nolan Hill</t>
  </si>
  <si>
    <t>P-008282 New 5-9 School in Sherwood or Nolan Hill</t>
  </si>
  <si>
    <t>P-008302</t>
  </si>
  <si>
    <t>Eastgate K-12 Campus Modernization</t>
  </si>
  <si>
    <t>P-008302 Eastgate K-12 Campus Modernization</t>
  </si>
  <si>
    <t>P-008271</t>
  </si>
  <si>
    <t>New 10-12 in The Grange SW Edmonton</t>
  </si>
  <si>
    <t>P-008271 New 10-12 in The Grange SW Edmonton</t>
  </si>
  <si>
    <t>P-008259</t>
  </si>
  <si>
    <t>New 10-12 Catholic School in The Meadows</t>
  </si>
  <si>
    <t>P-008259 New 10-12 Catholic School in The Meadows</t>
  </si>
  <si>
    <t>P-008294</t>
  </si>
  <si>
    <t>Vista Heights 10-12 Modernization</t>
  </si>
  <si>
    <t>P-008294 Vista Heights 10-12 Modernization</t>
  </si>
  <si>
    <t>P-008494</t>
  </si>
  <si>
    <t>P-008266</t>
  </si>
  <si>
    <t>Ecole Morinville Public School Replacement</t>
  </si>
  <si>
    <t>P-008266 Ecole Morinville Public School Replacement</t>
  </si>
  <si>
    <t>P-008293</t>
  </si>
  <si>
    <t>Brooks Composite High School Modernization</t>
  </si>
  <si>
    <t>P-008293 Brooks Composite High School Modernization</t>
  </si>
  <si>
    <t>P-008265</t>
  </si>
  <si>
    <t>Solution in Palisades or Oxford NW Edmonton</t>
  </si>
  <si>
    <t>P-008265 Solution in Palisades or Oxford NW Edmonton</t>
  </si>
  <si>
    <t>P-008292</t>
  </si>
  <si>
    <t>Ecole de la Rose sauvage Modernization</t>
  </si>
  <si>
    <t>P-008292 Ecole de la Rose sauvage Modernization</t>
  </si>
  <si>
    <t>P-008264</t>
  </si>
  <si>
    <t>Solution in Cold Lake</t>
  </si>
  <si>
    <t>P-008264 Solution in Cold Lake</t>
  </si>
  <si>
    <t>P-008295</t>
  </si>
  <si>
    <t>Kisiko Awasis Replacement Muskiki Lake</t>
  </si>
  <si>
    <t>P-008295 Kisiko Awasis Replacement Muskiki Lake</t>
  </si>
  <si>
    <t>P-008263</t>
  </si>
  <si>
    <t>Modernization of Ecole Dickinsfield</t>
  </si>
  <si>
    <t>P-008263 Modernization of Ecole Dickinsfield</t>
  </si>
  <si>
    <t>P-008262</t>
  </si>
  <si>
    <t>St. Thomas More School Replacement in Fairview</t>
  </si>
  <si>
    <t>P-008262 St. Thomas More School Replacement in Fairview</t>
  </si>
  <si>
    <t>P-008274</t>
  </si>
  <si>
    <t>New K-6 Francopohone Haddow or Henderson</t>
  </si>
  <si>
    <t>P-008274 New K-6 Francopohone Haddow or Henderson</t>
  </si>
  <si>
    <t>P-008261</t>
  </si>
  <si>
    <t>New K-9 School in Cherot</t>
  </si>
  <si>
    <t>P-008261 New K-9 School in Cherot</t>
  </si>
  <si>
    <t>P-008291</t>
  </si>
  <si>
    <t>New K-9 Catholic in Carrington N Calgary</t>
  </si>
  <si>
    <t>P-008291 New K-9 Catholic in Carrington N Calgary</t>
  </si>
  <si>
    <t>P-008290</t>
  </si>
  <si>
    <t>New 5-9 School in Aspen Woods Calgary</t>
  </si>
  <si>
    <t>P-008290 New 5-9 School in Aspen Woods Calgary</t>
  </si>
  <si>
    <t>P-008289</t>
  </si>
  <si>
    <t>New K-4 in Nolan Hill NW Calgary</t>
  </si>
  <si>
    <t>P-008289 New K-4 in Nolan Hill NW Calgary</t>
  </si>
  <si>
    <t>P-008288</t>
  </si>
  <si>
    <t>New K-4 School in Livinston Calgary</t>
  </si>
  <si>
    <t>P-008288 New K-4 School in Livinston Calgary</t>
  </si>
  <si>
    <t>P-008287</t>
  </si>
  <si>
    <t>New K-9 School in Cornerstone NE Calgary</t>
  </si>
  <si>
    <t>P-008287 New K-9 School in Cornerstone NE Calgary</t>
  </si>
  <si>
    <t>P-008273</t>
  </si>
  <si>
    <t>New K-6 School in Silver Berry Edmonton</t>
  </si>
  <si>
    <t>P-008273 New K-6 School in Silver Berry Edmonton</t>
  </si>
  <si>
    <t>P-008286</t>
  </si>
  <si>
    <t>New 7-9 School in Cityscape or Redstone</t>
  </si>
  <si>
    <t>P-008286 New 7-9 School in Cityscape or Redstone</t>
  </si>
  <si>
    <t>P-008272</t>
  </si>
  <si>
    <t>New 10-12 High School in Castle Downs</t>
  </si>
  <si>
    <t>P-008272 New 10-12 High School in Castle Downs</t>
  </si>
  <si>
    <t>P-008260</t>
  </si>
  <si>
    <t>Holy Trinity 7-12 Catholic School Addition</t>
  </si>
  <si>
    <t>P-008260 Holy Trinity 7-12 Catholic School Addition</t>
  </si>
  <si>
    <t>P-008283</t>
  </si>
  <si>
    <t>New K-9 Catholic School in Walden S Calgary</t>
  </si>
  <si>
    <t>P-008283 New K-9 Catholic School in Walden S Calgary</t>
  </si>
  <si>
    <t>P-008284</t>
  </si>
  <si>
    <t>New 7-9 School in Cornerstone NE Calgary</t>
  </si>
  <si>
    <t>P-008284 New 7-9 School in Cornerstone NE Calgary</t>
  </si>
  <si>
    <t>P-008285</t>
  </si>
  <si>
    <t>New 9-12 Catholic School in Brooks</t>
  </si>
  <si>
    <t>P-008285 New 9-12 Catholic School in Brooks</t>
  </si>
  <si>
    <t>P-008299</t>
  </si>
  <si>
    <t>MDR - Barrhead Health Centre</t>
  </si>
  <si>
    <t>P-008299 MDR - Barrhead Health Centre</t>
  </si>
  <si>
    <t>P-008245</t>
  </si>
  <si>
    <t>Alberta Children's Hospital Inpatient Expansion</t>
  </si>
  <si>
    <t>P-008245 Alberta Children's Hospital Inpatient Expansion</t>
  </si>
  <si>
    <t>Research and Innovative Care Centre and Inpatient Expansion at Alberta Children's Hospital Planning (Calgary)</t>
  </si>
  <si>
    <t>P-008310</t>
  </si>
  <si>
    <t>Training Academy Site Expansion Planning</t>
  </si>
  <si>
    <t>P-008310 Training Academy Site Expansion Planning</t>
  </si>
  <si>
    <t>P-008303</t>
  </si>
  <si>
    <t>MDR - Mazankowski Alberta Heart Institute</t>
  </si>
  <si>
    <t>P-008303 MDR - Mazankowski Alberta Heart Institute</t>
  </si>
  <si>
    <t>P-008304</t>
  </si>
  <si>
    <t>Mazankowski Heart Institute Shelled Space Planning</t>
  </si>
  <si>
    <t>P-008304 Mazankowski Heart Institute Shelled Space Planning</t>
  </si>
  <si>
    <t>Develop Shelled and Vacant Spaces Planning</t>
  </si>
  <si>
    <t>P-008296</t>
  </si>
  <si>
    <t>Provincial Campus Based Care Facility Replacement</t>
  </si>
  <si>
    <t>P-008296 Provincial Campus Based Care Facility Replacement</t>
  </si>
  <si>
    <t>P-009394</t>
  </si>
  <si>
    <t>New Middle School in Redcliff</t>
  </si>
  <si>
    <t>P-009394 New Middle School in Redcliff</t>
  </si>
  <si>
    <t>P-008394</t>
  </si>
  <si>
    <t>P-008365</t>
  </si>
  <si>
    <t>Georges P. Vanier School Modernization</t>
  </si>
  <si>
    <t>P-008365 Georges P. Vanier School Modernization</t>
  </si>
  <si>
    <t>P-008366</t>
  </si>
  <si>
    <t>Westwood 7-12 Community High School Replacement</t>
  </si>
  <si>
    <t>P-008366 Westwood 7-12 Community High School Replacement</t>
  </si>
  <si>
    <t>P-008368</t>
  </si>
  <si>
    <t>Westmount K-9 School Replacement</t>
  </si>
  <si>
    <t>P-008368 Westmount K-9 School Replacement</t>
  </si>
  <si>
    <t>P-008374</t>
  </si>
  <si>
    <t>Coalhurst 5-12 School Modernization</t>
  </si>
  <si>
    <t>P-008374 Coalhurst 5-12 School Modernization</t>
  </si>
  <si>
    <t>P-008381</t>
  </si>
  <si>
    <t>New 6-8 Middle School NE Red Deer</t>
  </si>
  <si>
    <t>P-008381 New 6-8 Middle School NE Red Deer</t>
  </si>
  <si>
    <t>P-008384</t>
  </si>
  <si>
    <t>Peace Wapiti 9-12 Academy Replacement</t>
  </si>
  <si>
    <t>P-008384 Peace Wapiti 9-12 Academy Replacement</t>
  </si>
  <si>
    <t>P-008301</t>
  </si>
  <si>
    <t xml:space="preserve">MDR - University of Alberta Hospital Main MDR  </t>
  </si>
  <si>
    <t xml:space="preserve">P-008301 MDR - University of Alberta Hospital Main MDR  </t>
  </si>
  <si>
    <t>P-008300</t>
  </si>
  <si>
    <t>MDR - Cross Cancer Institute</t>
  </si>
  <si>
    <t>P-008300 MDR - Cross Cancer Institute</t>
  </si>
  <si>
    <t>B5918A</t>
  </si>
  <si>
    <t>P-008256</t>
  </si>
  <si>
    <t xml:space="preserve">TFA - Vehicle Inspection Stations (VIS) </t>
  </si>
  <si>
    <t xml:space="preserve">P-008256 TFA - Vehicle Inspection Stations (VIS) </t>
  </si>
  <si>
    <t>Acronyms</t>
  </si>
  <si>
    <t>Acronym</t>
  </si>
  <si>
    <t>Definition &amp; Guidance</t>
  </si>
  <si>
    <t>Awarded.  One of 2 available LOA status, used in the Prime Cont. Summary</t>
  </si>
  <si>
    <t>CAA</t>
  </si>
  <si>
    <t>CARQ</t>
  </si>
  <si>
    <t>Change Allowance Request for Quotation</t>
  </si>
  <si>
    <t>CCN</t>
  </si>
  <si>
    <t>CM</t>
  </si>
  <si>
    <t>Construction Manager</t>
  </si>
  <si>
    <t>CMS</t>
  </si>
  <si>
    <t>Contract Management System</t>
  </si>
  <si>
    <t>CO</t>
  </si>
  <si>
    <t>Estimated.  One of 2 available LOA status, used in the Prime Cont. Summary</t>
  </si>
  <si>
    <t>F&amp;E</t>
  </si>
  <si>
    <t>Furniture and Equipment</t>
  </si>
  <si>
    <t>Federal</t>
  </si>
  <si>
    <t>Foundation or Field Order</t>
  </si>
  <si>
    <t>FS Ref #</t>
  </si>
  <si>
    <t>Funding Source Reference Number</t>
  </si>
  <si>
    <t>Government Facilities Infrastructure</t>
  </si>
  <si>
    <t xml:space="preserve">Green Infrastructure </t>
  </si>
  <si>
    <t>Health Facilities Infrastructure</t>
  </si>
  <si>
    <t>Identification</t>
  </si>
  <si>
    <t>Infrastructure Maintenance Program</t>
  </si>
  <si>
    <t>IT</t>
  </si>
  <si>
    <t>Letter of Authorization</t>
  </si>
  <si>
    <t>Other</t>
  </si>
  <si>
    <t>Project Account Identification (PA Matrix sheet)</t>
  </si>
  <si>
    <t>PA Matrix</t>
  </si>
  <si>
    <t>PC#</t>
  </si>
  <si>
    <t>Progress Claim #</t>
  </si>
  <si>
    <t>PFMT</t>
  </si>
  <si>
    <t>Project Financial Management Tool</t>
  </si>
  <si>
    <t>PIMS</t>
  </si>
  <si>
    <t>Project Information Management System</t>
  </si>
  <si>
    <t>PMI</t>
  </si>
  <si>
    <t>Program Management and Integration</t>
  </si>
  <si>
    <t>PW</t>
  </si>
  <si>
    <t>Password</t>
  </si>
  <si>
    <t>QA/QC</t>
  </si>
  <si>
    <t>Quality Assurance / Quality Control</t>
  </si>
  <si>
    <t>Request for Information / Site Instruction / User Change Request</t>
  </si>
  <si>
    <t>Rpt</t>
  </si>
  <si>
    <t>Report</t>
  </si>
  <si>
    <t>SCA</t>
  </si>
  <si>
    <t>Senior Contract Administrator</t>
  </si>
  <si>
    <t>TAF</t>
  </si>
  <si>
    <t>Total Approved Funding (formerly known as Total Project Cost)</t>
  </si>
  <si>
    <t>Y/N/R</t>
  </si>
  <si>
    <t>Yes/No/Release.  Refers to the drop down choices for the Holdback column.</t>
  </si>
  <si>
    <t>CO 189 Schedule Impact Costs Calculation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</si>
</sst>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3">
    <numFmt numFmtId="44" formatCode="_(&quot;$&quot;* #,##0.00_);_(&quot;$&quot;* \(#,##0.00\);_(&quot;$&quot;* &quot;-&quot;??_);_(@_)"/>
    <numFmt numFmtId="43" formatCode="_(* #,##0.00_);_(* \(#,##0.00\);_(* &quot;-&quot;??_);_(@_)"/>
    <numFmt numFmtId="164" formatCode="_-* #,##0_-;\-* #,##0_-;_-* &quot;-&quot;_-;_-@_-"/>
    <numFmt numFmtId="165" formatCode="_-&quot;$&quot;* #,##0.00_-;\-&quot;$&quot;* #,##0.00_-;_-&quot;$&quot;* &quot;-&quot;??_-;_-@_-"/>
    <numFmt numFmtId="166" formatCode="_-* #,##0.00_-;\-* #,##0.00_-;_-* &quot;-&quot;??_-;_-@_-"/>
    <numFmt numFmtId="167" formatCode="_-* #,##0_-;\-* #,##0_-;_-* &quot;-&quot;??_-;_-@_-"/>
    <numFmt numFmtId="168" formatCode="[$-1009]d\-mmm\-yy;@"/>
    <numFmt numFmtId="169" formatCode="0.0%"/>
    <numFmt numFmtId="170" formatCode="_(* #,##0_);_(* \(#,##0\);_(* &quot;-&quot;??_);_(@_)"/>
    <numFmt numFmtId="171" formatCode="mmmm"/>
    <numFmt numFmtId="172" formatCode="[$-1009]mmmm\ d\,\ yyyy;@"/>
    <numFmt numFmtId="173" formatCode="&quot;$&quot;#,##0.00"/>
    <numFmt numFmtId="174" formatCode="mmm\-yyyy"/>
    <numFmt numFmtId="175" formatCode="0.000"/>
    <numFmt numFmtId="176" formatCode="000"/>
    <numFmt numFmtId="177" formatCode="dd/mm/yyyy;@"/>
    <numFmt numFmtId="178" formatCode="0_);[Red]\(0\)"/>
    <numFmt numFmtId="179" formatCode="[$-1009]d/mmm/yy;@"/>
    <numFmt numFmtId="180" formatCode="[$-F800]dddd\,\ mmmm\ dd\,\ yyyy"/>
    <numFmt numFmtId="181" formatCode="#,##0.00;[Red]\(#,##0.00\)"/>
    <numFmt numFmtId="182" formatCode="_(&quot;$&quot;* #,##0_);_(&quot;$&quot;* \(#,##0\);_(&quot;$&quot;* &quot;-&quot;??_);_(@_)"/>
    <numFmt numFmtId="183" formatCode="#,##0.00_ ;\-#,##0.00\ "/>
    <numFmt numFmtId="184" formatCode="#,##0_ ;\-#,##0\ "/>
  </numFmts>
  <fonts count="91">
    <font>
      <sz val="11"/>
      <color theme="1"/>
      <name val="Calibri"/>
      <family val="2"/>
      <scheme val="minor"/>
    </font>
    <font>
      <sz val="11"/>
      <color theme="1"/>
      <name val="Calibri"/>
      <scheme val="minor"/>
    </font>
    <font>
      <sz val="11"/>
      <color theme="1"/>
      <name val="Calibri"/>
      <family val="2"/>
      <scheme val="minor"/>
    </font>
    <font>
      <b/>
      <sz val="11"/>
      <color theme="0"/>
      <name val="Calibri"/>
      <family val="2"/>
      <scheme val="minor"/>
    </font>
    <font>
      <b/>
      <sz val="11"/>
      <color theme="1"/>
      <name val="Calibri"/>
      <family val="2"/>
      <scheme val="minor"/>
    </font>
    <font>
      <b/>
      <sz val="12"/>
      <color theme="1"/>
      <name val="Calibri"/>
      <family val="2"/>
      <scheme val="minor"/>
    </font>
    <font>
      <sz val="10"/>
      <name val="Arial"/>
      <family val="2"/>
    </font>
    <font>
      <b/>
      <sz val="18"/>
      <color theme="1"/>
      <name val="Calibri"/>
      <family val="2"/>
      <scheme val="minor"/>
    </font>
    <font>
      <b/>
      <i/>
      <sz val="11"/>
      <color theme="1"/>
      <name val="Calibri"/>
      <family val="2"/>
      <scheme val="minor"/>
    </font>
    <font>
      <i/>
      <sz val="11"/>
      <color theme="1"/>
      <name val="Calibri"/>
      <family val="2"/>
      <scheme val="minor"/>
    </font>
    <font>
      <sz val="8"/>
      <color theme="1"/>
      <name val="Calibri"/>
      <family val="2"/>
      <scheme val="minor"/>
    </font>
    <font>
      <b/>
      <sz val="8"/>
      <color theme="1"/>
      <name val="Calibri"/>
      <family val="2"/>
      <scheme val="minor"/>
    </font>
    <font>
      <b/>
      <sz val="9"/>
      <color indexed="81"/>
      <name val="Tahoma"/>
      <family val="2"/>
    </font>
    <font>
      <sz val="11"/>
      <name val="Calibri"/>
      <family val="2"/>
      <scheme val="minor"/>
    </font>
    <font>
      <b/>
      <sz val="10"/>
      <color theme="1"/>
      <name val="Calibri"/>
      <family val="2"/>
      <scheme val="minor"/>
    </font>
    <font>
      <b/>
      <sz val="16"/>
      <color theme="1"/>
      <name val="Calibri"/>
      <family val="2"/>
      <scheme val="minor"/>
    </font>
    <font>
      <i/>
      <sz val="12"/>
      <color theme="1"/>
      <name val="Calibri"/>
      <family val="2"/>
      <scheme val="minor"/>
    </font>
    <font>
      <b/>
      <sz val="13"/>
      <color theme="1"/>
      <name val="Calibri"/>
      <family val="2"/>
      <scheme val="minor"/>
    </font>
    <font>
      <b/>
      <sz val="11"/>
      <name val="Calibri"/>
      <family val="2"/>
      <scheme val="minor"/>
    </font>
    <font>
      <b/>
      <i/>
      <sz val="9"/>
      <color theme="1"/>
      <name val="Calibri"/>
      <family val="2"/>
      <scheme val="minor"/>
    </font>
    <font>
      <sz val="9"/>
      <color theme="1"/>
      <name val="Calibri"/>
      <family val="2"/>
      <scheme val="minor"/>
    </font>
    <font>
      <i/>
      <sz val="9"/>
      <color theme="1"/>
      <name val="Calibri"/>
      <family val="2"/>
      <scheme val="minor"/>
    </font>
    <font>
      <b/>
      <u/>
      <sz val="11"/>
      <color theme="1"/>
      <name val="Calibri"/>
      <family val="2"/>
      <scheme val="minor"/>
    </font>
    <font>
      <sz val="9"/>
      <color indexed="81"/>
      <name val="Tahoma"/>
      <family val="2"/>
    </font>
    <font>
      <b/>
      <sz val="9"/>
      <color theme="1"/>
      <name val="Calibri"/>
      <family val="2"/>
      <scheme val="minor"/>
    </font>
    <font>
      <b/>
      <sz val="18"/>
      <name val="Calibri"/>
      <family val="2"/>
      <scheme val="minor"/>
    </font>
    <font>
      <i/>
      <sz val="8"/>
      <color theme="1"/>
      <name val="Calibri"/>
      <family val="2"/>
      <scheme val="minor"/>
    </font>
    <font>
      <u/>
      <sz val="9"/>
      <color indexed="81"/>
      <name val="Tahoma"/>
      <family val="2"/>
    </font>
    <font>
      <b/>
      <sz val="8"/>
      <color rgb="FFFF0000"/>
      <name val="Calibri"/>
      <family val="2"/>
      <scheme val="minor"/>
    </font>
    <font>
      <i/>
      <sz val="10"/>
      <color theme="1"/>
      <name val="Calibri"/>
      <family val="2"/>
      <scheme val="minor"/>
    </font>
    <font>
      <b/>
      <vertAlign val="superscript"/>
      <sz val="8"/>
      <color theme="1"/>
      <name val="Calibri"/>
      <family val="2"/>
      <scheme val="minor"/>
    </font>
    <font>
      <sz val="7"/>
      <color theme="1"/>
      <name val="Calibri"/>
      <family val="2"/>
      <scheme val="minor"/>
    </font>
    <font>
      <b/>
      <sz val="7"/>
      <color theme="1"/>
      <name val="Calibri"/>
      <family val="2"/>
      <scheme val="minor"/>
    </font>
    <font>
      <b/>
      <sz val="20"/>
      <color theme="1"/>
      <name val="Calibri"/>
      <family val="2"/>
      <scheme val="minor"/>
    </font>
    <font>
      <sz val="13"/>
      <color theme="1"/>
      <name val="Calibri"/>
      <family val="2"/>
      <scheme val="minor"/>
    </font>
    <font>
      <b/>
      <sz val="8"/>
      <name val="Calibri"/>
      <family val="2"/>
      <scheme val="minor"/>
    </font>
    <font>
      <sz val="6"/>
      <color theme="1"/>
      <name val="Calibri"/>
      <family val="2"/>
      <scheme val="minor"/>
    </font>
    <font>
      <b/>
      <sz val="14"/>
      <color theme="1"/>
      <name val="Calibri"/>
      <family val="2"/>
      <scheme val="minor"/>
    </font>
    <font>
      <sz val="12"/>
      <color theme="1"/>
      <name val="Calibri"/>
      <family val="2"/>
      <scheme val="minor"/>
    </font>
    <font>
      <sz val="10"/>
      <color theme="1"/>
      <name val="Calibri"/>
      <family val="2"/>
      <scheme val="minor"/>
    </font>
    <font>
      <sz val="11"/>
      <color theme="0"/>
      <name val="Calibri"/>
      <family val="2"/>
      <scheme val="minor"/>
    </font>
    <font>
      <sz val="10"/>
      <color rgb="FFFF0000"/>
      <name val="Calibri"/>
      <family val="2"/>
      <scheme val="minor"/>
    </font>
    <font>
      <sz val="9"/>
      <color rgb="FFFF0000"/>
      <name val="Calibri"/>
      <family val="2"/>
      <scheme val="minor"/>
    </font>
    <font>
      <b/>
      <sz val="11"/>
      <color rgb="FFFF0000"/>
      <name val="Calibri"/>
      <family val="2"/>
      <scheme val="minor"/>
    </font>
    <font>
      <b/>
      <sz val="11"/>
      <color theme="3"/>
      <name val="Calibri"/>
      <family val="2"/>
      <scheme val="minor"/>
    </font>
    <font>
      <sz val="9"/>
      <color theme="3"/>
      <name val="Calibri"/>
      <family val="2"/>
      <scheme val="minor"/>
    </font>
    <font>
      <sz val="7"/>
      <color theme="0"/>
      <name val="Calibri"/>
      <family val="2"/>
      <scheme val="minor"/>
    </font>
    <font>
      <b/>
      <sz val="10"/>
      <color theme="0"/>
      <name val="Calibri"/>
      <family val="2"/>
      <scheme val="minor"/>
    </font>
    <font>
      <u/>
      <sz val="11"/>
      <color theme="10"/>
      <name val="Calibri"/>
      <family val="2"/>
      <scheme val="minor"/>
    </font>
    <font>
      <sz val="16"/>
      <color theme="1"/>
      <name val="Calibri"/>
      <family val="2"/>
      <scheme val="minor"/>
    </font>
    <font>
      <sz val="11"/>
      <color rgb="FFFF0000"/>
      <name val="Calibri"/>
      <family val="2"/>
      <scheme val="minor"/>
    </font>
    <font>
      <b/>
      <sz val="11"/>
      <color rgb="FF00B050"/>
      <name val="Calibri"/>
      <family val="2"/>
      <scheme val="minor"/>
    </font>
    <font>
      <b/>
      <sz val="8"/>
      <color rgb="FF00B050"/>
      <name val="Calibri"/>
      <family val="2"/>
      <scheme val="minor"/>
    </font>
    <font>
      <b/>
      <sz val="12"/>
      <color rgb="FF00B050"/>
      <name val="Calibri"/>
      <family val="2"/>
      <scheme val="minor"/>
    </font>
    <font>
      <sz val="11"/>
      <color theme="0" tint="-0.499984740745262"/>
      <name val="Calibri"/>
      <family val="2"/>
      <scheme val="minor"/>
    </font>
    <font>
      <sz val="10"/>
      <name val="Lato"/>
      <family val="2"/>
    </font>
    <font>
      <sz val="10"/>
      <color rgb="FF000000"/>
      <name val="Arial"/>
      <family val="2"/>
    </font>
    <font>
      <sz val="11"/>
      <color rgb="FF00B050"/>
      <name val="Calibri"/>
      <family val="2"/>
      <scheme val="minor"/>
    </font>
    <font>
      <sz val="11"/>
      <color rgb="FFFF33CC"/>
      <name val="Calibri"/>
      <family val="2"/>
      <scheme val="minor"/>
    </font>
    <font>
      <sz val="11"/>
      <color rgb="FF0070C0"/>
      <name val="Calibri"/>
      <family val="2"/>
      <scheme val="minor"/>
    </font>
    <font>
      <b/>
      <sz val="14"/>
      <name val="Calibri"/>
      <family val="2"/>
      <scheme val="minor"/>
    </font>
    <font>
      <sz val="10"/>
      <name val="Calibri"/>
      <family val="2"/>
      <scheme val="minor"/>
    </font>
    <font>
      <b/>
      <sz val="10"/>
      <name val="Calibri"/>
      <family val="2"/>
      <scheme val="minor"/>
    </font>
    <font>
      <b/>
      <sz val="10"/>
      <color theme="0"/>
      <name val="Tahoma"/>
      <family val="2"/>
    </font>
    <font>
      <b/>
      <sz val="10"/>
      <name val="Tahoma"/>
      <family val="2"/>
    </font>
    <font>
      <b/>
      <sz val="9"/>
      <name val="Tahoma"/>
      <family val="2"/>
    </font>
    <font>
      <sz val="9"/>
      <name val="Tahoma"/>
      <family val="2"/>
    </font>
    <font>
      <sz val="11"/>
      <color theme="1"/>
      <name val="Tahoma"/>
      <family val="2"/>
    </font>
    <font>
      <sz val="8"/>
      <color theme="1"/>
      <name val="Tahoma"/>
      <family val="2"/>
    </font>
    <font>
      <sz val="10"/>
      <name val="Tahoma"/>
      <family val="2"/>
    </font>
    <font>
      <sz val="11"/>
      <name val="Tahoma"/>
      <family val="2"/>
    </font>
    <font>
      <sz val="8"/>
      <name val="Tahoma"/>
      <family val="2"/>
    </font>
    <font>
      <sz val="11"/>
      <color theme="9" tint="-0.499984740745262"/>
      <name val="Calibri"/>
      <family val="2"/>
      <scheme val="minor"/>
    </font>
    <font>
      <b/>
      <sz val="10"/>
      <color rgb="FFFF33CC"/>
      <name val="Calibri"/>
      <family val="2"/>
      <scheme val="minor"/>
    </font>
    <font>
      <b/>
      <sz val="10"/>
      <color rgb="FFFF0000"/>
      <name val="Calibri"/>
      <family val="2"/>
      <scheme val="minor"/>
    </font>
    <font>
      <sz val="11"/>
      <color rgb="FF00AAD2"/>
      <name val="Calibri"/>
      <family val="2"/>
      <scheme val="minor"/>
    </font>
    <font>
      <sz val="8"/>
      <name val="Calibri"/>
      <family val="2"/>
      <scheme val="minor"/>
    </font>
    <font>
      <sz val="11"/>
      <color rgb="FFFF0000"/>
      <name val="Calibri"/>
      <family val="2"/>
    </font>
    <font>
      <sz val="11"/>
      <color rgb="FF000000"/>
      <name val="Calibri"/>
      <family val="2"/>
    </font>
    <font>
      <b/>
      <sz val="14"/>
      <color rgb="FF000000"/>
      <name val="Calibri"/>
      <family val="2"/>
    </font>
    <font>
      <sz val="10"/>
      <color rgb="FF000000"/>
      <name val="Calibri"/>
      <family val="2"/>
    </font>
    <font>
      <sz val="10"/>
      <color theme="3"/>
      <name val="Calibri"/>
      <family val="2"/>
      <scheme val="minor"/>
    </font>
    <font>
      <sz val="10"/>
      <color rgb="FF1F497D"/>
      <name val="Calibri"/>
      <family val="2"/>
    </font>
    <font>
      <i/>
      <sz val="10"/>
      <color rgb="FF1F497D"/>
      <name val="Calibri"/>
      <family val="2"/>
    </font>
    <font>
      <sz val="9"/>
      <color rgb="FF000000"/>
      <name val="Calibri"/>
      <family val="2"/>
      <scheme val="minor"/>
    </font>
    <font>
      <sz val="10"/>
      <color rgb="FF000000"/>
      <name val="Calibri"/>
      <family val="2"/>
      <scheme val="minor"/>
    </font>
    <font>
      <b/>
      <sz val="11"/>
      <color rgb="FF000000"/>
      <name val="Calibri"/>
      <family val="2"/>
      <scheme val="minor"/>
    </font>
    <font>
      <i/>
      <sz val="10"/>
      <color theme="3"/>
      <name val="Calibri"/>
      <family val="2"/>
      <scheme val="minor"/>
    </font>
    <font>
      <sz val="10"/>
      <color theme="0"/>
      <name val="Calibri"/>
      <family val="2"/>
      <scheme val="minor"/>
    </font>
    <font>
      <sz val="11"/>
      <color theme="5" tint="-0.499984740745262"/>
      <name val="Calibri"/>
      <family val="2"/>
      <scheme val="minor"/>
    </font>
    <font>
      <sz val="11"/>
      <color rgb="FFC00000"/>
      <name val="Calibri"/>
      <family val="2"/>
      <scheme val="minor"/>
    </font>
  </fonts>
  <fills count="47">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3"/>
        <bgColor indexed="64"/>
      </patternFill>
    </fill>
    <fill>
      <patternFill patternType="solid">
        <fgColor theme="2" tint="-9.9978637043366805E-2"/>
        <bgColor indexed="64"/>
      </patternFill>
    </fill>
    <fill>
      <patternFill patternType="solid">
        <fgColor theme="0"/>
        <bgColor auto="1"/>
      </patternFill>
    </fill>
    <fill>
      <patternFill patternType="solid">
        <fgColor theme="2" tint="-9.9978637043366805E-2"/>
        <bgColor theme="6" tint="0.39994506668294322"/>
      </patternFill>
    </fill>
    <fill>
      <patternFill patternType="lightUp">
        <bgColor theme="2" tint="-9.9978637043366805E-2"/>
      </patternFill>
    </fill>
    <fill>
      <patternFill patternType="solid">
        <fgColor theme="3" tint="-0.499984740745262"/>
        <bgColor indexed="64"/>
      </patternFill>
    </fill>
    <fill>
      <patternFill patternType="solid">
        <fgColor theme="2" tint="-9.9948118533890809E-2"/>
        <bgColor indexed="64"/>
      </patternFill>
    </fill>
    <fill>
      <patternFill patternType="solid">
        <fgColor rgb="FFFFFF99"/>
        <bgColor indexed="64"/>
      </patternFill>
    </fill>
    <fill>
      <patternFill patternType="solid">
        <fgColor rgb="FF00B05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7"/>
        <bgColor indexed="64"/>
      </patternFill>
    </fill>
    <fill>
      <gradientFill degree="135">
        <stop position="0">
          <color theme="7"/>
        </stop>
        <stop position="1">
          <color theme="3"/>
        </stop>
      </gradientFill>
    </fill>
    <fill>
      <patternFill patternType="solid">
        <fgColor theme="3" tint="-0.249977111117893"/>
        <bgColor indexed="64"/>
      </patternFill>
    </fill>
    <fill>
      <patternFill patternType="solid">
        <fgColor rgb="FF0070C0"/>
        <bgColor indexed="64"/>
      </patternFill>
    </fill>
    <fill>
      <patternFill patternType="solid">
        <fgColor rgb="FFFF0000"/>
        <bgColor indexed="64"/>
      </patternFill>
    </fill>
    <fill>
      <patternFill patternType="solid">
        <fgColor theme="5" tint="0.79998168889431442"/>
        <bgColor indexed="64"/>
      </patternFill>
    </fill>
    <fill>
      <patternFill patternType="solid">
        <fgColor rgb="FFFFFF00"/>
        <bgColor indexed="64"/>
      </patternFill>
    </fill>
    <fill>
      <patternFill patternType="solid">
        <fgColor theme="6"/>
        <bgColor indexed="64"/>
      </patternFill>
    </fill>
    <fill>
      <patternFill patternType="solid">
        <fgColor theme="4"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rgb="FFFFC000"/>
        <bgColor indexed="64"/>
      </patternFill>
    </fill>
    <fill>
      <patternFill patternType="solid">
        <fgColor theme="0"/>
        <bgColor theme="4" tint="0.79998168889431442"/>
      </patternFill>
    </fill>
    <fill>
      <patternFill patternType="solid">
        <fgColor rgb="FFFF99FF"/>
        <bgColor indexed="64"/>
      </patternFill>
    </fill>
    <fill>
      <patternFill patternType="solid">
        <fgColor theme="0" tint="-0.249977111117893"/>
        <bgColor indexed="64"/>
      </patternFill>
    </fill>
    <fill>
      <patternFill patternType="solid">
        <fgColor theme="1" tint="0.14996795556505021"/>
        <bgColor indexed="64"/>
      </patternFill>
    </fill>
    <fill>
      <patternFill patternType="solid">
        <fgColor theme="0" tint="-4.9989318521683403E-2"/>
        <bgColor indexed="64"/>
      </patternFill>
    </fill>
    <fill>
      <patternFill patternType="solid">
        <fgColor theme="3"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66"/>
        <bgColor indexed="64"/>
      </patternFill>
    </fill>
    <fill>
      <patternFill patternType="solid">
        <fgColor rgb="FFFFFFFF"/>
        <bgColor indexed="64"/>
      </patternFill>
    </fill>
    <fill>
      <patternFill patternType="solid">
        <fgColor rgb="FFFFFFCC"/>
        <bgColor indexed="64"/>
      </patternFill>
    </fill>
    <fill>
      <patternFill patternType="solid">
        <fgColor rgb="FFFFCCFF"/>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59999389629810485"/>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style="thin">
        <color indexed="64"/>
      </left>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auto="1"/>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indexed="64"/>
      </right>
      <top style="medium">
        <color indexed="64"/>
      </top>
      <bottom style="thin">
        <color indexed="64"/>
      </bottom>
      <diagonal/>
    </border>
  </borders>
  <cellStyleXfs count="14">
    <xf numFmtId="0" fontId="0" fillId="0" borderId="0"/>
    <xf numFmtId="166" fontId="2" fillId="0" borderId="0" applyFont="0" applyFill="0" applyBorder="0" applyAlignment="0" applyProtection="0"/>
    <xf numFmtId="9" fontId="2" fillId="0" borderId="0" applyFont="0" applyFill="0" applyBorder="0" applyAlignment="0" applyProtection="0"/>
    <xf numFmtId="0" fontId="6" fillId="0" borderId="0"/>
    <xf numFmtId="43"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0" fontId="2" fillId="0" borderId="0"/>
    <xf numFmtId="165" fontId="2" fillId="0" borderId="0" applyFont="0" applyFill="0" applyBorder="0" applyAlignment="0" applyProtection="0"/>
    <xf numFmtId="0" fontId="48" fillId="0" borderId="0" applyNumberFormat="0" applyFill="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166" fontId="2" fillId="0" borderId="0" applyFont="0" applyFill="0" applyBorder="0" applyAlignment="0" applyProtection="0"/>
  </cellStyleXfs>
  <cellXfs count="1412">
    <xf numFmtId="0" fontId="0" fillId="0" borderId="0" xfId="0"/>
    <xf numFmtId="0" fontId="0" fillId="2" borderId="0" xfId="0" applyFill="1"/>
    <xf numFmtId="0" fontId="0" fillId="2" borderId="0" xfId="0" applyFill="1" applyAlignment="1">
      <alignment horizontal="center"/>
    </xf>
    <xf numFmtId="0" fontId="0" fillId="2" borderId="0" xfId="0" applyFill="1" applyAlignment="1">
      <alignment horizontal="left"/>
    </xf>
    <xf numFmtId="0" fontId="0" fillId="2" borderId="0" xfId="0" applyFill="1" applyAlignment="1">
      <alignment vertical="top"/>
    </xf>
    <xf numFmtId="166" fontId="0" fillId="2" borderId="0" xfId="1" applyFont="1" applyFill="1"/>
    <xf numFmtId="0" fontId="11" fillId="2" borderId="0" xfId="0" applyFont="1" applyFill="1" applyAlignment="1">
      <alignment horizontal="center"/>
    </xf>
    <xf numFmtId="167" fontId="0" fillId="2" borderId="0" xfId="1" applyNumberFormat="1" applyFont="1" applyFill="1" applyBorder="1" applyAlignment="1">
      <alignment horizontal="center" vertical="top"/>
    </xf>
    <xf numFmtId="167" fontId="4" fillId="2" borderId="0" xfId="1" applyNumberFormat="1" applyFont="1" applyFill="1" applyBorder="1" applyAlignment="1">
      <alignment horizontal="center" vertical="top"/>
    </xf>
    <xf numFmtId="0" fontId="19" fillId="2" borderId="0" xfId="0" applyFont="1" applyFill="1"/>
    <xf numFmtId="167" fontId="20" fillId="2" borderId="0" xfId="0" applyNumberFormat="1" applyFont="1" applyFill="1" applyAlignment="1">
      <alignment horizontal="center"/>
    </xf>
    <xf numFmtId="166" fontId="0" fillId="2" borderId="0" xfId="0" applyNumberFormat="1" applyFill="1" applyAlignment="1">
      <alignment horizontal="left"/>
    </xf>
    <xf numFmtId="0" fontId="0" fillId="2" borderId="0" xfId="0" applyFill="1" applyAlignment="1">
      <alignment horizontal="center" vertical="top"/>
    </xf>
    <xf numFmtId="0" fontId="24" fillId="2" borderId="0" xfId="0" applyFont="1" applyFill="1" applyAlignment="1">
      <alignment horizontal="right" indent="1"/>
    </xf>
    <xf numFmtId="0" fontId="4" fillId="2" borderId="0" xfId="0" applyFont="1" applyFill="1" applyAlignment="1">
      <alignment horizontal="center"/>
    </xf>
    <xf numFmtId="167" fontId="24" fillId="2" borderId="0" xfId="0" applyNumberFormat="1" applyFont="1" applyFill="1" applyAlignment="1">
      <alignment horizontal="right" indent="1"/>
    </xf>
    <xf numFmtId="0" fontId="7" fillId="2" borderId="0" xfId="0" applyFont="1" applyFill="1" applyAlignment="1">
      <alignment horizontal="left"/>
    </xf>
    <xf numFmtId="0" fontId="3" fillId="4" borderId="1" xfId="0" applyFont="1" applyFill="1" applyBorder="1" applyAlignment="1">
      <alignment horizontal="left"/>
    </xf>
    <xf numFmtId="0" fontId="4" fillId="2" borderId="0" xfId="0" applyFont="1" applyFill="1"/>
    <xf numFmtId="0" fontId="15" fillId="2" borderId="0" xfId="0" applyFont="1" applyFill="1" applyAlignment="1">
      <alignment horizontal="left"/>
    </xf>
    <xf numFmtId="0" fontId="3" fillId="4" borderId="1" xfId="0" applyFont="1" applyFill="1" applyBorder="1" applyAlignment="1">
      <alignment horizontal="center" wrapText="1"/>
    </xf>
    <xf numFmtId="49" fontId="4" fillId="2" borderId="0" xfId="0" applyNumberFormat="1" applyFont="1" applyFill="1"/>
    <xf numFmtId="49" fontId="0" fillId="5" borderId="1" xfId="0" applyNumberFormat="1" applyFill="1" applyBorder="1" applyAlignment="1">
      <alignment horizontal="center" vertical="top"/>
    </xf>
    <xf numFmtId="49" fontId="0" fillId="2" borderId="0" xfId="0" applyNumberFormat="1" applyFill="1" applyAlignment="1">
      <alignment vertical="top"/>
    </xf>
    <xf numFmtId="49" fontId="0" fillId="2" borderId="0" xfId="0" applyNumberFormat="1" applyFill="1" applyAlignment="1">
      <alignment horizontal="center"/>
    </xf>
    <xf numFmtId="49" fontId="0" fillId="2" borderId="0" xfId="0" applyNumberFormat="1" applyFill="1"/>
    <xf numFmtId="49" fontId="9" fillId="2" borderId="0" xfId="0" applyNumberFormat="1" applyFont="1" applyFill="1"/>
    <xf numFmtId="49" fontId="9" fillId="2" borderId="0" xfId="0" applyNumberFormat="1" applyFont="1" applyFill="1" applyAlignment="1">
      <alignment horizontal="center"/>
    </xf>
    <xf numFmtId="49" fontId="22" fillId="2" borderId="0" xfId="0" applyNumberFormat="1" applyFont="1" applyFill="1"/>
    <xf numFmtId="49" fontId="0" fillId="2" borderId="0" xfId="0" quotePrefix="1" applyNumberFormat="1" applyFill="1" applyAlignment="1">
      <alignment horizontal="left" vertical="top"/>
    </xf>
    <xf numFmtId="49" fontId="0" fillId="2" borderId="0" xfId="0" applyNumberFormat="1" applyFill="1" applyAlignment="1">
      <alignment horizontal="center" vertical="top"/>
    </xf>
    <xf numFmtId="49" fontId="0" fillId="2" borderId="0" xfId="0" applyNumberFormat="1" applyFill="1" applyAlignment="1">
      <alignment horizontal="left" vertical="top"/>
    </xf>
    <xf numFmtId="49" fontId="9" fillId="2" borderId="0" xfId="0" applyNumberFormat="1" applyFont="1" applyFill="1" applyAlignment="1">
      <alignment horizontal="left" vertical="top"/>
    </xf>
    <xf numFmtId="0" fontId="0" fillId="2" borderId="0" xfId="0" applyFill="1" applyAlignment="1" applyProtection="1">
      <alignment horizontal="left"/>
      <protection locked="0"/>
    </xf>
    <xf numFmtId="0" fontId="0" fillId="2" borderId="0" xfId="0" applyFill="1" applyAlignment="1" applyProtection="1">
      <alignment horizontal="center"/>
      <protection locked="0"/>
    </xf>
    <xf numFmtId="0" fontId="0" fillId="2" borderId="0" xfId="0" applyFill="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Protection="1">
      <protection locked="0"/>
    </xf>
    <xf numFmtId="49" fontId="0" fillId="2" borderId="0" xfId="0" applyNumberFormat="1" applyFill="1" applyAlignment="1" applyProtection="1">
      <alignment horizontal="left"/>
      <protection locked="0"/>
    </xf>
    <xf numFmtId="0" fontId="17" fillId="2" borderId="0" xfId="0" applyFont="1" applyFill="1" applyAlignment="1">
      <alignment horizontal="left"/>
    </xf>
    <xf numFmtId="0" fontId="5" fillId="2" borderId="0" xfId="0" applyFont="1" applyFill="1" applyAlignment="1">
      <alignment horizontal="left"/>
    </xf>
    <xf numFmtId="0" fontId="10" fillId="2" borderId="0" xfId="0" applyFont="1" applyFill="1"/>
    <xf numFmtId="167" fontId="0" fillId="5" borderId="1" xfId="1" applyNumberFormat="1" applyFont="1" applyFill="1" applyBorder="1" applyAlignment="1" applyProtection="1">
      <alignment horizontal="center" vertical="top"/>
    </xf>
    <xf numFmtId="0" fontId="10" fillId="2" borderId="0" xfId="0" applyFont="1" applyFill="1" applyAlignment="1">
      <alignment horizontal="center"/>
    </xf>
    <xf numFmtId="0" fontId="19" fillId="2" borderId="0" xfId="0" applyFont="1" applyFill="1" applyAlignment="1">
      <alignment horizontal="left"/>
    </xf>
    <xf numFmtId="0" fontId="14" fillId="2" borderId="0" xfId="0" applyFont="1" applyFill="1"/>
    <xf numFmtId="167" fontId="0" fillId="5" borderId="8" xfId="1" applyNumberFormat="1" applyFont="1" applyFill="1" applyBorder="1" applyAlignment="1" applyProtection="1">
      <alignment horizontal="center" vertical="top"/>
    </xf>
    <xf numFmtId="0" fontId="20" fillId="2" borderId="0" xfId="0" applyFont="1" applyFill="1"/>
    <xf numFmtId="0" fontId="24" fillId="2" borderId="0" xfId="0" applyFont="1" applyFill="1" applyAlignment="1">
      <alignment horizontal="center"/>
    </xf>
    <xf numFmtId="169" fontId="20" fillId="2" borderId="0" xfId="2" applyNumberFormat="1" applyFont="1" applyFill="1" applyAlignment="1" applyProtection="1">
      <alignment horizontal="right"/>
    </xf>
    <xf numFmtId="0" fontId="10" fillId="2" borderId="0" xfId="0" applyFont="1" applyFill="1" applyAlignment="1">
      <alignment horizontal="left"/>
    </xf>
    <xf numFmtId="0" fontId="3" fillId="4" borderId="1" xfId="0" applyFont="1" applyFill="1" applyBorder="1"/>
    <xf numFmtId="170" fontId="0" fillId="5" borderId="1" xfId="1" applyNumberFormat="1" applyFont="1" applyFill="1" applyBorder="1" applyAlignment="1" applyProtection="1">
      <alignment horizontal="center"/>
    </xf>
    <xf numFmtId="170" fontId="0" fillId="5" borderId="1" xfId="1" applyNumberFormat="1" applyFont="1" applyFill="1" applyBorder="1" applyProtection="1"/>
    <xf numFmtId="0" fontId="24" fillId="2" borderId="0" xfId="0" applyFont="1" applyFill="1"/>
    <xf numFmtId="0" fontId="24" fillId="2" borderId="0" xfId="0" applyFont="1" applyFill="1" applyAlignment="1">
      <alignment horizontal="left"/>
    </xf>
    <xf numFmtId="0" fontId="11" fillId="2" borderId="0" xfId="0" applyFont="1" applyFill="1"/>
    <xf numFmtId="0" fontId="0" fillId="4" borderId="1" xfId="0" applyFill="1" applyBorder="1"/>
    <xf numFmtId="0" fontId="20" fillId="2" borderId="0" xfId="0" applyFont="1" applyFill="1" applyAlignment="1">
      <alignment horizontal="left"/>
    </xf>
    <xf numFmtId="0" fontId="20" fillId="2" borderId="0" xfId="0" applyFont="1" applyFill="1" applyAlignment="1">
      <alignment horizontal="right"/>
    </xf>
    <xf numFmtId="0" fontId="20" fillId="2" borderId="0" xfId="0" quotePrefix="1" applyFont="1" applyFill="1" applyAlignment="1">
      <alignment horizontal="right"/>
    </xf>
    <xf numFmtId="0" fontId="22" fillId="2" borderId="0" xfId="0" applyFont="1" applyFill="1" applyAlignment="1">
      <alignment horizontal="left"/>
    </xf>
    <xf numFmtId="167" fontId="0" fillId="5" borderId="1" xfId="1" applyNumberFormat="1" applyFont="1" applyFill="1" applyBorder="1" applyAlignment="1">
      <alignment vertical="top"/>
    </xf>
    <xf numFmtId="166" fontId="0" fillId="5" borderId="1" xfId="1" applyFont="1" applyFill="1" applyBorder="1" applyAlignment="1">
      <alignment vertical="top"/>
    </xf>
    <xf numFmtId="168" fontId="0" fillId="5" borderId="8" xfId="0" applyNumberFormat="1" applyFill="1" applyBorder="1" applyAlignment="1">
      <alignment horizontal="center" vertical="top"/>
    </xf>
    <xf numFmtId="166" fontId="0" fillId="5" borderId="1" xfId="1" applyFont="1" applyFill="1" applyBorder="1" applyAlignment="1">
      <alignment horizontal="left" vertical="top"/>
    </xf>
    <xf numFmtId="166" fontId="0" fillId="5" borderId="3" xfId="0" applyNumberFormat="1" applyFill="1" applyBorder="1" applyAlignment="1">
      <alignment horizontal="left"/>
    </xf>
    <xf numFmtId="166" fontId="0" fillId="5" borderId="1" xfId="0" applyNumberFormat="1" applyFill="1" applyBorder="1" applyAlignment="1">
      <alignment horizontal="left"/>
    </xf>
    <xf numFmtId="166" fontId="3" fillId="5" borderId="1" xfId="1" applyFont="1" applyFill="1" applyBorder="1" applyAlignment="1">
      <alignment horizontal="center"/>
    </xf>
    <xf numFmtId="166" fontId="4" fillId="5" borderId="1" xfId="0" applyNumberFormat="1" applyFont="1" applyFill="1" applyBorder="1" applyAlignment="1">
      <alignment horizontal="left"/>
    </xf>
    <xf numFmtId="0" fontId="0" fillId="2" borderId="0" xfId="0" applyFill="1" applyAlignment="1">
      <alignment vertical="top" wrapText="1"/>
    </xf>
    <xf numFmtId="0" fontId="31" fillId="2" borderId="0" xfId="0" applyFont="1" applyFill="1" applyAlignment="1">
      <alignment horizontal="center"/>
    </xf>
    <xf numFmtId="0" fontId="32" fillId="2" borderId="0" xfId="0" applyFont="1" applyFill="1" applyAlignment="1">
      <alignment horizontal="center"/>
    </xf>
    <xf numFmtId="166" fontId="29" fillId="5" borderId="1" xfId="0" applyNumberFormat="1" applyFont="1" applyFill="1" applyBorder="1" applyAlignment="1">
      <alignment horizontal="left"/>
    </xf>
    <xf numFmtId="166" fontId="14" fillId="5" borderId="1" xfId="0" applyNumberFormat="1" applyFont="1" applyFill="1" applyBorder="1" applyAlignment="1">
      <alignment horizontal="left"/>
    </xf>
    <xf numFmtId="0" fontId="0" fillId="5" borderId="1" xfId="0" applyFill="1" applyBorder="1" applyAlignment="1">
      <alignment horizontal="center"/>
    </xf>
    <xf numFmtId="0" fontId="0" fillId="5" borderId="1" xfId="0" applyFill="1" applyBorder="1"/>
    <xf numFmtId="0" fontId="0" fillId="5" borderId="1" xfId="0" applyFill="1" applyBorder="1" applyAlignment="1">
      <alignment horizontal="left"/>
    </xf>
    <xf numFmtId="0" fontId="0" fillId="6" borderId="1" xfId="0" quotePrefix="1" applyFill="1" applyBorder="1" applyAlignment="1" applyProtection="1">
      <alignment horizontal="center" vertical="top"/>
      <protection locked="0"/>
    </xf>
    <xf numFmtId="0" fontId="0" fillId="6" borderId="1" xfId="0" applyFill="1" applyBorder="1" applyAlignment="1" applyProtection="1">
      <alignment horizontal="center" vertical="top"/>
      <protection locked="0"/>
    </xf>
    <xf numFmtId="0" fontId="0" fillId="5" borderId="1" xfId="0" quotePrefix="1" applyFill="1" applyBorder="1" applyAlignment="1">
      <alignment horizontal="left"/>
    </xf>
    <xf numFmtId="49" fontId="0" fillId="5" borderId="1" xfId="0" applyNumberFormat="1" applyFill="1" applyBorder="1" applyAlignment="1">
      <alignment vertical="top"/>
    </xf>
    <xf numFmtId="49" fontId="0" fillId="6" borderId="1" xfId="0" applyNumberFormat="1" applyFill="1" applyBorder="1" applyAlignment="1" applyProtection="1">
      <alignment vertical="top"/>
      <protection locked="0"/>
    </xf>
    <xf numFmtId="49" fontId="0" fillId="6" borderId="1" xfId="0" applyNumberFormat="1" applyFill="1" applyBorder="1" applyAlignment="1" applyProtection="1">
      <alignment horizontal="center"/>
      <protection locked="0"/>
    </xf>
    <xf numFmtId="168" fontId="0" fillId="6" borderId="1" xfId="0" quotePrefix="1" applyNumberFormat="1" applyFill="1" applyBorder="1" applyAlignment="1" applyProtection="1">
      <alignment horizontal="center"/>
      <protection locked="0"/>
    </xf>
    <xf numFmtId="49" fontId="0" fillId="6" borderId="1" xfId="0" quotePrefix="1" applyNumberFormat="1" applyFill="1" applyBorder="1" applyAlignment="1" applyProtection="1">
      <alignment horizontal="center"/>
      <protection locked="0"/>
    </xf>
    <xf numFmtId="49" fontId="0" fillId="6" borderId="1" xfId="0" applyNumberFormat="1" applyFill="1" applyBorder="1" applyProtection="1">
      <protection locked="0"/>
    </xf>
    <xf numFmtId="0" fontId="0" fillId="5" borderId="8" xfId="0" applyFill="1" applyBorder="1" applyAlignment="1">
      <alignment horizontal="left" vertical="top"/>
    </xf>
    <xf numFmtId="0" fontId="0" fillId="6" borderId="1" xfId="0" applyFill="1" applyBorder="1" applyAlignment="1" applyProtection="1">
      <alignment horizontal="left" vertical="top"/>
      <protection locked="0"/>
    </xf>
    <xf numFmtId="49" fontId="0" fillId="6" borderId="1" xfId="0" applyNumberFormat="1" applyFill="1" applyBorder="1" applyAlignment="1">
      <alignment vertical="top"/>
    </xf>
    <xf numFmtId="0" fontId="31" fillId="2" borderId="0" xfId="0" applyFont="1" applyFill="1" applyAlignment="1">
      <alignment horizontal="center" vertical="top"/>
    </xf>
    <xf numFmtId="0" fontId="4" fillId="2" borderId="0" xfId="0" applyFont="1" applyFill="1" applyAlignment="1">
      <alignment horizontal="center" vertical="top"/>
    </xf>
    <xf numFmtId="0" fontId="14" fillId="2" borderId="0" xfId="0" applyFont="1" applyFill="1" applyAlignment="1">
      <alignment horizontal="center" vertical="top"/>
    </xf>
    <xf numFmtId="0" fontId="20" fillId="2" borderId="0" xfId="0" applyFont="1" applyFill="1" applyAlignment="1">
      <alignment horizontal="center" vertical="top"/>
    </xf>
    <xf numFmtId="0" fontId="0" fillId="5" borderId="8" xfId="0" quotePrefix="1" applyFill="1" applyBorder="1" applyAlignment="1">
      <alignment horizontal="left" vertical="top"/>
    </xf>
    <xf numFmtId="0" fontId="0" fillId="6" borderId="1" xfId="0" quotePrefix="1" applyFill="1" applyBorder="1" applyAlignment="1" applyProtection="1">
      <alignment horizontal="left" vertical="top"/>
      <protection locked="0"/>
    </xf>
    <xf numFmtId="166" fontId="0" fillId="5" borderId="1" xfId="1" applyFont="1" applyFill="1" applyBorder="1" applyAlignment="1" applyProtection="1">
      <alignment horizontal="center"/>
    </xf>
    <xf numFmtId="168" fontId="3" fillId="4" borderId="5" xfId="0" applyNumberFormat="1" applyFont="1" applyFill="1" applyBorder="1" applyAlignment="1">
      <alignment wrapText="1"/>
    </xf>
    <xf numFmtId="168" fontId="3" fillId="4" borderId="8" xfId="0" applyNumberFormat="1" applyFont="1" applyFill="1" applyBorder="1" applyAlignment="1">
      <alignment wrapText="1"/>
    </xf>
    <xf numFmtId="49" fontId="0" fillId="6" borderId="0" xfId="0" quotePrefix="1" applyNumberFormat="1" applyFill="1" applyAlignment="1">
      <alignment horizontal="center"/>
    </xf>
    <xf numFmtId="0" fontId="0" fillId="2" borderId="0" xfId="0" applyFill="1" applyAlignment="1">
      <alignment horizontal="left" vertical="top"/>
    </xf>
    <xf numFmtId="0" fontId="20" fillId="2" borderId="0" xfId="0" applyFont="1" applyFill="1" applyAlignment="1">
      <alignment horizontal="left" vertical="top" wrapText="1"/>
    </xf>
    <xf numFmtId="0" fontId="20" fillId="2" borderId="0" xfId="0" applyFont="1" applyFill="1" applyAlignment="1">
      <alignment horizontal="left" wrapText="1"/>
    </xf>
    <xf numFmtId="166" fontId="0" fillId="5" borderId="8" xfId="1" applyFont="1" applyFill="1" applyBorder="1" applyAlignment="1">
      <alignment horizontal="center" vertical="top"/>
    </xf>
    <xf numFmtId="0" fontId="18" fillId="2" borderId="0" xfId="0" applyFont="1" applyFill="1" applyAlignment="1">
      <alignment horizontal="center"/>
    </xf>
    <xf numFmtId="0" fontId="19" fillId="2" borderId="0" xfId="0" applyFont="1" applyFill="1" applyAlignment="1">
      <alignment vertical="top"/>
    </xf>
    <xf numFmtId="9" fontId="0" fillId="5" borderId="1" xfId="2" applyFont="1" applyFill="1" applyBorder="1" applyAlignment="1" applyProtection="1">
      <alignment horizontal="center"/>
    </xf>
    <xf numFmtId="9" fontId="0" fillId="5" borderId="1" xfId="2" applyFont="1" applyFill="1" applyBorder="1" applyAlignment="1" applyProtection="1">
      <alignment horizontal="center" vertical="top"/>
    </xf>
    <xf numFmtId="0" fontId="3" fillId="4" borderId="5" xfId="0" applyFont="1" applyFill="1" applyBorder="1"/>
    <xf numFmtId="0" fontId="0" fillId="5" borderId="2" xfId="0" quotePrefix="1" applyFill="1" applyBorder="1" applyAlignment="1">
      <alignment horizontal="center" vertical="top"/>
    </xf>
    <xf numFmtId="167" fontId="0" fillId="2" borderId="0" xfId="1" applyNumberFormat="1" applyFont="1" applyFill="1" applyAlignment="1" applyProtection="1">
      <alignment horizontal="center"/>
    </xf>
    <xf numFmtId="0" fontId="0" fillId="6" borderId="1" xfId="0" quotePrefix="1" applyFill="1" applyBorder="1" applyAlignment="1" applyProtection="1">
      <alignment horizontal="center"/>
      <protection locked="0"/>
    </xf>
    <xf numFmtId="170" fontId="3" fillId="4" borderId="2" xfId="1" applyNumberFormat="1" applyFont="1" applyFill="1" applyBorder="1" applyAlignment="1" applyProtection="1">
      <alignment horizontal="center"/>
    </xf>
    <xf numFmtId="49" fontId="0" fillId="5" borderId="2" xfId="0" quotePrefix="1" applyNumberFormat="1" applyFill="1" applyBorder="1" applyAlignment="1">
      <alignment horizontal="center" vertical="top"/>
    </xf>
    <xf numFmtId="0" fontId="3" fillId="4" borderId="2" xfId="0" applyFont="1" applyFill="1" applyBorder="1"/>
    <xf numFmtId="0" fontId="3" fillId="4" borderId="4" xfId="0" applyFont="1" applyFill="1" applyBorder="1"/>
    <xf numFmtId="170" fontId="3" fillId="2" borderId="0" xfId="1" applyNumberFormat="1" applyFont="1" applyFill="1" applyBorder="1" applyAlignment="1" applyProtection="1">
      <alignment horizontal="center"/>
    </xf>
    <xf numFmtId="0" fontId="0" fillId="5" borderId="1" xfId="0" quotePrefix="1" applyFill="1" applyBorder="1" applyAlignment="1">
      <alignment horizontal="center"/>
    </xf>
    <xf numFmtId="0" fontId="0" fillId="5" borderId="8" xfId="0" applyFill="1" applyBorder="1" applyAlignment="1">
      <alignment horizontal="center" vertical="top"/>
    </xf>
    <xf numFmtId="166" fontId="0" fillId="5" borderId="1" xfId="1" applyFont="1" applyFill="1" applyBorder="1" applyAlignment="1" applyProtection="1">
      <alignment horizontal="left"/>
    </xf>
    <xf numFmtId="0" fontId="34" fillId="2" borderId="0" xfId="0" applyFont="1" applyFill="1" applyAlignment="1">
      <alignment horizontal="left"/>
    </xf>
    <xf numFmtId="167" fontId="19" fillId="2" borderId="0" xfId="0" applyNumberFormat="1" applyFont="1" applyFill="1" applyAlignment="1">
      <alignment horizontal="right" indent="1"/>
    </xf>
    <xf numFmtId="0" fontId="0" fillId="2" borderId="0" xfId="0" applyFill="1" applyAlignment="1">
      <alignment horizontal="right"/>
    </xf>
    <xf numFmtId="0" fontId="0" fillId="2" borderId="1" xfId="0" quotePrefix="1" applyFill="1" applyBorder="1" applyAlignment="1" applyProtection="1">
      <alignment horizontal="center"/>
      <protection locked="0"/>
    </xf>
    <xf numFmtId="0" fontId="0" fillId="5" borderId="1" xfId="0" applyFill="1" applyBorder="1" applyAlignment="1">
      <alignment horizontal="center" vertical="top"/>
    </xf>
    <xf numFmtId="0" fontId="33" fillId="2" borderId="0" xfId="0" applyFont="1" applyFill="1"/>
    <xf numFmtId="0" fontId="4" fillId="2" borderId="0" xfId="0" applyFont="1" applyFill="1" applyAlignment="1">
      <alignment horizontal="left"/>
    </xf>
    <xf numFmtId="168" fontId="0" fillId="2" borderId="1" xfId="0" quotePrefix="1" applyNumberFormat="1" applyFill="1" applyBorder="1" applyAlignment="1" applyProtection="1">
      <alignment horizontal="center"/>
      <protection locked="0"/>
    </xf>
    <xf numFmtId="49" fontId="0" fillId="6" borderId="1" xfId="0" applyNumberFormat="1" applyFill="1" applyBorder="1" applyAlignment="1" applyProtection="1">
      <alignment horizontal="left" vertical="top"/>
      <protection locked="0"/>
    </xf>
    <xf numFmtId="49" fontId="0" fillId="6" borderId="1" xfId="0" applyNumberFormat="1" applyFill="1" applyBorder="1" applyAlignment="1" applyProtection="1">
      <alignment horizontal="center" vertical="top"/>
      <protection locked="0"/>
    </xf>
    <xf numFmtId="168" fontId="0" fillId="6" borderId="1" xfId="0" quotePrefix="1" applyNumberFormat="1" applyFill="1" applyBorder="1" applyAlignment="1" applyProtection="1">
      <alignment horizontal="center" vertical="top"/>
      <protection locked="0"/>
    </xf>
    <xf numFmtId="166" fontId="0" fillId="6" borderId="1" xfId="1" applyFont="1" applyFill="1" applyBorder="1" applyAlignment="1" applyProtection="1">
      <alignment horizontal="center" vertical="top"/>
      <protection locked="0"/>
    </xf>
    <xf numFmtId="49" fontId="0" fillId="2" borderId="0" xfId="0" applyNumberFormat="1" applyFill="1" applyAlignment="1" applyProtection="1">
      <alignment vertical="top"/>
      <protection locked="0"/>
    </xf>
    <xf numFmtId="166" fontId="0" fillId="6" borderId="1" xfId="1" quotePrefix="1" applyFont="1" applyFill="1" applyBorder="1" applyAlignment="1" applyProtection="1">
      <alignment horizontal="center" vertical="top"/>
      <protection locked="0"/>
    </xf>
    <xf numFmtId="49" fontId="0" fillId="6" borderId="1" xfId="0" quotePrefix="1" applyNumberFormat="1" applyFill="1" applyBorder="1" applyAlignment="1" applyProtection="1">
      <alignment horizontal="center" vertical="top"/>
      <protection locked="0"/>
    </xf>
    <xf numFmtId="166" fontId="0" fillId="6" borderId="1" xfId="1" applyFont="1" applyFill="1" applyBorder="1" applyAlignment="1" applyProtection="1">
      <alignment vertical="top"/>
      <protection locked="0"/>
    </xf>
    <xf numFmtId="0" fontId="11" fillId="2" borderId="0" xfId="0" applyFont="1" applyFill="1" applyAlignment="1">
      <alignment horizontal="left"/>
    </xf>
    <xf numFmtId="0" fontId="11" fillId="2" borderId="0" xfId="0" applyFont="1" applyFill="1" applyAlignment="1">
      <alignment horizontal="right" indent="1"/>
    </xf>
    <xf numFmtId="166" fontId="11" fillId="2" borderId="0" xfId="1" applyFont="1" applyFill="1" applyAlignment="1">
      <alignment horizontal="center"/>
    </xf>
    <xf numFmtId="43" fontId="35" fillId="2" borderId="0" xfId="0" applyNumberFormat="1" applyFont="1" applyFill="1"/>
    <xf numFmtId="49" fontId="0" fillId="2" borderId="0" xfId="0" applyNumberFormat="1" applyFill="1" applyAlignment="1" applyProtection="1">
      <alignment horizontal="left" vertical="top"/>
      <protection locked="0"/>
    </xf>
    <xf numFmtId="0" fontId="11" fillId="2" borderId="0" xfId="0" applyFont="1" applyFill="1" applyAlignment="1">
      <alignment horizontal="left" vertical="top"/>
    </xf>
    <xf numFmtId="166" fontId="0" fillId="8" borderId="1" xfId="0" applyNumberFormat="1" applyFill="1" applyBorder="1" applyAlignment="1">
      <alignment horizontal="left"/>
    </xf>
    <xf numFmtId="166" fontId="4" fillId="8" borderId="1" xfId="0" applyNumberFormat="1" applyFont="1" applyFill="1" applyBorder="1" applyAlignment="1">
      <alignment horizontal="left"/>
    </xf>
    <xf numFmtId="0" fontId="3" fillId="4" borderId="1" xfId="0" applyFont="1" applyFill="1" applyBorder="1" applyAlignment="1">
      <alignment horizontal="center"/>
    </xf>
    <xf numFmtId="0" fontId="3" fillId="4" borderId="5" xfId="0" applyFont="1" applyFill="1" applyBorder="1" applyAlignment="1">
      <alignment horizontal="center" wrapText="1"/>
    </xf>
    <xf numFmtId="0" fontId="0" fillId="5" borderId="2" xfId="0" quotePrefix="1" applyFill="1" applyBorder="1" applyAlignment="1">
      <alignment horizontal="left" vertical="top"/>
    </xf>
    <xf numFmtId="0" fontId="3" fillId="4" borderId="2" xfId="0" applyFont="1" applyFill="1" applyBorder="1" applyAlignment="1">
      <alignment horizontal="center" wrapText="1"/>
    </xf>
    <xf numFmtId="0" fontId="16" fillId="2" borderId="0" xfId="0" applyFont="1" applyFill="1" applyAlignment="1">
      <alignment horizontal="left"/>
    </xf>
    <xf numFmtId="170" fontId="3" fillId="4" borderId="2" xfId="1" applyNumberFormat="1" applyFont="1" applyFill="1" applyBorder="1" applyAlignment="1" applyProtection="1"/>
    <xf numFmtId="170" fontId="3" fillId="4" borderId="4" xfId="1" applyNumberFormat="1" applyFont="1" applyFill="1" applyBorder="1" applyAlignment="1" applyProtection="1"/>
    <xf numFmtId="170" fontId="3" fillId="4" borderId="3" xfId="1" applyNumberFormat="1" applyFont="1" applyFill="1" applyBorder="1" applyAlignment="1" applyProtection="1"/>
    <xf numFmtId="0" fontId="26" fillId="2" borderId="0" xfId="0" applyFont="1" applyFill="1"/>
    <xf numFmtId="0" fontId="26" fillId="2" borderId="0" xfId="0" applyFont="1" applyFill="1" applyAlignment="1">
      <alignment horizontal="center"/>
    </xf>
    <xf numFmtId="0" fontId="26" fillId="2" borderId="0" xfId="0" applyFont="1" applyFill="1" applyAlignment="1">
      <alignment horizontal="left"/>
    </xf>
    <xf numFmtId="170" fontId="0" fillId="2" borderId="0" xfId="0" applyNumberFormat="1" applyFill="1"/>
    <xf numFmtId="0" fontId="3" fillId="2" borderId="0" xfId="0" applyFont="1" applyFill="1"/>
    <xf numFmtId="0" fontId="3" fillId="2" borderId="0" xfId="0" applyFont="1" applyFill="1" applyAlignment="1">
      <alignment horizontal="right" indent="1"/>
    </xf>
    <xf numFmtId="0" fontId="9" fillId="2" borderId="0" xfId="0" applyFont="1" applyFill="1"/>
    <xf numFmtId="0" fontId="4" fillId="2" borderId="0" xfId="0" quotePrefix="1" applyFont="1" applyFill="1" applyAlignment="1">
      <alignment horizontal="left"/>
    </xf>
    <xf numFmtId="0" fontId="9" fillId="2" borderId="0" xfId="0" applyFont="1" applyFill="1" applyAlignment="1">
      <alignment horizontal="center"/>
    </xf>
    <xf numFmtId="0" fontId="24" fillId="2" borderId="0" xfId="0" applyFont="1" applyFill="1" applyAlignment="1">
      <alignment horizontal="right"/>
    </xf>
    <xf numFmtId="0" fontId="24" fillId="2" borderId="0" xfId="0" applyFont="1" applyFill="1" applyAlignment="1">
      <alignment horizontal="right" indent="2"/>
    </xf>
    <xf numFmtId="0" fontId="3" fillId="4" borderId="7" xfId="0" applyFont="1" applyFill="1" applyBorder="1" applyAlignment="1">
      <alignment wrapText="1"/>
    </xf>
    <xf numFmtId="0" fontId="3" fillId="4" borderId="5" xfId="0" applyFont="1" applyFill="1" applyBorder="1" applyAlignment="1">
      <alignment wrapText="1"/>
    </xf>
    <xf numFmtId="0" fontId="3" fillId="4" borderId="6" xfId="0" applyFont="1" applyFill="1" applyBorder="1"/>
    <xf numFmtId="0" fontId="3" fillId="4" borderId="11" xfId="0" applyFont="1" applyFill="1" applyBorder="1" applyAlignment="1">
      <alignment horizontal="left" wrapText="1"/>
    </xf>
    <xf numFmtId="0" fontId="3" fillId="4" borderId="8" xfId="0" applyFont="1" applyFill="1" applyBorder="1" applyAlignment="1">
      <alignment horizontal="left" wrapText="1"/>
    </xf>
    <xf numFmtId="0" fontId="3" fillId="4" borderId="3" xfId="0" applyFont="1" applyFill="1" applyBorder="1"/>
    <xf numFmtId="0" fontId="28" fillId="2" borderId="0" xfId="0" applyFont="1" applyFill="1" applyAlignment="1">
      <alignment horizontal="center" vertical="center"/>
    </xf>
    <xf numFmtId="14" fontId="0" fillId="2" borderId="0" xfId="0" applyNumberFormat="1" applyFill="1" applyAlignment="1">
      <alignment horizontal="center"/>
    </xf>
    <xf numFmtId="0" fontId="3" fillId="4" borderId="5" xfId="0" applyFont="1" applyFill="1" applyBorder="1" applyAlignment="1">
      <alignment horizontal="center"/>
    </xf>
    <xf numFmtId="49" fontId="0" fillId="5" borderId="1" xfId="0" quotePrefix="1" applyNumberFormat="1" applyFill="1" applyBorder="1" applyAlignment="1">
      <alignment horizontal="center"/>
    </xf>
    <xf numFmtId="168" fontId="0" fillId="5" borderId="2" xfId="0" quotePrefix="1" applyNumberFormat="1" applyFill="1" applyBorder="1" applyAlignment="1">
      <alignment horizontal="center"/>
    </xf>
    <xf numFmtId="168" fontId="0" fillId="5" borderId="1" xfId="0" quotePrefix="1" applyNumberFormat="1" applyFill="1" applyBorder="1" applyAlignment="1">
      <alignment horizontal="center"/>
    </xf>
    <xf numFmtId="49" fontId="0" fillId="5" borderId="3" xfId="0" quotePrefix="1" applyNumberFormat="1" applyFill="1" applyBorder="1" applyAlignment="1">
      <alignment horizontal="center"/>
    </xf>
    <xf numFmtId="166" fontId="0" fillId="5" borderId="1" xfId="1" quotePrefix="1" applyFont="1" applyFill="1" applyBorder="1" applyAlignment="1" applyProtection="1">
      <alignment horizontal="center"/>
    </xf>
    <xf numFmtId="166" fontId="0" fillId="5" borderId="1" xfId="1" quotePrefix="1" applyFont="1" applyFill="1" applyBorder="1" applyAlignment="1" applyProtection="1">
      <alignment horizontal="left"/>
    </xf>
    <xf numFmtId="49" fontId="20" fillId="2" borderId="0" xfId="0" applyNumberFormat="1" applyFont="1" applyFill="1" applyAlignment="1">
      <alignment horizontal="center"/>
    </xf>
    <xf numFmtId="49" fontId="20" fillId="2" borderId="0" xfId="0" applyNumberFormat="1" applyFont="1" applyFill="1"/>
    <xf numFmtId="0" fontId="14" fillId="2" borderId="0" xfId="0" applyFont="1" applyFill="1" applyAlignment="1">
      <alignment horizontal="left"/>
    </xf>
    <xf numFmtId="0" fontId="0" fillId="5" borderId="1" xfId="1" quotePrefix="1" applyNumberFormat="1" applyFont="1" applyFill="1" applyBorder="1" applyAlignment="1" applyProtection="1">
      <alignment horizontal="center" vertical="top"/>
    </xf>
    <xf numFmtId="49" fontId="20" fillId="2" borderId="0" xfId="0" applyNumberFormat="1" applyFont="1" applyFill="1" applyAlignment="1">
      <alignment horizontal="left" vertical="top"/>
    </xf>
    <xf numFmtId="0" fontId="25" fillId="2" borderId="0" xfId="0" applyFont="1" applyFill="1" applyAlignment="1">
      <alignment horizontal="left"/>
    </xf>
    <xf numFmtId="166" fontId="0" fillId="5" borderId="1" xfId="1" applyFont="1" applyFill="1" applyBorder="1" applyAlignment="1" applyProtection="1">
      <alignment horizontal="center" vertical="top"/>
    </xf>
    <xf numFmtId="169" fontId="0" fillId="5" borderId="1" xfId="2" quotePrefix="1" applyNumberFormat="1" applyFont="1" applyFill="1" applyBorder="1" applyAlignment="1" applyProtection="1">
      <alignment horizontal="center"/>
    </xf>
    <xf numFmtId="0" fontId="3" fillId="4" borderId="9" xfId="0" applyFont="1" applyFill="1" applyBorder="1" applyAlignment="1">
      <alignment horizontal="right" wrapText="1"/>
    </xf>
    <xf numFmtId="0" fontId="3" fillId="4" borderId="11" xfId="0" applyFont="1" applyFill="1" applyBorder="1" applyAlignment="1">
      <alignment wrapText="1"/>
    </xf>
    <xf numFmtId="167" fontId="0" fillId="5" borderId="1" xfId="1" applyNumberFormat="1" applyFont="1" applyFill="1" applyBorder="1" applyAlignment="1" applyProtection="1">
      <alignment vertical="top"/>
    </xf>
    <xf numFmtId="0" fontId="8" fillId="2" borderId="0" xfId="0" applyFont="1" applyFill="1"/>
    <xf numFmtId="0" fontId="3" fillId="2" borderId="0" xfId="0" applyFont="1" applyFill="1" applyAlignment="1">
      <alignment horizontal="center"/>
    </xf>
    <xf numFmtId="0" fontId="3" fillId="4" borderId="12" xfId="0" applyFont="1" applyFill="1" applyBorder="1" applyAlignment="1">
      <alignment horizontal="center"/>
    </xf>
    <xf numFmtId="166" fontId="3" fillId="4" borderId="1" xfId="1" applyFont="1" applyFill="1" applyBorder="1" applyAlignment="1" applyProtection="1">
      <alignment horizontal="center"/>
    </xf>
    <xf numFmtId="166" fontId="3" fillId="4" borderId="8" xfId="1" applyFont="1" applyFill="1" applyBorder="1" applyAlignment="1" applyProtection="1">
      <alignment horizontal="center"/>
    </xf>
    <xf numFmtId="167" fontId="0" fillId="6" borderId="1" xfId="1" applyNumberFormat="1" applyFont="1" applyFill="1" applyBorder="1" applyAlignment="1" applyProtection="1">
      <alignment vertical="top"/>
      <protection locked="0"/>
    </xf>
    <xf numFmtId="167" fontId="0" fillId="2" borderId="1" xfId="1" applyNumberFormat="1" applyFont="1" applyFill="1" applyBorder="1" applyAlignment="1" applyProtection="1">
      <alignment horizontal="center" vertical="top"/>
      <protection locked="0"/>
    </xf>
    <xf numFmtId="167" fontId="0" fillId="6" borderId="1" xfId="1" applyNumberFormat="1" applyFont="1" applyFill="1" applyBorder="1" applyAlignment="1" applyProtection="1">
      <alignment horizontal="center" vertical="top"/>
      <protection locked="0"/>
    </xf>
    <xf numFmtId="166" fontId="0" fillId="2" borderId="0" xfId="0" applyNumberFormat="1" applyFill="1" applyAlignment="1">
      <alignment horizontal="center"/>
    </xf>
    <xf numFmtId="0" fontId="24" fillId="2" borderId="0" xfId="0" applyFont="1" applyFill="1" applyAlignment="1">
      <alignment horizontal="right" vertical="top"/>
    </xf>
    <xf numFmtId="0" fontId="24" fillId="2" borderId="0" xfId="0" applyFont="1" applyFill="1" applyAlignment="1">
      <alignment horizontal="center" vertical="top"/>
    </xf>
    <xf numFmtId="0" fontId="9" fillId="2" borderId="0" xfId="0" quotePrefix="1" applyFont="1" applyFill="1"/>
    <xf numFmtId="166" fontId="0" fillId="2" borderId="0" xfId="1" applyFont="1" applyFill="1" applyProtection="1"/>
    <xf numFmtId="166" fontId="10" fillId="2" borderId="0" xfId="1" applyFont="1" applyFill="1" applyProtection="1"/>
    <xf numFmtId="166" fontId="2" fillId="5" borderId="1" xfId="1" applyFont="1" applyFill="1" applyBorder="1" applyProtection="1"/>
    <xf numFmtId="166" fontId="18" fillId="5" borderId="1" xfId="1" applyFont="1" applyFill="1" applyBorder="1" applyProtection="1"/>
    <xf numFmtId="0" fontId="15" fillId="2" borderId="0" xfId="0" applyFont="1" applyFill="1"/>
    <xf numFmtId="0" fontId="26" fillId="2" borderId="0" xfId="0" applyFont="1" applyFill="1" applyAlignment="1">
      <alignment horizontal="center" vertical="top"/>
    </xf>
    <xf numFmtId="167" fontId="20" fillId="2" borderId="0" xfId="1" applyNumberFormat="1" applyFont="1" applyFill="1" applyAlignment="1" applyProtection="1">
      <alignment horizontal="center" vertical="top"/>
    </xf>
    <xf numFmtId="0" fontId="26" fillId="2" borderId="0" xfId="0" applyFont="1" applyFill="1" applyAlignment="1">
      <alignment horizontal="left" vertical="top"/>
    </xf>
    <xf numFmtId="0" fontId="26" fillId="2" borderId="0" xfId="0" applyFont="1" applyFill="1" applyAlignment="1">
      <alignment vertical="top"/>
    </xf>
    <xf numFmtId="168" fontId="0" fillId="2" borderId="1" xfId="0" applyNumberFormat="1" applyFill="1" applyBorder="1" applyAlignment="1" applyProtection="1">
      <alignment horizontal="center" vertical="top"/>
      <protection locked="0"/>
    </xf>
    <xf numFmtId="166" fontId="0" fillId="2" borderId="1" xfId="1" applyFont="1" applyFill="1" applyBorder="1" applyAlignment="1" applyProtection="1">
      <alignment horizontal="center" vertical="top"/>
      <protection locked="0"/>
    </xf>
    <xf numFmtId="0" fontId="0" fillId="6" borderId="1" xfId="0" applyFill="1" applyBorder="1" applyAlignment="1" applyProtection="1">
      <alignment vertical="top"/>
      <protection locked="0"/>
    </xf>
    <xf numFmtId="168" fontId="3" fillId="4" borderId="3" xfId="0" applyNumberFormat="1" applyFont="1" applyFill="1" applyBorder="1" applyAlignment="1" applyProtection="1">
      <alignment horizontal="center" wrapText="1"/>
      <protection locked="0"/>
    </xf>
    <xf numFmtId="166" fontId="0" fillId="6" borderId="1" xfId="0" applyNumberFormat="1" applyFill="1" applyBorder="1" applyAlignment="1" applyProtection="1">
      <alignment horizontal="left"/>
      <protection locked="0"/>
    </xf>
    <xf numFmtId="166" fontId="3" fillId="6" borderId="1" xfId="1" applyFont="1" applyFill="1" applyBorder="1" applyAlignment="1" applyProtection="1">
      <alignment horizontal="center"/>
      <protection locked="0"/>
    </xf>
    <xf numFmtId="0" fontId="36" fillId="2" borderId="0" xfId="0" applyFont="1" applyFill="1" applyAlignment="1">
      <alignment horizontal="center"/>
    </xf>
    <xf numFmtId="0" fontId="36" fillId="2" borderId="0" xfId="0" applyFont="1" applyFill="1" applyAlignment="1">
      <alignment horizontal="center" vertical="top"/>
    </xf>
    <xf numFmtId="0" fontId="0" fillId="5" borderId="2" xfId="0" quotePrefix="1" applyFill="1" applyBorder="1" applyAlignment="1">
      <alignment vertical="top"/>
    </xf>
    <xf numFmtId="166" fontId="0" fillId="5" borderId="2" xfId="1" quotePrefix="1" applyFont="1" applyFill="1" applyBorder="1" applyAlignment="1" applyProtection="1">
      <alignment horizontal="center" vertical="top"/>
    </xf>
    <xf numFmtId="0" fontId="3" fillId="4" borderId="3" xfId="0" applyFont="1" applyFill="1" applyBorder="1" applyAlignment="1">
      <alignment horizontal="center"/>
    </xf>
    <xf numFmtId="0" fontId="3" fillId="4" borderId="9" xfId="0" applyFont="1" applyFill="1" applyBorder="1" applyAlignment="1">
      <alignment horizontal="center"/>
    </xf>
    <xf numFmtId="0" fontId="3" fillId="4" borderId="3" xfId="0" applyFont="1" applyFill="1" applyBorder="1" applyAlignment="1">
      <alignment horizontal="right" indent="1"/>
    </xf>
    <xf numFmtId="0" fontId="3" fillId="4" borderId="8" xfId="0" applyFont="1" applyFill="1" applyBorder="1" applyAlignment="1">
      <alignment horizontal="center"/>
    </xf>
    <xf numFmtId="14" fontId="0" fillId="2" borderId="0" xfId="0" applyNumberFormat="1" applyFill="1"/>
    <xf numFmtId="172" fontId="0" fillId="2" borderId="0" xfId="0" applyNumberFormat="1" applyFill="1"/>
    <xf numFmtId="172" fontId="0" fillId="0" borderId="0" xfId="0" applyNumberFormat="1"/>
    <xf numFmtId="0" fontId="0" fillId="0" borderId="0" xfId="0" quotePrefix="1"/>
    <xf numFmtId="173" fontId="0" fillId="0" borderId="0" xfId="0" applyNumberFormat="1"/>
    <xf numFmtId="0" fontId="0" fillId="6" borderId="1" xfId="0" applyFill="1" applyBorder="1" applyAlignment="1" applyProtection="1">
      <alignment horizontal="center" vertical="center"/>
      <protection locked="0"/>
    </xf>
    <xf numFmtId="0" fontId="3" fillId="4" borderId="2" xfId="0" applyFont="1" applyFill="1" applyBorder="1" applyAlignment="1">
      <alignment horizontal="center"/>
    </xf>
    <xf numFmtId="0" fontId="3" fillId="4" borderId="0" xfId="0" applyFont="1" applyFill="1" applyAlignment="1">
      <alignment horizontal="center" wrapText="1"/>
    </xf>
    <xf numFmtId="0" fontId="3" fillId="4" borderId="2" xfId="0" applyFont="1" applyFill="1" applyBorder="1" applyAlignment="1">
      <alignment horizontal="right" vertical="center"/>
    </xf>
    <xf numFmtId="0" fontId="3" fillId="4" borderId="8" xfId="0" applyFont="1" applyFill="1" applyBorder="1" applyAlignment="1">
      <alignment horizontal="center" vertical="center" wrapText="1"/>
    </xf>
    <xf numFmtId="166" fontId="2" fillId="0" borderId="1" xfId="1" applyFont="1" applyFill="1" applyBorder="1" applyProtection="1">
      <protection locked="0"/>
    </xf>
    <xf numFmtId="0" fontId="3" fillId="4" borderId="0" xfId="0" applyFont="1" applyFill="1" applyAlignment="1">
      <alignment horizontal="center" vertical="center"/>
    </xf>
    <xf numFmtId="0" fontId="3" fillId="4" borderId="0" xfId="0" applyFont="1" applyFill="1" applyAlignment="1">
      <alignment vertical="center"/>
    </xf>
    <xf numFmtId="0" fontId="0" fillId="2" borderId="0" xfId="0" applyFill="1" applyAlignment="1">
      <alignment horizontal="left" vertical="center" wrapText="1"/>
    </xf>
    <xf numFmtId="0" fontId="0" fillId="2" borderId="1" xfId="0" applyFill="1" applyBorder="1" applyAlignment="1">
      <alignment horizontal="center" vertical="center"/>
    </xf>
    <xf numFmtId="0" fontId="0" fillId="2" borderId="1" xfId="0" applyFill="1" applyBorder="1" applyAlignment="1">
      <alignment vertical="center"/>
    </xf>
    <xf numFmtId="0" fontId="13" fillId="2" borderId="1" xfId="0" applyFont="1" applyFill="1" applyBorder="1" applyAlignment="1">
      <alignment vertical="center"/>
    </xf>
    <xf numFmtId="0" fontId="0" fillId="10" borderId="1" xfId="0" applyFill="1" applyBorder="1" applyAlignment="1">
      <alignment horizontal="center" vertical="top"/>
    </xf>
    <xf numFmtId="171" fontId="3" fillId="4" borderId="6" xfId="0" applyNumberFormat="1" applyFont="1" applyFill="1" applyBorder="1" applyAlignment="1">
      <alignment horizontal="center" wrapText="1"/>
    </xf>
    <xf numFmtId="0" fontId="0" fillId="5" borderId="6" xfId="0" applyFill="1" applyBorder="1" applyAlignment="1">
      <alignment horizontal="center" vertical="top"/>
    </xf>
    <xf numFmtId="0" fontId="3" fillId="4" borderId="2" xfId="0" applyFont="1" applyFill="1" applyBorder="1" applyAlignment="1">
      <alignment horizontal="center" vertical="top"/>
    </xf>
    <xf numFmtId="0" fontId="0" fillId="5" borderId="5" xfId="0" applyFill="1" applyBorder="1"/>
    <xf numFmtId="49" fontId="9" fillId="2" borderId="0" xfId="0" applyNumberFormat="1" applyFont="1" applyFill="1" applyAlignment="1">
      <alignment horizontal="left" vertical="top" wrapText="1"/>
    </xf>
    <xf numFmtId="0" fontId="0" fillId="5" borderId="2" xfId="0" applyFill="1" applyBorder="1" applyAlignment="1">
      <alignment horizontal="center" vertical="top"/>
    </xf>
    <xf numFmtId="49" fontId="0" fillId="6" borderId="1" xfId="0" applyNumberFormat="1" applyFill="1" applyBorder="1" applyAlignment="1" applyProtection="1">
      <alignment horizontal="left" vertical="top" wrapText="1"/>
      <protection locked="0"/>
    </xf>
    <xf numFmtId="0" fontId="4" fillId="2" borderId="0" xfId="0" applyFont="1" applyFill="1" applyAlignment="1">
      <alignment horizontal="left" vertical="center"/>
    </xf>
    <xf numFmtId="0" fontId="3" fillId="4" borderId="7" xfId="0" applyFont="1" applyFill="1" applyBorder="1"/>
    <xf numFmtId="168" fontId="0" fillId="5" borderId="6" xfId="0" applyNumberFormat="1" applyFill="1" applyBorder="1" applyAlignment="1">
      <alignment horizontal="center" vertical="top"/>
    </xf>
    <xf numFmtId="168" fontId="0" fillId="5" borderId="2" xfId="0" applyNumberFormat="1" applyFill="1" applyBorder="1" applyAlignment="1">
      <alignment horizontal="center" vertical="top"/>
    </xf>
    <xf numFmtId="43" fontId="3" fillId="4" borderId="2" xfId="0" applyNumberFormat="1" applyFont="1" applyFill="1" applyBorder="1" applyAlignment="1">
      <alignment horizontal="center" vertical="top"/>
    </xf>
    <xf numFmtId="0" fontId="3" fillId="9" borderId="4" xfId="0" applyFont="1" applyFill="1" applyBorder="1" applyAlignment="1">
      <alignment horizontal="right" vertical="top"/>
    </xf>
    <xf numFmtId="0" fontId="3" fillId="9" borderId="3" xfId="0" applyFont="1" applyFill="1" applyBorder="1" applyAlignment="1">
      <alignment horizontal="right" vertical="top"/>
    </xf>
    <xf numFmtId="170" fontId="3" fillId="9" borderId="4" xfId="1" applyNumberFormat="1" applyFont="1" applyFill="1" applyBorder="1" applyAlignment="1">
      <alignment vertical="top"/>
    </xf>
    <xf numFmtId="170" fontId="3" fillId="9" borderId="3" xfId="1" applyNumberFormat="1" applyFont="1" applyFill="1" applyBorder="1" applyAlignment="1">
      <alignment vertical="top"/>
    </xf>
    <xf numFmtId="0" fontId="0" fillId="6" borderId="6" xfId="0" applyFill="1" applyBorder="1" applyAlignment="1" applyProtection="1">
      <alignment horizontal="center" vertical="top"/>
      <protection locked="0"/>
    </xf>
    <xf numFmtId="49" fontId="0" fillId="6" borderId="6" xfId="0" applyNumberFormat="1" applyFill="1" applyBorder="1" applyAlignment="1" applyProtection="1">
      <alignment horizontal="center" vertical="top"/>
      <protection locked="0"/>
    </xf>
    <xf numFmtId="168" fontId="0" fillId="6" borderId="6" xfId="0" applyNumberFormat="1" applyFill="1" applyBorder="1" applyAlignment="1" applyProtection="1">
      <alignment horizontal="center" vertical="top"/>
      <protection locked="0"/>
    </xf>
    <xf numFmtId="0" fontId="0" fillId="6" borderId="2" xfId="0" applyFill="1" applyBorder="1" applyAlignment="1" applyProtection="1">
      <alignment horizontal="center" vertical="top"/>
      <protection locked="0"/>
    </xf>
    <xf numFmtId="168" fontId="0" fillId="6" borderId="2" xfId="0" applyNumberFormat="1" applyFill="1" applyBorder="1" applyAlignment="1" applyProtection="1">
      <alignment horizontal="center" vertical="top"/>
      <protection locked="0"/>
    </xf>
    <xf numFmtId="167" fontId="0" fillId="6" borderId="6" xfId="1" applyNumberFormat="1" applyFont="1" applyFill="1" applyBorder="1" applyAlignment="1" applyProtection="1">
      <alignment horizontal="center" vertical="top"/>
      <protection locked="0"/>
    </xf>
    <xf numFmtId="17" fontId="0" fillId="6" borderId="6" xfId="0" applyNumberFormat="1" applyFill="1" applyBorder="1" applyAlignment="1" applyProtection="1">
      <alignment horizontal="center" vertical="top"/>
      <protection locked="0"/>
    </xf>
    <xf numFmtId="166" fontId="0" fillId="6" borderId="6" xfId="1" applyFont="1" applyFill="1" applyBorder="1" applyAlignment="1" applyProtection="1">
      <alignment horizontal="center" vertical="top"/>
      <protection locked="0"/>
    </xf>
    <xf numFmtId="170" fontId="0" fillId="6" borderId="2" xfId="1" applyNumberFormat="1" applyFont="1" applyFill="1" applyBorder="1" applyAlignment="1" applyProtection="1">
      <alignment horizontal="center" vertical="top"/>
      <protection locked="0"/>
    </xf>
    <xf numFmtId="168" fontId="0" fillId="2" borderId="6" xfId="0" applyNumberFormat="1" applyFill="1" applyBorder="1" applyAlignment="1" applyProtection="1">
      <alignment horizontal="center" vertical="top"/>
      <protection locked="0"/>
    </xf>
    <xf numFmtId="0" fontId="0" fillId="2" borderId="2" xfId="0" applyFill="1" applyBorder="1" applyAlignment="1" applyProtection="1">
      <alignment horizontal="center" vertical="top"/>
      <protection locked="0"/>
    </xf>
    <xf numFmtId="170" fontId="0" fillId="6" borderId="1" xfId="1" applyNumberFormat="1" applyFont="1" applyFill="1" applyBorder="1" applyAlignment="1" applyProtection="1">
      <alignment horizontal="left" vertical="top" wrapText="1"/>
      <protection locked="0"/>
    </xf>
    <xf numFmtId="170" fontId="0" fillId="6" borderId="5" xfId="1" applyNumberFormat="1" applyFont="1" applyFill="1" applyBorder="1" applyAlignment="1" applyProtection="1">
      <alignment horizontal="left" vertical="top" wrapText="1"/>
      <protection locked="0"/>
    </xf>
    <xf numFmtId="166" fontId="0" fillId="6" borderId="5" xfId="1" applyFont="1" applyFill="1" applyBorder="1" applyAlignment="1" applyProtection="1">
      <alignment horizontal="left" vertical="top" wrapText="1"/>
      <protection locked="0"/>
    </xf>
    <xf numFmtId="49" fontId="3" fillId="4" borderId="2" xfId="0" applyNumberFormat="1" applyFont="1" applyFill="1" applyBorder="1"/>
    <xf numFmtId="49" fontId="3" fillId="4" borderId="4" xfId="0" applyNumberFormat="1" applyFont="1" applyFill="1" applyBorder="1"/>
    <xf numFmtId="49" fontId="3" fillId="4" borderId="3" xfId="0" applyNumberFormat="1" applyFont="1" applyFill="1" applyBorder="1"/>
    <xf numFmtId="174" fontId="0" fillId="6" borderId="6" xfId="0" applyNumberFormat="1" applyFill="1" applyBorder="1" applyAlignment="1" applyProtection="1">
      <alignment horizontal="center" vertical="top"/>
      <protection locked="0"/>
    </xf>
    <xf numFmtId="174" fontId="0" fillId="6" borderId="2" xfId="0" applyNumberFormat="1" applyFill="1" applyBorder="1" applyAlignment="1" applyProtection="1">
      <alignment horizontal="center" vertical="top"/>
      <protection locked="0"/>
    </xf>
    <xf numFmtId="0" fontId="9" fillId="2" borderId="0" xfId="0" applyFont="1" applyFill="1" applyAlignment="1">
      <alignment vertical="top" wrapText="1"/>
    </xf>
    <xf numFmtId="0" fontId="3" fillId="4" borderId="8" xfId="0" applyFont="1" applyFill="1" applyBorder="1" applyAlignment="1">
      <alignment wrapText="1"/>
    </xf>
    <xf numFmtId="0" fontId="0" fillId="6" borderId="1" xfId="0" applyFill="1" applyBorder="1" applyAlignment="1" applyProtection="1">
      <alignment horizontal="center" vertical="top" wrapText="1"/>
      <protection locked="0"/>
    </xf>
    <xf numFmtId="44" fontId="3" fillId="4" borderId="1" xfId="0" applyNumberFormat="1" applyFont="1" applyFill="1" applyBorder="1" applyAlignment="1">
      <alignment horizontal="center"/>
    </xf>
    <xf numFmtId="168" fontId="0" fillId="5" borderId="1" xfId="0" applyNumberFormat="1" applyFill="1" applyBorder="1" applyAlignment="1">
      <alignment horizontal="center" vertical="top"/>
    </xf>
    <xf numFmtId="44" fontId="0" fillId="6" borderId="6" xfId="1" applyNumberFormat="1" applyFont="1" applyFill="1" applyBorder="1" applyAlignment="1" applyProtection="1">
      <alignment horizontal="center" vertical="top"/>
      <protection locked="0"/>
    </xf>
    <xf numFmtId="44" fontId="0" fillId="6" borderId="2" xfId="1" applyNumberFormat="1" applyFont="1" applyFill="1" applyBorder="1" applyAlignment="1" applyProtection="1">
      <alignment horizontal="center" vertical="top"/>
      <protection locked="0"/>
    </xf>
    <xf numFmtId="49" fontId="41" fillId="11" borderId="0" xfId="0" applyNumberFormat="1" applyFont="1" applyFill="1" applyAlignment="1">
      <alignment horizontal="left"/>
    </xf>
    <xf numFmtId="49" fontId="42" fillId="11" borderId="0" xfId="0" applyNumberFormat="1" applyFont="1" applyFill="1" applyAlignment="1">
      <alignment horizontal="left"/>
    </xf>
    <xf numFmtId="43" fontId="0" fillId="5" borderId="1" xfId="1" quotePrefix="1" applyNumberFormat="1" applyFont="1" applyFill="1" applyBorder="1" applyAlignment="1" applyProtection="1">
      <alignment horizontal="center"/>
    </xf>
    <xf numFmtId="43" fontId="0" fillId="6" borderId="1" xfId="1" applyNumberFormat="1" applyFont="1" applyFill="1" applyBorder="1" applyAlignment="1" applyProtection="1">
      <alignment horizontal="center"/>
      <protection locked="0"/>
    </xf>
    <xf numFmtId="43" fontId="0" fillId="6" borderId="1" xfId="1" quotePrefix="1" applyNumberFormat="1" applyFont="1" applyFill="1" applyBorder="1" applyAlignment="1" applyProtection="1">
      <alignment horizontal="center"/>
      <protection locked="0"/>
    </xf>
    <xf numFmtId="43" fontId="0" fillId="5" borderId="3" xfId="1" quotePrefix="1" applyNumberFormat="1" applyFont="1" applyFill="1" applyBorder="1" applyAlignment="1" applyProtection="1">
      <alignment horizontal="center"/>
    </xf>
    <xf numFmtId="43" fontId="0" fillId="5" borderId="1" xfId="1" quotePrefix="1" applyNumberFormat="1" applyFont="1" applyFill="1" applyBorder="1" applyProtection="1"/>
    <xf numFmtId="43" fontId="3" fillId="4" borderId="4" xfId="1" applyNumberFormat="1" applyFont="1" applyFill="1" applyBorder="1" applyAlignment="1" applyProtection="1"/>
    <xf numFmtId="43" fontId="0" fillId="5" borderId="1" xfId="1" applyNumberFormat="1" applyFont="1" applyFill="1" applyBorder="1" applyProtection="1"/>
    <xf numFmtId="44" fontId="0" fillId="6" borderId="1" xfId="8" applyNumberFormat="1" applyFont="1" applyFill="1" applyBorder="1" applyAlignment="1" applyProtection="1">
      <alignment horizontal="center" vertical="top"/>
      <protection locked="0"/>
    </xf>
    <xf numFmtId="44" fontId="0" fillId="6" borderId="1" xfId="1" applyNumberFormat="1" applyFont="1" applyFill="1" applyBorder="1" applyAlignment="1" applyProtection="1">
      <alignment horizontal="center" vertical="top"/>
      <protection locked="0"/>
    </xf>
    <xf numFmtId="43" fontId="0" fillId="6" borderId="1" xfId="8" applyNumberFormat="1" applyFont="1" applyFill="1" applyBorder="1" applyAlignment="1" applyProtection="1">
      <alignment horizontal="center" vertical="top"/>
      <protection locked="0"/>
    </xf>
    <xf numFmtId="43" fontId="0" fillId="6" borderId="1" xfId="1" applyNumberFormat="1" applyFont="1" applyFill="1" applyBorder="1" applyAlignment="1" applyProtection="1">
      <alignment horizontal="center" vertical="top"/>
      <protection locked="0"/>
    </xf>
    <xf numFmtId="43" fontId="0" fillId="6" borderId="1" xfId="1" quotePrefix="1" applyNumberFormat="1" applyFont="1" applyFill="1" applyBorder="1" applyAlignment="1" applyProtection="1">
      <alignment horizontal="center" vertical="top"/>
      <protection locked="0"/>
    </xf>
    <xf numFmtId="43" fontId="0" fillId="6" borderId="1" xfId="1" applyNumberFormat="1" applyFont="1" applyFill="1" applyBorder="1" applyAlignment="1" applyProtection="1">
      <alignment vertical="top"/>
      <protection locked="0"/>
    </xf>
    <xf numFmtId="44" fontId="13" fillId="6" borderId="1" xfId="8" applyNumberFormat="1" applyFont="1" applyFill="1" applyBorder="1" applyAlignment="1" applyProtection="1">
      <alignment horizontal="center" vertical="top"/>
      <protection locked="0"/>
    </xf>
    <xf numFmtId="44" fontId="13" fillId="6" borderId="1" xfId="1" applyNumberFormat="1" applyFont="1" applyFill="1" applyBorder="1" applyAlignment="1" applyProtection="1">
      <alignment horizontal="center" vertical="top"/>
      <protection locked="0"/>
    </xf>
    <xf numFmtId="44" fontId="13" fillId="6" borderId="1" xfId="0" applyNumberFormat="1" applyFont="1" applyFill="1" applyBorder="1" applyAlignment="1" applyProtection="1">
      <alignment vertical="top"/>
      <protection locked="0"/>
    </xf>
    <xf numFmtId="0" fontId="4" fillId="2" borderId="0" xfId="0" applyFont="1" applyFill="1" applyAlignment="1">
      <alignment horizontal="right"/>
    </xf>
    <xf numFmtId="0" fontId="14" fillId="12" borderId="1" xfId="0" applyFont="1" applyFill="1" applyBorder="1" applyAlignment="1">
      <alignment horizontal="center" vertical="center" wrapText="1"/>
    </xf>
    <xf numFmtId="0" fontId="43" fillId="2" borderId="0" xfId="0" applyFont="1" applyFill="1"/>
    <xf numFmtId="0" fontId="10" fillId="2" borderId="0" xfId="0" applyFont="1" applyFill="1" applyAlignment="1">
      <alignment horizontal="right"/>
    </xf>
    <xf numFmtId="0" fontId="10" fillId="12" borderId="1" xfId="0" applyFont="1" applyFill="1" applyBorder="1" applyAlignment="1">
      <alignment horizontal="center" vertical="center"/>
    </xf>
    <xf numFmtId="49" fontId="0" fillId="11" borderId="1" xfId="0" applyNumberFormat="1" applyFill="1" applyBorder="1" applyAlignment="1" applyProtection="1">
      <alignment horizontal="center" vertical="top"/>
      <protection locked="0"/>
    </xf>
    <xf numFmtId="0" fontId="3" fillId="4" borderId="32" xfId="0" applyFont="1" applyFill="1" applyBorder="1" applyAlignment="1">
      <alignment horizontal="center"/>
    </xf>
    <xf numFmtId="0" fontId="3" fillId="4" borderId="19" xfId="0" applyFont="1" applyFill="1" applyBorder="1" applyAlignment="1">
      <alignment horizontal="center" wrapText="1"/>
    </xf>
    <xf numFmtId="0" fontId="0" fillId="2" borderId="18" xfId="0" applyFill="1" applyBorder="1" applyAlignment="1" applyProtection="1">
      <alignment horizontal="center" vertical="top"/>
      <protection locked="0"/>
    </xf>
    <xf numFmtId="49" fontId="0" fillId="2" borderId="19" xfId="0" applyNumberFormat="1" applyFill="1" applyBorder="1" applyAlignment="1" applyProtection="1">
      <alignment horizontal="center" vertical="top"/>
      <protection locked="0"/>
    </xf>
    <xf numFmtId="49" fontId="0" fillId="2" borderId="18" xfId="0" applyNumberFormat="1" applyFill="1" applyBorder="1" applyAlignment="1" applyProtection="1">
      <alignment horizontal="center" vertical="top"/>
      <protection locked="0"/>
    </xf>
    <xf numFmtId="168" fontId="0" fillId="2" borderId="19" xfId="0" applyNumberFormat="1" applyFill="1" applyBorder="1" applyAlignment="1" applyProtection="1">
      <alignment horizontal="center" vertical="top"/>
      <protection locked="0"/>
    </xf>
    <xf numFmtId="170" fontId="0" fillId="2" borderId="18" xfId="1" applyNumberFormat="1" applyFont="1" applyFill="1" applyBorder="1" applyAlignment="1" applyProtection="1">
      <alignment horizontal="left" vertical="top" wrapText="1"/>
      <protection locked="0"/>
    </xf>
    <xf numFmtId="170" fontId="0" fillId="2" borderId="19" xfId="1" applyNumberFormat="1" applyFont="1" applyFill="1" applyBorder="1" applyAlignment="1" applyProtection="1">
      <alignment horizontal="left" vertical="top" wrapText="1"/>
      <protection locked="0"/>
    </xf>
    <xf numFmtId="0" fontId="0" fillId="2" borderId="18" xfId="1" applyNumberFormat="1" applyFont="1" applyFill="1" applyBorder="1" applyAlignment="1" applyProtection="1">
      <alignment horizontal="center" vertical="top"/>
      <protection locked="0"/>
    </xf>
    <xf numFmtId="170" fontId="0" fillId="2" borderId="19" xfId="1" applyNumberFormat="1" applyFont="1" applyFill="1" applyBorder="1" applyAlignment="1" applyProtection="1">
      <alignment horizontal="center" vertical="top" wrapText="1"/>
      <protection locked="0"/>
    </xf>
    <xf numFmtId="49" fontId="0" fillId="2" borderId="18" xfId="0" quotePrefix="1" applyNumberFormat="1" applyFill="1" applyBorder="1" applyAlignment="1" applyProtection="1">
      <alignment horizontal="center"/>
      <protection locked="0"/>
    </xf>
    <xf numFmtId="0" fontId="3" fillId="4" borderId="36" xfId="0" applyFont="1" applyFill="1" applyBorder="1"/>
    <xf numFmtId="0" fontId="3" fillId="4" borderId="37" xfId="0" applyFont="1" applyFill="1" applyBorder="1"/>
    <xf numFmtId="0" fontId="3" fillId="4" borderId="27" xfId="0" applyFont="1" applyFill="1" applyBorder="1" applyAlignment="1">
      <alignment horizontal="right" indent="1"/>
    </xf>
    <xf numFmtId="166" fontId="3" fillId="4" borderId="21" xfId="1" applyFont="1" applyFill="1" applyBorder="1" applyAlignment="1">
      <alignment horizontal="right" indent="1"/>
    </xf>
    <xf numFmtId="166" fontId="3" fillId="4" borderId="36" xfId="1" applyFont="1" applyFill="1" applyBorder="1" applyAlignment="1">
      <alignment horizontal="right" indent="1"/>
    </xf>
    <xf numFmtId="0" fontId="3" fillId="4" borderId="27" xfId="0" applyFont="1" applyFill="1" applyBorder="1"/>
    <xf numFmtId="166" fontId="3" fillId="4" borderId="38" xfId="1" applyFont="1" applyFill="1" applyBorder="1" applyAlignment="1">
      <alignment horizontal="right" indent="1"/>
    </xf>
    <xf numFmtId="166" fontId="3" fillId="4" borderId="25" xfId="1" applyFont="1" applyFill="1" applyBorder="1" applyAlignment="1">
      <alignment horizontal="right" indent="1"/>
    </xf>
    <xf numFmtId="0" fontId="0" fillId="0" borderId="1" xfId="1" applyNumberFormat="1" applyFont="1" applyFill="1" applyBorder="1" applyAlignment="1" applyProtection="1">
      <alignment horizontal="center"/>
      <protection locked="0"/>
    </xf>
    <xf numFmtId="0" fontId="2" fillId="0" borderId="1" xfId="1" applyNumberFormat="1" applyFont="1" applyFill="1" applyBorder="1" applyAlignment="1" applyProtection="1">
      <alignment horizontal="center"/>
      <protection locked="0"/>
    </xf>
    <xf numFmtId="0" fontId="40" fillId="4" borderId="1" xfId="1" applyNumberFormat="1" applyFont="1" applyFill="1" applyBorder="1" applyAlignment="1" applyProtection="1">
      <alignment horizontal="center"/>
      <protection locked="0"/>
    </xf>
    <xf numFmtId="166" fontId="40" fillId="4" borderId="1" xfId="1" applyFont="1" applyFill="1" applyBorder="1" applyAlignment="1" applyProtection="1">
      <alignment horizontal="center" vertical="top"/>
      <protection locked="0"/>
    </xf>
    <xf numFmtId="0" fontId="3" fillId="4" borderId="29" xfId="0" applyFont="1" applyFill="1" applyBorder="1" applyAlignment="1">
      <alignment horizontal="center"/>
    </xf>
    <xf numFmtId="0" fontId="3" fillId="4" borderId="28" xfId="0" applyFont="1" applyFill="1" applyBorder="1" applyAlignment="1">
      <alignment horizontal="center"/>
    </xf>
    <xf numFmtId="0" fontId="3" fillId="4" borderId="33" xfId="0" applyFont="1" applyFill="1" applyBorder="1" applyAlignment="1">
      <alignment horizontal="center"/>
    </xf>
    <xf numFmtId="0" fontId="0" fillId="2" borderId="19" xfId="0" applyFill="1" applyBorder="1" applyAlignment="1" applyProtection="1">
      <alignment horizontal="center" vertical="top"/>
      <protection locked="0"/>
    </xf>
    <xf numFmtId="166" fontId="3" fillId="4" borderId="21" xfId="1" applyFont="1" applyFill="1" applyBorder="1" applyAlignment="1" applyProtection="1">
      <alignment horizontal="right" indent="1"/>
    </xf>
    <xf numFmtId="166" fontId="3" fillId="4" borderId="20" xfId="1" applyFont="1" applyFill="1" applyBorder="1" applyAlignment="1" applyProtection="1">
      <alignment horizontal="right" indent="1"/>
    </xf>
    <xf numFmtId="166" fontId="3" fillId="4" borderId="38" xfId="1" applyFont="1" applyFill="1" applyBorder="1" applyAlignment="1" applyProtection="1">
      <alignment horizontal="right" indent="1"/>
    </xf>
    <xf numFmtId="166" fontId="3" fillId="4" borderId="26" xfId="1" applyFont="1" applyFill="1" applyBorder="1" applyAlignment="1" applyProtection="1">
      <alignment horizontal="right" indent="1"/>
    </xf>
    <xf numFmtId="166" fontId="3" fillId="4" borderId="37" xfId="1" applyFont="1" applyFill="1" applyBorder="1" applyAlignment="1" applyProtection="1">
      <alignment horizontal="right" indent="1"/>
    </xf>
    <xf numFmtId="0" fontId="0" fillId="5" borderId="1" xfId="0" applyFill="1" applyBorder="1" applyAlignment="1">
      <alignment horizontal="left" wrapText="1"/>
    </xf>
    <xf numFmtId="0" fontId="4" fillId="0" borderId="0" xfId="0" applyFont="1"/>
    <xf numFmtId="0" fontId="0" fillId="2" borderId="1" xfId="1" applyNumberFormat="1" applyFont="1" applyFill="1" applyBorder="1" applyAlignment="1" applyProtection="1">
      <alignment horizontal="center" vertical="top"/>
      <protection locked="0"/>
    </xf>
    <xf numFmtId="43" fontId="0" fillId="6" borderId="1" xfId="1" applyNumberFormat="1" applyFont="1" applyFill="1" applyBorder="1" applyAlignment="1" applyProtection="1">
      <alignment horizontal="left" vertical="top" wrapText="1"/>
      <protection locked="0"/>
    </xf>
    <xf numFmtId="0" fontId="44" fillId="2" borderId="0" xfId="0" applyFont="1" applyFill="1" applyAlignment="1">
      <alignment horizontal="right"/>
    </xf>
    <xf numFmtId="9" fontId="44" fillId="5" borderId="1" xfId="2" applyFont="1" applyFill="1" applyBorder="1" applyProtection="1"/>
    <xf numFmtId="43" fontId="3" fillId="4" borderId="4" xfId="1" applyNumberFormat="1" applyFont="1" applyFill="1" applyBorder="1" applyAlignment="1" applyProtection="1">
      <alignment horizontal="right"/>
    </xf>
    <xf numFmtId="0" fontId="24" fillId="0" borderId="0" xfId="0" applyFont="1" applyAlignment="1">
      <alignment horizontal="right" indent="1"/>
    </xf>
    <xf numFmtId="169" fontId="20" fillId="0" borderId="0" xfId="2" applyNumberFormat="1" applyFont="1" applyFill="1" applyAlignment="1" applyProtection="1">
      <alignment horizontal="right"/>
    </xf>
    <xf numFmtId="0" fontId="20" fillId="0" borderId="0" xfId="0" applyFont="1"/>
    <xf numFmtId="49" fontId="9" fillId="2" borderId="0" xfId="0" applyNumberFormat="1" applyFont="1" applyFill="1" applyAlignment="1" applyProtection="1">
      <alignment horizontal="left" vertical="top" wrapText="1"/>
      <protection locked="0"/>
    </xf>
    <xf numFmtId="0" fontId="24" fillId="2" borderId="1" xfId="0" applyFont="1" applyFill="1" applyBorder="1" applyAlignment="1">
      <alignment horizontal="center"/>
    </xf>
    <xf numFmtId="0" fontId="45" fillId="13" borderId="1" xfId="0" applyFont="1" applyFill="1" applyBorder="1" applyAlignment="1">
      <alignment horizontal="center" vertical="top" wrapText="1"/>
    </xf>
    <xf numFmtId="0" fontId="3" fillId="4" borderId="0" xfId="0" applyFont="1" applyFill="1" applyAlignment="1">
      <alignment wrapText="1"/>
    </xf>
    <xf numFmtId="0" fontId="19" fillId="2" borderId="14" xfId="0" applyFont="1" applyFill="1" applyBorder="1" applyAlignment="1">
      <alignment horizontal="center" vertical="top"/>
    </xf>
    <xf numFmtId="0" fontId="0" fillId="2" borderId="0" xfId="0" applyFill="1" applyAlignment="1">
      <alignment horizontal="center" vertical="center"/>
    </xf>
    <xf numFmtId="0" fontId="3" fillId="4" borderId="32" xfId="0" applyFont="1" applyFill="1" applyBorder="1" applyAlignment="1">
      <alignment horizontal="center" wrapText="1"/>
    </xf>
    <xf numFmtId="0" fontId="3" fillId="4" borderId="33" xfId="0" applyFont="1" applyFill="1" applyBorder="1" applyAlignment="1">
      <alignment horizontal="center" wrapText="1"/>
    </xf>
    <xf numFmtId="0" fontId="14" fillId="12" borderId="1" xfId="0" applyFont="1" applyFill="1" applyBorder="1" applyAlignment="1">
      <alignment horizontal="center" vertical="center"/>
    </xf>
    <xf numFmtId="166" fontId="0" fillId="2" borderId="0" xfId="1" applyFont="1" applyFill="1" applyAlignment="1">
      <alignment horizontal="center" vertical="center"/>
    </xf>
    <xf numFmtId="0" fontId="3" fillId="4" borderId="3" xfId="0" applyFont="1" applyFill="1" applyBorder="1" applyAlignment="1">
      <alignment horizontal="center" vertical="top"/>
    </xf>
    <xf numFmtId="0" fontId="3" fillId="4" borderId="4" xfId="0" applyFont="1" applyFill="1" applyBorder="1" applyAlignment="1">
      <alignment horizontal="center" vertical="top"/>
    </xf>
    <xf numFmtId="0" fontId="3" fillId="4" borderId="3" xfId="0" applyFont="1" applyFill="1" applyBorder="1" applyAlignment="1">
      <alignment horizontal="center" vertical="center"/>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3" fillId="4" borderId="41" xfId="0" applyFont="1" applyFill="1" applyBorder="1" applyAlignment="1">
      <alignment horizontal="center" vertical="center"/>
    </xf>
    <xf numFmtId="43" fontId="3" fillId="4" borderId="42" xfId="0" applyNumberFormat="1" applyFont="1" applyFill="1" applyBorder="1" applyAlignment="1">
      <alignment horizontal="center" vertical="top"/>
    </xf>
    <xf numFmtId="166" fontId="3" fillId="4" borderId="39" xfId="1" applyFont="1" applyFill="1" applyBorder="1" applyAlignment="1">
      <alignment horizontal="right" indent="1"/>
    </xf>
    <xf numFmtId="166" fontId="3" fillId="4" borderId="43" xfId="1" applyFont="1" applyFill="1" applyBorder="1" applyAlignment="1">
      <alignment horizontal="right" indent="1"/>
    </xf>
    <xf numFmtId="166" fontId="3" fillId="4" borderId="44" xfId="1" applyFont="1" applyFill="1" applyBorder="1" applyAlignment="1">
      <alignment horizontal="right" indent="1"/>
    </xf>
    <xf numFmtId="0" fontId="0" fillId="14" borderId="2" xfId="0" applyFill="1" applyBorder="1"/>
    <xf numFmtId="0" fontId="0" fillId="14" borderId="4" xfId="0" applyFill="1" applyBorder="1"/>
    <xf numFmtId="0" fontId="0" fillId="14" borderId="3" xfId="0" applyFill="1" applyBorder="1" applyAlignment="1">
      <alignment horizontal="right"/>
    </xf>
    <xf numFmtId="0" fontId="44" fillId="14" borderId="3" xfId="0" applyFont="1" applyFill="1" applyBorder="1" applyAlignment="1">
      <alignment horizontal="right"/>
    </xf>
    <xf numFmtId="0" fontId="0" fillId="2" borderId="0" xfId="0" quotePrefix="1" applyFill="1"/>
    <xf numFmtId="0" fontId="3" fillId="15" borderId="1" xfId="0" applyFont="1" applyFill="1" applyBorder="1" applyAlignment="1">
      <alignment horizontal="center" wrapText="1"/>
    </xf>
    <xf numFmtId="0" fontId="3" fillId="16" borderId="5" xfId="0" applyFont="1" applyFill="1" applyBorder="1" applyAlignment="1">
      <alignment horizontal="center" wrapText="1"/>
    </xf>
    <xf numFmtId="0" fontId="3" fillId="15" borderId="5" xfId="0" applyFont="1" applyFill="1" applyBorder="1" applyAlignment="1">
      <alignment horizontal="center" wrapText="1"/>
    </xf>
    <xf numFmtId="0" fontId="3" fillId="4" borderId="9" xfId="0" applyFont="1" applyFill="1" applyBorder="1" applyAlignment="1">
      <alignment horizontal="center" wrapText="1"/>
    </xf>
    <xf numFmtId="0" fontId="3" fillId="4" borderId="3" xfId="0" applyFont="1" applyFill="1" applyBorder="1" applyAlignment="1" applyProtection="1">
      <alignment horizontal="center" wrapText="1"/>
      <protection locked="0"/>
    </xf>
    <xf numFmtId="0" fontId="3" fillId="4" borderId="8" xfId="0" applyFont="1" applyFill="1" applyBorder="1" applyAlignment="1">
      <alignment horizontal="center" wrapText="1"/>
    </xf>
    <xf numFmtId="0" fontId="3" fillId="4" borderId="9" xfId="0" applyFont="1" applyFill="1" applyBorder="1" applyAlignment="1">
      <alignment wrapText="1"/>
    </xf>
    <xf numFmtId="0" fontId="0" fillId="2" borderId="2" xfId="0" applyFill="1" applyBorder="1" applyAlignment="1" applyProtection="1">
      <alignment vertical="top" wrapText="1"/>
      <protection locked="0"/>
    </xf>
    <xf numFmtId="0" fontId="40" fillId="2" borderId="0" xfId="0" applyFont="1" applyFill="1" applyAlignment="1">
      <alignment horizontal="center" vertical="top"/>
    </xf>
    <xf numFmtId="0" fontId="40" fillId="2" borderId="0" xfId="0" applyFont="1" applyFill="1"/>
    <xf numFmtId="0" fontId="0" fillId="2" borderId="15" xfId="0" applyFill="1" applyBorder="1" applyAlignment="1" applyProtection="1">
      <alignment vertical="top" wrapText="1"/>
      <protection locked="0"/>
    </xf>
    <xf numFmtId="0" fontId="3" fillId="4" borderId="3" xfId="0" applyFont="1" applyFill="1" applyBorder="1" applyAlignment="1">
      <alignment horizontal="right"/>
    </xf>
    <xf numFmtId="43" fontId="0" fillId="5" borderId="2" xfId="1" quotePrefix="1" applyNumberFormat="1" applyFont="1" applyFill="1" applyBorder="1" applyAlignment="1" applyProtection="1">
      <alignment horizontal="center" vertical="top"/>
    </xf>
    <xf numFmtId="0" fontId="3" fillId="4" borderId="13" xfId="0" applyFont="1" applyFill="1" applyBorder="1" applyAlignment="1">
      <alignment horizontal="left"/>
    </xf>
    <xf numFmtId="0" fontId="3" fillId="4" borderId="12" xfId="0" applyFont="1" applyFill="1" applyBorder="1" applyAlignment="1">
      <alignment horizontal="center" wrapText="1"/>
    </xf>
    <xf numFmtId="0" fontId="3" fillId="4" borderId="15" xfId="0" applyFont="1" applyFill="1" applyBorder="1" applyAlignment="1">
      <alignment horizontal="center" wrapText="1"/>
    </xf>
    <xf numFmtId="0" fontId="0" fillId="10" borderId="5" xfId="0" applyFill="1" applyBorder="1" applyAlignment="1">
      <alignment horizontal="center" vertical="top"/>
    </xf>
    <xf numFmtId="49" fontId="0" fillId="6" borderId="5" xfId="0" applyNumberFormat="1" applyFill="1" applyBorder="1" applyAlignment="1" applyProtection="1">
      <alignment horizontal="center" vertical="top"/>
      <protection locked="0"/>
    </xf>
    <xf numFmtId="0" fontId="0" fillId="5" borderId="5" xfId="1" quotePrefix="1" applyNumberFormat="1" applyFont="1" applyFill="1" applyBorder="1" applyAlignment="1" applyProtection="1">
      <alignment horizontal="center" vertical="top"/>
    </xf>
    <xf numFmtId="43" fontId="0" fillId="5" borderId="6" xfId="1" quotePrefix="1" applyNumberFormat="1" applyFont="1" applyFill="1" applyBorder="1" applyAlignment="1" applyProtection="1">
      <alignment horizontal="center" vertical="top"/>
    </xf>
    <xf numFmtId="49" fontId="0" fillId="6" borderId="3" xfId="0" quotePrefix="1" applyNumberFormat="1" applyFill="1" applyBorder="1" applyAlignment="1" applyProtection="1">
      <alignment horizontal="left" vertical="top"/>
      <protection locked="0"/>
    </xf>
    <xf numFmtId="168" fontId="0" fillId="2" borderId="2" xfId="0" applyNumberFormat="1" applyFill="1" applyBorder="1" applyAlignment="1" applyProtection="1">
      <alignment horizontal="center" vertical="top"/>
      <protection locked="0"/>
    </xf>
    <xf numFmtId="0" fontId="0" fillId="2" borderId="0" xfId="0" applyFill="1" applyAlignment="1" applyProtection="1">
      <alignment vertical="top"/>
      <protection locked="0"/>
    </xf>
    <xf numFmtId="49" fontId="3" fillId="2" borderId="0" xfId="0" applyNumberFormat="1" applyFont="1" applyFill="1"/>
    <xf numFmtId="49" fontId="3" fillId="4" borderId="4" xfId="0" applyNumberFormat="1" applyFont="1" applyFill="1" applyBorder="1" applyAlignment="1">
      <alignment horizontal="right"/>
    </xf>
    <xf numFmtId="0" fontId="0" fillId="6" borderId="14" xfId="0" applyFill="1" applyBorder="1" applyAlignment="1" applyProtection="1">
      <alignment horizontal="left" vertical="top"/>
      <protection locked="0"/>
    </xf>
    <xf numFmtId="49" fontId="0" fillId="6" borderId="4" xfId="0" applyNumberFormat="1" applyFill="1" applyBorder="1" applyAlignment="1" applyProtection="1">
      <alignment horizontal="center" vertical="top"/>
      <protection locked="0"/>
    </xf>
    <xf numFmtId="0" fontId="0" fillId="5" borderId="2" xfId="0" applyFill="1" applyBorder="1" applyAlignment="1">
      <alignment horizontal="center"/>
    </xf>
    <xf numFmtId="0" fontId="3" fillId="15" borderId="11" xfId="0" applyFont="1" applyFill="1" applyBorder="1" applyAlignment="1">
      <alignment horizontal="center" wrapText="1"/>
    </xf>
    <xf numFmtId="0" fontId="3" fillId="15" borderId="8" xfId="0" applyFont="1" applyFill="1" applyBorder="1" applyAlignment="1">
      <alignment horizontal="center" wrapText="1"/>
    </xf>
    <xf numFmtId="0" fontId="3" fillId="15" borderId="9" xfId="0" applyFont="1" applyFill="1" applyBorder="1" applyAlignment="1">
      <alignment horizontal="center" wrapText="1"/>
    </xf>
    <xf numFmtId="44" fontId="0" fillId="7" borderId="6" xfId="1" applyNumberFormat="1" applyFont="1" applyFill="1" applyBorder="1" applyAlignment="1">
      <alignment horizontal="center" vertical="top"/>
    </xf>
    <xf numFmtId="44" fontId="0" fillId="5" borderId="6" xfId="1" applyNumberFormat="1" applyFont="1" applyFill="1" applyBorder="1" applyAlignment="1">
      <alignment horizontal="center" vertical="top"/>
    </xf>
    <xf numFmtId="44" fontId="0" fillId="5" borderId="2" xfId="1" applyNumberFormat="1" applyFont="1" applyFill="1" applyBorder="1" applyAlignment="1">
      <alignment horizontal="center" vertical="top"/>
    </xf>
    <xf numFmtId="0" fontId="3" fillId="9" borderId="4" xfId="0" applyFont="1" applyFill="1" applyBorder="1" applyAlignment="1">
      <alignment vertical="top"/>
    </xf>
    <xf numFmtId="0" fontId="0" fillId="6" borderId="3" xfId="0" applyFill="1" applyBorder="1" applyAlignment="1" applyProtection="1">
      <alignment horizontal="left" vertical="top"/>
      <protection locked="0"/>
    </xf>
    <xf numFmtId="168" fontId="0" fillId="5" borderId="2" xfId="0" applyNumberFormat="1" applyFill="1" applyBorder="1" applyAlignment="1">
      <alignment horizontal="center" vertical="top" wrapText="1"/>
    </xf>
    <xf numFmtId="0" fontId="3" fillId="15" borderId="11" xfId="0" applyFont="1" applyFill="1" applyBorder="1" applyAlignment="1">
      <alignment horizontal="left"/>
    </xf>
    <xf numFmtId="0" fontId="0" fillId="6" borderId="7" xfId="0" applyFill="1" applyBorder="1" applyAlignment="1" applyProtection="1">
      <alignment horizontal="left" vertical="top"/>
      <protection locked="0"/>
    </xf>
    <xf numFmtId="166" fontId="0" fillId="5" borderId="5" xfId="1" applyFont="1" applyFill="1" applyBorder="1" applyAlignment="1" applyProtection="1">
      <alignment horizontal="center" vertical="top"/>
    </xf>
    <xf numFmtId="169" fontId="0" fillId="5" borderId="5" xfId="2" quotePrefix="1" applyNumberFormat="1" applyFont="1" applyFill="1" applyBorder="1" applyAlignment="1" applyProtection="1">
      <alignment horizontal="center"/>
    </xf>
    <xf numFmtId="168" fontId="0" fillId="5" borderId="6" xfId="0" applyNumberFormat="1" applyFill="1" applyBorder="1" applyAlignment="1">
      <alignment horizontal="center" vertical="top" wrapText="1"/>
    </xf>
    <xf numFmtId="0" fontId="3" fillId="4" borderId="3" xfId="0" applyFont="1" applyFill="1" applyBorder="1" applyAlignment="1">
      <alignment horizontal="center" wrapText="1"/>
    </xf>
    <xf numFmtId="0" fontId="3" fillId="15" borderId="8" xfId="0" applyFont="1" applyFill="1" applyBorder="1" applyAlignment="1">
      <alignment horizontal="center" vertical="center" wrapText="1"/>
    </xf>
    <xf numFmtId="0" fontId="0" fillId="0" borderId="0" xfId="0" applyAlignment="1">
      <alignment horizontal="left"/>
    </xf>
    <xf numFmtId="0" fontId="3" fillId="0" borderId="0" xfId="0" applyFont="1" applyAlignment="1">
      <alignment vertical="center" wrapText="1"/>
    </xf>
    <xf numFmtId="0" fontId="0" fillId="0" borderId="0" xfId="0" applyAlignment="1">
      <alignment horizontal="center"/>
    </xf>
    <xf numFmtId="168" fontId="0" fillId="0" borderId="0" xfId="0" applyNumberFormat="1" applyAlignment="1" applyProtection="1">
      <alignment vertical="top"/>
      <protection locked="0"/>
    </xf>
    <xf numFmtId="44" fontId="39" fillId="0" borderId="0" xfId="1" applyNumberFormat="1" applyFont="1" applyFill="1" applyBorder="1" applyAlignment="1" applyProtection="1"/>
    <xf numFmtId="0" fontId="3" fillId="15" borderId="10" xfId="0" applyFont="1" applyFill="1" applyBorder="1" applyAlignment="1">
      <alignment vertical="center" wrapText="1"/>
    </xf>
    <xf numFmtId="0" fontId="3" fillId="15" borderId="9" xfId="0" applyFont="1" applyFill="1" applyBorder="1" applyAlignment="1">
      <alignment vertical="center" wrapText="1"/>
    </xf>
    <xf numFmtId="44" fontId="39" fillId="5" borderId="14" xfId="1" applyNumberFormat="1" applyFont="1" applyFill="1" applyBorder="1" applyAlignment="1"/>
    <xf numFmtId="168" fontId="0" fillId="6" borderId="6" xfId="0" applyNumberFormat="1" applyFill="1" applyBorder="1" applyAlignment="1" applyProtection="1">
      <alignment vertical="top"/>
      <protection locked="0"/>
    </xf>
    <xf numFmtId="44" fontId="39" fillId="5" borderId="6" xfId="1" applyNumberFormat="1" applyFont="1" applyFill="1" applyBorder="1" applyAlignment="1" applyProtection="1"/>
    <xf numFmtId="0" fontId="0" fillId="6" borderId="3" xfId="0" quotePrefix="1" applyFill="1" applyBorder="1" applyAlignment="1" applyProtection="1">
      <alignment horizontal="left" vertical="top"/>
      <protection locked="0"/>
    </xf>
    <xf numFmtId="49" fontId="0" fillId="5" borderId="4" xfId="0" applyNumberFormat="1" applyFill="1" applyBorder="1" applyAlignment="1">
      <alignment horizontal="left"/>
    </xf>
    <xf numFmtId="49" fontId="0" fillId="2" borderId="3" xfId="0" applyNumberFormat="1" applyFill="1" applyBorder="1" applyAlignment="1" applyProtection="1">
      <alignment horizontal="left"/>
      <protection locked="0"/>
    </xf>
    <xf numFmtId="49" fontId="0" fillId="6" borderId="3" xfId="0" applyNumberFormat="1" applyFill="1" applyBorder="1" applyAlignment="1" applyProtection="1">
      <alignment horizontal="left"/>
      <protection locked="0"/>
    </xf>
    <xf numFmtId="49" fontId="0" fillId="6" borderId="3" xfId="0" quotePrefix="1" applyNumberFormat="1" applyFill="1" applyBorder="1" applyAlignment="1" applyProtection="1">
      <alignment horizontal="left"/>
      <protection locked="0"/>
    </xf>
    <xf numFmtId="0" fontId="0" fillId="5" borderId="2" xfId="0" quotePrefix="1" applyFill="1" applyBorder="1" applyAlignment="1">
      <alignment horizontal="left"/>
    </xf>
    <xf numFmtId="0" fontId="3" fillId="15" borderId="12" xfId="0" applyFont="1" applyFill="1" applyBorder="1" applyAlignment="1">
      <alignment horizontal="center"/>
    </xf>
    <xf numFmtId="0" fontId="3" fillId="4" borderId="12" xfId="0" applyFont="1" applyFill="1" applyBorder="1" applyAlignment="1">
      <alignment horizontal="left"/>
    </xf>
    <xf numFmtId="0" fontId="3" fillId="16" borderId="12" xfId="0" applyFont="1" applyFill="1" applyBorder="1" applyAlignment="1">
      <alignment horizontal="center" wrapText="1"/>
    </xf>
    <xf numFmtId="0" fontId="3" fillId="15" borderId="8" xfId="0" applyFont="1" applyFill="1" applyBorder="1" applyAlignment="1">
      <alignment horizontal="center"/>
    </xf>
    <xf numFmtId="0" fontId="3" fillId="4" borderId="9" xfId="0" applyFont="1" applyFill="1" applyBorder="1"/>
    <xf numFmtId="0" fontId="3" fillId="4" borderId="11" xfId="0" applyFont="1" applyFill="1" applyBorder="1"/>
    <xf numFmtId="0" fontId="3" fillId="4" borderId="11" xfId="0" applyFont="1" applyFill="1" applyBorder="1" applyAlignment="1">
      <alignment horizontal="center" wrapText="1"/>
    </xf>
    <xf numFmtId="49" fontId="0" fillId="6" borderId="7" xfId="0" quotePrefix="1" applyNumberFormat="1" applyFill="1" applyBorder="1" applyAlignment="1" applyProtection="1">
      <alignment horizontal="left"/>
      <protection locked="0"/>
    </xf>
    <xf numFmtId="0" fontId="0" fillId="6" borderId="5" xfId="0" quotePrefix="1" applyFill="1" applyBorder="1" applyAlignment="1" applyProtection="1">
      <alignment horizontal="center"/>
      <protection locked="0"/>
    </xf>
    <xf numFmtId="0" fontId="0" fillId="5" borderId="5" xfId="0" applyFill="1" applyBorder="1" applyAlignment="1">
      <alignment horizontal="left"/>
    </xf>
    <xf numFmtId="49" fontId="0" fillId="6" borderId="5" xfId="0" applyNumberFormat="1" applyFill="1" applyBorder="1" applyProtection="1">
      <protection locked="0"/>
    </xf>
    <xf numFmtId="43" fontId="0" fillId="6" borderId="5" xfId="1" applyNumberFormat="1" applyFont="1" applyFill="1" applyBorder="1" applyProtection="1">
      <protection locked="0"/>
    </xf>
    <xf numFmtId="43" fontId="0" fillId="5" borderId="5" xfId="1" quotePrefix="1" applyNumberFormat="1" applyFont="1" applyFill="1" applyBorder="1" applyAlignment="1" applyProtection="1">
      <alignment horizontal="center"/>
    </xf>
    <xf numFmtId="43" fontId="0" fillId="5" borderId="5" xfId="1" quotePrefix="1" applyNumberFormat="1" applyFont="1" applyFill="1" applyBorder="1" applyProtection="1"/>
    <xf numFmtId="9" fontId="0" fillId="5" borderId="5" xfId="2" applyFont="1" applyFill="1" applyBorder="1" applyAlignment="1" applyProtection="1">
      <alignment horizontal="center"/>
    </xf>
    <xf numFmtId="43" fontId="0" fillId="5" borderId="5" xfId="1" applyNumberFormat="1" applyFont="1" applyFill="1" applyBorder="1" applyProtection="1"/>
    <xf numFmtId="166" fontId="0" fillId="5" borderId="5" xfId="1" quotePrefix="1" applyFont="1" applyFill="1" applyBorder="1" applyAlignment="1" applyProtection="1">
      <alignment horizontal="left"/>
    </xf>
    <xf numFmtId="166" fontId="0" fillId="5" borderId="5" xfId="1" quotePrefix="1" applyFont="1" applyFill="1" applyBorder="1" applyAlignment="1" applyProtection="1">
      <alignment horizontal="center"/>
    </xf>
    <xf numFmtId="0" fontId="0" fillId="5" borderId="5" xfId="0" quotePrefix="1" applyFill="1" applyBorder="1" applyAlignment="1">
      <alignment horizontal="left"/>
    </xf>
    <xf numFmtId="0" fontId="0" fillId="5" borderId="6" xfId="0" quotePrefix="1" applyFill="1" applyBorder="1" applyAlignment="1">
      <alignment horizontal="left"/>
    </xf>
    <xf numFmtId="49" fontId="3" fillId="4" borderId="3" xfId="0" applyNumberFormat="1" applyFont="1" applyFill="1" applyBorder="1" applyAlignment="1">
      <alignment horizontal="right"/>
    </xf>
    <xf numFmtId="44" fontId="3" fillId="4" borderId="1" xfId="1" applyNumberFormat="1" applyFont="1" applyFill="1" applyBorder="1" applyAlignment="1" applyProtection="1"/>
    <xf numFmtId="49" fontId="0" fillId="6" borderId="2" xfId="1" applyNumberFormat="1" applyFont="1" applyFill="1" applyBorder="1" applyAlignment="1" applyProtection="1">
      <alignment horizontal="left" vertical="top" wrapText="1"/>
      <protection locked="0"/>
    </xf>
    <xf numFmtId="0" fontId="40" fillId="2" borderId="0" xfId="0" applyFont="1" applyFill="1" applyAlignment="1">
      <alignment horizontal="center"/>
    </xf>
    <xf numFmtId="0" fontId="3" fillId="0" borderId="0" xfId="0" applyFont="1"/>
    <xf numFmtId="0" fontId="3" fillId="0" borderId="0" xfId="0" applyFont="1" applyAlignment="1">
      <alignment wrapText="1"/>
    </xf>
    <xf numFmtId="0" fontId="3" fillId="0" borderId="0" xfId="0" applyFont="1" applyAlignment="1">
      <alignment horizontal="center"/>
    </xf>
    <xf numFmtId="0" fontId="3" fillId="4" borderId="2" xfId="0" applyFont="1" applyFill="1" applyBorder="1" applyAlignment="1">
      <alignment horizontal="right" wrapText="1"/>
    </xf>
    <xf numFmtId="0" fontId="3" fillId="4" borderId="3" xfId="0" applyFont="1" applyFill="1" applyBorder="1" applyAlignment="1">
      <alignment wrapText="1"/>
    </xf>
    <xf numFmtId="0" fontId="3" fillId="4" borderId="4" xfId="0" applyFont="1" applyFill="1" applyBorder="1" applyAlignment="1">
      <alignment horizontal="right"/>
    </xf>
    <xf numFmtId="44" fontId="3" fillId="4" borderId="1" xfId="1" applyNumberFormat="1" applyFont="1" applyFill="1" applyBorder="1" applyAlignment="1" applyProtection="1">
      <alignment horizontal="center"/>
    </xf>
    <xf numFmtId="170" fontId="0" fillId="5" borderId="2" xfId="1" applyNumberFormat="1" applyFont="1" applyFill="1" applyBorder="1" applyProtection="1"/>
    <xf numFmtId="0" fontId="46" fillId="2" borderId="0" xfId="0" applyFont="1" applyFill="1" applyAlignment="1">
      <alignment horizontal="center"/>
    </xf>
    <xf numFmtId="0" fontId="0" fillId="5" borderId="11" xfId="0" quotePrefix="1" applyFill="1" applyBorder="1" applyAlignment="1">
      <alignment horizontal="center" vertical="top"/>
    </xf>
    <xf numFmtId="10" fontId="3" fillId="4" borderId="1" xfId="0" applyNumberFormat="1" applyFont="1" applyFill="1" applyBorder="1" applyAlignment="1">
      <alignment horizontal="center"/>
    </xf>
    <xf numFmtId="0" fontId="3" fillId="4" borderId="3" xfId="0" applyFont="1" applyFill="1" applyBorder="1" applyAlignment="1">
      <alignment horizontal="left" wrapText="1"/>
    </xf>
    <xf numFmtId="0" fontId="3" fillId="4" borderId="4" xfId="0" applyFont="1" applyFill="1" applyBorder="1" applyAlignment="1">
      <alignment wrapText="1"/>
    </xf>
    <xf numFmtId="0" fontId="0" fillId="6" borderId="4" xfId="0" quotePrefix="1" applyFill="1" applyBorder="1" applyAlignment="1" applyProtection="1">
      <alignment horizontal="left" vertical="top"/>
      <protection locked="0"/>
    </xf>
    <xf numFmtId="0" fontId="3" fillId="4" borderId="4" xfId="0" applyFont="1" applyFill="1" applyBorder="1" applyAlignment="1">
      <alignment horizontal="left" wrapText="1"/>
    </xf>
    <xf numFmtId="44" fontId="0" fillId="5" borderId="8" xfId="1" applyNumberFormat="1" applyFont="1" applyFill="1" applyBorder="1" applyAlignment="1" applyProtection="1">
      <alignment horizontal="center" vertical="top"/>
    </xf>
    <xf numFmtId="44" fontId="0" fillId="5" borderId="1" xfId="1" applyNumberFormat="1" applyFont="1" applyFill="1" applyBorder="1" applyAlignment="1" applyProtection="1">
      <alignment horizontal="center" vertical="top"/>
    </xf>
    <xf numFmtId="44" fontId="3" fillId="9" borderId="8" xfId="0" applyNumberFormat="1" applyFont="1" applyFill="1" applyBorder="1" applyAlignment="1">
      <alignment vertical="top"/>
    </xf>
    <xf numFmtId="44" fontId="3" fillId="9" borderId="1" xfId="0" applyNumberFormat="1" applyFont="1" applyFill="1" applyBorder="1" applyAlignment="1">
      <alignment vertical="top"/>
    </xf>
    <xf numFmtId="167" fontId="4" fillId="5" borderId="1" xfId="1" applyNumberFormat="1" applyFont="1" applyFill="1" applyBorder="1" applyAlignment="1" applyProtection="1">
      <alignment horizontal="right" vertical="center"/>
    </xf>
    <xf numFmtId="0" fontId="24" fillId="2" borderId="14" xfId="0" applyFont="1" applyFill="1" applyBorder="1"/>
    <xf numFmtId="0" fontId="24" fillId="2" borderId="14" xfId="0" applyFont="1" applyFill="1" applyBorder="1" applyAlignment="1">
      <alignment horizontal="right"/>
    </xf>
    <xf numFmtId="0" fontId="3" fillId="4" borderId="2" xfId="0" applyFont="1" applyFill="1" applyBorder="1" applyAlignment="1">
      <alignment wrapText="1"/>
    </xf>
    <xf numFmtId="0" fontId="3" fillId="4" borderId="1" xfId="0" applyFont="1" applyFill="1" applyBorder="1" applyAlignment="1">
      <alignment horizontal="center" vertical="center" wrapText="1"/>
    </xf>
    <xf numFmtId="0" fontId="3" fillId="4" borderId="13" xfId="0" applyFont="1" applyFill="1" applyBorder="1" applyAlignment="1">
      <alignment horizontal="center"/>
    </xf>
    <xf numFmtId="0" fontId="3" fillId="4" borderId="15" xfId="0" applyFont="1" applyFill="1" applyBorder="1" applyAlignment="1">
      <alignment horizontal="center"/>
    </xf>
    <xf numFmtId="0" fontId="0" fillId="5" borderId="6" xfId="0" applyFill="1" applyBorder="1" applyAlignment="1">
      <alignment vertical="top" wrapText="1"/>
    </xf>
    <xf numFmtId="166" fontId="0" fillId="5" borderId="7" xfId="1" applyFont="1" applyFill="1" applyBorder="1" applyAlignment="1" applyProtection="1">
      <alignment vertical="top"/>
    </xf>
    <xf numFmtId="166" fontId="0" fillId="5" borderId="5" xfId="1" applyFont="1" applyFill="1" applyBorder="1" applyAlignment="1" applyProtection="1">
      <alignment vertical="top"/>
    </xf>
    <xf numFmtId="166" fontId="3" fillId="4" borderId="33" xfId="1" applyFont="1" applyFill="1" applyBorder="1" applyAlignment="1" applyProtection="1">
      <alignment horizontal="center" wrapText="1"/>
    </xf>
    <xf numFmtId="0" fontId="3" fillId="9" borderId="22" xfId="0" applyFont="1" applyFill="1" applyBorder="1"/>
    <xf numFmtId="0" fontId="3" fillId="9" borderId="23" xfId="0" applyFont="1" applyFill="1" applyBorder="1"/>
    <xf numFmtId="0" fontId="3" fillId="9" borderId="16" xfId="0" applyFont="1" applyFill="1" applyBorder="1" applyAlignment="1">
      <alignment wrapText="1"/>
    </xf>
    <xf numFmtId="0" fontId="3" fillId="9" borderId="17" xfId="0" applyFont="1" applyFill="1" applyBorder="1" applyAlignment="1">
      <alignment wrapText="1"/>
    </xf>
    <xf numFmtId="0" fontId="3" fillId="9" borderId="23" xfId="0" applyFont="1" applyFill="1" applyBorder="1" applyAlignment="1">
      <alignment horizontal="center" wrapText="1"/>
    </xf>
    <xf numFmtId="0" fontId="3" fillId="4" borderId="1" xfId="0" applyFont="1" applyFill="1" applyBorder="1" applyAlignment="1">
      <alignment vertical="center" wrapText="1"/>
    </xf>
    <xf numFmtId="0" fontId="3" fillId="4" borderId="5" xfId="0" applyFont="1" applyFill="1" applyBorder="1" applyAlignment="1">
      <alignment vertical="center" wrapText="1"/>
    </xf>
    <xf numFmtId="0" fontId="3" fillId="4" borderId="6" xfId="0" applyFont="1" applyFill="1" applyBorder="1" applyAlignment="1">
      <alignment vertical="center" wrapText="1"/>
    </xf>
    <xf numFmtId="0" fontId="3" fillId="4" borderId="14" xfId="0" applyFont="1" applyFill="1" applyBorder="1" applyAlignment="1">
      <alignment vertical="center" wrapText="1"/>
    </xf>
    <xf numFmtId="0" fontId="3" fillId="4" borderId="7" xfId="0" applyFont="1" applyFill="1" applyBorder="1" applyAlignment="1">
      <alignment vertical="center" wrapText="1"/>
    </xf>
    <xf numFmtId="0" fontId="3" fillId="4" borderId="6" xfId="0" applyFont="1" applyFill="1" applyBorder="1" applyAlignment="1">
      <alignment horizontal="center"/>
    </xf>
    <xf numFmtId="0" fontId="0" fillId="5" borderId="5" xfId="0" applyFill="1" applyBorder="1" applyAlignment="1">
      <alignment horizontal="center"/>
    </xf>
    <xf numFmtId="0" fontId="0" fillId="5" borderId="2" xfId="0" applyFill="1" applyBorder="1" applyAlignment="1">
      <alignment horizontal="left"/>
    </xf>
    <xf numFmtId="44" fontId="0" fillId="5" borderId="2" xfId="1" quotePrefix="1" applyNumberFormat="1" applyFont="1" applyFill="1" applyBorder="1" applyAlignment="1" applyProtection="1">
      <alignment horizontal="left" vertical="top"/>
    </xf>
    <xf numFmtId="44" fontId="0" fillId="5" borderId="1" xfId="1" applyNumberFormat="1" applyFont="1" applyFill="1" applyBorder="1" applyAlignment="1" applyProtection="1">
      <alignment horizontal="center"/>
    </xf>
    <xf numFmtId="44" fontId="0" fillId="5" borderId="1" xfId="1" applyNumberFormat="1" applyFont="1" applyFill="1" applyBorder="1" applyProtection="1"/>
    <xf numFmtId="44" fontId="0" fillId="2" borderId="1" xfId="1" applyNumberFormat="1" applyFont="1" applyFill="1" applyBorder="1" applyProtection="1">
      <protection locked="0"/>
    </xf>
    <xf numFmtId="44" fontId="4" fillId="5" borderId="5" xfId="1" applyNumberFormat="1" applyFont="1" applyFill="1" applyBorder="1"/>
    <xf numFmtId="44" fontId="44" fillId="5" borderId="1" xfId="1" applyNumberFormat="1" applyFont="1" applyFill="1" applyBorder="1" applyProtection="1"/>
    <xf numFmtId="44" fontId="0" fillId="2" borderId="0" xfId="0" applyNumberFormat="1" applyFill="1"/>
    <xf numFmtId="44" fontId="44" fillId="0" borderId="1" xfId="1" applyNumberFormat="1" applyFont="1" applyFill="1" applyBorder="1" applyProtection="1"/>
    <xf numFmtId="44" fontId="0" fillId="0" borderId="0" xfId="0" applyNumberFormat="1"/>
    <xf numFmtId="44" fontId="4" fillId="5" borderId="1" xfId="1" applyNumberFormat="1" applyFont="1" applyFill="1" applyBorder="1" applyAlignment="1" applyProtection="1">
      <alignment horizontal="center"/>
    </xf>
    <xf numFmtId="44" fontId="4" fillId="5" borderId="1" xfId="1" applyNumberFormat="1" applyFont="1" applyFill="1" applyBorder="1" applyProtection="1"/>
    <xf numFmtId="44" fontId="0" fillId="5" borderId="2" xfId="1" applyNumberFormat="1" applyFont="1" applyFill="1" applyBorder="1" applyProtection="1"/>
    <xf numFmtId="168" fontId="0" fillId="6" borderId="7" xfId="0" applyNumberFormat="1" applyFill="1" applyBorder="1" applyAlignment="1" applyProtection="1">
      <alignment horizontal="center" vertical="top"/>
      <protection locked="0"/>
    </xf>
    <xf numFmtId="168" fontId="0" fillId="5" borderId="12" xfId="0" applyNumberFormat="1" applyFill="1" applyBorder="1" applyAlignment="1">
      <alignment horizontal="center" vertical="top"/>
    </xf>
    <xf numFmtId="0" fontId="4" fillId="2" borderId="0" xfId="0" applyFont="1" applyFill="1" applyAlignment="1" applyProtection="1">
      <alignment horizontal="left"/>
      <protection locked="0"/>
    </xf>
    <xf numFmtId="0" fontId="48" fillId="2" borderId="0" xfId="9" applyFill="1" applyProtection="1"/>
    <xf numFmtId="9" fontId="4" fillId="5" borderId="1" xfId="2" applyFont="1" applyFill="1" applyBorder="1" applyAlignment="1" applyProtection="1">
      <alignment horizontal="center" vertical="center"/>
    </xf>
    <xf numFmtId="0" fontId="0" fillId="2" borderId="2" xfId="0" applyFill="1" applyBorder="1" applyAlignment="1" applyProtection="1">
      <alignment vertical="center"/>
      <protection locked="0"/>
    </xf>
    <xf numFmtId="0" fontId="0" fillId="2" borderId="3" xfId="0" applyFill="1" applyBorder="1" applyAlignment="1" applyProtection="1">
      <alignment vertical="center"/>
      <protection locked="0"/>
    </xf>
    <xf numFmtId="0" fontId="7" fillId="2" borderId="2" xfId="0" applyFont="1" applyFill="1" applyBorder="1" applyAlignment="1">
      <alignment horizontal="left"/>
    </xf>
    <xf numFmtId="0" fontId="15" fillId="2" borderId="4" xfId="0" applyFont="1" applyFill="1" applyBorder="1"/>
    <xf numFmtId="0" fontId="0" fillId="2" borderId="4" xfId="0" applyFill="1" applyBorder="1"/>
    <xf numFmtId="0" fontId="0" fillId="2" borderId="3" xfId="0" applyFill="1" applyBorder="1"/>
    <xf numFmtId="0" fontId="13" fillId="2" borderId="0" xfId="0" applyFont="1" applyFill="1"/>
    <xf numFmtId="0" fontId="49" fillId="0" borderId="0" xfId="0" applyFont="1"/>
    <xf numFmtId="0" fontId="0" fillId="0" borderId="0" xfId="0" applyAlignment="1">
      <alignment wrapText="1"/>
    </xf>
    <xf numFmtId="0" fontId="0" fillId="0" borderId="45" xfId="0" applyBorder="1"/>
    <xf numFmtId="9" fontId="0" fillId="0" borderId="0" xfId="0" applyNumberFormat="1"/>
    <xf numFmtId="0" fontId="3" fillId="18" borderId="0" xfId="0" applyFont="1" applyFill="1"/>
    <xf numFmtId="44" fontId="0" fillId="2" borderId="0" xfId="0" applyNumberFormat="1" applyFill="1" applyAlignment="1">
      <alignment horizontal="center"/>
    </xf>
    <xf numFmtId="44" fontId="4" fillId="2" borderId="0" xfId="1" applyNumberFormat="1" applyFont="1" applyFill="1" applyBorder="1" applyAlignment="1" applyProtection="1">
      <alignment horizontal="center"/>
    </xf>
    <xf numFmtId="44" fontId="4" fillId="2" borderId="0" xfId="0" applyNumberFormat="1" applyFont="1" applyFill="1"/>
    <xf numFmtId="44" fontId="21" fillId="2" borderId="0" xfId="0" applyNumberFormat="1" applyFont="1" applyFill="1" applyAlignment="1">
      <alignment horizontal="center"/>
    </xf>
    <xf numFmtId="44" fontId="9" fillId="2" borderId="0" xfId="0" applyNumberFormat="1" applyFont="1" applyFill="1" applyAlignment="1">
      <alignment horizontal="center"/>
    </xf>
    <xf numFmtId="44" fontId="9" fillId="2" borderId="0" xfId="0" applyNumberFormat="1" applyFont="1" applyFill="1" applyAlignment="1">
      <alignment horizontal="left"/>
    </xf>
    <xf numFmtId="44" fontId="9" fillId="2" borderId="0" xfId="0" applyNumberFormat="1" applyFont="1" applyFill="1"/>
    <xf numFmtId="44" fontId="0" fillId="2" borderId="0" xfId="0" applyNumberFormat="1" applyFill="1" applyAlignment="1">
      <alignment horizontal="left"/>
    </xf>
    <xf numFmtId="0" fontId="4" fillId="5" borderId="1" xfId="2" applyNumberFormat="1" applyFont="1" applyFill="1" applyBorder="1" applyAlignment="1" applyProtection="1">
      <alignment horizontal="center" vertical="center"/>
    </xf>
    <xf numFmtId="177" fontId="0" fillId="2" borderId="1" xfId="0" applyNumberFormat="1" applyFill="1" applyBorder="1" applyAlignment="1">
      <alignment horizontal="center"/>
    </xf>
    <xf numFmtId="0" fontId="10" fillId="12" borderId="1" xfId="0" applyFont="1" applyFill="1" applyBorder="1" applyAlignment="1">
      <alignment horizontal="center" vertical="center" wrapText="1"/>
    </xf>
    <xf numFmtId="0" fontId="0" fillId="5" borderId="1" xfId="0" applyFill="1" applyBorder="1" applyAlignment="1">
      <alignment horizontal="center" vertical="center"/>
    </xf>
    <xf numFmtId="49" fontId="0" fillId="5" borderId="1" xfId="0" applyNumberFormat="1" applyFill="1" applyBorder="1" applyAlignment="1">
      <alignment horizontal="center" vertical="center"/>
    </xf>
    <xf numFmtId="168" fontId="0" fillId="5" borderId="1" xfId="0" quotePrefix="1" applyNumberFormat="1" applyFill="1" applyBorder="1" applyAlignment="1">
      <alignment horizontal="center" vertical="center"/>
    </xf>
    <xf numFmtId="43" fontId="0" fillId="5" borderId="1" xfId="8" applyNumberFormat="1" applyFont="1" applyFill="1" applyBorder="1" applyAlignment="1" applyProtection="1">
      <alignment horizontal="center" vertical="center"/>
    </xf>
    <xf numFmtId="0" fontId="0" fillId="5" borderId="1" xfId="0" quotePrefix="1" applyFill="1" applyBorder="1" applyAlignment="1">
      <alignment horizontal="center" vertical="center"/>
    </xf>
    <xf numFmtId="0" fontId="0" fillId="6" borderId="14" xfId="0" quotePrefix="1" applyFill="1" applyBorder="1" applyAlignment="1" applyProtection="1">
      <alignment horizontal="center" vertical="top" wrapText="1"/>
      <protection locked="0"/>
    </xf>
    <xf numFmtId="0" fontId="50" fillId="2" borderId="0" xfId="0" applyFont="1" applyFill="1" applyAlignment="1">
      <alignment vertical="top"/>
    </xf>
    <xf numFmtId="178" fontId="3" fillId="4" borderId="1" xfId="1" applyNumberFormat="1" applyFont="1" applyFill="1" applyBorder="1" applyAlignment="1" applyProtection="1"/>
    <xf numFmtId="38" fontId="3" fillId="4" borderId="3" xfId="1" applyNumberFormat="1" applyFont="1" applyFill="1" applyBorder="1" applyAlignment="1" applyProtection="1">
      <alignment horizontal="center"/>
    </xf>
    <xf numFmtId="38" fontId="3" fillId="4" borderId="1" xfId="1" applyNumberFormat="1" applyFont="1" applyFill="1" applyBorder="1" applyAlignment="1" applyProtection="1">
      <alignment horizontal="center"/>
    </xf>
    <xf numFmtId="38" fontId="0" fillId="2" borderId="0" xfId="0" applyNumberFormat="1" applyFill="1" applyAlignment="1">
      <alignment horizontal="center"/>
    </xf>
    <xf numFmtId="38" fontId="0" fillId="5" borderId="1" xfId="1" applyNumberFormat="1" applyFont="1" applyFill="1" applyBorder="1" applyAlignment="1" applyProtection="1">
      <alignment horizontal="center" vertical="top"/>
    </xf>
    <xf numFmtId="38" fontId="4" fillId="5" borderId="1" xfId="1" applyNumberFormat="1" applyFont="1" applyFill="1" applyBorder="1" applyAlignment="1" applyProtection="1">
      <alignment horizontal="center"/>
    </xf>
    <xf numFmtId="38" fontId="4" fillId="5" borderId="1" xfId="0" applyNumberFormat="1" applyFont="1" applyFill="1" applyBorder="1"/>
    <xf numFmtId="38" fontId="0" fillId="2" borderId="0" xfId="0" applyNumberFormat="1" applyFill="1"/>
    <xf numFmtId="0" fontId="51" fillId="2" borderId="0" xfId="0" applyFont="1" applyFill="1" applyAlignment="1">
      <alignment horizontal="right" vertical="center"/>
    </xf>
    <xf numFmtId="0" fontId="52" fillId="2" borderId="0" xfId="0" applyFont="1" applyFill="1" applyAlignment="1">
      <alignment horizontal="left" vertical="center"/>
    </xf>
    <xf numFmtId="0" fontId="0" fillId="19" borderId="0" xfId="0" applyFill="1"/>
    <xf numFmtId="166" fontId="0" fillId="5" borderId="1" xfId="1" applyFont="1" applyFill="1" applyBorder="1" applyAlignment="1" applyProtection="1">
      <alignment horizontal="center" vertical="center" wrapText="1"/>
    </xf>
    <xf numFmtId="0" fontId="39" fillId="5" borderId="1" xfId="1" quotePrefix="1" applyNumberFormat="1" applyFont="1" applyFill="1" applyBorder="1" applyAlignment="1" applyProtection="1">
      <alignment horizontal="left" vertical="top" wrapText="1"/>
    </xf>
    <xf numFmtId="0" fontId="39" fillId="5" borderId="1" xfId="0" quotePrefix="1" applyFont="1" applyFill="1" applyBorder="1" applyAlignment="1">
      <alignment horizontal="left" vertical="top" wrapText="1"/>
    </xf>
    <xf numFmtId="0" fontId="0" fillId="6" borderId="1" xfId="0" quotePrefix="1" applyFill="1" applyBorder="1" applyAlignment="1" applyProtection="1">
      <alignment horizontal="left" vertical="top" wrapText="1"/>
      <protection locked="0"/>
    </xf>
    <xf numFmtId="0" fontId="0" fillId="6" borderId="1" xfId="1" applyNumberFormat="1" applyFont="1" applyFill="1" applyBorder="1" applyAlignment="1" applyProtection="1">
      <alignment horizontal="left" vertical="top" wrapText="1"/>
      <protection locked="0"/>
    </xf>
    <xf numFmtId="0" fontId="0" fillId="6" borderId="1" xfId="1" quotePrefix="1" applyNumberFormat="1" applyFont="1" applyFill="1" applyBorder="1" applyAlignment="1" applyProtection="1">
      <alignment horizontal="left" vertical="top" wrapText="1"/>
      <protection locked="0"/>
    </xf>
    <xf numFmtId="0" fontId="0" fillId="6" borderId="1" xfId="0" applyFill="1" applyBorder="1" applyAlignment="1" applyProtection="1">
      <alignment horizontal="left" vertical="top" wrapText="1"/>
      <protection locked="0"/>
    </xf>
    <xf numFmtId="0" fontId="53" fillId="2" borderId="0" xfId="0" applyFont="1" applyFill="1"/>
    <xf numFmtId="0" fontId="3" fillId="4" borderId="4" xfId="0" applyFont="1" applyFill="1" applyBorder="1" applyAlignment="1">
      <alignment horizontal="center"/>
    </xf>
    <xf numFmtId="166" fontId="0" fillId="6" borderId="3" xfId="1" applyFont="1" applyFill="1" applyBorder="1" applyAlignment="1" applyProtection="1">
      <alignment horizontal="center" vertical="top" wrapText="1"/>
      <protection locked="0"/>
    </xf>
    <xf numFmtId="10" fontId="3" fillId="4" borderId="1" xfId="1" applyNumberFormat="1" applyFont="1" applyFill="1" applyBorder="1" applyAlignment="1" applyProtection="1"/>
    <xf numFmtId="166" fontId="3" fillId="4" borderId="4" xfId="1" applyFont="1" applyFill="1" applyBorder="1" applyAlignment="1" applyProtection="1">
      <alignment horizontal="center"/>
    </xf>
    <xf numFmtId="0" fontId="0" fillId="0" borderId="46" xfId="0" applyBorder="1"/>
    <xf numFmtId="0" fontId="0" fillId="2" borderId="1" xfId="0" applyFill="1" applyBorder="1"/>
    <xf numFmtId="0" fontId="0" fillId="5" borderId="6" xfId="0" applyFill="1" applyBorder="1" applyAlignment="1">
      <alignment horizontal="center" vertical="center"/>
    </xf>
    <xf numFmtId="0" fontId="0" fillId="5" borderId="6" xfId="0" applyFill="1" applyBorder="1" applyAlignment="1">
      <alignment horizontal="center" vertical="center" wrapText="1"/>
    </xf>
    <xf numFmtId="166" fontId="2" fillId="5" borderId="1" xfId="1" quotePrefix="1" applyFont="1" applyFill="1" applyBorder="1" applyAlignment="1" applyProtection="1">
      <alignment horizontal="center"/>
    </xf>
    <xf numFmtId="166" fontId="2" fillId="5" borderId="5" xfId="1" quotePrefix="1" applyFont="1" applyFill="1" applyBorder="1" applyAlignment="1" applyProtection="1">
      <alignment horizontal="center"/>
    </xf>
    <xf numFmtId="49" fontId="0" fillId="20" borderId="3" xfId="0" quotePrefix="1" applyNumberFormat="1" applyFill="1" applyBorder="1" applyAlignment="1" applyProtection="1">
      <alignment horizontal="left"/>
      <protection locked="0"/>
    </xf>
    <xf numFmtId="0" fontId="0" fillId="20" borderId="1" xfId="0" quotePrefix="1" applyFill="1" applyBorder="1" applyAlignment="1" applyProtection="1">
      <alignment horizontal="center"/>
      <protection locked="0"/>
    </xf>
    <xf numFmtId="0" fontId="0" fillId="20" borderId="1" xfId="0" applyFill="1" applyBorder="1" applyAlignment="1">
      <alignment horizontal="left"/>
    </xf>
    <xf numFmtId="43" fontId="0" fillId="20" borderId="1" xfId="1" quotePrefix="1" applyNumberFormat="1" applyFont="1" applyFill="1" applyBorder="1" applyAlignment="1" applyProtection="1">
      <alignment horizontal="center"/>
      <protection locked="0"/>
    </xf>
    <xf numFmtId="43" fontId="0" fillId="20" borderId="1" xfId="1" applyNumberFormat="1" applyFont="1" applyFill="1" applyBorder="1" applyProtection="1">
      <protection locked="0"/>
    </xf>
    <xf numFmtId="49" fontId="0" fillId="21" borderId="1" xfId="0" quotePrefix="1" applyNumberFormat="1" applyFill="1" applyBorder="1" applyAlignment="1" applyProtection="1">
      <alignment horizontal="center"/>
      <protection locked="0"/>
    </xf>
    <xf numFmtId="0" fontId="0" fillId="2" borderId="3" xfId="0" applyFill="1" applyBorder="1" applyAlignment="1" applyProtection="1">
      <alignment horizontal="left" vertical="top"/>
      <protection locked="0"/>
    </xf>
    <xf numFmtId="0" fontId="0" fillId="22" borderId="14" xfId="0" applyFill="1" applyBorder="1" applyAlignment="1" applyProtection="1">
      <alignment horizontal="left" vertical="top"/>
      <protection locked="0"/>
    </xf>
    <xf numFmtId="0" fontId="0" fillId="22" borderId="6" xfId="0" applyFill="1" applyBorder="1" applyAlignment="1" applyProtection="1">
      <alignment horizontal="center" vertical="top"/>
      <protection locked="0"/>
    </xf>
    <xf numFmtId="168" fontId="0" fillId="22" borderId="6" xfId="0" applyNumberFormat="1" applyFill="1" applyBorder="1" applyAlignment="1" applyProtection="1">
      <alignment horizontal="center" vertical="top"/>
      <protection locked="0"/>
    </xf>
    <xf numFmtId="44" fontId="0" fillId="22" borderId="6" xfId="1" applyNumberFormat="1" applyFont="1" applyFill="1" applyBorder="1" applyAlignment="1" applyProtection="1">
      <alignment horizontal="center" vertical="top"/>
      <protection locked="0"/>
    </xf>
    <xf numFmtId="44" fontId="0" fillId="19" borderId="6" xfId="1" applyNumberFormat="1" applyFont="1" applyFill="1" applyBorder="1" applyAlignment="1" applyProtection="1">
      <alignment horizontal="center" vertical="top"/>
      <protection locked="0"/>
    </xf>
    <xf numFmtId="49" fontId="0" fillId="20" borderId="1" xfId="0" applyNumberFormat="1" applyFill="1" applyBorder="1" applyAlignment="1" applyProtection="1">
      <alignment horizontal="center"/>
      <protection locked="0"/>
    </xf>
    <xf numFmtId="0" fontId="0" fillId="5" borderId="12" xfId="0" applyFill="1" applyBorder="1" applyAlignment="1">
      <alignment horizontal="left"/>
    </xf>
    <xf numFmtId="0" fontId="3" fillId="4" borderId="5" xfId="0" applyFont="1" applyFill="1" applyBorder="1" applyAlignment="1">
      <alignment horizontal="center" vertical="center" wrapText="1"/>
    </xf>
    <xf numFmtId="0" fontId="0" fillId="0" borderId="1" xfId="0" applyBorder="1"/>
    <xf numFmtId="10" fontId="0" fillId="0" borderId="1" xfId="0" applyNumberFormat="1" applyBorder="1"/>
    <xf numFmtId="0" fontId="4" fillId="0" borderId="1" xfId="0" applyFont="1" applyBorder="1"/>
    <xf numFmtId="10" fontId="0" fillId="0" borderId="0" xfId="0" applyNumberFormat="1"/>
    <xf numFmtId="10" fontId="4" fillId="0" borderId="1" xfId="0" applyNumberFormat="1" applyFont="1" applyBorder="1"/>
    <xf numFmtId="0" fontId="0" fillId="5" borderId="4" xfId="0" applyFill="1" applyBorder="1" applyAlignment="1">
      <alignment horizontal="center" vertical="center"/>
    </xf>
    <xf numFmtId="39" fontId="0" fillId="5" borderId="1" xfId="0" applyNumberFormat="1" applyFill="1" applyBorder="1" applyAlignment="1">
      <alignment horizontal="center" vertical="center"/>
    </xf>
    <xf numFmtId="0" fontId="4" fillId="5" borderId="1" xfId="0" applyFont="1" applyFill="1" applyBorder="1" applyAlignment="1">
      <alignment horizontal="left" vertical="center"/>
    </xf>
    <xf numFmtId="171" fontId="3" fillId="4" borderId="5" xfId="0" applyNumberFormat="1" applyFont="1" applyFill="1" applyBorder="1" applyAlignment="1">
      <alignment horizontal="center" wrapText="1"/>
    </xf>
    <xf numFmtId="166" fontId="0" fillId="5" borderId="1" xfId="1" quotePrefix="1" applyFont="1" applyFill="1" applyBorder="1" applyAlignment="1" applyProtection="1">
      <alignment vertical="center"/>
    </xf>
    <xf numFmtId="166" fontId="0" fillId="5" borderId="1" xfId="1" quotePrefix="1" applyFont="1" applyFill="1" applyBorder="1" applyAlignment="1" applyProtection="1">
      <alignment horizontal="center" vertical="center"/>
    </xf>
    <xf numFmtId="166" fontId="0" fillId="5" borderId="1" xfId="1" quotePrefix="1" applyFont="1" applyFill="1" applyBorder="1" applyAlignment="1" applyProtection="1">
      <alignment horizontal="center" vertical="center"/>
      <protection locked="0"/>
    </xf>
    <xf numFmtId="0" fontId="0" fillId="5" borderId="2" xfId="0" quotePrefix="1" applyFill="1" applyBorder="1" applyAlignment="1">
      <alignment horizontal="left" vertical="center" wrapText="1"/>
    </xf>
    <xf numFmtId="0" fontId="54" fillId="0" borderId="1" xfId="0" applyFont="1" applyBorder="1" applyAlignment="1">
      <alignment vertical="top"/>
    </xf>
    <xf numFmtId="0" fontId="4" fillId="0" borderId="1" xfId="0" applyFont="1" applyBorder="1" applyAlignment="1">
      <alignment vertical="top"/>
    </xf>
    <xf numFmtId="15" fontId="0" fillId="0" borderId="0" xfId="0" applyNumberFormat="1"/>
    <xf numFmtId="171" fontId="3" fillId="4" borderId="0" xfId="0" applyNumberFormat="1" applyFont="1" applyFill="1" applyAlignment="1">
      <alignment horizontal="center" wrapText="1"/>
    </xf>
    <xf numFmtId="0" fontId="0" fillId="23" borderId="1" xfId="0" applyFill="1" applyBorder="1"/>
    <xf numFmtId="44" fontId="4" fillId="0" borderId="1" xfId="0" applyNumberFormat="1" applyFont="1" applyBorder="1" applyAlignment="1">
      <alignment horizontal="left"/>
    </xf>
    <xf numFmtId="44" fontId="0" fillId="0" borderId="1" xfId="0" applyNumberFormat="1" applyBorder="1" applyAlignment="1">
      <alignment horizontal="right"/>
    </xf>
    <xf numFmtId="44" fontId="0" fillId="5" borderId="1" xfId="0" applyNumberFormat="1" applyFill="1" applyBorder="1" applyAlignment="1">
      <alignment horizontal="right"/>
    </xf>
    <xf numFmtId="44" fontId="0" fillId="0" borderId="4" xfId="0" applyNumberFormat="1" applyBorder="1" applyAlignment="1">
      <alignment horizontal="left"/>
    </xf>
    <xf numFmtId="44" fontId="13" fillId="2" borderId="0" xfId="0" applyNumberFormat="1" applyFont="1" applyFill="1"/>
    <xf numFmtId="44" fontId="13" fillId="2" borderId="5" xfId="0" applyNumberFormat="1" applyFont="1" applyFill="1" applyBorder="1" applyAlignment="1">
      <alignment horizontal="right" wrapText="1"/>
    </xf>
    <xf numFmtId="44" fontId="13" fillId="2" borderId="5" xfId="0" applyNumberFormat="1" applyFont="1" applyFill="1" applyBorder="1" applyAlignment="1">
      <alignment horizontal="center" wrapText="1"/>
    </xf>
    <xf numFmtId="44" fontId="4" fillId="5" borderId="1" xfId="0" applyNumberFormat="1" applyFont="1" applyFill="1" applyBorder="1" applyAlignment="1">
      <alignment horizontal="left"/>
    </xf>
    <xf numFmtId="44" fontId="0" fillId="5" borderId="1" xfId="1" applyNumberFormat="1" applyFont="1" applyFill="1" applyBorder="1" applyAlignment="1" applyProtection="1">
      <alignment horizontal="right"/>
      <protection locked="0"/>
    </xf>
    <xf numFmtId="44" fontId="0" fillId="5" borderId="0" xfId="0" applyNumberFormat="1" applyFill="1" applyAlignment="1">
      <alignment horizontal="left"/>
    </xf>
    <xf numFmtId="44" fontId="0" fillId="2" borderId="1" xfId="1" applyNumberFormat="1" applyFont="1" applyFill="1" applyBorder="1" applyAlignment="1" applyProtection="1">
      <alignment horizontal="right"/>
      <protection locked="0"/>
    </xf>
    <xf numFmtId="44" fontId="0" fillId="0" borderId="0" xfId="0" applyNumberFormat="1" applyAlignment="1">
      <alignment horizontal="left"/>
    </xf>
    <xf numFmtId="44" fontId="0" fillId="5" borderId="4" xfId="0" applyNumberFormat="1" applyFill="1" applyBorder="1" applyAlignment="1">
      <alignment horizontal="left"/>
    </xf>
    <xf numFmtId="49" fontId="0" fillId="24" borderId="18" xfId="0" applyNumberFormat="1" applyFill="1" applyBorder="1" applyAlignment="1" applyProtection="1">
      <alignment horizontal="center" vertical="top"/>
      <protection locked="0"/>
    </xf>
    <xf numFmtId="168" fontId="0" fillId="24" borderId="1" xfId="0" applyNumberFormat="1" applyFill="1" applyBorder="1" applyAlignment="1" applyProtection="1">
      <alignment horizontal="center" vertical="top"/>
      <protection locked="0"/>
    </xf>
    <xf numFmtId="166" fontId="0" fillId="24" borderId="19" xfId="1" applyFont="1" applyFill="1" applyBorder="1" applyAlignment="1" applyProtection="1">
      <alignment horizontal="center" vertical="top"/>
      <protection locked="0"/>
    </xf>
    <xf numFmtId="49" fontId="0" fillId="25" borderId="18" xfId="0" applyNumberFormat="1" applyFill="1" applyBorder="1" applyAlignment="1" applyProtection="1">
      <alignment horizontal="center" vertical="top"/>
      <protection locked="0"/>
    </xf>
    <xf numFmtId="168" fontId="0" fillId="25" borderId="1" xfId="0" applyNumberFormat="1" applyFill="1" applyBorder="1" applyAlignment="1" applyProtection="1">
      <alignment horizontal="center" vertical="top"/>
      <protection locked="0"/>
    </xf>
    <xf numFmtId="166" fontId="0" fillId="25" borderId="19" xfId="1" applyFont="1" applyFill="1" applyBorder="1" applyAlignment="1" applyProtection="1">
      <alignment horizontal="center" vertical="top"/>
      <protection locked="0"/>
    </xf>
    <xf numFmtId="49" fontId="0" fillId="26" borderId="18" xfId="0" applyNumberFormat="1" applyFill="1" applyBorder="1" applyAlignment="1" applyProtection="1">
      <alignment horizontal="center" vertical="top"/>
      <protection locked="0"/>
    </xf>
    <xf numFmtId="168" fontId="0" fillId="26" borderId="1" xfId="0" applyNumberFormat="1" applyFill="1" applyBorder="1" applyAlignment="1" applyProtection="1">
      <alignment horizontal="center" vertical="top"/>
      <protection locked="0"/>
    </xf>
    <xf numFmtId="166" fontId="0" fillId="26" borderId="19" xfId="1" applyFont="1" applyFill="1" applyBorder="1" applyAlignment="1" applyProtection="1">
      <alignment horizontal="center" vertical="top"/>
      <protection locked="0"/>
    </xf>
    <xf numFmtId="49" fontId="0" fillId="27" borderId="18" xfId="0" applyNumberFormat="1" applyFill="1" applyBorder="1" applyAlignment="1" applyProtection="1">
      <alignment horizontal="center" vertical="top"/>
      <protection locked="0"/>
    </xf>
    <xf numFmtId="168" fontId="0" fillId="27" borderId="1" xfId="0" applyNumberFormat="1" applyFill="1" applyBorder="1" applyAlignment="1" applyProtection="1">
      <alignment horizontal="center" vertical="top"/>
      <protection locked="0"/>
    </xf>
    <xf numFmtId="0" fontId="0" fillId="27" borderId="1" xfId="0" applyFill="1" applyBorder="1" applyAlignment="1" applyProtection="1">
      <alignment horizontal="left" vertical="top"/>
      <protection locked="0"/>
    </xf>
    <xf numFmtId="166" fontId="0" fillId="27" borderId="1" xfId="1" applyFont="1" applyFill="1" applyBorder="1" applyAlignment="1" applyProtection="1">
      <alignment horizontal="center" vertical="top"/>
      <protection locked="0"/>
    </xf>
    <xf numFmtId="166" fontId="0" fillId="27" borderId="19" xfId="1" applyFont="1" applyFill="1" applyBorder="1" applyAlignment="1" applyProtection="1">
      <alignment horizontal="center" vertical="top"/>
      <protection locked="0"/>
    </xf>
    <xf numFmtId="175" fontId="0" fillId="25" borderId="18" xfId="0" applyNumberFormat="1" applyFill="1" applyBorder="1" applyAlignment="1" applyProtection="1">
      <alignment horizontal="center" vertical="top"/>
      <protection locked="0"/>
    </xf>
    <xf numFmtId="168" fontId="0" fillId="25" borderId="19" xfId="0" applyNumberFormat="1" applyFill="1" applyBorder="1" applyAlignment="1" applyProtection="1">
      <alignment horizontal="center" vertical="top"/>
      <protection locked="0"/>
    </xf>
    <xf numFmtId="176" fontId="0" fillId="26" borderId="18" xfId="0" quotePrefix="1" applyNumberFormat="1" applyFill="1" applyBorder="1" applyAlignment="1" applyProtection="1">
      <alignment horizontal="center" vertical="top"/>
      <protection locked="0"/>
    </xf>
    <xf numFmtId="49" fontId="0" fillId="28" borderId="18" xfId="0" applyNumberFormat="1" applyFill="1" applyBorder="1" applyAlignment="1" applyProtection="1">
      <alignment horizontal="center" vertical="top"/>
      <protection locked="0"/>
    </xf>
    <xf numFmtId="168" fontId="0" fillId="28" borderId="1" xfId="0" applyNumberFormat="1" applyFill="1" applyBorder="1" applyAlignment="1" applyProtection="1">
      <alignment horizontal="center" vertical="top"/>
      <protection locked="0"/>
    </xf>
    <xf numFmtId="166" fontId="0" fillId="28" borderId="1" xfId="1" applyFont="1" applyFill="1" applyBorder="1" applyAlignment="1" applyProtection="1">
      <alignment horizontal="center" vertical="top"/>
      <protection locked="0"/>
    </xf>
    <xf numFmtId="166" fontId="0" fillId="28" borderId="19" xfId="1" applyFont="1" applyFill="1" applyBorder="1" applyAlignment="1" applyProtection="1">
      <alignment horizontal="center" vertical="top"/>
      <protection locked="0"/>
    </xf>
    <xf numFmtId="166" fontId="0" fillId="6" borderId="1" xfId="1" quotePrefix="1" applyFont="1" applyFill="1" applyBorder="1" applyAlignment="1" applyProtection="1">
      <alignment horizontal="left" vertical="top" wrapText="1"/>
      <protection locked="0"/>
    </xf>
    <xf numFmtId="168" fontId="0" fillId="2" borderId="2" xfId="1" applyNumberFormat="1" applyFont="1" applyFill="1" applyBorder="1" applyAlignment="1" applyProtection="1">
      <alignment horizontal="center" vertical="top"/>
      <protection locked="0"/>
    </xf>
    <xf numFmtId="167" fontId="0" fillId="2" borderId="6" xfId="1" applyNumberFormat="1" applyFont="1" applyFill="1" applyBorder="1" applyAlignment="1" applyProtection="1">
      <alignment horizontal="center" vertical="top"/>
      <protection locked="0"/>
    </xf>
    <xf numFmtId="174" fontId="0" fillId="2" borderId="6" xfId="0" applyNumberFormat="1" applyFill="1" applyBorder="1" applyAlignment="1" applyProtection="1">
      <alignment horizontal="center" vertical="top"/>
      <protection locked="0"/>
    </xf>
    <xf numFmtId="49" fontId="0" fillId="14" borderId="18" xfId="0" applyNumberFormat="1" applyFill="1" applyBorder="1" applyAlignment="1" applyProtection="1">
      <alignment horizontal="center" vertical="top"/>
      <protection locked="0"/>
    </xf>
    <xf numFmtId="0" fontId="0" fillId="2" borderId="6" xfId="0" applyFill="1" applyBorder="1" applyAlignment="1" applyProtection="1">
      <alignment horizontal="center" vertical="top"/>
      <protection locked="0"/>
    </xf>
    <xf numFmtId="44" fontId="0" fillId="0" borderId="6" xfId="1" applyNumberFormat="1" applyFont="1" applyFill="1" applyBorder="1" applyAlignment="1" applyProtection="1">
      <alignment horizontal="center" vertical="top"/>
      <protection locked="0"/>
    </xf>
    <xf numFmtId="170" fontId="0" fillId="2" borderId="5" xfId="1" applyNumberFormat="1" applyFont="1" applyFill="1" applyBorder="1" applyAlignment="1" applyProtection="1">
      <alignment horizontal="left" vertical="top" wrapText="1"/>
      <protection locked="0"/>
    </xf>
    <xf numFmtId="0" fontId="0" fillId="2" borderId="14" xfId="0" applyFill="1" applyBorder="1" applyAlignment="1" applyProtection="1">
      <alignment horizontal="left" vertical="top"/>
      <protection locked="0"/>
    </xf>
    <xf numFmtId="44" fontId="0" fillId="2" borderId="6" xfId="1" applyNumberFormat="1" applyFont="1" applyFill="1" applyBorder="1" applyAlignment="1" applyProtection="1">
      <alignment horizontal="center" vertical="top"/>
      <protection locked="0"/>
    </xf>
    <xf numFmtId="44" fontId="0" fillId="2" borderId="1" xfId="1" applyNumberFormat="1" applyFont="1" applyFill="1" applyBorder="1" applyAlignment="1" applyProtection="1">
      <alignment horizontal="center" vertical="top"/>
      <protection locked="0"/>
    </xf>
    <xf numFmtId="43" fontId="0" fillId="27" borderId="1" xfId="1" applyNumberFormat="1" applyFont="1" applyFill="1" applyBorder="1" applyAlignment="1" applyProtection="1">
      <alignment horizontal="center" vertical="top"/>
      <protection locked="0"/>
    </xf>
    <xf numFmtId="49" fontId="0" fillId="0" borderId="18" xfId="0" applyNumberFormat="1" applyBorder="1" applyAlignment="1" applyProtection="1">
      <alignment horizontal="center" vertical="top"/>
      <protection locked="0"/>
    </xf>
    <xf numFmtId="44" fontId="2" fillId="2" borderId="6" xfId="1" applyNumberFormat="1" applyFont="1" applyFill="1" applyBorder="1" applyAlignment="1" applyProtection="1">
      <alignment horizontal="center" vertical="top"/>
      <protection locked="0"/>
    </xf>
    <xf numFmtId="44" fontId="13" fillId="2" borderId="15" xfId="1" applyNumberFormat="1" applyFont="1" applyFill="1" applyBorder="1" applyAlignment="1" applyProtection="1">
      <alignment horizontal="center" vertical="top"/>
      <protection locked="0"/>
    </xf>
    <xf numFmtId="44" fontId="13" fillId="2" borderId="6" xfId="1" applyNumberFormat="1" applyFont="1" applyFill="1" applyBorder="1" applyAlignment="1" applyProtection="1">
      <alignment horizontal="center" vertical="top"/>
      <protection locked="0"/>
    </xf>
    <xf numFmtId="0" fontId="55" fillId="0" borderId="0" xfId="0" applyFont="1" applyAlignment="1">
      <alignment wrapText="1"/>
    </xf>
    <xf numFmtId="49" fontId="0" fillId="2" borderId="24" xfId="0" applyNumberFormat="1" applyFill="1" applyBorder="1" applyAlignment="1" applyProtection="1">
      <alignment horizontal="left" vertical="top"/>
      <protection locked="0"/>
    </xf>
    <xf numFmtId="49" fontId="0" fillId="2" borderId="31" xfId="0" applyNumberFormat="1" applyFill="1" applyBorder="1" applyAlignment="1" applyProtection="1">
      <alignment horizontal="left" vertical="top"/>
      <protection locked="0"/>
    </xf>
    <xf numFmtId="16" fontId="0" fillId="2" borderId="6" xfId="0" applyNumberFormat="1" applyFill="1" applyBorder="1" applyAlignment="1" applyProtection="1">
      <alignment horizontal="center" vertical="top"/>
      <protection locked="0"/>
    </xf>
    <xf numFmtId="0" fontId="0" fillId="5" borderId="0" xfId="0" applyFill="1" applyAlignment="1">
      <alignment horizontal="center" vertical="center"/>
    </xf>
    <xf numFmtId="165" fontId="0" fillId="0" borderId="0" xfId="0" applyNumberFormat="1"/>
    <xf numFmtId="0" fontId="0" fillId="2" borderId="3" xfId="1" applyNumberFormat="1" applyFont="1" applyFill="1" applyBorder="1" applyAlignment="1" applyProtection="1">
      <alignment horizontal="center" vertical="top"/>
      <protection locked="0"/>
    </xf>
    <xf numFmtId="0" fontId="0" fillId="2" borderId="1" xfId="0" applyFill="1" applyBorder="1" applyAlignment="1">
      <alignment vertical="top"/>
    </xf>
    <xf numFmtId="15" fontId="0" fillId="2" borderId="18" xfId="1" applyNumberFormat="1" applyFont="1" applyFill="1" applyBorder="1" applyAlignment="1" applyProtection="1">
      <alignment horizontal="center" vertical="top"/>
      <protection locked="0"/>
    </xf>
    <xf numFmtId="10" fontId="0" fillId="5" borderId="5" xfId="2" applyNumberFormat="1" applyFont="1" applyFill="1" applyBorder="1" applyAlignment="1" applyProtection="1">
      <alignment vertical="top"/>
    </xf>
    <xf numFmtId="10" fontId="0" fillId="5" borderId="6" xfId="2" applyNumberFormat="1" applyFont="1" applyFill="1" applyBorder="1" applyAlignment="1" applyProtection="1">
      <alignment vertical="top"/>
    </xf>
    <xf numFmtId="0" fontId="0" fillId="0" borderId="31" xfId="0" applyBorder="1" applyAlignment="1">
      <alignment horizontal="left" vertical="top"/>
    </xf>
    <xf numFmtId="166" fontId="0" fillId="27" borderId="2" xfId="1" applyFont="1" applyFill="1" applyBorder="1" applyAlignment="1" applyProtection="1">
      <alignment horizontal="center" vertical="top"/>
      <protection locked="0"/>
    </xf>
    <xf numFmtId="170" fontId="0" fillId="2" borderId="5" xfId="1" quotePrefix="1" applyNumberFormat="1" applyFont="1" applyFill="1" applyBorder="1" applyAlignment="1" applyProtection="1">
      <alignment horizontal="left" vertical="top" wrapText="1"/>
      <protection locked="0"/>
    </xf>
    <xf numFmtId="0" fontId="3" fillId="15" borderId="1" xfId="0" applyFont="1" applyFill="1" applyBorder="1" applyAlignment="1">
      <alignment horizontal="center" vertical="center" wrapText="1"/>
    </xf>
    <xf numFmtId="44" fontId="13" fillId="0" borderId="6" xfId="1" applyNumberFormat="1" applyFont="1" applyFill="1" applyBorder="1" applyAlignment="1" applyProtection="1">
      <alignment horizontal="center" vertical="top"/>
      <protection locked="0"/>
    </xf>
    <xf numFmtId="0" fontId="0" fillId="2" borderId="1" xfId="0" applyFill="1" applyBorder="1" applyAlignment="1">
      <alignment horizontal="left" vertical="top" wrapText="1"/>
    </xf>
    <xf numFmtId="166" fontId="0" fillId="2" borderId="1" xfId="1" applyFont="1" applyFill="1" applyBorder="1" applyAlignment="1" applyProtection="1">
      <alignment horizontal="left" vertical="top" wrapText="1"/>
    </xf>
    <xf numFmtId="15" fontId="0" fillId="2" borderId="1" xfId="0" applyNumberFormat="1" applyFill="1" applyBorder="1" applyAlignment="1">
      <alignment horizontal="right" vertical="top" wrapText="1"/>
    </xf>
    <xf numFmtId="44" fontId="39" fillId="2" borderId="5" xfId="1" applyNumberFormat="1" applyFont="1" applyFill="1" applyBorder="1" applyAlignment="1" applyProtection="1">
      <alignment horizontal="center"/>
    </xf>
    <xf numFmtId="0" fontId="0" fillId="0" borderId="1" xfId="0" applyBorder="1" applyAlignment="1">
      <alignment horizontal="center"/>
    </xf>
    <xf numFmtId="14" fontId="10" fillId="2" borderId="0" xfId="0" quotePrefix="1" applyNumberFormat="1" applyFont="1" applyFill="1"/>
    <xf numFmtId="170" fontId="57" fillId="2" borderId="5" xfId="1" applyNumberFormat="1" applyFont="1" applyFill="1" applyBorder="1" applyAlignment="1" applyProtection="1">
      <alignment horizontal="left" vertical="top" wrapText="1"/>
      <protection locked="0"/>
    </xf>
    <xf numFmtId="49" fontId="0" fillId="21" borderId="18" xfId="0" applyNumberFormat="1" applyFill="1" applyBorder="1" applyAlignment="1" applyProtection="1">
      <alignment horizontal="center" vertical="top"/>
      <protection locked="0"/>
    </xf>
    <xf numFmtId="0" fontId="0" fillId="2" borderId="24" xfId="0" applyFill="1" applyBorder="1" applyAlignment="1" applyProtection="1">
      <alignment horizontal="left" vertical="top" wrapText="1"/>
      <protection locked="0"/>
    </xf>
    <xf numFmtId="0" fontId="0" fillId="0" borderId="31" xfId="0" applyBorder="1" applyAlignment="1">
      <alignment horizontal="left" vertical="top" wrapText="1"/>
    </xf>
    <xf numFmtId="0" fontId="0" fillId="2" borderId="24" xfId="0" applyFill="1" applyBorder="1" applyAlignment="1">
      <alignment vertical="top"/>
    </xf>
    <xf numFmtId="0" fontId="0" fillId="0" borderId="31" xfId="0" applyBorder="1" applyAlignment="1">
      <alignment vertical="top"/>
    </xf>
    <xf numFmtId="0" fontId="50" fillId="2" borderId="6" xfId="0" applyFont="1" applyFill="1" applyBorder="1" applyAlignment="1" applyProtection="1">
      <alignment horizontal="center" vertical="top" wrapText="1"/>
      <protection locked="0"/>
    </xf>
    <xf numFmtId="49" fontId="0" fillId="2" borderId="3" xfId="0" applyNumberFormat="1" applyFill="1" applyBorder="1" applyAlignment="1" applyProtection="1">
      <alignment horizontal="center" vertical="top"/>
      <protection locked="0"/>
    </xf>
    <xf numFmtId="0" fontId="0" fillId="2" borderId="6" xfId="0" quotePrefix="1" applyFill="1" applyBorder="1" applyAlignment="1" applyProtection="1">
      <alignment horizontal="center" vertical="top"/>
      <protection locked="0"/>
    </xf>
    <xf numFmtId="49" fontId="0" fillId="2" borderId="1" xfId="0" applyNumberFormat="1" applyFill="1" applyBorder="1" applyAlignment="1" applyProtection="1">
      <alignment horizontal="center" vertical="top"/>
      <protection locked="0"/>
    </xf>
    <xf numFmtId="49" fontId="0" fillId="2" borderId="1" xfId="0" applyNumberFormat="1" applyFill="1" applyBorder="1" applyAlignment="1" applyProtection="1">
      <alignment horizontal="left" vertical="top"/>
      <protection locked="0"/>
    </xf>
    <xf numFmtId="49" fontId="0" fillId="2" borderId="1" xfId="0" applyNumberFormat="1" applyFill="1" applyBorder="1" applyAlignment="1" applyProtection="1">
      <alignment horizontal="left" vertical="top" wrapText="1"/>
      <protection locked="0"/>
    </xf>
    <xf numFmtId="170" fontId="58" fillId="2" borderId="5" xfId="1" applyNumberFormat="1" applyFont="1" applyFill="1" applyBorder="1" applyAlignment="1" applyProtection="1">
      <alignment horizontal="left" vertical="top" wrapText="1"/>
      <protection locked="0"/>
    </xf>
    <xf numFmtId="17" fontId="4" fillId="20" borderId="1" xfId="0" applyNumberFormat="1" applyFont="1" applyFill="1" applyBorder="1" applyAlignment="1">
      <alignment horizontal="left"/>
    </xf>
    <xf numFmtId="44" fontId="0" fillId="20" borderId="1" xfId="1" applyNumberFormat="1" applyFont="1" applyFill="1" applyBorder="1" applyAlignment="1" applyProtection="1">
      <alignment horizontal="right"/>
      <protection locked="0"/>
    </xf>
    <xf numFmtId="44" fontId="0" fillId="20" borderId="1" xfId="0" applyNumberFormat="1" applyFill="1" applyBorder="1" applyAlignment="1">
      <alignment horizontal="right"/>
    </xf>
    <xf numFmtId="44" fontId="0" fillId="20" borderId="0" xfId="0" applyNumberFormat="1" applyFill="1" applyAlignment="1">
      <alignment horizontal="left"/>
    </xf>
    <xf numFmtId="44" fontId="4" fillId="20" borderId="1" xfId="0" applyNumberFormat="1" applyFont="1" applyFill="1" applyBorder="1" applyAlignment="1">
      <alignment horizontal="left"/>
    </xf>
    <xf numFmtId="44" fontId="0" fillId="24" borderId="1" xfId="1" applyNumberFormat="1" applyFont="1" applyFill="1" applyBorder="1" applyAlignment="1" applyProtection="1">
      <alignment horizontal="right"/>
      <protection locked="0"/>
    </xf>
    <xf numFmtId="173" fontId="0" fillId="20" borderId="1" xfId="1" applyNumberFormat="1" applyFont="1" applyFill="1" applyBorder="1" applyAlignment="1" applyProtection="1">
      <alignment horizontal="right"/>
      <protection locked="0"/>
    </xf>
    <xf numFmtId="168" fontId="13" fillId="2" borderId="6" xfId="0" applyNumberFormat="1" applyFont="1" applyFill="1" applyBorder="1" applyAlignment="1" applyProtection="1">
      <alignment horizontal="center" vertical="top"/>
      <protection locked="0"/>
    </xf>
    <xf numFmtId="179" fontId="0" fillId="2" borderId="1" xfId="1" applyNumberFormat="1" applyFont="1" applyFill="1" applyBorder="1" applyAlignment="1" applyProtection="1">
      <alignment horizontal="center" vertical="top"/>
      <protection locked="0"/>
    </xf>
    <xf numFmtId="170" fontId="57" fillId="6" borderId="1" xfId="1" applyNumberFormat="1" applyFont="1" applyFill="1" applyBorder="1" applyAlignment="1" applyProtection="1">
      <alignment horizontal="left" vertical="top" wrapText="1"/>
      <protection locked="0"/>
    </xf>
    <xf numFmtId="49" fontId="0" fillId="2" borderId="14" xfId="0" applyNumberFormat="1" applyFill="1" applyBorder="1" applyAlignment="1" applyProtection="1">
      <alignment horizontal="left" vertical="top"/>
      <protection locked="0"/>
    </xf>
    <xf numFmtId="168" fontId="0" fillId="2" borderId="5" xfId="0" applyNumberFormat="1" applyFill="1" applyBorder="1" applyAlignment="1" applyProtection="1">
      <alignment horizontal="center" vertical="top"/>
      <protection locked="0"/>
    </xf>
    <xf numFmtId="168" fontId="0" fillId="2" borderId="7" xfId="0" applyNumberFormat="1" applyFill="1" applyBorder="1" applyAlignment="1" applyProtection="1">
      <alignment horizontal="center" vertical="top"/>
      <protection locked="0"/>
    </xf>
    <xf numFmtId="0" fontId="0" fillId="2" borderId="14" xfId="0" applyFill="1" applyBorder="1" applyAlignment="1" applyProtection="1">
      <alignment horizontal="center" vertical="top"/>
      <protection locked="0"/>
    </xf>
    <xf numFmtId="170" fontId="0" fillId="2" borderId="5" xfId="1" applyNumberFormat="1" applyFont="1" applyFill="1" applyBorder="1" applyAlignment="1" applyProtection="1">
      <alignment horizontal="left" wrapText="1"/>
      <protection locked="0"/>
    </xf>
    <xf numFmtId="15" fontId="0" fillId="2" borderId="6" xfId="0" applyNumberFormat="1" applyFill="1" applyBorder="1" applyAlignment="1" applyProtection="1">
      <alignment horizontal="center" vertical="top"/>
      <protection locked="0"/>
    </xf>
    <xf numFmtId="168" fontId="0" fillId="2" borderId="14" xfId="0" applyNumberFormat="1" applyFill="1" applyBorder="1" applyAlignment="1" applyProtection="1">
      <alignment horizontal="center" vertical="top"/>
      <protection locked="0"/>
    </xf>
    <xf numFmtId="170" fontId="2" fillId="2" borderId="5" xfId="1" applyNumberFormat="1" applyFont="1" applyFill="1" applyBorder="1" applyAlignment="1" applyProtection="1">
      <alignment horizontal="left" vertical="top" wrapText="1"/>
      <protection locked="0"/>
    </xf>
    <xf numFmtId="166" fontId="0" fillId="29" borderId="5" xfId="1" applyFont="1" applyFill="1" applyBorder="1" applyAlignment="1" applyProtection="1">
      <alignment horizontal="left" vertical="top" wrapText="1"/>
      <protection locked="0"/>
    </xf>
    <xf numFmtId="168" fontId="0" fillId="26" borderId="2" xfId="0" applyNumberFormat="1" applyFill="1" applyBorder="1" applyAlignment="1" applyProtection="1">
      <alignment horizontal="center" vertical="top"/>
      <protection locked="0"/>
    </xf>
    <xf numFmtId="166" fontId="3" fillId="4" borderId="40" xfId="1" applyFont="1" applyFill="1" applyBorder="1" applyAlignment="1">
      <alignment horizontal="right" indent="1"/>
    </xf>
    <xf numFmtId="49" fontId="0" fillId="28" borderId="18" xfId="0" applyNumberFormat="1" applyFill="1" applyBorder="1" applyAlignment="1" applyProtection="1">
      <alignment horizontal="center" vertical="top" wrapText="1"/>
      <protection locked="0"/>
    </xf>
    <xf numFmtId="180" fontId="0" fillId="2" borderId="1" xfId="1" applyNumberFormat="1" applyFont="1" applyFill="1" applyBorder="1" applyAlignment="1" applyProtection="1">
      <alignment horizontal="center" vertical="top"/>
      <protection locked="0"/>
    </xf>
    <xf numFmtId="0" fontId="0" fillId="21" borderId="14" xfId="0" applyFill="1" applyBorder="1" applyAlignment="1" applyProtection="1">
      <alignment horizontal="left" vertical="top"/>
      <protection locked="0"/>
    </xf>
    <xf numFmtId="0" fontId="0" fillId="21" borderId="6" xfId="0" applyFill="1" applyBorder="1" applyAlignment="1" applyProtection="1">
      <alignment horizontal="center" vertical="top"/>
      <protection locked="0"/>
    </xf>
    <xf numFmtId="168" fontId="0" fillId="21" borderId="6" xfId="0" applyNumberFormat="1" applyFill="1" applyBorder="1" applyAlignment="1" applyProtection="1">
      <alignment horizontal="center" vertical="top"/>
      <protection locked="0"/>
    </xf>
    <xf numFmtId="44" fontId="0" fillId="21" borderId="6" xfId="1" applyNumberFormat="1" applyFont="1" applyFill="1" applyBorder="1" applyAlignment="1" applyProtection="1">
      <alignment horizontal="center" vertical="top"/>
      <protection locked="0"/>
    </xf>
    <xf numFmtId="166" fontId="0" fillId="21" borderId="6" xfId="1" applyFont="1" applyFill="1" applyBorder="1" applyAlignment="1" applyProtection="1">
      <alignment horizontal="center" vertical="top"/>
      <protection locked="0"/>
    </xf>
    <xf numFmtId="0" fontId="10" fillId="12" borderId="0" xfId="0" applyFont="1" applyFill="1" applyAlignment="1">
      <alignment horizontal="center"/>
    </xf>
    <xf numFmtId="166" fontId="0" fillId="27" borderId="4" xfId="1" applyFont="1" applyFill="1" applyBorder="1" applyAlignment="1" applyProtection="1">
      <alignment horizontal="center" vertical="top"/>
      <protection locked="0"/>
    </xf>
    <xf numFmtId="166" fontId="0" fillId="27" borderId="0" xfId="1" applyFont="1" applyFill="1" applyBorder="1" applyAlignment="1" applyProtection="1">
      <alignment horizontal="center" vertical="top"/>
      <protection locked="0"/>
    </xf>
    <xf numFmtId="9" fontId="0" fillId="2" borderId="0" xfId="1" applyNumberFormat="1" applyFont="1" applyFill="1" applyProtection="1"/>
    <xf numFmtId="9" fontId="10" fillId="2" borderId="0" xfId="1" applyNumberFormat="1" applyFont="1" applyFill="1" applyProtection="1"/>
    <xf numFmtId="9" fontId="10" fillId="2" borderId="0" xfId="0" applyNumberFormat="1" applyFont="1" applyFill="1" applyAlignment="1">
      <alignment horizontal="left"/>
    </xf>
    <xf numFmtId="9" fontId="11" fillId="12" borderId="0" xfId="0" applyNumberFormat="1" applyFont="1" applyFill="1" applyAlignment="1">
      <alignment horizontal="center"/>
    </xf>
    <xf numFmtId="9" fontId="3" fillId="9" borderId="30" xfId="0" applyNumberFormat="1" applyFont="1" applyFill="1" applyBorder="1" applyAlignment="1">
      <alignment horizontal="center"/>
    </xf>
    <xf numFmtId="9" fontId="3" fillId="4" borderId="10" xfId="1" applyNumberFormat="1" applyFont="1" applyFill="1" applyBorder="1" applyAlignment="1" applyProtection="1">
      <alignment horizontal="center" wrapText="1"/>
    </xf>
    <xf numFmtId="9" fontId="0" fillId="27" borderId="4" xfId="1" applyNumberFormat="1" applyFont="1" applyFill="1" applyBorder="1" applyAlignment="1" applyProtection="1">
      <alignment horizontal="center" vertical="top"/>
      <protection locked="0"/>
    </xf>
    <xf numFmtId="9" fontId="0" fillId="2" borderId="0" xfId="1" applyNumberFormat="1" applyFont="1" applyFill="1"/>
    <xf numFmtId="179" fontId="0" fillId="6" borderId="6" xfId="0" applyNumberFormat="1" applyFill="1" applyBorder="1" applyAlignment="1" applyProtection="1">
      <alignment horizontal="center" vertical="top"/>
      <protection locked="0"/>
    </xf>
    <xf numFmtId="170" fontId="0" fillId="2" borderId="3" xfId="1" applyNumberFormat="1" applyFont="1" applyFill="1" applyBorder="1" applyAlignment="1" applyProtection="1">
      <alignment horizontal="left" vertical="top" wrapText="1"/>
      <protection locked="0"/>
    </xf>
    <xf numFmtId="9" fontId="3" fillId="4" borderId="21" xfId="2" applyFont="1" applyFill="1" applyBorder="1" applyAlignment="1">
      <alignment horizontal="right" indent="1"/>
    </xf>
    <xf numFmtId="49" fontId="0" fillId="2" borderId="3" xfId="0" quotePrefix="1" applyNumberFormat="1" applyFill="1" applyBorder="1" applyAlignment="1" applyProtection="1">
      <alignment horizontal="left"/>
      <protection locked="0"/>
    </xf>
    <xf numFmtId="49" fontId="0" fillId="2" borderId="1" xfId="0" quotePrefix="1" applyNumberFormat="1" applyFill="1" applyBorder="1" applyAlignment="1" applyProtection="1">
      <alignment horizontal="center"/>
      <protection locked="0"/>
    </xf>
    <xf numFmtId="43" fontId="0" fillId="2" borderId="1" xfId="1" quotePrefix="1" applyNumberFormat="1" applyFont="1" applyFill="1" applyBorder="1" applyAlignment="1" applyProtection="1">
      <alignment horizontal="center"/>
      <protection locked="0"/>
    </xf>
    <xf numFmtId="9" fontId="0" fillId="5" borderId="1" xfId="1" applyNumberFormat="1" applyFont="1" applyFill="1" applyBorder="1" applyAlignment="1" applyProtection="1">
      <alignment horizontal="center"/>
    </xf>
    <xf numFmtId="0" fontId="0" fillId="5" borderId="1" xfId="1" quotePrefix="1" applyNumberFormat="1" applyFont="1" applyFill="1" applyBorder="1" applyAlignment="1" applyProtection="1">
      <alignment horizontal="left"/>
    </xf>
    <xf numFmtId="0" fontId="0" fillId="5" borderId="1" xfId="1" quotePrefix="1" applyNumberFormat="1" applyFont="1" applyFill="1" applyBorder="1" applyAlignment="1" applyProtection="1">
      <alignment horizontal="center"/>
    </xf>
    <xf numFmtId="0" fontId="0" fillId="5" borderId="2" xfId="1" quotePrefix="1" applyNumberFormat="1" applyFont="1" applyFill="1" applyBorder="1" applyAlignment="1" applyProtection="1">
      <alignment horizontal="center"/>
    </xf>
    <xf numFmtId="0" fontId="0" fillId="5" borderId="3" xfId="0" quotePrefix="1" applyFill="1" applyBorder="1" applyAlignment="1">
      <alignment horizontal="left"/>
    </xf>
    <xf numFmtId="0" fontId="0" fillId="27" borderId="0" xfId="0" applyFill="1" applyAlignment="1">
      <alignment vertical="top"/>
    </xf>
    <xf numFmtId="173" fontId="0" fillId="2" borderId="0" xfId="0" applyNumberFormat="1" applyFill="1"/>
    <xf numFmtId="166" fontId="0" fillId="21" borderId="1" xfId="1" applyFont="1" applyFill="1" applyBorder="1" applyAlignment="1" applyProtection="1">
      <alignment horizontal="center"/>
    </xf>
    <xf numFmtId="166" fontId="0" fillId="21" borderId="1" xfId="1" applyFont="1" applyFill="1" applyBorder="1" applyAlignment="1" applyProtection="1">
      <alignment horizontal="left"/>
    </xf>
    <xf numFmtId="167" fontId="0" fillId="21" borderId="8" xfId="1" applyNumberFormat="1" applyFont="1" applyFill="1" applyBorder="1" applyAlignment="1" applyProtection="1">
      <alignment horizontal="center" vertical="top"/>
    </xf>
    <xf numFmtId="170" fontId="0" fillId="21" borderId="1" xfId="1" applyNumberFormat="1" applyFont="1" applyFill="1" applyBorder="1" applyAlignment="1" applyProtection="1">
      <alignment horizontal="center"/>
    </xf>
    <xf numFmtId="170" fontId="0" fillId="21" borderId="1" xfId="1" applyNumberFormat="1" applyFont="1" applyFill="1" applyBorder="1" applyProtection="1"/>
    <xf numFmtId="43" fontId="0" fillId="21" borderId="1" xfId="1" applyNumberFormat="1" applyFont="1" applyFill="1" applyBorder="1" applyProtection="1"/>
    <xf numFmtId="170" fontId="0" fillId="21" borderId="2" xfId="1" applyNumberFormat="1" applyFont="1" applyFill="1" applyBorder="1" applyProtection="1"/>
    <xf numFmtId="43" fontId="0" fillId="5" borderId="1" xfId="1" applyNumberFormat="1" applyFont="1" applyFill="1" applyBorder="1" applyAlignment="1" applyProtection="1">
      <alignment horizontal="center"/>
    </xf>
    <xf numFmtId="43" fontId="0" fillId="21" borderId="1" xfId="1" applyNumberFormat="1" applyFont="1" applyFill="1" applyBorder="1" applyAlignment="1" applyProtection="1">
      <alignment horizontal="center"/>
    </xf>
    <xf numFmtId="44" fontId="0" fillId="0" borderId="1" xfId="8" applyNumberFormat="1" applyFont="1" applyFill="1" applyBorder="1" applyAlignment="1" applyProtection="1">
      <alignment horizontal="center" vertical="top"/>
      <protection locked="0"/>
    </xf>
    <xf numFmtId="170" fontId="50" fillId="2" borderId="5" xfId="1" applyNumberFormat="1" applyFont="1" applyFill="1" applyBorder="1" applyAlignment="1" applyProtection="1">
      <alignment horizontal="left" vertical="top" wrapText="1"/>
      <protection locked="0"/>
    </xf>
    <xf numFmtId="10" fontId="10" fillId="2" borderId="0" xfId="0" applyNumberFormat="1" applyFont="1" applyFill="1"/>
    <xf numFmtId="10" fontId="3" fillId="4" borderId="1" xfId="0" applyNumberFormat="1" applyFont="1" applyFill="1" applyBorder="1" applyAlignment="1">
      <alignment horizontal="center" wrapText="1"/>
    </xf>
    <xf numFmtId="10" fontId="0" fillId="2" borderId="0" xfId="0" applyNumberFormat="1" applyFill="1"/>
    <xf numFmtId="10" fontId="0" fillId="2" borderId="0" xfId="0" applyNumberFormat="1" applyFill="1" applyAlignment="1">
      <alignment horizontal="left"/>
    </xf>
    <xf numFmtId="10" fontId="10" fillId="2" borderId="0" xfId="0" applyNumberFormat="1" applyFont="1" applyFill="1" applyAlignment="1">
      <alignment horizontal="left"/>
    </xf>
    <xf numFmtId="10" fontId="18" fillId="4" borderId="1" xfId="0" applyNumberFormat="1" applyFont="1" applyFill="1" applyBorder="1" applyAlignment="1">
      <alignment horizontal="center" wrapText="1"/>
    </xf>
    <xf numFmtId="49" fontId="13" fillId="2" borderId="14" xfId="0" applyNumberFormat="1" applyFont="1" applyFill="1" applyBorder="1" applyAlignment="1" applyProtection="1">
      <alignment horizontal="left" vertical="top"/>
      <protection locked="0"/>
    </xf>
    <xf numFmtId="170" fontId="59" fillId="2" borderId="5" xfId="1" applyNumberFormat="1" applyFont="1" applyFill="1" applyBorder="1" applyAlignment="1" applyProtection="1">
      <alignment horizontal="left" vertical="top" wrapText="1"/>
      <protection locked="0"/>
    </xf>
    <xf numFmtId="166" fontId="0" fillId="2" borderId="0" xfId="0" applyNumberFormat="1" applyFill="1"/>
    <xf numFmtId="15" fontId="0" fillId="2" borderId="0" xfId="0" applyNumberFormat="1" applyFill="1" applyAlignment="1">
      <alignment vertical="top"/>
    </xf>
    <xf numFmtId="0" fontId="0" fillId="2" borderId="1" xfId="0" quotePrefix="1" applyFill="1" applyBorder="1" applyAlignment="1" applyProtection="1">
      <alignment horizontal="center" vertical="top"/>
      <protection locked="0"/>
    </xf>
    <xf numFmtId="0" fontId="0" fillId="2" borderId="1" xfId="0" applyFill="1" applyBorder="1" applyAlignment="1" applyProtection="1">
      <alignment horizontal="center" vertical="top"/>
      <protection locked="0"/>
    </xf>
    <xf numFmtId="0" fontId="0" fillId="30" borderId="1" xfId="0" applyFill="1" applyBorder="1" applyAlignment="1">
      <alignment horizontal="center"/>
    </xf>
    <xf numFmtId="168" fontId="0" fillId="2" borderId="3" xfId="0" applyNumberFormat="1" applyFill="1" applyBorder="1" applyAlignment="1" applyProtection="1">
      <alignment horizontal="center" vertical="top"/>
      <protection locked="0"/>
    </xf>
    <xf numFmtId="0" fontId="0" fillId="2" borderId="5" xfId="0" applyFill="1" applyBorder="1" applyAlignment="1" applyProtection="1">
      <alignment horizontal="center" vertical="top"/>
      <protection locked="0"/>
    </xf>
    <xf numFmtId="9" fontId="44" fillId="5" borderId="0" xfId="2" applyFont="1" applyFill="1" applyBorder="1" applyProtection="1"/>
    <xf numFmtId="165" fontId="0" fillId="0" borderId="22" xfId="8" applyFont="1" applyBorder="1"/>
    <xf numFmtId="165" fontId="0" fillId="0" borderId="47" xfId="8" applyFont="1" applyBorder="1"/>
    <xf numFmtId="165" fontId="0" fillId="13" borderId="23" xfId="8" applyFont="1" applyFill="1" applyBorder="1" applyProtection="1"/>
    <xf numFmtId="165" fontId="0" fillId="13" borderId="22" xfId="8" applyFont="1" applyFill="1" applyBorder="1"/>
    <xf numFmtId="165" fontId="0" fillId="13" borderId="47" xfId="8" applyFont="1" applyFill="1" applyBorder="1"/>
    <xf numFmtId="181" fontId="0" fillId="13" borderId="48" xfId="0" applyNumberFormat="1" applyFill="1" applyBorder="1"/>
    <xf numFmtId="165" fontId="0" fillId="13" borderId="47" xfId="8" applyFont="1" applyFill="1" applyBorder="1" applyProtection="1"/>
    <xf numFmtId="165" fontId="0" fillId="2" borderId="23" xfId="8" applyFont="1" applyFill="1" applyBorder="1" applyProtection="1"/>
    <xf numFmtId="165" fontId="0" fillId="2" borderId="20" xfId="8" applyFont="1" applyFill="1" applyBorder="1" applyProtection="1"/>
    <xf numFmtId="165" fontId="0" fillId="2" borderId="21" xfId="8" applyFont="1" applyFill="1" applyBorder="1" applyProtection="1"/>
    <xf numFmtId="165" fontId="0" fillId="21" borderId="43" xfId="8" applyFont="1" applyFill="1" applyBorder="1"/>
    <xf numFmtId="0" fontId="4" fillId="21" borderId="39" xfId="0" applyFont="1" applyFill="1" applyBorder="1" applyAlignment="1">
      <alignment horizontal="right"/>
    </xf>
    <xf numFmtId="165" fontId="4" fillId="21" borderId="43" xfId="8" applyFont="1" applyFill="1" applyBorder="1" applyProtection="1"/>
    <xf numFmtId="10" fontId="9" fillId="21" borderId="49" xfId="2" applyNumberFormat="1" applyFont="1" applyFill="1" applyBorder="1" applyAlignment="1" applyProtection="1">
      <alignment horizontal="center"/>
    </xf>
    <xf numFmtId="9" fontId="44" fillId="5" borderId="11" xfId="2" applyFont="1" applyFill="1" applyBorder="1" applyProtection="1"/>
    <xf numFmtId="9" fontId="44" fillId="5" borderId="8" xfId="2" applyFont="1" applyFill="1" applyBorder="1" applyProtection="1"/>
    <xf numFmtId="166" fontId="0" fillId="2" borderId="0" xfId="1" applyFont="1" applyFill="1" applyAlignment="1" applyProtection="1">
      <alignment horizontal="left" vertical="top"/>
    </xf>
    <xf numFmtId="0" fontId="13" fillId="2" borderId="6" xfId="0" applyFont="1" applyFill="1" applyBorder="1" applyAlignment="1" applyProtection="1">
      <alignment horizontal="center" vertical="top"/>
      <protection locked="0"/>
    </xf>
    <xf numFmtId="0" fontId="13" fillId="2" borderId="5" xfId="0" applyFont="1" applyFill="1" applyBorder="1" applyAlignment="1" applyProtection="1">
      <alignment horizontal="center" vertical="top"/>
      <protection locked="0"/>
    </xf>
    <xf numFmtId="168" fontId="13" fillId="2" borderId="7" xfId="0" applyNumberFormat="1" applyFont="1" applyFill="1" applyBorder="1" applyAlignment="1" applyProtection="1">
      <alignment horizontal="center" vertical="top"/>
      <protection locked="0"/>
    </xf>
    <xf numFmtId="0" fontId="13" fillId="2" borderId="1" xfId="0" applyFont="1" applyFill="1" applyBorder="1" applyAlignment="1" applyProtection="1">
      <alignment horizontal="center" vertical="top"/>
      <protection locked="0"/>
    </xf>
    <xf numFmtId="170" fontId="13" fillId="2" borderId="5" xfId="1" applyNumberFormat="1" applyFont="1" applyFill="1" applyBorder="1" applyAlignment="1" applyProtection="1">
      <alignment horizontal="center" vertical="top" wrapText="1"/>
      <protection locked="0"/>
    </xf>
    <xf numFmtId="0" fontId="2" fillId="32" borderId="0" xfId="10" applyFill="1" applyProtection="1">
      <protection hidden="1"/>
    </xf>
    <xf numFmtId="170" fontId="5" fillId="32" borderId="0" xfId="10" applyNumberFormat="1" applyFont="1" applyFill="1" applyProtection="1">
      <protection hidden="1"/>
    </xf>
    <xf numFmtId="0" fontId="2" fillId="0" borderId="0" xfId="10" applyProtection="1">
      <protection hidden="1"/>
    </xf>
    <xf numFmtId="0" fontId="2" fillId="32" borderId="0" xfId="10" applyFill="1"/>
    <xf numFmtId="0" fontId="2" fillId="0" borderId="0" xfId="10"/>
    <xf numFmtId="0" fontId="66" fillId="13" borderId="3" xfId="10" applyFont="1" applyFill="1" applyBorder="1" applyAlignment="1" applyProtection="1">
      <alignment vertical="top"/>
      <protection hidden="1"/>
    </xf>
    <xf numFmtId="0" fontId="65" fillId="13" borderId="1" xfId="10" applyFont="1" applyFill="1" applyBorder="1" applyAlignment="1" applyProtection="1">
      <alignment horizontal="center" vertical="top" wrapText="1"/>
      <protection hidden="1"/>
    </xf>
    <xf numFmtId="0" fontId="65" fillId="2" borderId="5" xfId="10" applyFont="1" applyFill="1" applyBorder="1" applyAlignment="1" applyProtection="1">
      <alignment horizontal="center" vertical="top" wrapText="1"/>
      <protection hidden="1"/>
    </xf>
    <xf numFmtId="0" fontId="65" fillId="13" borderId="19" xfId="10" applyFont="1" applyFill="1" applyBorder="1" applyAlignment="1" applyProtection="1">
      <alignment horizontal="center" vertical="top" wrapText="1"/>
      <protection hidden="1"/>
    </xf>
    <xf numFmtId="170" fontId="13" fillId="2" borderId="51" xfId="10" applyNumberFormat="1" applyFont="1" applyFill="1" applyBorder="1" applyProtection="1">
      <protection hidden="1"/>
    </xf>
    <xf numFmtId="170" fontId="13" fillId="2" borderId="0" xfId="10" applyNumberFormat="1" applyFont="1" applyFill="1" applyAlignment="1" applyProtection="1">
      <alignment vertical="top"/>
      <protection hidden="1"/>
    </xf>
    <xf numFmtId="170" fontId="13" fillId="2" borderId="13" xfId="10" applyNumberFormat="1" applyFont="1" applyFill="1" applyBorder="1" applyAlignment="1" applyProtection="1">
      <alignment vertical="top"/>
      <protection hidden="1"/>
    </xf>
    <xf numFmtId="44" fontId="13" fillId="34" borderId="12" xfId="12" applyNumberFormat="1" applyFont="1" applyFill="1" applyBorder="1" applyAlignment="1" applyProtection="1">
      <protection hidden="1"/>
    </xf>
    <xf numFmtId="170" fontId="13" fillId="2" borderId="12" xfId="12" applyNumberFormat="1" applyFont="1" applyFill="1" applyBorder="1" applyAlignment="1" applyProtection="1">
      <protection hidden="1"/>
    </xf>
    <xf numFmtId="44" fontId="13" fillId="34" borderId="56" xfId="12" applyNumberFormat="1" applyFont="1" applyFill="1" applyBorder="1" applyAlignment="1" applyProtection="1">
      <alignment horizontal="center"/>
      <protection hidden="1"/>
    </xf>
    <xf numFmtId="0" fontId="67" fillId="32" borderId="0" xfId="10" applyFont="1" applyFill="1" applyAlignment="1" applyProtection="1">
      <alignment wrapText="1"/>
      <protection hidden="1"/>
    </xf>
    <xf numFmtId="0" fontId="4" fillId="32" borderId="0" xfId="10" applyFont="1" applyFill="1" applyProtection="1">
      <protection hidden="1"/>
    </xf>
    <xf numFmtId="170" fontId="18" fillId="2" borderId="3" xfId="10" applyNumberFormat="1" applyFont="1" applyFill="1" applyBorder="1" applyProtection="1">
      <protection hidden="1"/>
    </xf>
    <xf numFmtId="44" fontId="18" fillId="13" borderId="1" xfId="12" applyNumberFormat="1" applyFont="1" applyFill="1" applyBorder="1" applyAlignment="1" applyProtection="1">
      <protection hidden="1"/>
    </xf>
    <xf numFmtId="170" fontId="18" fillId="2" borderId="12" xfId="12" applyNumberFormat="1" applyFont="1" applyFill="1" applyBorder="1" applyAlignment="1" applyProtection="1">
      <protection hidden="1"/>
    </xf>
    <xf numFmtId="44" fontId="18" fillId="13" borderId="19" xfId="12" applyNumberFormat="1" applyFont="1" applyFill="1" applyBorder="1" applyAlignment="1" applyProtection="1">
      <alignment horizontal="center"/>
      <protection hidden="1"/>
    </xf>
    <xf numFmtId="0" fontId="14" fillId="32" borderId="0" xfId="10" applyFont="1" applyFill="1" applyProtection="1">
      <protection hidden="1"/>
    </xf>
    <xf numFmtId="0" fontId="68" fillId="32" borderId="0" xfId="10" applyFont="1" applyFill="1" applyAlignment="1" applyProtection="1">
      <alignment wrapText="1"/>
      <protection hidden="1"/>
    </xf>
    <xf numFmtId="0" fontId="39" fillId="32" borderId="0" xfId="10" applyFont="1" applyFill="1" applyProtection="1">
      <protection hidden="1"/>
    </xf>
    <xf numFmtId="0" fontId="39" fillId="0" borderId="0" xfId="10" applyFont="1" applyProtection="1">
      <protection hidden="1"/>
    </xf>
    <xf numFmtId="170" fontId="69" fillId="2" borderId="51" xfId="10" applyNumberFormat="1" applyFont="1" applyFill="1" applyBorder="1" applyAlignment="1" applyProtection="1">
      <alignment vertical="top"/>
      <protection hidden="1"/>
    </xf>
    <xf numFmtId="170" fontId="69" fillId="2" borderId="0" xfId="10" applyNumberFormat="1" applyFont="1" applyFill="1" applyAlignment="1" applyProtection="1">
      <alignment vertical="top"/>
      <protection hidden="1"/>
    </xf>
    <xf numFmtId="170" fontId="69" fillId="2" borderId="0" xfId="12" applyNumberFormat="1" applyFont="1" applyFill="1" applyBorder="1" applyAlignment="1" applyProtection="1">
      <alignment vertical="top"/>
      <protection hidden="1"/>
    </xf>
    <xf numFmtId="170" fontId="69" fillId="2" borderId="52" xfId="12" applyNumberFormat="1" applyFont="1" applyFill="1" applyBorder="1" applyAlignment="1" applyProtection="1">
      <alignment vertical="top"/>
      <protection hidden="1"/>
    </xf>
    <xf numFmtId="44" fontId="13" fillId="2" borderId="12" xfId="12" applyNumberFormat="1" applyFont="1" applyFill="1" applyBorder="1" applyAlignment="1" applyProtection="1">
      <protection hidden="1"/>
    </xf>
    <xf numFmtId="44" fontId="13" fillId="34" borderId="56" xfId="12" applyNumberFormat="1" applyFont="1" applyFill="1" applyBorder="1" applyAlignment="1" applyProtection="1">
      <protection hidden="1"/>
    </xf>
    <xf numFmtId="170" fontId="2" fillId="32" borderId="0" xfId="10" applyNumberFormat="1" applyFill="1" applyProtection="1">
      <protection hidden="1"/>
    </xf>
    <xf numFmtId="170" fontId="4" fillId="32" borderId="0" xfId="10" applyNumberFormat="1" applyFont="1" applyFill="1" applyProtection="1">
      <protection hidden="1"/>
    </xf>
    <xf numFmtId="0" fontId="4" fillId="0" borderId="0" xfId="10" applyFont="1" applyProtection="1">
      <protection hidden="1"/>
    </xf>
    <xf numFmtId="0" fontId="2" fillId="0" borderId="0" xfId="0" applyFont="1" applyProtection="1">
      <protection hidden="1"/>
    </xf>
    <xf numFmtId="44" fontId="18" fillId="2" borderId="12" xfId="12" applyNumberFormat="1" applyFont="1" applyFill="1" applyBorder="1" applyAlignment="1" applyProtection="1">
      <protection hidden="1"/>
    </xf>
    <xf numFmtId="44" fontId="18" fillId="13" borderId="19" xfId="12" applyNumberFormat="1" applyFont="1" applyFill="1" applyBorder="1" applyAlignment="1" applyProtection="1">
      <protection hidden="1"/>
    </xf>
    <xf numFmtId="170" fontId="69" fillId="32" borderId="0" xfId="12" applyNumberFormat="1" applyFont="1" applyFill="1" applyBorder="1" applyAlignment="1" applyProtection="1">
      <alignment vertical="top"/>
      <protection hidden="1"/>
    </xf>
    <xf numFmtId="164" fontId="2" fillId="32" borderId="0" xfId="10" applyNumberFormat="1" applyFill="1" applyProtection="1">
      <protection hidden="1"/>
    </xf>
    <xf numFmtId="164" fontId="5" fillId="32" borderId="0" xfId="10" applyNumberFormat="1" applyFont="1" applyFill="1" applyProtection="1">
      <protection hidden="1"/>
    </xf>
    <xf numFmtId="0" fontId="0" fillId="32" borderId="0" xfId="10" applyFont="1" applyFill="1" applyProtection="1">
      <protection hidden="1"/>
    </xf>
    <xf numFmtId="170" fontId="18" fillId="2" borderId="41" xfId="10" applyNumberFormat="1" applyFont="1" applyFill="1" applyBorder="1" applyProtection="1">
      <protection hidden="1"/>
    </xf>
    <xf numFmtId="44" fontId="18" fillId="13" borderId="57" xfId="12" applyNumberFormat="1" applyFont="1" applyFill="1" applyBorder="1" applyAlignment="1" applyProtection="1">
      <protection hidden="1"/>
    </xf>
    <xf numFmtId="44" fontId="69" fillId="2" borderId="0" xfId="10" applyNumberFormat="1" applyFont="1" applyFill="1" applyAlignment="1" applyProtection="1">
      <alignment vertical="top"/>
      <protection hidden="1"/>
    </xf>
    <xf numFmtId="170" fontId="70" fillId="2" borderId="13" xfId="10" applyNumberFormat="1" applyFont="1" applyFill="1" applyBorder="1" applyProtection="1">
      <protection hidden="1"/>
    </xf>
    <xf numFmtId="170" fontId="70" fillId="2" borderId="12" xfId="10" applyNumberFormat="1" applyFont="1" applyFill="1" applyBorder="1" applyProtection="1">
      <protection hidden="1"/>
    </xf>
    <xf numFmtId="170" fontId="13" fillId="2" borderId="12" xfId="12" quotePrefix="1" applyNumberFormat="1" applyFont="1" applyFill="1" applyBorder="1" applyAlignment="1" applyProtection="1">
      <protection hidden="1"/>
    </xf>
    <xf numFmtId="170" fontId="13" fillId="2" borderId="12" xfId="10" applyNumberFormat="1" applyFont="1" applyFill="1" applyBorder="1" applyProtection="1">
      <protection hidden="1"/>
    </xf>
    <xf numFmtId="170" fontId="13" fillId="2" borderId="12" xfId="11" applyNumberFormat="1" applyFont="1" applyFill="1" applyBorder="1" applyAlignment="1" applyProtection="1">
      <protection hidden="1"/>
    </xf>
    <xf numFmtId="170" fontId="13" fillId="2" borderId="56" xfId="12" applyNumberFormat="1" applyFont="1" applyFill="1" applyBorder="1" applyAlignment="1" applyProtection="1">
      <protection hidden="1"/>
    </xf>
    <xf numFmtId="170" fontId="13" fillId="2" borderId="15" xfId="12" quotePrefix="1" applyNumberFormat="1" applyFont="1" applyFill="1" applyBorder="1" applyAlignment="1" applyProtection="1">
      <protection hidden="1"/>
    </xf>
    <xf numFmtId="170" fontId="13" fillId="2" borderId="13" xfId="11" applyNumberFormat="1" applyFont="1" applyFill="1" applyBorder="1" applyAlignment="1" applyProtection="1">
      <protection hidden="1"/>
    </xf>
    <xf numFmtId="170" fontId="18" fillId="2" borderId="4" xfId="10" applyNumberFormat="1" applyFont="1" applyFill="1" applyBorder="1" applyProtection="1">
      <protection hidden="1"/>
    </xf>
    <xf numFmtId="44" fontId="18" fillId="13" borderId="49" xfId="12" applyNumberFormat="1" applyFont="1" applyFill="1" applyBorder="1" applyAlignment="1" applyProtection="1">
      <protection hidden="1"/>
    </xf>
    <xf numFmtId="44" fontId="18" fillId="2" borderId="0" xfId="12" applyNumberFormat="1" applyFont="1" applyFill="1" applyBorder="1" applyAlignment="1" applyProtection="1">
      <protection hidden="1"/>
    </xf>
    <xf numFmtId="0" fontId="3" fillId="35" borderId="29" xfId="10" applyFont="1" applyFill="1" applyBorder="1" applyAlignment="1" applyProtection="1">
      <alignment vertical="center"/>
      <protection hidden="1"/>
    </xf>
    <xf numFmtId="0" fontId="63" fillId="35" borderId="48" xfId="10" applyFont="1" applyFill="1" applyBorder="1" applyAlignment="1" applyProtection="1">
      <alignment vertical="top"/>
      <protection hidden="1"/>
    </xf>
    <xf numFmtId="0" fontId="63" fillId="35" borderId="50" xfId="10" applyFont="1" applyFill="1" applyBorder="1" applyAlignment="1" applyProtection="1">
      <alignment vertical="top"/>
      <protection hidden="1"/>
    </xf>
    <xf numFmtId="0" fontId="13" fillId="2" borderId="29" xfId="10" applyFont="1" applyFill="1" applyBorder="1" applyAlignment="1" applyProtection="1">
      <alignment horizontal="center" vertical="center"/>
      <protection hidden="1"/>
    </xf>
    <xf numFmtId="0" fontId="13" fillId="2" borderId="48" xfId="10" applyFont="1" applyFill="1" applyBorder="1" applyAlignment="1" applyProtection="1">
      <alignment vertical="center"/>
      <protection hidden="1"/>
    </xf>
    <xf numFmtId="0" fontId="13" fillId="2" borderId="50" xfId="10" applyFont="1" applyFill="1" applyBorder="1" applyAlignment="1" applyProtection="1">
      <alignment vertical="center"/>
      <protection hidden="1"/>
    </xf>
    <xf numFmtId="0" fontId="13" fillId="2" borderId="51" xfId="10" applyFont="1" applyFill="1" applyBorder="1" applyAlignment="1" applyProtection="1">
      <alignment horizontal="center" vertical="center"/>
      <protection hidden="1"/>
    </xf>
    <xf numFmtId="0" fontId="0" fillId="2" borderId="0" xfId="10" applyFont="1" applyFill="1" applyAlignment="1" applyProtection="1">
      <alignment horizontal="left" vertical="center"/>
      <protection hidden="1"/>
    </xf>
    <xf numFmtId="0" fontId="2" fillId="2" borderId="0" xfId="10" applyFill="1" applyAlignment="1" applyProtection="1">
      <alignment horizontal="left" vertical="center"/>
      <protection hidden="1"/>
    </xf>
    <xf numFmtId="0" fontId="2" fillId="2" borderId="52" xfId="10" applyFill="1" applyBorder="1" applyAlignment="1" applyProtection="1">
      <alignment horizontal="left" vertical="center"/>
      <protection hidden="1"/>
    </xf>
    <xf numFmtId="0" fontId="3" fillId="35" borderId="54" xfId="10" applyFont="1" applyFill="1" applyBorder="1" applyAlignment="1" applyProtection="1">
      <alignment vertical="center"/>
      <protection hidden="1"/>
    </xf>
    <xf numFmtId="0" fontId="63" fillId="35" borderId="54" xfId="10" applyFont="1" applyFill="1" applyBorder="1" applyAlignment="1" applyProtection="1">
      <alignment vertical="center"/>
      <protection hidden="1"/>
    </xf>
    <xf numFmtId="0" fontId="63" fillId="35" borderId="54" xfId="10" applyFont="1" applyFill="1" applyBorder="1" applyAlignment="1" applyProtection="1">
      <alignment vertical="top"/>
      <protection hidden="1"/>
    </xf>
    <xf numFmtId="0" fontId="2" fillId="32" borderId="15" xfId="10" applyFill="1" applyBorder="1" applyProtection="1">
      <protection hidden="1"/>
    </xf>
    <xf numFmtId="0" fontId="2" fillId="32" borderId="0" xfId="10" applyFill="1" applyAlignment="1" applyProtection="1">
      <alignment vertical="center"/>
      <protection hidden="1"/>
    </xf>
    <xf numFmtId="0" fontId="2" fillId="0" borderId="0" xfId="10" applyAlignment="1" applyProtection="1">
      <alignment vertical="center"/>
      <protection hidden="1"/>
    </xf>
    <xf numFmtId="0" fontId="2" fillId="32" borderId="0" xfId="10" applyFill="1" applyAlignment="1" applyProtection="1">
      <alignment horizontal="left"/>
      <protection hidden="1"/>
    </xf>
    <xf numFmtId="0" fontId="2" fillId="0" borderId="0" xfId="10" applyAlignment="1" applyProtection="1">
      <alignment horizontal="left"/>
      <protection hidden="1"/>
    </xf>
    <xf numFmtId="0" fontId="71" fillId="32" borderId="0" xfId="10" applyFont="1" applyFill="1" applyAlignment="1" applyProtection="1">
      <alignment vertical="top"/>
      <protection hidden="1"/>
    </xf>
    <xf numFmtId="44" fontId="13" fillId="2" borderId="12" xfId="12" quotePrefix="1" applyNumberFormat="1" applyFont="1" applyFill="1" applyBorder="1" applyAlignment="1" applyProtection="1">
      <protection hidden="1"/>
    </xf>
    <xf numFmtId="44" fontId="13" fillId="2" borderId="5" xfId="12" applyNumberFormat="1" applyFont="1" applyFill="1" applyBorder="1" applyAlignment="1" applyProtection="1">
      <protection hidden="1"/>
    </xf>
    <xf numFmtId="44" fontId="13" fillId="2" borderId="5" xfId="11" applyFont="1" applyFill="1" applyBorder="1" applyAlignment="1" applyProtection="1">
      <protection hidden="1"/>
    </xf>
    <xf numFmtId="44" fontId="13" fillId="2" borderId="58" xfId="12" applyNumberFormat="1" applyFont="1" applyFill="1" applyBorder="1" applyAlignment="1" applyProtection="1">
      <protection hidden="1"/>
    </xf>
    <xf numFmtId="44" fontId="13" fillId="2" borderId="12" xfId="11" applyFont="1" applyFill="1" applyBorder="1" applyAlignment="1" applyProtection="1">
      <protection hidden="1"/>
    </xf>
    <xf numFmtId="44" fontId="13" fillId="2" borderId="56" xfId="12" applyNumberFormat="1" applyFont="1" applyFill="1" applyBorder="1" applyAlignment="1" applyProtection="1">
      <protection hidden="1"/>
    </xf>
    <xf numFmtId="1" fontId="0" fillId="2" borderId="6" xfId="0" applyNumberFormat="1" applyFill="1" applyBorder="1" applyAlignment="1" applyProtection="1">
      <alignment horizontal="center" vertical="top"/>
      <protection locked="0"/>
    </xf>
    <xf numFmtId="44" fontId="0" fillId="36" borderId="1" xfId="1" applyNumberFormat="1" applyFont="1" applyFill="1" applyBorder="1" applyAlignment="1" applyProtection="1">
      <alignment horizontal="center" vertical="top"/>
      <protection locked="0"/>
    </xf>
    <xf numFmtId="168" fontId="0" fillId="36" borderId="6" xfId="0" applyNumberFormat="1" applyFill="1" applyBorder="1" applyAlignment="1" applyProtection="1">
      <alignment horizontal="center" vertical="top"/>
      <protection locked="0"/>
    </xf>
    <xf numFmtId="170" fontId="0" fillId="31" borderId="5" xfId="1" applyNumberFormat="1" applyFont="1" applyFill="1" applyBorder="1" applyAlignment="1" applyProtection="1">
      <alignment horizontal="left" vertical="top" wrapText="1"/>
      <protection locked="0"/>
    </xf>
    <xf numFmtId="0" fontId="0" fillId="20" borderId="6" xfId="0" applyFill="1" applyBorder="1" applyAlignment="1" applyProtection="1">
      <alignment horizontal="center" vertical="top"/>
      <protection locked="0"/>
    </xf>
    <xf numFmtId="170" fontId="59" fillId="20" borderId="5" xfId="1" applyNumberFormat="1" applyFont="1" applyFill="1" applyBorder="1" applyAlignment="1" applyProtection="1">
      <alignment horizontal="left" vertical="top" wrapText="1"/>
      <protection locked="0"/>
    </xf>
    <xf numFmtId="44" fontId="0" fillId="0" borderId="0" xfId="1" applyNumberFormat="1" applyFont="1" applyFill="1" applyBorder="1" applyAlignment="1" applyProtection="1">
      <alignment horizontal="right"/>
      <protection locked="0"/>
    </xf>
    <xf numFmtId="1" fontId="0" fillId="2" borderId="6" xfId="0" quotePrefix="1" applyNumberFormat="1" applyFill="1" applyBorder="1" applyAlignment="1" applyProtection="1">
      <alignment horizontal="center" vertical="top"/>
      <protection locked="0"/>
    </xf>
    <xf numFmtId="0" fontId="3" fillId="4" borderId="2" xfId="0" applyFont="1" applyFill="1" applyBorder="1" applyAlignment="1">
      <alignment horizontal="right" vertical="top"/>
    </xf>
    <xf numFmtId="0" fontId="3" fillId="4" borderId="3" xfId="0" applyFont="1" applyFill="1" applyBorder="1" applyAlignment="1">
      <alignment horizontal="right" vertical="top"/>
    </xf>
    <xf numFmtId="49" fontId="0" fillId="2" borderId="3" xfId="0" quotePrefix="1" applyNumberFormat="1" applyFill="1" applyBorder="1" applyAlignment="1" applyProtection="1">
      <alignment horizontal="left" wrapText="1"/>
      <protection locked="0"/>
    </xf>
    <xf numFmtId="43" fontId="0" fillId="2" borderId="1" xfId="1" applyNumberFormat="1" applyFont="1" applyFill="1" applyBorder="1" applyAlignment="1" applyProtection="1">
      <alignment horizontal="left" vertical="top" wrapText="1"/>
      <protection locked="0"/>
    </xf>
    <xf numFmtId="49" fontId="0" fillId="2" borderId="2" xfId="1" applyNumberFormat="1" applyFont="1" applyFill="1" applyBorder="1" applyAlignment="1" applyProtection="1">
      <alignment horizontal="left" vertical="top" wrapText="1"/>
      <protection locked="0"/>
    </xf>
    <xf numFmtId="43" fontId="0" fillId="2" borderId="1" xfId="1" quotePrefix="1" applyNumberFormat="1" applyFont="1" applyFill="1" applyBorder="1" applyAlignment="1" applyProtection="1">
      <alignment horizontal="center" vertical="top"/>
      <protection locked="0"/>
    </xf>
    <xf numFmtId="43" fontId="0" fillId="2" borderId="1" xfId="1" applyNumberFormat="1" applyFont="1" applyFill="1" applyBorder="1" applyAlignment="1" applyProtection="1">
      <alignment horizontal="center" vertical="top"/>
      <protection locked="0"/>
    </xf>
    <xf numFmtId="0" fontId="3" fillId="15" borderId="12" xfId="0" applyFont="1" applyFill="1" applyBorder="1" applyAlignment="1">
      <alignment horizontal="center" wrapText="1"/>
    </xf>
    <xf numFmtId="0" fontId="0" fillId="2" borderId="5" xfId="1" applyNumberFormat="1" applyFont="1" applyFill="1" applyBorder="1" applyAlignment="1" applyProtection="1">
      <alignment horizontal="left" vertical="top" wrapText="1"/>
      <protection locked="0"/>
    </xf>
    <xf numFmtId="170" fontId="72" fillId="2" borderId="5" xfId="1" applyNumberFormat="1" applyFont="1" applyFill="1" applyBorder="1" applyAlignment="1" applyProtection="1">
      <alignment horizontal="left" vertical="top" wrapText="1"/>
      <protection locked="0"/>
    </xf>
    <xf numFmtId="44" fontId="0" fillId="2" borderId="14" xfId="1" applyNumberFormat="1" applyFont="1" applyFill="1" applyBorder="1" applyAlignment="1" applyProtection="1">
      <alignment horizontal="center" vertical="top"/>
      <protection locked="0"/>
    </xf>
    <xf numFmtId="0" fontId="7" fillId="2" borderId="0" xfId="0" applyFont="1" applyFill="1"/>
    <xf numFmtId="0" fontId="16" fillId="2" borderId="0" xfId="0" applyFont="1" applyFill="1"/>
    <xf numFmtId="0" fontId="3" fillId="4" borderId="13" xfId="0" applyFont="1" applyFill="1" applyBorder="1"/>
    <xf numFmtId="49" fontId="0" fillId="6" borderId="3" xfId="0" applyNumberFormat="1" applyFill="1" applyBorder="1" applyAlignment="1" applyProtection="1">
      <alignment vertical="top"/>
      <protection locked="0"/>
    </xf>
    <xf numFmtId="49" fontId="0" fillId="6" borderId="7" xfId="0" applyNumberFormat="1" applyFill="1" applyBorder="1" applyAlignment="1" applyProtection="1">
      <alignment vertical="top"/>
      <protection locked="0"/>
    </xf>
    <xf numFmtId="49" fontId="42" fillId="11" borderId="0" xfId="0" applyNumberFormat="1" applyFont="1" applyFill="1"/>
    <xf numFmtId="0" fontId="0" fillId="5" borderId="3" xfId="0" applyFill="1" applyBorder="1" applyAlignment="1">
      <alignment vertical="center"/>
    </xf>
    <xf numFmtId="49" fontId="0" fillId="6" borderId="3" xfId="0" quotePrefix="1" applyNumberFormat="1" applyFill="1" applyBorder="1" applyAlignment="1" applyProtection="1">
      <alignment vertical="top"/>
      <protection locked="0"/>
    </xf>
    <xf numFmtId="0" fontId="0" fillId="6" borderId="3" xfId="0" quotePrefix="1" applyFill="1" applyBorder="1" applyAlignment="1" applyProtection="1">
      <alignment vertical="top"/>
      <protection locked="0"/>
    </xf>
    <xf numFmtId="49" fontId="0" fillId="6" borderId="3" xfId="0" quotePrefix="1" applyNumberFormat="1" applyFill="1" applyBorder="1"/>
    <xf numFmtId="49" fontId="0" fillId="6" borderId="5" xfId="0" applyNumberFormat="1" applyFill="1" applyBorder="1" applyAlignment="1" applyProtection="1">
      <alignment horizontal="center"/>
      <protection locked="0"/>
    </xf>
    <xf numFmtId="170" fontId="75" fillId="2" borderId="5" xfId="1" applyNumberFormat="1" applyFont="1" applyFill="1" applyBorder="1" applyAlignment="1" applyProtection="1">
      <alignment horizontal="left" vertical="top" wrapText="1"/>
      <protection locked="0"/>
    </xf>
    <xf numFmtId="183" fontId="0" fillId="27" borderId="2" xfId="1" applyNumberFormat="1" applyFont="1" applyFill="1" applyBorder="1" applyAlignment="1" applyProtection="1">
      <alignment horizontal="center" vertical="top"/>
      <protection locked="0"/>
    </xf>
    <xf numFmtId="184" fontId="0" fillId="27" borderId="2" xfId="1" applyNumberFormat="1" applyFont="1" applyFill="1" applyBorder="1" applyAlignment="1" applyProtection="1">
      <alignment horizontal="center" vertical="top"/>
      <protection locked="0"/>
    </xf>
    <xf numFmtId="0" fontId="0" fillId="26" borderId="2" xfId="0" applyFill="1" applyBorder="1" applyAlignment="1" applyProtection="1">
      <alignment horizontal="center" vertical="top"/>
      <protection locked="0"/>
    </xf>
    <xf numFmtId="170" fontId="0" fillId="2" borderId="24" xfId="1" applyNumberFormat="1" applyFont="1" applyFill="1" applyBorder="1" applyAlignment="1" applyProtection="1">
      <alignment horizontal="left" vertical="top" wrapText="1"/>
      <protection locked="0"/>
    </xf>
    <xf numFmtId="170" fontId="0" fillId="2" borderId="4" xfId="1" applyNumberFormat="1" applyFont="1" applyFill="1" applyBorder="1" applyAlignment="1" applyProtection="1">
      <alignment horizontal="left" vertical="top" wrapText="1"/>
      <protection locked="0"/>
    </xf>
    <xf numFmtId="170" fontId="0" fillId="2" borderId="59" xfId="1" applyNumberFormat="1" applyFont="1" applyFill="1" applyBorder="1" applyAlignment="1" applyProtection="1">
      <alignment horizontal="center" vertical="top" wrapText="1"/>
      <protection locked="0"/>
    </xf>
    <xf numFmtId="0" fontId="0" fillId="2" borderId="18" xfId="0" applyFill="1" applyBorder="1" applyAlignment="1">
      <alignment vertical="top"/>
    </xf>
    <xf numFmtId="0" fontId="0" fillId="2" borderId="34" xfId="0" applyFill="1" applyBorder="1" applyAlignment="1">
      <alignment vertical="top"/>
    </xf>
    <xf numFmtId="170" fontId="0" fillId="19" borderId="59" xfId="1" applyNumberFormat="1" applyFont="1" applyFill="1" applyBorder="1" applyAlignment="1" applyProtection="1">
      <alignment horizontal="left" vertical="top" wrapText="1"/>
      <protection locked="0"/>
    </xf>
    <xf numFmtId="170" fontId="0" fillId="2" borderId="59" xfId="1" applyNumberFormat="1" applyFont="1" applyFill="1" applyBorder="1" applyAlignment="1" applyProtection="1">
      <alignment horizontal="left" vertical="top" wrapText="1"/>
      <protection locked="0"/>
    </xf>
    <xf numFmtId="0" fontId="0" fillId="2" borderId="0" xfId="0" applyFill="1" applyAlignment="1">
      <alignment horizontal="center" wrapText="1"/>
    </xf>
    <xf numFmtId="9" fontId="0" fillId="27" borderId="1" xfId="1" applyNumberFormat="1" applyFont="1" applyFill="1" applyBorder="1" applyAlignment="1" applyProtection="1">
      <alignment horizontal="center" vertical="top"/>
      <protection locked="0"/>
    </xf>
    <xf numFmtId="166" fontId="0" fillId="27" borderId="12" xfId="1" applyFont="1" applyFill="1" applyBorder="1" applyAlignment="1" applyProtection="1">
      <alignment horizontal="center" vertical="top"/>
      <protection locked="0"/>
    </xf>
    <xf numFmtId="166" fontId="0" fillId="27" borderId="24" xfId="1" applyFont="1" applyFill="1" applyBorder="1" applyAlignment="1" applyProtection="1">
      <alignment horizontal="center" vertical="top"/>
      <protection locked="0"/>
    </xf>
    <xf numFmtId="0" fontId="0" fillId="41" borderId="0" xfId="0" applyFill="1"/>
    <xf numFmtId="49" fontId="0" fillId="4" borderId="3" xfId="0" applyNumberFormat="1" applyFill="1" applyBorder="1" applyProtection="1">
      <protection locked="0"/>
    </xf>
    <xf numFmtId="0" fontId="3" fillId="4" borderId="1" xfId="0" applyFont="1" applyFill="1" applyBorder="1" applyAlignment="1">
      <alignment horizontal="left" vertical="center" wrapText="1"/>
    </xf>
    <xf numFmtId="166" fontId="4" fillId="5" borderId="1" xfId="13" applyFont="1" applyFill="1" applyBorder="1" applyAlignment="1" applyProtection="1">
      <alignment horizontal="right" vertical="center"/>
    </xf>
    <xf numFmtId="0" fontId="78" fillId="2" borderId="0" xfId="0" applyFont="1" applyFill="1" applyAlignment="1">
      <alignment horizontal="center" vertical="center" wrapText="1"/>
    </xf>
    <xf numFmtId="0" fontId="81" fillId="13" borderId="0" xfId="0" applyFont="1" applyFill="1" applyAlignment="1">
      <alignment horizontal="center" vertical="center" wrapText="1"/>
    </xf>
    <xf numFmtId="0" fontId="37" fillId="2" borderId="0" xfId="0" applyFont="1" applyFill="1" applyAlignment="1">
      <alignment horizontal="center" vertical="center"/>
    </xf>
    <xf numFmtId="0" fontId="79" fillId="2" borderId="0" xfId="0" applyFont="1" applyFill="1" applyAlignment="1">
      <alignment horizontal="center" vertical="center" wrapText="1"/>
    </xf>
    <xf numFmtId="168" fontId="3" fillId="4" borderId="1" xfId="0" applyNumberFormat="1" applyFont="1" applyFill="1" applyBorder="1" applyAlignment="1">
      <alignment horizontal="left" vertical="center" wrapText="1"/>
    </xf>
    <xf numFmtId="0" fontId="82" fillId="13" borderId="1" xfId="0" applyFont="1" applyFill="1" applyBorder="1" applyAlignment="1">
      <alignment horizontal="left" vertical="center" wrapText="1"/>
    </xf>
    <xf numFmtId="0" fontId="5" fillId="2" borderId="1" xfId="0" applyFont="1" applyFill="1" applyBorder="1" applyAlignment="1">
      <alignment horizontal="center" vertical="center"/>
    </xf>
    <xf numFmtId="0" fontId="84" fillId="0" borderId="1" xfId="0" applyFont="1" applyBorder="1" applyAlignment="1" applyProtection="1">
      <alignment vertical="top" wrapText="1"/>
      <protection locked="0"/>
    </xf>
    <xf numFmtId="0" fontId="0" fillId="2" borderId="0" xfId="0" applyFill="1" applyAlignment="1">
      <alignment horizontal="left" vertical="center"/>
    </xf>
    <xf numFmtId="0" fontId="38" fillId="2" borderId="0" xfId="0" applyFont="1" applyFill="1" applyAlignment="1">
      <alignment horizontal="center" vertical="center"/>
    </xf>
    <xf numFmtId="166" fontId="4" fillId="5" borderId="2" xfId="13" applyFont="1" applyFill="1" applyBorder="1" applyAlignment="1" applyProtection="1">
      <alignment horizontal="right" vertical="center"/>
    </xf>
    <xf numFmtId="0" fontId="85" fillId="38" borderId="60" xfId="0" applyFont="1" applyFill="1" applyBorder="1" applyAlignment="1">
      <alignment horizontal="left" vertical="center" wrapText="1"/>
    </xf>
    <xf numFmtId="0" fontId="85" fillId="0" borderId="0" xfId="0" applyFont="1" applyAlignment="1">
      <alignment horizontal="left" vertical="center" wrapText="1"/>
    </xf>
    <xf numFmtId="167" fontId="20" fillId="2" borderId="0" xfId="13" applyNumberFormat="1" applyFont="1" applyFill="1" applyAlignment="1" applyProtection="1"/>
    <xf numFmtId="167" fontId="20" fillId="2" borderId="0" xfId="13" applyNumberFormat="1" applyFont="1" applyFill="1" applyProtection="1"/>
    <xf numFmtId="0" fontId="8" fillId="2" borderId="0" xfId="0" applyFont="1" applyFill="1" applyAlignment="1">
      <alignment horizontal="left" vertical="center"/>
    </xf>
    <xf numFmtId="166" fontId="86" fillId="5" borderId="1" xfId="13" applyFont="1" applyFill="1" applyBorder="1" applyAlignment="1" applyProtection="1">
      <alignment horizontal="right" vertical="center"/>
    </xf>
    <xf numFmtId="0" fontId="5" fillId="2" borderId="3" xfId="0" applyFont="1" applyFill="1" applyBorder="1" applyAlignment="1">
      <alignment horizontal="center" vertical="center"/>
    </xf>
    <xf numFmtId="0" fontId="82" fillId="13" borderId="60" xfId="0" applyFont="1" applyFill="1" applyBorder="1" applyAlignment="1">
      <alignment horizontal="left" vertical="center" wrapText="1"/>
    </xf>
    <xf numFmtId="0" fontId="5" fillId="2" borderId="4" xfId="0" applyFont="1" applyFill="1" applyBorder="1" applyAlignment="1">
      <alignment horizontal="center" vertical="center"/>
    </xf>
    <xf numFmtId="166" fontId="4" fillId="5" borderId="60" xfId="13" applyFont="1" applyFill="1" applyBorder="1" applyAlignment="1" applyProtection="1">
      <alignment horizontal="right" vertical="center"/>
    </xf>
    <xf numFmtId="0" fontId="85" fillId="38" borderId="61" xfId="0" applyFont="1" applyFill="1" applyBorder="1" applyAlignment="1">
      <alignment horizontal="left" vertical="center" wrapText="1"/>
    </xf>
    <xf numFmtId="0" fontId="82" fillId="13" borderId="8" xfId="0" applyFont="1" applyFill="1" applyBorder="1" applyAlignment="1">
      <alignment horizontal="left" vertical="center" wrapText="1"/>
    </xf>
    <xf numFmtId="14" fontId="4" fillId="5" borderId="1" xfId="13" applyNumberFormat="1" applyFont="1" applyFill="1" applyBorder="1" applyAlignment="1" applyProtection="1">
      <alignment horizontal="right" vertical="center"/>
    </xf>
    <xf numFmtId="10" fontId="4" fillId="5" borderId="1" xfId="13" applyNumberFormat="1" applyFont="1" applyFill="1" applyBorder="1" applyAlignment="1" applyProtection="1">
      <alignment horizontal="center" vertical="center"/>
    </xf>
    <xf numFmtId="0" fontId="39" fillId="2" borderId="0" xfId="0" applyFont="1" applyFill="1" applyAlignment="1">
      <alignment horizontal="center" wrapText="1"/>
    </xf>
    <xf numFmtId="10" fontId="4" fillId="5" borderId="5" xfId="13" applyNumberFormat="1" applyFont="1" applyFill="1" applyBorder="1" applyAlignment="1" applyProtection="1">
      <alignment horizontal="center" vertical="center"/>
    </xf>
    <xf numFmtId="9" fontId="4" fillId="0" borderId="0" xfId="2" applyFont="1" applyFill="1" applyBorder="1" applyAlignment="1" applyProtection="1">
      <alignment horizontal="right" vertical="center"/>
    </xf>
    <xf numFmtId="0" fontId="82" fillId="5" borderId="2" xfId="0" applyFont="1" applyFill="1" applyBorder="1" applyAlignment="1">
      <alignment horizontal="left" vertical="center" wrapText="1"/>
    </xf>
    <xf numFmtId="0" fontId="39" fillId="38" borderId="60" xfId="0" applyFont="1" applyFill="1" applyBorder="1" applyAlignment="1">
      <alignment horizontal="center" vertical="center" wrapText="1"/>
    </xf>
    <xf numFmtId="0" fontId="39" fillId="0" borderId="0" xfId="0" applyFont="1" applyAlignment="1">
      <alignment horizontal="center" wrapText="1"/>
    </xf>
    <xf numFmtId="9" fontId="4" fillId="5" borderId="1" xfId="2" applyFont="1" applyFill="1" applyBorder="1" applyAlignment="1">
      <alignment horizontal="center" vertical="center"/>
    </xf>
    <xf numFmtId="0" fontId="5" fillId="2" borderId="0" xfId="0" applyFont="1" applyFill="1" applyAlignment="1">
      <alignment vertical="center"/>
    </xf>
    <xf numFmtId="0" fontId="88" fillId="0" borderId="0" xfId="0" applyFont="1" applyAlignment="1">
      <alignment horizontal="center" vertical="center"/>
    </xf>
    <xf numFmtId="0" fontId="39" fillId="0" borderId="0" xfId="0" applyFont="1" applyAlignment="1">
      <alignment vertical="top"/>
    </xf>
    <xf numFmtId="0" fontId="39" fillId="0" borderId="0" xfId="0" applyFont="1" applyAlignment="1">
      <alignment horizontal="center" vertical="top"/>
    </xf>
    <xf numFmtId="15" fontId="0" fillId="14" borderId="2" xfId="0" applyNumberFormat="1" applyFill="1" applyBorder="1"/>
    <xf numFmtId="0" fontId="0" fillId="6" borderId="7" xfId="0" quotePrefix="1" applyFill="1" applyBorder="1" applyAlignment="1" applyProtection="1">
      <alignment vertical="top"/>
      <protection locked="0"/>
    </xf>
    <xf numFmtId="49" fontId="0" fillId="6" borderId="5" xfId="0" quotePrefix="1" applyNumberFormat="1" applyFill="1" applyBorder="1" applyAlignment="1" applyProtection="1">
      <alignment horizontal="center" vertical="top"/>
      <protection locked="0"/>
    </xf>
    <xf numFmtId="168" fontId="0" fillId="6" borderId="5" xfId="0" quotePrefix="1" applyNumberFormat="1" applyFill="1" applyBorder="1" applyAlignment="1" applyProtection="1">
      <alignment horizontal="center" vertical="top"/>
      <protection locked="0"/>
    </xf>
    <xf numFmtId="43" fontId="0" fillId="2" borderId="5" xfId="1" quotePrefix="1" applyNumberFormat="1" applyFont="1" applyFill="1" applyBorder="1" applyAlignment="1" applyProtection="1">
      <alignment horizontal="center" vertical="top"/>
      <protection locked="0"/>
    </xf>
    <xf numFmtId="0" fontId="0" fillId="6" borderId="5" xfId="0" quotePrefix="1" applyFill="1" applyBorder="1" applyAlignment="1" applyProtection="1">
      <alignment horizontal="center" vertical="top"/>
      <protection locked="0"/>
    </xf>
    <xf numFmtId="166" fontId="0" fillId="6" borderId="5" xfId="1" quotePrefix="1" applyFont="1" applyFill="1" applyBorder="1" applyAlignment="1" applyProtection="1">
      <alignment horizontal="center" vertical="top"/>
      <protection locked="0"/>
    </xf>
    <xf numFmtId="0" fontId="0" fillId="6" borderId="5" xfId="0" quotePrefix="1" applyFill="1" applyBorder="1" applyAlignment="1" applyProtection="1">
      <alignment horizontal="left" vertical="top" wrapText="1"/>
      <protection locked="0"/>
    </xf>
    <xf numFmtId="166" fontId="0" fillId="6" borderId="5" xfId="1" quotePrefix="1" applyFont="1" applyFill="1" applyBorder="1" applyAlignment="1" applyProtection="1">
      <alignment horizontal="left" vertical="top" wrapText="1"/>
      <protection locked="0"/>
    </xf>
    <xf numFmtId="0" fontId="0" fillId="2" borderId="5" xfId="1" applyNumberFormat="1" applyFont="1" applyFill="1" applyBorder="1" applyAlignment="1" applyProtection="1">
      <alignment horizontal="center" vertical="top"/>
      <protection locked="0"/>
    </xf>
    <xf numFmtId="166" fontId="0" fillId="2" borderId="5" xfId="1" applyFont="1" applyFill="1" applyBorder="1" applyAlignment="1" applyProtection="1">
      <alignment horizontal="center" vertical="top"/>
      <protection locked="0"/>
    </xf>
    <xf numFmtId="43" fontId="0" fillId="2" borderId="5" xfId="1" applyNumberFormat="1" applyFont="1" applyFill="1" applyBorder="1" applyAlignment="1" applyProtection="1">
      <alignment horizontal="center" vertical="top"/>
      <protection locked="0"/>
    </xf>
    <xf numFmtId="168" fontId="0" fillId="2" borderId="6" xfId="1" applyNumberFormat="1" applyFont="1" applyFill="1" applyBorder="1" applyAlignment="1" applyProtection="1">
      <alignment horizontal="center" vertical="top"/>
      <protection locked="0"/>
    </xf>
    <xf numFmtId="0" fontId="0" fillId="4" borderId="9" xfId="0" applyFill="1" applyBorder="1" applyAlignment="1" applyProtection="1">
      <alignment vertical="top"/>
      <protection locked="0"/>
    </xf>
    <xf numFmtId="0" fontId="0" fillId="4" borderId="10" xfId="0" applyFill="1" applyBorder="1" applyAlignment="1">
      <alignment horizontal="center" vertical="top"/>
    </xf>
    <xf numFmtId="0" fontId="0" fillId="4" borderId="10" xfId="0" applyFill="1" applyBorder="1" applyAlignment="1" applyProtection="1">
      <alignment horizontal="center" vertical="top"/>
      <protection locked="0"/>
    </xf>
    <xf numFmtId="0" fontId="0" fillId="4" borderId="10" xfId="0" applyFill="1" applyBorder="1" applyAlignment="1" applyProtection="1">
      <alignment horizontal="left" vertical="top" wrapText="1"/>
      <protection locked="0"/>
    </xf>
    <xf numFmtId="49" fontId="0" fillId="2" borderId="1" xfId="0" applyNumberFormat="1" applyFill="1" applyBorder="1" applyAlignment="1" applyProtection="1">
      <alignment vertical="top"/>
      <protection locked="0"/>
    </xf>
    <xf numFmtId="0" fontId="0" fillId="6" borderId="1" xfId="0" quotePrefix="1" applyFill="1" applyBorder="1" applyAlignment="1" applyProtection="1">
      <alignment vertical="top"/>
      <protection locked="0"/>
    </xf>
    <xf numFmtId="168" fontId="0" fillId="2" borderId="1" xfId="1" applyNumberFormat="1" applyFont="1" applyFill="1" applyBorder="1" applyAlignment="1" applyProtection="1">
      <alignment horizontal="center" vertical="top"/>
      <protection locked="0"/>
    </xf>
    <xf numFmtId="49" fontId="0" fillId="2" borderId="1" xfId="0" applyNumberFormat="1" applyFill="1" applyBorder="1" applyProtection="1">
      <protection locked="0"/>
    </xf>
    <xf numFmtId="49" fontId="0" fillId="2" borderId="1" xfId="0" applyNumberFormat="1" applyFill="1" applyBorder="1" applyAlignment="1" applyProtection="1">
      <alignment horizontal="center"/>
      <protection locked="0"/>
    </xf>
    <xf numFmtId="170" fontId="89" fillId="2" borderId="5" xfId="1" applyNumberFormat="1" applyFont="1" applyFill="1" applyBorder="1" applyAlignment="1" applyProtection="1">
      <alignment horizontal="left" vertical="top" wrapText="1"/>
      <protection locked="0"/>
    </xf>
    <xf numFmtId="170" fontId="2" fillId="34" borderId="5" xfId="1" applyNumberFormat="1" applyFont="1" applyFill="1" applyBorder="1" applyAlignment="1" applyProtection="1">
      <alignment horizontal="left" vertical="top" wrapText="1"/>
      <protection locked="0"/>
    </xf>
    <xf numFmtId="0" fontId="0" fillId="6" borderId="1" xfId="0" quotePrefix="1" applyFill="1" applyBorder="1" applyAlignment="1" applyProtection="1">
      <alignment vertical="top" wrapText="1"/>
      <protection locked="0"/>
    </xf>
    <xf numFmtId="9" fontId="0" fillId="27" borderId="24" xfId="1" applyNumberFormat="1" applyFont="1" applyFill="1" applyBorder="1" applyAlignment="1" applyProtection="1">
      <alignment horizontal="center" vertical="top"/>
      <protection locked="0"/>
    </xf>
    <xf numFmtId="49" fontId="10" fillId="2" borderId="0" xfId="0" applyNumberFormat="1" applyFont="1" applyFill="1"/>
    <xf numFmtId="49" fontId="3" fillId="4" borderId="9" xfId="0" applyNumberFormat="1" applyFont="1" applyFill="1" applyBorder="1" applyAlignment="1">
      <alignment horizontal="center" wrapText="1"/>
    </xf>
    <xf numFmtId="49" fontId="0" fillId="26" borderId="2" xfId="0" applyNumberFormat="1" applyFill="1" applyBorder="1" applyAlignment="1" applyProtection="1">
      <alignment horizontal="center" vertical="top"/>
      <protection locked="0"/>
    </xf>
    <xf numFmtId="49" fontId="3" fillId="4" borderId="27" xfId="0" applyNumberFormat="1" applyFont="1" applyFill="1" applyBorder="1" applyAlignment="1">
      <alignment horizontal="right" indent="1"/>
    </xf>
    <xf numFmtId="49" fontId="0" fillId="2" borderId="0" xfId="1" applyNumberFormat="1" applyFont="1" applyFill="1"/>
    <xf numFmtId="49" fontId="3" fillId="4" borderId="40" xfId="1" applyNumberFormat="1" applyFont="1" applyFill="1" applyBorder="1" applyAlignment="1">
      <alignment horizontal="right" indent="1"/>
    </xf>
    <xf numFmtId="43" fontId="0" fillId="2" borderId="1" xfId="1" applyNumberFormat="1" applyFont="1" applyFill="1" applyBorder="1" applyAlignment="1" applyProtection="1">
      <alignment horizontal="center"/>
      <protection locked="0"/>
    </xf>
    <xf numFmtId="49" fontId="0" fillId="0" borderId="3" xfId="0" applyNumberFormat="1" applyBorder="1" applyAlignment="1" applyProtection="1">
      <alignment horizontal="left"/>
      <protection locked="0"/>
    </xf>
    <xf numFmtId="170" fontId="0" fillId="2" borderId="31" xfId="1" applyNumberFormat="1" applyFont="1" applyFill="1" applyBorder="1" applyAlignment="1" applyProtection="1">
      <alignment horizontal="center" vertical="top" wrapText="1"/>
      <protection locked="0"/>
    </xf>
    <xf numFmtId="170" fontId="0" fillId="2" borderId="1" xfId="1" applyNumberFormat="1" applyFont="1" applyFill="1" applyBorder="1" applyAlignment="1" applyProtection="1">
      <alignment horizontal="left" vertical="top" wrapText="1"/>
      <protection locked="0"/>
    </xf>
    <xf numFmtId="0" fontId="0" fillId="2" borderId="0" xfId="0" applyFill="1" applyAlignment="1">
      <alignment wrapText="1"/>
    </xf>
    <xf numFmtId="0" fontId="0" fillId="2" borderId="4" xfId="0" applyFill="1" applyBorder="1" applyAlignment="1">
      <alignment vertical="top"/>
    </xf>
    <xf numFmtId="166" fontId="0" fillId="27" borderId="51" xfId="1" applyFont="1" applyFill="1" applyBorder="1" applyAlignment="1" applyProtection="1">
      <alignment horizontal="center" vertical="top"/>
      <protection locked="0"/>
    </xf>
    <xf numFmtId="166" fontId="0" fillId="27" borderId="14" xfId="1" applyFont="1" applyFill="1" applyBorder="1" applyAlignment="1" applyProtection="1">
      <alignment horizontal="center" vertical="top"/>
      <protection locked="0"/>
    </xf>
    <xf numFmtId="0" fontId="10" fillId="2" borderId="0" xfId="0" applyFont="1" applyFill="1" applyAlignment="1">
      <alignment wrapText="1"/>
    </xf>
    <xf numFmtId="0" fontId="11" fillId="2" borderId="0" xfId="0" applyFont="1" applyFill="1" applyAlignment="1">
      <alignment horizontal="center" wrapText="1"/>
    </xf>
    <xf numFmtId="10" fontId="11" fillId="2" borderId="0" xfId="0" applyNumberFormat="1" applyFont="1" applyFill="1" applyAlignment="1">
      <alignment horizontal="center" wrapText="1"/>
    </xf>
    <xf numFmtId="49" fontId="0" fillId="2" borderId="4" xfId="0" applyNumberFormat="1" applyFill="1" applyBorder="1" applyAlignment="1" applyProtection="1">
      <alignment horizontal="left" vertical="top" wrapText="1"/>
      <protection locked="0"/>
    </xf>
    <xf numFmtId="0" fontId="0" fillId="2" borderId="24" xfId="0" applyFill="1" applyBorder="1" applyAlignment="1">
      <alignment vertical="top" wrapText="1"/>
    </xf>
    <xf numFmtId="0" fontId="3" fillId="9" borderId="62" xfId="0" applyFont="1" applyFill="1" applyBorder="1" applyAlignment="1">
      <alignment horizontal="center" wrapText="1"/>
    </xf>
    <xf numFmtId="0" fontId="3" fillId="4" borderId="27" xfId="0" applyFont="1" applyFill="1" applyBorder="1" applyAlignment="1">
      <alignment wrapText="1"/>
    </xf>
    <xf numFmtId="166" fontId="3" fillId="4" borderId="40" xfId="1" applyFont="1" applyFill="1" applyBorder="1" applyAlignment="1">
      <alignment horizontal="right" wrapText="1"/>
    </xf>
    <xf numFmtId="9" fontId="11" fillId="12" borderId="13" xfId="0" applyNumberFormat="1" applyFont="1" applyFill="1" applyBorder="1" applyAlignment="1">
      <alignment horizontal="center"/>
    </xf>
    <xf numFmtId="0" fontId="10" fillId="12" borderId="13" xfId="0" applyFont="1" applyFill="1" applyBorder="1" applyAlignment="1">
      <alignment horizontal="center"/>
    </xf>
    <xf numFmtId="184" fontId="0" fillId="27" borderId="1" xfId="1" applyNumberFormat="1" applyFont="1" applyFill="1" applyBorder="1" applyAlignment="1" applyProtection="1">
      <alignment horizontal="center" vertical="top"/>
      <protection locked="0"/>
    </xf>
    <xf numFmtId="9" fontId="3" fillId="4" borderId="26" xfId="2" applyFont="1" applyFill="1" applyBorder="1" applyAlignment="1">
      <alignment horizontal="right" indent="1"/>
    </xf>
    <xf numFmtId="9" fontId="0" fillId="2" borderId="13" xfId="1" applyNumberFormat="1" applyFont="1" applyFill="1" applyBorder="1"/>
    <xf numFmtId="9" fontId="3" fillId="4" borderId="41" xfId="0" applyNumberFormat="1" applyFont="1" applyFill="1" applyBorder="1" applyAlignment="1">
      <alignment horizontal="center" vertical="top"/>
    </xf>
    <xf numFmtId="170" fontId="0" fillId="2" borderId="4" xfId="1" applyNumberFormat="1" applyFont="1" applyFill="1" applyBorder="1" applyAlignment="1" applyProtection="1">
      <alignment vertical="top" wrapText="1"/>
      <protection locked="0"/>
    </xf>
    <xf numFmtId="170" fontId="0" fillId="2" borderId="31" xfId="1" applyNumberFormat="1" applyFont="1" applyFill="1" applyBorder="1" applyAlignment="1" applyProtection="1">
      <alignment vertical="top" wrapText="1"/>
      <protection locked="0"/>
    </xf>
    <xf numFmtId="0" fontId="0" fillId="2" borderId="4" xfId="0" applyFill="1" applyBorder="1" applyAlignment="1">
      <alignment vertical="top" wrapText="1"/>
    </xf>
    <xf numFmtId="0" fontId="0" fillId="2" borderId="3" xfId="0" applyFill="1" applyBorder="1" applyAlignment="1">
      <alignment vertical="top" wrapText="1"/>
    </xf>
    <xf numFmtId="170" fontId="0" fillId="2" borderId="3" xfId="1" applyNumberFormat="1" applyFont="1" applyFill="1" applyBorder="1" applyAlignment="1" applyProtection="1">
      <alignment vertical="top" wrapText="1"/>
      <protection locked="0"/>
    </xf>
    <xf numFmtId="0" fontId="56" fillId="0" borderId="3" xfId="0" applyFont="1" applyBorder="1" applyAlignment="1">
      <alignment wrapText="1"/>
    </xf>
    <xf numFmtId="0" fontId="0" fillId="2" borderId="3" xfId="0" applyFill="1" applyBorder="1" applyAlignment="1">
      <alignment vertical="top"/>
    </xf>
    <xf numFmtId="0" fontId="5" fillId="2" borderId="0" xfId="0" applyFont="1" applyFill="1"/>
    <xf numFmtId="44" fontId="24" fillId="2" borderId="0" xfId="0" applyNumberFormat="1" applyFont="1" applyFill="1" applyAlignment="1">
      <alignment horizontal="right" indent="1"/>
    </xf>
    <xf numFmtId="44" fontId="50" fillId="2" borderId="6" xfId="1" applyNumberFormat="1" applyFont="1" applyFill="1" applyBorder="1" applyAlignment="1" applyProtection="1">
      <alignment horizontal="center" vertical="top"/>
      <protection locked="0"/>
    </xf>
    <xf numFmtId="170" fontId="0" fillId="14" borderId="5" xfId="1" applyNumberFormat="1" applyFont="1" applyFill="1" applyBorder="1" applyAlignment="1" applyProtection="1">
      <alignment horizontal="left" vertical="top" wrapText="1"/>
      <protection locked="0"/>
    </xf>
    <xf numFmtId="170" fontId="50" fillId="21" borderId="5" xfId="1" applyNumberFormat="1" applyFont="1" applyFill="1" applyBorder="1" applyAlignment="1" applyProtection="1">
      <alignment horizontal="left" vertical="top" wrapText="1"/>
      <protection locked="0"/>
    </xf>
    <xf numFmtId="168" fontId="0" fillId="14" borderId="6" xfId="0" applyNumberFormat="1" applyFill="1" applyBorder="1" applyAlignment="1" applyProtection="1">
      <alignment horizontal="center" vertical="top"/>
      <protection locked="0"/>
    </xf>
    <xf numFmtId="0" fontId="0" fillId="0" borderId="6" xfId="0" quotePrefix="1" applyBorder="1" applyAlignment="1" applyProtection="1">
      <alignment horizontal="center" vertical="top"/>
      <protection locked="0"/>
    </xf>
    <xf numFmtId="43" fontId="0" fillId="5" borderId="2" xfId="1" quotePrefix="1" applyNumberFormat="1" applyFont="1" applyFill="1" applyBorder="1" applyAlignment="1" applyProtection="1">
      <alignment horizontal="center"/>
    </xf>
    <xf numFmtId="167" fontId="3" fillId="4" borderId="1" xfId="1" applyNumberFormat="1" applyFont="1" applyFill="1" applyBorder="1" applyAlignment="1" applyProtection="1">
      <alignment horizontal="center"/>
    </xf>
    <xf numFmtId="167" fontId="0" fillId="0" borderId="0" xfId="1" applyNumberFormat="1" applyFont="1" applyFill="1" applyAlignment="1" applyProtection="1">
      <alignment horizontal="center"/>
    </xf>
    <xf numFmtId="1" fontId="0" fillId="2" borderId="6" xfId="0" quotePrefix="1" applyNumberFormat="1" applyFill="1" applyBorder="1" applyAlignment="1" applyProtection="1">
      <alignment horizontal="center" vertical="top" wrapText="1"/>
      <protection locked="0"/>
    </xf>
    <xf numFmtId="0" fontId="0" fillId="2" borderId="6" xfId="0" quotePrefix="1" applyFill="1" applyBorder="1" applyAlignment="1" applyProtection="1">
      <alignment horizontal="center" vertical="top" wrapText="1"/>
      <protection locked="0"/>
    </xf>
    <xf numFmtId="38" fontId="0" fillId="2" borderId="1" xfId="1" applyNumberFormat="1" applyFont="1" applyFill="1" applyBorder="1" applyAlignment="1" applyProtection="1">
      <alignment horizontal="center" vertical="top"/>
    </xf>
    <xf numFmtId="178" fontId="0" fillId="6" borderId="1" xfId="0" applyNumberFormat="1" applyFill="1" applyBorder="1" applyAlignment="1">
      <alignment horizontal="center" vertical="top"/>
    </xf>
    <xf numFmtId="49" fontId="0" fillId="5" borderId="5" xfId="0" applyNumberFormat="1" applyFill="1" applyBorder="1" applyAlignment="1">
      <alignment horizontal="left" vertical="top"/>
    </xf>
    <xf numFmtId="0" fontId="0" fillId="5" borderId="5" xfId="0" applyFill="1" applyBorder="1" applyAlignment="1">
      <alignment horizontal="center" vertical="top"/>
    </xf>
    <xf numFmtId="170" fontId="0" fillId="2" borderId="1" xfId="1" applyNumberFormat="1" applyFont="1" applyFill="1" applyBorder="1" applyAlignment="1" applyProtection="1">
      <alignment horizontal="center" vertical="top" wrapText="1"/>
    </xf>
    <xf numFmtId="168" fontId="13" fillId="2" borderId="1" xfId="0" applyNumberFormat="1" applyFont="1" applyFill="1" applyBorder="1" applyAlignment="1">
      <alignment horizontal="center" vertical="top" wrapText="1"/>
    </xf>
    <xf numFmtId="170" fontId="0" fillId="2" borderId="1" xfId="1" applyNumberFormat="1" applyFont="1" applyFill="1" applyBorder="1" applyAlignment="1" applyProtection="1">
      <alignment vertical="top"/>
    </xf>
    <xf numFmtId="167" fontId="0" fillId="2" borderId="1" xfId="1" applyNumberFormat="1" applyFont="1" applyFill="1" applyBorder="1" applyAlignment="1" applyProtection="1">
      <alignment horizontal="center" vertical="top"/>
    </xf>
    <xf numFmtId="0" fontId="0" fillId="2" borderId="1" xfId="0" applyFill="1" applyBorder="1" applyAlignment="1">
      <alignment vertical="top" wrapText="1"/>
    </xf>
    <xf numFmtId="170" fontId="0" fillId="2" borderId="1" xfId="1" applyNumberFormat="1" applyFont="1" applyFill="1" applyBorder="1" applyAlignment="1" applyProtection="1">
      <alignment horizontal="center" vertical="top"/>
    </xf>
    <xf numFmtId="44" fontId="3" fillId="4" borderId="1" xfId="0" applyNumberFormat="1" applyFont="1" applyFill="1" applyBorder="1"/>
    <xf numFmtId="10" fontId="3" fillId="4" borderId="1" xfId="0" applyNumberFormat="1" applyFont="1" applyFill="1" applyBorder="1"/>
    <xf numFmtId="44" fontId="3" fillId="4" borderId="4" xfId="0" applyNumberFormat="1" applyFont="1" applyFill="1" applyBorder="1"/>
    <xf numFmtId="166" fontId="0" fillId="5" borderId="8" xfId="1" applyFont="1" applyFill="1" applyBorder="1" applyAlignment="1" applyProtection="1">
      <alignment horizontal="center" vertical="top"/>
    </xf>
    <xf numFmtId="43" fontId="50" fillId="2" borderId="1" xfId="1" quotePrefix="1" applyNumberFormat="1" applyFont="1" applyFill="1" applyBorder="1" applyAlignment="1" applyProtection="1">
      <alignment horizontal="center" vertical="top"/>
      <protection locked="0"/>
    </xf>
    <xf numFmtId="166" fontId="4" fillId="44" borderId="1" xfId="1" applyFont="1" applyFill="1" applyBorder="1" applyAlignment="1" applyProtection="1">
      <alignment horizontal="left" vertical="top" wrapText="1"/>
    </xf>
    <xf numFmtId="15" fontId="4" fillId="44" borderId="1" xfId="0" applyNumberFormat="1" applyFont="1" applyFill="1" applyBorder="1" applyAlignment="1">
      <alignment horizontal="right" vertical="top" wrapText="1"/>
    </xf>
    <xf numFmtId="9" fontId="0" fillId="27" borderId="3" xfId="1" applyNumberFormat="1" applyFont="1" applyFill="1" applyBorder="1" applyAlignment="1" applyProtection="1">
      <alignment horizontal="center" vertical="top"/>
      <protection locked="0"/>
    </xf>
    <xf numFmtId="9" fontId="3" fillId="9" borderId="17" xfId="0" applyNumberFormat="1" applyFont="1" applyFill="1" applyBorder="1" applyAlignment="1">
      <alignment horizontal="center"/>
    </xf>
    <xf numFmtId="9" fontId="3" fillId="4" borderId="19" xfId="1" applyNumberFormat="1" applyFont="1" applyFill="1" applyBorder="1" applyAlignment="1" applyProtection="1">
      <alignment horizontal="center" wrapText="1"/>
    </xf>
    <xf numFmtId="184" fontId="0" fillId="27" borderId="19" xfId="1" applyNumberFormat="1" applyFont="1" applyFill="1" applyBorder="1" applyAlignment="1" applyProtection="1">
      <alignment horizontal="center" vertical="top"/>
      <protection locked="0"/>
    </xf>
    <xf numFmtId="183" fontId="0" fillId="27" borderId="19" xfId="1" applyNumberFormat="1" applyFont="1" applyFill="1" applyBorder="1" applyAlignment="1" applyProtection="1">
      <alignment horizontal="center" vertical="top"/>
      <protection locked="0"/>
    </xf>
    <xf numFmtId="166" fontId="2" fillId="27" borderId="19" xfId="1" applyFont="1" applyFill="1" applyBorder="1" applyAlignment="1" applyProtection="1">
      <alignment horizontal="center" vertical="top"/>
      <protection locked="0"/>
    </xf>
    <xf numFmtId="166" fontId="0" fillId="19" borderId="19" xfId="1" applyFont="1" applyFill="1" applyBorder="1" applyAlignment="1" applyProtection="1">
      <alignment horizontal="center" vertical="top"/>
      <protection locked="0"/>
    </xf>
    <xf numFmtId="9" fontId="0" fillId="19" borderId="24" xfId="2" applyFont="1" applyFill="1" applyBorder="1" applyAlignment="1" applyProtection="1">
      <alignment horizontal="center" vertical="top"/>
      <protection locked="0"/>
    </xf>
    <xf numFmtId="9" fontId="0" fillId="19" borderId="4" xfId="1" applyNumberFormat="1" applyFont="1" applyFill="1" applyBorder="1" applyAlignment="1" applyProtection="1">
      <alignment horizontal="center" vertical="top"/>
      <protection locked="0"/>
    </xf>
    <xf numFmtId="166" fontId="0" fillId="27" borderId="58" xfId="1" applyFont="1" applyFill="1" applyBorder="1" applyAlignment="1" applyProtection="1">
      <alignment horizontal="center" vertical="top"/>
      <protection locked="0"/>
    </xf>
    <xf numFmtId="0" fontId="0" fillId="27" borderId="49" xfId="0" applyFill="1" applyBorder="1" applyAlignment="1">
      <alignment vertical="top"/>
    </xf>
    <xf numFmtId="166" fontId="0" fillId="27" borderId="33" xfId="1" applyFont="1" applyFill="1" applyBorder="1" applyAlignment="1" applyProtection="1">
      <alignment horizontal="center" vertical="top"/>
      <protection locked="0"/>
    </xf>
    <xf numFmtId="9" fontId="0" fillId="19" borderId="24" xfId="1" applyNumberFormat="1" applyFont="1" applyFill="1" applyBorder="1" applyAlignment="1" applyProtection="1">
      <alignment horizontal="center" vertical="top"/>
      <protection locked="0"/>
    </xf>
    <xf numFmtId="165" fontId="0" fillId="27" borderId="1" xfId="8" applyFont="1" applyFill="1" applyBorder="1" applyAlignment="1" applyProtection="1">
      <alignment horizontal="center" vertical="top"/>
      <protection locked="0"/>
    </xf>
    <xf numFmtId="166" fontId="13" fillId="27" borderId="19" xfId="1" applyFont="1" applyFill="1" applyBorder="1" applyAlignment="1" applyProtection="1">
      <alignment horizontal="center" vertical="top"/>
      <protection locked="0"/>
    </xf>
    <xf numFmtId="0" fontId="0" fillId="2" borderId="59" xfId="0" applyFill="1" applyBorder="1" applyAlignment="1">
      <alignment vertical="top"/>
    </xf>
    <xf numFmtId="2" fontId="0" fillId="26" borderId="2" xfId="0" applyNumberFormat="1" applyFill="1" applyBorder="1" applyAlignment="1" applyProtection="1">
      <alignment horizontal="center" vertical="top"/>
      <protection locked="0"/>
    </xf>
    <xf numFmtId="165" fontId="0" fillId="2" borderId="0" xfId="8" applyFont="1" applyFill="1" applyProtection="1"/>
    <xf numFmtId="165" fontId="10" fillId="2" borderId="0" xfId="8" applyFont="1" applyFill="1" applyProtection="1"/>
    <xf numFmtId="165" fontId="0" fillId="2" borderId="0" xfId="8" applyFont="1" applyFill="1" applyAlignment="1" applyProtection="1">
      <alignment horizontal="center" wrapText="1"/>
    </xf>
    <xf numFmtId="165" fontId="10" fillId="2" borderId="0" xfId="8" applyFont="1" applyFill="1" applyAlignment="1" applyProtection="1">
      <alignment horizontal="left"/>
    </xf>
    <xf numFmtId="165" fontId="3" fillId="4" borderId="33" xfId="8" applyFont="1" applyFill="1" applyBorder="1" applyAlignment="1" applyProtection="1">
      <alignment horizontal="center" wrapText="1"/>
    </xf>
    <xf numFmtId="165" fontId="0" fillId="26" borderId="19" xfId="8" applyFont="1" applyFill="1" applyBorder="1" applyAlignment="1" applyProtection="1">
      <alignment horizontal="center" vertical="top"/>
      <protection locked="0"/>
    </xf>
    <xf numFmtId="165" fontId="3" fillId="4" borderId="21" xfId="8" applyFont="1" applyFill="1" applyBorder="1" applyAlignment="1">
      <alignment horizontal="right" indent="1"/>
    </xf>
    <xf numFmtId="165" fontId="0" fillId="2" borderId="0" xfId="8" applyFont="1" applyFill="1"/>
    <xf numFmtId="165" fontId="3" fillId="4" borderId="42" xfId="8" applyFont="1" applyFill="1" applyBorder="1" applyAlignment="1">
      <alignment horizontal="center" vertical="top"/>
    </xf>
    <xf numFmtId="167" fontId="50" fillId="21" borderId="6" xfId="1" applyNumberFormat="1" applyFont="1" applyFill="1" applyBorder="1" applyAlignment="1" applyProtection="1">
      <alignment horizontal="center" vertical="top"/>
      <protection locked="0"/>
    </xf>
    <xf numFmtId="49" fontId="3" fillId="4" borderId="10" xfId="0" applyNumberFormat="1" applyFont="1" applyFill="1" applyBorder="1" applyAlignment="1">
      <alignment horizontal="right"/>
    </xf>
    <xf numFmtId="44" fontId="3" fillId="4" borderId="8" xfId="0" applyNumberFormat="1" applyFont="1" applyFill="1" applyBorder="1" applyAlignment="1">
      <alignment horizontal="center"/>
    </xf>
    <xf numFmtId="0" fontId="0" fillId="4" borderId="11" xfId="0" applyFill="1" applyBorder="1" applyAlignment="1" applyProtection="1">
      <alignment horizontal="left" vertical="top" wrapText="1"/>
      <protection locked="0"/>
    </xf>
    <xf numFmtId="49" fontId="3" fillId="4" borderId="11" xfId="0" applyNumberFormat="1" applyFont="1" applyFill="1" applyBorder="1"/>
    <xf numFmtId="43" fontId="3" fillId="4" borderId="10" xfId="0" applyNumberFormat="1" applyFont="1" applyFill="1" applyBorder="1"/>
    <xf numFmtId="43" fontId="3" fillId="4" borderId="10" xfId="0" applyNumberFormat="1" applyFont="1" applyFill="1" applyBorder="1" applyAlignment="1">
      <alignment horizontal="right"/>
    </xf>
    <xf numFmtId="44" fontId="50" fillId="2" borderId="1" xfId="1" applyNumberFormat="1" applyFont="1" applyFill="1" applyBorder="1" applyAlignment="1" applyProtection="1">
      <alignment horizontal="center" vertical="top"/>
      <protection locked="0"/>
    </xf>
    <xf numFmtId="0" fontId="0" fillId="21" borderId="1" xfId="0" quotePrefix="1" applyFill="1" applyBorder="1" applyAlignment="1" applyProtection="1">
      <alignment horizontal="center" vertical="top"/>
      <protection locked="0"/>
    </xf>
    <xf numFmtId="166" fontId="0" fillId="21" borderId="1" xfId="1" quotePrefix="1" applyFont="1" applyFill="1" applyBorder="1" applyAlignment="1" applyProtection="1">
      <alignment horizontal="center" vertical="top"/>
      <protection locked="0"/>
    </xf>
    <xf numFmtId="0" fontId="0" fillId="21" borderId="1" xfId="0" quotePrefix="1" applyFill="1" applyBorder="1" applyAlignment="1" applyProtection="1">
      <alignment horizontal="left" vertical="top" wrapText="1"/>
      <protection locked="0"/>
    </xf>
    <xf numFmtId="44" fontId="0" fillId="2" borderId="0" xfId="1" applyNumberFormat="1" applyFont="1" applyFill="1" applyBorder="1" applyProtection="1">
      <protection locked="0"/>
    </xf>
    <xf numFmtId="0" fontId="0" fillId="39" borderId="6" xfId="0" quotePrefix="1" applyFill="1" applyBorder="1" applyAlignment="1" applyProtection="1">
      <alignment horizontal="center" vertical="top"/>
      <protection locked="0"/>
    </xf>
    <xf numFmtId="0" fontId="0" fillId="37" borderId="6" xfId="0" quotePrefix="1" applyFill="1" applyBorder="1" applyAlignment="1" applyProtection="1">
      <alignment horizontal="center" vertical="top"/>
      <protection locked="0"/>
    </xf>
    <xf numFmtId="0" fontId="0" fillId="38" borderId="6" xfId="0" quotePrefix="1" applyFill="1" applyBorder="1" applyAlignment="1" applyProtection="1">
      <alignment horizontal="center" vertical="top"/>
      <protection locked="0"/>
    </xf>
    <xf numFmtId="170" fontId="0" fillId="39" borderId="5" xfId="1" applyNumberFormat="1" applyFont="1" applyFill="1" applyBorder="1" applyAlignment="1" applyProtection="1">
      <alignment horizontal="left" vertical="top" wrapText="1"/>
      <protection locked="0"/>
    </xf>
    <xf numFmtId="170" fontId="0" fillId="37" borderId="5" xfId="1" applyNumberFormat="1" applyFont="1" applyFill="1" applyBorder="1" applyAlignment="1" applyProtection="1">
      <alignment horizontal="left" vertical="top" wrapText="1"/>
      <protection locked="0"/>
    </xf>
    <xf numFmtId="170" fontId="0" fillId="38" borderId="5" xfId="1" applyNumberFormat="1" applyFont="1" applyFill="1" applyBorder="1" applyAlignment="1" applyProtection="1">
      <alignment horizontal="left" vertical="top" wrapText="1"/>
      <protection locked="0"/>
    </xf>
    <xf numFmtId="49" fontId="0" fillId="44" borderId="14" xfId="0" applyNumberFormat="1" applyFill="1" applyBorder="1" applyAlignment="1" applyProtection="1">
      <alignment horizontal="left" vertical="top"/>
      <protection locked="0"/>
    </xf>
    <xf numFmtId="0" fontId="0" fillId="44" borderId="6" xfId="0" quotePrefix="1" applyFill="1" applyBorder="1" applyAlignment="1" applyProtection="1">
      <alignment horizontal="center" vertical="top"/>
      <protection locked="0"/>
    </xf>
    <xf numFmtId="168" fontId="0" fillId="44" borderId="6" xfId="0" applyNumberFormat="1" applyFill="1" applyBorder="1" applyAlignment="1" applyProtection="1">
      <alignment horizontal="center" vertical="top"/>
      <protection locked="0"/>
    </xf>
    <xf numFmtId="44" fontId="0" fillId="44" borderId="6" xfId="1" applyNumberFormat="1" applyFont="1" applyFill="1" applyBorder="1" applyAlignment="1" applyProtection="1">
      <alignment horizontal="center" vertical="top"/>
      <protection locked="0"/>
    </xf>
    <xf numFmtId="49" fontId="0" fillId="37" borderId="14" xfId="0" applyNumberFormat="1" applyFill="1" applyBorder="1" applyAlignment="1" applyProtection="1">
      <alignment horizontal="left" vertical="top"/>
      <protection locked="0"/>
    </xf>
    <xf numFmtId="168" fontId="0" fillId="37" borderId="6" xfId="0" applyNumberFormat="1" applyFill="1" applyBorder="1" applyAlignment="1" applyProtection="1">
      <alignment horizontal="center" vertical="top"/>
      <protection locked="0"/>
    </xf>
    <xf numFmtId="44" fontId="0" fillId="37" borderId="6" xfId="1" applyNumberFormat="1" applyFont="1" applyFill="1" applyBorder="1" applyAlignment="1" applyProtection="1">
      <alignment horizontal="center" vertical="top"/>
      <protection locked="0"/>
    </xf>
    <xf numFmtId="170" fontId="0" fillId="46" borderId="5" xfId="1" applyNumberFormat="1" applyFont="1" applyFill="1" applyBorder="1" applyAlignment="1" applyProtection="1">
      <alignment horizontal="left" vertical="top" wrapText="1"/>
      <protection locked="0"/>
    </xf>
    <xf numFmtId="49" fontId="0" fillId="31" borderId="14" xfId="0" applyNumberFormat="1" applyFill="1" applyBorder="1" applyAlignment="1" applyProtection="1">
      <alignment horizontal="left" vertical="top"/>
      <protection locked="0"/>
    </xf>
    <xf numFmtId="0" fontId="0" fillId="31" borderId="6" xfId="0" quotePrefix="1" applyFill="1" applyBorder="1" applyAlignment="1" applyProtection="1">
      <alignment horizontal="center" vertical="top"/>
      <protection locked="0"/>
    </xf>
    <xf numFmtId="49" fontId="0" fillId="46" borderId="14" xfId="0" applyNumberFormat="1" applyFill="1" applyBorder="1" applyAlignment="1" applyProtection="1">
      <alignment horizontal="left" vertical="top"/>
      <protection locked="0"/>
    </xf>
    <xf numFmtId="0" fontId="0" fillId="46" borderId="6" xfId="0" quotePrefix="1" applyFill="1" applyBorder="1" applyAlignment="1" applyProtection="1">
      <alignment horizontal="center" vertical="top"/>
      <protection locked="0"/>
    </xf>
    <xf numFmtId="168" fontId="0" fillId="46" borderId="6" xfId="0" applyNumberFormat="1" applyFill="1" applyBorder="1" applyAlignment="1" applyProtection="1">
      <alignment horizontal="center" vertical="top"/>
      <protection locked="0"/>
    </xf>
    <xf numFmtId="44" fontId="0" fillId="46" borderId="6" xfId="1" applyNumberFormat="1" applyFont="1" applyFill="1" applyBorder="1" applyAlignment="1" applyProtection="1">
      <alignment horizontal="center" vertical="top"/>
      <protection locked="0"/>
    </xf>
    <xf numFmtId="168" fontId="0" fillId="31" borderId="6" xfId="0" applyNumberFormat="1" applyFill="1" applyBorder="1" applyAlignment="1" applyProtection="1">
      <alignment horizontal="center" vertical="top"/>
      <protection locked="0"/>
    </xf>
    <xf numFmtId="44" fontId="0" fillId="31" borderId="6" xfId="1" applyNumberFormat="1" applyFont="1" applyFill="1" applyBorder="1" applyAlignment="1" applyProtection="1">
      <alignment horizontal="center" vertical="top"/>
      <protection locked="0"/>
    </xf>
    <xf numFmtId="170" fontId="0" fillId="21" borderId="5" xfId="1" applyNumberFormat="1" applyFont="1" applyFill="1" applyBorder="1" applyAlignment="1" applyProtection="1">
      <alignment horizontal="left" vertical="top" wrapText="1"/>
      <protection locked="0"/>
    </xf>
    <xf numFmtId="49" fontId="0" fillId="2" borderId="5" xfId="1" applyNumberFormat="1" applyFont="1" applyFill="1" applyBorder="1" applyAlignment="1" applyProtection="1">
      <alignment horizontal="left" vertical="top" wrapText="1"/>
      <protection locked="0"/>
    </xf>
    <xf numFmtId="43" fontId="0" fillId="0" borderId="1" xfId="1" applyNumberFormat="1" applyFont="1" applyFill="1" applyBorder="1" applyAlignment="1" applyProtection="1">
      <alignment horizontal="left" vertical="top" wrapText="1"/>
      <protection locked="0"/>
    </xf>
    <xf numFmtId="49" fontId="0" fillId="0" borderId="2" xfId="1" applyNumberFormat="1" applyFont="1" applyFill="1" applyBorder="1" applyAlignment="1" applyProtection="1">
      <alignment horizontal="left" vertical="top" wrapText="1"/>
      <protection locked="0"/>
    </xf>
    <xf numFmtId="0" fontId="3" fillId="16" borderId="15" xfId="0" applyFont="1" applyFill="1" applyBorder="1" applyAlignment="1">
      <alignment horizontal="center" vertical="center" wrapText="1"/>
    </xf>
    <xf numFmtId="0" fontId="3" fillId="16" borderId="0" xfId="0" applyFont="1" applyFill="1" applyAlignment="1">
      <alignment horizontal="center" vertical="center" wrapText="1"/>
    </xf>
    <xf numFmtId="0" fontId="3" fillId="4" borderId="1" xfId="0" applyFont="1" applyFill="1" applyBorder="1" applyAlignment="1">
      <alignment horizontal="center"/>
    </xf>
    <xf numFmtId="0" fontId="0" fillId="2" borderId="0" xfId="0" applyFill="1" applyAlignment="1">
      <alignment wrapText="1"/>
    </xf>
    <xf numFmtId="0" fontId="3" fillId="4" borderId="0" xfId="0" applyFont="1" applyFill="1" applyAlignment="1">
      <alignment horizontal="center"/>
    </xf>
    <xf numFmtId="0" fontId="3" fillId="15" borderId="0" xfId="0" applyFont="1" applyFill="1" applyAlignment="1">
      <alignment horizontal="center"/>
    </xf>
    <xf numFmtId="0" fontId="4" fillId="2" borderId="0" xfId="0" applyFont="1" applyFill="1" applyAlignment="1">
      <alignment horizontal="center"/>
    </xf>
    <xf numFmtId="0" fontId="3" fillId="4" borderId="15" xfId="0" applyFont="1" applyFill="1" applyBorder="1" applyAlignment="1">
      <alignment horizontal="center"/>
    </xf>
    <xf numFmtId="49" fontId="0" fillId="6" borderId="1" xfId="0" applyNumberFormat="1" applyFill="1" applyBorder="1" applyAlignment="1">
      <alignment horizontal="left" vertical="top" wrapText="1"/>
    </xf>
    <xf numFmtId="0" fontId="0" fillId="5" borderId="2" xfId="0" applyFill="1" applyBorder="1" applyAlignment="1">
      <alignment horizontal="center" vertical="top"/>
    </xf>
    <xf numFmtId="0" fontId="0" fillId="5" borderId="3" xfId="0" applyFill="1" applyBorder="1" applyAlignment="1">
      <alignment horizontal="center" vertical="top"/>
    </xf>
    <xf numFmtId="0" fontId="3" fillId="4" borderId="2" xfId="0" applyFont="1" applyFill="1" applyBorder="1" applyAlignment="1">
      <alignment horizontal="center" wrapText="1"/>
    </xf>
    <xf numFmtId="0" fontId="3" fillId="4" borderId="3" xfId="0" applyFont="1" applyFill="1" applyBorder="1" applyAlignment="1">
      <alignment horizontal="center" wrapText="1"/>
    </xf>
    <xf numFmtId="170" fontId="3" fillId="4" borderId="2" xfId="1" applyNumberFormat="1" applyFont="1" applyFill="1" applyBorder="1" applyAlignment="1" applyProtection="1">
      <alignment horizontal="right" indent="1"/>
    </xf>
    <xf numFmtId="170" fontId="3" fillId="4" borderId="3" xfId="1" applyNumberFormat="1" applyFont="1" applyFill="1" applyBorder="1" applyAlignment="1" applyProtection="1">
      <alignment horizontal="right" indent="1"/>
    </xf>
    <xf numFmtId="170" fontId="3" fillId="4" borderId="4" xfId="1" applyNumberFormat="1" applyFont="1" applyFill="1" applyBorder="1" applyAlignment="1" applyProtection="1">
      <alignment horizontal="right" indent="1"/>
    </xf>
    <xf numFmtId="0" fontId="9" fillId="6" borderId="2" xfId="0" applyFont="1" applyFill="1" applyBorder="1" applyAlignment="1" applyProtection="1">
      <alignment horizontal="left" vertical="top" wrapText="1"/>
      <protection locked="0"/>
    </xf>
    <xf numFmtId="0" fontId="9" fillId="6" borderId="4" xfId="0" applyFont="1" applyFill="1" applyBorder="1" applyAlignment="1" applyProtection="1">
      <alignment horizontal="left" vertical="top" wrapText="1"/>
      <protection locked="0"/>
    </xf>
    <xf numFmtId="0" fontId="9" fillId="6" borderId="3" xfId="0" applyFont="1" applyFill="1" applyBorder="1" applyAlignment="1" applyProtection="1">
      <alignment horizontal="left" vertical="top" wrapText="1"/>
      <protection locked="0"/>
    </xf>
    <xf numFmtId="0" fontId="9" fillId="2" borderId="0" xfId="0" applyFont="1" applyFill="1" applyAlignment="1">
      <alignment horizontal="left" vertical="top" wrapText="1"/>
    </xf>
    <xf numFmtId="49" fontId="9" fillId="2" borderId="0" xfId="0" applyNumberFormat="1" applyFont="1" applyFill="1" applyAlignment="1">
      <alignment horizontal="left" vertical="top" wrapText="1"/>
    </xf>
    <xf numFmtId="49" fontId="24" fillId="3" borderId="1" xfId="0" applyNumberFormat="1" applyFont="1" applyFill="1" applyBorder="1" applyAlignment="1">
      <alignment horizontal="center"/>
    </xf>
    <xf numFmtId="49" fontId="9" fillId="2" borderId="0" xfId="0" applyNumberFormat="1" applyFont="1" applyFill="1" applyAlignment="1" applyProtection="1">
      <alignment horizontal="left" vertical="top" wrapText="1"/>
      <protection locked="0"/>
    </xf>
    <xf numFmtId="0" fontId="3" fillId="4" borderId="1" xfId="0" applyFont="1" applyFill="1" applyBorder="1" applyAlignment="1">
      <alignment horizontal="center" vertical="center"/>
    </xf>
    <xf numFmtId="0" fontId="4" fillId="2" borderId="10" xfId="0" applyFont="1" applyFill="1" applyBorder="1" applyAlignment="1">
      <alignment horizontal="left"/>
    </xf>
    <xf numFmtId="0" fontId="3" fillId="15" borderId="10" xfId="0" applyFont="1" applyFill="1" applyBorder="1" applyAlignment="1">
      <alignment horizontal="center"/>
    </xf>
    <xf numFmtId="0" fontId="3" fillId="15" borderId="11" xfId="0" applyFont="1" applyFill="1" applyBorder="1" applyAlignment="1">
      <alignment horizontal="center"/>
    </xf>
    <xf numFmtId="0" fontId="39" fillId="2" borderId="2" xfId="0" applyFont="1" applyFill="1" applyBorder="1" applyAlignment="1">
      <alignment horizontal="left" vertical="top" wrapText="1"/>
    </xf>
    <xf numFmtId="0" fontId="39" fillId="0" borderId="4" xfId="0" applyFont="1" applyBorder="1" applyAlignment="1">
      <alignment horizontal="left" vertical="top" wrapText="1"/>
    </xf>
    <xf numFmtId="0" fontId="39" fillId="0" borderId="3" xfId="0" applyFont="1" applyBorder="1" applyAlignment="1">
      <alignment horizontal="left" vertical="top" wrapText="1"/>
    </xf>
    <xf numFmtId="0" fontId="3" fillId="4" borderId="2" xfId="0" applyFont="1" applyFill="1" applyBorder="1" applyAlignment="1" applyProtection="1">
      <alignment horizontal="center" wrapText="1"/>
      <protection locked="0"/>
    </xf>
    <xf numFmtId="0" fontId="3" fillId="4" borderId="4" xfId="0" applyFont="1" applyFill="1" applyBorder="1" applyAlignment="1" applyProtection="1">
      <alignment horizontal="center" wrapText="1"/>
      <protection locked="0"/>
    </xf>
    <xf numFmtId="0" fontId="3" fillId="4" borderId="3" xfId="0" applyFont="1" applyFill="1" applyBorder="1" applyAlignment="1" applyProtection="1">
      <alignment horizontal="center" wrapText="1"/>
      <protection locked="0"/>
    </xf>
    <xf numFmtId="0" fontId="3" fillId="4" borderId="4" xfId="0" applyFont="1" applyFill="1" applyBorder="1" applyAlignment="1">
      <alignment horizontal="center" wrapText="1"/>
    </xf>
    <xf numFmtId="0" fontId="3" fillId="4" borderId="2" xfId="0" applyFont="1" applyFill="1" applyBorder="1" applyAlignment="1">
      <alignment horizontal="right" indent="1"/>
    </xf>
    <xf numFmtId="0" fontId="3" fillId="4" borderId="4" xfId="0" applyFont="1" applyFill="1" applyBorder="1" applyAlignment="1">
      <alignment horizontal="right" indent="1"/>
    </xf>
    <xf numFmtId="0" fontId="3" fillId="4" borderId="3" xfId="0" applyFont="1" applyFill="1" applyBorder="1" applyAlignment="1">
      <alignment horizontal="right" indent="1"/>
    </xf>
    <xf numFmtId="0" fontId="3" fillId="4" borderId="1" xfId="0" applyFont="1" applyFill="1" applyBorder="1" applyAlignment="1">
      <alignment horizontal="center" wrapText="1"/>
    </xf>
    <xf numFmtId="0" fontId="0" fillId="2" borderId="0" xfId="0" applyFill="1" applyAlignment="1">
      <alignment horizontal="left" vertical="top" wrapText="1"/>
    </xf>
    <xf numFmtId="0" fontId="3" fillId="4" borderId="2" xfId="0" applyFont="1" applyFill="1" applyBorder="1" applyAlignment="1">
      <alignment horizontal="right" wrapText="1" indent="1"/>
    </xf>
    <xf numFmtId="0" fontId="3" fillId="4" borderId="3" xfId="0" applyFont="1" applyFill="1" applyBorder="1" applyAlignment="1">
      <alignment horizontal="right" wrapText="1" indent="1"/>
    </xf>
    <xf numFmtId="167" fontId="4" fillId="5" borderId="1" xfId="1" applyNumberFormat="1" applyFont="1" applyFill="1" applyBorder="1" applyAlignment="1" applyProtection="1">
      <alignment horizontal="right" vertical="center"/>
    </xf>
    <xf numFmtId="0" fontId="47" fillId="4" borderId="2" xfId="0" applyFont="1" applyFill="1" applyBorder="1" applyAlignment="1">
      <alignment horizontal="center" wrapText="1"/>
    </xf>
    <xf numFmtId="0" fontId="47" fillId="4" borderId="3" xfId="0" applyFont="1" applyFill="1" applyBorder="1" applyAlignment="1">
      <alignment horizontal="center" wrapText="1"/>
    </xf>
    <xf numFmtId="167" fontId="4" fillId="5" borderId="2" xfId="1" applyNumberFormat="1" applyFont="1" applyFill="1" applyBorder="1" applyAlignment="1" applyProtection="1">
      <alignment horizontal="right" vertical="center"/>
    </xf>
    <xf numFmtId="167" fontId="4" fillId="5" borderId="3" xfId="1" applyNumberFormat="1" applyFont="1" applyFill="1" applyBorder="1" applyAlignment="1" applyProtection="1">
      <alignment horizontal="right" vertical="center"/>
    </xf>
    <xf numFmtId="0" fontId="3" fillId="4" borderId="6" xfId="0" applyFont="1" applyFill="1" applyBorder="1" applyAlignment="1">
      <alignment horizontal="center" wrapText="1"/>
    </xf>
    <xf numFmtId="0" fontId="3" fillId="4" borderId="7" xfId="0" applyFont="1" applyFill="1" applyBorder="1" applyAlignment="1">
      <alignment horizontal="center" wrapText="1"/>
    </xf>
    <xf numFmtId="0" fontId="3" fillId="4" borderId="1" xfId="0" applyFont="1" applyFill="1" applyBorder="1" applyAlignment="1">
      <alignment horizontal="center" vertical="center" wrapText="1"/>
    </xf>
    <xf numFmtId="0" fontId="77" fillId="42" borderId="0" xfId="0" applyFont="1" applyFill="1" applyAlignment="1">
      <alignment horizontal="left" vertical="top" wrapText="1"/>
    </xf>
    <xf numFmtId="0" fontId="81" fillId="13" borderId="1" xfId="0" applyFont="1" applyFill="1" applyBorder="1" applyAlignment="1">
      <alignment horizontal="left" vertical="center" wrapText="1"/>
    </xf>
    <xf numFmtId="0" fontId="3" fillId="4" borderId="5"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3" fillId="4" borderId="8" xfId="0" applyFont="1" applyFill="1" applyBorder="1" applyAlignment="1">
      <alignment horizontal="center" vertical="center" wrapText="1"/>
    </xf>
    <xf numFmtId="0" fontId="3" fillId="4" borderId="13" xfId="0" applyFont="1" applyFill="1" applyBorder="1" applyAlignment="1">
      <alignment horizontal="center" vertical="center" wrapText="1"/>
    </xf>
    <xf numFmtId="0" fontId="3" fillId="4" borderId="11" xfId="0" applyFont="1" applyFill="1" applyBorder="1" applyAlignment="1">
      <alignment horizontal="center" vertical="center" wrapText="1"/>
    </xf>
    <xf numFmtId="0" fontId="0" fillId="32" borderId="0" xfId="0" applyFill="1"/>
    <xf numFmtId="0" fontId="60" fillId="26" borderId="29" xfId="10" applyFont="1" applyFill="1" applyBorder="1" applyAlignment="1" applyProtection="1">
      <alignment horizontal="center" vertical="top"/>
      <protection hidden="1"/>
    </xf>
    <xf numFmtId="0" fontId="60" fillId="26" borderId="48" xfId="10" applyFont="1" applyFill="1" applyBorder="1" applyAlignment="1" applyProtection="1">
      <alignment horizontal="center" vertical="top"/>
      <protection hidden="1"/>
    </xf>
    <xf numFmtId="0" fontId="60" fillId="26" borderId="50" xfId="10" applyFont="1" applyFill="1" applyBorder="1" applyAlignment="1" applyProtection="1">
      <alignment horizontal="center" vertical="top"/>
      <protection hidden="1"/>
    </xf>
    <xf numFmtId="0" fontId="61" fillId="26" borderId="51" xfId="10" applyFont="1" applyFill="1" applyBorder="1" applyAlignment="1" applyProtection="1">
      <alignment horizontal="center" vertical="top"/>
      <protection hidden="1"/>
    </xf>
    <xf numFmtId="0" fontId="61" fillId="26" borderId="0" xfId="10" applyFont="1" applyFill="1" applyAlignment="1" applyProtection="1">
      <alignment horizontal="center" vertical="top"/>
      <protection hidden="1"/>
    </xf>
    <xf numFmtId="0" fontId="61" fillId="26" borderId="52" xfId="10" applyFont="1" applyFill="1" applyBorder="1" applyAlignment="1" applyProtection="1">
      <alignment horizontal="center" vertical="top"/>
      <protection hidden="1"/>
    </xf>
    <xf numFmtId="0" fontId="62" fillId="26" borderId="34" xfId="10" applyFont="1" applyFill="1" applyBorder="1" applyAlignment="1">
      <alignment horizontal="center" vertical="top"/>
    </xf>
    <xf numFmtId="0" fontId="62" fillId="26" borderId="10" xfId="10" applyFont="1" applyFill="1" applyBorder="1" applyAlignment="1">
      <alignment horizontal="center" vertical="top"/>
    </xf>
    <xf numFmtId="0" fontId="62" fillId="26" borderId="35" xfId="10" applyFont="1" applyFill="1" applyBorder="1" applyAlignment="1">
      <alignment horizontal="center" vertical="top"/>
    </xf>
    <xf numFmtId="0" fontId="63" fillId="33" borderId="53" xfId="10" applyFont="1" applyFill="1" applyBorder="1" applyAlignment="1" applyProtection="1">
      <alignment vertical="top"/>
      <protection hidden="1"/>
    </xf>
    <xf numFmtId="0" fontId="63" fillId="33" borderId="54" xfId="10" applyFont="1" applyFill="1" applyBorder="1" applyAlignment="1" applyProtection="1">
      <alignment vertical="top"/>
      <protection hidden="1"/>
    </xf>
    <xf numFmtId="0" fontId="63" fillId="33" borderId="55" xfId="10" applyFont="1" applyFill="1" applyBorder="1" applyAlignment="1" applyProtection="1">
      <alignment vertical="top"/>
      <protection hidden="1"/>
    </xf>
    <xf numFmtId="182" fontId="64" fillId="29" borderId="16" xfId="11" applyNumberFormat="1" applyFont="1" applyFill="1" applyBorder="1" applyAlignment="1" applyProtection="1">
      <alignment horizontal="left" vertical="top"/>
      <protection hidden="1"/>
    </xf>
    <xf numFmtId="182" fontId="64" fillId="29" borderId="30" xfId="11" applyNumberFormat="1" applyFont="1" applyFill="1" applyBorder="1" applyAlignment="1" applyProtection="1">
      <alignment horizontal="left" vertical="top"/>
      <protection hidden="1"/>
    </xf>
    <xf numFmtId="182" fontId="64" fillId="29" borderId="17" xfId="11" applyNumberFormat="1" applyFont="1" applyFill="1" applyBorder="1" applyAlignment="1" applyProtection="1">
      <alignment horizontal="left" vertical="top"/>
      <protection hidden="1"/>
    </xf>
    <xf numFmtId="0" fontId="65" fillId="13" borderId="24" xfId="10" applyFont="1" applyFill="1" applyBorder="1" applyAlignment="1" applyProtection="1">
      <alignment horizontal="left" vertical="top"/>
      <protection hidden="1"/>
    </xf>
    <xf numFmtId="0" fontId="65" fillId="13" borderId="4" xfId="10" applyFont="1" applyFill="1" applyBorder="1" applyAlignment="1" applyProtection="1">
      <alignment horizontal="left" vertical="top"/>
      <protection hidden="1"/>
    </xf>
    <xf numFmtId="0" fontId="65" fillId="13" borderId="3" xfId="10" applyFont="1" applyFill="1" applyBorder="1" applyAlignment="1" applyProtection="1">
      <alignment horizontal="left" vertical="top"/>
      <protection hidden="1"/>
    </xf>
    <xf numFmtId="170" fontId="18" fillId="13" borderId="24" xfId="10" applyNumberFormat="1" applyFont="1" applyFill="1" applyBorder="1" applyAlignment="1" applyProtection="1">
      <alignment horizontal="left"/>
      <protection hidden="1"/>
    </xf>
    <xf numFmtId="170" fontId="18" fillId="13" borderId="4" xfId="10" applyNumberFormat="1" applyFont="1" applyFill="1" applyBorder="1" applyAlignment="1" applyProtection="1">
      <alignment horizontal="left"/>
      <protection hidden="1"/>
    </xf>
    <xf numFmtId="170" fontId="18" fillId="13" borderId="3" xfId="10" applyNumberFormat="1" applyFont="1" applyFill="1" applyBorder="1" applyAlignment="1" applyProtection="1">
      <alignment horizontal="left"/>
      <protection hidden="1"/>
    </xf>
    <xf numFmtId="0" fontId="3" fillId="33" borderId="53" xfId="10" applyFont="1" applyFill="1" applyBorder="1" applyAlignment="1" applyProtection="1">
      <alignment vertical="top"/>
      <protection hidden="1"/>
    </xf>
    <xf numFmtId="0" fontId="3" fillId="33" borderId="54" xfId="10" applyFont="1" applyFill="1" applyBorder="1" applyAlignment="1" applyProtection="1">
      <alignment vertical="top"/>
      <protection hidden="1"/>
    </xf>
    <xf numFmtId="0" fontId="3" fillId="33" borderId="55" xfId="10" applyFont="1" applyFill="1" applyBorder="1" applyAlignment="1" applyProtection="1">
      <alignment vertical="top"/>
      <protection hidden="1"/>
    </xf>
    <xf numFmtId="170" fontId="18" fillId="13" borderId="39" xfId="10" applyNumberFormat="1" applyFont="1" applyFill="1" applyBorder="1" applyAlignment="1" applyProtection="1">
      <alignment horizontal="left" wrapText="1"/>
      <protection hidden="1"/>
    </xf>
    <xf numFmtId="170" fontId="18" fillId="13" borderId="40" xfId="10" applyNumberFormat="1" applyFont="1" applyFill="1" applyBorder="1" applyAlignment="1" applyProtection="1">
      <alignment horizontal="left" wrapText="1"/>
      <protection hidden="1"/>
    </xf>
    <xf numFmtId="170" fontId="18" fillId="13" borderId="41" xfId="10" applyNumberFormat="1" applyFont="1" applyFill="1" applyBorder="1" applyAlignment="1" applyProtection="1">
      <alignment horizontal="left" wrapText="1"/>
      <protection hidden="1"/>
    </xf>
    <xf numFmtId="170" fontId="18" fillId="13" borderId="39" xfId="10" applyNumberFormat="1" applyFont="1" applyFill="1" applyBorder="1" applyAlignment="1" applyProtection="1">
      <alignment horizontal="left"/>
      <protection hidden="1"/>
    </xf>
    <xf numFmtId="170" fontId="18" fillId="13" borderId="40" xfId="10" applyNumberFormat="1" applyFont="1" applyFill="1" applyBorder="1" applyAlignment="1" applyProtection="1">
      <alignment horizontal="left"/>
      <protection hidden="1"/>
    </xf>
    <xf numFmtId="170" fontId="18" fillId="13" borderId="43" xfId="10" applyNumberFormat="1" applyFont="1" applyFill="1" applyBorder="1" applyAlignment="1" applyProtection="1">
      <alignment horizontal="left"/>
      <protection hidden="1"/>
    </xf>
    <xf numFmtId="0" fontId="4" fillId="21" borderId="39" xfId="0" applyFont="1" applyFill="1" applyBorder="1" applyAlignment="1">
      <alignment horizontal="right"/>
    </xf>
    <xf numFmtId="0" fontId="4" fillId="21" borderId="40" xfId="0" applyFont="1" applyFill="1" applyBorder="1" applyAlignment="1">
      <alignment horizontal="right"/>
    </xf>
    <xf numFmtId="0" fontId="3" fillId="4" borderId="2" xfId="0" applyFont="1" applyFill="1" applyBorder="1" applyAlignment="1">
      <alignment horizontal="center"/>
    </xf>
    <xf numFmtId="0" fontId="3" fillId="4" borderId="4" xfId="0" applyFont="1" applyFill="1" applyBorder="1" applyAlignment="1">
      <alignment horizontal="center"/>
    </xf>
    <xf numFmtId="0" fontId="0" fillId="5" borderId="1" xfId="0" applyFill="1" applyBorder="1" applyAlignment="1">
      <alignment horizontal="left" vertical="top"/>
    </xf>
    <xf numFmtId="0" fontId="0" fillId="5" borderId="2" xfId="0" applyFill="1" applyBorder="1" applyAlignment="1">
      <alignment horizontal="left" vertical="top"/>
    </xf>
    <xf numFmtId="0" fontId="0" fillId="6" borderId="2" xfId="0" applyFill="1" applyBorder="1" applyAlignment="1" applyProtection="1">
      <alignment horizontal="left" vertical="top" wrapText="1"/>
      <protection locked="0"/>
    </xf>
    <xf numFmtId="0" fontId="0" fillId="6" borderId="4" xfId="0" applyFill="1" applyBorder="1" applyAlignment="1" applyProtection="1">
      <alignment horizontal="left" vertical="top" wrapText="1"/>
      <protection locked="0"/>
    </xf>
    <xf numFmtId="0" fontId="0" fillId="6" borderId="3" xfId="0" applyFill="1" applyBorder="1" applyAlignment="1" applyProtection="1">
      <alignment horizontal="left" vertical="top" wrapText="1"/>
      <protection locked="0"/>
    </xf>
    <xf numFmtId="168" fontId="0" fillId="6" borderId="1" xfId="0" applyNumberFormat="1" applyFill="1" applyBorder="1" applyAlignment="1" applyProtection="1">
      <alignment horizontal="center" vertical="top"/>
      <protection locked="0"/>
    </xf>
    <xf numFmtId="0" fontId="3" fillId="17" borderId="2" xfId="0" applyFont="1" applyFill="1" applyBorder="1" applyAlignment="1">
      <alignment horizontal="center"/>
    </xf>
    <xf numFmtId="0" fontId="3" fillId="17" borderId="4" xfId="0" applyFont="1" applyFill="1" applyBorder="1" applyAlignment="1">
      <alignment horizontal="center"/>
    </xf>
    <xf numFmtId="0" fontId="3" fillId="17" borderId="3" xfId="0" applyFont="1" applyFill="1" applyBorder="1" applyAlignment="1">
      <alignment horizontal="center"/>
    </xf>
    <xf numFmtId="0" fontId="3" fillId="17" borderId="0" xfId="0" applyFont="1" applyFill="1" applyAlignment="1">
      <alignment horizontal="center"/>
    </xf>
    <xf numFmtId="0" fontId="3" fillId="17" borderId="13" xfId="0" applyFont="1" applyFill="1" applyBorder="1" applyAlignment="1">
      <alignment horizontal="center"/>
    </xf>
    <xf numFmtId="0" fontId="0" fillId="2" borderId="4" xfId="0" applyFill="1" applyBorder="1" applyAlignment="1" applyProtection="1">
      <alignment horizontal="left" vertical="top" wrapText="1"/>
      <protection locked="0"/>
    </xf>
    <xf numFmtId="0" fontId="0" fillId="0" borderId="59" xfId="0" applyBorder="1" applyAlignment="1">
      <alignment horizontal="left" vertical="top" wrapText="1"/>
    </xf>
    <xf numFmtId="0" fontId="0" fillId="2" borderId="24" xfId="0" applyFill="1" applyBorder="1" applyAlignment="1">
      <alignment vertical="top"/>
    </xf>
    <xf numFmtId="0" fontId="0" fillId="0" borderId="31" xfId="0" applyBorder="1" applyAlignment="1">
      <alignment vertical="top"/>
    </xf>
    <xf numFmtId="49" fontId="0" fillId="2" borderId="24" xfId="0" applyNumberFormat="1" applyFill="1" applyBorder="1" applyAlignment="1" applyProtection="1">
      <alignment horizontal="left" vertical="top"/>
      <protection locked="0"/>
    </xf>
    <xf numFmtId="0" fontId="0" fillId="0" borderId="31" xfId="0" applyBorder="1" applyAlignment="1">
      <alignment horizontal="left" vertical="top"/>
    </xf>
    <xf numFmtId="49" fontId="0" fillId="2" borderId="31" xfId="0" applyNumberFormat="1" applyFill="1" applyBorder="1" applyAlignment="1" applyProtection="1">
      <alignment horizontal="left" vertical="top"/>
      <protection locked="0"/>
    </xf>
    <xf numFmtId="0" fontId="0" fillId="2" borderId="24" xfId="0" applyFill="1" applyBorder="1" applyAlignment="1" applyProtection="1">
      <alignment horizontal="left" vertical="top" wrapText="1"/>
      <protection locked="0"/>
    </xf>
    <xf numFmtId="0" fontId="0" fillId="0" borderId="31" xfId="0" applyBorder="1" applyAlignment="1">
      <alignment horizontal="left" vertical="top" wrapText="1"/>
    </xf>
    <xf numFmtId="0" fontId="0" fillId="2" borderId="24" xfId="0" applyFill="1" applyBorder="1" applyAlignment="1">
      <alignment horizontal="left" vertical="top"/>
    </xf>
    <xf numFmtId="0" fontId="0" fillId="2" borderId="31" xfId="0" applyFill="1" applyBorder="1" applyAlignment="1">
      <alignment horizontal="left" vertical="top"/>
    </xf>
    <xf numFmtId="0" fontId="0" fillId="0" borderId="24" xfId="0" applyBorder="1" applyAlignment="1">
      <alignment vertical="top"/>
    </xf>
    <xf numFmtId="49" fontId="0" fillId="2" borderId="24" xfId="0" applyNumberFormat="1" applyFill="1" applyBorder="1" applyAlignment="1" applyProtection="1">
      <alignment horizontal="left" vertical="top" wrapText="1"/>
      <protection locked="0"/>
    </xf>
    <xf numFmtId="0" fontId="0" fillId="2" borderId="4" xfId="0" applyFill="1" applyBorder="1" applyAlignment="1">
      <alignment vertical="top" wrapText="1"/>
    </xf>
    <xf numFmtId="0" fontId="0" fillId="0" borderId="59" xfId="0" applyBorder="1" applyAlignment="1">
      <alignment vertical="top"/>
    </xf>
    <xf numFmtId="0" fontId="3" fillId="9" borderId="16" xfId="0" applyFont="1" applyFill="1" applyBorder="1" applyAlignment="1">
      <alignment horizontal="center"/>
    </xf>
    <xf numFmtId="0" fontId="3" fillId="9" borderId="30" xfId="0" applyFont="1" applyFill="1" applyBorder="1" applyAlignment="1">
      <alignment horizontal="center"/>
    </xf>
    <xf numFmtId="0" fontId="3" fillId="9" borderId="17" xfId="0" applyFont="1" applyFill="1" applyBorder="1" applyAlignment="1">
      <alignment horizontal="center"/>
    </xf>
    <xf numFmtId="0" fontId="3" fillId="4" borderId="34" xfId="0" applyFont="1" applyFill="1" applyBorder="1" applyAlignment="1">
      <alignment horizontal="center" wrapText="1"/>
    </xf>
    <xf numFmtId="0" fontId="3" fillId="4" borderId="35" xfId="0" applyFont="1" applyFill="1" applyBorder="1" applyAlignment="1">
      <alignment horizontal="center" wrapText="1"/>
    </xf>
    <xf numFmtId="0" fontId="3" fillId="9" borderId="24" xfId="0" applyFont="1" applyFill="1" applyBorder="1" applyAlignment="1">
      <alignment horizontal="center"/>
    </xf>
    <xf numFmtId="0" fontId="3" fillId="9" borderId="4" xfId="0" applyFont="1" applyFill="1" applyBorder="1" applyAlignment="1">
      <alignment horizontal="center"/>
    </xf>
    <xf numFmtId="0" fontId="3" fillId="9" borderId="31" xfId="0" applyFont="1" applyFill="1" applyBorder="1" applyAlignment="1">
      <alignment horizontal="center"/>
    </xf>
    <xf numFmtId="0" fontId="11" fillId="12" borderId="2" xfId="0" applyFont="1" applyFill="1" applyBorder="1" applyAlignment="1">
      <alignment horizontal="center"/>
    </xf>
    <xf numFmtId="0" fontId="11" fillId="12" borderId="4" xfId="0" applyFont="1" applyFill="1" applyBorder="1" applyAlignment="1">
      <alignment horizontal="center"/>
    </xf>
    <xf numFmtId="0" fontId="11" fillId="12" borderId="3" xfId="0" applyFont="1" applyFill="1" applyBorder="1" applyAlignment="1">
      <alignment horizontal="center"/>
    </xf>
    <xf numFmtId="0" fontId="10" fillId="12" borderId="2" xfId="0" applyFont="1" applyFill="1" applyBorder="1" applyAlignment="1">
      <alignment horizontal="center"/>
    </xf>
    <xf numFmtId="0" fontId="10" fillId="12" borderId="3" xfId="0" applyFont="1" applyFill="1" applyBorder="1" applyAlignment="1">
      <alignment horizontal="center"/>
    </xf>
    <xf numFmtId="0" fontId="10" fillId="12" borderId="4" xfId="0" applyFont="1" applyFill="1" applyBorder="1" applyAlignment="1">
      <alignment horizontal="center"/>
    </xf>
    <xf numFmtId="49" fontId="10" fillId="12" borderId="4" xfId="0" applyNumberFormat="1" applyFont="1" applyFill="1" applyBorder="1" applyAlignment="1">
      <alignment horizontal="center"/>
    </xf>
    <xf numFmtId="165" fontId="10" fillId="12" borderId="3" xfId="8" applyFont="1" applyFill="1" applyBorder="1" applyAlignment="1" applyProtection="1">
      <alignment horizontal="center"/>
    </xf>
    <xf numFmtId="49" fontId="11" fillId="12" borderId="4" xfId="0" applyNumberFormat="1" applyFont="1" applyFill="1" applyBorder="1" applyAlignment="1">
      <alignment horizontal="center"/>
    </xf>
    <xf numFmtId="165" fontId="11" fillId="12" borderId="3" xfId="8" applyFont="1" applyFill="1" applyBorder="1" applyAlignment="1" applyProtection="1">
      <alignment horizontal="center"/>
    </xf>
    <xf numFmtId="0" fontId="10" fillId="12" borderId="25" xfId="0" applyFont="1" applyFill="1" applyBorder="1" applyAlignment="1">
      <alignment horizontal="center"/>
    </xf>
    <xf numFmtId="0" fontId="10" fillId="12" borderId="26" xfId="0" applyFont="1" applyFill="1" applyBorder="1" applyAlignment="1">
      <alignment horizontal="center"/>
    </xf>
    <xf numFmtId="0" fontId="10" fillId="12" borderId="27" xfId="0" applyFont="1" applyFill="1" applyBorder="1" applyAlignment="1">
      <alignment horizontal="center"/>
    </xf>
    <xf numFmtId="49" fontId="10" fillId="12" borderId="27" xfId="0" applyNumberFormat="1" applyFont="1" applyFill="1" applyBorder="1" applyAlignment="1">
      <alignment horizontal="center"/>
    </xf>
    <xf numFmtId="165" fontId="10" fillId="12" borderId="26" xfId="8" applyFont="1" applyFill="1" applyBorder="1" applyAlignment="1" applyProtection="1">
      <alignment horizontal="center"/>
    </xf>
    <xf numFmtId="49" fontId="3" fillId="9" borderId="30" xfId="0" applyNumberFormat="1" applyFont="1" applyFill="1" applyBorder="1" applyAlignment="1">
      <alignment horizontal="center"/>
    </xf>
    <xf numFmtId="165" fontId="3" fillId="9" borderId="17" xfId="8" applyFont="1" applyFill="1" applyBorder="1" applyAlignment="1" applyProtection="1">
      <alignment horizontal="center"/>
    </xf>
    <xf numFmtId="49" fontId="0" fillId="2" borderId="31" xfId="0" applyNumberFormat="1" applyFill="1" applyBorder="1" applyAlignment="1" applyProtection="1">
      <alignment horizontal="left" vertical="top" wrapText="1"/>
      <protection locked="0"/>
    </xf>
    <xf numFmtId="0" fontId="3" fillId="4" borderId="36" xfId="0" applyFont="1" applyFill="1" applyBorder="1" applyAlignment="1">
      <alignment horizontal="left"/>
    </xf>
    <xf numFmtId="0" fontId="3" fillId="4" borderId="37" xfId="0" applyFont="1" applyFill="1" applyBorder="1" applyAlignment="1">
      <alignment horizontal="left"/>
    </xf>
    <xf numFmtId="0" fontId="0" fillId="2" borderId="4" xfId="0" applyFill="1" applyBorder="1" applyAlignment="1">
      <alignment vertical="top"/>
    </xf>
    <xf numFmtId="166" fontId="0" fillId="2" borderId="2" xfId="1" applyFont="1" applyFill="1" applyBorder="1" applyAlignment="1" applyProtection="1">
      <alignment horizontal="left"/>
      <protection locked="0"/>
    </xf>
    <xf numFmtId="166" fontId="0" fillId="2" borderId="4" xfId="1" applyFont="1" applyFill="1" applyBorder="1" applyAlignment="1" applyProtection="1">
      <alignment horizontal="left"/>
      <protection locked="0"/>
    </xf>
    <xf numFmtId="166" fontId="0" fillId="2" borderId="3" xfId="1" applyFont="1" applyFill="1" applyBorder="1" applyAlignment="1" applyProtection="1">
      <alignment horizontal="left"/>
      <protection locked="0"/>
    </xf>
    <xf numFmtId="166" fontId="40" fillId="4" borderId="2" xfId="1" applyFont="1" applyFill="1" applyBorder="1" applyAlignment="1" applyProtection="1">
      <alignment horizontal="center"/>
      <protection locked="0"/>
    </xf>
    <xf numFmtId="166" fontId="40" fillId="4" borderId="4" xfId="1" applyFont="1" applyFill="1" applyBorder="1" applyAlignment="1" applyProtection="1">
      <alignment horizontal="center"/>
      <protection locked="0"/>
    </xf>
    <xf numFmtId="166" fontId="40" fillId="4" borderId="3" xfId="1" applyFont="1" applyFill="1" applyBorder="1" applyAlignment="1" applyProtection="1">
      <alignment horizontal="center"/>
      <protection locked="0"/>
    </xf>
    <xf numFmtId="0" fontId="3" fillId="9" borderId="9" xfId="0" applyFont="1" applyFill="1" applyBorder="1" applyAlignment="1">
      <alignment horizontal="center" vertical="center" wrapText="1"/>
    </xf>
    <xf numFmtId="0" fontId="3" fillId="9" borderId="10" xfId="0" applyFont="1" applyFill="1" applyBorder="1" applyAlignment="1">
      <alignment horizontal="center" vertical="center" wrapText="1"/>
    </xf>
    <xf numFmtId="0" fontId="3" fillId="9" borderId="11" xfId="0" applyFont="1" applyFill="1" applyBorder="1" applyAlignment="1">
      <alignment horizontal="center" vertical="center" wrapText="1"/>
    </xf>
    <xf numFmtId="0" fontId="3" fillId="4" borderId="36" xfId="0" applyFont="1" applyFill="1" applyBorder="1" applyAlignment="1">
      <alignment horizontal="right" vertical="center"/>
    </xf>
    <xf numFmtId="0" fontId="3" fillId="4" borderId="27" xfId="0" applyFont="1" applyFill="1" applyBorder="1" applyAlignment="1">
      <alignment horizontal="right" vertical="center"/>
    </xf>
    <xf numFmtId="0" fontId="3" fillId="4" borderId="26" xfId="0" applyFont="1" applyFill="1" applyBorder="1" applyAlignment="1">
      <alignment horizontal="right" vertical="center"/>
    </xf>
    <xf numFmtId="171" fontId="3" fillId="4" borderId="2" xfId="0" applyNumberFormat="1" applyFont="1" applyFill="1" applyBorder="1" applyAlignment="1">
      <alignment horizontal="center" wrapText="1"/>
    </xf>
    <xf numFmtId="171" fontId="3" fillId="4" borderId="4" xfId="0" applyNumberFormat="1" applyFont="1" applyFill="1" applyBorder="1" applyAlignment="1">
      <alignment horizontal="center" wrapText="1"/>
    </xf>
    <xf numFmtId="171" fontId="3" fillId="4" borderId="3" xfId="0" applyNumberFormat="1" applyFont="1" applyFill="1" applyBorder="1" applyAlignment="1">
      <alignment horizontal="center" wrapText="1"/>
    </xf>
    <xf numFmtId="0" fontId="3" fillId="4" borderId="2" xfId="0" applyFont="1" applyFill="1" applyBorder="1" applyAlignment="1">
      <alignment horizontal="center" vertical="center" wrapText="1"/>
    </xf>
    <xf numFmtId="0" fontId="3" fillId="4" borderId="4"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4" fillId="0" borderId="1" xfId="0" applyFont="1" applyBorder="1" applyAlignment="1">
      <alignment horizontal="left" vertical="top" wrapText="1"/>
    </xf>
    <xf numFmtId="0" fontId="54" fillId="0" borderId="1" xfId="0" applyFont="1" applyBorder="1" applyAlignment="1">
      <alignment horizontal="left" vertical="top" wrapText="1"/>
    </xf>
    <xf numFmtId="0" fontId="4" fillId="0" borderId="1" xfId="0" quotePrefix="1" applyFont="1" applyBorder="1" applyAlignment="1">
      <alignment horizontal="left" vertical="top" wrapText="1"/>
    </xf>
    <xf numFmtId="0" fontId="54" fillId="0" borderId="1" xfId="0" quotePrefix="1" applyFont="1" applyBorder="1" applyAlignment="1">
      <alignment horizontal="left" vertical="top" wrapText="1"/>
    </xf>
    <xf numFmtId="43" fontId="2" fillId="5" borderId="9" xfId="1" quotePrefix="1" applyNumberFormat="1" applyFont="1" applyFill="1" applyBorder="1" applyAlignment="1" applyProtection="1">
      <alignment horizontal="center"/>
    </xf>
    <xf numFmtId="43" fontId="2" fillId="5" borderId="2" xfId="1" quotePrefix="1" applyNumberFormat="1" applyFont="1" applyFill="1" applyBorder="1" applyAlignment="1" applyProtection="1">
      <alignment horizontal="center"/>
    </xf>
    <xf numFmtId="43" fontId="2" fillId="2" borderId="1" xfId="1" quotePrefix="1" applyNumberFormat="1" applyFont="1" applyFill="1" applyBorder="1" applyAlignment="1" applyProtection="1">
      <alignment horizontal="center"/>
      <protection locked="0"/>
    </xf>
    <xf numFmtId="43" fontId="2" fillId="5" borderId="1" xfId="1" quotePrefix="1" applyNumberFormat="1" applyFont="1" applyFill="1" applyBorder="1" applyAlignment="1" applyProtection="1">
      <alignment horizontal="center"/>
    </xf>
    <xf numFmtId="43" fontId="2" fillId="5" borderId="1" xfId="1" quotePrefix="1" applyNumberFormat="1" applyFont="1" applyFill="1" applyBorder="1" applyProtection="1"/>
    <xf numFmtId="9" fontId="2" fillId="5" borderId="1" xfId="1" applyNumberFormat="1" applyFont="1" applyFill="1" applyBorder="1" applyAlignment="1" applyProtection="1">
      <alignment horizontal="center"/>
    </xf>
    <xf numFmtId="43" fontId="2" fillId="5" borderId="1" xfId="1" applyNumberFormat="1" applyFont="1" applyFill="1" applyBorder="1" applyProtection="1"/>
    <xf numFmtId="0" fontId="2" fillId="5" borderId="1" xfId="1" quotePrefix="1" applyNumberFormat="1" applyFont="1" applyFill="1" applyBorder="1" applyAlignment="1" applyProtection="1">
      <alignment horizontal="left"/>
    </xf>
    <xf numFmtId="0" fontId="2" fillId="5" borderId="1" xfId="1" quotePrefix="1" applyNumberFormat="1" applyFont="1" applyFill="1" applyBorder="1" applyAlignment="1" applyProtection="1">
      <alignment horizontal="center"/>
    </xf>
    <xf numFmtId="0" fontId="2" fillId="5" borderId="2" xfId="1" quotePrefix="1" applyNumberFormat="1" applyFont="1" applyFill="1" applyBorder="1" applyAlignment="1" applyProtection="1">
      <alignment horizontal="center"/>
    </xf>
    <xf numFmtId="43" fontId="2" fillId="5" borderId="6" xfId="1" quotePrefix="1" applyNumberFormat="1" applyFont="1" applyFill="1" applyBorder="1" applyAlignment="1" applyProtection="1">
      <alignment horizontal="center"/>
    </xf>
    <xf numFmtId="43" fontId="2" fillId="2" borderId="1" xfId="1" applyNumberFormat="1" applyFont="1" applyFill="1" applyBorder="1" applyAlignment="1" applyProtection="1">
      <alignment horizontal="center"/>
      <protection locked="0"/>
    </xf>
    <xf numFmtId="43" fontId="2" fillId="2" borderId="1" xfId="1" quotePrefix="1" applyNumberFormat="1" applyFont="1" applyFill="1" applyBorder="1" applyAlignment="1" applyProtection="1">
      <alignment horizontal="center" vertical="top"/>
      <protection locked="0"/>
    </xf>
    <xf numFmtId="0" fontId="2" fillId="2" borderId="1" xfId="1" applyNumberFormat="1" applyFont="1" applyFill="1" applyBorder="1" applyAlignment="1" applyProtection="1">
      <alignment horizontal="center" vertical="top"/>
      <protection locked="0"/>
    </xf>
    <xf numFmtId="166" fontId="2" fillId="2" borderId="1" xfId="1" applyFont="1" applyFill="1" applyBorder="1" applyAlignment="1" applyProtection="1">
      <alignment horizontal="center" vertical="top"/>
      <protection locked="0"/>
    </xf>
    <xf numFmtId="43" fontId="2" fillId="2" borderId="1" xfId="1" applyNumberFormat="1" applyFont="1" applyFill="1" applyBorder="1" applyAlignment="1" applyProtection="1">
      <alignment horizontal="center" vertical="top"/>
      <protection locked="0"/>
    </xf>
    <xf numFmtId="43" fontId="1" fillId="2" borderId="1" xfId="1" quotePrefix="1" applyNumberFormat="1" applyFont="1" applyFill="1" applyBorder="1" applyAlignment="1" applyProtection="1">
      <alignment horizontal="center" vertical="top"/>
      <protection locked="0"/>
    </xf>
    <xf numFmtId="0" fontId="1" fillId="2" borderId="1" xfId="1" applyNumberFormat="1" applyFont="1" applyFill="1" applyBorder="1" applyAlignment="1" applyProtection="1">
      <alignment horizontal="center" vertical="top"/>
      <protection locked="0"/>
    </xf>
    <xf numFmtId="166" fontId="1" fillId="2" borderId="1" xfId="1" applyFont="1" applyFill="1" applyBorder="1" applyAlignment="1" applyProtection="1">
      <alignment horizontal="center" vertical="top"/>
      <protection locked="0"/>
    </xf>
    <xf numFmtId="43" fontId="1" fillId="2" borderId="1" xfId="1" applyNumberFormat="1" applyFont="1" applyFill="1" applyBorder="1" applyAlignment="1" applyProtection="1">
      <alignment horizontal="center" vertical="top"/>
      <protection locked="0"/>
    </xf>
    <xf numFmtId="166" fontId="2" fillId="5" borderId="1" xfId="1" applyFont="1" applyFill="1" applyBorder="1" applyAlignment="1" applyProtection="1">
      <alignment horizontal="center" vertical="top"/>
    </xf>
    <xf numFmtId="169" fontId="2" fillId="5" borderId="1" xfId="2" quotePrefix="1" applyNumberFormat="1" applyFont="1" applyFill="1" applyBorder="1" applyAlignment="1" applyProtection="1">
      <alignment horizontal="center"/>
    </xf>
    <xf numFmtId="0" fontId="2" fillId="2" borderId="14" xfId="0" applyFont="1" applyFill="1" applyBorder="1" applyAlignment="1" applyProtection="1">
      <alignment horizontal="left" vertical="top"/>
      <protection locked="0"/>
    </xf>
    <xf numFmtId="49" fontId="2" fillId="2" borderId="6" xfId="0" applyNumberFormat="1" applyFont="1" applyFill="1" applyBorder="1" applyAlignment="1" applyProtection="1">
      <alignment horizontal="center" vertical="top"/>
      <protection locked="0"/>
    </xf>
    <xf numFmtId="168" fontId="2" fillId="2" borderId="6" xfId="0" applyNumberFormat="1" applyFont="1" applyFill="1" applyBorder="1" applyAlignment="1" applyProtection="1">
      <alignment horizontal="center" vertical="top"/>
      <protection locked="0"/>
    </xf>
    <xf numFmtId="167" fontId="2" fillId="2" borderId="6" xfId="1" applyNumberFormat="1" applyFont="1" applyFill="1" applyBorder="1" applyAlignment="1" applyProtection="1">
      <alignment horizontal="center" vertical="top"/>
      <protection locked="0"/>
    </xf>
    <xf numFmtId="44" fontId="2" fillId="7" borderId="6" xfId="1" applyNumberFormat="1" applyFont="1" applyFill="1" applyBorder="1" applyAlignment="1">
      <alignment horizontal="center" vertical="top"/>
    </xf>
    <xf numFmtId="44" fontId="2" fillId="5" borderId="6" xfId="1" applyNumberFormat="1" applyFont="1" applyFill="1" applyBorder="1" applyAlignment="1">
      <alignment horizontal="center" vertical="top"/>
    </xf>
    <xf numFmtId="0" fontId="2" fillId="2" borderId="6" xfId="0" applyFont="1" applyFill="1" applyBorder="1" applyAlignment="1" applyProtection="1">
      <alignment horizontal="center" vertical="top"/>
      <protection locked="0"/>
    </xf>
    <xf numFmtId="174" fontId="2" fillId="2" borderId="6" xfId="0" applyNumberFormat="1" applyFont="1" applyFill="1" applyBorder="1" applyAlignment="1" applyProtection="1">
      <alignment horizontal="center" vertical="top"/>
      <protection locked="0"/>
    </xf>
    <xf numFmtId="0" fontId="2" fillId="5" borderId="6" xfId="0" applyFont="1" applyFill="1" applyBorder="1" applyAlignment="1">
      <alignment horizontal="center" vertical="top"/>
    </xf>
    <xf numFmtId="168" fontId="2" fillId="5" borderId="6" xfId="0" applyNumberFormat="1" applyFont="1" applyFill="1" applyBorder="1" applyAlignment="1">
      <alignment horizontal="center" vertical="top"/>
    </xf>
    <xf numFmtId="0" fontId="2" fillId="5" borderId="5" xfId="0" applyFont="1" applyFill="1" applyBorder="1"/>
    <xf numFmtId="44" fontId="2" fillId="2" borderId="1" xfId="1" applyNumberFormat="1" applyFont="1" applyFill="1" applyBorder="1" applyAlignment="1" applyProtection="1">
      <alignment horizontal="center" vertical="top"/>
      <protection locked="0"/>
    </xf>
    <xf numFmtId="17" fontId="2" fillId="2" borderId="6" xfId="0" applyNumberFormat="1" applyFont="1" applyFill="1" applyBorder="1" applyAlignment="1" applyProtection="1">
      <alignment horizontal="center" vertical="top"/>
      <protection locked="0"/>
    </xf>
    <xf numFmtId="44" fontId="2" fillId="0" borderId="6" xfId="1" applyNumberFormat="1" applyFont="1" applyFill="1" applyBorder="1" applyAlignment="1" applyProtection="1">
      <alignment horizontal="center" vertical="top"/>
      <protection locked="0"/>
    </xf>
    <xf numFmtId="16" fontId="2" fillId="2" borderId="6" xfId="0" applyNumberFormat="1" applyFont="1" applyFill="1" applyBorder="1" applyAlignment="1" applyProtection="1">
      <alignment horizontal="center" vertical="top"/>
      <protection locked="0"/>
    </xf>
    <xf numFmtId="168" fontId="2" fillId="2" borderId="1" xfId="0" applyNumberFormat="1" applyFont="1" applyFill="1" applyBorder="1" applyAlignment="1" applyProtection="1">
      <alignment horizontal="center" vertical="top"/>
      <protection locked="0"/>
    </xf>
    <xf numFmtId="15" fontId="2" fillId="2" borderId="6" xfId="0" applyNumberFormat="1" applyFont="1" applyFill="1" applyBorder="1" applyAlignment="1" applyProtection="1">
      <alignment horizontal="center" vertical="top"/>
      <protection locked="0"/>
    </xf>
    <xf numFmtId="1" fontId="2" fillId="2" borderId="6" xfId="0" applyNumberFormat="1" applyFont="1" applyFill="1" applyBorder="1" applyAlignment="1" applyProtection="1">
      <alignment horizontal="center" vertical="top"/>
      <protection locked="0"/>
    </xf>
    <xf numFmtId="49" fontId="2" fillId="2" borderId="14" xfId="0" applyNumberFormat="1" applyFont="1" applyFill="1" applyBorder="1" applyAlignment="1" applyProtection="1">
      <alignment horizontal="left" vertical="top"/>
      <protection locked="0"/>
    </xf>
    <xf numFmtId="168" fontId="2" fillId="2" borderId="5" xfId="0" applyNumberFormat="1" applyFont="1" applyFill="1" applyBorder="1" applyAlignment="1" applyProtection="1">
      <alignment horizontal="center" vertical="top"/>
      <protection locked="0"/>
    </xf>
    <xf numFmtId="168" fontId="2" fillId="2" borderId="7" xfId="0" applyNumberFormat="1" applyFont="1" applyFill="1" applyBorder="1" applyAlignment="1" applyProtection="1">
      <alignment horizontal="center" vertical="top"/>
      <protection locked="0"/>
    </xf>
    <xf numFmtId="0" fontId="2" fillId="2" borderId="14" xfId="0" applyFont="1" applyFill="1" applyBorder="1" applyAlignment="1" applyProtection="1">
      <alignment horizontal="center" vertical="top"/>
      <protection locked="0"/>
    </xf>
    <xf numFmtId="168" fontId="2" fillId="2" borderId="14" xfId="0" applyNumberFormat="1" applyFont="1" applyFill="1" applyBorder="1" applyAlignment="1" applyProtection="1">
      <alignment horizontal="center" vertical="top"/>
      <protection locked="0"/>
    </xf>
    <xf numFmtId="49" fontId="2" fillId="29" borderId="14" xfId="0" applyNumberFormat="1" applyFont="1" applyFill="1" applyBorder="1" applyAlignment="1" applyProtection="1">
      <alignment horizontal="left" vertical="top"/>
      <protection locked="0"/>
    </xf>
    <xf numFmtId="0" fontId="2" fillId="29" borderId="6" xfId="0" applyFont="1" applyFill="1" applyBorder="1" applyAlignment="1" applyProtection="1">
      <alignment horizontal="center" vertical="top"/>
      <protection locked="0"/>
    </xf>
    <xf numFmtId="168" fontId="2" fillId="29" borderId="6" xfId="0" applyNumberFormat="1" applyFont="1" applyFill="1" applyBorder="1" applyAlignment="1" applyProtection="1">
      <alignment horizontal="center" vertical="top"/>
      <protection locked="0"/>
    </xf>
    <xf numFmtId="44" fontId="2" fillId="29" borderId="6" xfId="1" applyNumberFormat="1" applyFont="1" applyFill="1" applyBorder="1" applyAlignment="1" applyProtection="1">
      <alignment horizontal="center" vertical="top"/>
      <protection locked="0"/>
    </xf>
    <xf numFmtId="167" fontId="2" fillId="29" borderId="6" xfId="1" applyNumberFormat="1" applyFont="1" applyFill="1" applyBorder="1" applyAlignment="1" applyProtection="1">
      <alignment horizontal="center" vertical="top"/>
      <protection locked="0"/>
    </xf>
    <xf numFmtId="0" fontId="2" fillId="2" borderId="6" xfId="0" quotePrefix="1" applyFont="1" applyFill="1" applyBorder="1" applyAlignment="1" applyProtection="1">
      <alignment horizontal="center" vertical="top"/>
      <protection locked="0"/>
    </xf>
    <xf numFmtId="0" fontId="2" fillId="2" borderId="5" xfId="0" applyFont="1" applyFill="1" applyBorder="1" applyAlignment="1" applyProtection="1">
      <alignment horizontal="center" vertical="top"/>
      <protection locked="0"/>
    </xf>
    <xf numFmtId="168" fontId="2" fillId="2" borderId="3" xfId="0" applyNumberFormat="1" applyFont="1" applyFill="1" applyBorder="1" applyAlignment="1" applyProtection="1">
      <alignment horizontal="center" vertical="top"/>
      <protection locked="0"/>
    </xf>
    <xf numFmtId="0" fontId="2" fillId="2" borderId="1" xfId="0" applyFont="1" applyFill="1" applyBorder="1" applyAlignment="1" applyProtection="1">
      <alignment horizontal="center" vertical="top"/>
      <protection locked="0"/>
    </xf>
    <xf numFmtId="49" fontId="2" fillId="20" borderId="14" xfId="0" applyNumberFormat="1" applyFont="1" applyFill="1" applyBorder="1" applyAlignment="1" applyProtection="1">
      <alignment horizontal="left" vertical="top"/>
      <protection locked="0"/>
    </xf>
    <xf numFmtId="168" fontId="2" fillId="20" borderId="6" xfId="0" applyNumberFormat="1" applyFont="1" applyFill="1" applyBorder="1" applyAlignment="1" applyProtection="1">
      <alignment horizontal="center" vertical="top"/>
      <protection locked="0"/>
    </xf>
    <xf numFmtId="44" fontId="2" fillId="20" borderId="6" xfId="1" applyNumberFormat="1" applyFont="1" applyFill="1" applyBorder="1" applyAlignment="1" applyProtection="1">
      <alignment horizontal="center" vertical="top"/>
      <protection locked="0"/>
    </xf>
    <xf numFmtId="0" fontId="2" fillId="20" borderId="5" xfId="0" applyFont="1" applyFill="1" applyBorder="1"/>
    <xf numFmtId="44" fontId="2" fillId="20" borderId="1" xfId="1" applyNumberFormat="1" applyFont="1" applyFill="1" applyBorder="1" applyAlignment="1" applyProtection="1">
      <alignment horizontal="center" vertical="top"/>
      <protection locked="0"/>
    </xf>
    <xf numFmtId="170" fontId="2" fillId="37" borderId="5" xfId="1" applyNumberFormat="1" applyFont="1" applyFill="1" applyBorder="1" applyAlignment="1" applyProtection="1">
      <alignment horizontal="left" vertical="top" wrapText="1"/>
      <protection locked="0"/>
    </xf>
    <xf numFmtId="170" fontId="2" fillId="38" borderId="5" xfId="1" applyNumberFormat="1" applyFont="1" applyFill="1" applyBorder="1" applyAlignment="1" applyProtection="1">
      <alignment horizontal="left" vertical="top" wrapText="1"/>
      <protection locked="0"/>
    </xf>
    <xf numFmtId="170" fontId="2" fillId="39" borderId="5" xfId="1" applyNumberFormat="1" applyFont="1" applyFill="1" applyBorder="1" applyAlignment="1" applyProtection="1">
      <alignment horizontal="left" vertical="top" wrapText="1"/>
      <protection locked="0"/>
    </xf>
    <xf numFmtId="170" fontId="2" fillId="40" borderId="5" xfId="1" applyNumberFormat="1" applyFont="1" applyFill="1" applyBorder="1" applyAlignment="1" applyProtection="1">
      <alignment horizontal="left" vertical="top" wrapText="1"/>
      <protection locked="0"/>
    </xf>
    <xf numFmtId="168" fontId="2" fillId="21" borderId="6" xfId="0" applyNumberFormat="1" applyFont="1" applyFill="1" applyBorder="1" applyAlignment="1" applyProtection="1">
      <alignment horizontal="center" vertical="top"/>
      <protection locked="0"/>
    </xf>
    <xf numFmtId="170" fontId="2" fillId="2" borderId="1" xfId="1" applyNumberFormat="1" applyFont="1" applyFill="1" applyBorder="1" applyAlignment="1" applyProtection="1">
      <alignment horizontal="left" vertical="top" wrapText="1"/>
      <protection locked="0"/>
    </xf>
    <xf numFmtId="1" fontId="2" fillId="2" borderId="6" xfId="0" quotePrefix="1" applyNumberFormat="1" applyFont="1" applyFill="1" applyBorder="1" applyAlignment="1" applyProtection="1">
      <alignment horizontal="center" vertical="top"/>
      <protection locked="0"/>
    </xf>
    <xf numFmtId="49" fontId="2" fillId="34" borderId="14" xfId="0" applyNumberFormat="1" applyFont="1" applyFill="1" applyBorder="1" applyAlignment="1" applyProtection="1">
      <alignment horizontal="left" vertical="top"/>
      <protection locked="0"/>
    </xf>
    <xf numFmtId="0" fontId="2" fillId="34" borderId="6" xfId="0" quotePrefix="1" applyFont="1" applyFill="1" applyBorder="1" applyAlignment="1" applyProtection="1">
      <alignment horizontal="center" vertical="top"/>
      <protection locked="0"/>
    </xf>
    <xf numFmtId="168" fontId="2" fillId="34" borderId="6" xfId="0" applyNumberFormat="1" applyFont="1" applyFill="1" applyBorder="1" applyAlignment="1" applyProtection="1">
      <alignment horizontal="center" vertical="top"/>
      <protection locked="0"/>
    </xf>
    <xf numFmtId="44" fontId="2" fillId="34" borderId="6" xfId="1" applyNumberFormat="1" applyFont="1" applyFill="1" applyBorder="1" applyAlignment="1" applyProtection="1">
      <alignment horizontal="center" vertical="top"/>
      <protection locked="0"/>
    </xf>
    <xf numFmtId="168" fontId="2" fillId="34" borderId="6" xfId="0" applyNumberFormat="1" applyFont="1" applyFill="1" applyBorder="1" applyAlignment="1">
      <alignment horizontal="center" vertical="top"/>
    </xf>
    <xf numFmtId="1" fontId="2" fillId="34" borderId="6" xfId="0" quotePrefix="1" applyNumberFormat="1" applyFont="1" applyFill="1" applyBorder="1" applyAlignment="1" applyProtection="1">
      <alignment horizontal="center" vertical="top"/>
      <protection locked="0"/>
    </xf>
    <xf numFmtId="0" fontId="2" fillId="34" borderId="14" xfId="0" applyFont="1" applyFill="1" applyBorder="1" applyAlignment="1" applyProtection="1">
      <alignment horizontal="center" vertical="top"/>
      <protection locked="0"/>
    </xf>
    <xf numFmtId="168" fontId="2" fillId="34" borderId="14" xfId="0" applyNumberFormat="1" applyFont="1" applyFill="1" applyBorder="1" applyAlignment="1" applyProtection="1">
      <alignment horizontal="center" vertical="top"/>
      <protection locked="0"/>
    </xf>
    <xf numFmtId="168" fontId="2" fillId="0" borderId="6" xfId="0" applyNumberFormat="1" applyFont="1" applyBorder="1" applyAlignment="1" applyProtection="1">
      <alignment horizontal="center" vertical="top"/>
      <protection locked="0"/>
    </xf>
    <xf numFmtId="49" fontId="2" fillId="2" borderId="5" xfId="1" applyNumberFormat="1" applyFont="1" applyFill="1" applyBorder="1" applyAlignment="1" applyProtection="1">
      <alignment horizontal="left" vertical="top" wrapText="1"/>
      <protection locked="0"/>
    </xf>
    <xf numFmtId="168" fontId="2" fillId="43" borderId="6" xfId="0" applyNumberFormat="1" applyFont="1" applyFill="1" applyBorder="1" applyAlignment="1" applyProtection="1">
      <alignment horizontal="center" vertical="top"/>
      <protection locked="0"/>
    </xf>
    <xf numFmtId="170" fontId="2" fillId="43" borderId="5" xfId="1" applyNumberFormat="1" applyFont="1" applyFill="1" applyBorder="1" applyAlignment="1" applyProtection="1">
      <alignment horizontal="left" vertical="top" wrapText="1"/>
      <protection locked="0"/>
    </xf>
    <xf numFmtId="168" fontId="2" fillId="31" borderId="6" xfId="0" applyNumberFormat="1" applyFont="1" applyFill="1" applyBorder="1" applyAlignment="1" applyProtection="1">
      <alignment horizontal="center" vertical="top"/>
      <protection locked="0"/>
    </xf>
    <xf numFmtId="170" fontId="2" fillId="31" borderId="5" xfId="1" applyNumberFormat="1" applyFont="1" applyFill="1" applyBorder="1" applyAlignment="1" applyProtection="1">
      <alignment horizontal="left" vertical="top" wrapText="1"/>
      <protection locked="0"/>
    </xf>
    <xf numFmtId="168" fontId="2" fillId="0" borderId="5" xfId="0" applyNumberFormat="1" applyFont="1" applyBorder="1" applyAlignment="1" applyProtection="1">
      <alignment horizontal="center" vertical="top"/>
      <protection locked="0"/>
    </xf>
    <xf numFmtId="168" fontId="2" fillId="0" borderId="7" xfId="0" applyNumberFormat="1" applyFont="1" applyBorder="1" applyAlignment="1" applyProtection="1">
      <alignment horizontal="center" vertical="top"/>
      <protection locked="0"/>
    </xf>
    <xf numFmtId="15" fontId="2" fillId="2" borderId="6" xfId="0" quotePrefix="1" applyNumberFormat="1" applyFont="1" applyFill="1" applyBorder="1" applyAlignment="1" applyProtection="1">
      <alignment horizontal="center" vertical="top"/>
      <protection locked="0"/>
    </xf>
    <xf numFmtId="49" fontId="1" fillId="2" borderId="14" xfId="0" applyNumberFormat="1" applyFont="1" applyFill="1" applyBorder="1" applyAlignment="1" applyProtection="1">
      <alignment horizontal="left" vertical="top"/>
      <protection locked="0"/>
    </xf>
    <xf numFmtId="0" fontId="1" fillId="2" borderId="6" xfId="0" quotePrefix="1" applyFont="1" applyFill="1" applyBorder="1" applyAlignment="1" applyProtection="1">
      <alignment horizontal="center" vertical="top"/>
      <protection locked="0"/>
    </xf>
    <xf numFmtId="168" fontId="1" fillId="2" borderId="6" xfId="0" applyNumberFormat="1" applyFont="1" applyFill="1" applyBorder="1" applyAlignment="1" applyProtection="1">
      <alignment horizontal="center" vertical="top"/>
      <protection locked="0"/>
    </xf>
    <xf numFmtId="44" fontId="1" fillId="2" borderId="6" xfId="1" applyNumberFormat="1" applyFont="1" applyFill="1" applyBorder="1" applyAlignment="1" applyProtection="1">
      <alignment horizontal="center" vertical="top"/>
      <protection locked="0"/>
    </xf>
    <xf numFmtId="167" fontId="1" fillId="2" borderId="6" xfId="1" applyNumberFormat="1" applyFont="1" applyFill="1" applyBorder="1" applyAlignment="1" applyProtection="1">
      <alignment horizontal="center" vertical="top"/>
      <protection locked="0"/>
    </xf>
    <xf numFmtId="44" fontId="1" fillId="7" borderId="6" xfId="1" applyNumberFormat="1" applyFont="1" applyFill="1" applyBorder="1" applyAlignment="1">
      <alignment horizontal="center" vertical="top"/>
    </xf>
    <xf numFmtId="44" fontId="1" fillId="5" borderId="6" xfId="1" applyNumberFormat="1" applyFont="1" applyFill="1" applyBorder="1" applyAlignment="1">
      <alignment horizontal="center" vertical="top"/>
    </xf>
    <xf numFmtId="0" fontId="1" fillId="2" borderId="6" xfId="0" applyFont="1" applyFill="1" applyBorder="1" applyAlignment="1" applyProtection="1">
      <alignment horizontal="center" vertical="top"/>
      <protection locked="0"/>
    </xf>
    <xf numFmtId="174" fontId="1" fillId="2" borderId="6" xfId="0" applyNumberFormat="1" applyFont="1" applyFill="1" applyBorder="1" applyAlignment="1" applyProtection="1">
      <alignment horizontal="center" vertical="top"/>
      <protection locked="0"/>
    </xf>
    <xf numFmtId="168" fontId="1" fillId="2" borderId="5" xfId="0" applyNumberFormat="1" applyFont="1" applyFill="1" applyBorder="1" applyAlignment="1" applyProtection="1">
      <alignment horizontal="center" vertical="top"/>
      <protection locked="0"/>
    </xf>
    <xf numFmtId="168" fontId="1" fillId="2" borderId="7" xfId="0" applyNumberFormat="1" applyFont="1" applyFill="1" applyBorder="1" applyAlignment="1" applyProtection="1">
      <alignment horizontal="center" vertical="top"/>
      <protection locked="0"/>
    </xf>
    <xf numFmtId="0" fontId="1" fillId="2" borderId="14" xfId="0" applyFont="1" applyFill="1" applyBorder="1" applyAlignment="1" applyProtection="1">
      <alignment horizontal="center" vertical="top"/>
      <protection locked="0"/>
    </xf>
    <xf numFmtId="168" fontId="1" fillId="2" borderId="14" xfId="0" applyNumberFormat="1" applyFont="1" applyFill="1" applyBorder="1" applyAlignment="1" applyProtection="1">
      <alignment horizontal="center" vertical="top"/>
      <protection locked="0"/>
    </xf>
    <xf numFmtId="0" fontId="1" fillId="5" borderId="6" xfId="0" applyFont="1" applyFill="1" applyBorder="1" applyAlignment="1">
      <alignment horizontal="center" vertical="top"/>
    </xf>
    <xf numFmtId="168" fontId="1" fillId="5" borderId="6" xfId="0" applyNumberFormat="1" applyFont="1" applyFill="1" applyBorder="1" applyAlignment="1">
      <alignment horizontal="center" vertical="top"/>
    </xf>
    <xf numFmtId="170" fontId="1" fillId="2" borderId="5" xfId="1" applyNumberFormat="1" applyFont="1" applyFill="1" applyBorder="1" applyAlignment="1" applyProtection="1">
      <alignment horizontal="left" vertical="top" wrapText="1"/>
      <protection locked="0"/>
    </xf>
    <xf numFmtId="0" fontId="1" fillId="5" borderId="5" xfId="0" applyFont="1" applyFill="1" applyBorder="1"/>
    <xf numFmtId="44" fontId="1" fillId="2" borderId="1" xfId="1" applyNumberFormat="1" applyFont="1" applyFill="1" applyBorder="1" applyAlignment="1" applyProtection="1">
      <alignment horizontal="center" vertical="top"/>
      <protection locked="0"/>
    </xf>
    <xf numFmtId="49" fontId="2" fillId="38" borderId="14" xfId="0" applyNumberFormat="1" applyFont="1" applyFill="1" applyBorder="1" applyAlignment="1" applyProtection="1">
      <alignment horizontal="left" vertical="top"/>
      <protection locked="0"/>
    </xf>
    <xf numFmtId="168" fontId="2" fillId="38" borderId="6" xfId="0" applyNumberFormat="1" applyFont="1" applyFill="1" applyBorder="1" applyAlignment="1" applyProtection="1">
      <alignment horizontal="center" vertical="top"/>
      <protection locked="0"/>
    </xf>
    <xf numFmtId="44" fontId="2" fillId="38" borderId="6" xfId="1" applyNumberFormat="1" applyFont="1" applyFill="1" applyBorder="1" applyAlignment="1" applyProtection="1">
      <alignment horizontal="center" vertical="top"/>
      <protection locked="0"/>
    </xf>
    <xf numFmtId="49" fontId="2" fillId="39" borderId="14" xfId="0" applyNumberFormat="1" applyFont="1" applyFill="1" applyBorder="1" applyAlignment="1" applyProtection="1">
      <alignment horizontal="left" vertical="top"/>
      <protection locked="0"/>
    </xf>
    <xf numFmtId="0" fontId="2" fillId="39" borderId="6" xfId="0" quotePrefix="1" applyFont="1" applyFill="1" applyBorder="1" applyAlignment="1" applyProtection="1">
      <alignment horizontal="center" vertical="top"/>
      <protection locked="0"/>
    </xf>
    <xf numFmtId="168" fontId="2" fillId="39" borderId="6" xfId="0" applyNumberFormat="1" applyFont="1" applyFill="1" applyBorder="1" applyAlignment="1" applyProtection="1">
      <alignment horizontal="center" vertical="top"/>
      <protection locked="0"/>
    </xf>
    <xf numFmtId="44" fontId="2" fillId="39" borderId="6" xfId="1" applyNumberFormat="1" applyFont="1" applyFill="1" applyBorder="1" applyAlignment="1" applyProtection="1">
      <alignment horizontal="center" vertical="top"/>
      <protection locked="0"/>
    </xf>
    <xf numFmtId="49" fontId="2" fillId="37" borderId="14" xfId="0" applyNumberFormat="1" applyFont="1" applyFill="1" applyBorder="1" applyAlignment="1" applyProtection="1">
      <alignment horizontal="left" vertical="top"/>
      <protection locked="0"/>
    </xf>
    <xf numFmtId="0" fontId="2" fillId="37" borderId="6" xfId="0" quotePrefix="1" applyFont="1" applyFill="1" applyBorder="1" applyAlignment="1" applyProtection="1">
      <alignment horizontal="center" vertical="top"/>
      <protection locked="0"/>
    </xf>
    <xf numFmtId="168" fontId="2" fillId="37" borderId="6" xfId="0" applyNumberFormat="1" applyFont="1" applyFill="1" applyBorder="1" applyAlignment="1" applyProtection="1">
      <alignment horizontal="center" vertical="top"/>
      <protection locked="0"/>
    </xf>
    <xf numFmtId="44" fontId="2" fillId="37" borderId="6" xfId="1" applyNumberFormat="1" applyFont="1" applyFill="1" applyBorder="1" applyAlignment="1" applyProtection="1">
      <alignment horizontal="center" vertical="top"/>
      <protection locked="0"/>
    </xf>
    <xf numFmtId="0" fontId="2" fillId="38" borderId="6" xfId="0" quotePrefix="1" applyFont="1" applyFill="1" applyBorder="1" applyAlignment="1" applyProtection="1">
      <alignment horizontal="center" vertical="top"/>
      <protection locked="0"/>
    </xf>
    <xf numFmtId="49" fontId="2" fillId="45" borderId="14" xfId="0" applyNumberFormat="1" applyFont="1" applyFill="1" applyBorder="1" applyAlignment="1" applyProtection="1">
      <alignment horizontal="left" vertical="top"/>
      <protection locked="0"/>
    </xf>
    <xf numFmtId="0" fontId="2" fillId="45" borderId="6" xfId="0" quotePrefix="1" applyFont="1" applyFill="1" applyBorder="1" applyAlignment="1" applyProtection="1">
      <alignment horizontal="center" vertical="top"/>
      <protection locked="0"/>
    </xf>
    <xf numFmtId="168" fontId="2" fillId="45" borderId="6" xfId="0" applyNumberFormat="1" applyFont="1" applyFill="1" applyBorder="1" applyAlignment="1" applyProtection="1">
      <alignment horizontal="center" vertical="top"/>
      <protection locked="0"/>
    </xf>
    <xf numFmtId="44" fontId="2" fillId="45" borderId="6" xfId="1" applyNumberFormat="1" applyFont="1" applyFill="1" applyBorder="1" applyAlignment="1" applyProtection="1">
      <alignment horizontal="center" vertical="top"/>
      <protection locked="0"/>
    </xf>
    <xf numFmtId="0" fontId="1" fillId="2" borderId="6" xfId="0" quotePrefix="1" applyFont="1" applyFill="1" applyBorder="1" applyAlignment="1" applyProtection="1">
      <alignment horizontal="center" vertical="top" wrapText="1"/>
      <protection locked="0"/>
    </xf>
    <xf numFmtId="44" fontId="2" fillId="5" borderId="8" xfId="1" applyNumberFormat="1" applyFont="1" applyFill="1" applyBorder="1" applyAlignment="1" applyProtection="1">
      <alignment horizontal="center" vertical="top"/>
    </xf>
    <xf numFmtId="44" fontId="2" fillId="5" borderId="1" xfId="1" applyNumberFormat="1" applyFont="1" applyFill="1" applyBorder="1" applyAlignment="1" applyProtection="1">
      <alignment horizontal="center" vertical="top"/>
    </xf>
    <xf numFmtId="43" fontId="2" fillId="2" borderId="1" xfId="1" applyNumberFormat="1" applyFont="1" applyFill="1" applyBorder="1" applyAlignment="1" applyProtection="1">
      <alignment horizontal="left" vertical="top" wrapText="1"/>
      <protection locked="0"/>
    </xf>
    <xf numFmtId="167" fontId="2" fillId="5" borderId="1" xfId="1" applyNumberFormat="1" applyFont="1" applyFill="1" applyBorder="1" applyAlignment="1" applyProtection="1">
      <alignment horizontal="center" vertical="top"/>
    </xf>
    <xf numFmtId="167" fontId="2" fillId="5" borderId="1" xfId="1" applyNumberFormat="1" applyFont="1" applyFill="1" applyBorder="1" applyAlignment="1" applyProtection="1">
      <alignment vertical="top"/>
    </xf>
    <xf numFmtId="49" fontId="2" fillId="2" borderId="2" xfId="1" applyNumberFormat="1" applyFont="1" applyFill="1" applyBorder="1" applyAlignment="1" applyProtection="1">
      <alignment horizontal="left" vertical="top" wrapText="1"/>
      <protection locked="0"/>
    </xf>
    <xf numFmtId="43" fontId="2" fillId="0" borderId="1" xfId="1" applyNumberFormat="1" applyFont="1" applyFill="1" applyBorder="1" applyAlignment="1" applyProtection="1">
      <alignment horizontal="left" vertical="top" wrapText="1"/>
      <protection locked="0"/>
    </xf>
    <xf numFmtId="49" fontId="2" fillId="0" borderId="2" xfId="1" applyNumberFormat="1" applyFont="1" applyFill="1" applyBorder="1" applyAlignment="1" applyProtection="1">
      <alignment horizontal="left" vertical="top" wrapText="1"/>
      <protection locked="0"/>
    </xf>
    <xf numFmtId="0" fontId="2" fillId="32" borderId="0" xfId="10" applyFill="1" applyAlignment="1" applyProtection="1">
      <protection hidden="1"/>
    </xf>
    <xf numFmtId="0" fontId="0" fillId="32" borderId="0" xfId="0" applyFill="1" applyAlignment="1"/>
  </cellXfs>
  <cellStyles count="14">
    <cellStyle name="Comma" xfId="1" builtinId="3"/>
    <cellStyle name="Comma 2" xfId="4" xr:uid="{00000000-0005-0000-0000-000001000000}"/>
    <cellStyle name="Comma 2 2" xfId="12" xr:uid="{00000000-0005-0000-0000-000002000000}"/>
    <cellStyle name="Comma 2 3" xfId="13" xr:uid="{00000000-0005-0000-0000-000003000000}"/>
    <cellStyle name="Currency" xfId="8" builtinId="4"/>
    <cellStyle name="Currency 2" xfId="5" xr:uid="{00000000-0005-0000-0000-000005000000}"/>
    <cellStyle name="Currency 2 2" xfId="6" xr:uid="{00000000-0005-0000-0000-000006000000}"/>
    <cellStyle name="Currency 2 2 2" xfId="11" xr:uid="{00000000-0005-0000-0000-000007000000}"/>
    <cellStyle name="Hyperlink" xfId="9" builtinId="8"/>
    <cellStyle name="Normal" xfId="0" builtinId="0"/>
    <cellStyle name="Normal 2" xfId="3" xr:uid="{00000000-0005-0000-0000-00000A000000}"/>
    <cellStyle name="Normal 2 2 2 3" xfId="7" xr:uid="{00000000-0005-0000-0000-00000B000000}"/>
    <cellStyle name="Normal 3 2" xfId="10" xr:uid="{00000000-0005-0000-0000-00000C000000}"/>
    <cellStyle name="Percent" xfId="2" builtinId="5"/>
  </cellStyles>
  <dxfs count="633">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0" formatCode="General"/>
    </dxf>
    <dxf>
      <numFmt numFmtId="0" formatCode="General"/>
    </dxf>
    <dxf>
      <numFmt numFmtId="0" formatCode="General"/>
      <alignment horizontal="center" vertical="bottom" textRotation="0" wrapText="0" indent="0" justifyLastLine="0" shrinkToFit="0" readingOrder="0"/>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0" formatCode="General"/>
    </dxf>
    <dxf>
      <numFmt numFmtId="0" formatCode="General"/>
    </dxf>
    <dxf>
      <numFmt numFmtId="0" formatCode="General"/>
    </dxf>
    <dxf>
      <fill>
        <patternFill>
          <bgColor rgb="FFFF0000"/>
        </patternFill>
      </fill>
    </dxf>
    <dxf>
      <fill>
        <patternFill>
          <bgColor rgb="FF92D050"/>
        </patternFill>
      </fill>
    </dxf>
    <dxf>
      <fill>
        <patternFill>
          <bgColor theme="5" tint="0.79998168889431442"/>
        </patternFill>
      </fill>
    </dxf>
    <dxf>
      <fill>
        <patternFill>
          <bgColor theme="5" tint="0.39994506668294322"/>
        </patternFill>
      </fill>
    </dxf>
    <dxf>
      <fill>
        <patternFill>
          <bgColor theme="5" tint="0.79998168889431442"/>
        </patternFill>
      </fill>
    </dxf>
    <dxf>
      <fill>
        <patternFill>
          <bgColor theme="5" tint="0.39994506668294322"/>
        </patternFill>
      </fill>
    </dxf>
    <dxf>
      <fill>
        <patternFill>
          <bgColor theme="5" tint="0.79998168889431442"/>
        </patternFill>
      </fill>
    </dxf>
    <dxf>
      <fill>
        <patternFill>
          <bgColor theme="5" tint="0.39994506668294322"/>
        </patternFill>
      </fill>
    </dxf>
    <dxf>
      <fill>
        <patternFill>
          <bgColor theme="5" tint="0.79998168889431442"/>
        </patternFill>
      </fill>
    </dxf>
    <dxf>
      <fill>
        <patternFill>
          <bgColor theme="5" tint="0.39994506668294322"/>
        </patternFill>
      </fill>
    </dxf>
    <dxf>
      <fill>
        <patternFill>
          <bgColor theme="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rgb="FFFFFF99"/>
        </patternFill>
      </fill>
    </dxf>
    <dxf>
      <font>
        <color auto="1"/>
      </font>
      <fill>
        <patternFill>
          <bgColor rgb="FFFFFF99"/>
        </patternFill>
      </fill>
    </dxf>
    <dxf>
      <font>
        <color auto="1"/>
      </font>
      <fill>
        <patternFill>
          <bgColor rgb="FFFFFF99"/>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theme="9" tint="-0.24994659260841701"/>
        </patternFill>
      </fill>
    </dxf>
    <dxf>
      <font>
        <color auto="1"/>
      </font>
      <fill>
        <patternFill>
          <bgColor rgb="FFFFFF99"/>
        </patternFill>
      </fill>
    </dxf>
    <dxf>
      <fill>
        <patternFill>
          <bgColor rgb="FFFFFF99"/>
        </patternFill>
      </fill>
    </dxf>
    <dxf>
      <font>
        <color auto="1"/>
      </font>
      <fill>
        <patternFill>
          <bgColor rgb="FFFFFF99"/>
        </patternFill>
      </fill>
    </dxf>
    <dxf>
      <fill>
        <patternFill>
          <bgColor rgb="FFFFFF99"/>
        </patternFill>
      </fill>
    </dxf>
    <dxf>
      <fill>
        <patternFill>
          <bgColor theme="9" tint="-0.24994659260841701"/>
        </patternFill>
      </fill>
    </dxf>
    <dxf>
      <font>
        <color rgb="FF9C0006"/>
      </font>
      <fill>
        <patternFill>
          <bgColor rgb="FFFFC7CE"/>
        </patternFill>
      </fill>
    </dxf>
    <dxf>
      <font>
        <color rgb="FF9C0006"/>
      </font>
      <fill>
        <patternFill>
          <bgColor rgb="FFFFC7CE"/>
        </patternFill>
      </fill>
    </dxf>
    <dxf>
      <font>
        <color auto="1"/>
      </font>
      <fill>
        <patternFill>
          <bgColor rgb="FFFFFF99"/>
        </patternFill>
      </fill>
    </dxf>
    <dxf>
      <fill>
        <patternFill>
          <bgColor rgb="FFFFFF99"/>
        </patternFill>
      </fill>
    </dxf>
    <dxf>
      <fill>
        <patternFill>
          <bgColor theme="9"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rgb="FFFFFF99"/>
        </patternFill>
      </fill>
    </dxf>
    <dxf>
      <fill>
        <patternFill>
          <bgColor rgb="FFFFFF99"/>
        </patternFill>
      </fill>
    </dxf>
    <dxf>
      <fill>
        <patternFill>
          <bgColor theme="9" tint="-0.24994659260841701"/>
        </patternFill>
      </fill>
    </dxf>
    <dxf>
      <font>
        <color rgb="FF9C0006"/>
      </font>
      <fill>
        <patternFill>
          <bgColor rgb="FFFFC7CE"/>
        </patternFill>
      </fill>
    </dxf>
    <dxf>
      <font>
        <color rgb="FF9C0006"/>
      </font>
      <fill>
        <patternFill>
          <bgColor rgb="FFFFC7CE"/>
        </patternFill>
      </fill>
    </dxf>
    <dxf>
      <font>
        <color auto="1"/>
      </font>
      <fill>
        <patternFill>
          <bgColor rgb="FFFFFF99"/>
        </patternFill>
      </fill>
    </dxf>
    <dxf>
      <fill>
        <patternFill>
          <bgColor rgb="FFFFFF99"/>
        </patternFill>
      </fill>
    </dxf>
    <dxf>
      <fill>
        <patternFill>
          <bgColor theme="9"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1" hidden="0"/>
    </dxf>
    <dxf>
      <numFmt numFmtId="168" formatCode="[$-1009]d\-mmm\-yy;@"/>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bottom/>
        <vertical/>
        <horizontal/>
      </border>
      <protection locked="1" hidden="0"/>
    </dxf>
    <dxf>
      <numFmt numFmtId="168" formatCode="[$-1009]d\-mmm\-yy;@"/>
      <fill>
        <patternFill patternType="solid">
          <fgColor indexed="64"/>
          <bgColor theme="0"/>
        </patternFill>
      </fill>
      <alignment horizontal="center" vertical="top" textRotation="0" wrapText="0" indent="0" justifyLastLine="0" shrinkToFit="0" readingOrder="0"/>
      <border diagonalUp="0" diagonalDown="0">
        <left/>
        <right style="thin">
          <color indexed="64"/>
        </right>
        <top style="thin">
          <color indexed="64"/>
        </top>
        <bottom/>
        <vertical/>
        <horizontal/>
      </border>
      <protection locked="0" hidden="0"/>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theme="1"/>
        <name val="Calibri"/>
        <scheme val="minor"/>
      </font>
      <fill>
        <patternFill patternType="solid">
          <fgColor indexed="64"/>
          <bgColor theme="2" tint="-9.9978637043366805E-2"/>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theme="2" tint="-9.9978637043366805E-2"/>
        </patternFill>
      </fill>
      <alignment horizontal="general" vertical="top"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theme="2" tint="-9.9978637043366805E-2"/>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theme="2" tint="-9.9978637043366805E-2"/>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theme="2" tint="-9.9978637043366805E-2"/>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theme="2" tint="-9.9978637043366805E-2"/>
        </patternFill>
      </fill>
      <alignment horizontal="general" vertical="top"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theme="1"/>
        <name val="Calibri"/>
        <scheme val="minor"/>
      </font>
      <fill>
        <patternFill patternType="solid">
          <fgColor indexed="64"/>
          <bgColor theme="2" tint="-9.9978637043366805E-2"/>
        </patternFill>
      </fill>
      <alignment horizontal="general" vertical="top"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top" textRotation="0" wrapText="1" indent="0" justifyLastLine="0" shrinkToFit="0" readingOrder="0"/>
      <border diagonalUp="0" diagonalDown="0">
        <left/>
        <right/>
        <top style="thin">
          <color indexed="64"/>
        </top>
        <bottom/>
        <vertical/>
        <horizontal/>
      </border>
      <protection locked="0" hidden="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patternFill>
      </fill>
    </dxf>
    <dxf>
      <fill>
        <patternFill>
          <bgColor theme="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ill>
        <patternFill>
          <bgColor rgb="FFFF0000"/>
        </patternFill>
      </fill>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b/>
        <i val="0"/>
        <color rgb="FFFF0000"/>
      </font>
      <numFmt numFmtId="185" formatCode="#,##0_ ;[Red]\-#,##0\ "/>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tint="-4.9989318521683403E-2"/>
      </font>
      <fill>
        <patternFill>
          <bgColor theme="1" tint="0.499984740745262"/>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30" formatCode="@"/>
      <fill>
        <patternFill patternType="solid">
          <fgColor indexed="64"/>
          <bgColor theme="0"/>
        </patternFill>
      </fill>
      <alignment horizontal="left" vertical="top" textRotation="0" wrapText="1"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theme="3"/>
        </patternFill>
      </fill>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7" formatCode="_-* #,##0_-;\-* #,##0_-;_-* &quot;-&quot;??_-;_-@_-"/>
      <fill>
        <patternFill patternType="solid">
          <fgColor indexed="64"/>
          <bgColor theme="2" tint="-9.9978637043366805E-2"/>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7" formatCode="_-* #,##0_-;\-* #,##0_-;_-*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30" formatCode="@"/>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right"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30" formatCode="@"/>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left" vertical="top"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left" vertical="top"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30" formatCode="@"/>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6"/>
        <color theme="1"/>
        <name val="Calibri"/>
        <scheme val="minor"/>
      </font>
      <fill>
        <patternFill patternType="solid">
          <fgColor indexed="64"/>
          <bgColor theme="0"/>
        </patternFill>
      </fill>
      <alignment horizontal="center" vertical="top" textRotation="0" wrapText="0" indent="0" justifyLastLine="0" shrinkToFit="0" readingOrder="0"/>
      <protection locked="1" hidden="0"/>
    </dxf>
    <dxf>
      <font>
        <b val="0"/>
        <i val="0"/>
        <strike val="0"/>
        <condense val="0"/>
        <extend val="0"/>
        <outline val="0"/>
        <shadow val="0"/>
        <u val="none"/>
        <vertAlign val="baseline"/>
        <sz val="6"/>
        <color theme="1"/>
        <name val="Calibri"/>
        <family val="2"/>
        <scheme val="minor"/>
      </font>
      <fill>
        <patternFill patternType="solid">
          <fgColor indexed="64"/>
          <bgColor theme="0"/>
        </patternFill>
      </fill>
      <alignment horizontal="center" vertical="top" textRotation="0" wrapText="0" indent="0" justifyLastLine="0" shrinkToFit="0" readingOrder="0"/>
      <protection locked="1" hidden="0"/>
    </dxf>
    <dxf>
      <border outline="0">
        <right style="thin">
          <color indexed="64"/>
        </right>
      </border>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3" formatCode="0%"/>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14" formatCode="0.00%"/>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border outline="0">
        <right style="thin">
          <color indexed="64"/>
        </right>
      </border>
      <protection locked="1" hidden="0"/>
    </dxf>
    <dxf>
      <fill>
        <patternFill patternType="solid">
          <fgColor indexed="64"/>
          <bgColor theme="0"/>
        </patternFill>
      </fill>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3" formatCode="0%"/>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14" formatCode="0.00%"/>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border outline="0">
        <right style="thin">
          <color indexed="64"/>
        </right>
      </border>
      <protection locked="1" hidden="0"/>
    </dxf>
    <dxf>
      <fill>
        <patternFill patternType="solid">
          <fgColor indexed="64"/>
          <bgColor theme="0"/>
        </patternFill>
      </fill>
      <protection locked="1" hidden="0"/>
    </dxf>
    <dxf>
      <font>
        <b val="0"/>
        <i val="0"/>
        <strike val="0"/>
        <condense val="0"/>
        <extend val="0"/>
        <outline val="0"/>
        <shadow val="0"/>
        <u val="none"/>
        <vertAlign val="baseline"/>
        <sz val="11"/>
        <color theme="1"/>
        <name val="Calibri"/>
        <scheme val="minor"/>
      </font>
      <numFmt numFmtId="170" formatCode="_(* #,##0_);_(* \(#,##0\);_(* &quot;-&quot;??_);_(@_)"/>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70" formatCode="_(* #,##0_);_(* \(#,##0\);_(* &quot;-&quot;??_);_(@_)"/>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protection locked="1" hidden="0"/>
    </dxf>
    <dxf>
      <fill>
        <patternFill patternType="solid">
          <fgColor indexed="64"/>
          <bgColor theme="0"/>
        </patternFill>
      </fill>
      <protection locked="1" hidden="0"/>
    </dxf>
    <dxf>
      <font>
        <b val="0"/>
        <i val="0"/>
        <strike val="0"/>
        <condense val="0"/>
        <extend val="0"/>
        <outline val="0"/>
        <shadow val="0"/>
        <u val="none"/>
        <vertAlign val="baseline"/>
        <sz val="11"/>
        <color theme="1"/>
        <name val="Calibri"/>
        <scheme val="minor"/>
      </font>
      <numFmt numFmtId="13" formatCode="0%"/>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left" vertical="top" textRotation="0" wrapText="0" indent="0" justifyLastLine="0" shrinkToFit="0" readingOrder="0"/>
      <border diagonalUp="0" diagonalDown="0" outline="0">
        <left style="thin">
          <color indexed="64"/>
        </left>
        <right style="thin">
          <color indexed="64"/>
        </right>
        <top/>
        <bottom style="thin">
          <color indexed="64"/>
        </bottom>
      </border>
      <protection locked="1"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right"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0"/>
        </patternFill>
      </fill>
      <alignment horizontal="left" vertical="top" textRotation="0" wrapText="0" indent="0" justifyLastLine="0" shrinkToFit="0" readingOrder="0"/>
      <border diagonalUp="0" diagonalDown="0">
        <left/>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top style="thin">
          <color indexed="64"/>
        </top>
        <bottom style="thin">
          <color indexed="64"/>
        </bottom>
      </border>
      <protection locked="1" hidden="0"/>
    </dxf>
    <dxf>
      <border outline="0">
        <left style="thin">
          <color indexed="64"/>
        </left>
        <right style="thin">
          <color indexed="64"/>
        </right>
      </border>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3" formatCode="0%"/>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14" formatCode="0.00%"/>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border outline="0">
        <left style="thin">
          <color indexed="64"/>
        </left>
        <right style="thin">
          <color indexed="64"/>
        </right>
      </border>
      <protection locked="1" hidden="0"/>
    </dxf>
    <dxf>
      <fill>
        <patternFill patternType="solid">
          <fgColor indexed="64"/>
          <bgColor theme="0"/>
        </patternFill>
      </fill>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3" formatCode="0%"/>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14" formatCode="0.00%"/>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border outline="0">
        <left style="thin">
          <color indexed="64"/>
        </left>
        <right style="thin">
          <color indexed="64"/>
        </right>
      </border>
      <protection locked="1" hidden="0"/>
    </dxf>
    <dxf>
      <fill>
        <patternFill patternType="solid">
          <fgColor indexed="64"/>
          <bgColor theme="0"/>
        </patternFill>
      </fill>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border outline="0">
        <right style="thin">
          <color indexed="64"/>
        </right>
      </border>
      <protection locked="1" hidden="0"/>
    </dxf>
    <dxf>
      <fill>
        <patternFill patternType="solid">
          <fgColor indexed="64"/>
          <bgColor theme="0"/>
        </patternFill>
      </fill>
      <protection locked="1" hidden="0"/>
    </dxf>
    <dxf>
      <font>
        <b val="0"/>
        <i val="0"/>
        <strike val="0"/>
        <condense val="0"/>
        <extend val="0"/>
        <outline val="0"/>
        <shadow val="0"/>
        <u val="none"/>
        <vertAlign val="baseline"/>
        <sz val="11"/>
        <color theme="1"/>
        <name val="Calibri"/>
        <scheme val="minor"/>
      </font>
      <numFmt numFmtId="13" formatCode="0%"/>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indexed="64"/>
        </left>
        <right style="thin">
          <color indexed="64"/>
        </right>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indexed="64"/>
        </left>
        <right style="thin">
          <color indexed="64"/>
        </right>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right"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0"/>
        </patternFill>
      </fill>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top style="thin">
          <color indexed="64"/>
        </top>
        <bottom style="thin">
          <color indexed="64"/>
        </bottom>
      </border>
      <protection locked="1" hidden="0"/>
    </dxf>
    <dxf>
      <border outline="0">
        <left style="thin">
          <color indexed="64"/>
        </left>
        <right style="thin">
          <color indexed="64"/>
        </right>
      </border>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3" formatCode="0%"/>
      <fill>
        <patternFill patternType="solid">
          <fgColor indexed="64"/>
          <bgColor theme="2" tint="-9.9978637043366805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14" formatCode="0.00%"/>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border outline="0">
        <left style="thin">
          <color indexed="64"/>
        </left>
        <right style="thin">
          <color indexed="64"/>
        </right>
      </border>
      <protection locked="1" hidden="0"/>
    </dxf>
    <dxf>
      <fill>
        <patternFill patternType="solid">
          <fgColor indexed="64"/>
          <bgColor theme="0"/>
        </patternFill>
      </fill>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3" formatCode="0%"/>
      <fill>
        <patternFill patternType="solid">
          <fgColor indexed="64"/>
          <bgColor theme="2" tint="-9.9978637043366805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14" formatCode="0.00%"/>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border outline="0">
        <left style="thin">
          <color indexed="64"/>
        </left>
        <right style="thin">
          <color indexed="64"/>
        </right>
      </border>
      <protection locked="1" hidden="0"/>
    </dxf>
    <dxf>
      <fill>
        <patternFill patternType="solid">
          <fgColor indexed="64"/>
          <bgColor theme="0"/>
        </patternFill>
      </fill>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border outline="0">
        <right style="thin">
          <color indexed="64"/>
        </right>
      </border>
      <protection locked="1" hidden="0"/>
    </dxf>
    <dxf>
      <fill>
        <patternFill patternType="solid">
          <fgColor indexed="64"/>
          <bgColor theme="0"/>
        </patternFill>
      </fill>
      <protection locked="1" hidden="0"/>
    </dxf>
    <dxf>
      <font>
        <b val="0"/>
        <i val="0"/>
        <strike val="0"/>
        <condense val="0"/>
        <extend val="0"/>
        <outline val="0"/>
        <shadow val="0"/>
        <u val="none"/>
        <vertAlign val="baseline"/>
        <sz val="11"/>
        <color theme="1"/>
        <name val="Calibri"/>
        <scheme val="minor"/>
      </font>
      <numFmt numFmtId="13" formatCode="0%"/>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numFmt numFmtId="14" formatCode="0.00%"/>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left" vertical="top"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right"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top style="thin">
          <color indexed="64"/>
        </top>
        <bottom style="thin">
          <color indexed="64"/>
        </bottom>
      </border>
      <protection locked="1" hidden="0"/>
    </dxf>
    <dxf>
      <border outline="0">
        <left style="thin">
          <color indexed="64"/>
        </left>
        <right style="thin">
          <color indexed="64"/>
        </right>
      </border>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1" hidden="0"/>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39994506668294322"/>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b val="0"/>
        <i val="0"/>
        <strike val="0"/>
        <condense val="0"/>
        <extend val="0"/>
        <outline val="0"/>
        <shadow val="0"/>
        <u val="none"/>
        <vertAlign val="baseline"/>
        <sz val="11"/>
        <color theme="1"/>
        <name val="Calibri"/>
        <scheme val="minor"/>
      </font>
      <numFmt numFmtId="170" formatCode="_(* #,##0_);_(* \(#,##0\);_(* &quot;-&quot;??_);_(@_)"/>
      <fill>
        <patternFill patternType="solid">
          <fgColor indexed="64"/>
          <bgColor theme="2" tint="-9.9978637043366805E-2"/>
        </patternFill>
      </fill>
      <border diagonalUp="0" diagonalDown="0">
        <left style="thin">
          <color indexed="64"/>
        </left>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70" formatCode="_(* #,##0_);_(* \(#,##0\);_(* &quot;-&quot;??_);_(@_)"/>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protection locked="1" hidden="0"/>
    </dxf>
    <dxf>
      <fill>
        <patternFill patternType="solid">
          <fgColor indexed="64"/>
          <bgColor theme="0"/>
        </patternFill>
      </fill>
      <protection locked="1" hidden="0"/>
    </dxf>
    <dxf>
      <font>
        <b val="0"/>
        <i val="0"/>
        <strike val="0"/>
        <condense val="0"/>
        <extend val="0"/>
        <outline val="0"/>
        <shadow val="0"/>
        <u val="none"/>
        <vertAlign val="baseline"/>
        <sz val="11"/>
        <color theme="1"/>
        <name val="Calibri"/>
        <scheme val="minor"/>
      </font>
      <numFmt numFmtId="170" formatCode="_(* #,##0_);_(* \(#,##0\);_(* &quot;-&quot;??_);_(@_)"/>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70" formatCode="_(* #,##0_);_(* \(#,##0\);_(* &quot;-&quot;??_);_(@_)"/>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border outline="0">
        <left style="thin">
          <color indexed="64"/>
        </left>
      </border>
      <protection locked="1" hidden="0"/>
    </dxf>
    <dxf>
      <fill>
        <patternFill patternType="solid">
          <fgColor indexed="64"/>
          <bgColor theme="0"/>
        </patternFill>
      </fill>
      <protection locked="1"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2" tint="-9.9978637043366805E-2"/>
        </patternFill>
      </fill>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border outline="0">
        <left style="thin">
          <color indexed="64"/>
        </left>
        <right style="thin">
          <color indexed="64"/>
        </right>
      </border>
      <protection locked="1" hidden="0"/>
    </dxf>
    <dxf>
      <fill>
        <patternFill patternType="solid">
          <fgColor indexed="64"/>
          <bgColor theme="0"/>
        </patternFill>
      </fill>
      <protection locked="1"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2" tint="-9.9978637043366805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70" formatCode="_(* #,##0_);_(* \(#,##0\);_(* &quot;-&quot;??_);_(@_)"/>
      <fill>
        <patternFill patternType="solid">
          <fgColor indexed="64"/>
          <bgColor theme="2" tint="-9.9978637043366805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7" formatCode="_-* #,##0_-;\-* #,##0_-;_-*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6" formatCode="_-* #,##0.00_-;\-* #,##0.00_-;_-* &quot;-&quot;??_-;_-@_-"/>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right" vertical="bottom" textRotation="0" wrapText="0" indent="1" justifyLastLine="0" shrinkToFit="0" readingOrder="0"/>
      <border diagonalUp="0" diagonalDown="0" outline="0">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6" formatCode="_-* #,##0.00_-;\-* #,##0.00_-;_-* &quot;-&quot;??_-;_-@_-"/>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6" formatCode="_-* #,##0.00_-;\-* #,##0.00_-;_-* &quot;-&quot;??_-;_-@_-"/>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6" formatCode="_-* #,##0.00_-;\-* #,##0.00_-;_-* &quot;-&quot;??_-;_-@_-"/>
      <fill>
        <patternFill patternType="solid">
          <fgColor indexed="64"/>
          <bgColor theme="2" tint="-9.9978637043366805E-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right" vertical="bottom" textRotation="0" wrapText="0" indent="0" justifyLastLine="0" shrinkToFit="0" readingOrder="0"/>
      <border diagonalUp="0" diagonalDown="0" outline="0">
        <left/>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6" formatCode="_-* #,##0.00_-;\-* #,##0.00_-;_-* &quot;-&quot;??_-;_-@_-"/>
      <fill>
        <patternFill patternType="solid">
          <fgColor indexed="64"/>
          <bgColor theme="2" tint="-9.9978637043366805E-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6" formatCode="_-* #,##0.00_-;\-* #,##0.00_-;_-* &quot;-&quot;??_-;_-@_-"/>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7"/>
        <color theme="1"/>
        <name val="Calibri"/>
        <scheme val="minor"/>
      </font>
      <fill>
        <patternFill patternType="solid">
          <fgColor indexed="64"/>
          <bgColor theme="0"/>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7"/>
        <color theme="1"/>
        <name val="Calibri"/>
        <scheme val="minor"/>
      </font>
      <fill>
        <patternFill patternType="solid">
          <fgColor indexed="64"/>
          <bgColor theme="0"/>
        </patternFill>
      </fill>
      <alignment horizontal="center" vertical="bottom" textRotation="0" wrapText="0" indent="0" justifyLastLine="0" shrinkToFit="0" readingOrder="0"/>
      <protection locked="1" hidden="0"/>
    </dxf>
    <dxf>
      <border outline="0">
        <right style="thin">
          <color indexed="64"/>
        </right>
      </border>
    </dxf>
    <dxf>
      <font>
        <b val="0"/>
        <i val="0"/>
        <strike val="0"/>
        <condense val="0"/>
        <extend val="0"/>
        <outline val="0"/>
        <shadow val="0"/>
        <u val="none"/>
        <vertAlign val="baseline"/>
        <sz val="11"/>
        <color theme="1"/>
        <name val="Calibri"/>
        <scheme val="minor"/>
      </font>
      <fill>
        <patternFill patternType="solid">
          <fgColor indexed="64"/>
          <bgColor theme="2" tint="-9.9978637043366805E-2"/>
        </patternFill>
      </fill>
      <protection locked="1"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1" hidden="0"/>
    </dxf>
    <dxf>
      <fill>
        <patternFill>
          <bgColor theme="5" tint="0.59996337778862885"/>
        </patternFill>
      </fill>
    </dxf>
    <dxf>
      <numFmt numFmtId="173" formatCode="&quot;$&quot;#,##0.00"/>
    </dxf>
    <dxf>
      <numFmt numFmtId="172" formatCode="[$-1009]mmmm\ d\,\ yyyy;@"/>
    </dxf>
    <dxf>
      <numFmt numFmtId="173" formatCode="&quot;$&quot;#,##0.00"/>
    </dxf>
    <dxf>
      <numFmt numFmtId="173" formatCode="&quot;$&quot;#,##0.00"/>
    </dxf>
    <dxf>
      <numFmt numFmtId="173" formatCode="&quot;$&quot;#,##0.00"/>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Calibri"/>
        <scheme val="minor"/>
      </font>
      <numFmt numFmtId="34" formatCode="_(&quot;$&quot;* #,##0.00_);_(&quot;$&quot;* \(#,##0.00\);_(&quot;$&quot;* &quot;-&quot;??_);_(@_)"/>
      <fill>
        <patternFill patternType="solid">
          <fgColor indexed="64"/>
          <bgColor theme="2" tint="-9.9978637043366805E-2"/>
        </patternFill>
      </fill>
      <alignment horizontal="general" vertical="bottom"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scheme val="minor"/>
      </font>
      <numFmt numFmtId="168" formatCode="[$-1009]d\-mmm\-yy;@"/>
      <fill>
        <patternFill patternType="solid">
          <fgColor indexed="64"/>
          <bgColor theme="0"/>
        </patternFill>
      </fill>
      <alignment horizontal="general" vertical="top" textRotation="0" wrapText="0"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0"/>
        <color theme="1"/>
        <name val="Calibri"/>
        <scheme val="minor"/>
      </font>
      <numFmt numFmtId="34" formatCode="_(&quot;$&quot;* #,##0.00_);_(&quot;$&quot;* \(#,##0.00\);_(&quot;$&quot;* &quot;-&quot;??_);_(@_)"/>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scheme val="minor"/>
      </font>
      <numFmt numFmtId="34" formatCode="_(&quot;$&quot;* #,##0.00_);_(&quot;$&quot;* \(#,##0.00\);_(&quot;$&quot;* &quot;-&quot;??_);_(@_)"/>
      <fill>
        <patternFill patternType="solid">
          <fgColor indexed="64"/>
          <bgColor theme="2" tint="-9.9978637043366805E-2"/>
        </patternFill>
      </fill>
      <alignment horizontal="general" vertical="bottom" textRotation="0" wrapText="0" indent="0" justifyLastLine="0" shrinkToFit="0" readingOrder="0"/>
      <border diagonalUp="0" diagonalDown="0">
        <left/>
        <right/>
        <top style="thin">
          <color indexed="64"/>
        </top>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7"/>
        </patternFill>
      </fill>
      <alignment horizontal="general" vertical="center" textRotation="0" wrapText="1" indent="0" justifyLastLine="0" shrinkToFit="0" readingOrder="0"/>
      <protection locked="1" hidden="0"/>
    </dxf>
    <dxf>
      <numFmt numFmtId="168" formatCode="[$-1009]d\-mmm\-yy;@"/>
      <fill>
        <patternFill patternType="solid">
          <fgColor indexed="64"/>
          <bgColor theme="2" tint="-9.9978637043366805E-2"/>
        </patternFill>
      </fill>
      <alignment horizontal="center" vertical="top" textRotation="0" wrapText="1"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scheme val="minor"/>
      </font>
      <numFmt numFmtId="166" formatCode="_-* #,##0.00_-;\-* #,##0.00_-;_-*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scheme val="minor"/>
      </font>
      <numFmt numFmtId="169" formatCode="0.0%"/>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scheme val="minor"/>
      </font>
      <numFmt numFmtId="166" formatCode="_-* #,##0.00_-;\-* #,##0.00_-;_-*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scheme val="minor"/>
      </font>
      <numFmt numFmtId="166" formatCode="_-* #,##0.00_-;\-* #,##0.00_-;_-*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ill>
        <patternFill patternType="solid">
          <fgColor indexed="64"/>
          <bgColor theme="0"/>
        </patternFill>
      </fill>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2" tint="-9.9978637043366805E-2"/>
        </patternFill>
      </fill>
      <alignment horizontal="center" vertical="top"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indexed="64"/>
          <bgColor theme="7"/>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numFmt numFmtId="0" formatCode="General"/>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8" formatCode="[$-1009]d\-mmm\-yy;@"/>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0" formatCode="_(* #,##0_);_(* \(#,##0\);_(* &quot;-&quot;??_);_(@_)"/>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8" formatCode="[$-1009]d\-mmm\-yy;@"/>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8" formatCode="[$-1009]d\-mmm\-yy;@"/>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8" formatCode="[$-1009]d\-mmm\-yy;@"/>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8" formatCode="[$-1009]d\-mmm\-yy;@"/>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8" formatCode="[$-1009]d\-mmm\-yy;@"/>
      <fill>
        <patternFill patternType="solid">
          <fgColor indexed="64"/>
          <bgColor theme="0"/>
        </patternFill>
      </fill>
      <alignment horizontal="center" vertical="top" textRotation="0" wrapText="0" indent="0" justifyLastLine="0" shrinkToFit="0" readingOrder="0"/>
      <border diagonalUp="0" diagonalDown="0" outline="0">
        <left/>
        <right/>
        <top style="thin">
          <color indexed="64"/>
        </top>
        <bottom/>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top" textRotation="0" wrapText="0" indent="0" justifyLastLine="0" shrinkToFit="0" readingOrder="0"/>
      <border diagonalUp="0" diagonalDown="0" outline="0">
        <left/>
        <right/>
        <top style="thin">
          <color indexed="64"/>
        </top>
        <bottom/>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8" formatCode="[$-1009]d\-mmm\-yy;@"/>
      <fill>
        <patternFill patternType="solid">
          <fgColor indexed="64"/>
          <bgColor theme="0"/>
        </patternFill>
      </fill>
      <alignment horizontal="center" vertical="top" textRotation="0" wrapText="0" indent="0" justifyLastLine="0" shrinkToFit="0" readingOrder="0"/>
      <border diagonalUp="0" diagonalDown="0" outline="0">
        <left/>
        <right style="thin">
          <color indexed="64"/>
        </right>
        <top style="thin">
          <color indexed="64"/>
        </top>
        <bottom/>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8" formatCode="[$-1009]d\-mmm\-yy;@"/>
      <fill>
        <patternFill patternType="solid">
          <fgColor indexed="64"/>
          <bgColor theme="0"/>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mmm\-yyyy"/>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theme="6" tint="0.39994506668294322"/>
          <bgColor theme="2" tint="-9.9978637043366805E-2"/>
        </patternFill>
      </fill>
      <alignment horizontal="center" vertical="top"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7" formatCode="_-* #,##0_-;\-* #,##0_-;_-*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8" formatCode="[$-1009]d\-mmm\-yy;@"/>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righ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top" textRotation="0" wrapText="0" indent="0" justifyLastLine="0" shrinkToFit="0" readingOrder="0"/>
      <border diagonalUp="0" diagonalDown="0">
        <left/>
        <right/>
        <top style="thin">
          <color indexed="64"/>
        </top>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right" vertical="top" textRotation="0" wrapText="0" indent="0" justifyLastLine="0" shrinkToFit="0" readingOrder="0"/>
      <border diagonalUp="0" diagonalDown="0" outline="0">
        <left style="thin">
          <color indexed="64"/>
        </left>
        <right/>
        <top style="thin">
          <color indexed="64"/>
        </top>
        <bottom style="thin">
          <color indexed="64"/>
        </bottom>
      </border>
    </dxf>
    <dxf>
      <border outline="0">
        <left style="thin">
          <color indexed="64"/>
        </left>
        <right style="thin">
          <color indexed="64"/>
        </right>
        <top style="thin">
          <color indexed="64"/>
        </top>
      </border>
    </dxf>
    <dxf>
      <font>
        <b/>
        <i val="0"/>
        <strike val="0"/>
        <condense val="0"/>
        <extend val="0"/>
        <outline val="0"/>
        <shadow val="0"/>
        <u val="none"/>
        <vertAlign val="baseline"/>
        <sz val="11"/>
        <color theme="0"/>
        <name val="Calibri"/>
        <scheme val="minor"/>
      </font>
      <fill>
        <patternFill patternType="solid">
          <fgColor indexed="64"/>
          <bgColor theme="7"/>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ill>
        <patternFill>
          <bgColor theme="5" tint="0.59996337778862885"/>
        </patternFill>
      </fill>
    </dxf>
    <dxf>
      <numFmt numFmtId="168" formatCode="[$-1009]d\-mmm\-yy;@"/>
      <fill>
        <patternFill patternType="solid">
          <fgColor indexed="64"/>
          <bgColor theme="0"/>
        </patternFill>
      </fill>
      <alignment horizontal="center" vertical="top"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5" formatCode="_(* #,##0.00_);_(* \(#,##0.00\);_(* &quot;-&quot;??_);_(@_)"/>
      <fill>
        <patternFill patternType="solid">
          <fgColor indexed="64"/>
          <bgColor theme="3"/>
        </patternFill>
      </fill>
      <alignment horizontal="general" vertical="bottom" textRotation="0" wrapText="0" indent="0" justifyLastLine="0" shrinkToFit="0" readingOrder="0"/>
      <border diagonalUp="0" diagonalDown="0" outline="0">
        <left/>
        <right/>
        <top/>
        <bottom style="thin">
          <color indexed="64"/>
        </bottom>
      </border>
      <protection locked="1"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5" formatCode="_(* #,##0.00_);_(* \(#,##0.00\);_(* &quot;-&quot;??_);_(@_)"/>
      <fill>
        <patternFill patternType="solid">
          <fgColor indexed="64"/>
          <bgColor theme="3"/>
        </patternFill>
      </fill>
      <alignment horizontal="general" vertical="bottom" textRotation="0" wrapText="0" indent="0" justifyLastLine="0" shrinkToFit="0" readingOrder="0"/>
      <border diagonalUp="0" diagonalDown="0" outline="0">
        <left/>
        <right/>
        <top/>
        <bottom style="thin">
          <color indexed="64"/>
        </bottom>
      </border>
      <protection locked="1" hidden="0"/>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5" formatCode="_(* #,##0.00_);_(* \(#,##0.00\);_(* &quot;-&quot;??_);_(@_)"/>
      <fill>
        <patternFill patternType="solid">
          <fgColor indexed="64"/>
          <bgColor theme="3"/>
        </patternFill>
      </fill>
      <alignment horizontal="right" vertical="bottom" textRotation="0" wrapText="0" indent="0" justifyLastLine="0" shrinkToFit="0" readingOrder="0"/>
      <border diagonalUp="0" diagonalDown="0" outline="0">
        <left/>
        <right/>
        <top/>
        <bottom style="thin">
          <color indexed="64"/>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5" formatCode="_(* #,##0.00_);_(* \(#,##0.00\);_(* &quot;-&quot;??_);_(@_)"/>
      <fill>
        <patternFill patternType="solid">
          <fgColor indexed="64"/>
          <bgColor theme="3"/>
        </patternFill>
      </fill>
      <alignment horizontal="general" vertical="bottom" textRotation="0" wrapText="0" indent="0" justifyLastLine="0" shrinkToFit="0" readingOrder="0"/>
      <border diagonalUp="0" diagonalDown="0" outline="0">
        <left/>
        <right/>
        <top/>
        <bottom style="thin">
          <color indexed="64"/>
        </bottom>
      </border>
      <protection locked="1" hidden="0"/>
    </dxf>
    <dxf>
      <numFmt numFmtId="30" formatCode="@"/>
      <fill>
        <patternFill patternType="solid">
          <fgColor indexed="64"/>
          <bgColor theme="0"/>
        </patternFill>
      </fill>
      <alignment horizontal="general" vertical="top" textRotation="0" wrapText="0" indent="0" justifyLastLine="0" shrinkToFit="0" readingOrder="0"/>
      <protection locked="0" hidden="0"/>
    </dxf>
    <dxf>
      <fill>
        <patternFill patternType="solid">
          <fgColor indexed="64"/>
          <bgColor theme="0"/>
        </patternFill>
      </fill>
      <alignment horizontal="general" vertical="top" textRotation="0" wrapText="0" indent="0" justifyLastLine="0" shrinkToFit="0" readingOrder="0"/>
      <protection locked="0" hidden="0"/>
    </dxf>
    <dxf>
      <numFmt numFmtId="0" formatCode="General"/>
      <fill>
        <patternFill patternType="solid">
          <fgColor indexed="64"/>
          <bgColor theme="2" tint="-9.9948118533890809E-2"/>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right style="thin">
          <color indexed="64"/>
        </right>
        <top/>
        <bottom style="thin">
          <color indexed="64"/>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3"/>
        </patternFill>
      </fill>
      <alignment horizontal="left" vertical="top" textRotation="0" wrapText="1" indent="0" justifyLastLine="0" shrinkToFit="0" readingOrder="0"/>
      <border diagonalUp="0" diagonalDown="0" outline="0">
        <left/>
        <right style="thin">
          <color indexed="64"/>
        </right>
        <top/>
        <bottom style="thin">
          <color indexed="64"/>
        </bottom>
      </border>
      <protection locked="0" hidden="0"/>
    </dxf>
    <dxf>
      <fill>
        <patternFill patternType="solid">
          <fgColor indexed="64"/>
          <bgColor theme="3"/>
        </patternFill>
      </fill>
      <alignment horizontal="left" vertical="top" textRotation="0" wrapText="1" indent="0" justifyLastLine="0" shrinkToFit="0" readingOrder="0"/>
      <border diagonalUp="0" diagonalDown="0" outline="0">
        <left/>
        <right/>
        <top/>
        <bottom style="thin">
          <color indexed="64"/>
        </bottom>
      </border>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3"/>
        </patternFill>
      </fill>
      <alignment horizontal="center" vertical="top" textRotation="0" wrapText="0" indent="0" justifyLastLine="0" shrinkToFit="0" readingOrder="0"/>
      <border diagonalUp="0" diagonalDown="0" outline="0">
        <left/>
        <right/>
        <top/>
        <bottom style="thin">
          <color indexed="64"/>
        </bottom>
      </border>
      <protection locked="0" hidden="0"/>
    </dxf>
    <dxf>
      <numFmt numFmtId="0" formatCode="General"/>
    </dxf>
    <dxf>
      <fill>
        <patternFill patternType="solid">
          <fgColor indexed="64"/>
          <bgColor theme="3"/>
        </patternFill>
      </fill>
      <alignment horizontal="center" vertical="top" textRotation="0" wrapText="0" indent="0" justifyLastLine="0" shrinkToFit="0" readingOrder="0"/>
      <border diagonalUp="0" diagonalDown="0" outline="0">
        <left/>
        <right/>
        <top/>
        <bottom style="thin">
          <color indexed="64"/>
        </bottom>
      </border>
      <protection locked="0"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bottom style="thin">
          <color indexed="64"/>
        </bottom>
      </border>
      <protection locked="1"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right" vertical="bottom" textRotation="0" wrapText="0" indent="0" justifyLastLine="0" shrinkToFit="0" readingOrder="0"/>
      <border diagonalUp="0" diagonalDown="0" outline="0">
        <left/>
        <right/>
        <top/>
        <bottom style="thin">
          <color indexed="64"/>
        </bottom>
      </border>
      <protection locked="1" hidden="0"/>
    </dxf>
    <dxf>
      <fill>
        <patternFill patternType="solid">
          <fgColor indexed="64"/>
          <bgColor theme="3"/>
        </patternFill>
      </fill>
      <alignment horizontal="center" vertical="top" textRotation="0" wrapText="0" indent="0" justifyLastLine="0" shrinkToFit="0" readingOrder="0"/>
      <border diagonalUp="0" diagonalDown="0" outline="0">
        <left/>
        <right/>
        <top/>
        <bottom style="thin">
          <color indexed="64"/>
        </bottom>
      </border>
      <protection locked="0" hidden="0"/>
    </dxf>
    <dxf>
      <numFmt numFmtId="0" formatCode="General"/>
    </dxf>
    <dxf>
      <fill>
        <patternFill patternType="solid">
          <fgColor indexed="64"/>
          <bgColor theme="3"/>
        </patternFill>
      </fill>
      <alignment horizontal="center" vertical="top" textRotation="0" wrapText="0" indent="0" justifyLastLine="0" shrinkToFit="0" readingOrder="0"/>
      <border diagonalUp="0" diagonalDown="0" outline="0">
        <left/>
        <right/>
        <top/>
        <bottom style="thin">
          <color indexed="64"/>
        </bottom>
      </border>
      <protection locked="1" hidden="0"/>
    </dxf>
    <dxf>
      <numFmt numFmtId="0" formatCode="General"/>
      <alignment horizontal="general" textRotation="0" indent="0" justifyLastLine="0" shrinkToFit="0" readingOrder="0"/>
    </dxf>
    <dxf>
      <fill>
        <patternFill patternType="solid">
          <fgColor indexed="64"/>
          <bgColor theme="3"/>
        </patternFill>
      </fill>
      <alignment horizontal="general" vertical="top" textRotation="0" wrapText="0" indent="0" justifyLastLine="0" shrinkToFit="0" readingOrder="0"/>
      <border diagonalUp="0" diagonalDown="0" outline="0">
        <left style="thin">
          <color indexed="64"/>
        </left>
        <right/>
        <top/>
        <bottom style="thin">
          <color indexed="64"/>
        </bottom>
      </border>
      <protection locked="0" hidden="0"/>
    </dxf>
    <dxf>
      <border outline="0">
        <left style="thin">
          <color indexed="64"/>
        </left>
        <right style="thin">
          <color indexed="64"/>
        </right>
      </border>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0" formatCode="@"/>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theme="2" tint="-9.9948118533890809E-2"/>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0" formatCode="@"/>
      <fill>
        <patternFill patternType="solid">
          <fgColor indexed="64"/>
          <bgColor theme="0"/>
        </patternFill>
      </fill>
      <alignment horizontal="general" vertical="top"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2" tint="-9.9978637043366805E-2"/>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30" formatCode="@"/>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168" formatCode="[$-1009]d\-mmm\-yy;@"/>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168" formatCode="[$-1009]d\-mmm\-yy;@"/>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3" formatCode="0%"/>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14" formatCode="0.00%"/>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5" formatCode="_(* #,##0.00_);_(* \(#,##0.00\);_(* &quot;-&quot;??_);_(@_)"/>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30" formatCode="@"/>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right" vertical="bottom" textRotation="0" wrapText="0" indent="0" justifyLastLine="0" shrinkToFit="0" readingOrder="0"/>
      <border diagonalUp="0" diagonalDown="0" outline="0">
        <left/>
        <right style="thin">
          <color indexed="64"/>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30" formatCode="@"/>
      <fill>
        <patternFill patternType="solid">
          <fgColor indexed="64"/>
          <bgColor theme="0"/>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0" formatCode="@"/>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top style="thin">
          <color indexed="64"/>
        </top>
        <bottom style="thin">
          <color indexed="64"/>
        </bottom>
      </border>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2" tint="-9.9978637043366805E-2"/>
        </patternFill>
      </fill>
      <alignment horizontal="center" vertical="bottom" textRotation="0" wrapText="0" indent="0" justifyLastLine="0" shrinkToFit="0" readingOrder="0"/>
      <protection locked="1" hidden="0"/>
    </dxf>
    <dxf>
      <fill>
        <patternFill>
          <bgColor rgb="FFE6B8B7"/>
        </patternFill>
      </fill>
    </dxf>
    <dxf>
      <fill>
        <patternFill>
          <bgColor rgb="FFFFFF66"/>
        </patternFill>
      </fill>
    </dxf>
    <dxf>
      <fill>
        <patternFill>
          <bgColor theme="5" tint="0.59996337778862885"/>
        </patternFill>
      </fill>
    </dxf>
    <dxf>
      <fill>
        <patternFill>
          <bgColor theme="5" tint="0.59996337778862885"/>
        </patternFill>
      </fill>
    </dxf>
    <dxf>
      <fill>
        <patternFill patternType="solid">
          <fgColor indexed="64"/>
          <bgColor theme="0"/>
        </patternFill>
      </fill>
      <alignment horizontal="general" vertical="top" textRotation="0" wrapText="1"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top/>
        <bottom/>
      </border>
      <protection locked="0" hidden="0"/>
    </dxf>
    <dxf>
      <fill>
        <patternFill patternType="solid">
          <fgColor indexed="64"/>
          <bgColor theme="0"/>
        </patternFill>
      </fill>
      <alignment horizontal="general" vertical="top" textRotation="0" wrapText="0" indent="0" justifyLastLine="0" shrinkToFit="0" readingOrder="0"/>
      <protection locked="1" hidden="0"/>
    </dxf>
    <dxf>
      <fill>
        <patternFill patternType="solid">
          <fgColor indexed="64"/>
          <bgColor theme="0"/>
        </patternFill>
      </fill>
      <alignment horizontal="general" vertical="top"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167" formatCode="_-* #,##0_-;\-* #,##0_-;_-*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7" formatCode="_-* #,##0_-;\-* #,##0_-;_-* &quot;-&quot;??_-;_-@_-"/>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6" formatCode="_-* #,##0.00_-;\-* #,##0.00_-;_-* &quot;-&quot;??_-;_-@_-"/>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167" formatCode="_-* #,##0_-;\-* #,##0_-;_-* &quot;-&quot;??_-;_-@_-"/>
      <fill>
        <patternFill patternType="solid">
          <fgColor indexed="64"/>
          <bgColor theme="2" tint="-9.9978637043366805E-2"/>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alignment horizontal="general" vertical="top" textRotation="0" wrapText="0" indent="0" justifyLastLine="0" shrinkToFit="0" readingOrder="0"/>
      <protection locked="1" hidden="0"/>
    </dxf>
    <dxf>
      <fill>
        <patternFill patternType="solid">
          <fgColor indexed="64"/>
          <bgColor theme="0"/>
        </patternFill>
      </fill>
      <alignment horizontal="general" vertical="top"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167" formatCode="_-* #,##0_-;\-* #,##0_-;_-* &quot;-&quot;??_-;_-@_-"/>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alignment horizontal="general" vertical="top" textRotation="0" wrapText="0" indent="0" justifyLastLine="0" shrinkToFit="0" readingOrder="0"/>
      <protection locked="1" hidden="0"/>
    </dxf>
    <dxf>
      <fill>
        <patternFill patternType="solid">
          <fgColor indexed="64"/>
          <bgColor theme="0"/>
        </patternFill>
      </fill>
      <alignment horizontal="general" vertical="top"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numFmt numFmtId="34" formatCode="_(&quot;$&quot;* #,##0.00_);_(&quot;$&quot;* \(#,##0.00\);_(&quot;$&quot;* &quot;-&quot;??_);_(@_)"/>
      <fill>
        <patternFill patternType="solid">
          <fgColor indexed="64"/>
          <bgColor theme="0"/>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numFmt numFmtId="34" formatCode="_(&quot;$&quot;* #,##0.00_);_(&quot;$&quot;* \(#,##0.00\);_(&quot;$&quot;* &quot;-&quot;??_);_(@_)"/>
      <fill>
        <patternFill patternType="solid">
          <fgColor indexed="64"/>
          <bgColor theme="3"/>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right" vertical="bottom" textRotation="0" wrapText="0" indent="0" justifyLastLine="0" shrinkToFit="0" readingOrder="0"/>
      <border diagonalUp="0" diagonalDown="0" outline="0">
        <left/>
        <right style="thin">
          <color indexed="64"/>
        </right>
        <top style="thin">
          <color indexed="64"/>
        </top>
        <bottom style="thin">
          <color indexed="64"/>
        </bottom>
      </border>
      <protection locked="1" hidden="0"/>
    </dxf>
    <dxf>
      <fill>
        <patternFill patternType="solid">
          <fgColor indexed="64"/>
          <bgColor theme="0"/>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fill>
        <patternFill patternType="solid">
          <fgColor indexed="64"/>
          <bgColor theme="0"/>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30" formatCode="@"/>
      <fill>
        <patternFill patternType="solid">
          <fgColor indexed="64"/>
          <bgColor theme="0"/>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fill>
        <patternFill patternType="solid">
          <fgColor indexed="64"/>
          <bgColor theme="0"/>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right/>
        <top style="thin">
          <color indexed="64"/>
        </top>
        <bottom style="thin">
          <color indexed="64"/>
        </bottom>
      </border>
      <protection locked="1" hidden="0"/>
    </dxf>
    <dxf>
      <numFmt numFmtId="0" formatCode="General"/>
      <fill>
        <patternFill patternType="solid">
          <fgColor indexed="64"/>
          <bgColor theme="2" tint="-9.9978637043366805E-2"/>
        </patternFill>
      </fill>
      <alignment horizontal="center" vertical="top"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general" vertical="bottom" textRotation="0" wrapText="0" indent="0" justifyLastLine="0" shrinkToFit="0" readingOrder="0"/>
      <border diagonalUp="0" diagonalDown="0" outline="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7"/>
        <color theme="1"/>
        <name val="Calibri"/>
        <scheme val="minor"/>
      </font>
      <fill>
        <patternFill patternType="solid">
          <fgColor indexed="64"/>
          <bgColor theme="0"/>
        </patternFill>
      </fill>
      <alignment horizontal="center" vertical="top" textRotation="0" wrapText="0" indent="0" justifyLastLine="0" shrinkToFit="0" readingOrder="0"/>
      <protection locked="1" hidden="0"/>
    </dxf>
    <dxf>
      <font>
        <b val="0"/>
        <i val="0"/>
        <strike val="0"/>
        <condense val="0"/>
        <extend val="0"/>
        <outline val="0"/>
        <shadow val="0"/>
        <u val="none"/>
        <vertAlign val="baseline"/>
        <sz val="7"/>
        <color theme="1"/>
        <name val="Calibri"/>
        <family val="2"/>
        <scheme val="minor"/>
      </font>
      <fill>
        <patternFill patternType="solid">
          <fgColor indexed="64"/>
          <bgColor theme="0"/>
        </patternFill>
      </fill>
      <alignment horizontal="center" vertical="top" textRotation="0" wrapText="0" indent="0" justifyLastLine="0" shrinkToFit="0" readingOrder="0"/>
      <protection locked="1" hidden="0"/>
    </dxf>
    <dxf>
      <border outline="0">
        <right style="thin">
          <color indexed="64"/>
        </right>
      </border>
    </dxf>
    <dxf>
      <font>
        <b val="0"/>
        <i val="0"/>
        <strike val="0"/>
        <condense val="0"/>
        <extend val="0"/>
        <outline val="0"/>
        <shadow val="0"/>
        <u val="none"/>
        <vertAlign val="baseline"/>
        <sz val="11"/>
        <color theme="1"/>
        <name val="Calibri"/>
        <scheme val="minor"/>
      </font>
      <fill>
        <patternFill patternType="solid">
          <fgColor indexed="64"/>
          <bgColor theme="2" tint="-9.9978637043366805E-2"/>
        </patternFill>
      </fill>
      <alignment horizontal="center" vertical="top"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indexed="64"/>
          <bgColor theme="3"/>
        </patternFill>
      </fill>
      <alignment horizontal="general" vertical="bottom" textRotation="0" wrapText="1" indent="0" justifyLastLine="0" shrinkToFit="0" readingOrder="0"/>
      <border diagonalUp="0" diagonalDown="0" outline="0">
        <left style="thin">
          <color indexed="64"/>
        </left>
        <right style="thin">
          <color indexed="64"/>
        </right>
        <top/>
        <bottom/>
      </border>
      <protection locked="1" hidden="0"/>
    </dxf>
    <dxf>
      <fill>
        <patternFill>
          <bgColor theme="5" tint="0.59996337778862885"/>
        </patternFill>
      </fill>
    </dxf>
    <dxf>
      <font>
        <color rgb="FF006100"/>
      </font>
      <fill>
        <patternFill>
          <bgColor rgb="FFC6EFCE"/>
        </patternFill>
      </fill>
    </dxf>
    <dxf>
      <font>
        <color rgb="FF9C0006"/>
      </font>
      <fill>
        <patternFill>
          <bgColor rgb="FFFFC7CE"/>
        </patternFill>
      </fill>
    </dxf>
    <dxf>
      <fill>
        <patternFill>
          <bgColor theme="5" tint="0.39994506668294322"/>
        </patternFill>
      </fill>
    </dxf>
  </dxfs>
  <tableStyles count="1" defaultTableStyle="TableStyleMedium2" defaultPivotStyle="PivotStyleLight16">
    <tableStyle name="PivotTable Style 1" table="0" count="0" xr9:uid="{00000000-0011-0000-FFFF-FFFF00000000}"/>
  </tableStyles>
  <colors>
    <mruColors>
      <color rgb="FFFF99FF"/>
      <color rgb="FFFF33CC"/>
      <color rgb="FFFFCCFF"/>
      <color rgb="FFFFFF66"/>
      <color rgb="FF00AAD2"/>
      <color rgb="FFFFFFCC"/>
      <color rgb="FFFFFF99"/>
      <color rgb="FFFF0000"/>
      <color rgb="FFF2F2F2"/>
      <color rgb="FF6A73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openxmlformats.org/officeDocument/2006/relationships/customXml" Target="../customXml/item8.xml"/><Relationship Id="rId21" Type="http://schemas.openxmlformats.org/officeDocument/2006/relationships/worksheet" Target="worksheets/sheet21.xml"/><Relationship Id="rId34" Type="http://schemas.openxmlformats.org/officeDocument/2006/relationships/customXml" Target="../customXml/item3.xml"/><Relationship Id="rId42" Type="http://schemas.openxmlformats.org/officeDocument/2006/relationships/customXml" Target="../customXml/item1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41"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4.xml"/><Relationship Id="rId43" Type="http://schemas.openxmlformats.org/officeDocument/2006/relationships/customXml" Target="../customXml/item1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38" Type="http://schemas.openxmlformats.org/officeDocument/2006/relationships/customXml" Target="../customXml/item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Combined Burnrate and S-Curve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Cashflow!$S$142</c:f>
              <c:strCache>
                <c:ptCount val="1"/>
                <c:pt idx="0">
                  <c:v>Baseline Forecast</c:v>
                </c:pt>
              </c:strCache>
            </c:strRef>
          </c:tx>
          <c:spPr>
            <a:solidFill>
              <a:schemeClr val="accent2">
                <a:lumMod val="60000"/>
                <a:lumOff val="40000"/>
              </a:schemeClr>
            </a:solidFill>
            <a:ln>
              <a:noFill/>
            </a:ln>
            <a:effectLst/>
          </c:spPr>
          <c:invertIfNegative val="0"/>
          <c:cat>
            <c:strRef>
              <c:f>'Financial Loader'!CFMonthDate</c:f>
              <c:strCache>
                <c:ptCount val="120"/>
                <c:pt idx="0">
                  <c:v>April 1, 2017</c:v>
                </c:pt>
                <c:pt idx="1">
                  <c:v>May 1, 2017</c:v>
                </c:pt>
                <c:pt idx="2">
                  <c:v>June 1, 2017</c:v>
                </c:pt>
                <c:pt idx="3">
                  <c:v>July 1, 2017</c:v>
                </c:pt>
                <c:pt idx="4">
                  <c:v>August 1, 2017</c:v>
                </c:pt>
                <c:pt idx="5">
                  <c:v>September 1, 2017</c:v>
                </c:pt>
                <c:pt idx="6">
                  <c:v>October 1, 2017</c:v>
                </c:pt>
                <c:pt idx="7">
                  <c:v>November 1, 2017</c:v>
                </c:pt>
                <c:pt idx="8">
                  <c:v>December 1, 2017</c:v>
                </c:pt>
                <c:pt idx="9">
                  <c:v>January 1, 2018</c:v>
                </c:pt>
                <c:pt idx="10">
                  <c:v>February 1, 2018</c:v>
                </c:pt>
                <c:pt idx="11">
                  <c:v>March 1, 2018</c:v>
                </c:pt>
                <c:pt idx="12">
                  <c:v>April 1, 2018</c:v>
                </c:pt>
                <c:pt idx="13">
                  <c:v>May 1, 2018</c:v>
                </c:pt>
                <c:pt idx="14">
                  <c:v>June 1, 2018</c:v>
                </c:pt>
                <c:pt idx="15">
                  <c:v>July 1, 2018</c:v>
                </c:pt>
                <c:pt idx="16">
                  <c:v>August 1, 2018</c:v>
                </c:pt>
                <c:pt idx="17">
                  <c:v>September 1, 2018</c:v>
                </c:pt>
                <c:pt idx="18">
                  <c:v>October 1, 2018</c:v>
                </c:pt>
                <c:pt idx="19">
                  <c:v>November 1, 2018</c:v>
                </c:pt>
                <c:pt idx="20">
                  <c:v>December 1, 2018</c:v>
                </c:pt>
                <c:pt idx="21">
                  <c:v>January 1, 2019</c:v>
                </c:pt>
                <c:pt idx="22">
                  <c:v>February 1, 2019</c:v>
                </c:pt>
                <c:pt idx="23">
                  <c:v>March 1, 2019</c:v>
                </c:pt>
                <c:pt idx="24">
                  <c:v>April 1, 2019</c:v>
                </c:pt>
                <c:pt idx="25">
                  <c:v>May 1, 2019</c:v>
                </c:pt>
                <c:pt idx="26">
                  <c:v>June 1, 2019</c:v>
                </c:pt>
                <c:pt idx="27">
                  <c:v>July 1, 2019</c:v>
                </c:pt>
                <c:pt idx="28">
                  <c:v>August 1, 2019</c:v>
                </c:pt>
                <c:pt idx="29">
                  <c:v>September 1, 2019</c:v>
                </c:pt>
                <c:pt idx="30">
                  <c:v>October 1, 2019</c:v>
                </c:pt>
                <c:pt idx="31">
                  <c:v>November 1, 2019</c:v>
                </c:pt>
                <c:pt idx="32">
                  <c:v>December 1, 2019</c:v>
                </c:pt>
                <c:pt idx="33">
                  <c:v>January 1, 2020</c:v>
                </c:pt>
                <c:pt idx="34">
                  <c:v>February 1, 2020</c:v>
                </c:pt>
                <c:pt idx="35">
                  <c:v>March 1, 2020</c:v>
                </c:pt>
                <c:pt idx="36">
                  <c:v>April 1, 2020</c:v>
                </c:pt>
                <c:pt idx="37">
                  <c:v>May 1, 2020</c:v>
                </c:pt>
                <c:pt idx="38">
                  <c:v>June 1, 2020</c:v>
                </c:pt>
                <c:pt idx="39">
                  <c:v>July 1, 2020</c:v>
                </c:pt>
                <c:pt idx="40">
                  <c:v>August 1, 2020</c:v>
                </c:pt>
                <c:pt idx="41">
                  <c:v>September 1, 2020</c:v>
                </c:pt>
                <c:pt idx="42">
                  <c:v>October 1, 2020</c:v>
                </c:pt>
                <c:pt idx="43">
                  <c:v>November 1, 2020</c:v>
                </c:pt>
                <c:pt idx="44">
                  <c:v>December 1, 2020</c:v>
                </c:pt>
                <c:pt idx="45">
                  <c:v>January 1, 2021</c:v>
                </c:pt>
                <c:pt idx="46">
                  <c:v>February 1, 2021</c:v>
                </c:pt>
                <c:pt idx="47">
                  <c:v>March 1, 2021</c:v>
                </c:pt>
                <c:pt idx="48">
                  <c:v>April 1, 2021</c:v>
                </c:pt>
                <c:pt idx="49">
                  <c:v>May 1, 2021</c:v>
                </c:pt>
                <c:pt idx="50">
                  <c:v>June 1, 2021</c:v>
                </c:pt>
                <c:pt idx="51">
                  <c:v>July 1, 2021</c:v>
                </c:pt>
                <c:pt idx="52">
                  <c:v>August 1, 2021</c:v>
                </c:pt>
                <c:pt idx="53">
                  <c:v>September 1, 2021</c:v>
                </c:pt>
                <c:pt idx="54">
                  <c:v>October 1, 2021</c:v>
                </c:pt>
                <c:pt idx="55">
                  <c:v>November 1, 2021</c:v>
                </c:pt>
                <c:pt idx="56">
                  <c:v>December 1, 2021</c:v>
                </c:pt>
                <c:pt idx="57">
                  <c:v>January 1, 2022</c:v>
                </c:pt>
                <c:pt idx="58">
                  <c:v>February 1, 2022</c:v>
                </c:pt>
                <c:pt idx="59">
                  <c:v>March 1, 2022</c:v>
                </c:pt>
                <c:pt idx="60">
                  <c:v>April 1, 2022</c:v>
                </c:pt>
                <c:pt idx="61">
                  <c:v>May 1, 2022</c:v>
                </c:pt>
                <c:pt idx="62">
                  <c:v>June 1, 2022</c:v>
                </c:pt>
                <c:pt idx="63">
                  <c:v>July 1, 2022</c:v>
                </c:pt>
                <c:pt idx="64">
                  <c:v>August 1, 2022</c:v>
                </c:pt>
                <c:pt idx="65">
                  <c:v>September 1, 2022</c:v>
                </c:pt>
                <c:pt idx="66">
                  <c:v>October 1, 2022</c:v>
                </c:pt>
                <c:pt idx="67">
                  <c:v>November 1, 2022</c:v>
                </c:pt>
                <c:pt idx="68">
                  <c:v>December 1, 2022</c:v>
                </c:pt>
                <c:pt idx="69">
                  <c:v>January 1, 2023</c:v>
                </c:pt>
                <c:pt idx="70">
                  <c:v>February 1, 2023</c:v>
                </c:pt>
                <c:pt idx="71">
                  <c:v>March 1, 2023</c:v>
                </c:pt>
                <c:pt idx="72">
                  <c:v>April 1, 2023</c:v>
                </c:pt>
                <c:pt idx="73">
                  <c:v>May 1, 2023</c:v>
                </c:pt>
                <c:pt idx="74">
                  <c:v>June 1, 2023</c:v>
                </c:pt>
                <c:pt idx="75">
                  <c:v>July 1, 2023</c:v>
                </c:pt>
                <c:pt idx="76">
                  <c:v>August 1, 2023</c:v>
                </c:pt>
                <c:pt idx="77">
                  <c:v>September 1, 2023</c:v>
                </c:pt>
                <c:pt idx="78">
                  <c:v>October 1, 2023</c:v>
                </c:pt>
                <c:pt idx="79">
                  <c:v>November 1, 2023</c:v>
                </c:pt>
                <c:pt idx="80">
                  <c:v>December 1, 2023</c:v>
                </c:pt>
                <c:pt idx="81">
                  <c:v>January 1, 2024</c:v>
                </c:pt>
                <c:pt idx="82">
                  <c:v>February 1, 2024</c:v>
                </c:pt>
                <c:pt idx="83">
                  <c:v>March 1, 2024</c:v>
                </c:pt>
                <c:pt idx="84">
                  <c:v>April 1, 2024</c:v>
                </c:pt>
                <c:pt idx="85">
                  <c:v>May 1, 2024</c:v>
                </c:pt>
                <c:pt idx="86">
                  <c:v>June 1, 2024</c:v>
                </c:pt>
                <c:pt idx="87">
                  <c:v>July 1, 2024</c:v>
                </c:pt>
                <c:pt idx="88">
                  <c:v>August 1, 2024</c:v>
                </c:pt>
                <c:pt idx="89">
                  <c:v>September 1, 2024</c:v>
                </c:pt>
                <c:pt idx="90">
                  <c:v>October 1, 2024</c:v>
                </c:pt>
                <c:pt idx="91">
                  <c:v>November 1, 2024</c:v>
                </c:pt>
                <c:pt idx="92">
                  <c:v>December 1, 2024</c:v>
                </c:pt>
                <c:pt idx="93">
                  <c:v>January 1, 2025</c:v>
                </c:pt>
                <c:pt idx="94">
                  <c:v>February 1, 2025</c:v>
                </c:pt>
                <c:pt idx="95">
                  <c:v>March 1, 2025</c:v>
                </c:pt>
                <c:pt idx="96">
                  <c:v>April 1, 2025</c:v>
                </c:pt>
                <c:pt idx="97">
                  <c:v>May 1, 2025</c:v>
                </c:pt>
                <c:pt idx="98">
                  <c:v>June 1, 2025</c:v>
                </c:pt>
                <c:pt idx="99">
                  <c:v>July 1, 2025</c:v>
                </c:pt>
                <c:pt idx="100">
                  <c:v>August 1, 2025</c:v>
                </c:pt>
                <c:pt idx="101">
                  <c:v>September 1, 2025</c:v>
                </c:pt>
                <c:pt idx="102">
                  <c:v>October 1, 2025</c:v>
                </c:pt>
                <c:pt idx="103">
                  <c:v>November 1, 2025</c:v>
                </c:pt>
                <c:pt idx="104">
                  <c:v>December 1, 2025</c:v>
                </c:pt>
                <c:pt idx="105">
                  <c:v>January 1, 2026</c:v>
                </c:pt>
                <c:pt idx="106">
                  <c:v>February 1, 2026</c:v>
                </c:pt>
                <c:pt idx="107">
                  <c:v>March 1, 2026</c:v>
                </c:pt>
                <c:pt idx="108">
                  <c:v>April 1, 2026</c:v>
                </c:pt>
                <c:pt idx="109">
                  <c:v>May 1, 2026</c:v>
                </c:pt>
                <c:pt idx="110">
                  <c:v>June 1, 2026</c:v>
                </c:pt>
                <c:pt idx="111">
                  <c:v>July 1, 2026</c:v>
                </c:pt>
                <c:pt idx="112">
                  <c:v>August 1, 2026</c:v>
                </c:pt>
                <c:pt idx="113">
                  <c:v>September 1, 2026</c:v>
                </c:pt>
                <c:pt idx="114">
                  <c:v>October 1, 2026</c:v>
                </c:pt>
                <c:pt idx="115">
                  <c:v>November 1, 2026</c:v>
                </c:pt>
                <c:pt idx="116">
                  <c:v>December 1, 2026</c:v>
                </c:pt>
                <c:pt idx="117">
                  <c:v>January 1, 2027</c:v>
                </c:pt>
                <c:pt idx="118">
                  <c:v>February 1, 2027</c:v>
                </c:pt>
                <c:pt idx="119">
                  <c:v>March 1, 2027</c:v>
                </c:pt>
              </c:strCache>
            </c:strRef>
          </c:cat>
          <c:val>
            <c:numRef>
              <c:f>'Financial Loader'!CFBaseline</c:f>
              <c:numCache>
                <c:formatCode>"$"#,##0.00</c:formatCode>
                <c:ptCount val="168"/>
                <c:pt idx="0">
                  <c:v>0</c:v>
                </c:pt>
                <c:pt idx="1">
                  <c:v>0</c:v>
                </c:pt>
                <c:pt idx="2">
                  <c:v>0</c:v>
                </c:pt>
                <c:pt idx="3">
                  <c:v>0</c:v>
                </c:pt>
                <c:pt idx="4">
                  <c:v>70549.600000000006</c:v>
                </c:pt>
                <c:pt idx="5">
                  <c:v>45459.99</c:v>
                </c:pt>
                <c:pt idx="6">
                  <c:v>64270.92</c:v>
                </c:pt>
                <c:pt idx="7">
                  <c:v>70291.48</c:v>
                </c:pt>
                <c:pt idx="8">
                  <c:v>113754.36</c:v>
                </c:pt>
                <c:pt idx="9">
                  <c:v>3366295.18</c:v>
                </c:pt>
                <c:pt idx="10">
                  <c:v>33626.18</c:v>
                </c:pt>
                <c:pt idx="11">
                  <c:v>40826.410000000003</c:v>
                </c:pt>
                <c:pt idx="12">
                  <c:v>0</c:v>
                </c:pt>
                <c:pt idx="13">
                  <c:v>306030</c:v>
                </c:pt>
                <c:pt idx="14">
                  <c:v>1482047.17</c:v>
                </c:pt>
                <c:pt idx="15">
                  <c:v>425581.29</c:v>
                </c:pt>
                <c:pt idx="16">
                  <c:v>383205.15</c:v>
                </c:pt>
                <c:pt idx="17">
                  <c:v>341521.97</c:v>
                </c:pt>
                <c:pt idx="18">
                  <c:v>345370.03</c:v>
                </c:pt>
                <c:pt idx="19">
                  <c:v>354037.01</c:v>
                </c:pt>
                <c:pt idx="20">
                  <c:v>257482.62</c:v>
                </c:pt>
                <c:pt idx="21">
                  <c:v>265998.07</c:v>
                </c:pt>
                <c:pt idx="22">
                  <c:v>258481.03</c:v>
                </c:pt>
                <c:pt idx="23">
                  <c:v>646547.74</c:v>
                </c:pt>
                <c:pt idx="24">
                  <c:v>34549.61</c:v>
                </c:pt>
                <c:pt idx="25">
                  <c:v>560829.26</c:v>
                </c:pt>
                <c:pt idx="26">
                  <c:v>379011.21</c:v>
                </c:pt>
                <c:pt idx="27">
                  <c:v>398927.95</c:v>
                </c:pt>
                <c:pt idx="28">
                  <c:v>417205.13</c:v>
                </c:pt>
                <c:pt idx="29">
                  <c:v>460514.61</c:v>
                </c:pt>
                <c:pt idx="30">
                  <c:v>618436.89</c:v>
                </c:pt>
                <c:pt idx="31">
                  <c:v>1382507.85</c:v>
                </c:pt>
                <c:pt idx="32">
                  <c:v>244742.35</c:v>
                </c:pt>
                <c:pt idx="33">
                  <c:v>160547.64000000001</c:v>
                </c:pt>
                <c:pt idx="34">
                  <c:v>54663.83</c:v>
                </c:pt>
                <c:pt idx="35">
                  <c:v>154625.39000000001</c:v>
                </c:pt>
                <c:pt idx="36">
                  <c:v>32009.22</c:v>
                </c:pt>
                <c:pt idx="37">
                  <c:v>87225.77</c:v>
                </c:pt>
                <c:pt idx="38">
                  <c:v>147894.70000000001</c:v>
                </c:pt>
                <c:pt idx="39">
                  <c:v>159353.51</c:v>
                </c:pt>
                <c:pt idx="40">
                  <c:v>235597.81</c:v>
                </c:pt>
                <c:pt idx="41">
                  <c:v>2787597.66</c:v>
                </c:pt>
                <c:pt idx="42">
                  <c:v>896855.61</c:v>
                </c:pt>
                <c:pt idx="43">
                  <c:v>1637398.74</c:v>
                </c:pt>
                <c:pt idx="44">
                  <c:v>1092048.67</c:v>
                </c:pt>
                <c:pt idx="45">
                  <c:v>1626918.09</c:v>
                </c:pt>
                <c:pt idx="46">
                  <c:v>2188545.7799999998</c:v>
                </c:pt>
                <c:pt idx="47">
                  <c:v>4375234.74</c:v>
                </c:pt>
                <c:pt idx="48">
                  <c:v>48667.5</c:v>
                </c:pt>
                <c:pt idx="49">
                  <c:v>2545147.9</c:v>
                </c:pt>
                <c:pt idx="50">
                  <c:v>2392322.62</c:v>
                </c:pt>
                <c:pt idx="51">
                  <c:v>2107079.7599999998</c:v>
                </c:pt>
                <c:pt idx="52">
                  <c:v>2349776.7599999998</c:v>
                </c:pt>
                <c:pt idx="53">
                  <c:v>1868298.45</c:v>
                </c:pt>
                <c:pt idx="54">
                  <c:v>2520593.7799999998</c:v>
                </c:pt>
                <c:pt idx="55">
                  <c:v>2265015.19</c:v>
                </c:pt>
                <c:pt idx="56">
                  <c:v>2909666.84</c:v>
                </c:pt>
                <c:pt idx="57">
                  <c:v>2739074.1</c:v>
                </c:pt>
                <c:pt idx="58">
                  <c:v>152285.85999999999</c:v>
                </c:pt>
                <c:pt idx="59">
                  <c:v>8926629.4700000007</c:v>
                </c:pt>
                <c:pt idx="60">
                  <c:v>452020.68</c:v>
                </c:pt>
                <c:pt idx="61">
                  <c:v>4449468.43</c:v>
                </c:pt>
                <c:pt idx="62">
                  <c:v>6086613.5599999996</c:v>
                </c:pt>
                <c:pt idx="63">
                  <c:v>5872216.3300000001</c:v>
                </c:pt>
                <c:pt idx="64">
                  <c:v>6321995.7800000003</c:v>
                </c:pt>
                <c:pt idx="65">
                  <c:v>9531002.9900000002</c:v>
                </c:pt>
                <c:pt idx="66">
                  <c:v>7429437.1600000001</c:v>
                </c:pt>
                <c:pt idx="67">
                  <c:v>7604604.9000000004</c:v>
                </c:pt>
                <c:pt idx="68">
                  <c:v>5900682.6299999999</c:v>
                </c:pt>
                <c:pt idx="69">
                  <c:v>6244703.5800000001</c:v>
                </c:pt>
                <c:pt idx="70">
                  <c:v>5955543.25</c:v>
                </c:pt>
                <c:pt idx="71">
                  <c:v>11132382.43</c:v>
                </c:pt>
                <c:pt idx="72">
                  <c:v>278497.15999999997</c:v>
                </c:pt>
                <c:pt idx="73">
                  <c:v>4882063.99</c:v>
                </c:pt>
                <c:pt idx="74">
                  <c:v>4731909.47</c:v>
                </c:pt>
                <c:pt idx="75">
                  <c:v>3728976.35</c:v>
                </c:pt>
                <c:pt idx="76">
                  <c:v>4003755.78</c:v>
                </c:pt>
                <c:pt idx="77">
                  <c:v>3956157.25</c:v>
                </c:pt>
                <c:pt idx="78">
                  <c:v>3073240.23</c:v>
                </c:pt>
                <c:pt idx="79">
                  <c:v>1686960.38</c:v>
                </c:pt>
                <c:pt idx="80">
                  <c:v>2261372.9</c:v>
                </c:pt>
                <c:pt idx="81">
                  <c:v>2028199.67</c:v>
                </c:pt>
                <c:pt idx="82">
                  <c:v>1820773.53</c:v>
                </c:pt>
                <c:pt idx="83">
                  <c:v>2028445.91</c:v>
                </c:pt>
                <c:pt idx="84">
                  <c:v>608467.49</c:v>
                </c:pt>
                <c:pt idx="85">
                  <c:v>2804302.11</c:v>
                </c:pt>
                <c:pt idx="86">
                  <c:v>2252283.3199999998</c:v>
                </c:pt>
                <c:pt idx="87">
                  <c:v>1905214.97</c:v>
                </c:pt>
                <c:pt idx="88">
                  <c:v>440450.15</c:v>
                </c:pt>
                <c:pt idx="89">
                  <c:v>197140.79</c:v>
                </c:pt>
                <c:pt idx="90">
                  <c:v>48291.040000000001</c:v>
                </c:pt>
                <c:pt idx="91">
                  <c:v>32746.04</c:v>
                </c:pt>
                <c:pt idx="92">
                  <c:v>34536.400000000001</c:v>
                </c:pt>
                <c:pt idx="93">
                  <c:v>100</c:v>
                </c:pt>
                <c:pt idx="94">
                  <c:v>100</c:v>
                </c:pt>
                <c:pt idx="95">
                  <c:v>1060929.21</c:v>
                </c:pt>
                <c:pt idx="96">
                  <c:v>0</c:v>
                </c:pt>
                <c:pt idx="97">
                  <c:v>0</c:v>
                </c:pt>
                <c:pt idx="98">
                  <c:v>0</c:v>
                </c:pt>
                <c:pt idx="99">
                  <c:v>0</c:v>
                </c:pt>
                <c:pt idx="100">
                  <c:v>0</c:v>
                </c:pt>
                <c:pt idx="101">
                  <c:v>0</c:v>
                </c:pt>
                <c:pt idx="102">
                  <c:v>0</c:v>
                </c:pt>
                <c:pt idx="103">
                  <c:v>0</c:v>
                </c:pt>
                <c:pt idx="104">
                  <c:v>0</c:v>
                </c:pt>
                <c:pt idx="105">
                  <c:v>0</c:v>
                </c:pt>
                <c:pt idx="106">
                  <c:v>0</c:v>
                </c:pt>
                <c:pt idx="107">
                  <c:v>3000000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DD7-4C65-9E27-60B1B91C71A2}"/>
            </c:ext>
          </c:extLst>
        </c:ser>
        <c:ser>
          <c:idx val="0"/>
          <c:order val="1"/>
          <c:tx>
            <c:v>Current Forecast</c:v>
          </c:tx>
          <c:spPr>
            <a:solidFill>
              <a:schemeClr val="accent1">
                <a:lumMod val="60000"/>
                <a:lumOff val="40000"/>
              </a:schemeClr>
            </a:solidFill>
            <a:ln>
              <a:noFill/>
            </a:ln>
            <a:effectLst/>
          </c:spPr>
          <c:invertIfNegative val="0"/>
          <c:cat>
            <c:strRef>
              <c:f>'Financial Loader'!CFMonthDate</c:f>
              <c:strCache>
                <c:ptCount val="120"/>
                <c:pt idx="0">
                  <c:v>April 1, 2017</c:v>
                </c:pt>
                <c:pt idx="1">
                  <c:v>May 1, 2017</c:v>
                </c:pt>
                <c:pt idx="2">
                  <c:v>June 1, 2017</c:v>
                </c:pt>
                <c:pt idx="3">
                  <c:v>July 1, 2017</c:v>
                </c:pt>
                <c:pt idx="4">
                  <c:v>August 1, 2017</c:v>
                </c:pt>
                <c:pt idx="5">
                  <c:v>September 1, 2017</c:v>
                </c:pt>
                <c:pt idx="6">
                  <c:v>October 1, 2017</c:v>
                </c:pt>
                <c:pt idx="7">
                  <c:v>November 1, 2017</c:v>
                </c:pt>
                <c:pt idx="8">
                  <c:v>December 1, 2017</c:v>
                </c:pt>
                <c:pt idx="9">
                  <c:v>January 1, 2018</c:v>
                </c:pt>
                <c:pt idx="10">
                  <c:v>February 1, 2018</c:v>
                </c:pt>
                <c:pt idx="11">
                  <c:v>March 1, 2018</c:v>
                </c:pt>
                <c:pt idx="12">
                  <c:v>April 1, 2018</c:v>
                </c:pt>
                <c:pt idx="13">
                  <c:v>May 1, 2018</c:v>
                </c:pt>
                <c:pt idx="14">
                  <c:v>June 1, 2018</c:v>
                </c:pt>
                <c:pt idx="15">
                  <c:v>July 1, 2018</c:v>
                </c:pt>
                <c:pt idx="16">
                  <c:v>August 1, 2018</c:v>
                </c:pt>
                <c:pt idx="17">
                  <c:v>September 1, 2018</c:v>
                </c:pt>
                <c:pt idx="18">
                  <c:v>October 1, 2018</c:v>
                </c:pt>
                <c:pt idx="19">
                  <c:v>November 1, 2018</c:v>
                </c:pt>
                <c:pt idx="20">
                  <c:v>December 1, 2018</c:v>
                </c:pt>
                <c:pt idx="21">
                  <c:v>January 1, 2019</c:v>
                </c:pt>
                <c:pt idx="22">
                  <c:v>February 1, 2019</c:v>
                </c:pt>
                <c:pt idx="23">
                  <c:v>March 1, 2019</c:v>
                </c:pt>
                <c:pt idx="24">
                  <c:v>April 1, 2019</c:v>
                </c:pt>
                <c:pt idx="25">
                  <c:v>May 1, 2019</c:v>
                </c:pt>
                <c:pt idx="26">
                  <c:v>June 1, 2019</c:v>
                </c:pt>
                <c:pt idx="27">
                  <c:v>July 1, 2019</c:v>
                </c:pt>
                <c:pt idx="28">
                  <c:v>August 1, 2019</c:v>
                </c:pt>
                <c:pt idx="29">
                  <c:v>September 1, 2019</c:v>
                </c:pt>
                <c:pt idx="30">
                  <c:v>October 1, 2019</c:v>
                </c:pt>
                <c:pt idx="31">
                  <c:v>November 1, 2019</c:v>
                </c:pt>
                <c:pt idx="32">
                  <c:v>December 1, 2019</c:v>
                </c:pt>
                <c:pt idx="33">
                  <c:v>January 1, 2020</c:v>
                </c:pt>
                <c:pt idx="34">
                  <c:v>February 1, 2020</c:v>
                </c:pt>
                <c:pt idx="35">
                  <c:v>March 1, 2020</c:v>
                </c:pt>
                <c:pt idx="36">
                  <c:v>April 1, 2020</c:v>
                </c:pt>
                <c:pt idx="37">
                  <c:v>May 1, 2020</c:v>
                </c:pt>
                <c:pt idx="38">
                  <c:v>June 1, 2020</c:v>
                </c:pt>
                <c:pt idx="39">
                  <c:v>July 1, 2020</c:v>
                </c:pt>
                <c:pt idx="40">
                  <c:v>August 1, 2020</c:v>
                </c:pt>
                <c:pt idx="41">
                  <c:v>September 1, 2020</c:v>
                </c:pt>
                <c:pt idx="42">
                  <c:v>October 1, 2020</c:v>
                </c:pt>
                <c:pt idx="43">
                  <c:v>November 1, 2020</c:v>
                </c:pt>
                <c:pt idx="44">
                  <c:v>December 1, 2020</c:v>
                </c:pt>
                <c:pt idx="45">
                  <c:v>January 1, 2021</c:v>
                </c:pt>
                <c:pt idx="46">
                  <c:v>February 1, 2021</c:v>
                </c:pt>
                <c:pt idx="47">
                  <c:v>March 1, 2021</c:v>
                </c:pt>
                <c:pt idx="48">
                  <c:v>April 1, 2021</c:v>
                </c:pt>
                <c:pt idx="49">
                  <c:v>May 1, 2021</c:v>
                </c:pt>
                <c:pt idx="50">
                  <c:v>June 1, 2021</c:v>
                </c:pt>
                <c:pt idx="51">
                  <c:v>July 1, 2021</c:v>
                </c:pt>
                <c:pt idx="52">
                  <c:v>August 1, 2021</c:v>
                </c:pt>
                <c:pt idx="53">
                  <c:v>September 1, 2021</c:v>
                </c:pt>
                <c:pt idx="54">
                  <c:v>October 1, 2021</c:v>
                </c:pt>
                <c:pt idx="55">
                  <c:v>November 1, 2021</c:v>
                </c:pt>
                <c:pt idx="56">
                  <c:v>December 1, 2021</c:v>
                </c:pt>
                <c:pt idx="57">
                  <c:v>January 1, 2022</c:v>
                </c:pt>
                <c:pt idx="58">
                  <c:v>February 1, 2022</c:v>
                </c:pt>
                <c:pt idx="59">
                  <c:v>March 1, 2022</c:v>
                </c:pt>
                <c:pt idx="60">
                  <c:v>April 1, 2022</c:v>
                </c:pt>
                <c:pt idx="61">
                  <c:v>May 1, 2022</c:v>
                </c:pt>
                <c:pt idx="62">
                  <c:v>June 1, 2022</c:v>
                </c:pt>
                <c:pt idx="63">
                  <c:v>July 1, 2022</c:v>
                </c:pt>
                <c:pt idx="64">
                  <c:v>August 1, 2022</c:v>
                </c:pt>
                <c:pt idx="65">
                  <c:v>September 1, 2022</c:v>
                </c:pt>
                <c:pt idx="66">
                  <c:v>October 1, 2022</c:v>
                </c:pt>
                <c:pt idx="67">
                  <c:v>November 1, 2022</c:v>
                </c:pt>
                <c:pt idx="68">
                  <c:v>December 1, 2022</c:v>
                </c:pt>
                <c:pt idx="69">
                  <c:v>January 1, 2023</c:v>
                </c:pt>
                <c:pt idx="70">
                  <c:v>February 1, 2023</c:v>
                </c:pt>
                <c:pt idx="71">
                  <c:v>March 1, 2023</c:v>
                </c:pt>
                <c:pt idx="72">
                  <c:v>April 1, 2023</c:v>
                </c:pt>
                <c:pt idx="73">
                  <c:v>May 1, 2023</c:v>
                </c:pt>
                <c:pt idx="74">
                  <c:v>June 1, 2023</c:v>
                </c:pt>
                <c:pt idx="75">
                  <c:v>July 1, 2023</c:v>
                </c:pt>
                <c:pt idx="76">
                  <c:v>August 1, 2023</c:v>
                </c:pt>
                <c:pt idx="77">
                  <c:v>September 1, 2023</c:v>
                </c:pt>
                <c:pt idx="78">
                  <c:v>October 1, 2023</c:v>
                </c:pt>
                <c:pt idx="79">
                  <c:v>November 1, 2023</c:v>
                </c:pt>
                <c:pt idx="80">
                  <c:v>December 1, 2023</c:v>
                </c:pt>
                <c:pt idx="81">
                  <c:v>January 1, 2024</c:v>
                </c:pt>
                <c:pt idx="82">
                  <c:v>February 1, 2024</c:v>
                </c:pt>
                <c:pt idx="83">
                  <c:v>March 1, 2024</c:v>
                </c:pt>
                <c:pt idx="84">
                  <c:v>April 1, 2024</c:v>
                </c:pt>
                <c:pt idx="85">
                  <c:v>May 1, 2024</c:v>
                </c:pt>
                <c:pt idx="86">
                  <c:v>June 1, 2024</c:v>
                </c:pt>
                <c:pt idx="87">
                  <c:v>July 1, 2024</c:v>
                </c:pt>
                <c:pt idx="88">
                  <c:v>August 1, 2024</c:v>
                </c:pt>
                <c:pt idx="89">
                  <c:v>September 1, 2024</c:v>
                </c:pt>
                <c:pt idx="90">
                  <c:v>October 1, 2024</c:v>
                </c:pt>
                <c:pt idx="91">
                  <c:v>November 1, 2024</c:v>
                </c:pt>
                <c:pt idx="92">
                  <c:v>December 1, 2024</c:v>
                </c:pt>
                <c:pt idx="93">
                  <c:v>January 1, 2025</c:v>
                </c:pt>
                <c:pt idx="94">
                  <c:v>February 1, 2025</c:v>
                </c:pt>
                <c:pt idx="95">
                  <c:v>March 1, 2025</c:v>
                </c:pt>
                <c:pt idx="96">
                  <c:v>April 1, 2025</c:v>
                </c:pt>
                <c:pt idx="97">
                  <c:v>May 1, 2025</c:v>
                </c:pt>
                <c:pt idx="98">
                  <c:v>June 1, 2025</c:v>
                </c:pt>
                <c:pt idx="99">
                  <c:v>July 1, 2025</c:v>
                </c:pt>
                <c:pt idx="100">
                  <c:v>August 1, 2025</c:v>
                </c:pt>
                <c:pt idx="101">
                  <c:v>September 1, 2025</c:v>
                </c:pt>
                <c:pt idx="102">
                  <c:v>October 1, 2025</c:v>
                </c:pt>
                <c:pt idx="103">
                  <c:v>November 1, 2025</c:v>
                </c:pt>
                <c:pt idx="104">
                  <c:v>December 1, 2025</c:v>
                </c:pt>
                <c:pt idx="105">
                  <c:v>January 1, 2026</c:v>
                </c:pt>
                <c:pt idx="106">
                  <c:v>February 1, 2026</c:v>
                </c:pt>
                <c:pt idx="107">
                  <c:v>March 1, 2026</c:v>
                </c:pt>
                <c:pt idx="108">
                  <c:v>April 1, 2026</c:v>
                </c:pt>
                <c:pt idx="109">
                  <c:v>May 1, 2026</c:v>
                </c:pt>
                <c:pt idx="110">
                  <c:v>June 1, 2026</c:v>
                </c:pt>
                <c:pt idx="111">
                  <c:v>July 1, 2026</c:v>
                </c:pt>
                <c:pt idx="112">
                  <c:v>August 1, 2026</c:v>
                </c:pt>
                <c:pt idx="113">
                  <c:v>September 1, 2026</c:v>
                </c:pt>
                <c:pt idx="114">
                  <c:v>October 1, 2026</c:v>
                </c:pt>
                <c:pt idx="115">
                  <c:v>November 1, 2026</c:v>
                </c:pt>
                <c:pt idx="116">
                  <c:v>December 1, 2026</c:v>
                </c:pt>
                <c:pt idx="117">
                  <c:v>January 1, 2027</c:v>
                </c:pt>
                <c:pt idx="118">
                  <c:v>February 1, 2027</c:v>
                </c:pt>
                <c:pt idx="119">
                  <c:v>March 1, 2027</c:v>
                </c:pt>
              </c:strCache>
            </c:strRef>
          </c:cat>
          <c:val>
            <c:numRef>
              <c:f>'Financial Loader'!CFCashflow</c:f>
              <c:numCache>
                <c:formatCode>General</c:formatCode>
                <c:ptCount val="168"/>
                <c:pt idx="0">
                  <c:v>0</c:v>
                </c:pt>
                <c:pt idx="1">
                  <c:v>0</c:v>
                </c:pt>
                <c:pt idx="2">
                  <c:v>0</c:v>
                </c:pt>
                <c:pt idx="3">
                  <c:v>0</c:v>
                </c:pt>
                <c:pt idx="4">
                  <c:v>70549.600000000006</c:v>
                </c:pt>
                <c:pt idx="5">
                  <c:v>45459.99</c:v>
                </c:pt>
                <c:pt idx="6">
                  <c:v>64270.92</c:v>
                </c:pt>
                <c:pt idx="7">
                  <c:v>70291.48</c:v>
                </c:pt>
                <c:pt idx="8">
                  <c:v>113754.36</c:v>
                </c:pt>
                <c:pt idx="9">
                  <c:v>3366295.18</c:v>
                </c:pt>
                <c:pt idx="10">
                  <c:v>33626.18</c:v>
                </c:pt>
                <c:pt idx="11">
                  <c:v>40826.410000000003</c:v>
                </c:pt>
                <c:pt idx="12">
                  <c:v>0</c:v>
                </c:pt>
                <c:pt idx="13">
                  <c:v>306030</c:v>
                </c:pt>
                <c:pt idx="14">
                  <c:v>1482047.17</c:v>
                </c:pt>
                <c:pt idx="15">
                  <c:v>425581.29</c:v>
                </c:pt>
                <c:pt idx="16">
                  <c:v>383205.15</c:v>
                </c:pt>
                <c:pt idx="17">
                  <c:v>341521.97</c:v>
                </c:pt>
                <c:pt idx="18">
                  <c:v>345370.03</c:v>
                </c:pt>
                <c:pt idx="19">
                  <c:v>354037.01</c:v>
                </c:pt>
                <c:pt idx="20">
                  <c:v>257482.62</c:v>
                </c:pt>
                <c:pt idx="21">
                  <c:v>265998.07</c:v>
                </c:pt>
                <c:pt idx="22">
                  <c:v>258481.03</c:v>
                </c:pt>
                <c:pt idx="23">
                  <c:v>646547.74</c:v>
                </c:pt>
                <c:pt idx="24">
                  <c:v>34348.85</c:v>
                </c:pt>
                <c:pt idx="25">
                  <c:v>560829.26</c:v>
                </c:pt>
                <c:pt idx="26">
                  <c:v>379011.21</c:v>
                </c:pt>
                <c:pt idx="27">
                  <c:v>398927.95</c:v>
                </c:pt>
                <c:pt idx="28">
                  <c:v>417205.13</c:v>
                </c:pt>
                <c:pt idx="29">
                  <c:v>460514.61</c:v>
                </c:pt>
                <c:pt idx="30">
                  <c:v>618436.89</c:v>
                </c:pt>
                <c:pt idx="31">
                  <c:v>1382507.85</c:v>
                </c:pt>
                <c:pt idx="32">
                  <c:v>244742.35</c:v>
                </c:pt>
                <c:pt idx="33">
                  <c:v>160547.64000000001</c:v>
                </c:pt>
                <c:pt idx="34">
                  <c:v>54663.83</c:v>
                </c:pt>
                <c:pt idx="35">
                  <c:v>154625.39000000001</c:v>
                </c:pt>
                <c:pt idx="36">
                  <c:v>32009.22</c:v>
                </c:pt>
                <c:pt idx="37">
                  <c:v>87225.77</c:v>
                </c:pt>
                <c:pt idx="38">
                  <c:v>147894.70000000001</c:v>
                </c:pt>
                <c:pt idx="39">
                  <c:v>159353.51</c:v>
                </c:pt>
                <c:pt idx="40">
                  <c:v>235597.81</c:v>
                </c:pt>
                <c:pt idx="41">
                  <c:v>2787597.66</c:v>
                </c:pt>
                <c:pt idx="42">
                  <c:v>896855.61</c:v>
                </c:pt>
                <c:pt idx="43">
                  <c:v>1637398.74</c:v>
                </c:pt>
                <c:pt idx="44">
                  <c:v>1092048.67</c:v>
                </c:pt>
                <c:pt idx="45">
                  <c:v>1626918.09</c:v>
                </c:pt>
                <c:pt idx="46">
                  <c:v>2188545.7799999998</c:v>
                </c:pt>
                <c:pt idx="47">
                  <c:v>4375234.74</c:v>
                </c:pt>
                <c:pt idx="48">
                  <c:v>48667.5</c:v>
                </c:pt>
                <c:pt idx="49">
                  <c:v>2545147.9</c:v>
                </c:pt>
                <c:pt idx="50">
                  <c:v>2392322.62</c:v>
                </c:pt>
                <c:pt idx="51">
                  <c:v>2107079.7599999998</c:v>
                </c:pt>
                <c:pt idx="52">
                  <c:v>2349776.7599999998</c:v>
                </c:pt>
                <c:pt idx="53">
                  <c:v>1868298.45</c:v>
                </c:pt>
                <c:pt idx="54">
                  <c:v>2520593.7799999998</c:v>
                </c:pt>
                <c:pt idx="55">
                  <c:v>2265015.19</c:v>
                </c:pt>
                <c:pt idx="56">
                  <c:v>2909666.84</c:v>
                </c:pt>
                <c:pt idx="57">
                  <c:v>2739074.1</c:v>
                </c:pt>
                <c:pt idx="58">
                  <c:v>152285.85999999999</c:v>
                </c:pt>
                <c:pt idx="59">
                  <c:v>8926629.4700000007</c:v>
                </c:pt>
                <c:pt idx="60">
                  <c:v>452020.68</c:v>
                </c:pt>
                <c:pt idx="61">
                  <c:v>4449468.43</c:v>
                </c:pt>
                <c:pt idx="62">
                  <c:v>6086613.5599999996</c:v>
                </c:pt>
                <c:pt idx="63">
                  <c:v>5872216.3300000001</c:v>
                </c:pt>
                <c:pt idx="64">
                  <c:v>6321995.7800000003</c:v>
                </c:pt>
                <c:pt idx="65">
                  <c:v>9531002.9900000002</c:v>
                </c:pt>
                <c:pt idx="66">
                  <c:v>7429437.1600000001</c:v>
                </c:pt>
                <c:pt idx="67">
                  <c:v>7604604.9000000004</c:v>
                </c:pt>
                <c:pt idx="68">
                  <c:v>5900682.6299999999</c:v>
                </c:pt>
                <c:pt idx="69">
                  <c:v>6244703.5800000001</c:v>
                </c:pt>
                <c:pt idx="70">
                  <c:v>5955543.25</c:v>
                </c:pt>
                <c:pt idx="71">
                  <c:v>11132382.43</c:v>
                </c:pt>
                <c:pt idx="72">
                  <c:v>278497.15999999997</c:v>
                </c:pt>
                <c:pt idx="73">
                  <c:v>4882063.99</c:v>
                </c:pt>
                <c:pt idx="74">
                  <c:v>4731909.47</c:v>
                </c:pt>
                <c:pt idx="75">
                  <c:v>3728976.35</c:v>
                </c:pt>
                <c:pt idx="76">
                  <c:v>4003755.78</c:v>
                </c:pt>
                <c:pt idx="77">
                  <c:v>3956157.25</c:v>
                </c:pt>
                <c:pt idx="78">
                  <c:v>3073240.23</c:v>
                </c:pt>
                <c:pt idx="79">
                  <c:v>1972629.76</c:v>
                </c:pt>
                <c:pt idx="80">
                  <c:v>1946571.27</c:v>
                </c:pt>
                <c:pt idx="81">
                  <c:v>1502118.09</c:v>
                </c:pt>
                <c:pt idx="82">
                  <c:v>1395339.27</c:v>
                </c:pt>
                <c:pt idx="83">
                  <c:v>2667921.7400000002</c:v>
                </c:pt>
                <c:pt idx="84">
                  <c:v>193776.56</c:v>
                </c:pt>
                <c:pt idx="85">
                  <c:v>89723.25</c:v>
                </c:pt>
                <c:pt idx="86">
                  <c:v>746845.92</c:v>
                </c:pt>
                <c:pt idx="87">
                  <c:v>662047.47</c:v>
                </c:pt>
                <c:pt idx="88">
                  <c:v>746370.79</c:v>
                </c:pt>
                <c:pt idx="89">
                  <c:v>49192.73</c:v>
                </c:pt>
                <c:pt idx="90">
                  <c:v>5549374.2800000003</c:v>
                </c:pt>
                <c:pt idx="91">
                  <c:v>999375.68</c:v>
                </c:pt>
                <c:pt idx="92">
                  <c:v>520860.1</c:v>
                </c:pt>
                <c:pt idx="93">
                  <c:v>433312.34</c:v>
                </c:pt>
                <c:pt idx="94">
                  <c:v>629450.86</c:v>
                </c:pt>
                <c:pt idx="95">
                  <c:v>878440.18</c:v>
                </c:pt>
                <c:pt idx="96">
                  <c:v>73319.77</c:v>
                </c:pt>
                <c:pt idx="97">
                  <c:v>198632.21</c:v>
                </c:pt>
                <c:pt idx="98">
                  <c:v>119000</c:v>
                </c:pt>
                <c:pt idx="99">
                  <c:v>492748</c:v>
                </c:pt>
                <c:pt idx="100">
                  <c:v>324210.90999999997</c:v>
                </c:pt>
                <c:pt idx="101">
                  <c:v>58803</c:v>
                </c:pt>
                <c:pt idx="102">
                  <c:v>18402.14</c:v>
                </c:pt>
                <c:pt idx="103">
                  <c:v>0</c:v>
                </c:pt>
                <c:pt idx="104">
                  <c:v>0</c:v>
                </c:pt>
                <c:pt idx="105">
                  <c:v>0</c:v>
                </c:pt>
                <c:pt idx="106">
                  <c:v>0</c:v>
                </c:pt>
                <c:pt idx="107">
                  <c:v>230055.96</c:v>
                </c:pt>
                <c:pt idx="108">
                  <c:v>14111.53</c:v>
                </c:pt>
                <c:pt idx="109">
                  <c:v>4746252.13</c:v>
                </c:pt>
                <c:pt idx="110">
                  <c:v>0</c:v>
                </c:pt>
                <c:pt idx="111">
                  <c:v>200000</c:v>
                </c:pt>
                <c:pt idx="112">
                  <c:v>200000</c:v>
                </c:pt>
                <c:pt idx="113">
                  <c:v>200000</c:v>
                </c:pt>
                <c:pt idx="114">
                  <c:v>200000</c:v>
                </c:pt>
                <c:pt idx="115">
                  <c:v>0</c:v>
                </c:pt>
                <c:pt idx="116">
                  <c:v>0</c:v>
                </c:pt>
                <c:pt idx="117">
                  <c:v>0</c:v>
                </c:pt>
                <c:pt idx="118">
                  <c:v>0</c:v>
                </c:pt>
                <c:pt idx="119">
                  <c:v>1576866.3</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DD7-4C65-9E27-60B1B91C71A2}"/>
            </c:ext>
          </c:extLst>
        </c:ser>
        <c:dLbls>
          <c:showLegendKey val="0"/>
          <c:showVal val="0"/>
          <c:showCatName val="0"/>
          <c:showSerName val="0"/>
          <c:showPercent val="0"/>
          <c:showBubbleSize val="0"/>
        </c:dLbls>
        <c:gapWidth val="150"/>
        <c:axId val="632454120"/>
        <c:axId val="632456080"/>
      </c:barChart>
      <c:barChart>
        <c:barDir val="col"/>
        <c:grouping val="clustered"/>
        <c:varyColors val="0"/>
        <c:ser>
          <c:idx val="4"/>
          <c:order val="4"/>
          <c:tx>
            <c:v>Today</c:v>
          </c:tx>
          <c:spPr>
            <a:solidFill>
              <a:srgbClr val="00B050"/>
            </a:solidFill>
            <a:ln>
              <a:noFill/>
            </a:ln>
            <a:effectLst/>
          </c:spPr>
          <c:invertIfNegative val="0"/>
          <c:dLbls>
            <c:dLbl>
              <c:idx val="23"/>
              <c:tx>
                <c:rich>
                  <a:bodyPr rot="0" spcFirstLastPara="1" vertOverflow="ellipsis" vert="horz" wrap="square" lIns="38100" tIns="19050" rIns="38100" bIns="19050" anchor="ctr" anchorCtr="1">
                    <a:spAutoFit/>
                  </a:bodyPr>
                  <a:lstStyle/>
                  <a:p>
                    <a:pPr>
                      <a:defRPr sz="900" b="0" i="0" u="none" strike="noStrike" kern="1200" baseline="0">
                        <a:solidFill>
                          <a:srgbClr val="006C31"/>
                        </a:solidFill>
                        <a:latin typeface="+mn-lt"/>
                        <a:ea typeface="+mn-ea"/>
                        <a:cs typeface="+mn-cs"/>
                      </a:defRPr>
                    </a:pPr>
                    <a:r>
                      <a:rPr lang="en-US">
                        <a:solidFill>
                          <a:srgbClr val="006C31"/>
                        </a:solidFill>
                      </a:rPr>
                      <a:t>Today</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C3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DD7-4C65-9E27-60B1B91C71A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 Loader'!CFMonthDate</c:f>
              <c:strCache>
                <c:ptCount val="120"/>
                <c:pt idx="0">
                  <c:v>April 1, 2017</c:v>
                </c:pt>
                <c:pt idx="1">
                  <c:v>May 1, 2017</c:v>
                </c:pt>
                <c:pt idx="2">
                  <c:v>June 1, 2017</c:v>
                </c:pt>
                <c:pt idx="3">
                  <c:v>July 1, 2017</c:v>
                </c:pt>
                <c:pt idx="4">
                  <c:v>August 1, 2017</c:v>
                </c:pt>
                <c:pt idx="5">
                  <c:v>September 1, 2017</c:v>
                </c:pt>
                <c:pt idx="6">
                  <c:v>October 1, 2017</c:v>
                </c:pt>
                <c:pt idx="7">
                  <c:v>November 1, 2017</c:v>
                </c:pt>
                <c:pt idx="8">
                  <c:v>December 1, 2017</c:v>
                </c:pt>
                <c:pt idx="9">
                  <c:v>January 1, 2018</c:v>
                </c:pt>
                <c:pt idx="10">
                  <c:v>February 1, 2018</c:v>
                </c:pt>
                <c:pt idx="11">
                  <c:v>March 1, 2018</c:v>
                </c:pt>
                <c:pt idx="12">
                  <c:v>April 1, 2018</c:v>
                </c:pt>
                <c:pt idx="13">
                  <c:v>May 1, 2018</c:v>
                </c:pt>
                <c:pt idx="14">
                  <c:v>June 1, 2018</c:v>
                </c:pt>
                <c:pt idx="15">
                  <c:v>July 1, 2018</c:v>
                </c:pt>
                <c:pt idx="16">
                  <c:v>August 1, 2018</c:v>
                </c:pt>
                <c:pt idx="17">
                  <c:v>September 1, 2018</c:v>
                </c:pt>
                <c:pt idx="18">
                  <c:v>October 1, 2018</c:v>
                </c:pt>
                <c:pt idx="19">
                  <c:v>November 1, 2018</c:v>
                </c:pt>
                <c:pt idx="20">
                  <c:v>December 1, 2018</c:v>
                </c:pt>
                <c:pt idx="21">
                  <c:v>January 1, 2019</c:v>
                </c:pt>
                <c:pt idx="22">
                  <c:v>February 1, 2019</c:v>
                </c:pt>
                <c:pt idx="23">
                  <c:v>March 1, 2019</c:v>
                </c:pt>
                <c:pt idx="24">
                  <c:v>April 1, 2019</c:v>
                </c:pt>
                <c:pt idx="25">
                  <c:v>May 1, 2019</c:v>
                </c:pt>
                <c:pt idx="26">
                  <c:v>June 1, 2019</c:v>
                </c:pt>
                <c:pt idx="27">
                  <c:v>July 1, 2019</c:v>
                </c:pt>
                <c:pt idx="28">
                  <c:v>August 1, 2019</c:v>
                </c:pt>
                <c:pt idx="29">
                  <c:v>September 1, 2019</c:v>
                </c:pt>
                <c:pt idx="30">
                  <c:v>October 1, 2019</c:v>
                </c:pt>
                <c:pt idx="31">
                  <c:v>November 1, 2019</c:v>
                </c:pt>
                <c:pt idx="32">
                  <c:v>December 1, 2019</c:v>
                </c:pt>
                <c:pt idx="33">
                  <c:v>January 1, 2020</c:v>
                </c:pt>
                <c:pt idx="34">
                  <c:v>February 1, 2020</c:v>
                </c:pt>
                <c:pt idx="35">
                  <c:v>March 1, 2020</c:v>
                </c:pt>
                <c:pt idx="36">
                  <c:v>April 1, 2020</c:v>
                </c:pt>
                <c:pt idx="37">
                  <c:v>May 1, 2020</c:v>
                </c:pt>
                <c:pt idx="38">
                  <c:v>June 1, 2020</c:v>
                </c:pt>
                <c:pt idx="39">
                  <c:v>July 1, 2020</c:v>
                </c:pt>
                <c:pt idx="40">
                  <c:v>August 1, 2020</c:v>
                </c:pt>
                <c:pt idx="41">
                  <c:v>September 1, 2020</c:v>
                </c:pt>
                <c:pt idx="42">
                  <c:v>October 1, 2020</c:v>
                </c:pt>
                <c:pt idx="43">
                  <c:v>November 1, 2020</c:v>
                </c:pt>
                <c:pt idx="44">
                  <c:v>December 1, 2020</c:v>
                </c:pt>
                <c:pt idx="45">
                  <c:v>January 1, 2021</c:v>
                </c:pt>
                <c:pt idx="46">
                  <c:v>February 1, 2021</c:v>
                </c:pt>
                <c:pt idx="47">
                  <c:v>March 1, 2021</c:v>
                </c:pt>
                <c:pt idx="48">
                  <c:v>April 1, 2021</c:v>
                </c:pt>
                <c:pt idx="49">
                  <c:v>May 1, 2021</c:v>
                </c:pt>
                <c:pt idx="50">
                  <c:v>June 1, 2021</c:v>
                </c:pt>
                <c:pt idx="51">
                  <c:v>July 1, 2021</c:v>
                </c:pt>
                <c:pt idx="52">
                  <c:v>August 1, 2021</c:v>
                </c:pt>
                <c:pt idx="53">
                  <c:v>September 1, 2021</c:v>
                </c:pt>
                <c:pt idx="54">
                  <c:v>October 1, 2021</c:v>
                </c:pt>
                <c:pt idx="55">
                  <c:v>November 1, 2021</c:v>
                </c:pt>
                <c:pt idx="56">
                  <c:v>December 1, 2021</c:v>
                </c:pt>
                <c:pt idx="57">
                  <c:v>January 1, 2022</c:v>
                </c:pt>
                <c:pt idx="58">
                  <c:v>February 1, 2022</c:v>
                </c:pt>
                <c:pt idx="59">
                  <c:v>March 1, 2022</c:v>
                </c:pt>
                <c:pt idx="60">
                  <c:v>April 1, 2022</c:v>
                </c:pt>
                <c:pt idx="61">
                  <c:v>May 1, 2022</c:v>
                </c:pt>
                <c:pt idx="62">
                  <c:v>June 1, 2022</c:v>
                </c:pt>
                <c:pt idx="63">
                  <c:v>July 1, 2022</c:v>
                </c:pt>
                <c:pt idx="64">
                  <c:v>August 1, 2022</c:v>
                </c:pt>
                <c:pt idx="65">
                  <c:v>September 1, 2022</c:v>
                </c:pt>
                <c:pt idx="66">
                  <c:v>October 1, 2022</c:v>
                </c:pt>
                <c:pt idx="67">
                  <c:v>November 1, 2022</c:v>
                </c:pt>
                <c:pt idx="68">
                  <c:v>December 1, 2022</c:v>
                </c:pt>
                <c:pt idx="69">
                  <c:v>January 1, 2023</c:v>
                </c:pt>
                <c:pt idx="70">
                  <c:v>February 1, 2023</c:v>
                </c:pt>
                <c:pt idx="71">
                  <c:v>March 1, 2023</c:v>
                </c:pt>
                <c:pt idx="72">
                  <c:v>April 1, 2023</c:v>
                </c:pt>
                <c:pt idx="73">
                  <c:v>May 1, 2023</c:v>
                </c:pt>
                <c:pt idx="74">
                  <c:v>June 1, 2023</c:v>
                </c:pt>
                <c:pt idx="75">
                  <c:v>July 1, 2023</c:v>
                </c:pt>
                <c:pt idx="76">
                  <c:v>August 1, 2023</c:v>
                </c:pt>
                <c:pt idx="77">
                  <c:v>September 1, 2023</c:v>
                </c:pt>
                <c:pt idx="78">
                  <c:v>October 1, 2023</c:v>
                </c:pt>
                <c:pt idx="79">
                  <c:v>November 1, 2023</c:v>
                </c:pt>
                <c:pt idx="80">
                  <c:v>December 1, 2023</c:v>
                </c:pt>
                <c:pt idx="81">
                  <c:v>January 1, 2024</c:v>
                </c:pt>
                <c:pt idx="82">
                  <c:v>February 1, 2024</c:v>
                </c:pt>
                <c:pt idx="83">
                  <c:v>March 1, 2024</c:v>
                </c:pt>
                <c:pt idx="84">
                  <c:v>April 1, 2024</c:v>
                </c:pt>
                <c:pt idx="85">
                  <c:v>May 1, 2024</c:v>
                </c:pt>
                <c:pt idx="86">
                  <c:v>June 1, 2024</c:v>
                </c:pt>
                <c:pt idx="87">
                  <c:v>July 1, 2024</c:v>
                </c:pt>
                <c:pt idx="88">
                  <c:v>August 1, 2024</c:v>
                </c:pt>
                <c:pt idx="89">
                  <c:v>September 1, 2024</c:v>
                </c:pt>
                <c:pt idx="90">
                  <c:v>October 1, 2024</c:v>
                </c:pt>
                <c:pt idx="91">
                  <c:v>November 1, 2024</c:v>
                </c:pt>
                <c:pt idx="92">
                  <c:v>December 1, 2024</c:v>
                </c:pt>
                <c:pt idx="93">
                  <c:v>January 1, 2025</c:v>
                </c:pt>
                <c:pt idx="94">
                  <c:v>February 1, 2025</c:v>
                </c:pt>
                <c:pt idx="95">
                  <c:v>March 1, 2025</c:v>
                </c:pt>
                <c:pt idx="96">
                  <c:v>April 1, 2025</c:v>
                </c:pt>
                <c:pt idx="97">
                  <c:v>May 1, 2025</c:v>
                </c:pt>
                <c:pt idx="98">
                  <c:v>June 1, 2025</c:v>
                </c:pt>
                <c:pt idx="99">
                  <c:v>July 1, 2025</c:v>
                </c:pt>
                <c:pt idx="100">
                  <c:v>August 1, 2025</c:v>
                </c:pt>
                <c:pt idx="101">
                  <c:v>September 1, 2025</c:v>
                </c:pt>
                <c:pt idx="102">
                  <c:v>October 1, 2025</c:v>
                </c:pt>
                <c:pt idx="103">
                  <c:v>November 1, 2025</c:v>
                </c:pt>
                <c:pt idx="104">
                  <c:v>December 1, 2025</c:v>
                </c:pt>
                <c:pt idx="105">
                  <c:v>January 1, 2026</c:v>
                </c:pt>
                <c:pt idx="106">
                  <c:v>February 1, 2026</c:v>
                </c:pt>
                <c:pt idx="107">
                  <c:v>March 1, 2026</c:v>
                </c:pt>
                <c:pt idx="108">
                  <c:v>April 1, 2026</c:v>
                </c:pt>
                <c:pt idx="109">
                  <c:v>May 1, 2026</c:v>
                </c:pt>
                <c:pt idx="110">
                  <c:v>June 1, 2026</c:v>
                </c:pt>
                <c:pt idx="111">
                  <c:v>July 1, 2026</c:v>
                </c:pt>
                <c:pt idx="112">
                  <c:v>August 1, 2026</c:v>
                </c:pt>
                <c:pt idx="113">
                  <c:v>September 1, 2026</c:v>
                </c:pt>
                <c:pt idx="114">
                  <c:v>October 1, 2026</c:v>
                </c:pt>
                <c:pt idx="115">
                  <c:v>November 1, 2026</c:v>
                </c:pt>
                <c:pt idx="116">
                  <c:v>December 1, 2026</c:v>
                </c:pt>
                <c:pt idx="117">
                  <c:v>January 1, 2027</c:v>
                </c:pt>
                <c:pt idx="118">
                  <c:v>February 1, 2027</c:v>
                </c:pt>
                <c:pt idx="119">
                  <c:v>March 1, 2027</c:v>
                </c:pt>
              </c:strCache>
            </c:strRef>
          </c:cat>
          <c:val>
            <c:numRef>
              <c:f>'Financial Loader'!TodayLine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191099999.88</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3DD7-4C65-9E27-60B1B91C71A2}"/>
            </c:ext>
          </c:extLst>
        </c:ser>
        <c:dLbls>
          <c:showLegendKey val="0"/>
          <c:showVal val="0"/>
          <c:showCatName val="0"/>
          <c:showSerName val="0"/>
          <c:showPercent val="0"/>
          <c:showBubbleSize val="0"/>
        </c:dLbls>
        <c:gapWidth val="500"/>
        <c:axId val="1224323240"/>
        <c:axId val="1224331112"/>
      </c:barChart>
      <c:lineChart>
        <c:grouping val="standard"/>
        <c:varyColors val="0"/>
        <c:ser>
          <c:idx val="3"/>
          <c:order val="2"/>
          <c:tx>
            <c:strRef>
              <c:f>Cashflow!$S$143</c:f>
              <c:strCache>
                <c:ptCount val="1"/>
                <c:pt idx="0">
                  <c:v>Baseline Forecast Cumulative</c:v>
                </c:pt>
              </c:strCache>
            </c:strRef>
          </c:tx>
          <c:spPr>
            <a:ln w="25400" cap="rnd">
              <a:solidFill>
                <a:schemeClr val="accent2">
                  <a:lumMod val="75000"/>
                </a:schemeClr>
              </a:solidFill>
              <a:round/>
            </a:ln>
            <a:effectLst/>
          </c:spPr>
          <c:marker>
            <c:symbol val="none"/>
          </c:marker>
          <c:cat>
            <c:strRef>
              <c:f>'Financial Loader'!CFMonthDate</c:f>
              <c:strCache>
                <c:ptCount val="120"/>
                <c:pt idx="0">
                  <c:v>April 1, 2017</c:v>
                </c:pt>
                <c:pt idx="1">
                  <c:v>May 1, 2017</c:v>
                </c:pt>
                <c:pt idx="2">
                  <c:v>June 1, 2017</c:v>
                </c:pt>
                <c:pt idx="3">
                  <c:v>July 1, 2017</c:v>
                </c:pt>
                <c:pt idx="4">
                  <c:v>August 1, 2017</c:v>
                </c:pt>
                <c:pt idx="5">
                  <c:v>September 1, 2017</c:v>
                </c:pt>
                <c:pt idx="6">
                  <c:v>October 1, 2017</c:v>
                </c:pt>
                <c:pt idx="7">
                  <c:v>November 1, 2017</c:v>
                </c:pt>
                <c:pt idx="8">
                  <c:v>December 1, 2017</c:v>
                </c:pt>
                <c:pt idx="9">
                  <c:v>January 1, 2018</c:v>
                </c:pt>
                <c:pt idx="10">
                  <c:v>February 1, 2018</c:v>
                </c:pt>
                <c:pt idx="11">
                  <c:v>March 1, 2018</c:v>
                </c:pt>
                <c:pt idx="12">
                  <c:v>April 1, 2018</c:v>
                </c:pt>
                <c:pt idx="13">
                  <c:v>May 1, 2018</c:v>
                </c:pt>
                <c:pt idx="14">
                  <c:v>June 1, 2018</c:v>
                </c:pt>
                <c:pt idx="15">
                  <c:v>July 1, 2018</c:v>
                </c:pt>
                <c:pt idx="16">
                  <c:v>August 1, 2018</c:v>
                </c:pt>
                <c:pt idx="17">
                  <c:v>September 1, 2018</c:v>
                </c:pt>
                <c:pt idx="18">
                  <c:v>October 1, 2018</c:v>
                </c:pt>
                <c:pt idx="19">
                  <c:v>November 1, 2018</c:v>
                </c:pt>
                <c:pt idx="20">
                  <c:v>December 1, 2018</c:v>
                </c:pt>
                <c:pt idx="21">
                  <c:v>January 1, 2019</c:v>
                </c:pt>
                <c:pt idx="22">
                  <c:v>February 1, 2019</c:v>
                </c:pt>
                <c:pt idx="23">
                  <c:v>March 1, 2019</c:v>
                </c:pt>
                <c:pt idx="24">
                  <c:v>April 1, 2019</c:v>
                </c:pt>
                <c:pt idx="25">
                  <c:v>May 1, 2019</c:v>
                </c:pt>
                <c:pt idx="26">
                  <c:v>June 1, 2019</c:v>
                </c:pt>
                <c:pt idx="27">
                  <c:v>July 1, 2019</c:v>
                </c:pt>
                <c:pt idx="28">
                  <c:v>August 1, 2019</c:v>
                </c:pt>
                <c:pt idx="29">
                  <c:v>September 1, 2019</c:v>
                </c:pt>
                <c:pt idx="30">
                  <c:v>October 1, 2019</c:v>
                </c:pt>
                <c:pt idx="31">
                  <c:v>November 1, 2019</c:v>
                </c:pt>
                <c:pt idx="32">
                  <c:v>December 1, 2019</c:v>
                </c:pt>
                <c:pt idx="33">
                  <c:v>January 1, 2020</c:v>
                </c:pt>
                <c:pt idx="34">
                  <c:v>February 1, 2020</c:v>
                </c:pt>
                <c:pt idx="35">
                  <c:v>March 1, 2020</c:v>
                </c:pt>
                <c:pt idx="36">
                  <c:v>April 1, 2020</c:v>
                </c:pt>
                <c:pt idx="37">
                  <c:v>May 1, 2020</c:v>
                </c:pt>
                <c:pt idx="38">
                  <c:v>June 1, 2020</c:v>
                </c:pt>
                <c:pt idx="39">
                  <c:v>July 1, 2020</c:v>
                </c:pt>
                <c:pt idx="40">
                  <c:v>August 1, 2020</c:v>
                </c:pt>
                <c:pt idx="41">
                  <c:v>September 1, 2020</c:v>
                </c:pt>
                <c:pt idx="42">
                  <c:v>October 1, 2020</c:v>
                </c:pt>
                <c:pt idx="43">
                  <c:v>November 1, 2020</c:v>
                </c:pt>
                <c:pt idx="44">
                  <c:v>December 1, 2020</c:v>
                </c:pt>
                <c:pt idx="45">
                  <c:v>January 1, 2021</c:v>
                </c:pt>
                <c:pt idx="46">
                  <c:v>February 1, 2021</c:v>
                </c:pt>
                <c:pt idx="47">
                  <c:v>March 1, 2021</c:v>
                </c:pt>
                <c:pt idx="48">
                  <c:v>April 1, 2021</c:v>
                </c:pt>
                <c:pt idx="49">
                  <c:v>May 1, 2021</c:v>
                </c:pt>
                <c:pt idx="50">
                  <c:v>June 1, 2021</c:v>
                </c:pt>
                <c:pt idx="51">
                  <c:v>July 1, 2021</c:v>
                </c:pt>
                <c:pt idx="52">
                  <c:v>August 1, 2021</c:v>
                </c:pt>
                <c:pt idx="53">
                  <c:v>September 1, 2021</c:v>
                </c:pt>
                <c:pt idx="54">
                  <c:v>October 1, 2021</c:v>
                </c:pt>
                <c:pt idx="55">
                  <c:v>November 1, 2021</c:v>
                </c:pt>
                <c:pt idx="56">
                  <c:v>December 1, 2021</c:v>
                </c:pt>
                <c:pt idx="57">
                  <c:v>January 1, 2022</c:v>
                </c:pt>
                <c:pt idx="58">
                  <c:v>February 1, 2022</c:v>
                </c:pt>
                <c:pt idx="59">
                  <c:v>March 1, 2022</c:v>
                </c:pt>
                <c:pt idx="60">
                  <c:v>April 1, 2022</c:v>
                </c:pt>
                <c:pt idx="61">
                  <c:v>May 1, 2022</c:v>
                </c:pt>
                <c:pt idx="62">
                  <c:v>June 1, 2022</c:v>
                </c:pt>
                <c:pt idx="63">
                  <c:v>July 1, 2022</c:v>
                </c:pt>
                <c:pt idx="64">
                  <c:v>August 1, 2022</c:v>
                </c:pt>
                <c:pt idx="65">
                  <c:v>September 1, 2022</c:v>
                </c:pt>
                <c:pt idx="66">
                  <c:v>October 1, 2022</c:v>
                </c:pt>
                <c:pt idx="67">
                  <c:v>November 1, 2022</c:v>
                </c:pt>
                <c:pt idx="68">
                  <c:v>December 1, 2022</c:v>
                </c:pt>
                <c:pt idx="69">
                  <c:v>January 1, 2023</c:v>
                </c:pt>
                <c:pt idx="70">
                  <c:v>February 1, 2023</c:v>
                </c:pt>
                <c:pt idx="71">
                  <c:v>March 1, 2023</c:v>
                </c:pt>
                <c:pt idx="72">
                  <c:v>April 1, 2023</c:v>
                </c:pt>
                <c:pt idx="73">
                  <c:v>May 1, 2023</c:v>
                </c:pt>
                <c:pt idx="74">
                  <c:v>June 1, 2023</c:v>
                </c:pt>
                <c:pt idx="75">
                  <c:v>July 1, 2023</c:v>
                </c:pt>
                <c:pt idx="76">
                  <c:v>August 1, 2023</c:v>
                </c:pt>
                <c:pt idx="77">
                  <c:v>September 1, 2023</c:v>
                </c:pt>
                <c:pt idx="78">
                  <c:v>October 1, 2023</c:v>
                </c:pt>
                <c:pt idx="79">
                  <c:v>November 1, 2023</c:v>
                </c:pt>
                <c:pt idx="80">
                  <c:v>December 1, 2023</c:v>
                </c:pt>
                <c:pt idx="81">
                  <c:v>January 1, 2024</c:v>
                </c:pt>
                <c:pt idx="82">
                  <c:v>February 1, 2024</c:v>
                </c:pt>
                <c:pt idx="83">
                  <c:v>March 1, 2024</c:v>
                </c:pt>
                <c:pt idx="84">
                  <c:v>April 1, 2024</c:v>
                </c:pt>
                <c:pt idx="85">
                  <c:v>May 1, 2024</c:v>
                </c:pt>
                <c:pt idx="86">
                  <c:v>June 1, 2024</c:v>
                </c:pt>
                <c:pt idx="87">
                  <c:v>July 1, 2024</c:v>
                </c:pt>
                <c:pt idx="88">
                  <c:v>August 1, 2024</c:v>
                </c:pt>
                <c:pt idx="89">
                  <c:v>September 1, 2024</c:v>
                </c:pt>
                <c:pt idx="90">
                  <c:v>October 1, 2024</c:v>
                </c:pt>
                <c:pt idx="91">
                  <c:v>November 1, 2024</c:v>
                </c:pt>
                <c:pt idx="92">
                  <c:v>December 1, 2024</c:v>
                </c:pt>
                <c:pt idx="93">
                  <c:v>January 1, 2025</c:v>
                </c:pt>
                <c:pt idx="94">
                  <c:v>February 1, 2025</c:v>
                </c:pt>
                <c:pt idx="95">
                  <c:v>March 1, 2025</c:v>
                </c:pt>
                <c:pt idx="96">
                  <c:v>April 1, 2025</c:v>
                </c:pt>
                <c:pt idx="97">
                  <c:v>May 1, 2025</c:v>
                </c:pt>
                <c:pt idx="98">
                  <c:v>June 1, 2025</c:v>
                </c:pt>
                <c:pt idx="99">
                  <c:v>July 1, 2025</c:v>
                </c:pt>
                <c:pt idx="100">
                  <c:v>August 1, 2025</c:v>
                </c:pt>
                <c:pt idx="101">
                  <c:v>September 1, 2025</c:v>
                </c:pt>
                <c:pt idx="102">
                  <c:v>October 1, 2025</c:v>
                </c:pt>
                <c:pt idx="103">
                  <c:v>November 1, 2025</c:v>
                </c:pt>
                <c:pt idx="104">
                  <c:v>December 1, 2025</c:v>
                </c:pt>
                <c:pt idx="105">
                  <c:v>January 1, 2026</c:v>
                </c:pt>
                <c:pt idx="106">
                  <c:v>February 1, 2026</c:v>
                </c:pt>
                <c:pt idx="107">
                  <c:v>March 1, 2026</c:v>
                </c:pt>
                <c:pt idx="108">
                  <c:v>April 1, 2026</c:v>
                </c:pt>
                <c:pt idx="109">
                  <c:v>May 1, 2026</c:v>
                </c:pt>
                <c:pt idx="110">
                  <c:v>June 1, 2026</c:v>
                </c:pt>
                <c:pt idx="111">
                  <c:v>July 1, 2026</c:v>
                </c:pt>
                <c:pt idx="112">
                  <c:v>August 1, 2026</c:v>
                </c:pt>
                <c:pt idx="113">
                  <c:v>September 1, 2026</c:v>
                </c:pt>
                <c:pt idx="114">
                  <c:v>October 1, 2026</c:v>
                </c:pt>
                <c:pt idx="115">
                  <c:v>November 1, 2026</c:v>
                </c:pt>
                <c:pt idx="116">
                  <c:v>December 1, 2026</c:v>
                </c:pt>
                <c:pt idx="117">
                  <c:v>January 1, 2027</c:v>
                </c:pt>
                <c:pt idx="118">
                  <c:v>February 1, 2027</c:v>
                </c:pt>
                <c:pt idx="119">
                  <c:v>March 1, 2027</c:v>
                </c:pt>
              </c:strCache>
            </c:strRef>
          </c:cat>
          <c:val>
            <c:numRef>
              <c:f>'Financial Loader'!CFBaselineCum</c:f>
              <c:numCache>
                <c:formatCode>"$"#,##0.00</c:formatCode>
                <c:ptCount val="168"/>
                <c:pt idx="0">
                  <c:v>0</c:v>
                </c:pt>
                <c:pt idx="1">
                  <c:v>0</c:v>
                </c:pt>
                <c:pt idx="2">
                  <c:v>0</c:v>
                </c:pt>
                <c:pt idx="3">
                  <c:v>0</c:v>
                </c:pt>
                <c:pt idx="4">
                  <c:v>70549.600000000006</c:v>
                </c:pt>
                <c:pt idx="5">
                  <c:v>116009.59</c:v>
                </c:pt>
                <c:pt idx="6">
                  <c:v>180280.51</c:v>
                </c:pt>
                <c:pt idx="7">
                  <c:v>250571.99</c:v>
                </c:pt>
                <c:pt idx="8">
                  <c:v>364326.35</c:v>
                </c:pt>
                <c:pt idx="9">
                  <c:v>3730621.5300000003</c:v>
                </c:pt>
                <c:pt idx="10">
                  <c:v>3764247.7100000004</c:v>
                </c:pt>
                <c:pt idx="11">
                  <c:v>3805074.1200000006</c:v>
                </c:pt>
                <c:pt idx="12">
                  <c:v>3805074.1200000006</c:v>
                </c:pt>
                <c:pt idx="13">
                  <c:v>4111104.1200000006</c:v>
                </c:pt>
                <c:pt idx="14">
                  <c:v>5593151.290000001</c:v>
                </c:pt>
                <c:pt idx="15">
                  <c:v>6018732.580000001</c:v>
                </c:pt>
                <c:pt idx="16">
                  <c:v>6401937.7300000014</c:v>
                </c:pt>
                <c:pt idx="17">
                  <c:v>6743459.7000000011</c:v>
                </c:pt>
                <c:pt idx="18">
                  <c:v>7088829.7300000014</c:v>
                </c:pt>
                <c:pt idx="19">
                  <c:v>7442866.7400000012</c:v>
                </c:pt>
                <c:pt idx="20">
                  <c:v>7700349.3600000013</c:v>
                </c:pt>
                <c:pt idx="21">
                  <c:v>7966347.4300000016</c:v>
                </c:pt>
                <c:pt idx="22">
                  <c:v>8224828.4600000018</c:v>
                </c:pt>
                <c:pt idx="23">
                  <c:v>8871376.2000000011</c:v>
                </c:pt>
                <c:pt idx="24">
                  <c:v>8905925.8100000005</c:v>
                </c:pt>
                <c:pt idx="25">
                  <c:v>9466755.0700000003</c:v>
                </c:pt>
                <c:pt idx="26">
                  <c:v>9845766.2800000012</c:v>
                </c:pt>
                <c:pt idx="27">
                  <c:v>10244694.23</c:v>
                </c:pt>
                <c:pt idx="28">
                  <c:v>10661899.360000001</c:v>
                </c:pt>
                <c:pt idx="29">
                  <c:v>11122413.970000001</c:v>
                </c:pt>
                <c:pt idx="30">
                  <c:v>11740850.860000001</c:v>
                </c:pt>
                <c:pt idx="31">
                  <c:v>13123358.710000001</c:v>
                </c:pt>
                <c:pt idx="32">
                  <c:v>13368101.060000001</c:v>
                </c:pt>
                <c:pt idx="33">
                  <c:v>13528648.700000001</c:v>
                </c:pt>
                <c:pt idx="34">
                  <c:v>13583312.530000001</c:v>
                </c:pt>
                <c:pt idx="35">
                  <c:v>13737937.920000002</c:v>
                </c:pt>
                <c:pt idx="36">
                  <c:v>13769947.140000002</c:v>
                </c:pt>
                <c:pt idx="37">
                  <c:v>13857172.910000002</c:v>
                </c:pt>
                <c:pt idx="38">
                  <c:v>14005067.610000001</c:v>
                </c:pt>
                <c:pt idx="39">
                  <c:v>14164421.120000001</c:v>
                </c:pt>
                <c:pt idx="40">
                  <c:v>14400018.930000002</c:v>
                </c:pt>
                <c:pt idx="41">
                  <c:v>17187616.590000004</c:v>
                </c:pt>
                <c:pt idx="42">
                  <c:v>18084472.200000003</c:v>
                </c:pt>
                <c:pt idx="43">
                  <c:v>19721870.940000001</c:v>
                </c:pt>
                <c:pt idx="44">
                  <c:v>20813919.609999999</c:v>
                </c:pt>
                <c:pt idx="45">
                  <c:v>22440837.699999999</c:v>
                </c:pt>
                <c:pt idx="46">
                  <c:v>24629383.48</c:v>
                </c:pt>
                <c:pt idx="47">
                  <c:v>29004618.219999999</c:v>
                </c:pt>
                <c:pt idx="48">
                  <c:v>29053285.719999999</c:v>
                </c:pt>
                <c:pt idx="49">
                  <c:v>31598433.619999997</c:v>
                </c:pt>
                <c:pt idx="50">
                  <c:v>33990756.239999995</c:v>
                </c:pt>
                <c:pt idx="51">
                  <c:v>36097835.999999993</c:v>
                </c:pt>
                <c:pt idx="52">
                  <c:v>38447612.75999999</c:v>
                </c:pt>
                <c:pt idx="53">
                  <c:v>40315911.209999993</c:v>
                </c:pt>
                <c:pt idx="54">
                  <c:v>42836504.989999995</c:v>
                </c:pt>
                <c:pt idx="55">
                  <c:v>45101520.179999992</c:v>
                </c:pt>
                <c:pt idx="56">
                  <c:v>48011187.019999996</c:v>
                </c:pt>
                <c:pt idx="57">
                  <c:v>50750261.119999997</c:v>
                </c:pt>
                <c:pt idx="58">
                  <c:v>50902546.979999997</c:v>
                </c:pt>
                <c:pt idx="59">
                  <c:v>59829176.449999996</c:v>
                </c:pt>
                <c:pt idx="60">
                  <c:v>60281197.129999995</c:v>
                </c:pt>
                <c:pt idx="61">
                  <c:v>64730665.559999995</c:v>
                </c:pt>
                <c:pt idx="62">
                  <c:v>70817279.11999999</c:v>
                </c:pt>
                <c:pt idx="63">
                  <c:v>76689495.449999988</c:v>
                </c:pt>
                <c:pt idx="64">
                  <c:v>83011491.229999989</c:v>
                </c:pt>
                <c:pt idx="65">
                  <c:v>92542494.219999984</c:v>
                </c:pt>
                <c:pt idx="66">
                  <c:v>99971931.37999998</c:v>
                </c:pt>
                <c:pt idx="67">
                  <c:v>107576536.27999999</c:v>
                </c:pt>
                <c:pt idx="68">
                  <c:v>113477218.90999998</c:v>
                </c:pt>
                <c:pt idx="69">
                  <c:v>119721922.48999998</c:v>
                </c:pt>
                <c:pt idx="70">
                  <c:v>125677465.73999998</c:v>
                </c:pt>
                <c:pt idx="71">
                  <c:v>136809848.16999999</c:v>
                </c:pt>
                <c:pt idx="72">
                  <c:v>137088345.32999998</c:v>
                </c:pt>
                <c:pt idx="73">
                  <c:v>141970409.31999999</c:v>
                </c:pt>
                <c:pt idx="74">
                  <c:v>146702318.78999999</c:v>
                </c:pt>
                <c:pt idx="75">
                  <c:v>150431295.13999999</c:v>
                </c:pt>
                <c:pt idx="76">
                  <c:v>154435050.91999999</c:v>
                </c:pt>
                <c:pt idx="77">
                  <c:v>158391208.16999999</c:v>
                </c:pt>
                <c:pt idx="78">
                  <c:v>161464448.39999998</c:v>
                </c:pt>
                <c:pt idx="79">
                  <c:v>163151408.77999997</c:v>
                </c:pt>
                <c:pt idx="80">
                  <c:v>165412781.67999998</c:v>
                </c:pt>
                <c:pt idx="81">
                  <c:v>167440981.34999996</c:v>
                </c:pt>
                <c:pt idx="82">
                  <c:v>169261754.87999997</c:v>
                </c:pt>
                <c:pt idx="83">
                  <c:v>171290200.78999996</c:v>
                </c:pt>
                <c:pt idx="84">
                  <c:v>171898668.27999997</c:v>
                </c:pt>
                <c:pt idx="85">
                  <c:v>174702970.38999999</c:v>
                </c:pt>
                <c:pt idx="86">
                  <c:v>176955253.70999998</c:v>
                </c:pt>
                <c:pt idx="87">
                  <c:v>178860468.67999998</c:v>
                </c:pt>
                <c:pt idx="88">
                  <c:v>179300918.82999998</c:v>
                </c:pt>
                <c:pt idx="89">
                  <c:v>179498059.61999997</c:v>
                </c:pt>
                <c:pt idx="90">
                  <c:v>179546350.65999997</c:v>
                </c:pt>
                <c:pt idx="91">
                  <c:v>179579096.69999996</c:v>
                </c:pt>
                <c:pt idx="92">
                  <c:v>179613633.09999996</c:v>
                </c:pt>
                <c:pt idx="93">
                  <c:v>179613733.09999996</c:v>
                </c:pt>
                <c:pt idx="94">
                  <c:v>179613833.09999996</c:v>
                </c:pt>
                <c:pt idx="95">
                  <c:v>180674762.30999997</c:v>
                </c:pt>
                <c:pt idx="96">
                  <c:v>180674762.30999997</c:v>
                </c:pt>
                <c:pt idx="97">
                  <c:v>180674762.30999997</c:v>
                </c:pt>
                <c:pt idx="98">
                  <c:v>180674762.30999997</c:v>
                </c:pt>
                <c:pt idx="99">
                  <c:v>180674762.30999997</c:v>
                </c:pt>
                <c:pt idx="100">
                  <c:v>180674762.30999997</c:v>
                </c:pt>
                <c:pt idx="101">
                  <c:v>180674762.30999997</c:v>
                </c:pt>
                <c:pt idx="102">
                  <c:v>180674762.30999997</c:v>
                </c:pt>
                <c:pt idx="103">
                  <c:v>180674762.30999997</c:v>
                </c:pt>
                <c:pt idx="104">
                  <c:v>180674762.30999997</c:v>
                </c:pt>
                <c:pt idx="105">
                  <c:v>180674762.30999997</c:v>
                </c:pt>
                <c:pt idx="106">
                  <c:v>180674762.30999997</c:v>
                </c:pt>
                <c:pt idx="107">
                  <c:v>183674762.30999997</c:v>
                </c:pt>
                <c:pt idx="108">
                  <c:v>183674762.30999997</c:v>
                </c:pt>
                <c:pt idx="109">
                  <c:v>183674762.30999997</c:v>
                </c:pt>
                <c:pt idx="110">
                  <c:v>183674762.30999997</c:v>
                </c:pt>
                <c:pt idx="111">
                  <c:v>183674762.30999997</c:v>
                </c:pt>
                <c:pt idx="112">
                  <c:v>183674762.30999997</c:v>
                </c:pt>
                <c:pt idx="113">
                  <c:v>183674762.30999997</c:v>
                </c:pt>
                <c:pt idx="114">
                  <c:v>183674762.30999997</c:v>
                </c:pt>
                <c:pt idx="115">
                  <c:v>183674762.30999997</c:v>
                </c:pt>
                <c:pt idx="116">
                  <c:v>183674762.30999997</c:v>
                </c:pt>
                <c:pt idx="117">
                  <c:v>183674762.30999997</c:v>
                </c:pt>
                <c:pt idx="118">
                  <c:v>183674762.30999997</c:v>
                </c:pt>
                <c:pt idx="119">
                  <c:v>183674762.30999997</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4-3DD7-4C65-9E27-60B1B91C71A2}"/>
            </c:ext>
          </c:extLst>
        </c:ser>
        <c:ser>
          <c:idx val="2"/>
          <c:order val="3"/>
          <c:tx>
            <c:strRef>
              <c:f>Cashflow!$S$141</c:f>
              <c:strCache>
                <c:ptCount val="1"/>
                <c:pt idx="0">
                  <c:v>Forecast Cumulative</c:v>
                </c:pt>
              </c:strCache>
            </c:strRef>
          </c:tx>
          <c:spPr>
            <a:ln w="25400" cap="rnd">
              <a:solidFill>
                <a:schemeClr val="accent1">
                  <a:lumMod val="75000"/>
                </a:schemeClr>
              </a:solidFill>
              <a:round/>
            </a:ln>
            <a:effectLst/>
          </c:spPr>
          <c:marker>
            <c:symbol val="none"/>
          </c:marker>
          <c:cat>
            <c:strRef>
              <c:f>'Financial Loader'!CFMonthDate</c:f>
              <c:strCache>
                <c:ptCount val="120"/>
                <c:pt idx="0">
                  <c:v>April 1, 2017</c:v>
                </c:pt>
                <c:pt idx="1">
                  <c:v>May 1, 2017</c:v>
                </c:pt>
                <c:pt idx="2">
                  <c:v>June 1, 2017</c:v>
                </c:pt>
                <c:pt idx="3">
                  <c:v>July 1, 2017</c:v>
                </c:pt>
                <c:pt idx="4">
                  <c:v>August 1, 2017</c:v>
                </c:pt>
                <c:pt idx="5">
                  <c:v>September 1, 2017</c:v>
                </c:pt>
                <c:pt idx="6">
                  <c:v>October 1, 2017</c:v>
                </c:pt>
                <c:pt idx="7">
                  <c:v>November 1, 2017</c:v>
                </c:pt>
                <c:pt idx="8">
                  <c:v>December 1, 2017</c:v>
                </c:pt>
                <c:pt idx="9">
                  <c:v>January 1, 2018</c:v>
                </c:pt>
                <c:pt idx="10">
                  <c:v>February 1, 2018</c:v>
                </c:pt>
                <c:pt idx="11">
                  <c:v>March 1, 2018</c:v>
                </c:pt>
                <c:pt idx="12">
                  <c:v>April 1, 2018</c:v>
                </c:pt>
                <c:pt idx="13">
                  <c:v>May 1, 2018</c:v>
                </c:pt>
                <c:pt idx="14">
                  <c:v>June 1, 2018</c:v>
                </c:pt>
                <c:pt idx="15">
                  <c:v>July 1, 2018</c:v>
                </c:pt>
                <c:pt idx="16">
                  <c:v>August 1, 2018</c:v>
                </c:pt>
                <c:pt idx="17">
                  <c:v>September 1, 2018</c:v>
                </c:pt>
                <c:pt idx="18">
                  <c:v>October 1, 2018</c:v>
                </c:pt>
                <c:pt idx="19">
                  <c:v>November 1, 2018</c:v>
                </c:pt>
                <c:pt idx="20">
                  <c:v>December 1, 2018</c:v>
                </c:pt>
                <c:pt idx="21">
                  <c:v>January 1, 2019</c:v>
                </c:pt>
                <c:pt idx="22">
                  <c:v>February 1, 2019</c:v>
                </c:pt>
                <c:pt idx="23">
                  <c:v>March 1, 2019</c:v>
                </c:pt>
                <c:pt idx="24">
                  <c:v>April 1, 2019</c:v>
                </c:pt>
                <c:pt idx="25">
                  <c:v>May 1, 2019</c:v>
                </c:pt>
                <c:pt idx="26">
                  <c:v>June 1, 2019</c:v>
                </c:pt>
                <c:pt idx="27">
                  <c:v>July 1, 2019</c:v>
                </c:pt>
                <c:pt idx="28">
                  <c:v>August 1, 2019</c:v>
                </c:pt>
                <c:pt idx="29">
                  <c:v>September 1, 2019</c:v>
                </c:pt>
                <c:pt idx="30">
                  <c:v>October 1, 2019</c:v>
                </c:pt>
                <c:pt idx="31">
                  <c:v>November 1, 2019</c:v>
                </c:pt>
                <c:pt idx="32">
                  <c:v>December 1, 2019</c:v>
                </c:pt>
                <c:pt idx="33">
                  <c:v>January 1, 2020</c:v>
                </c:pt>
                <c:pt idx="34">
                  <c:v>February 1, 2020</c:v>
                </c:pt>
                <c:pt idx="35">
                  <c:v>March 1, 2020</c:v>
                </c:pt>
                <c:pt idx="36">
                  <c:v>April 1, 2020</c:v>
                </c:pt>
                <c:pt idx="37">
                  <c:v>May 1, 2020</c:v>
                </c:pt>
                <c:pt idx="38">
                  <c:v>June 1, 2020</c:v>
                </c:pt>
                <c:pt idx="39">
                  <c:v>July 1, 2020</c:v>
                </c:pt>
                <c:pt idx="40">
                  <c:v>August 1, 2020</c:v>
                </c:pt>
                <c:pt idx="41">
                  <c:v>September 1, 2020</c:v>
                </c:pt>
                <c:pt idx="42">
                  <c:v>October 1, 2020</c:v>
                </c:pt>
                <c:pt idx="43">
                  <c:v>November 1, 2020</c:v>
                </c:pt>
                <c:pt idx="44">
                  <c:v>December 1, 2020</c:v>
                </c:pt>
                <c:pt idx="45">
                  <c:v>January 1, 2021</c:v>
                </c:pt>
                <c:pt idx="46">
                  <c:v>February 1, 2021</c:v>
                </c:pt>
                <c:pt idx="47">
                  <c:v>March 1, 2021</c:v>
                </c:pt>
                <c:pt idx="48">
                  <c:v>April 1, 2021</c:v>
                </c:pt>
                <c:pt idx="49">
                  <c:v>May 1, 2021</c:v>
                </c:pt>
                <c:pt idx="50">
                  <c:v>June 1, 2021</c:v>
                </c:pt>
                <c:pt idx="51">
                  <c:v>July 1, 2021</c:v>
                </c:pt>
                <c:pt idx="52">
                  <c:v>August 1, 2021</c:v>
                </c:pt>
                <c:pt idx="53">
                  <c:v>September 1, 2021</c:v>
                </c:pt>
                <c:pt idx="54">
                  <c:v>October 1, 2021</c:v>
                </c:pt>
                <c:pt idx="55">
                  <c:v>November 1, 2021</c:v>
                </c:pt>
                <c:pt idx="56">
                  <c:v>December 1, 2021</c:v>
                </c:pt>
                <c:pt idx="57">
                  <c:v>January 1, 2022</c:v>
                </c:pt>
                <c:pt idx="58">
                  <c:v>February 1, 2022</c:v>
                </c:pt>
                <c:pt idx="59">
                  <c:v>March 1, 2022</c:v>
                </c:pt>
                <c:pt idx="60">
                  <c:v>April 1, 2022</c:v>
                </c:pt>
                <c:pt idx="61">
                  <c:v>May 1, 2022</c:v>
                </c:pt>
                <c:pt idx="62">
                  <c:v>June 1, 2022</c:v>
                </c:pt>
                <c:pt idx="63">
                  <c:v>July 1, 2022</c:v>
                </c:pt>
                <c:pt idx="64">
                  <c:v>August 1, 2022</c:v>
                </c:pt>
                <c:pt idx="65">
                  <c:v>September 1, 2022</c:v>
                </c:pt>
                <c:pt idx="66">
                  <c:v>October 1, 2022</c:v>
                </c:pt>
                <c:pt idx="67">
                  <c:v>November 1, 2022</c:v>
                </c:pt>
                <c:pt idx="68">
                  <c:v>December 1, 2022</c:v>
                </c:pt>
                <c:pt idx="69">
                  <c:v>January 1, 2023</c:v>
                </c:pt>
                <c:pt idx="70">
                  <c:v>February 1, 2023</c:v>
                </c:pt>
                <c:pt idx="71">
                  <c:v>March 1, 2023</c:v>
                </c:pt>
                <c:pt idx="72">
                  <c:v>April 1, 2023</c:v>
                </c:pt>
                <c:pt idx="73">
                  <c:v>May 1, 2023</c:v>
                </c:pt>
                <c:pt idx="74">
                  <c:v>June 1, 2023</c:v>
                </c:pt>
                <c:pt idx="75">
                  <c:v>July 1, 2023</c:v>
                </c:pt>
                <c:pt idx="76">
                  <c:v>August 1, 2023</c:v>
                </c:pt>
                <c:pt idx="77">
                  <c:v>September 1, 2023</c:v>
                </c:pt>
                <c:pt idx="78">
                  <c:v>October 1, 2023</c:v>
                </c:pt>
                <c:pt idx="79">
                  <c:v>November 1, 2023</c:v>
                </c:pt>
                <c:pt idx="80">
                  <c:v>December 1, 2023</c:v>
                </c:pt>
                <c:pt idx="81">
                  <c:v>January 1, 2024</c:v>
                </c:pt>
                <c:pt idx="82">
                  <c:v>February 1, 2024</c:v>
                </c:pt>
                <c:pt idx="83">
                  <c:v>March 1, 2024</c:v>
                </c:pt>
                <c:pt idx="84">
                  <c:v>April 1, 2024</c:v>
                </c:pt>
                <c:pt idx="85">
                  <c:v>May 1, 2024</c:v>
                </c:pt>
                <c:pt idx="86">
                  <c:v>June 1, 2024</c:v>
                </c:pt>
                <c:pt idx="87">
                  <c:v>July 1, 2024</c:v>
                </c:pt>
                <c:pt idx="88">
                  <c:v>August 1, 2024</c:v>
                </c:pt>
                <c:pt idx="89">
                  <c:v>September 1, 2024</c:v>
                </c:pt>
                <c:pt idx="90">
                  <c:v>October 1, 2024</c:v>
                </c:pt>
                <c:pt idx="91">
                  <c:v>November 1, 2024</c:v>
                </c:pt>
                <c:pt idx="92">
                  <c:v>December 1, 2024</c:v>
                </c:pt>
                <c:pt idx="93">
                  <c:v>January 1, 2025</c:v>
                </c:pt>
                <c:pt idx="94">
                  <c:v>February 1, 2025</c:v>
                </c:pt>
                <c:pt idx="95">
                  <c:v>March 1, 2025</c:v>
                </c:pt>
                <c:pt idx="96">
                  <c:v>April 1, 2025</c:v>
                </c:pt>
                <c:pt idx="97">
                  <c:v>May 1, 2025</c:v>
                </c:pt>
                <c:pt idx="98">
                  <c:v>June 1, 2025</c:v>
                </c:pt>
                <c:pt idx="99">
                  <c:v>July 1, 2025</c:v>
                </c:pt>
                <c:pt idx="100">
                  <c:v>August 1, 2025</c:v>
                </c:pt>
                <c:pt idx="101">
                  <c:v>September 1, 2025</c:v>
                </c:pt>
                <c:pt idx="102">
                  <c:v>October 1, 2025</c:v>
                </c:pt>
                <c:pt idx="103">
                  <c:v>November 1, 2025</c:v>
                </c:pt>
                <c:pt idx="104">
                  <c:v>December 1, 2025</c:v>
                </c:pt>
                <c:pt idx="105">
                  <c:v>January 1, 2026</c:v>
                </c:pt>
                <c:pt idx="106">
                  <c:v>February 1, 2026</c:v>
                </c:pt>
                <c:pt idx="107">
                  <c:v>March 1, 2026</c:v>
                </c:pt>
                <c:pt idx="108">
                  <c:v>April 1, 2026</c:v>
                </c:pt>
                <c:pt idx="109">
                  <c:v>May 1, 2026</c:v>
                </c:pt>
                <c:pt idx="110">
                  <c:v>June 1, 2026</c:v>
                </c:pt>
                <c:pt idx="111">
                  <c:v>July 1, 2026</c:v>
                </c:pt>
                <c:pt idx="112">
                  <c:v>August 1, 2026</c:v>
                </c:pt>
                <c:pt idx="113">
                  <c:v>September 1, 2026</c:v>
                </c:pt>
                <c:pt idx="114">
                  <c:v>October 1, 2026</c:v>
                </c:pt>
                <c:pt idx="115">
                  <c:v>November 1, 2026</c:v>
                </c:pt>
                <c:pt idx="116">
                  <c:v>December 1, 2026</c:v>
                </c:pt>
                <c:pt idx="117">
                  <c:v>January 1, 2027</c:v>
                </c:pt>
                <c:pt idx="118">
                  <c:v>February 1, 2027</c:v>
                </c:pt>
                <c:pt idx="119">
                  <c:v>March 1, 2027</c:v>
                </c:pt>
              </c:strCache>
            </c:strRef>
          </c:cat>
          <c:val>
            <c:numRef>
              <c:f>'Financial Loader'!CFCumulative</c:f>
              <c:numCache>
                <c:formatCode>"$"#,##0.00</c:formatCode>
                <c:ptCount val="168"/>
                <c:pt idx="0">
                  <c:v>0</c:v>
                </c:pt>
                <c:pt idx="1">
                  <c:v>0</c:v>
                </c:pt>
                <c:pt idx="2">
                  <c:v>0</c:v>
                </c:pt>
                <c:pt idx="3">
                  <c:v>0</c:v>
                </c:pt>
                <c:pt idx="4">
                  <c:v>70549.600000000006</c:v>
                </c:pt>
                <c:pt idx="5">
                  <c:v>116009.59</c:v>
                </c:pt>
                <c:pt idx="6">
                  <c:v>180280.51</c:v>
                </c:pt>
                <c:pt idx="7">
                  <c:v>250571.99</c:v>
                </c:pt>
                <c:pt idx="8">
                  <c:v>364326.35</c:v>
                </c:pt>
                <c:pt idx="9">
                  <c:v>3730621.5300000003</c:v>
                </c:pt>
                <c:pt idx="10">
                  <c:v>3764247.7100000004</c:v>
                </c:pt>
                <c:pt idx="11">
                  <c:v>3805074.1200000006</c:v>
                </c:pt>
                <c:pt idx="12">
                  <c:v>3805074.1200000006</c:v>
                </c:pt>
                <c:pt idx="13">
                  <c:v>4111104.1200000006</c:v>
                </c:pt>
                <c:pt idx="14">
                  <c:v>5593151.290000001</c:v>
                </c:pt>
                <c:pt idx="15">
                  <c:v>6018732.580000001</c:v>
                </c:pt>
                <c:pt idx="16">
                  <c:v>6401937.7300000014</c:v>
                </c:pt>
                <c:pt idx="17">
                  <c:v>6743459.7000000011</c:v>
                </c:pt>
                <c:pt idx="18">
                  <c:v>7088829.7300000014</c:v>
                </c:pt>
                <c:pt idx="19">
                  <c:v>7442866.7400000012</c:v>
                </c:pt>
                <c:pt idx="20">
                  <c:v>7700349.3600000013</c:v>
                </c:pt>
                <c:pt idx="21">
                  <c:v>7966347.4300000016</c:v>
                </c:pt>
                <c:pt idx="22">
                  <c:v>8224828.4600000018</c:v>
                </c:pt>
                <c:pt idx="23">
                  <c:v>8871376.2000000011</c:v>
                </c:pt>
                <c:pt idx="24">
                  <c:v>8905725.0500000007</c:v>
                </c:pt>
                <c:pt idx="25">
                  <c:v>9466554.3100000005</c:v>
                </c:pt>
                <c:pt idx="26">
                  <c:v>9845565.5200000014</c:v>
                </c:pt>
                <c:pt idx="27">
                  <c:v>10244493.470000001</c:v>
                </c:pt>
                <c:pt idx="28">
                  <c:v>10661698.600000001</c:v>
                </c:pt>
                <c:pt idx="29">
                  <c:v>11122213.210000001</c:v>
                </c:pt>
                <c:pt idx="30">
                  <c:v>11740650.100000001</c:v>
                </c:pt>
                <c:pt idx="31">
                  <c:v>13123157.950000001</c:v>
                </c:pt>
                <c:pt idx="32">
                  <c:v>13367900.300000001</c:v>
                </c:pt>
                <c:pt idx="33">
                  <c:v>13528447.940000001</c:v>
                </c:pt>
                <c:pt idx="34">
                  <c:v>13583111.770000001</c:v>
                </c:pt>
                <c:pt idx="35">
                  <c:v>13737737.160000002</c:v>
                </c:pt>
                <c:pt idx="36">
                  <c:v>13769746.380000003</c:v>
                </c:pt>
                <c:pt idx="37">
                  <c:v>13856972.150000002</c:v>
                </c:pt>
                <c:pt idx="38">
                  <c:v>14004866.850000001</c:v>
                </c:pt>
                <c:pt idx="39">
                  <c:v>14164220.360000001</c:v>
                </c:pt>
                <c:pt idx="40">
                  <c:v>14399818.170000002</c:v>
                </c:pt>
                <c:pt idx="41">
                  <c:v>17187415.830000002</c:v>
                </c:pt>
                <c:pt idx="42">
                  <c:v>18084271.440000001</c:v>
                </c:pt>
                <c:pt idx="43">
                  <c:v>19721670.18</c:v>
                </c:pt>
                <c:pt idx="44">
                  <c:v>20813718.850000001</c:v>
                </c:pt>
                <c:pt idx="45">
                  <c:v>22440636.940000001</c:v>
                </c:pt>
                <c:pt idx="46">
                  <c:v>24629182.720000003</c:v>
                </c:pt>
                <c:pt idx="47">
                  <c:v>29004417.460000001</c:v>
                </c:pt>
                <c:pt idx="48">
                  <c:v>29053084.960000001</c:v>
                </c:pt>
                <c:pt idx="49">
                  <c:v>31598232.859999999</c:v>
                </c:pt>
                <c:pt idx="50">
                  <c:v>33990555.479999997</c:v>
                </c:pt>
                <c:pt idx="51">
                  <c:v>36097635.239999995</c:v>
                </c:pt>
                <c:pt idx="52">
                  <c:v>38447411.999999993</c:v>
                </c:pt>
                <c:pt idx="53">
                  <c:v>40315710.449999996</c:v>
                </c:pt>
                <c:pt idx="54">
                  <c:v>42836304.229999997</c:v>
                </c:pt>
                <c:pt idx="55">
                  <c:v>45101319.419999994</c:v>
                </c:pt>
                <c:pt idx="56">
                  <c:v>48010986.25999999</c:v>
                </c:pt>
                <c:pt idx="57">
                  <c:v>50750060.359999992</c:v>
                </c:pt>
                <c:pt idx="58">
                  <c:v>50902346.219999991</c:v>
                </c:pt>
                <c:pt idx="59">
                  <c:v>59828975.68999999</c:v>
                </c:pt>
                <c:pt idx="60">
                  <c:v>60280996.36999999</c:v>
                </c:pt>
                <c:pt idx="61">
                  <c:v>64730464.79999999</c:v>
                </c:pt>
                <c:pt idx="62">
                  <c:v>70817078.359999985</c:v>
                </c:pt>
                <c:pt idx="63">
                  <c:v>76689294.689999983</c:v>
                </c:pt>
                <c:pt idx="64">
                  <c:v>83011290.469999984</c:v>
                </c:pt>
                <c:pt idx="65">
                  <c:v>92542293.459999979</c:v>
                </c:pt>
                <c:pt idx="66">
                  <c:v>99971730.619999975</c:v>
                </c:pt>
                <c:pt idx="67">
                  <c:v>107576335.51999998</c:v>
                </c:pt>
                <c:pt idx="68">
                  <c:v>113477018.14999998</c:v>
                </c:pt>
                <c:pt idx="69">
                  <c:v>119721721.72999997</c:v>
                </c:pt>
                <c:pt idx="70">
                  <c:v>125677264.97999997</c:v>
                </c:pt>
                <c:pt idx="71">
                  <c:v>136809647.40999997</c:v>
                </c:pt>
                <c:pt idx="72">
                  <c:v>137088144.56999996</c:v>
                </c:pt>
                <c:pt idx="73">
                  <c:v>141970208.55999997</c:v>
                </c:pt>
                <c:pt idx="74">
                  <c:v>146702118.02999997</c:v>
                </c:pt>
                <c:pt idx="75">
                  <c:v>150431094.37999997</c:v>
                </c:pt>
                <c:pt idx="76">
                  <c:v>154434850.15999997</c:v>
                </c:pt>
                <c:pt idx="77">
                  <c:v>158391007.40999997</c:v>
                </c:pt>
                <c:pt idx="78">
                  <c:v>161464247.63999996</c:v>
                </c:pt>
                <c:pt idx="79">
                  <c:v>163436877.39999995</c:v>
                </c:pt>
                <c:pt idx="80">
                  <c:v>165383448.66999996</c:v>
                </c:pt>
                <c:pt idx="81">
                  <c:v>166885566.75999996</c:v>
                </c:pt>
                <c:pt idx="82">
                  <c:v>168280906.02999997</c:v>
                </c:pt>
                <c:pt idx="83">
                  <c:v>170948827.76999998</c:v>
                </c:pt>
                <c:pt idx="84">
                  <c:v>171142604.32999998</c:v>
                </c:pt>
                <c:pt idx="85">
                  <c:v>171232327.57999998</c:v>
                </c:pt>
                <c:pt idx="86">
                  <c:v>171979173.49999997</c:v>
                </c:pt>
                <c:pt idx="87">
                  <c:v>172641220.96999997</c:v>
                </c:pt>
                <c:pt idx="88">
                  <c:v>173387591.75999996</c:v>
                </c:pt>
                <c:pt idx="89">
                  <c:v>173436784.48999995</c:v>
                </c:pt>
                <c:pt idx="90">
                  <c:v>178986158.76999995</c:v>
                </c:pt>
                <c:pt idx="91">
                  <c:v>179985534.44999996</c:v>
                </c:pt>
                <c:pt idx="92">
                  <c:v>180506394.54999995</c:v>
                </c:pt>
                <c:pt idx="93">
                  <c:v>180939706.88999996</c:v>
                </c:pt>
                <c:pt idx="94">
                  <c:v>181569157.74999997</c:v>
                </c:pt>
                <c:pt idx="95">
                  <c:v>182447597.92999998</c:v>
                </c:pt>
                <c:pt idx="96">
                  <c:v>182520917.69999999</c:v>
                </c:pt>
                <c:pt idx="97">
                  <c:v>182719549.91</c:v>
                </c:pt>
                <c:pt idx="98">
                  <c:v>182838549.91</c:v>
                </c:pt>
                <c:pt idx="99">
                  <c:v>183331297.91</c:v>
                </c:pt>
                <c:pt idx="100">
                  <c:v>183655508.81999999</c:v>
                </c:pt>
                <c:pt idx="101">
                  <c:v>183714311.81999999</c:v>
                </c:pt>
                <c:pt idx="102">
                  <c:v>183732713.95999998</c:v>
                </c:pt>
                <c:pt idx="103">
                  <c:v>183732713.95999998</c:v>
                </c:pt>
                <c:pt idx="104">
                  <c:v>183732713.95999998</c:v>
                </c:pt>
                <c:pt idx="105">
                  <c:v>183732713.95999998</c:v>
                </c:pt>
                <c:pt idx="106">
                  <c:v>183732713.95999998</c:v>
                </c:pt>
                <c:pt idx="107">
                  <c:v>183962769.91999999</c:v>
                </c:pt>
                <c:pt idx="108">
                  <c:v>183976881.44999999</c:v>
                </c:pt>
                <c:pt idx="109">
                  <c:v>188723133.57999998</c:v>
                </c:pt>
                <c:pt idx="110">
                  <c:v>188723133.57999998</c:v>
                </c:pt>
                <c:pt idx="111">
                  <c:v>188923133.57999998</c:v>
                </c:pt>
                <c:pt idx="112">
                  <c:v>189123133.57999998</c:v>
                </c:pt>
                <c:pt idx="113">
                  <c:v>189323133.57999998</c:v>
                </c:pt>
                <c:pt idx="114">
                  <c:v>189523133.57999998</c:v>
                </c:pt>
                <c:pt idx="115">
                  <c:v>189523133.57999998</c:v>
                </c:pt>
                <c:pt idx="116">
                  <c:v>189523133.57999998</c:v>
                </c:pt>
                <c:pt idx="117">
                  <c:v>189523133.57999998</c:v>
                </c:pt>
                <c:pt idx="118">
                  <c:v>189523133.57999998</c:v>
                </c:pt>
                <c:pt idx="119">
                  <c:v>191099999.88</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5-3DD7-4C65-9E27-60B1B91C71A2}"/>
            </c:ext>
          </c:extLst>
        </c:ser>
        <c:dLbls>
          <c:showLegendKey val="0"/>
          <c:showVal val="0"/>
          <c:showCatName val="0"/>
          <c:showSerName val="0"/>
          <c:showPercent val="0"/>
          <c:showBubbleSize val="0"/>
        </c:dLbls>
        <c:marker val="1"/>
        <c:smooth val="0"/>
        <c:axId val="1224323240"/>
        <c:axId val="1224331112"/>
      </c:lineChart>
      <c:dateAx>
        <c:axId val="632454120"/>
        <c:scaling>
          <c:orientation val="minMax"/>
        </c:scaling>
        <c:delete val="0"/>
        <c:axPos val="b"/>
        <c:numFmt formatCode="[$-1009]mmmm\ yyyy;@"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456080"/>
        <c:crosses val="autoZero"/>
        <c:auto val="1"/>
        <c:lblOffset val="100"/>
        <c:baseTimeUnit val="months"/>
      </c:dateAx>
      <c:valAx>
        <c:axId val="632456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Burnrate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454120"/>
        <c:crosses val="autoZero"/>
        <c:crossBetween val="between"/>
      </c:valAx>
      <c:valAx>
        <c:axId val="122433111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S-Curve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323240"/>
        <c:crosses val="max"/>
        <c:crossBetween val="between"/>
      </c:valAx>
      <c:dateAx>
        <c:axId val="1224323240"/>
        <c:scaling>
          <c:orientation val="minMax"/>
        </c:scaling>
        <c:delete val="1"/>
        <c:axPos val="b"/>
        <c:numFmt formatCode="[$-1009]mmmm\ d\,\ yyyy;@" sourceLinked="1"/>
        <c:majorTickMark val="out"/>
        <c:minorTickMark val="none"/>
        <c:tickLblPos val="nextTo"/>
        <c:crossAx val="122433111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1">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9</xdr:col>
      <xdr:colOff>343910</xdr:colOff>
      <xdr:row>3</xdr:row>
      <xdr:rowOff>1</xdr:rowOff>
    </xdr:from>
    <xdr:ext cx="1705547" cy="274022"/>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911243" y="190501"/>
          <a:ext cx="1705547" cy="274022"/>
        </a:xfrm>
        <a:prstGeom prst="rect">
          <a:avLst/>
        </a:prstGeom>
      </xdr:spPr>
    </xdr:pic>
    <xdr:clientData/>
  </xdr:oneCellAnchor>
  <xdr:twoCellAnchor>
    <xdr:from>
      <xdr:col>4</xdr:col>
      <xdr:colOff>186266</xdr:colOff>
      <xdr:row>33</xdr:row>
      <xdr:rowOff>127000</xdr:rowOff>
    </xdr:from>
    <xdr:to>
      <xdr:col>8</xdr:col>
      <xdr:colOff>694265</xdr:colOff>
      <xdr:row>36</xdr:row>
      <xdr:rowOff>143934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511799" y="5494867"/>
          <a:ext cx="4842933" cy="5757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Contact your PFM Tool Administrator if the default quantity of LOA's, Phases, Subprojects or Funding Sources is not sufficient for your project.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1569916</xdr:colOff>
      <xdr:row>1</xdr:row>
      <xdr:rowOff>0</xdr:rowOff>
    </xdr:from>
    <xdr:ext cx="2055935" cy="330317"/>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0018591" y="190500"/>
          <a:ext cx="2055935" cy="330317"/>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14</xdr:col>
      <xdr:colOff>126837</xdr:colOff>
      <xdr:row>1</xdr:row>
      <xdr:rowOff>38100</xdr:rowOff>
    </xdr:from>
    <xdr:ext cx="2200847" cy="353599"/>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419254" y="228600"/>
          <a:ext cx="2200847" cy="353599"/>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23</xdr:col>
      <xdr:colOff>704850</xdr:colOff>
      <xdr:row>1</xdr:row>
      <xdr:rowOff>19050</xdr:rowOff>
    </xdr:from>
    <xdr:ext cx="2200847" cy="353599"/>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13201650" y="133350"/>
          <a:ext cx="2200847" cy="353599"/>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17</xdr:col>
      <xdr:colOff>603236</xdr:colOff>
      <xdr:row>0</xdr:row>
      <xdr:rowOff>115957</xdr:rowOff>
    </xdr:from>
    <xdr:ext cx="1900443" cy="305335"/>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2562403" y="115957"/>
          <a:ext cx="1900443" cy="305335"/>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9</xdr:col>
      <xdr:colOff>105834</xdr:colOff>
      <xdr:row>1</xdr:row>
      <xdr:rowOff>20706</xdr:rowOff>
    </xdr:from>
    <xdr:ext cx="1900443" cy="305335"/>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3768917" y="137123"/>
          <a:ext cx="1900443" cy="305335"/>
        </a:xfrm>
        <a:prstGeom prst="rect">
          <a:avLst/>
        </a:prstGeom>
      </xdr:spPr>
    </xdr:pic>
    <xdr:clientData/>
  </xdr:oneCellAnchor>
  <xdr:twoCellAnchor>
    <xdr:from>
      <xdr:col>13</xdr:col>
      <xdr:colOff>264584</xdr:colOff>
      <xdr:row>5</xdr:row>
      <xdr:rowOff>63500</xdr:rowOff>
    </xdr:from>
    <xdr:to>
      <xdr:col>14</xdr:col>
      <xdr:colOff>381001</xdr:colOff>
      <xdr:row>7</xdr:row>
      <xdr:rowOff>10584</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8235084" y="1352550"/>
          <a:ext cx="922867" cy="31538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600" b="1"/>
            <a:t>NEW</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22</xdr:col>
      <xdr:colOff>515467</xdr:colOff>
      <xdr:row>1</xdr:row>
      <xdr:rowOff>9525</xdr:rowOff>
    </xdr:from>
    <xdr:ext cx="2200847" cy="353599"/>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22243673" y="200025"/>
          <a:ext cx="2200847" cy="353599"/>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oneCellAnchor>
    <xdr:from>
      <xdr:col>15</xdr:col>
      <xdr:colOff>571500</xdr:colOff>
      <xdr:row>0</xdr:row>
      <xdr:rowOff>152400</xdr:rowOff>
    </xdr:from>
    <xdr:ext cx="2200847" cy="353599"/>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2706350" y="152400"/>
          <a:ext cx="2200847" cy="353599"/>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oneCellAnchor>
    <xdr:from>
      <xdr:col>174</xdr:col>
      <xdr:colOff>0</xdr:colOff>
      <xdr:row>1</xdr:row>
      <xdr:rowOff>38101</xdr:rowOff>
    </xdr:from>
    <xdr:ext cx="1819847" cy="292386"/>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32356425" y="152401"/>
          <a:ext cx="1819847" cy="292386"/>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oneCellAnchor>
    <xdr:from>
      <xdr:col>15</xdr:col>
      <xdr:colOff>370412</xdr:colOff>
      <xdr:row>1</xdr:row>
      <xdr:rowOff>38101</xdr:rowOff>
    </xdr:from>
    <xdr:ext cx="1819847" cy="292386"/>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0551579" y="154518"/>
          <a:ext cx="1819847" cy="292386"/>
        </a:xfrm>
        <a:prstGeom prst="rect">
          <a:avLst/>
        </a:prstGeom>
      </xdr:spPr>
    </xdr:pic>
    <xdr:clientData/>
  </xdr:oneCellAnchor>
  <xdr:twoCellAnchor>
    <xdr:from>
      <xdr:col>8</xdr:col>
      <xdr:colOff>894644</xdr:colOff>
      <xdr:row>34</xdr:row>
      <xdr:rowOff>126999</xdr:rowOff>
    </xdr:from>
    <xdr:to>
      <xdr:col>17</xdr:col>
      <xdr:colOff>910167</xdr:colOff>
      <xdr:row>51</xdr:row>
      <xdr:rowOff>59091</xdr:rowOff>
    </xdr:to>
    <xdr:graphicFrame macro="">
      <xdr:nvGraphicFramePr>
        <xdr:cNvPr id="9" name="Chart 15">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16</xdr:col>
      <xdr:colOff>552450</xdr:colOff>
      <xdr:row>0</xdr:row>
      <xdr:rowOff>142875</xdr:rowOff>
    </xdr:from>
    <xdr:ext cx="2200847" cy="353599"/>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7487900" y="142875"/>
          <a:ext cx="2200847" cy="353599"/>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9</xdr:col>
      <xdr:colOff>37037</xdr:colOff>
      <xdr:row>0</xdr:row>
      <xdr:rowOff>104776</xdr:rowOff>
    </xdr:from>
    <xdr:ext cx="1819847" cy="292386"/>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13626037" y="104776"/>
          <a:ext cx="1819847" cy="292386"/>
        </a:xfrm>
        <a:prstGeom prst="rect">
          <a:avLst/>
        </a:prstGeom>
      </xdr:spPr>
    </xdr:pic>
    <xdr:clientData/>
  </xdr:oneCellAnchor>
  <xdr:twoCellAnchor editAs="oneCell">
    <xdr:from>
      <xdr:col>4</xdr:col>
      <xdr:colOff>5101165</xdr:colOff>
      <xdr:row>42</xdr:row>
      <xdr:rowOff>190495</xdr:rowOff>
    </xdr:from>
    <xdr:to>
      <xdr:col>9</xdr:col>
      <xdr:colOff>2844163</xdr:colOff>
      <xdr:row>47</xdr:row>
      <xdr:rowOff>394030</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10924115" y="15468595"/>
          <a:ext cx="5518573" cy="167673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409433</xdr:colOff>
          <xdr:row>88</xdr:row>
          <xdr:rowOff>68239</xdr:rowOff>
        </xdr:from>
        <xdr:to>
          <xdr:col>1</xdr:col>
          <xdr:colOff>641445</xdr:colOff>
          <xdr:row>89</xdr:row>
          <xdr:rowOff>40943</xdr:rowOff>
        </xdr:to>
        <xdr:sp macro="" textlink="">
          <xdr:nvSpPr>
            <xdr:cNvPr id="133121" name="Check Box 1" hidden="1">
              <a:extLst>
                <a:ext uri="{63B3BB69-23CF-44E3-9099-C40C66FF867C}">
                  <a14:compatExt spid="_x0000_s133121"/>
                </a:ext>
                <a:ext uri="{FF2B5EF4-FFF2-40B4-BE49-F238E27FC236}">
                  <a16:creationId xmlns:a16="http://schemas.microsoft.com/office/drawing/2014/main" id="{00000000-0008-0000-0D00-000001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94</xdr:row>
          <xdr:rowOff>40943</xdr:rowOff>
        </xdr:from>
        <xdr:to>
          <xdr:col>1</xdr:col>
          <xdr:colOff>641445</xdr:colOff>
          <xdr:row>95</xdr:row>
          <xdr:rowOff>54591</xdr:rowOff>
        </xdr:to>
        <xdr:sp macro="" textlink="">
          <xdr:nvSpPr>
            <xdr:cNvPr id="133122" name="Check Box 2" hidden="1">
              <a:extLst>
                <a:ext uri="{63B3BB69-23CF-44E3-9099-C40C66FF867C}">
                  <a14:compatExt spid="_x0000_s133122"/>
                </a:ext>
                <a:ext uri="{FF2B5EF4-FFF2-40B4-BE49-F238E27FC236}">
                  <a16:creationId xmlns:a16="http://schemas.microsoft.com/office/drawing/2014/main" id="{00000000-0008-0000-0D00-000002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92</xdr:row>
          <xdr:rowOff>40943</xdr:rowOff>
        </xdr:from>
        <xdr:to>
          <xdr:col>1</xdr:col>
          <xdr:colOff>641445</xdr:colOff>
          <xdr:row>93</xdr:row>
          <xdr:rowOff>54591</xdr:rowOff>
        </xdr:to>
        <xdr:sp macro="" textlink="">
          <xdr:nvSpPr>
            <xdr:cNvPr id="133123" name="Check Box 3" hidden="1">
              <a:extLst>
                <a:ext uri="{63B3BB69-23CF-44E3-9099-C40C66FF867C}">
                  <a14:compatExt spid="_x0000_s133123"/>
                </a:ext>
                <a:ext uri="{FF2B5EF4-FFF2-40B4-BE49-F238E27FC236}">
                  <a16:creationId xmlns:a16="http://schemas.microsoft.com/office/drawing/2014/main" id="{00000000-0008-0000-0D00-000003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98</xdr:row>
          <xdr:rowOff>40943</xdr:rowOff>
        </xdr:from>
        <xdr:to>
          <xdr:col>1</xdr:col>
          <xdr:colOff>641445</xdr:colOff>
          <xdr:row>99</xdr:row>
          <xdr:rowOff>54591</xdr:rowOff>
        </xdr:to>
        <xdr:sp macro="" textlink="">
          <xdr:nvSpPr>
            <xdr:cNvPr id="133124" name="Check Box 4" hidden="1">
              <a:extLst>
                <a:ext uri="{63B3BB69-23CF-44E3-9099-C40C66FF867C}">
                  <a14:compatExt spid="_x0000_s133124"/>
                </a:ext>
                <a:ext uri="{FF2B5EF4-FFF2-40B4-BE49-F238E27FC236}">
                  <a16:creationId xmlns:a16="http://schemas.microsoft.com/office/drawing/2014/main" id="{00000000-0008-0000-0D00-000004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96</xdr:row>
          <xdr:rowOff>40943</xdr:rowOff>
        </xdr:from>
        <xdr:to>
          <xdr:col>1</xdr:col>
          <xdr:colOff>641445</xdr:colOff>
          <xdr:row>97</xdr:row>
          <xdr:rowOff>54591</xdr:rowOff>
        </xdr:to>
        <xdr:sp macro="" textlink="">
          <xdr:nvSpPr>
            <xdr:cNvPr id="133125" name="Check Box 5" hidden="1">
              <a:extLst>
                <a:ext uri="{63B3BB69-23CF-44E3-9099-C40C66FF867C}">
                  <a14:compatExt spid="_x0000_s133125"/>
                </a:ext>
                <a:ext uri="{FF2B5EF4-FFF2-40B4-BE49-F238E27FC236}">
                  <a16:creationId xmlns:a16="http://schemas.microsoft.com/office/drawing/2014/main" id="{00000000-0008-0000-0D00-000005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94</xdr:row>
          <xdr:rowOff>40943</xdr:rowOff>
        </xdr:from>
        <xdr:to>
          <xdr:col>1</xdr:col>
          <xdr:colOff>641445</xdr:colOff>
          <xdr:row>95</xdr:row>
          <xdr:rowOff>54591</xdr:rowOff>
        </xdr:to>
        <xdr:sp macro="" textlink="">
          <xdr:nvSpPr>
            <xdr:cNvPr id="133126" name="Check Box 6" hidden="1">
              <a:extLst>
                <a:ext uri="{63B3BB69-23CF-44E3-9099-C40C66FF867C}">
                  <a14:compatExt spid="_x0000_s133126"/>
                </a:ext>
                <a:ext uri="{FF2B5EF4-FFF2-40B4-BE49-F238E27FC236}">
                  <a16:creationId xmlns:a16="http://schemas.microsoft.com/office/drawing/2014/main" id="{00000000-0008-0000-0D00-000006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95</xdr:row>
          <xdr:rowOff>40943</xdr:rowOff>
        </xdr:from>
        <xdr:to>
          <xdr:col>1</xdr:col>
          <xdr:colOff>641445</xdr:colOff>
          <xdr:row>96</xdr:row>
          <xdr:rowOff>54591</xdr:rowOff>
        </xdr:to>
        <xdr:sp macro="" textlink="">
          <xdr:nvSpPr>
            <xdr:cNvPr id="133127" name="Check Box 7" hidden="1">
              <a:extLst>
                <a:ext uri="{63B3BB69-23CF-44E3-9099-C40C66FF867C}">
                  <a14:compatExt spid="_x0000_s133127"/>
                </a:ext>
                <a:ext uri="{FF2B5EF4-FFF2-40B4-BE49-F238E27FC236}">
                  <a16:creationId xmlns:a16="http://schemas.microsoft.com/office/drawing/2014/main" id="{00000000-0008-0000-0D00-000007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102</xdr:row>
          <xdr:rowOff>40943</xdr:rowOff>
        </xdr:from>
        <xdr:to>
          <xdr:col>1</xdr:col>
          <xdr:colOff>641445</xdr:colOff>
          <xdr:row>102</xdr:row>
          <xdr:rowOff>307075</xdr:rowOff>
        </xdr:to>
        <xdr:sp macro="" textlink="">
          <xdr:nvSpPr>
            <xdr:cNvPr id="133128" name="Check Box 8" hidden="1">
              <a:extLst>
                <a:ext uri="{63B3BB69-23CF-44E3-9099-C40C66FF867C}">
                  <a14:compatExt spid="_x0000_s133128"/>
                </a:ext>
                <a:ext uri="{FF2B5EF4-FFF2-40B4-BE49-F238E27FC236}">
                  <a16:creationId xmlns:a16="http://schemas.microsoft.com/office/drawing/2014/main" id="{00000000-0008-0000-0D00-000008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101</xdr:row>
          <xdr:rowOff>40943</xdr:rowOff>
        </xdr:from>
        <xdr:to>
          <xdr:col>1</xdr:col>
          <xdr:colOff>641445</xdr:colOff>
          <xdr:row>102</xdr:row>
          <xdr:rowOff>54591</xdr:rowOff>
        </xdr:to>
        <xdr:sp macro="" textlink="">
          <xdr:nvSpPr>
            <xdr:cNvPr id="133129" name="Check Box 9" hidden="1">
              <a:extLst>
                <a:ext uri="{63B3BB69-23CF-44E3-9099-C40C66FF867C}">
                  <a14:compatExt spid="_x0000_s133129"/>
                </a:ext>
                <a:ext uri="{FF2B5EF4-FFF2-40B4-BE49-F238E27FC236}">
                  <a16:creationId xmlns:a16="http://schemas.microsoft.com/office/drawing/2014/main" id="{00000000-0008-0000-0D00-000009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97</xdr:row>
          <xdr:rowOff>40943</xdr:rowOff>
        </xdr:from>
        <xdr:to>
          <xdr:col>1</xdr:col>
          <xdr:colOff>641445</xdr:colOff>
          <xdr:row>98</xdr:row>
          <xdr:rowOff>54591</xdr:rowOff>
        </xdr:to>
        <xdr:sp macro="" textlink="">
          <xdr:nvSpPr>
            <xdr:cNvPr id="133130" name="Check Box 10" hidden="1">
              <a:extLst>
                <a:ext uri="{63B3BB69-23CF-44E3-9099-C40C66FF867C}">
                  <a14:compatExt spid="_x0000_s133130"/>
                </a:ext>
                <a:ext uri="{FF2B5EF4-FFF2-40B4-BE49-F238E27FC236}">
                  <a16:creationId xmlns:a16="http://schemas.microsoft.com/office/drawing/2014/main" id="{00000000-0008-0000-0D00-00000A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89</xdr:row>
          <xdr:rowOff>40943</xdr:rowOff>
        </xdr:from>
        <xdr:to>
          <xdr:col>1</xdr:col>
          <xdr:colOff>641445</xdr:colOff>
          <xdr:row>90</xdr:row>
          <xdr:rowOff>54591</xdr:rowOff>
        </xdr:to>
        <xdr:sp macro="" textlink="">
          <xdr:nvSpPr>
            <xdr:cNvPr id="133131" name="Check Box 11" hidden="1">
              <a:extLst>
                <a:ext uri="{63B3BB69-23CF-44E3-9099-C40C66FF867C}">
                  <a14:compatExt spid="_x0000_s133131"/>
                </a:ext>
                <a:ext uri="{FF2B5EF4-FFF2-40B4-BE49-F238E27FC236}">
                  <a16:creationId xmlns:a16="http://schemas.microsoft.com/office/drawing/2014/main" id="{00000000-0008-0000-0D00-00000B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90</xdr:row>
          <xdr:rowOff>40943</xdr:rowOff>
        </xdr:from>
        <xdr:to>
          <xdr:col>1</xdr:col>
          <xdr:colOff>641445</xdr:colOff>
          <xdr:row>91</xdr:row>
          <xdr:rowOff>54591</xdr:rowOff>
        </xdr:to>
        <xdr:sp macro="" textlink="">
          <xdr:nvSpPr>
            <xdr:cNvPr id="133132" name="Check Box 12" hidden="1">
              <a:extLst>
                <a:ext uri="{63B3BB69-23CF-44E3-9099-C40C66FF867C}">
                  <a14:compatExt spid="_x0000_s133132"/>
                </a:ext>
                <a:ext uri="{FF2B5EF4-FFF2-40B4-BE49-F238E27FC236}">
                  <a16:creationId xmlns:a16="http://schemas.microsoft.com/office/drawing/2014/main" id="{00000000-0008-0000-0D00-00000C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91</xdr:row>
          <xdr:rowOff>40943</xdr:rowOff>
        </xdr:from>
        <xdr:to>
          <xdr:col>1</xdr:col>
          <xdr:colOff>641445</xdr:colOff>
          <xdr:row>92</xdr:row>
          <xdr:rowOff>54591</xdr:rowOff>
        </xdr:to>
        <xdr:sp macro="" textlink="">
          <xdr:nvSpPr>
            <xdr:cNvPr id="133133" name="Check Box 13" hidden="1">
              <a:extLst>
                <a:ext uri="{63B3BB69-23CF-44E3-9099-C40C66FF867C}">
                  <a14:compatExt spid="_x0000_s133133"/>
                </a:ext>
                <a:ext uri="{FF2B5EF4-FFF2-40B4-BE49-F238E27FC236}">
                  <a16:creationId xmlns:a16="http://schemas.microsoft.com/office/drawing/2014/main" id="{00000000-0008-0000-0D00-00000D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99</xdr:row>
          <xdr:rowOff>40943</xdr:rowOff>
        </xdr:from>
        <xdr:to>
          <xdr:col>1</xdr:col>
          <xdr:colOff>641445</xdr:colOff>
          <xdr:row>100</xdr:row>
          <xdr:rowOff>54591</xdr:rowOff>
        </xdr:to>
        <xdr:sp macro="" textlink="">
          <xdr:nvSpPr>
            <xdr:cNvPr id="133134" name="Check Box 14" hidden="1">
              <a:extLst>
                <a:ext uri="{63B3BB69-23CF-44E3-9099-C40C66FF867C}">
                  <a14:compatExt spid="_x0000_s133134"/>
                </a:ext>
                <a:ext uri="{FF2B5EF4-FFF2-40B4-BE49-F238E27FC236}">
                  <a16:creationId xmlns:a16="http://schemas.microsoft.com/office/drawing/2014/main" id="{00000000-0008-0000-0D00-00000E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98</xdr:row>
          <xdr:rowOff>40943</xdr:rowOff>
        </xdr:from>
        <xdr:to>
          <xdr:col>1</xdr:col>
          <xdr:colOff>641445</xdr:colOff>
          <xdr:row>99</xdr:row>
          <xdr:rowOff>54591</xdr:rowOff>
        </xdr:to>
        <xdr:sp macro="" textlink="">
          <xdr:nvSpPr>
            <xdr:cNvPr id="133135" name="Check Box 15" hidden="1">
              <a:extLst>
                <a:ext uri="{63B3BB69-23CF-44E3-9099-C40C66FF867C}">
                  <a14:compatExt spid="_x0000_s133135"/>
                </a:ext>
                <a:ext uri="{FF2B5EF4-FFF2-40B4-BE49-F238E27FC236}">
                  <a16:creationId xmlns:a16="http://schemas.microsoft.com/office/drawing/2014/main" id="{00000000-0008-0000-0D00-00000F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409433</xdr:colOff>
          <xdr:row>104</xdr:row>
          <xdr:rowOff>40943</xdr:rowOff>
        </xdr:from>
        <xdr:to>
          <xdr:col>1</xdr:col>
          <xdr:colOff>641445</xdr:colOff>
          <xdr:row>106</xdr:row>
          <xdr:rowOff>0</xdr:rowOff>
        </xdr:to>
        <xdr:sp macro="" textlink="">
          <xdr:nvSpPr>
            <xdr:cNvPr id="133136" name="Check Box 16" hidden="1">
              <a:extLst>
                <a:ext uri="{63B3BB69-23CF-44E3-9099-C40C66FF867C}">
                  <a14:compatExt spid="_x0000_s133136"/>
                </a:ext>
                <a:ext uri="{FF2B5EF4-FFF2-40B4-BE49-F238E27FC236}">
                  <a16:creationId xmlns:a16="http://schemas.microsoft.com/office/drawing/2014/main" id="{00000000-0008-0000-0D00-0000100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21</xdr:col>
      <xdr:colOff>456078</xdr:colOff>
      <xdr:row>1</xdr:row>
      <xdr:rowOff>9525</xdr:rowOff>
    </xdr:from>
    <xdr:ext cx="2200847" cy="353599"/>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9995028" y="193675"/>
          <a:ext cx="2200847" cy="353599"/>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xdr:oneCellAnchor>
    <xdr:from>
      <xdr:col>29</xdr:col>
      <xdr:colOff>152400</xdr:colOff>
      <xdr:row>1</xdr:row>
      <xdr:rowOff>9525</xdr:rowOff>
    </xdr:from>
    <xdr:ext cx="2200847" cy="353599"/>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28003500" y="193675"/>
          <a:ext cx="2200847" cy="353599"/>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xdr:oneCellAnchor>
    <xdr:from>
      <xdr:col>11</xdr:col>
      <xdr:colOff>1164164</xdr:colOff>
      <xdr:row>0</xdr:row>
      <xdr:rowOff>133350</xdr:rowOff>
    </xdr:from>
    <xdr:ext cx="2200847" cy="353599"/>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3330764" y="133350"/>
          <a:ext cx="2200847" cy="353599"/>
        </a:xfrm>
        <a:prstGeom prst="rect">
          <a:avLst/>
        </a:prstGeom>
      </xdr:spPr>
    </xdr:pic>
    <xdr:clientData/>
  </xdr:oneCellAnchor>
  <xdr:twoCellAnchor>
    <xdr:from>
      <xdr:col>1</xdr:col>
      <xdr:colOff>63033</xdr:colOff>
      <xdr:row>18</xdr:row>
      <xdr:rowOff>162720</xdr:rowOff>
    </xdr:from>
    <xdr:to>
      <xdr:col>2</xdr:col>
      <xdr:colOff>700679</xdr:colOff>
      <xdr:row>25</xdr:row>
      <xdr:rowOff>91981</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234857" y="3830779"/>
          <a:ext cx="1504234" cy="1184320"/>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Pre-Authorized</a:t>
          </a:r>
        </a:p>
        <a:p>
          <a:r>
            <a:rPr lang="en-CA" sz="1100"/>
            <a:t>Pending - Define</a:t>
          </a:r>
        </a:p>
        <a:p>
          <a:r>
            <a:rPr lang="en-CA" sz="1100"/>
            <a:t>Pending - Quote</a:t>
          </a:r>
        </a:p>
        <a:p>
          <a:r>
            <a:rPr lang="en-CA" sz="1100"/>
            <a:t>Pending - Approve</a:t>
          </a:r>
        </a:p>
        <a:p>
          <a:r>
            <a:rPr lang="en-CA" sz="1100"/>
            <a:t>Approved</a:t>
          </a:r>
        </a:p>
        <a:p>
          <a:r>
            <a:rPr lang="en-CA" sz="1100"/>
            <a:t>Cancelled</a:t>
          </a:r>
        </a:p>
      </xdr:txBody>
    </xdr:sp>
    <xdr:clientData/>
  </xdr:twoCellAnchor>
</xdr:wsDr>
</file>

<file path=xl/drawings/drawing17.xml><?xml version="1.0" encoding="utf-8"?>
<xdr:wsDr xmlns:xdr="http://schemas.openxmlformats.org/drawingml/2006/spreadsheetDrawing" xmlns:a="http://schemas.openxmlformats.org/drawingml/2006/main">
  <xdr:oneCellAnchor>
    <xdr:from>
      <xdr:col>2</xdr:col>
      <xdr:colOff>5962650</xdr:colOff>
      <xdr:row>1</xdr:row>
      <xdr:rowOff>34374</xdr:rowOff>
    </xdr:from>
    <xdr:ext cx="1390808" cy="223454"/>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6810375" y="129624"/>
          <a:ext cx="1390808" cy="223454"/>
        </a:xfrm>
        <a:prstGeom prst="rect">
          <a:avLst/>
        </a:prstGeom>
      </xdr:spPr>
    </xdr:pic>
    <xdr:clientData/>
  </xdr:one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connectionId="2" xr16:uid="{00000000-0016-0000-1400-000000000000}" autoFormatId="0" applyNumberFormats="0" applyBorderFormats="0" applyFontFormats="1" applyPatternFormats="1" applyAlignmentFormats="0" applyWidthHeightFormats="0">
  <queryTableRefresh preserveSortFilterLayout="0" nextId="18" unboundColumnsRight="9">
    <queryTableFields count="17">
      <queryTableField id="1" name="WBS" tableColumnId="1"/>
      <queryTableField id="2" name="Description" tableColumnId="2"/>
      <queryTableField id="3" name="Funding Line" tableColumnId="3"/>
      <queryTableField id="4" name="Funding Description" tableColumnId="4"/>
      <queryTableField id="5" name="Project ID" tableColumnId="5"/>
      <queryTableField id="6" name="Capital Plan Line" tableColumnId="6"/>
      <queryTableField id="7" name="Approved Fiscal Year" tableColumnId="7"/>
      <queryTableField id="8" name="Capital Plan Status"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tables/_rels/table1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BudgetTrack" displayName="BudgetTrack" ref="A6:AA67" totalsRowCount="1" headerRowDxfId="628" dataDxfId="627" tableBorderDxfId="626" dataCellStyle="Comma">
  <autoFilter ref="A6:AA66" xr:uid="{00000000-0009-0000-0100-000001000000}"/>
  <tableColumns count="27">
    <tableColumn id="1" xr3:uid="{00000000-0010-0000-0100-000001000000}" name="Row" dataDxfId="624" totalsRowDxfId="625">
      <calculatedColumnFormula>A6+1</calculatedColumnFormula>
    </tableColumn>
    <tableColumn id="2" xr3:uid="{00000000-0010-0000-0100-000002000000}" name="PA ID" dataDxfId="622" totalsRowDxfId="623">
      <calculatedColumnFormula>CONCATENATE(IFERROR(INDEX(Validations!$B$11:$B$16,MATCH(C7,Primary,0)),""),IFERROR(OFFSET(INDEX(INDIRECT(SUBSTITUTE(C7," ","")),MATCH(D7,INDIRECT(SUBSTITUTE(C7," ","")),0)),0,-1),""),IFERROR(INDEX(Validations!$I$12:$I$32,MATCH(E7,Validations!$H$12:$H$32,0)),""),IFERROR(INDEX(Validations!$I$12:$I$32,MATCH(F7,Validations!$H$12:$H$32,0)),""),IFERROR(INDEX(Validations!$M$11:$M$16,MATCH(G7,Validations!$J$11:$J$16,0)),""))</calculatedColumnFormula>
    </tableColumn>
    <tableColumn id="3" xr3:uid="{00000000-0010-0000-0100-000003000000}" name="Primary Category" dataDxfId="620" totalsRowDxfId="621"/>
    <tableColumn id="4" xr3:uid="{00000000-0010-0000-0100-000004000000}" name="Secondary Category" dataDxfId="618" totalsRowDxfId="619"/>
    <tableColumn id="5" xr3:uid="{00000000-0010-0000-0100-000005000000}" name="Phase / Subproject" dataDxfId="616" totalsRowDxfId="617"/>
    <tableColumn id="6" xr3:uid="{00000000-0010-0000-0100-000006000000}" name="Phase / Subproject 2" dataDxfId="614" totalsRowDxfId="615"/>
    <tableColumn id="7" xr3:uid="{00000000-0010-0000-0100-000007000000}" name="Funding Source" totalsRowLabel="Filtered Total" dataDxfId="612" totalsRowDxfId="613"/>
    <tableColumn id="8" xr3:uid="{00000000-0010-0000-0100-000008000000}" name="Baseline Budget" totalsRowFunction="sum" dataDxfId="610" totalsRowDxfId="611"/>
    <tableColumn id="9" xr3:uid="{00000000-0010-0000-0100-000009000000}" name="Prime Consultant Contract Award" totalsRowFunction="sum" dataDxfId="608" totalsRowDxfId="609" dataCellStyle="Comma"/>
    <tableColumn id="10" xr3:uid="{00000000-0010-0000-0100-00000A000000}" name="&lt;enter milestone&gt;" totalsRowFunction="sum" dataDxfId="606" totalsRowDxfId="607" dataCellStyle="Comma"/>
    <tableColumn id="11" xr3:uid="{00000000-0010-0000-0100-00000B000000}" name="75% CD Submission" totalsRowFunction="sum" dataDxfId="604" totalsRowDxfId="605" dataCellStyle="Comma"/>
    <tableColumn id="12" xr3:uid="{00000000-0010-0000-0100-00000C000000}" name="Contract Award" totalsRowFunction="sum" dataDxfId="602" totalsRowDxfId="603" dataCellStyle="Comma"/>
    <tableColumn id="13" xr3:uid="{00000000-0010-0000-0100-00000D000000}" name="Post-Contract Award" totalsRowFunction="sum" dataDxfId="600" totalsRowDxfId="601" dataCellStyle="Comma"/>
    <tableColumn id="14" xr3:uid="{00000000-0010-0000-0100-00000E000000}" name="25% Construction" totalsRowFunction="sum" dataDxfId="598" totalsRowDxfId="599" dataCellStyle="Comma"/>
    <tableColumn id="15" xr3:uid="{00000000-0010-0000-0100-00000F000000}" name="50% Construction" totalsRowFunction="sum" dataDxfId="596" totalsRowDxfId="597" dataCellStyle="Comma"/>
    <tableColumn id="16" xr3:uid="{00000000-0010-0000-0100-000010000000}" name="75% Construction" totalsRowFunction="sum" dataDxfId="594" totalsRowDxfId="595" dataCellStyle="Comma"/>
    <tableColumn id="17" xr3:uid="{00000000-0010-0000-0100-000011000000}" name="95% Construction" totalsRowFunction="sum" dataDxfId="592" totalsRowDxfId="593" dataCellStyle="Comma"/>
    <tableColumn id="18" xr3:uid="{00000000-0010-0000-0100-000012000000}" name="Post Interim" totalsRowFunction="sum" dataDxfId="590" totalsRowDxfId="591" dataCellStyle="Comma"/>
    <tableColumn id="19" xr3:uid="{00000000-0010-0000-0100-000013000000}" name="Blank2" dataDxfId="588" totalsRowDxfId="589"/>
    <tableColumn id="20" xr3:uid="{00000000-0010-0000-0100-000014000000}" name="Current Budget" totalsRowFunction="sum" dataDxfId="586" totalsRowDxfId="587" dataCellStyle="Comma">
      <calculatedColumnFormula>SUM(H7:S7)</calculatedColumnFormula>
    </tableColumn>
    <tableColumn id="21" xr3:uid="{00000000-0010-0000-0100-000015000000}" name="Blank3" dataDxfId="584" totalsRowDxfId="585"/>
    <tableColumn id="22" xr3:uid="{00000000-0010-0000-0100-000016000000}" name="Estimate At Completion" totalsRowFunction="sum" dataDxfId="582" totalsRowDxfId="583" dataCellStyle="Comma">
      <calculatedColumnFormula>SUMIF(EAC[PA ID],BudgetTrack[[#This Row],[PA ID]],EAC[Estimate At Completion])</calculatedColumnFormula>
    </tableColumn>
    <tableColumn id="23" xr3:uid="{00000000-0010-0000-0100-000017000000}" name="Budget Variance" totalsRowFunction="sum" dataDxfId="580" totalsRowDxfId="581" dataCellStyle="Comma">
      <calculatedColumnFormula>BudgetTrack[[#This Row],[Current Budget]]-BudgetTrack[[#This Row],[Estimate At Completion]]</calculatedColumnFormula>
    </tableColumn>
    <tableColumn id="24" xr3:uid="{00000000-0010-0000-0100-000018000000}" name="Expenditures" totalsRowFunction="sum" dataDxfId="578" totalsRowDxfId="579" dataCellStyle="Comma">
      <calculatedColumnFormula>SUMIFS(CostTrack[Value],CostTrack[PA ID],BudgetTrack[[#This Row],[PA ID]],CostTrack[Holdback (Y/N/R)],"&lt;&gt;Release",CostTrack[Status],"Approved")</calculatedColumnFormula>
    </tableColumn>
    <tableColumn id="25" xr3:uid="{00000000-0010-0000-0100-000019000000}" name="Approved Changes" totalsRowFunction="sum" dataDxfId="576" totalsRowDxfId="577" dataCellStyle="Comma">
      <calculatedColumnFormula>SUMPRODUCT(ChangeTrack[Change Value],--(ChangeTrack[Change Status]="Approved"),--(ChangeTrack[PA ID]=BudgetTrack[[#This Row],[PA ID]]),--(ChangeTrack[PA ID]&lt;&gt;""))</calculatedColumnFormula>
    </tableColumn>
    <tableColumn id="26" xr3:uid="{00000000-0010-0000-0100-00001A000000}" name="Blank4" dataDxfId="574" totalsRowDxfId="575"/>
    <tableColumn id="27" xr3:uid="{00000000-0010-0000-0100-00001B000000}" name="Notes" totalsRowFunction="count" dataDxfId="572" totalsRowDxfId="57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0000000}" name="VendorList" displayName="VendorList" ref="B5:W110" totalsRowCount="1" dataDxfId="567" tableBorderDxfId="566" dataCellStyle="Comma">
  <autoFilter ref="B5:W109" xr:uid="{00000000-0009-0000-0100-000007000000}"/>
  <tableColumns count="22">
    <tableColumn id="1" xr3:uid="{00000000-0010-0000-0000-000001000000}" name="Vendor / Org." dataDxfId="564" totalsRowDxfId="565"/>
    <tableColumn id="2" xr3:uid="{00000000-0010-0000-0000-000002000000}" name="Contract ID" dataDxfId="562" totalsRowDxfId="563"/>
    <tableColumn id="3" xr3:uid="{00000000-0010-0000-0000-000003000000}" name="Vendor / Org. with Contract ID" dataDxfId="560" totalsRowDxfId="561">
      <calculatedColumnFormula>IF(VendorList[[#This Row],[Vendor / Org.]]="","",CONCATENATE(VendorList[[#This Row],[Vendor / Org.]],"-",VendorList[[#This Row],[Contract ID]]))</calculatedColumnFormula>
    </tableColumn>
    <tableColumn id="4" xr3:uid="{00000000-0010-0000-0000-000004000000}" name="Status" totalsRowLabel="Filtered Total" dataDxfId="558" totalsRowDxfId="559"/>
    <tableColumn id="5" xr3:uid="{00000000-0010-0000-0000-000005000000}" name="Original Contract Value" totalsRowFunction="sum" dataDxfId="556" totalsRowDxfId="557" dataCellStyle="Comma"/>
    <tableColumn id="6" xr3:uid="{00000000-0010-0000-0000-000006000000}" name="Amendment(s)" totalsRowFunction="sum" dataDxfId="554" totalsRowDxfId="555" dataCellStyle="Comma">
      <calculatedColumnFormula>SUMIFS(ChangeTrack[Change Value],ChangeTrack[Vendor / Org.],VendorList[[#This Row],[Vendor / Org. with Contract ID]],ChangeTrack[Change Status],"Approved")</calculatedColumnFormula>
    </tableColumn>
    <tableColumn id="7" xr3:uid="{00000000-0010-0000-0000-000007000000}" name="Current Commitment" totalsRowFunction="sum" dataDxfId="552" totalsRowDxfId="553" dataCellStyle="Comma">
      <calculatedColumnFormula>VendorList[[#This Row],[Original Contract Value]]+VendorList[[#This Row],[Amendment(s)]]</calculatedColumnFormula>
    </tableColumn>
    <tableColumn id="8" xr3:uid="{00000000-0010-0000-0000-000008000000}" name="Expenditures to Date" totalsRowFunction="sum" dataDxfId="550" totalsRowDxfId="551" dataCellStyle="Comma">
      <calculatedColumnFormula>SUMIFS(CostTrack[Value],CostTrack[Vendor - Contract],VendorList[[#This Row],[Vendor / Org. with Contract ID]],CostTrack[PA ID],VendorList[[#This Row],[PA ID]],CostTrack[Holdback (Y/N/R)],"&lt;&gt;Release",CostTrack[Status],"Approved")</calculatedColumnFormula>
    </tableColumn>
    <tableColumn id="9" xr3:uid="{00000000-0010-0000-0000-000009000000}" name="% Spent" totalsRowFunction="custom" dataDxfId="548" totalsRowDxfId="549" dataCellStyle="Comma">
      <calculatedColumnFormula>IF(VendorList[[#This Row],[Current Commitment]]=0,"-",VendorList[[#This Row],[Expenditures to Date]]/VendorList[[#This Row],[Current Commitment]])</calculatedColumnFormula>
      <totalsRowFormula>IF(VendorList[[#Totals],[Current Commitment]]=0,"-",VendorList[[#Totals],[Expenditures to Date]]/VendorList[[#Totals],[Current Commitment]])</totalsRowFormula>
    </tableColumn>
    <tableColumn id="10" xr3:uid="{00000000-0010-0000-0000-00000A000000}" name="Holdback" totalsRowFunction="sum" dataDxfId="546" totalsRowDxfId="547" dataCellStyle="Comma">
      <calculatedColumnFormula>SUMIF(CostTrack[Vendor - Contract],VendorList[[#This Row],[Vendor / Org. with Contract ID]],CostTrack[Holdback Value])*-1</calculatedColumnFormula>
    </tableColumn>
    <tableColumn id="11" xr3:uid="{00000000-0010-0000-0000-00000B000000}" name="Open Commitment" totalsRowFunction="sum" dataDxfId="544" totalsRowDxfId="545" dataCellStyle="Comma">
      <calculatedColumnFormula>VendorList[[#This Row],[Current Commitment]]-VendorList[[#This Row],[Expenditures to Date]]</calculatedColumnFormula>
    </tableColumn>
    <tableColumn id="12" xr3:uid="{00000000-0010-0000-0000-00000C000000}" name="Start" dataDxfId="542" totalsRowDxfId="543"/>
    <tableColumn id="13" xr3:uid="{00000000-0010-0000-0000-00000D000000}" name="End" dataDxfId="540" totalsRowDxfId="541"/>
    <tableColumn id="14" xr3:uid="{00000000-0010-0000-0000-00000E000000}" name="PA ID" dataDxfId="538" totalsRowDxfId="539"/>
    <tableColumn id="15" xr3:uid="{00000000-0010-0000-0000-00000F000000}" name="Primary Category" dataDxfId="536" totalsRowDxfId="537" dataCellStyle="Comma">
      <calculatedColumnFormula>IFERROR(INDEX(BudgetTrack[Primary Category],MATCH(VendorList[[#This Row],[PA ID]],BudgetTrack[PA ID],0)),"")</calculatedColumnFormula>
    </tableColumn>
    <tableColumn id="16" xr3:uid="{00000000-0010-0000-0000-000010000000}" name="Secondary Category" dataDxfId="534" totalsRowDxfId="535" dataCellStyle="Comma">
      <calculatedColumnFormula>IFERROR(INDEX(BudgetTrack[Secondary Category],MATCH(VendorList[[#This Row],[PA ID]],BudgetTrack[PA ID],0)),"")</calculatedColumnFormula>
    </tableColumn>
    <tableColumn id="17" xr3:uid="{00000000-0010-0000-0000-000011000000}" name="Phase / Subproject" dataDxfId="532" totalsRowDxfId="533" dataCellStyle="Comma">
      <calculatedColumnFormula>IFERROR(INDEX(BudgetTrack[Phase / Subproject],MATCH(VendorList[[#This Row],[PA ID]],BudgetTrack[PA ID],0)),"")</calculatedColumnFormula>
    </tableColumn>
    <tableColumn id="18" xr3:uid="{00000000-0010-0000-0000-000012000000}" name="Phase / Subproject 2" dataDxfId="530" totalsRowDxfId="531" dataCellStyle="Comma">
      <calculatedColumnFormula>IFERROR(INDEX(BudgetTrack[Phase / Subproject 2],MATCH(VendorList[[#This Row],[PA ID]],BudgetTrack[PA ID],0)),"")</calculatedColumnFormula>
    </tableColumn>
    <tableColumn id="19" xr3:uid="{00000000-0010-0000-0000-000013000000}" name="Funding Source" dataDxfId="528" totalsRowDxfId="529" dataCellStyle="Comma">
      <calculatedColumnFormula>IFERROR(INDEX(BudgetTrack[Funding Source],MATCH(VendorList[[#This Row],[PA ID]],BudgetTrack[PA ID],0)),"")</calculatedColumnFormula>
    </tableColumn>
    <tableColumn id="20" xr3:uid="{00000000-0010-0000-0000-000014000000}" name="Open Vendors?" dataDxfId="526" totalsRowDxfId="527">
      <calculatedColumnFormula>IF((OR(E6="Open",E6="--")),D6,"")</calculatedColumnFormula>
    </tableColumn>
    <tableColumn id="21" xr3:uid="{00000000-0010-0000-0000-000015000000}" name="Open Vendors without Blanks" dataDxfId="524" totalsRowDxfId="525">
      <calculatedColumnFormula>IFERROR(INDEX($U$6:$U$109,_xlfn.AGGREGATE(15,6,(ROW($U$6:$U$109)-ROW($U$6)+1)/($U$6:$U$109&lt;&gt;""),ROWS(V$6:V6))),"")</calculatedColumnFormula>
    </tableColumn>
    <tableColumn id="22" xr3:uid="{00000000-0010-0000-0000-000016000000}" name="EAC" totalsRowFunction="sum" dataDxfId="522" totalsRowDxfId="523" dataCellStyle="Comma">
      <calculatedColumnFormula>IF(OR(VendorList[[#This Row],[Vendor / Org. with Contract ID]]="",VendorList[[#This Row],[Vendor / Org. with Contract ID]]="Future / Not Awarded"),"",IFERROR(INDEX(EAC[Estimate At Completion],MATCH(VendorList[[#This Row],[Vendor / Org. with Contract ID]],EAC[Vendor / Org. with Contract ID],0),1),"Does Not Exist"))</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KeyVendorChange" displayName="KeyVendorChange" ref="B5:F8" totalsRowShown="0" tableBorderDxfId="521">
  <autoFilter ref="B5:F8" xr:uid="{00000000-0009-0000-0100-000002000000}"/>
  <tableColumns count="5">
    <tableColumn id="1" xr3:uid="{00000000-0010-0000-0200-000001000000}" name="Vendor / Org." dataDxfId="520"/>
    <tableColumn id="2" xr3:uid="{00000000-0010-0000-0200-000002000000}" name="Contract ID" dataDxfId="519">
      <calculatedColumnFormula>IFERROR(INDEX(VendorList[Contract ID],MATCH(KeyVendorChange[[#This Row],[Vendor / Org.]],VendorList[Vendor / Org. with Contract ID],0)),"")</calculatedColumnFormula>
    </tableColumn>
    <tableColumn id="3" xr3:uid="{00000000-0010-0000-0200-000003000000}" name="Change Status" dataDxfId="518"/>
    <tableColumn id="4" xr3:uid="{00000000-0010-0000-0200-000004000000}" name="Number of Changes" dataDxfId="517" dataCellStyle="Comma">
      <calculatedColumnFormula>COUNTIFS(ChangeTrack[Vendor / Org.],KeyVendorChange[[#This Row],[Vendor / Org.]],ChangeTrack[Contract ID],KeyVendorChange[[#This Row],[Contract ID]],ChangeTrack[Change Status],KeyVendorChange[[#This Row],[Change Status]])</calculatedColumnFormula>
    </tableColumn>
    <tableColumn id="5" xr3:uid="{00000000-0010-0000-0200-000005000000}" name="Approved Change Value" dataDxfId="516" dataCellStyle="Comma">
      <calculatedColumnFormula>SUMIFS(ChangeTrack[Change Value],ChangeTrack[Vendor / Org.],KeyVendorChange[[#This Row],[Vendor / Org.]],ChangeTrack[Contract ID],KeyVendorChange[[#This Row],[Contract ID]],ChangeTrack[Change Status],KeyVendorChange[[#This Row],[Change Status]])</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hangeTrack" displayName="ChangeTrack" ref="B10:P159" totalsRowCount="1" headerRowDxfId="515" tableBorderDxfId="514">
  <autoFilter ref="B10:P158" xr:uid="{00000000-0009-0000-0100-000004000000}"/>
  <tableColumns count="15">
    <tableColumn id="1" xr3:uid="{00000000-0010-0000-0300-000001000000}" name="Vendor / Org." dataDxfId="512" totalsRowDxfId="513"/>
    <tableColumn id="2" xr3:uid="{00000000-0010-0000-0300-000002000000}" name="Contract ID" dataDxfId="510" totalsRowDxfId="511">
      <calculatedColumnFormula>IFERROR(INDEX(VendorList[Contract ID],MATCH(ChangeTrack[[#This Row],[Vendor / Org.]],VendorList[Vendor / Org. with Contract ID],0)),"")</calculatedColumnFormula>
    </tableColumn>
    <tableColumn id="3" xr3:uid="{00000000-0010-0000-0300-000003000000}" name="Change Status" totalsRowDxfId="509"/>
    <tableColumn id="4" xr3:uid="{00000000-0010-0000-0300-000004000000}" name="Approved Date" totalsRowLabel="Filtered Total" totalsRowDxfId="508"/>
    <tableColumn id="5" xr3:uid="{00000000-0010-0000-0300-000005000000}" name="Change Value" totalsRowFunction="sum" dataDxfId="506" totalsRowDxfId="507" dataCellStyle="Comma"/>
    <tableColumn id="6" xr3:uid="{00000000-0010-0000-0300-000006000000}" name="Reference #" dataDxfId="504" totalsRowDxfId="505"/>
    <tableColumn id="7" xr3:uid="{00000000-0010-0000-0300-000007000000}" name="Reason Code" totalsRowDxfId="503" dataCellStyle="Comma"/>
    <tableColumn id="8" xr3:uid="{00000000-0010-0000-0300-000008000000}" name="Description" totalsRowDxfId="502"/>
    <tableColumn id="9" xr3:uid="{00000000-0010-0000-0300-000009000000}" name="Notes" totalsRowDxfId="501" dataCellStyle="Comma"/>
    <tableColumn id="10" xr3:uid="{00000000-0010-0000-0300-00000A000000}" name="PA ID" dataDxfId="499" totalsRowDxfId="500">
      <calculatedColumnFormula>_xlfn.IFNA(INDEX(VendorList[PA ID],MATCH(ChangeTrack[[#This Row],[Contract ID]],VendorList[Contract ID],0)),"")</calculatedColumnFormula>
    </tableColumn>
    <tableColumn id="11" xr3:uid="{00000000-0010-0000-0300-00000B000000}" name="Blank1" dataDxfId="497" totalsRowDxfId="498"/>
    <tableColumn id="12" xr3:uid="{00000000-0010-0000-0300-00000C000000}" name="ID" dataDxfId="495" totalsRowDxfId="496" dataCellStyle="Comma"/>
    <tableColumn id="13" xr3:uid="{00000000-0010-0000-0300-00000D000000}" name="Status" totalsRowLabel="Filtered Total" dataDxfId="493" totalsRowDxfId="494" dataCellStyle="Comma"/>
    <tableColumn id="14" xr3:uid="{00000000-0010-0000-0300-00000E000000}" name="Amount" totalsRowFunction="sum" dataDxfId="491" totalsRowDxfId="492" dataCellStyle="Comma"/>
    <tableColumn id="15" xr3:uid="{00000000-0010-0000-0300-00000F000000}" name="Approval Date" dataDxfId="489" totalsRowDxfId="490" dataCellStyle="Comma"/>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CostTrack" displayName="CostTrack" ref="B12:AE833" totalsRowCount="1" headerRowDxfId="486" tableBorderDxfId="485">
  <autoFilter ref="B12:AE832" xr:uid="{00000000-0009-0000-0100-000005000000}"/>
  <sortState xmlns:xlrd2="http://schemas.microsoft.com/office/spreadsheetml/2017/richdata2" ref="B148:AB209">
    <sortCondition descending="1" ref="B148"/>
  </sortState>
  <tableColumns count="30">
    <tableColumn id="1" xr3:uid="{00000000-0010-0000-0400-000001000000}" name="Vendor - Contract" dataDxfId="483" totalsRowDxfId="484"/>
    <tableColumn id="2" xr3:uid="{00000000-0010-0000-0400-000002000000}" name="Invoice Number" dataDxfId="481" totalsRowDxfId="482"/>
    <tableColumn id="3" xr3:uid="{00000000-0010-0000-0400-000003000000}" name="Invoice Date" totalsRowLabel="Filtered Total" dataDxfId="479" totalsRowDxfId="480"/>
    <tableColumn id="4" xr3:uid="{00000000-0010-0000-0400-000004000000}" name="Value" totalsRowFunction="sum" dataDxfId="477" totalsRowDxfId="478" dataCellStyle="Comma"/>
    <tableColumn id="5" xr3:uid="{00000000-0010-0000-0400-000005000000}" name="Holdback (Y/N/R)" dataDxfId="475" totalsRowDxfId="476" dataCellStyle="Comma"/>
    <tableColumn id="6" xr3:uid="{00000000-0010-0000-0400-000006000000}" name="Holdback Value" totalsRowFunction="sum" dataDxfId="473" totalsRowDxfId="474" dataCellStyle="Comma">
      <calculatedColumnFormula>ROUND(IF(CostTrack[[#This Row],[Holdback (Y/N/R)]]="Yes",CostTrack[[#This Row],[Value]]*-0.1,IF(CostTrack[[#This Row],[Holdback (Y/N/R)]]="Release",CostTrack[[#This Row],[Value]],0)),2)</calculatedColumnFormula>
    </tableColumn>
    <tableColumn id="7" xr3:uid="{00000000-0010-0000-0400-000007000000}" name="Payable" totalsRowFunction="sum" dataDxfId="471" totalsRowDxfId="472" dataCellStyle="Comma">
      <calculatedColumnFormula>IF(CostTrack[[#This Row],[Holdback (Y/N/R)]]="Release",CostTrack[[#This Row],[Value]],CostTrack[[#This Row],[Value]]+CostTrack[[#This Row],[Holdback Value]])</calculatedColumnFormula>
    </tableColumn>
    <tableColumn id="8" xr3:uid="{00000000-0010-0000-0400-000008000000}" name="PC #" dataDxfId="469" totalsRowDxfId="470"/>
    <tableColumn id="9" xr3:uid="{00000000-0010-0000-0400-000009000000}" name="Auth. Ref." dataDxfId="467" totalsRowDxfId="468"/>
    <tableColumn id="10" xr3:uid="{00000000-0010-0000-0400-00000A000000}" name="Billing Period " dataDxfId="465" totalsRowDxfId="466"/>
    <tableColumn id="11" xr3:uid="{00000000-0010-0000-0400-00000B000000}" name="Received Date" dataDxfId="463" totalsRowDxfId="464"/>
    <tableColumn id="28" xr3:uid="{00000000-0010-0000-0400-00001C000000}" name="Received Date - Compliant" dataDxfId="461" totalsRowDxfId="462"/>
    <tableColumn id="29" xr3:uid="{00000000-0010-0000-0400-00001D000000}" name="Error Code" dataDxfId="459" totalsRowDxfId="460"/>
    <tableColumn id="12" xr3:uid="{00000000-0010-0000-0400-00000C000000}" name="Status" dataDxfId="457" totalsRowDxfId="458"/>
    <tableColumn id="13" xr3:uid="{00000000-0010-0000-0400-00000D000000}" name="PM Approved Date" dataDxfId="455" totalsRowDxfId="456"/>
    <tableColumn id="14" xr3:uid="{00000000-0010-0000-0400-00000E000000}" name="PA ID" dataDxfId="453" totalsRowDxfId="454">
      <calculatedColumnFormula>IF(CostTrack[[#This Row],[Vendor - Contract]]="","",INDEX(VendorList[PA ID],MATCH(CostTrack[[#This Row],[Vendor - Contract]],VendorList[Vendor / Org. with Contract ID],0)))</calculatedColumnFormula>
    </tableColumn>
    <tableColumn id="15" xr3:uid="{00000000-0010-0000-0400-00000F000000}" name="Primary Category" dataDxfId="451" totalsRowDxfId="452">
      <calculatedColumnFormula>IF(CostTrack[[#This Row],[Vendor - Contract]]="","",INDEX(VendorList[Primary Category],MATCH(CostTrack[[#This Row],[Vendor - Contract]],VendorList[Vendor / Org. with Contract ID],0)))</calculatedColumnFormula>
    </tableColumn>
    <tableColumn id="16" xr3:uid="{00000000-0010-0000-0400-000010000000}" name="Secondary Category" dataDxfId="449" totalsRowDxfId="450">
      <calculatedColumnFormula>IF(CostTrack[[#This Row],[Vendor - Contract]]="","",INDEX(VendorList[Secondary Category],MATCH(CostTrack[[#This Row],[Vendor - Contract]],VendorList[Vendor / Org. with Contract ID],0)))</calculatedColumnFormula>
    </tableColumn>
    <tableColumn id="17" xr3:uid="{00000000-0010-0000-0400-000011000000}" name="Phase / Subproject" dataDxfId="447" totalsRowDxfId="448">
      <calculatedColumnFormula>IF(CostTrack[[#This Row],[Vendor - Contract]]="","",INDEX(VendorList[Phase / Subproject],MATCH(CostTrack[[#This Row],[Vendor - Contract]],VendorList[Vendor / Org. with Contract ID],0)))</calculatedColumnFormula>
    </tableColumn>
    <tableColumn id="18" xr3:uid="{00000000-0010-0000-0400-000012000000}" name="Phase / Subproject 2" dataDxfId="445" totalsRowDxfId="446">
      <calculatedColumnFormula>IF(CostTrack[[#This Row],[Vendor - Contract]]="","",INDEX(VendorList[Phase / Subproject 2],MATCH(CostTrack[[#This Row],[Vendor - Contract]],VendorList[Vendor / Org. with Contract ID],0)))</calculatedColumnFormula>
    </tableColumn>
    <tableColumn id="19" xr3:uid="{00000000-0010-0000-0400-000013000000}" name="Funding Source" dataDxfId="443" totalsRowDxfId="444">
      <calculatedColumnFormula>IF(CostTrack[[#This Row],[Vendor - Contract]]="","",INDEX(VendorList[Funding Source],MATCH(CostTrack[[#This Row],[Vendor - Contract]],VendorList[Vendor / Org. with Contract ID],0)))</calculatedColumnFormula>
    </tableColumn>
    <tableColumn id="20" xr3:uid="{00000000-0010-0000-0400-000014000000}" name="Release Date (CMS)" dataDxfId="441" totalsRowDxfId="442"/>
    <tableColumn id="21" xr3:uid="{00000000-0010-0000-0400-000015000000}" name="Flag" dataDxfId="439" totalsRowDxfId="440">
      <calculatedColumnFormula>IF(CostTrack[[#This Row],[Release Date (CMS)]]="","*","")</calculatedColumnFormula>
    </tableColumn>
    <tableColumn id="22" xr3:uid="{00000000-0010-0000-0400-000016000000}" name="Fiscal Period" dataDxfId="437" totalsRowDxfId="438"/>
    <tableColumn id="23" xr3:uid="{00000000-0010-0000-0400-000017000000}" name="Notes" dataDxfId="435" totalsRowDxfId="436" dataCellStyle="Comma"/>
    <tableColumn id="24" xr3:uid="{00000000-0010-0000-0400-000018000000}" name="InMarch" dataDxfId="433" totalsRowDxfId="434">
      <calculatedColumnFormula>IF(OR(CostTrack[[#This Row],[Release Date (CMS)]]&gt;=DATE(VALUE(REPLACE(CostTrack[[#This Row],[Fiscal Period]],3,3,"")),3,1),CostTrack[[#This Row],[Release Date (CMS)]]&lt;DATE(VALUE(LEFT(CostTrack[[#This Row],[Fiscal Period]],4)),4,1)),1,0)</calculatedColumnFormula>
    </tableColumn>
    <tableColumn id="25" xr3:uid="{00000000-0010-0000-0400-000019000000}" name="Reconciled Amount" totalsRowFunction="sum" dataDxfId="431" totalsRowDxfId="432" dataCellStyle="Comma"/>
    <tableColumn id="26" xr3:uid="{00000000-0010-0000-0400-00001A000000}" name="Reconciled Date" dataDxfId="429" totalsRowDxfId="430"/>
    <tableColumn id="27" xr3:uid="{00000000-0010-0000-0400-00001B000000}" name="Amount Changed?" dataDxfId="427" totalsRowDxfId="428">
      <calculatedColumnFormula>IF(CostTrack[[#This Row],[Reconciled Amount]]="","",IF(CostTrack[[#This Row],[Value]]&lt;&gt;CostTrack[[#This Row],[Reconciled Amount]],"Yes","No"))</calculatedColumnFormula>
    </tableColumn>
    <tableColumn id="30" xr3:uid="{00000000-0010-0000-0400-00001E000000}" name="Column1" dataDxfId="425" totalsRowDxfId="426" dataCellStyle="Comma"/>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KeyVendorCost" displayName="KeyVendorCost" ref="B5:G9" totalsRowShown="0" headerRowDxfId="424" dataDxfId="423" headerRowBorderDxfId="421" tableBorderDxfId="422" totalsRowBorderDxfId="420" dataCellStyle="Comma">
  <autoFilter ref="B5:G9" xr:uid="{00000000-0009-0000-0100-000006000000}"/>
  <tableColumns count="6">
    <tableColumn id="1" xr3:uid="{00000000-0010-0000-0500-000001000000}" name="Vendor / Org." dataDxfId="419"/>
    <tableColumn id="2" xr3:uid="{00000000-0010-0000-0500-000002000000}" name="Current Commitment" dataDxfId="418" dataCellStyle="Comma">
      <calculatedColumnFormula>SUMIF(VendorList[Vendor / Org. with Contract ID],KeyVendorCost[[#This Row],[Vendor / Org.]],VendorList[Current Commitment])</calculatedColumnFormula>
    </tableColumn>
    <tableColumn id="3" xr3:uid="{00000000-0010-0000-0500-000003000000}" name="Billed to Date" dataDxfId="417" dataCellStyle="Comma">
      <calculatedColumnFormula>SUMIFS(CostTrack[Value],CostTrack[Vendor - Contract],KeyVendorCost[[#This Row],[Vendor / Org.]],CostTrack[Holdback (Y/N/R)],"&lt;&gt;Release")</calculatedColumnFormula>
    </tableColumn>
    <tableColumn id="4" xr3:uid="{00000000-0010-0000-0500-000004000000}" name="% Spent" dataDxfId="416" dataCellStyle="Percent">
      <calculatedColumnFormula>IFERROR(KeyVendorCost[[#This Row],[Billed to Date]]/KeyVendorCost[[#This Row],[Current Commitment]],"")</calculatedColumnFormula>
    </tableColumn>
    <tableColumn id="5" xr3:uid="{00000000-0010-0000-0500-000005000000}" name="Holdback" dataDxfId="415" dataCellStyle="Comma">
      <calculatedColumnFormula>SUMIF(CostTrack[Vendor - Contract],KeyVendorCost[[#This Row],[Vendor / Org.]],CostTrack[Holdback Value])*-1</calculatedColumnFormula>
    </tableColumn>
    <tableColumn id="6" xr3:uid="{00000000-0010-0000-0500-000006000000}" name="Latest Cost Date" dataDxfId="414">
      <calculatedColumnFormula array="1">MAX(IF(CostTrack[Vendor - Contract]=KeyVendorCost[[#This Row],[Vendor / Org.]],CostTrack[Invoice Date]))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CMSRec" displayName="CMSRec" ref="I5:L6" totalsRowShown="0" headerRowDxfId="413" headerRowBorderDxfId="411" tableBorderDxfId="412" totalsRowBorderDxfId="410">
  <tableColumns count="4">
    <tableColumn id="1" xr3:uid="{00000000-0010-0000-0600-000001000000}" name="Cashflow Total" dataDxfId="409" dataCellStyle="Comma">
      <calculatedColumnFormula>SUMIFS(CostTrack[Value],CostTrack[Flag],"",CostTrack[Holdback (Y/N/R)],"&lt;&gt;Release")</calculatedColumnFormula>
    </tableColumn>
    <tableColumn id="2" xr3:uid="{00000000-0010-0000-0600-000002000000}" name="CMS Value" dataDxfId="408" dataCellStyle="Comma">
      <calculatedColumnFormula>SUM(J7:J8)</calculatedColumnFormula>
    </tableColumn>
    <tableColumn id="3" xr3:uid="{00000000-0010-0000-0600-000003000000}" name="CMS As of Date" dataDxfId="407">
      <calculatedColumnFormula>SUM(K8)</calculatedColumnFormula>
    </tableColumn>
    <tableColumn id="4" xr3:uid="{00000000-0010-0000-0600-000004000000}" name="Variance" dataDxfId="406" dataCellStyle="Comma">
      <calculatedColumnFormula>CMSRec[Cashflow Total]-CMS_Value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Cashflows" displayName="Cashflows" ref="A1:J169" totalsRowShown="0">
  <autoFilter ref="A1:J169" xr:uid="{00000000-0009-0000-0100-000003000000}"/>
  <tableColumns count="10">
    <tableColumn id="1" xr3:uid="{00000000-0010-0000-0700-000001000000}" name="Fiscal Year" dataDxfId="405">
      <calculatedColumnFormula>IF(OFFSET(Cashflows[#This Row],-1,0)=Cashflows[[#Headers],[Fiscal Year]],'Target Tracking'!$E$17,IF(Cashflows[[#This Row],[Month Num]]&lt;&gt;4,OFFSET(Cashflows[#This Row],-1,0),CONCATENATE(LEFT(OFFSET(Cashflows[#This Row],-1,0),4)+1,"-",RIGHT(OFFSET(Cashflows[#This Row],-1,0),2)+1)))</calculatedColumnFormula>
    </tableColumn>
    <tableColumn id="2" xr3:uid="{00000000-0010-0000-0700-000002000000}" name="Month Num">
      <calculatedColumnFormula>IF(OFFSET(Cashflows[#This Row],-1,0)=Cashflows[[#Headers],[Month Num]],4,MONTH(EDATE(DATE(2000,OFFSET(Cashflows[#This Row],-1,0),1),1)))</calculatedColumnFormula>
    </tableColumn>
    <tableColumn id="3" xr3:uid="{00000000-0010-0000-0700-000003000000}" name="Month" dataDxfId="404">
      <calculatedColumnFormula>IF(IFERROR(INDEX('Target Tracking'!$19:$19,,MATCH(Cashflows[[#This Row],[Fiscal Year]],'Target Tracking'!$17:$17,0)),0)&gt;0,TEXT(DATE(IF(Cashflows[[#This Row],[Month Num]]&gt;=4,LEFT(Cashflows[[#This Row],[Fiscal Year]],4),"20" &amp; RIGHT(Cashflows[[#This Row],[Fiscal Year]],2)),Cashflows[[#This Row],[Month Num]],1),"mmm yyyy"),"")</calculatedColumnFormula>
    </tableColumn>
    <tableColumn id="4" xr3:uid="{00000000-0010-0000-0700-000004000000}" name="Offset">
      <calculatedColumnFormula>IF(Cashflows[[#This Row],[Month Num]]=4,-12,OFFSET(Cashflows[#This Row],-1,0)+1)</calculatedColumnFormula>
    </tableColumn>
    <tableColumn id="5" xr3:uid="{00000000-0010-0000-0700-000005000000}" name="Cashflow" dataDxfId="403">
      <calculatedColumnFormula>IF(Cashflows[[#This Row],[Month]]="","",IFERROR(OFFSET(INDEX(OFFSET(Cashflow!$U$7,0,0,,CELL("col",CWS_Total) - CELL("col",Cashflow!$U$7)),MATCH(Cashflows[[#This Row],[MonthDate]],OFFSET(Cashflow!$U$7,0,0,,CELL("col",CWS_Total) - CELL("col",Cashflow!$U$7)),0)),MATCH("Total",Cashflow!$B:$B,0)-7,0),0))</calculatedColumnFormula>
    </tableColumn>
    <tableColumn id="6" xr3:uid="{00000000-0010-0000-0700-000006000000}" name="Cumulative" dataDxfId="402">
      <calculatedColumnFormula>IFERROR(Cashflows[[#This Row],[Cashflow]]+IF(OFFSET(Cashflows[#This Row],-1,0)=Cashflows[[#Headers],[Cumulative]],0,IF(OFFSET(Cashflows[#This Row],-1,0)="",0,OFFSET(Cashflows[#This Row],-1,0))),"")</calculatedColumnFormula>
    </tableColumn>
    <tableColumn id="9" xr3:uid="{00000000-0010-0000-0700-000009000000}" name="Baseline" dataDxfId="401">
      <calculatedColumnFormula>IF(Cashflows[[#This Row],[MonthDate]]&lt;&gt;"",INDEX(Cashflow!$U$142:$FQ$142,MATCH(Cashflows[[#This Row],[MonthDate]],Cashflow!$U$7:$FQ$7,0)),"")</calculatedColumnFormula>
    </tableColumn>
    <tableColumn id="8" xr3:uid="{00000000-0010-0000-0700-000008000000}" name="Baseline Cumulative" dataDxfId="400">
      <calculatedColumnFormula>IF(Cashflows[[#This Row],[MonthDate]]&lt;&gt;"",INDEX(Cashflow!$U$143:$FQ$143,MATCH(Cashflows[[#This Row],[MonthDate]],Cashflow!$U$7:$FQ$7,0)),"")</calculatedColumnFormula>
    </tableColumn>
    <tableColumn id="7" xr3:uid="{00000000-0010-0000-0700-000007000000}" name="MonthDate" dataDxfId="399">
      <calculatedColumnFormula>IFERROR(DATEVALUE(Cashflows[[#This Row],[Month]]),"")</calculatedColumnFormula>
    </tableColumn>
    <tableColumn id="10" xr3:uid="{00000000-0010-0000-0700-00000A000000}" name="TodayLine" dataDxfId="398">
      <calculatedColumnFormula>IF(EOMONTH(TODAY(),-1)+1=Cashflows[[#This Row],[MonthDate]],MAX(Cashflows[Cumulative]),"")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BudgetDetails" displayName="BudgetDetails" ref="A4:S65" totalsRowCount="1" headerRowDxfId="396" dataDxfId="395" tableBorderDxfId="394" dataCellStyle="Comma">
  <autoFilter ref="A4:S64" xr:uid="{00000000-0009-0000-0100-00000B000000}"/>
  <tableColumns count="19">
    <tableColumn id="1" xr3:uid="{00000000-0010-0000-0800-000001000000}" name="Row" dataDxfId="392" totalsRowDxfId="393">
      <calculatedColumnFormula>A4+1</calculatedColumnFormula>
    </tableColumn>
    <tableColumn id="2" xr3:uid="{00000000-0010-0000-0800-000002000000}" name="PA ID" dataDxfId="390" totalsRowDxfId="391" dataCellStyle="Comma">
      <calculatedColumnFormula>INDEX(BudgetTrack[PA ID],MATCH(BudgetDetails[[#This Row],[Row]],BudgetTrack[Row],0))</calculatedColumnFormula>
    </tableColumn>
    <tableColumn id="3" xr3:uid="{00000000-0010-0000-0800-000003000000}" name="Primary Category" dataDxfId="388" totalsRowDxfId="389" dataCellStyle="Comma">
      <calculatedColumnFormula>INDEX(BudgetTrack[Primary Category],MATCH(BudgetDetails[[#This Row],[PA ID]],BudgetTrack[PA ID],0))</calculatedColumnFormula>
    </tableColumn>
    <tableColumn id="4" xr3:uid="{00000000-0010-0000-0800-000004000000}" name="Secondary Category" totalsRowLabel="Filtered Total" dataDxfId="386" totalsRowDxfId="387" dataCellStyle="Comma">
      <calculatedColumnFormula>INDEX(BudgetTrack[Secondary Category],MATCH(BudgetDetails[[#This Row],[PA ID]],BudgetTrack[PA ID],0))</calculatedColumnFormula>
    </tableColumn>
    <tableColumn id="5" xr3:uid="{00000000-0010-0000-0800-000005000000}" name="Phase / Subproject" dataDxfId="384" totalsRowDxfId="385" dataCellStyle="Comma">
      <calculatedColumnFormula>INDEX(BudgetTrack[Phase / Subproject],MATCH(BudgetDetails[[#This Row],[PA ID]],BudgetTrack[PA ID],0))</calculatedColumnFormula>
    </tableColumn>
    <tableColumn id="6" xr3:uid="{00000000-0010-0000-0800-000006000000}" name="Phase / Subproject 2" dataDxfId="382" totalsRowDxfId="383" dataCellStyle="Comma">
      <calculatedColumnFormula>INDEX(BudgetTrack[Phase / Subproject 2],MATCH(BudgetDetails[[#This Row],[PA ID]],BudgetTrack[PA ID],0))</calculatedColumnFormula>
    </tableColumn>
    <tableColumn id="7" xr3:uid="{00000000-0010-0000-0800-000007000000}" name="Funding Source" dataDxfId="380" totalsRowDxfId="381" dataCellStyle="Comma">
      <calculatedColumnFormula>INDEX(BudgetTrack[Funding Source],MATCH(BudgetDetails[[#This Row],[PA ID]],BudgetTrack[PA ID],0))</calculatedColumnFormula>
    </tableColumn>
    <tableColumn id="8" xr3:uid="{00000000-0010-0000-0800-000008000000}" name="Base Budget" totalsRowFunction="sum" dataDxfId="378" totalsRowDxfId="379" dataCellStyle="Comma">
      <calculatedColumnFormula>IFERROR(INDEX(BudgetTrack[Baseline Budget],MATCH(BudgetDetails[[#This Row],[PA ID]],BudgetTrack[PA ID],0)),0)</calculatedColumnFormula>
    </tableColumn>
    <tableColumn id="9" xr3:uid="{00000000-0010-0000-0800-000009000000}" name="Budget Updates" totalsRowFunction="sum" dataDxfId="376" totalsRowDxfId="377" dataCellStyle="Comma">
      <calculatedColumnFormula>BudgetDetails[[#This Row],[Current Budget]]-BudgetDetails[[#This Row],[Base Budget]]</calculatedColumnFormula>
    </tableColumn>
    <tableColumn id="10" xr3:uid="{00000000-0010-0000-0800-00000A000000}" name="Current Budget" totalsRowFunction="sum" dataDxfId="374" totalsRowDxfId="375" dataCellStyle="Comma">
      <calculatedColumnFormula>IFERROR(INDEX(BudgetTrack[Current Budget],MATCH(BudgetDetails[[#This Row],[PA ID]],BudgetTrack[PA ID],0)),0)</calculatedColumnFormula>
    </tableColumn>
    <tableColumn id="11" xr3:uid="{00000000-0010-0000-0800-00000B000000}" name="Blank1" dataDxfId="372" totalsRowDxfId="373"/>
    <tableColumn id="12" xr3:uid="{00000000-0010-0000-0800-00000C000000}" name="Estimate at Completion" totalsRowFunction="sum" dataDxfId="370" totalsRowDxfId="371" dataCellStyle="Comma">
      <calculatedColumnFormula>SUMIF(EAC[PA ID],BudgetDetails[[#This Row],[PA ID]],EAC[Estimate At Completion])</calculatedColumnFormula>
    </tableColumn>
    <tableColumn id="13" xr3:uid="{00000000-0010-0000-0800-00000D000000}" name="Budget Variance" totalsRowFunction="sum" dataDxfId="368" totalsRowDxfId="369" dataCellStyle="Comma">
      <calculatedColumnFormula>BudgetDetails[[#This Row],[Current Budget]]-BudgetDetails[[#This Row],[Estimate at Completion]]</calculatedColumnFormula>
    </tableColumn>
    <tableColumn id="14" xr3:uid="{00000000-0010-0000-0800-00000E000000}" name="Blank2" dataDxfId="366" totalsRowDxfId="367"/>
    <tableColumn id="15" xr3:uid="{00000000-0010-0000-0800-00000F000000}" name="Commitments to Date" totalsRowFunction="sum" dataDxfId="364" totalsRowDxfId="365" dataCellStyle="Comma">
      <calculatedColumnFormula>SUMIF(EAC[PA ID],BudgetDetails[[#This Row],[PA ID]],EAC[Current Commitment])</calculatedColumnFormula>
    </tableColumn>
    <tableColumn id="16" xr3:uid="{00000000-0010-0000-0800-000010000000}" name="Available Funds" totalsRowFunction="sum" dataDxfId="362" totalsRowDxfId="363" dataCellStyle="Comma">
      <calculatedColumnFormula>BudgetDetails[[#This Row],[Current Budget]]-BudgetDetails[[#This Row],[Commitments to Date]]</calculatedColumnFormula>
    </tableColumn>
    <tableColumn id="17" xr3:uid="{00000000-0010-0000-0800-000011000000}" name="Blank3" dataDxfId="360" totalsRowDxfId="361"/>
    <tableColumn id="18" xr3:uid="{00000000-0010-0000-0800-000012000000}" name="Expenditures to Date" totalsRowFunction="sum" dataDxfId="358" totalsRowDxfId="359" dataCellStyle="Comma">
      <calculatedColumnFormula>SUMIFS(CostTrack[Value],CostTrack[PA ID],BudgetDetails[[#This Row],[PA ID]],CostTrack[Flag],"",CostTrack[Holdback (Y/N/R)],"&lt;&gt;Release",CostTrack[Status],"Approved")</calculatedColumnFormula>
    </tableColumn>
    <tableColumn id="19" xr3:uid="{00000000-0010-0000-0800-000013000000}" name="Unspent" totalsRowFunction="sum" dataDxfId="356" totalsRowDxfId="357" dataCellStyle="Comma">
      <calculatedColumnFormula>BudgetDetails[[#This Row],[Current Budget]]-BudgetDetails[[#This Row],[Expenditures to Date]]</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SummPrimCat" displayName="SummPrimCat" ref="B5:R12" totalsRowCount="1" headerRowDxfId="342" tableBorderDxfId="341">
  <tableColumns count="17">
    <tableColumn id="1" xr3:uid="{00000000-0010-0000-0900-000001000000}" name="PA ID" dataDxfId="339" totalsRowDxfId="340">
      <calculatedColumnFormula>Validations!B11</calculatedColumnFormula>
    </tableColumn>
    <tableColumn id="2" xr3:uid="{00000000-0010-0000-0900-000002000000}" name="Primary Category" totalsRowLabel="Total" dataDxfId="337" totalsRowDxfId="338">
      <calculatedColumnFormula>Validations!C11</calculatedColumnFormula>
    </tableColumn>
    <tableColumn id="3" xr3:uid="{00000000-0010-0000-0900-000003000000}" name="Base Budget" totalsRowFunction="sum" dataDxfId="335" totalsRowDxfId="336" dataCellStyle="Comma">
      <calculatedColumnFormula>SUMIF(BudgetDetails[Primary Category],SummPrimCat[[#This Row],[Primary Category]],BudgetDetails[Base Budget])</calculatedColumnFormula>
    </tableColumn>
    <tableColumn id="4" xr3:uid="{00000000-0010-0000-0900-000004000000}" name="Budget Amendments" totalsRowFunction="sum" dataDxfId="333" totalsRowDxfId="334" dataCellStyle="Comma">
      <calculatedColumnFormula>SummPrimCat[[#This Row],[Current Budget]]-SummPrimCat[[#This Row],[Base Budget]]</calculatedColumnFormula>
    </tableColumn>
    <tableColumn id="5" xr3:uid="{00000000-0010-0000-0900-000005000000}" name="Current Budget" totalsRowFunction="sum" dataDxfId="331" totalsRowDxfId="332" dataCellStyle="Comma">
      <calculatedColumnFormula>SUMIF(BudgetDetails[Primary Category],SummPrimCat[[#This Row],[Primary Category]],BudgetDetails[Current Budget])</calculatedColumnFormula>
    </tableColumn>
    <tableColumn id="6" xr3:uid="{00000000-0010-0000-0900-000006000000}" name="% Split" totalsRowFunction="sum" dataDxfId="329" totalsRowDxfId="330" dataCellStyle="Percent">
      <calculatedColumnFormula>SummPrimCat[[#This Row],[Current Budget]]/SummPrimCat[[#Totals],[Current Budget]]</calculatedColumnFormula>
    </tableColumn>
    <tableColumn id="7" xr3:uid="{00000000-0010-0000-0900-000007000000}" name="Blank1" dataDxfId="327" totalsRowDxfId="328"/>
    <tableColumn id="8" xr3:uid="{00000000-0010-0000-0900-000008000000}" name="Estimate at Completion" totalsRowFunction="sum" dataDxfId="325" totalsRowDxfId="326" dataCellStyle="Comma">
      <calculatedColumnFormula>SUMIF(BudgetDetails[Primary Category],SummPrimCat[[#This Row],[Primary Category]],BudgetDetails[Estimate at Completion])</calculatedColumnFormula>
    </tableColumn>
    <tableColumn id="9" xr3:uid="{00000000-0010-0000-0900-000009000000}" name="Budget Variance" totalsRowFunction="sum" dataDxfId="323" totalsRowDxfId="324" dataCellStyle="Comma">
      <calculatedColumnFormula>SummPrimCat[[#This Row],[Current Budget]]-SummPrimCat[[#This Row],[Estimate at Completion]]</calculatedColumnFormula>
    </tableColumn>
    <tableColumn id="10" xr3:uid="{00000000-0010-0000-0900-00000A000000}" name="Blank2" dataDxfId="321" totalsRowDxfId="322"/>
    <tableColumn id="11" xr3:uid="{00000000-0010-0000-0900-00000B000000}" name="Commitment to Date" totalsRowFunction="sum" dataDxfId="319" totalsRowDxfId="320" dataCellStyle="Comma">
      <calculatedColumnFormula>SUMIF(BudgetDetails[Primary Category],SummPrimCat[[#This Row],[Primary Category]],BudgetDetails[Commitments to Date])</calculatedColumnFormula>
    </tableColumn>
    <tableColumn id="12" xr3:uid="{00000000-0010-0000-0900-00000C000000}" name="% of EAC" totalsRowFunction="custom" dataDxfId="317" totalsRowDxfId="318" dataCellStyle="Percent">
      <calculatedColumnFormula>IFERROR(SummPrimCat[[#This Row],[Commitment to Date]]/SummPrimCat[[#This Row],[Estimate at Completion]],"-")</calculatedColumnFormula>
      <totalsRowFormula>IFERROR(SummPrimCat[[#Totals],[Commitment to Date]]/SummPrimCat[[#Totals],[Estimate at Completion]],"-")</totalsRowFormula>
    </tableColumn>
    <tableColumn id="13" xr3:uid="{00000000-0010-0000-0900-00000D000000}" name="Available Funds" totalsRowFunction="sum" dataDxfId="315" totalsRowDxfId="316" dataCellStyle="Comma">
      <calculatedColumnFormula>SummPrimCat[[#This Row],[Current Budget]]-SummPrimCat[[#This Row],[Commitment to Date]]</calculatedColumnFormula>
    </tableColumn>
    <tableColumn id="14" xr3:uid="{00000000-0010-0000-0900-00000E000000}" name="Blank3" dataDxfId="313" totalsRowDxfId="314"/>
    <tableColumn id="15" xr3:uid="{00000000-0010-0000-0900-00000F000000}" name="Expenditures to Date" totalsRowFunction="sum" dataDxfId="311" totalsRowDxfId="312" dataCellStyle="Comma">
      <calculatedColumnFormula>SUMIFS(CostTrack[Value],CostTrack[Primary Category],SummPrimCat[[#This Row],[Primary Category]],CostTrack[Holdback (Y/N/R)],"&lt;&gt;Release",CostTrack[Status],"Approved")</calculatedColumnFormula>
    </tableColumn>
    <tableColumn id="16" xr3:uid="{00000000-0010-0000-0900-000010000000}" name="% of EAC 2" totalsRowFunction="custom" dataDxfId="309" totalsRowDxfId="310" dataCellStyle="Percent">
      <calculatedColumnFormula>IFERROR(SummPrimCat[[#This Row],[Expenditures to Date]]/SummPrimCat[[#This Row],[Estimate at Completion]],"-")</calculatedColumnFormula>
      <totalsRowFormula>IFERROR(SummPrimCat[[#Totals],[Expenditures to Date]]/SummPrimCat[[#Totals],[Estimate at Completion]],"-")</totalsRowFormula>
    </tableColumn>
    <tableColumn id="17" xr3:uid="{00000000-0010-0000-0900-000011000000}" name="Unspent" totalsRowFunction="sum" dataDxfId="307" totalsRowDxfId="308" dataCellStyle="Comma">
      <calculatedColumnFormula>SummPrimCat[[#This Row],[Current Budget]]-SummPrimCat[[#This Row],[Expenditures to Date]]</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SummPhase" displayName="SummPhase" ref="B18:R24" totalsRowCount="1" headerRowDxfId="306" tableBorderDxfId="305">
  <tableColumns count="17">
    <tableColumn id="1" xr3:uid="{00000000-0010-0000-0A00-000001000000}" name="Phase / Subproject" dataDxfId="303" totalsRowDxfId="304"/>
    <tableColumn id="2" xr3:uid="{00000000-0010-0000-0A00-000002000000}" name="Phase / Subproject 2" totalsRowLabel="Total" dataDxfId="301" totalsRowDxfId="302"/>
    <tableColumn id="3" xr3:uid="{00000000-0010-0000-0A00-000003000000}" name="Base Budget" totalsRowFunction="sum" dataDxfId="299" totalsRowDxfId="300" dataCellStyle="Comma">
      <calculatedColumnFormula>SUMIFS(BudgetDetails[Base Budget],BudgetDetails[Phase / Subproject],SummPhase[[#This Row],[Phase / Subproject]],BudgetDetails[Secondary Category],SummPhase[[#This Row],[Phase / Subproject 2]])</calculatedColumnFormula>
    </tableColumn>
    <tableColumn id="4" xr3:uid="{00000000-0010-0000-0A00-000004000000}" name="Budget Amendments" totalsRowFunction="sum" dataDxfId="297" totalsRowDxfId="298" dataCellStyle="Comma">
      <calculatedColumnFormula>SummPhase[[#This Row],[Current Budget]]-SummPhase[[#This Row],[Base Budget]]</calculatedColumnFormula>
    </tableColumn>
    <tableColumn id="5" xr3:uid="{00000000-0010-0000-0A00-000005000000}" name="Current Budget" totalsRowFunction="sum" dataDxfId="295" totalsRowDxfId="296" dataCellStyle="Comma">
      <calculatedColumnFormula>SUMIFS('Budget Details (Rpt)'!$J$4:$J$64,'Budget Details (Rpt)'!$E$4:$E$64,'Summary (Rpt)'!B19,'Budget Details (Rpt)'!$F$4:$F$64,'Summary (Rpt)'!C19)</calculatedColumnFormula>
    </tableColumn>
    <tableColumn id="6" xr3:uid="{00000000-0010-0000-0A00-000006000000}" name="% Split" totalsRowFunction="sum" dataDxfId="293" totalsRowDxfId="294" dataCellStyle="Percent">
      <calculatedColumnFormula>SummPhase[[#This Row],[Current Budget]]/SummPhase[[#Totals],[Current Budget]]</calculatedColumnFormula>
    </tableColumn>
    <tableColumn id="7" xr3:uid="{00000000-0010-0000-0A00-000007000000}" name="Blank1" dataDxfId="291" totalsRowDxfId="292"/>
    <tableColumn id="8" xr3:uid="{00000000-0010-0000-0A00-000008000000}" name="Estimate at Completion" totalsRowFunction="sum" dataDxfId="289" totalsRowDxfId="290" dataCellStyle="Comma">
      <calculatedColumnFormula>SUMIFS(BudgetDetails[Estimate at Completion],BudgetDetails[Phase / Subproject],SummPhase[[#This Row],[Phase / Subproject]],BudgetDetails[Secondary Category],SummPhase[[#This Row],[Phase / Subproject 2]])</calculatedColumnFormula>
    </tableColumn>
    <tableColumn id="9" xr3:uid="{00000000-0010-0000-0A00-000009000000}" name="Budget Variance" totalsRowFunction="sum" dataDxfId="287" totalsRowDxfId="288" dataCellStyle="Comma">
      <calculatedColumnFormula>SummPhase[[#This Row],[Current Budget]]-SummPhase[[#This Row],[Estimate at Completion]]</calculatedColumnFormula>
    </tableColumn>
    <tableColumn id="10" xr3:uid="{00000000-0010-0000-0A00-00000A000000}" name="Blank2" dataDxfId="285" totalsRowDxfId="286"/>
    <tableColumn id="11" xr3:uid="{00000000-0010-0000-0A00-00000B000000}" name="Commitment to Date" totalsRowFunction="sum" dataDxfId="283" totalsRowDxfId="284" dataCellStyle="Comma">
      <calculatedColumnFormula>SUMIFS(BudgetDetails[Commitments to Date],BudgetDetails[Phase / Subproject],SummPhase[[#This Row],[Phase / Subproject]],BudgetDetails[Secondary Category],SummPhase[[#This Row],[Phase / Subproject 2]])</calculatedColumnFormula>
    </tableColumn>
    <tableColumn id="12" xr3:uid="{00000000-0010-0000-0A00-00000C000000}" name="% of EAC" totalsRowFunction="custom" dataDxfId="281" totalsRowDxfId="282" dataCellStyle="Percent">
      <calculatedColumnFormula>IFERROR(SummPhase[[#This Row],[Commitment to Date]]/SummPhase[[#This Row],[Estimate at Completion]],"-")</calculatedColumnFormula>
      <totalsRowFormula>IFERROR(SummPhase[[#Totals],[Commitment to Date]]/SummPhase[[#Totals],[Estimate at Completion]],"-")</totalsRowFormula>
    </tableColumn>
    <tableColumn id="13" xr3:uid="{00000000-0010-0000-0A00-00000D000000}" name="Available Funds" totalsRowFunction="sum" dataDxfId="279" totalsRowDxfId="280" dataCellStyle="Comma">
      <calculatedColumnFormula>SummPhase[[#This Row],[Current Budget]]-SummPhase[[#This Row],[Commitment to Date]]</calculatedColumnFormula>
    </tableColumn>
    <tableColumn id="14" xr3:uid="{00000000-0010-0000-0A00-00000E000000}" name="Blank3" dataDxfId="277" totalsRowDxfId="278"/>
    <tableColumn id="15" xr3:uid="{00000000-0010-0000-0A00-00000F000000}" name="Expenditures to Date" totalsRowFunction="sum" dataDxfId="275" totalsRowDxfId="276" dataCellStyle="Comma">
      <calculatedColumnFormula>SUMIFS(CostTrack[Value],CostTrack[Holdback (Y/N/R)],"&lt;&gt;Release",CostTrack[Status],"Approved",CostTrack[Phase / Subproject],SummPhase[[#This Row],[Phase / Subproject]],CostTrack[Phase / Subproject 2],SummPhase[[#This Row],[Phase / Subproject 2]])</calculatedColumnFormula>
    </tableColumn>
    <tableColumn id="16" xr3:uid="{00000000-0010-0000-0A00-000010000000}" name="% of EAC 2" totalsRowFunction="custom" dataDxfId="273" totalsRowDxfId="274" dataCellStyle="Percent">
      <calculatedColumnFormula>IFERROR(SummPhase[[#This Row],[Expenditures to Date]]/SummPhase[[#This Row],[Estimate at Completion]],"-")</calculatedColumnFormula>
      <totalsRowFormula>IFERROR(SummPhase[[#Totals],[Expenditures to Date]]/SummPhase[[#Totals],[Estimate at Completion]],"-")</totalsRowFormula>
    </tableColumn>
    <tableColumn id="17" xr3:uid="{00000000-0010-0000-0A00-000011000000}" name="Unspent" totalsRowFunction="sum" dataDxfId="271" totalsRowDxfId="272" dataCellStyle="Comma">
      <calculatedColumnFormula>SummPhase[[#This Row],[Current Budget]]-SummPhase[[#This Row],[Expenditures to Date]]</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SummFundSrc" displayName="SummFundSrc" ref="B27:R33" totalsRowCount="1" headerRowDxfId="270" tableBorderDxfId="269">
  <autoFilter ref="B27:R32" xr:uid="{00000000-0009-0000-0100-00000E000000}"/>
  <tableColumns count="17">
    <tableColumn id="1" xr3:uid="{00000000-0010-0000-0B00-000001000000}" name="Funding Source" dataDxfId="267" totalsRowDxfId="268"/>
    <tableColumn id="2" xr3:uid="{00000000-0010-0000-0B00-000002000000}" name="Description" totalsRowLabel="Total" dataDxfId="265" totalsRowDxfId="266">
      <calculatedColumnFormula>_xlfn.IFNA(INDEX(Validations!$K$11:$K$15,MATCH(SummFundSrc[[#This Row],[Funding Source]],Validations!$J$11:$J$15,0)),"-")</calculatedColumnFormula>
    </tableColumn>
    <tableColumn id="3" xr3:uid="{00000000-0010-0000-0B00-000003000000}" name="Base Budget" totalsRowFunction="sum" dataDxfId="263" totalsRowDxfId="264" dataCellStyle="Comma">
      <calculatedColumnFormula>SUMIF(BudgetDetails[Funding Source],SummFundSrc[[#This Row],[Funding Source]],BudgetDetails[Base Budget])</calculatedColumnFormula>
    </tableColumn>
    <tableColumn id="4" xr3:uid="{00000000-0010-0000-0B00-000004000000}" name="Budget Amendments" totalsRowFunction="sum" dataDxfId="261" totalsRowDxfId="262" dataCellStyle="Comma">
      <calculatedColumnFormula>SummFundSrc[[#This Row],[Current Budget]]-SummFundSrc[[#This Row],[Base Budget]]</calculatedColumnFormula>
    </tableColumn>
    <tableColumn id="5" xr3:uid="{00000000-0010-0000-0B00-000005000000}" name="Current Budget" totalsRowFunction="sum" dataDxfId="259" totalsRowDxfId="260" dataCellStyle="Comma">
      <calculatedColumnFormula>SUMIF('Budget Details (Rpt)'!$G$4:$G$64,'Summary (Rpt)'!$B28,'Budget Details (Rpt)'!$J$4:$J$64)</calculatedColumnFormula>
    </tableColumn>
    <tableColumn id="6" xr3:uid="{00000000-0010-0000-0B00-000006000000}" name="% Split" totalsRowFunction="sum" dataDxfId="257" totalsRowDxfId="258" dataCellStyle="Percent">
      <calculatedColumnFormula>SummFundSrc[[#This Row],[Current Budget]]/SummFundSrc[[#Totals],[Current Budget]]</calculatedColumnFormula>
    </tableColumn>
    <tableColumn id="7" xr3:uid="{00000000-0010-0000-0B00-000007000000}" name="Blank1" dataDxfId="255" totalsRowDxfId="256"/>
    <tableColumn id="8" xr3:uid="{00000000-0010-0000-0B00-000008000000}" name="Estimate at Completion" totalsRowFunction="sum" dataDxfId="253" totalsRowDxfId="254" dataCellStyle="Comma">
      <calculatedColumnFormula>SUMIF(BudgetDetails[Funding Source],SummFundSrc[[#This Row],[Funding Source]],BudgetDetails[Estimate at Completion])</calculatedColumnFormula>
    </tableColumn>
    <tableColumn id="9" xr3:uid="{00000000-0010-0000-0B00-000009000000}" name="Budget Variance" totalsRowFunction="sum" dataDxfId="251" totalsRowDxfId="252" dataCellStyle="Comma">
      <calculatedColumnFormula>SummFundSrc[[#This Row],[Current Budget]]-SummFundSrc[[#This Row],[Estimate at Completion]]</calculatedColumnFormula>
    </tableColumn>
    <tableColumn id="10" xr3:uid="{00000000-0010-0000-0B00-00000A000000}" name="Blank2" dataDxfId="249" totalsRowDxfId="250"/>
    <tableColumn id="11" xr3:uid="{00000000-0010-0000-0B00-00000B000000}" name="Commitment to Date" totalsRowFunction="sum" dataDxfId="247" totalsRowDxfId="248" dataCellStyle="Comma">
      <calculatedColumnFormula>SUMIF(BudgetDetails[Funding Source],SummFundSrc[[#This Row],[Funding Source]],BudgetDetails[Commitments to Date])</calculatedColumnFormula>
    </tableColumn>
    <tableColumn id="12" xr3:uid="{00000000-0010-0000-0B00-00000C000000}" name="% of EAC" totalsRowFunction="custom" dataDxfId="245" totalsRowDxfId="246" dataCellStyle="Percent">
      <calculatedColumnFormula>IFERROR(SummFundSrc[[#This Row],[Commitment to Date]]/SummFundSrc[[#This Row],[Estimate at Completion]],"-")</calculatedColumnFormula>
      <totalsRowFormula>IFERROR(SummFundSrc[[#Totals],[Commitment to Date]]/SummFundSrc[[#Totals],[Estimate at Completion]],"-")</totalsRowFormula>
    </tableColumn>
    <tableColumn id="13" xr3:uid="{00000000-0010-0000-0B00-00000D000000}" name="Available Funds" totalsRowFunction="sum" dataDxfId="243" totalsRowDxfId="244" dataCellStyle="Comma">
      <calculatedColumnFormula>SummFundSrc[[#This Row],[Current Budget]]-SummFundSrc[[#This Row],[Commitment to Date]]</calculatedColumnFormula>
    </tableColumn>
    <tableColumn id="14" xr3:uid="{00000000-0010-0000-0B00-00000E000000}" name="Blank3" dataDxfId="241" totalsRowDxfId="242"/>
    <tableColumn id="15" xr3:uid="{00000000-0010-0000-0B00-00000F000000}" name="Expenditures to Date" totalsRowFunction="sum" dataDxfId="239" totalsRowDxfId="240" dataCellStyle="Comma">
      <calculatedColumnFormula>SUMIFS(CostTrack[Value],CostTrack[Holdback (Y/N/R)],"&lt;&gt;Release",CostTrack[Status],"Approved",CostTrack[Funding Source],SummFundSrc[[#This Row],[Funding Source]])</calculatedColumnFormula>
    </tableColumn>
    <tableColumn id="16" xr3:uid="{00000000-0010-0000-0B00-000010000000}" name="% of EAC 2" totalsRowFunction="custom" dataDxfId="237" totalsRowDxfId="238" dataCellStyle="Percent">
      <calculatedColumnFormula>IFERROR(SummFundSrc[[#This Row],[Expenditures to Date]]/SummFundSrc[[#This Row],[Estimate at Completion]],"-")</calculatedColumnFormula>
      <totalsRowFormula>IFERROR(SummFundSrc[[#Totals],[Expenditures to Date]]/SummFundSrc[[#Totals],[Estimate at Completion]],"-")</totalsRowFormula>
    </tableColumn>
    <tableColumn id="17" xr3:uid="{00000000-0010-0000-0B00-000011000000}" name="Unspent" totalsRowFunction="sum" dataDxfId="235" totalsRowDxfId="236" dataCellStyle="Comma">
      <calculatedColumnFormula>SummFundSrc[[#This Row],[Current Budget]]-SummFundSrc[[#This Row],[Expenditures to Date]]</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EAC" displayName="EAC" ref="A5:Q138" totalsRowCount="1" headerRowDxfId="234" tableBorderDxfId="233">
  <autoFilter ref="A5:Q137" xr:uid="{00000000-0009-0000-0100-00000A000000}">
    <filterColumn colId="8">
      <filters blank="1">
        <filter val="--"/>
        <filter val="#N/A"/>
        <filter val="Open"/>
      </filters>
    </filterColumn>
    <filterColumn colId="13">
      <filters>
        <filter val="1,129,223.00"/>
        <filter val="1,500,000.00"/>
        <filter val="149,875.00"/>
        <filter val="2,700,000.00"/>
        <filter val="30,000.00"/>
      </filters>
    </filterColumn>
  </autoFilter>
  <tableColumns count="17">
    <tableColumn id="1" xr3:uid="{00000000-0010-0000-0C00-000001000000}" name="Row" dataDxfId="231" totalsRowDxfId="232"/>
    <tableColumn id="2" xr3:uid="{00000000-0010-0000-0C00-000002000000}" name="PA ID" dataDxfId="229" totalsRowDxfId="230"/>
    <tableColumn id="3" xr3:uid="{00000000-0010-0000-0C00-000003000000}" name="Primary Category" dataDxfId="227" totalsRowDxfId="228">
      <calculatedColumnFormula>IF(EAC[[#This Row],[PA ID]]="","",INDEX(BudgetTrack[Primary Category],MATCH(EAC[[#This Row],[PA ID]],BudgetTrack[PA ID],0),0))</calculatedColumnFormula>
    </tableColumn>
    <tableColumn id="4" xr3:uid="{00000000-0010-0000-0C00-000004000000}" name="Secondary Category" dataDxfId="225" totalsRowDxfId="226">
      <calculatedColumnFormula>IF(EAC[[#This Row],[PA ID]]="","",INDEX(BudgetTrack[Secondary Category],MATCH(EAC[[#This Row],[PA ID]],BudgetTrack[PA ID],0),0))</calculatedColumnFormula>
    </tableColumn>
    <tableColumn id="5" xr3:uid="{00000000-0010-0000-0C00-000005000000}" name="Phase / Subproject" dataDxfId="223" totalsRowDxfId="224">
      <calculatedColumnFormula>IF(EAC[[#This Row],[PA ID]]="","",INDEX(BudgetTrack[Phase / Subproject],MATCH(EAC[[#This Row],[PA ID]],BudgetTrack[PA ID],0),0))</calculatedColumnFormula>
    </tableColumn>
    <tableColumn id="6" xr3:uid="{00000000-0010-0000-0C00-000006000000}" name="Phase / Subproject 2" dataDxfId="221" totalsRowDxfId="222">
      <calculatedColumnFormula>IF(EAC[[#This Row],[PA ID]]="","",INDEX(BudgetTrack[Phase / Subproject 2],MATCH(EAC[[#This Row],[PA ID]],BudgetTrack[PA ID],0),0))</calculatedColumnFormula>
    </tableColumn>
    <tableColumn id="7" xr3:uid="{00000000-0010-0000-0C00-000007000000}" name="Funding Source" dataDxfId="219" totalsRowDxfId="220">
      <calculatedColumnFormula>IF(EAC[[#This Row],[PA ID]]="","",INDEX(BudgetTrack[Funding Source],MATCH(EAC[[#This Row],[PA ID]],BudgetTrack[PA ID],0),0))</calculatedColumnFormula>
    </tableColumn>
    <tableColumn id="8" xr3:uid="{00000000-0010-0000-0C00-000008000000}" name="Vendor / Org. with Contract ID" dataDxfId="217" totalsRowDxfId="218"/>
    <tableColumn id="9" xr3:uid="{00000000-0010-0000-0C00-000009000000}" name="Status" dataDxfId="215" totalsRowDxfId="216">
      <calculatedColumnFormula>IF(EAC[[#This Row],[Vendor / Org. with Contract ID]]="","",INDEX(VendorList[Status],MATCH(EAC[[#This Row],[Vendor / Org. with Contract ID]],VendorList[Vendor / Org. with Contract ID],0),0))</calculatedColumnFormula>
    </tableColumn>
    <tableColumn id="10" xr3:uid="{00000000-0010-0000-0C00-00000A000000}" name="Scope Description" totalsRowLabel="Filtered Total" dataDxfId="213" totalsRowDxfId="214"/>
    <tableColumn id="11" xr3:uid="{00000000-0010-0000-0C00-00000B000000}" name="Current Commitment" totalsRowFunction="sum" dataDxfId="211" totalsRowDxfId="212" dataCellStyle="Comma">
      <calculatedColumnFormula>IF(EAC[[#This Row],[Vendor / Org. with Contract ID]]="",0,SUMIFS(VendorList[Current Commitment],VendorList[Vendor / Org. with Contract ID],EAC[[#This Row],[Vendor / Org. with Contract ID]],VendorList[PA ID],EAC[[#This Row],[PA ID]]))</calculatedColumnFormula>
    </tableColumn>
    <tableColumn id="12" xr3:uid="{00000000-0010-0000-0C00-00000C000000}" name="Expenditures to Date" totalsRowFunction="sum" dataDxfId="209" totalsRowDxfId="210" dataCellStyle="Comma">
      <calculatedColumnFormula>IF(EAC[[#This Row],[Vendor / Org. with Contract ID]]="",0,SUMIFS(CostTrack[Value],CostTrack[Vendor - Contract],EAC[[#This Row],[Vendor / Org. with Contract ID]],CostTrack[PA ID],EAC[[#This Row],[PA ID]],CostTrack[Holdback (Y/N/R)],"&lt;&gt;Release",CostTrack[Status],"Approved"))</calculatedColumnFormula>
    </tableColumn>
    <tableColumn id="13" xr3:uid="{00000000-0010-0000-0C00-00000D000000}" name="Open Commit." totalsRowFunction="sum" dataDxfId="207" totalsRowDxfId="208" dataCellStyle="Comma">
      <calculatedColumnFormula>IF(EAC[[#This Row],[Current Commitment]]="",0,EAC[[#This Row],[Current Commitment]]-EAC[[#This Row],[Expenditures to Date]])</calculatedColumnFormula>
    </tableColumn>
    <tableColumn id="14" xr3:uid="{00000000-0010-0000-0C00-00000E000000}" name="Future Commit." totalsRowFunction="sum" dataDxfId="205" totalsRowDxfId="206" dataCellStyle="Comma"/>
    <tableColumn id="15" xr3:uid="{00000000-0010-0000-0C00-00000F000000}" name="Estimate At Completion" totalsRowFunction="sum" dataDxfId="203" totalsRowDxfId="204" dataCellStyle="Comma">
      <calculatedColumnFormula>EAC[[#This Row],[Open Commit.]]+EAC[[#This Row],[Future Commit.]]+EAC[[#This Row],[Expenditures to Date]]</calculatedColumnFormula>
    </tableColumn>
    <tableColumn id="16" xr3:uid="{00000000-0010-0000-0C00-000010000000}" name="Commitment Variance" totalsRowFunction="sum" dataDxfId="201" totalsRowDxfId="202" dataCellStyle="Comma">
      <calculatedColumnFormula>IF(EAC[[#This Row],[Current Commitment]]="","",EAC[[#This Row],[Current Commitment]]-EAC[[#This Row],[Estimate At Completion]])</calculatedColumnFormula>
    </tableColumn>
    <tableColumn id="17" xr3:uid="{00000000-0010-0000-0C00-000011000000}" name="Notes" dataDxfId="199" totalsRowDxfId="200" dataCellStyle="Comma"/>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PrimContID" displayName="PrimContID" ref="B6:C7" totalsRowShown="0" headerRowDxfId="127" tableBorderDxfId="126">
  <tableColumns count="2">
    <tableColumn id="1" xr3:uid="{00000000-0010-0000-0D00-000001000000}" name="Contract ID" dataDxfId="125"/>
    <tableColumn id="2" xr3:uid="{00000000-0010-0000-0D00-000002000000}" name="Vendor / Org." dataDxfId="124">
      <calculatedColumnFormula>IFERROR(INDEX(VendorList[Vendor / Org.],MATCH(PrimContID[[#This Row],[Contract ID]],VendorList[Contract ID],0)),"")</calculatedColumnFormula>
    </tableColumn>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PrimContVal" displayName="PrimContVal" ref="I6:N7" totalsRowShown="0" headerRowDxfId="123" headerRowBorderDxfId="121" tableBorderDxfId="122" totalsRowBorderDxfId="120">
  <tableColumns count="6">
    <tableColumn id="1" xr3:uid="{00000000-0010-0000-0E00-000001000000}" name="Original _x000a_Contract Value" dataDxfId="119" dataCellStyle="Comma">
      <calculatedColumnFormula>SUMIF(VendorList[Contract ID],'Prime Cont. Summary'!B7,VendorList[Original Contract Value])</calculatedColumnFormula>
    </tableColumn>
    <tableColumn id="2" xr3:uid="{00000000-0010-0000-0E00-000002000000}" name="Change_x000a_Orders" dataDxfId="118" dataCellStyle="Comma">
      <calculatedColumnFormula>SUMIF(VendorList[Contract ID],'Prime Cont. Summary'!B7,VendorList[Amendment(s)])</calculatedColumnFormula>
    </tableColumn>
    <tableColumn id="3" xr3:uid="{00000000-0010-0000-0E00-000003000000}" name="Current_x000a_Contract Value" dataDxfId="117" dataCellStyle="Comma">
      <calculatedColumnFormula>PrimContVal[Original 
Contract Value]+PrimContVal[Change
Orders]</calculatedColumnFormula>
    </tableColumn>
    <tableColumn id="4" xr3:uid="{00000000-0010-0000-0E00-000004000000}" name="Approved % Increase" dataDxfId="116" dataCellStyle="Percent">
      <calculatedColumnFormula>(PrimContVal[Change
Orders]/PrimContVal[Original 
Contract Value])</calculatedColumnFormula>
    </tableColumn>
    <tableColumn id="5" xr3:uid="{00000000-0010-0000-0E00-000005000000}" name="Forecasted % Increase" dataDxfId="115" dataCellStyle="Percent">
      <calculatedColumnFormula>IF(C3&lt;&gt;"Construction Management",$N$28/PrimContVal[Original 
Contract Value],$N$40/PrimContVal[Original 
Contract Value])</calculatedColumnFormula>
    </tableColumn>
    <tableColumn id="6" xr3:uid="{00000000-0010-0000-0E00-000006000000}" name="Forecasted Contract Value" dataDxfId="114" dataCellStyle="Comma">
      <calculatedColumnFormula>PrimContVal[Original 
Contract Value]+(PrimContVal[Original 
Contract Value]*PrimContVal[Forecasted % Increase])</calculatedColumnFormula>
    </tableColumn>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F000000}" name="PrimContDate" displayName="PrimContDate" ref="P6:R7" totalsRowShown="0" headerRowDxfId="113" headerRowBorderDxfId="111" tableBorderDxfId="112">
  <tableColumns count="3">
    <tableColumn id="1" xr3:uid="{00000000-0010-0000-0F00-000001000000}" name="Original _x000a_End Date" dataDxfId="110"/>
    <tableColumn id="2" xr3:uid="{00000000-0010-0000-0F00-000002000000}" name="Current_x000a_End Date" dataDxfId="109">
      <calculatedColumnFormula>INDEX(VendorList[End],MATCH($B$7,VendorList[Contract ID],0))</calculatedColumnFormula>
    </tableColumn>
    <tableColumn id="3" xr3:uid="{00000000-0010-0000-0F00-000003000000}" name="Extension_x000a_(months)" dataDxfId="108">
      <calculatedColumnFormula>MROUND((Q7-P7)/365*12,1)</calculatedColumnFormula>
    </tableColumn>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0000000}" name="SPTblFSrc" displayName="SPTblFSrc" ref="A2:AW7" totalsRowShown="0">
  <autoFilter ref="A2:AW7" xr:uid="{00000000-0009-0000-0100-000012000000}"/>
  <tableColumns count="49">
    <tableColumn id="1" xr3:uid="{00000000-0010-0000-1000-000001000000}" name="Funding Source" dataDxfId="48">
      <calculatedColumnFormula>SUBSTITUTE(Validations!J11,"--","")</calculatedColumnFormula>
    </tableColumn>
    <tableColumn id="20" xr3:uid="{00000000-0010-0000-1000-000014000000}" name="Funding Source Description" dataDxfId="47">
      <calculatedColumnFormula>T(Validations!K11)</calculatedColumnFormula>
    </tableColumn>
    <tableColumn id="2" xr3:uid="{00000000-0010-0000-1000-000002000000}" name="Capital Plan Line" dataDxfId="46">
      <calculatedColumnFormula>T(Validations!L11)</calculatedColumnFormula>
    </tableColumn>
    <tableColumn id="22" xr3:uid="{00000000-0010-0000-1000-000016000000}" name="Approved Value" dataDxfId="45">
      <calculatedColumnFormula>_xlfn.IFNA(INDEX(FSrcApprVal,MATCH(SPTblFSrc[[#This Row],[Funding Source]],FSrcID,0)),0)</calculatedColumnFormula>
    </tableColumn>
    <tableColumn id="21" xr3:uid="{00000000-0010-0000-1000-000015000000}" name="Current Year Budget Target" dataDxfId="44">
      <calculatedColumnFormula>_xlfn.IFNA(INDEX(FSrcStartTgt,MATCH(SPTblFSrc[[#This Row],[Funding Source]],FSrcID,0)),0)</calculatedColumnFormula>
    </tableColumn>
    <tableColumn id="24" xr3:uid="{00000000-0010-0000-1000-000018000000}" name="Current Year Current Approved Target" dataDxfId="43">
      <calculatedColumnFormula>_xlfn.IFNA(INDEX(FSrcCYApprTgt,MATCH(SPTblFSrc[[#This Row],[Funding Source]],FSrcID,0)),0)</calculatedColumnFormula>
    </tableColumn>
    <tableColumn id="23" xr3:uid="{00000000-0010-0000-1000-000017000000}" name="Current Year Proposed Target" dataDxfId="42">
      <calculatedColumnFormula>_xlfn.IFNA(INDEX(FSrcCYPropTgt,MATCH(SPTblFSrc[[#This Row],[Funding Source]],FSrcID,0)),0)</calculatedColumnFormula>
    </tableColumn>
    <tableColumn id="3" xr3:uid="{00000000-0010-0000-1000-000003000000}" name="Total Previous Year Spend" dataDxfId="41">
      <calculatedColumnFormula>_xlfn.IFNA(INDEX(CFlowFSrc,MATCH(SPTblFSrc[[#This Row],[Funding Source]],CFlowFSrcID,0)+1,MATCH(Cashflow!$O$150,INDEX(CFlowFSrc,1,),0)),0)</calculatedColumnFormula>
    </tableColumn>
    <tableColumn id="4" xr3:uid="{00000000-0010-0000-1000-000004000000}" name="Total Current Year Actuals" dataDxfId="40">
      <calculatedColumnFormula>_xlfn.IFNA(INDEX(CFlowFSrc,MATCH(SPTblFSrc[[#This Row],[Funding Source]],CFlowFSrcID,0)+1,MATCH(Cashflow!$P$150,INDEX(CFlowFSrc,1,),0)),0)</calculatedColumnFormula>
    </tableColumn>
    <tableColumn id="5" xr3:uid="{00000000-0010-0000-1000-000005000000}" name="Total Current Year Forecasts" dataDxfId="39">
      <calculatedColumnFormula>_xlfn.IFNA(INDEX(CFlowFSrc,MATCH(SPTblFSrc[[#This Row],[Funding Source]],CFlowFSrcID,0)+1,MATCH(Cashflow!$Q$150,INDEX(CFlowFSrc,1,),0)),0)</calculatedColumnFormula>
    </tableColumn>
    <tableColumn id="6" xr3:uid="{00000000-0010-0000-1000-000006000000}" name="Total Current Year Spend" dataDxfId="38">
      <calculatedColumnFormula>_xlfn.IFNA(INDEX(CFlowFSrc,MATCH(SPTblFSrc[[#This Row],[Funding Source]],CFlowFSrcID,0)+1,MATCH(Cashflow!$R$150,INDEX(CFlowFSrc,1,),0)),0)</calculatedColumnFormula>
    </tableColumn>
    <tableColumn id="7" xr3:uid="{00000000-0010-0000-1000-000007000000}" name="Total Future Year Spend" dataDxfId="37">
      <calculatedColumnFormula>_xlfn.IFNA(INDEX(CFlowFSrc,MATCH(SPTblFSrc[[#This Row],[Funding Source]],CFlowFSrcID,0)+1,MATCH(Cashflow!$S$150,INDEX(CFlowFSrc,1,),0)),0)</calculatedColumnFormula>
    </tableColumn>
    <tableColumn id="8" xr3:uid="{00000000-0010-0000-1000-000008000000}" name="April" dataDxfId="36">
      <calculatedColumnFormula>_xlfn.IFNA(INDEX(CFlowFSrc,MATCH(SPTblFSrc[[#This Row],[Funding Source]],CFlowFSrcID,0)+1,SUMPRODUCT(--(INDEX(CFlowFSrc,1,)=CurrentYear),COLUMN(INDEX(CFlowFSrc,1,))-COLUMN(INDEX(CFlowFSrc,,1))-11)),0)</calculatedColumnFormula>
    </tableColumn>
    <tableColumn id="9" xr3:uid="{00000000-0010-0000-1000-000009000000}" name="May" dataDxfId="35">
      <calculatedColumnFormula>_xlfn.IFNA(INDEX(CFlowFSrc,MATCH(SPTblFSrc[[#This Row],[Funding Source]],CFlowFSrcID,0)+1,SUMPRODUCT(--(INDEX(CFlowFSrc,1,)=CurrentYear),COLUMN(INDEX(CFlowFSrc,1,))-COLUMN(INDEX(CFlowFSrc,,1))-10)),0)</calculatedColumnFormula>
    </tableColumn>
    <tableColumn id="10" xr3:uid="{00000000-0010-0000-1000-00000A000000}" name="June" dataDxfId="34">
      <calculatedColumnFormula>_xlfn.IFNA(INDEX(CFlowFSrc,MATCH(SPTblFSrc[[#This Row],[Funding Source]],CFlowFSrcID,0)+1,SUMPRODUCT(--(INDEX(CFlowFSrc,1,)=CurrentYear),COLUMN(INDEX(CFlowFSrc,1,))-COLUMN(INDEX(CFlowFSrc,,1))-9)),0)</calculatedColumnFormula>
    </tableColumn>
    <tableColumn id="11" xr3:uid="{00000000-0010-0000-1000-00000B000000}" name="July" dataDxfId="33">
      <calculatedColumnFormula>_xlfn.IFNA(INDEX(CFlowFSrc,MATCH(SPTblFSrc[[#This Row],[Funding Source]],CFlowFSrcID,0)+1,SUMPRODUCT(--(INDEX(CFlowFSrc,1,)=CurrentYear),COLUMN(INDEX(CFlowFSrc,1,))-COLUMN(INDEX(CFlowFSrc,,1))-8)),0)</calculatedColumnFormula>
    </tableColumn>
    <tableColumn id="12" xr3:uid="{00000000-0010-0000-1000-00000C000000}" name="August" dataDxfId="32">
      <calculatedColumnFormula>_xlfn.IFNA(INDEX(CFlowFSrc,MATCH(SPTblFSrc[[#This Row],[Funding Source]],CFlowFSrcID,0)+1,SUMPRODUCT(--(INDEX(CFlowFSrc,1,)=CurrentYear),COLUMN(INDEX(CFlowFSrc,1,))-COLUMN(INDEX(CFlowFSrc,,1))-7)),0)</calculatedColumnFormula>
    </tableColumn>
    <tableColumn id="13" xr3:uid="{00000000-0010-0000-1000-00000D000000}" name="September" dataDxfId="31">
      <calculatedColumnFormula>_xlfn.IFNA(INDEX(CFlowFSrc,MATCH(SPTblFSrc[[#This Row],[Funding Source]],CFlowFSrcID,0)+1,SUMPRODUCT(--(INDEX(CFlowFSrc,1,)=CurrentYear),COLUMN(INDEX(CFlowFSrc,1,))-COLUMN(INDEX(CFlowFSrc,,1))-6)),0)</calculatedColumnFormula>
    </tableColumn>
    <tableColumn id="14" xr3:uid="{00000000-0010-0000-1000-00000E000000}" name="October" dataDxfId="30">
      <calculatedColumnFormula>_xlfn.IFNA(INDEX(CFlowFSrc,MATCH(SPTblFSrc[[#This Row],[Funding Source]],CFlowFSrcID,0)+1,SUMPRODUCT(--(INDEX(CFlowFSrc,1,)=CurrentYear),COLUMN(INDEX(CFlowFSrc,1,))-COLUMN(INDEX(CFlowFSrc,,1))-5)),0)</calculatedColumnFormula>
    </tableColumn>
    <tableColumn id="15" xr3:uid="{00000000-0010-0000-1000-00000F000000}" name="November" dataDxfId="29">
      <calculatedColumnFormula>_xlfn.IFNA(INDEX(CFlowFSrc,MATCH(SPTblFSrc[[#This Row],[Funding Source]],CFlowFSrcID,0)+1,SUMPRODUCT(--(INDEX(CFlowFSrc,1,)=CurrentYear),COLUMN(INDEX(CFlowFSrc,1,))-COLUMN(INDEX(CFlowFSrc,,1))-4)),0)</calculatedColumnFormula>
    </tableColumn>
    <tableColumn id="16" xr3:uid="{00000000-0010-0000-1000-000010000000}" name="December" dataDxfId="28">
      <calculatedColumnFormula>_xlfn.IFNA(INDEX(CFlowFSrc,MATCH(SPTblFSrc[[#This Row],[Funding Source]],CFlowFSrcID,0)+1,SUMPRODUCT(--(INDEX(CFlowFSrc,1,)=CurrentYear),COLUMN(INDEX(CFlowFSrc,1,))-COLUMN(INDEX(CFlowFSrc,,1))-3)),0)</calculatedColumnFormula>
    </tableColumn>
    <tableColumn id="17" xr3:uid="{00000000-0010-0000-1000-000011000000}" name="January" dataDxfId="27">
      <calculatedColumnFormula>_xlfn.IFNA(INDEX(CFlowFSrc,MATCH(SPTblFSrc[[#This Row],[Funding Source]],CFlowFSrcID,0)+1,SUMPRODUCT(--(INDEX(CFlowFSrc,1,)=CurrentYear),COLUMN(INDEX(CFlowFSrc,1,))-COLUMN(INDEX(CFlowFSrc,,1))-2)),0)</calculatedColumnFormula>
    </tableColumn>
    <tableColumn id="18" xr3:uid="{00000000-0010-0000-1000-000012000000}" name="February" dataDxfId="26">
      <calculatedColumnFormula>_xlfn.IFNA(INDEX(CFlowFSrc,MATCH(SPTblFSrc[[#This Row],[Funding Source]],CFlowFSrcID,0)+1,SUMPRODUCT(--(INDEX(CFlowFSrc,1,)=CurrentYear),COLUMN(INDEX(CFlowFSrc,1,))-COLUMN(INDEX(CFlowFSrc,,1))-1)),0)</calculatedColumnFormula>
    </tableColumn>
    <tableColumn id="19" xr3:uid="{00000000-0010-0000-1000-000013000000}" name="March" dataDxfId="25">
      <calculatedColumnFormula>_xlfn.IFNA(INDEX(CFlowFSrc,MATCH(SPTblFSrc[[#This Row],[Funding Source]],CFlowFSrcID,0)+1,SUMPRODUCT(--(INDEX(CFlowFSrc,1,)=CurrentYear),COLUMN(INDEX(CFlowFSrc,1,))-COLUMN(INDEX(CFlowFSrc,,1)))),0)</calculatedColumnFormula>
    </tableColumn>
    <tableColumn id="25" xr3:uid="{00000000-0010-0000-1000-000019000000}" name="Approved Fiscal Year" dataDxfId="24">
      <calculatedColumnFormula>Validations!O11</calculatedColumnFormula>
    </tableColumn>
    <tableColumn id="26" xr3:uid="{00000000-0010-0000-1000-00001A000000}" name="Historical Project ID" dataDxfId="23">
      <calculatedColumnFormula>Validations!P11</calculatedColumnFormula>
    </tableColumn>
    <tableColumn id="27" xr3:uid="{00000000-0010-0000-1000-00001B000000}" name="Current Year" dataDxfId="22">
      <calculatedColumnFormula>IF(CurrentYear=0,"",CurrentYear)</calculatedColumnFormula>
    </tableColumn>
    <tableColumn id="28" xr3:uid="{00000000-0010-0000-1000-00001C000000}" name="EAC" dataDxfId="21">
      <calculatedColumnFormula>SUMIF(EAC[Funding Source],SPTblFSrc[[#This Row],[Funding Source]],EAC[Estimate At Completion])</calculatedColumnFormula>
    </tableColumn>
    <tableColumn id="29" xr3:uid="{00000000-0010-0000-1000-00001D000000}" name="PY Targets" dataDxfId="20">
      <calculatedColumnFormula>IF(INDEX(CHOOSE(MATCH(SPTblFSrc[[#This Row],[Funding Source]],SPTblFSrc[Funding Source],0),FSrc1,FSrc2,FSrc3,FSrc4,FSrc5),1,4)=CurrentYear,0,SUM(INDEX(INDEX(CHOOSE(MATCH(SPTblFSrc[[#This Row],[Funding Source]],SPTblFSrc[Funding Source],0),FSrc1,FSrc2,FSrc3,FSrc4,FSrc5),,4):INDEX(CHOOSE(MATCH(SPTblFSrc[[#This Row],[Funding Source]],SPTblFSrc[Funding Source],0),FSrc1,FSrc2,FSrc3,FSrc4,FSrc5),,MATCH(CurrentYear,INDEX(CHOOSE(MATCH(SPTblFSrc[[#This Row],[Funding Source]],SPTblFSrc[Funding Source],0),FSrc1,FSrc2,FSrc3,FSrc4,FSrc5),1,),0)-1),MATCH(".F" &amp; MATCH(SPTblFSrc[[#This Row],[Funding Source]],SPTblFSrc[Funding Source],0),INDEX(CHOOSE(MATCH(SPTblFSrc[[#This Row],[Funding Source]],SPTblFSrc[Funding Source],0),FSrc1,FSrc2,FSrc3,FSrc4,FSrc5),,1),0),)))</calculatedColumnFormula>
    </tableColumn>
    <tableColumn id="30" xr3:uid="{00000000-0010-0000-1000-00001E000000}" name="FY Forecast 1" dataDxfId="19">
      <calculatedColumnFormula>_xlfn.IFNA(INDEX(CFlowFSrc,MATCH(SPTblFSrc[[#This Row],[Funding Source]],CFlowFSrcID,0)+1,MATCH(LEFT(CurrentYear,4)+1&amp;"-"&amp;RIGHT(CurrentYear,2)+1,INDEX(CFlowFSrc,1,),0)),0)</calculatedColumnFormula>
    </tableColumn>
    <tableColumn id="31" xr3:uid="{00000000-0010-0000-1000-00001F000000}" name="FY Forecast 2" dataDxfId="18">
      <calculatedColumnFormula>_xlfn.IFNA(INDEX(CFlowFSrc,MATCH(SPTblFSrc[[#This Row],[Funding Source]],CFlowFSrcID,0)+1,MATCH(LEFT(CurrentYear,4)+2&amp;"-"&amp;RIGHT(CurrentYear,2)+2,INDEX(CFlowFSrc,1,),0)),0)</calculatedColumnFormula>
    </tableColumn>
    <tableColumn id="32" xr3:uid="{00000000-0010-0000-1000-000020000000}" name="FY Forecast 3" dataDxfId="17">
      <calculatedColumnFormula>_xlfn.IFNA(INDEX(CFlowFSrc,MATCH(SPTblFSrc[[#This Row],[Funding Source]],CFlowFSrcID,0)+1,MATCH(LEFT(CurrentYear,4)+3&amp;"-"&amp;RIGHT(CurrentYear,2)+3,INDEX(CFlowFSrc,1,),0)),0)</calculatedColumnFormula>
    </tableColumn>
    <tableColumn id="33" xr3:uid="{00000000-0010-0000-1000-000021000000}" name="FY Forecast 4" dataDxfId="16">
      <calculatedColumnFormula>_xlfn.IFNA(INDEX(CFlowFSrc,MATCH(SPTblFSrc[[#This Row],[Funding Source]],CFlowFSrcID,0)+1,MATCH(LEFT(CurrentYear,4)+4&amp;"-"&amp;RIGHT(CurrentYear,2)+4,INDEX(CFlowFSrc,1,),0)),0)</calculatedColumnFormula>
    </tableColumn>
    <tableColumn id="34" xr3:uid="{00000000-0010-0000-1000-000022000000}" name="FY Forecast 5" dataDxfId="15">
      <calculatedColumnFormula>_xlfn.IFNA(INDEX(CFlowFSrc,MATCH(SPTblFSrc[[#This Row],[Funding Source]],CFlowFSrcID,0)+1,MATCH(LEFT(CurrentYear,4)+5&amp;"-"&amp;RIGHT(CurrentYear,2)+5,INDEX(CFlowFSrc,1,),0)),0)</calculatedColumnFormula>
    </tableColumn>
    <tableColumn id="35" xr3:uid="{00000000-0010-0000-1000-000023000000}" name="Staff Cap EAC" dataDxfId="14">
      <calculatedColumnFormula>SUMPRODUCT(--(INDEX(IFERROR(T(IF({1},CFlowMain)),0),,MATCH(Cashflow!$G$7,INDEX(CFlowMain,1,),0))=SPTblFSrc[[#This Row],[Funding Source]])*--(INDEX(IFERROR(T(IF({1},CFlowMain)),0),,MATCH(Cashflow!$D$7,INDEX(CFlowMain,1,),0))="Staff Capitalization - INFRA")*N(IF({1},INDEX(CFlowMain,,MATCH(Cashflow!$I$7,INDEX(CFlowMain,1,),0)))))</calculatedColumnFormula>
    </tableColumn>
    <tableColumn id="36" xr3:uid="{00000000-0010-0000-1000-000024000000}" name="Staff Cap PY Spend" dataDxfId="13">
      <calculatedColumnFormula>SUMPRODUCT(--(INDEX(IFERROR(T(IF({1},CFlowMain)),0),,MATCH(Cashflow!$G$7,INDEX(CFlowMain,1,),0))=SPTblFSrc[[#This Row],[Funding Source]])*--(INDEX(IFERROR(T(IF({1},CFlowMain)),0),,MATCH(Cashflow!$D$7,INDEX(CFlowMain,1,),0))="Staff Capitalization - INFRA")*N(IF({1},INDEX(CFlowMain,,MATCH(Cashflow!$O$7,INDEX(CFlowMain,1,),0)))))</calculatedColumnFormula>
    </tableColumn>
    <tableColumn id="37" xr3:uid="{00000000-0010-0000-1000-000025000000}" name="Staff Cap CY Actuals" dataDxfId="12">
      <calculatedColumnFormula>SUMPRODUCT(--(INDEX(IFERROR(T(IF({1},CFlowMain)),0),,MATCH(Cashflow!$G$7,INDEX(CFlowMain,1,),0))=SPTblFSrc[[#This Row],[Funding Source]])*--(INDEX(IFERROR(T(IF({1},CFlowMain)),0),,MATCH(Cashflow!$D$7,INDEX(CFlowMain,1,),0))="Staff Capitalization - INFRA")*N(IF({1},INDEX(CFlowMain,,MATCH(Cashflow!$P$7,INDEX(CFlowMain,1,),0)))))</calculatedColumnFormula>
    </tableColumn>
    <tableColumn id="38" xr3:uid="{00000000-0010-0000-1000-000026000000}" name="Staff Cap CY Forecast" dataDxfId="11">
      <calculatedColumnFormula>SUMPRODUCT(--(INDEX(IFERROR(T(IF({1},CFlowMain)),0),,MATCH(Cashflow!$G$7,INDEX(CFlowMain,1,),0))=SPTblFSrc[[#This Row],[Funding Source]])*--(INDEX(IFERROR(T(IF({1},CFlowMain)),0),,MATCH(Cashflow!$D$7,INDEX(CFlowMain,1,),0))="Staff Capitalization - INFRA")*N(IF({1},INDEX(CFlowMain,,MATCH(Cashflow!$Q$7,INDEX(CFlowMain,1,),0)))))</calculatedColumnFormula>
    </tableColumn>
    <tableColumn id="39" xr3:uid="{00000000-0010-0000-1000-000027000000}" name="Staff Cap FY Spend" dataDxfId="10">
      <calculatedColumnFormula>SUMPRODUCT(--(INDEX(IFERROR(T(IF({1},CFlowMain)),0),,MATCH(Cashflow!$G$7,INDEX(CFlowMain,1,),0))=SPTblFSrc[[#This Row],[Funding Source]])*--(INDEX(IFERROR(T(IF({1},CFlowMain)),0),,MATCH(Cashflow!$D$7,INDEX(CFlowMain,1,),0))="Staff Capitalization - INFRA")*N(IF({1},INDEX(CFlowMain,,MATCH(Cashflow!$S$7,INDEX(CFlowMain,1,),0)))))</calculatedColumnFormula>
    </tableColumn>
    <tableColumn id="40" xr3:uid="{00000000-0010-0000-1000-000028000000}" name="Mgmt Rsrv EAC" dataDxfId="9">
      <calculatedColumnFormula>SUMPRODUCT(--(INDEX(IFERROR(T(IF({1},CFlowMain)),0),,MATCH(Cashflow!$G$7,INDEX(CFlowMain,1,),0))=SPTblFSrc[[#This Row],[Funding Source]])*--(INDEX(IFERROR(T(IF({1},CFlowMain)),0),,MATCH(Cashflow!$C$7,INDEX(CFlowMain,1,),0))="Management Reserve")*N(IF({1},INDEX(CFlowMain,,MATCH(Cashflow!$I$7,INDEX(CFlowMain,1,),0)))))</calculatedColumnFormula>
    </tableColumn>
    <tableColumn id="41" xr3:uid="{00000000-0010-0000-1000-000029000000}" name="Mgmt Rsrv PY Spend" dataDxfId="8">
      <calculatedColumnFormula>SUMPRODUCT(--(INDEX(IFERROR(T(IF({1},CFlowMain)),0),,MATCH(Cashflow!$G$7,INDEX(CFlowMain,1,),0))=SPTblFSrc[[#This Row],[Funding Source]])*--(INDEX(IFERROR(T(IF({1},CFlowMain)),0),,MATCH(Cashflow!$C$7,INDEX(CFlowMain,1,),0))="Management Reserve")*N(IF({1},INDEX(CFlowMain,,MATCH(Cashflow!$O$7,INDEX(CFlowMain,1,),0)))))</calculatedColumnFormula>
    </tableColumn>
    <tableColumn id="42" xr3:uid="{00000000-0010-0000-1000-00002A000000}" name="Mgmt Rsrv CY Spend" dataDxfId="7">
      <calculatedColumnFormula>SUMPRODUCT(--(INDEX(IFERROR(T(IF({1},CFlowMain)),0),,MATCH(Cashflow!$G$7,INDEX(CFlowMain,1,),0))=SPTblFSrc[[#This Row],[Funding Source]])*--(INDEX(IFERROR(T(IF({1},CFlowMain)),0),,MATCH(Cashflow!$C$7,INDEX(CFlowMain,1,),0))="Management Reserve")*N(IF({1},INDEX(CFlowMain,,MATCH(Cashflow!$R$7,INDEX(CFlowMain,1,),0)))))</calculatedColumnFormula>
    </tableColumn>
    <tableColumn id="43" xr3:uid="{00000000-0010-0000-1000-00002B000000}" name="Mgmt Rsrv FY Spend" dataDxfId="6">
      <calculatedColumnFormula>SUMPRODUCT(--(INDEX(IFERROR(T(IF({1},CFlowMain)),0),,MATCH(Cashflow!$G$7,INDEX(CFlowMain,1,),0))=SPTblFSrc[[#This Row],[Funding Source]])*--(INDEX(IFERROR(T(IF({1},CFlowMain)),0),,MATCH(Cashflow!$C$7,INDEX(CFlowMain,1,),0))="Management Reserve")*N(IF({1},INDEX(CFlowMain,,MATCH(Cashflow!$S$7,INDEX(CFlowMain,1,),0)))))</calculatedColumnFormula>
    </tableColumn>
    <tableColumn id="44" xr3:uid="{00000000-0010-0000-1000-00002C000000}" name="Current Committed Amt" dataDxfId="5">
      <calculatedColumnFormula>SUMIF(VendorList[Funding Source],SPTblFSrc[[#This Row],[Funding Source]],VendorList[Current Commitment])</calculatedColumnFormula>
    </tableColumn>
    <tableColumn id="45" xr3:uid="{00000000-0010-0000-1000-00002D000000}" name="FE_IT EAC" dataDxfId="4">
      <calculatedColumnFormula>SUMPRODUCT(--(INDEX(IFERROR(T(IF({1},CFlowMain)),0),,MATCH(Cashflow!$G$7,INDEX(CFlowMain,1,),0))=SPTblFSrc[[#This Row],[Funding Source]])*--(INDEX(IFERROR(T(IF({1},CFlowMain)),0),,MATCH(Cashflow!$C$7,INDEX(CFlowMain,1,),0))="FE_IT")*N(IF({1},INDEX(CFlowMain,,MATCH(Cashflow!$I$7,INDEX(CFlowMain,1,),0)))))</calculatedColumnFormula>
    </tableColumn>
    <tableColumn id="46" xr3:uid="{00000000-0010-0000-1000-00002E000000}" name="FE_IT PY Spend" dataDxfId="3">
      <calculatedColumnFormula>SUMPRODUCT(--(INDEX(IFERROR(T(IF({1},CFlowMain)),0),,MATCH(Cashflow!$G$7,INDEX(CFlowMain,1,),0))=SPTblFSrc[[#This Row],[Funding Source]])*--(INDEX(IFERROR(T(IF({1},CFlowMain)),0),,MATCH(Cashflow!$C$7,INDEX(CFlowMain,1,),0))="FE_IT")*N(IF({1},INDEX(CFlowMain,,MATCH(Cashflow!$O$7,INDEX(CFlowMain,1,),0)))))</calculatedColumnFormula>
    </tableColumn>
    <tableColumn id="47" xr3:uid="{00000000-0010-0000-1000-00002F000000}" name="FE_IT CY Actuals" dataDxfId="2">
      <calculatedColumnFormula>SUMPRODUCT(--(INDEX(IFERROR(T(IF({1},CFlowMain)),0),,MATCH(Cashflow!$G$7,INDEX(CFlowMain,1,),0))=SPTblFSrc[[#This Row],[Funding Source]])*--(INDEX(IFERROR(T(IF({1},CFlowMain)),0),,MATCH(Cashflow!$C$7,INDEX(CFlowMain,1,),0))="FE_IT")*N(IF({1},INDEX(CFlowMain,,MATCH(Cashflow!$P$7,INDEX(CFlowMain,1,),0)))))</calculatedColumnFormula>
    </tableColumn>
    <tableColumn id="48" xr3:uid="{00000000-0010-0000-1000-000030000000}" name="FE_IT CY Forecast" dataDxfId="1">
      <calculatedColumnFormula>SUMPRODUCT(--(INDEX(IFERROR(T(IF({1},CFlowMain)),0),,MATCH(Cashflow!$G$7,INDEX(CFlowMain,1,),0))=SPTblFSrc[[#This Row],[Funding Source]])*--(INDEX(IFERROR(T(IF({1},CFlowMain)),0),,MATCH(Cashflow!$C$7,INDEX(CFlowMain,1,),0))="FE_IT")*N(IF({1},INDEX(CFlowMain,,MATCH(Cashflow!$Q$7,INDEX(CFlowMain,1,),0)))))</calculatedColumnFormula>
    </tableColumn>
    <tableColumn id="49" xr3:uid="{00000000-0010-0000-1000-000031000000}" name="FE_IT FY Spend" dataDxfId="0">
      <calculatedColumnFormula>SUMPRODUCT(--(INDEX(IFERROR(T(IF({1},CFlowMain)),0),,MATCH(Cashflow!$G$7,INDEX(CFlowMain,1,),0))=SPTblFSrc[[#This Row],[Funding Source]])*--(INDEX(IFERROR(T(IF({1},CFlowMain)),0),,MATCH(Cashflow!$C$7,INDEX(CFlowMain,1,),0))="FE_IT")*N(IF({1},INDEX(CFlowMain,,MATCH(Cashflow!$S$7,INDEX(CFlowMain,1,),0)))))</calculatedColumnFormula>
    </tableColumn>
  </tableColumns>
  <tableStyleInfo name="TableStyleMedium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1000000}" name="FundingLinesTbl" displayName="FundingLinesTbl" ref="A1:Q302" tableType="queryTable" totalsRowShown="0">
  <autoFilter ref="A1:Q302" xr:uid="{00000000-000C-0000-FFFF-FFFF11000000}"/>
  <sortState xmlns:xlrd2="http://schemas.microsoft.com/office/spreadsheetml/2017/richdata2" ref="A2:N65">
    <sortCondition ref="D1:D65"/>
  </sortState>
  <tableColumns count="17">
    <tableColumn id="1" xr3:uid="{4A78594F-E762-4010-832E-9A538CDB1E14}" uniqueName="1" name="WBS" queryTableFieldId="1"/>
    <tableColumn id="2" xr3:uid="{C770F481-0DF5-4A4E-B227-58476A1E0EE1}" uniqueName="2" name="Description" queryTableFieldId="2"/>
    <tableColumn id="3" xr3:uid="{6DFC5FA8-D877-451A-9925-7C7EFDD0DC77}" uniqueName="3" name="Funding Line" queryTableFieldId="3"/>
    <tableColumn id="4" xr3:uid="{AAB0968A-5EE6-4287-B4BD-4E69411C367F}" uniqueName="4" name="Funding Description" queryTableFieldId="4"/>
    <tableColumn id="5" xr3:uid="{5720FD6E-7738-455E-A560-9660227F2F69}" uniqueName="5" name="Project ID" queryTableFieldId="5"/>
    <tableColumn id="6" xr3:uid="{416FAFB3-806C-4DEB-8188-A4903D751EF5}" uniqueName="6" name="Capital Plan Line" queryTableFieldId="6"/>
    <tableColumn id="7" xr3:uid="{2B4A5872-79B8-4505-8359-362660E519E9}" uniqueName="7" name="Approved Fiscal Year" queryTableFieldId="7"/>
    <tableColumn id="8" xr3:uid="{2ED1EBA9-1CAB-4C50-A24E-8DD61490961F}" uniqueName="8" name="Capital Plan Status" queryTableFieldId="8"/>
    <tableColumn id="9" xr3:uid="{061F5217-F599-45C7-AE11-9AC3EAAB06A3}" uniqueName="9" name="Column1" queryTableFieldId="9"/>
    <tableColumn id="10" xr3:uid="{63C2ABA0-C897-45FC-B902-83D956D10E01}" uniqueName="10" name="Column2" queryTableFieldId="10"/>
    <tableColumn id="11" xr3:uid="{C5844305-3E79-4911-969A-BD0F43B07613}" uniqueName="11" name="Column3" queryTableFieldId="11"/>
    <tableColumn id="12" xr3:uid="{FC2950D7-04C7-462F-BB62-F497013B4C59}" uniqueName="12" name="Column4" queryTableFieldId="12"/>
    <tableColumn id="13" xr3:uid="{AB3D5CEE-6635-4840-959C-4515E11ED5EF}" uniqueName="13" name="Column5" queryTableFieldId="13"/>
    <tableColumn id="14" xr3:uid="{807E94EA-9654-4D18-AEA6-63A1C16B2534}" uniqueName="14" name="Column6" queryTableFieldId="14"/>
    <tableColumn id="15" xr3:uid="{EAEE4989-FAEF-45EE-A816-52B44B0D686B}" uniqueName="15" name="Column7" queryTableFieldId="15"/>
    <tableColumn id="16" xr3:uid="{F8AB8513-5B70-4062-86E1-59EEFCD3BB06}" uniqueName="16" name="Column8" queryTableFieldId="16"/>
    <tableColumn id="17" xr3:uid="{2B9014C8-048D-45F0-BB93-BDE1F27EF5D7}" uniqueName="17" name="Column9" queryTableFieldId="17"/>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SitePages\Home.aspx"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table" Target="../tables/table12.xml"/><Relationship Id="rId4"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9.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3.xml"/><Relationship Id="rId16" Type="http://schemas.openxmlformats.org/officeDocument/2006/relationships/ctrlProp" Target="../ctrlProps/ctrlProp13.xml"/><Relationship Id="rId20" Type="http://schemas.openxmlformats.org/officeDocument/2006/relationships/comments" Target="../comments9.xml"/><Relationship Id="rId1" Type="http://schemas.openxmlformats.org/officeDocument/2006/relationships/printerSettings" Target="../printerSettings/printerSettings1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10.x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2" tint="-0.499984740745262"/>
    <pageSetUpPr fitToPage="1"/>
  </sheetPr>
  <dimension ref="B2:P67"/>
  <sheetViews>
    <sheetView tabSelected="1" zoomScale="70" zoomScaleNormal="70" workbookViewId="0">
      <selection activeCell="N22" sqref="N22"/>
    </sheetView>
  </sheetViews>
  <sheetFormatPr defaultColWidth="9.42578125" defaultRowHeight="14.1" outlineLevelRow="1"/>
  <cols>
    <col min="1" max="1" width="2.42578125" style="1" customWidth="1"/>
    <col min="2" max="2" width="14.42578125" style="1" customWidth="1"/>
    <col min="3" max="3" width="27.42578125" style="1" customWidth="1"/>
    <col min="4" max="4" width="32.42578125" style="1" customWidth="1"/>
    <col min="5" max="5" width="2.42578125" style="1" customWidth="1"/>
    <col min="6" max="6" width="19.42578125" style="1" bestFit="1" customWidth="1"/>
    <col min="7" max="7" width="13.42578125" style="1" customWidth="1"/>
    <col min="8" max="8" width="27.42578125" style="1" customWidth="1"/>
    <col min="9" max="9" width="11.42578125" style="1" bestFit="1" customWidth="1"/>
    <col min="10" max="10" width="21" style="1" customWidth="1"/>
    <col min="11" max="11" width="19.42578125" style="1" customWidth="1"/>
    <col min="12" max="12" width="38.42578125" style="1" customWidth="1"/>
    <col min="13" max="13" width="11.42578125" style="1" bestFit="1" customWidth="1"/>
    <col min="14" max="14" width="57.42578125" style="1" customWidth="1"/>
    <col min="15" max="15" width="18.42578125" style="1" hidden="1" customWidth="1"/>
    <col min="16" max="16" width="17.7109375" style="1" bestFit="1" customWidth="1"/>
    <col min="17" max="16384" width="9.42578125" style="1"/>
  </cols>
  <sheetData>
    <row r="2" spans="2:16" ht="105" hidden="1" customHeight="1" outlineLevel="1">
      <c r="B2" s="1119" t="s">
        <v>0</v>
      </c>
      <c r="C2" s="1119"/>
      <c r="D2" s="1119"/>
      <c r="E2" s="1119"/>
      <c r="F2" s="1119"/>
      <c r="G2" s="1119"/>
      <c r="H2" s="1119"/>
      <c r="I2" s="1119"/>
      <c r="J2" s="1119"/>
      <c r="K2" s="1119"/>
      <c r="L2" s="1119"/>
      <c r="M2" s="1119"/>
    </row>
    <row r="3" spans="2:16" collapsed="1"/>
    <row r="4" spans="2:16" ht="23.65">
      <c r="B4" s="16" t="s">
        <v>1</v>
      </c>
      <c r="C4" s="16"/>
      <c r="D4" s="205"/>
    </row>
    <row r="5" spans="2:16" ht="6" customHeight="1">
      <c r="B5" s="16"/>
      <c r="C5" s="16"/>
      <c r="D5" s="205"/>
    </row>
    <row r="6" spans="2:16" ht="23.65">
      <c r="B6" s="232" t="s">
        <v>2</v>
      </c>
      <c r="C6" s="521" t="s">
        <v>3</v>
      </c>
      <c r="D6" s="522"/>
      <c r="E6" s="523"/>
      <c r="F6" s="523"/>
      <c r="G6" s="523"/>
      <c r="H6" s="523"/>
      <c r="I6" s="523"/>
      <c r="J6" s="523"/>
      <c r="K6" s="523"/>
      <c r="L6" s="523"/>
      <c r="M6" s="524"/>
    </row>
    <row r="7" spans="2:16" ht="6" customHeight="1">
      <c r="B7" s="18"/>
    </row>
    <row r="8" spans="2:16">
      <c r="B8" s="1118" t="s">
        <v>4</v>
      </c>
      <c r="C8" s="1118"/>
      <c r="D8" s="1118"/>
      <c r="F8" s="1123" t="s">
        <v>5</v>
      </c>
      <c r="G8" s="1120"/>
      <c r="H8" s="1120"/>
      <c r="I8" s="1120"/>
      <c r="J8" s="1120"/>
      <c r="K8" s="1120"/>
      <c r="L8" s="1120"/>
      <c r="M8" s="1120"/>
      <c r="N8" s="1120"/>
    </row>
    <row r="9" spans="2:16" ht="3.75" customHeight="1"/>
    <row r="10" spans="2:16" s="18" customFormat="1" ht="15" customHeight="1">
      <c r="B10" s="144" t="s">
        <v>6</v>
      </c>
      <c r="C10" s="17" t="s">
        <v>7</v>
      </c>
      <c r="D10" s="17" t="s">
        <v>8</v>
      </c>
      <c r="F10" s="144" t="s">
        <v>9</v>
      </c>
      <c r="G10" s="144" t="s">
        <v>10</v>
      </c>
      <c r="H10" s="144" t="s">
        <v>11</v>
      </c>
      <c r="I10" s="144" t="s">
        <v>12</v>
      </c>
      <c r="J10" s="499" t="s">
        <v>13</v>
      </c>
      <c r="K10" s="499" t="s">
        <v>14</v>
      </c>
      <c r="L10" s="499" t="s">
        <v>15</v>
      </c>
      <c r="M10" s="171" t="s">
        <v>16</v>
      </c>
      <c r="N10" s="171" t="s">
        <v>17</v>
      </c>
      <c r="O10" s="171" t="s">
        <v>18</v>
      </c>
      <c r="P10" s="171" t="s">
        <v>19</v>
      </c>
    </row>
    <row r="11" spans="2:16">
      <c r="B11" s="75">
        <v>100</v>
      </c>
      <c r="C11" s="76" t="s">
        <v>20</v>
      </c>
      <c r="D11" s="77" t="s">
        <v>21</v>
      </c>
      <c r="F11" s="117" t="s">
        <v>22</v>
      </c>
      <c r="G11" s="117" t="s">
        <v>22</v>
      </c>
      <c r="H11" s="117" t="s">
        <v>22</v>
      </c>
      <c r="I11" s="117" t="s">
        <v>22</v>
      </c>
      <c r="J11" s="574" t="str">
        <f>IFERROR(INDEX(WBS,MATCH(N11,FundingLines,0),1),"--")</f>
        <v>P-002360</v>
      </c>
      <c r="K11" s="574" t="str">
        <f>IFERROR(INDEX(FundDesc,MATCH(N11,FundingLines,0),1),"--")</f>
        <v>GFI</v>
      </c>
      <c r="L11" s="575" t="str">
        <f>IFERROR(INDEX(CapitalPlanLine,MATCH(N11,FundingLines,0),1),"--")</f>
        <v>Red Deer Justice Centre</v>
      </c>
      <c r="M11" s="500" t="s">
        <v>23</v>
      </c>
      <c r="N11" s="573" t="s">
        <v>24</v>
      </c>
      <c r="O11" s="75">
        <f>IFERROR(INDEX(ApprFiscalYr,MATCH(N11,FundingLines,0),1),"--")</f>
        <v>0</v>
      </c>
      <c r="P11" s="76" t="str">
        <f>IFERROR(INDEX(ProjectID,MATCH(N11,FundingLines,0),1),"--")</f>
        <v>B8322A-0001</v>
      </c>
    </row>
    <row r="12" spans="2:16">
      <c r="B12" s="75">
        <v>200</v>
      </c>
      <c r="C12" s="76" t="s">
        <v>25</v>
      </c>
      <c r="D12" s="77" t="s">
        <v>26</v>
      </c>
      <c r="F12" s="75" t="s">
        <v>27</v>
      </c>
      <c r="G12" s="78" t="s">
        <v>28</v>
      </c>
      <c r="H12" s="229"/>
      <c r="I12" s="124" t="s">
        <v>29</v>
      </c>
      <c r="J12" s="574" t="str">
        <f>IFERROR(INDEX(WBS,MATCH(N12,FundingLines,0),1),"--")</f>
        <v>--</v>
      </c>
      <c r="K12" s="574" t="str">
        <f>IFERROR(INDEX(FundDesc,MATCH(N12,FundingLines,0),1),"--")</f>
        <v>--</v>
      </c>
      <c r="L12" s="575" t="str">
        <f>IFERROR(INDEX(CapitalPlanLine,MATCH(N12,FundingLines,0),1),"--")</f>
        <v>--</v>
      </c>
      <c r="M12" s="500" t="s">
        <v>30</v>
      </c>
      <c r="N12" s="573"/>
      <c r="O12" s="75" t="str">
        <f>IFERROR(INDEX(ApprFiscalYr,MATCH(N12,FundingLines,0),1),"--")</f>
        <v>--</v>
      </c>
      <c r="P12" s="76" t="str">
        <f>IFERROR(INDEX(ProjectID,MATCH(N12,FundingLines,0),1),"--")</f>
        <v>--</v>
      </c>
    </row>
    <row r="13" spans="2:16">
      <c r="B13" s="75">
        <v>300</v>
      </c>
      <c r="C13" s="76" t="s">
        <v>31</v>
      </c>
      <c r="D13" s="77" t="s">
        <v>32</v>
      </c>
      <c r="F13" s="117" t="s">
        <v>33</v>
      </c>
      <c r="G13" s="78" t="s">
        <v>34</v>
      </c>
      <c r="H13" s="229"/>
      <c r="I13" s="124" t="s">
        <v>35</v>
      </c>
      <c r="J13" s="574" t="str">
        <f>IFERROR(INDEX(WBS,MATCH(N13,FundingLines,0),1),"--")</f>
        <v>--</v>
      </c>
      <c r="K13" s="574" t="str">
        <f>IFERROR(INDEX(FundDesc,MATCH(N13,FundingLines,0),1),"--")</f>
        <v>--</v>
      </c>
      <c r="L13" s="575" t="str">
        <f>IFERROR(INDEX(CapitalPlanLine,MATCH(N13,FundingLines,0),1),"--")</f>
        <v>--</v>
      </c>
      <c r="M13" s="500" t="s">
        <v>36</v>
      </c>
      <c r="N13" s="573"/>
      <c r="O13" s="75" t="str">
        <f>IFERROR(INDEX(ApprFiscalYr,MATCH(N13,FundingLines,0),1),"--")</f>
        <v>--</v>
      </c>
      <c r="P13" s="76" t="str">
        <f>IFERROR(INDEX(ProjectID,MATCH(N13,FundingLines,0),1),"--")</f>
        <v>--</v>
      </c>
    </row>
    <row r="14" spans="2:16">
      <c r="B14" s="75">
        <v>400</v>
      </c>
      <c r="C14" s="76" t="s">
        <v>37</v>
      </c>
      <c r="D14" s="77" t="s">
        <v>38</v>
      </c>
      <c r="F14" s="78" t="s">
        <v>39</v>
      </c>
      <c r="G14" s="78" t="s">
        <v>40</v>
      </c>
      <c r="H14" s="229"/>
      <c r="I14" s="124" t="s">
        <v>41</v>
      </c>
      <c r="J14" s="574" t="str">
        <f>IFERROR(INDEX(WBS,MATCH(N14,FundingLines,0),1),"--")</f>
        <v>--</v>
      </c>
      <c r="K14" s="574" t="str">
        <f>IFERROR(INDEX(FundDesc,MATCH(N14,FundingLines,0),1),"--")</f>
        <v>--</v>
      </c>
      <c r="L14" s="575" t="str">
        <f>IFERROR(INDEX(CapitalPlanLine,MATCH(N14,FundingLines,0),1),"--")</f>
        <v>--</v>
      </c>
      <c r="M14" s="500" t="s">
        <v>42</v>
      </c>
      <c r="N14" s="573"/>
      <c r="O14" s="75" t="str">
        <f>IFERROR(INDEX(ApprFiscalYr,MATCH(N14,FundingLines,0),1),"--")</f>
        <v>--</v>
      </c>
      <c r="P14" s="76" t="str">
        <f>IFERROR(INDEX(ProjectID,MATCH(N14,FundingLines,0),1),"--")</f>
        <v>--</v>
      </c>
    </row>
    <row r="15" spans="2:16">
      <c r="B15" s="75">
        <v>500</v>
      </c>
      <c r="C15" s="76" t="s">
        <v>43</v>
      </c>
      <c r="D15" s="77" t="s">
        <v>44</v>
      </c>
      <c r="F15" s="78">
        <v>1</v>
      </c>
      <c r="G15" s="78" t="s">
        <v>45</v>
      </c>
      <c r="H15" s="229"/>
      <c r="I15" s="124" t="s">
        <v>46</v>
      </c>
      <c r="J15" s="574" t="str">
        <f>IFERROR(INDEX(WBS,MATCH(N15,FundingLines,0),1),"--")</f>
        <v>--</v>
      </c>
      <c r="K15" s="574" t="str">
        <f>IFERROR(INDEX(FundDesc,MATCH(N15,FundingLines,0),1),"--")</f>
        <v>--</v>
      </c>
      <c r="L15" s="575" t="str">
        <f>IFERROR(INDEX(CapitalPlanLine,MATCH(N15,FundingLines,0),1),"--")</f>
        <v>--</v>
      </c>
      <c r="M15" s="75" t="s">
        <v>47</v>
      </c>
      <c r="N15" s="573"/>
      <c r="O15" s="75" t="str">
        <f>IFERROR(INDEX(ApprFiscalYr,MATCH(N15,FundingLines,0),1),"--")</f>
        <v>--</v>
      </c>
      <c r="P15" s="76" t="str">
        <f>IFERROR(INDEX(ProjectID,MATCH(N15,FundingLines,0),1),"--")</f>
        <v>--</v>
      </c>
    </row>
    <row r="16" spans="2:16">
      <c r="B16" s="75">
        <v>600</v>
      </c>
      <c r="C16" s="76" t="s">
        <v>48</v>
      </c>
      <c r="D16" s="77" t="s">
        <v>49</v>
      </c>
      <c r="F16" s="134">
        <v>2</v>
      </c>
      <c r="G16" s="78" t="s">
        <v>50</v>
      </c>
      <c r="H16" s="229"/>
      <c r="I16" s="124" t="s">
        <v>51</v>
      </c>
      <c r="J16" s="2"/>
      <c r="K16" s="2"/>
      <c r="L16" s="2"/>
      <c r="M16" s="2"/>
    </row>
    <row r="17" spans="2:13">
      <c r="D17" s="77" t="s">
        <v>52</v>
      </c>
      <c r="F17" s="134">
        <v>3</v>
      </c>
      <c r="G17" s="78" t="s">
        <v>53</v>
      </c>
      <c r="H17" s="229"/>
      <c r="I17" s="124" t="s">
        <v>54</v>
      </c>
      <c r="J17" s="2"/>
      <c r="K17" s="232" t="s">
        <v>55</v>
      </c>
      <c r="L17" s="519" t="s">
        <v>56</v>
      </c>
      <c r="M17" s="520"/>
    </row>
    <row r="18" spans="2:13">
      <c r="D18" s="77" t="s">
        <v>57</v>
      </c>
      <c r="F18" s="134">
        <v>4</v>
      </c>
      <c r="G18" s="78" t="s">
        <v>58</v>
      </c>
      <c r="H18" s="229"/>
      <c r="I18" s="124" t="s">
        <v>59</v>
      </c>
      <c r="J18" s="2"/>
    </row>
    <row r="19" spans="2:13">
      <c r="B19" s="144" t="s">
        <v>60</v>
      </c>
      <c r="C19" s="17" t="s">
        <v>61</v>
      </c>
      <c r="D19" s="17" t="s">
        <v>62</v>
      </c>
      <c r="F19" s="134">
        <v>5</v>
      </c>
      <c r="G19" s="78" t="s">
        <v>63</v>
      </c>
      <c r="H19" s="229"/>
      <c r="I19" s="124" t="s">
        <v>64</v>
      </c>
      <c r="J19" s="2"/>
    </row>
    <row r="20" spans="2:13">
      <c r="B20" s="75" t="s">
        <v>65</v>
      </c>
      <c r="C20" s="76" t="s">
        <v>66</v>
      </c>
      <c r="D20" s="80" t="s">
        <v>22</v>
      </c>
      <c r="F20" s="134">
        <v>6</v>
      </c>
      <c r="G20" s="78" t="s">
        <v>67</v>
      </c>
      <c r="H20" s="229"/>
      <c r="I20" s="124" t="s">
        <v>68</v>
      </c>
      <c r="J20" s="2"/>
    </row>
    <row r="21" spans="2:13">
      <c r="B21" s="75" t="s">
        <v>69</v>
      </c>
      <c r="C21" s="76" t="s">
        <v>70</v>
      </c>
      <c r="D21" s="77" t="s">
        <v>71</v>
      </c>
      <c r="F21" s="134">
        <v>7</v>
      </c>
      <c r="G21" s="78" t="s">
        <v>72</v>
      </c>
      <c r="H21" s="229"/>
      <c r="I21" s="124" t="s">
        <v>73</v>
      </c>
      <c r="J21" s="2"/>
      <c r="K21" s="2"/>
      <c r="L21" s="2"/>
      <c r="M21" s="2"/>
    </row>
    <row r="22" spans="2:13">
      <c r="C22" s="76" t="s">
        <v>74</v>
      </c>
      <c r="D22" s="77" t="s">
        <v>75</v>
      </c>
      <c r="F22" s="134">
        <v>8</v>
      </c>
      <c r="G22" s="78" t="s">
        <v>76</v>
      </c>
      <c r="H22" s="117" t="s">
        <v>22</v>
      </c>
      <c r="I22" s="124"/>
      <c r="J22" s="2"/>
      <c r="K22" s="126" t="s">
        <v>77</v>
      </c>
      <c r="L22" s="525" t="s">
        <v>78</v>
      </c>
    </row>
    <row r="23" spans="2:13">
      <c r="C23" s="76" t="s">
        <v>79</v>
      </c>
      <c r="D23" s="77" t="s">
        <v>80</v>
      </c>
      <c r="F23" s="134">
        <v>9</v>
      </c>
      <c r="G23" s="78"/>
      <c r="H23" s="229"/>
      <c r="I23" s="75" t="s">
        <v>81</v>
      </c>
      <c r="J23" s="2"/>
      <c r="K23" s="249" t="s">
        <v>82</v>
      </c>
      <c r="L23" s="3" t="s">
        <v>83</v>
      </c>
      <c r="M23" s="2"/>
    </row>
    <row r="24" spans="2:13">
      <c r="C24" s="76" t="s">
        <v>84</v>
      </c>
      <c r="D24" s="3"/>
      <c r="F24" s="134">
        <v>10</v>
      </c>
      <c r="G24" s="78"/>
      <c r="H24" s="229"/>
      <c r="I24" s="75" t="s">
        <v>85</v>
      </c>
      <c r="J24" s="2"/>
      <c r="K24" s="249" t="s">
        <v>86</v>
      </c>
      <c r="L24" s="517" t="s">
        <v>87</v>
      </c>
      <c r="M24" s="2"/>
    </row>
    <row r="25" spans="2:13">
      <c r="B25" s="144" t="s">
        <v>88</v>
      </c>
      <c r="C25" s="76" t="str">
        <f>IF(L17="Construction Management","Design Discrepancy","Design Errors &amp; Omissions")</f>
        <v>Design Errors &amp; Omissions</v>
      </c>
      <c r="D25" s="17" t="s">
        <v>89</v>
      </c>
      <c r="F25" s="134"/>
      <c r="G25" s="78"/>
      <c r="H25" s="229"/>
      <c r="I25" s="75" t="s">
        <v>90</v>
      </c>
      <c r="J25" s="2"/>
      <c r="K25" s="516" t="s">
        <v>91</v>
      </c>
      <c r="L25" s="3" t="s">
        <v>92</v>
      </c>
      <c r="M25" s="2"/>
    </row>
    <row r="26" spans="2:13">
      <c r="B26" s="75" t="s">
        <v>65</v>
      </c>
      <c r="C26" s="76" t="s">
        <v>93</v>
      </c>
      <c r="D26" s="340" t="s">
        <v>94</v>
      </c>
      <c r="F26" s="134"/>
      <c r="G26" s="78"/>
      <c r="H26" s="229"/>
      <c r="I26" s="75" t="s">
        <v>95</v>
      </c>
      <c r="J26" s="2"/>
      <c r="K26" s="2"/>
      <c r="L26" s="2"/>
      <c r="M26" s="2"/>
    </row>
    <row r="27" spans="2:13" ht="15" customHeight="1">
      <c r="B27" s="75" t="s">
        <v>69</v>
      </c>
      <c r="C27" s="76" t="s">
        <v>96</v>
      </c>
      <c r="D27" s="77" t="s">
        <v>97</v>
      </c>
      <c r="F27" s="78"/>
      <c r="G27" s="78"/>
      <c r="H27" s="229"/>
      <c r="I27" s="75" t="s">
        <v>98</v>
      </c>
      <c r="J27" s="2"/>
      <c r="K27" s="1122" t="s">
        <v>99</v>
      </c>
      <c r="L27" s="1122"/>
      <c r="M27" s="1122"/>
    </row>
    <row r="28" spans="2:13">
      <c r="B28" s="75" t="s">
        <v>100</v>
      </c>
      <c r="C28" s="76" t="s">
        <v>101</v>
      </c>
      <c r="D28" s="77" t="s">
        <v>102</v>
      </c>
      <c r="F28" s="78"/>
      <c r="G28" s="78"/>
      <c r="H28" s="229"/>
      <c r="I28" s="75" t="s">
        <v>103</v>
      </c>
      <c r="J28" s="2"/>
      <c r="K28" s="1120" t="s">
        <v>104</v>
      </c>
      <c r="L28" s="1120"/>
      <c r="M28" s="1120"/>
    </row>
    <row r="29" spans="2:13">
      <c r="C29" s="76" t="s">
        <v>105</v>
      </c>
      <c r="D29" s="77" t="s">
        <v>106</v>
      </c>
      <c r="F29" s="78"/>
      <c r="G29" s="78"/>
      <c r="H29" s="229"/>
      <c r="I29" s="75" t="s">
        <v>107</v>
      </c>
      <c r="J29" s="2"/>
    </row>
    <row r="30" spans="2:13">
      <c r="B30" s="144" t="s">
        <v>108</v>
      </c>
      <c r="C30" s="76" t="s">
        <v>109</v>
      </c>
      <c r="D30" s="77" t="s">
        <v>110</v>
      </c>
      <c r="F30" s="78"/>
      <c r="G30" s="123"/>
      <c r="H30" s="229"/>
      <c r="I30" s="75" t="s">
        <v>111</v>
      </c>
      <c r="J30" s="2"/>
      <c r="K30" s="1121" t="s">
        <v>112</v>
      </c>
      <c r="L30" s="1121"/>
      <c r="M30" s="1121"/>
    </row>
    <row r="31" spans="2:13">
      <c r="B31" s="75" t="s">
        <v>113</v>
      </c>
      <c r="C31" s="76" t="s">
        <v>114</v>
      </c>
      <c r="D31" s="77" t="s">
        <v>115</v>
      </c>
      <c r="F31" s="78"/>
      <c r="G31" s="123"/>
      <c r="H31" s="229"/>
      <c r="I31" s="75" t="s">
        <v>116</v>
      </c>
      <c r="J31" s="2"/>
      <c r="K31" s="2"/>
      <c r="L31" s="2"/>
      <c r="M31" s="2"/>
    </row>
    <row r="32" spans="2:13">
      <c r="B32" s="75" t="s">
        <v>117</v>
      </c>
      <c r="C32" s="76" t="s">
        <v>118</v>
      </c>
      <c r="D32" s="591" t="s">
        <v>119</v>
      </c>
      <c r="F32" s="78"/>
      <c r="G32" s="123"/>
      <c r="H32" s="229"/>
      <c r="I32" s="75" t="s">
        <v>120</v>
      </c>
      <c r="J32" s="2"/>
      <c r="K32" s="1116" t="s">
        <v>121</v>
      </c>
      <c r="L32" s="1117"/>
      <c r="M32" s="1117"/>
    </row>
    <row r="33" spans="2:13">
      <c r="B33" s="75" t="s">
        <v>106</v>
      </c>
      <c r="C33"/>
      <c r="D33" s="77" t="s">
        <v>71</v>
      </c>
      <c r="F33" s="78"/>
      <c r="G33" s="123"/>
      <c r="H33" s="2"/>
      <c r="I33" s="2"/>
      <c r="J33" s="2"/>
      <c r="K33" s="2"/>
      <c r="L33" s="2"/>
      <c r="M33" s="2"/>
    </row>
    <row r="34" spans="2:13">
      <c r="B34" s="75" t="s">
        <v>110</v>
      </c>
      <c r="C34"/>
      <c r="D34"/>
      <c r="G34" s="2"/>
      <c r="H34" s="2"/>
      <c r="I34" s="2"/>
      <c r="J34" s="2"/>
      <c r="K34" s="2"/>
      <c r="L34" s="2"/>
      <c r="M34" s="2"/>
    </row>
    <row r="35" spans="2:13" ht="15" customHeight="1">
      <c r="F35" s="277"/>
      <c r="G35" s="277"/>
      <c r="H35" s="2"/>
      <c r="I35" s="2"/>
      <c r="J35" s="277"/>
      <c r="K35" s="277"/>
      <c r="L35" s="277"/>
      <c r="M35" s="277"/>
    </row>
    <row r="36" spans="2:13">
      <c r="B36" s="144" t="s">
        <v>122</v>
      </c>
      <c r="C36" s="144" t="s">
        <v>123</v>
      </c>
      <c r="D36" s="144" t="s">
        <v>124</v>
      </c>
      <c r="F36" s="277"/>
      <c r="G36" s="277"/>
      <c r="H36" s="2"/>
      <c r="I36" s="2"/>
      <c r="J36" s="277"/>
      <c r="K36" s="277"/>
      <c r="L36" s="277"/>
      <c r="M36" s="277"/>
    </row>
    <row r="37" spans="2:13">
      <c r="B37" s="75" t="s">
        <v>125</v>
      </c>
      <c r="C37" s="75" t="s">
        <v>106</v>
      </c>
      <c r="D37" s="75" t="s">
        <v>126</v>
      </c>
      <c r="F37" s="277"/>
      <c r="G37" s="277"/>
      <c r="H37" s="2"/>
      <c r="I37" s="2"/>
      <c r="J37" s="277"/>
      <c r="K37" s="277"/>
      <c r="L37" s="277"/>
      <c r="M37" s="277"/>
    </row>
    <row r="38" spans="2:13">
      <c r="B38" s="75" t="s">
        <v>127</v>
      </c>
      <c r="C38" s="75" t="s">
        <v>128</v>
      </c>
      <c r="D38" s="75" t="s">
        <v>129</v>
      </c>
      <c r="G38" s="2"/>
      <c r="H38" s="2"/>
      <c r="I38" s="2"/>
      <c r="J38" s="2"/>
      <c r="K38" s="2"/>
      <c r="L38" s="2"/>
      <c r="M38" s="2"/>
    </row>
    <row r="39" spans="2:13">
      <c r="B39" s="144" t="s">
        <v>130</v>
      </c>
      <c r="C39" s="144" t="s">
        <v>55</v>
      </c>
      <c r="D39" s="75" t="s">
        <v>131</v>
      </c>
      <c r="H39" s="2"/>
      <c r="I39" s="277"/>
    </row>
    <row r="40" spans="2:13">
      <c r="B40" s="75" t="s">
        <v>106</v>
      </c>
      <c r="C40" s="75" t="s">
        <v>132</v>
      </c>
      <c r="D40" s="75" t="s">
        <v>133</v>
      </c>
      <c r="H40" s="277"/>
      <c r="I40" s="277"/>
    </row>
    <row r="41" spans="2:13">
      <c r="B41" s="75" t="s">
        <v>134</v>
      </c>
      <c r="C41" s="75" t="s">
        <v>135</v>
      </c>
      <c r="D41" s="75" t="s">
        <v>136</v>
      </c>
      <c r="H41" s="277"/>
      <c r="I41" s="277"/>
    </row>
    <row r="42" spans="2:13">
      <c r="B42" s="75" t="s">
        <v>110</v>
      </c>
      <c r="C42" s="75" t="s">
        <v>56</v>
      </c>
      <c r="D42" s="75" t="s">
        <v>137</v>
      </c>
      <c r="H42" s="277"/>
      <c r="I42" s="2"/>
    </row>
    <row r="43" spans="2:13">
      <c r="B43" s="75" t="s">
        <v>138</v>
      </c>
      <c r="C43" s="75"/>
      <c r="D43" s="75" t="s">
        <v>139</v>
      </c>
      <c r="H43" s="2"/>
    </row>
    <row r="44" spans="2:13">
      <c r="D44" s="75" t="s">
        <v>140</v>
      </c>
    </row>
    <row r="45" spans="2:13">
      <c r="B45" s="144" t="s">
        <v>141</v>
      </c>
      <c r="C45" s="144" t="s">
        <v>142</v>
      </c>
      <c r="D45" s="144" t="s">
        <v>143</v>
      </c>
    </row>
    <row r="46" spans="2:13">
      <c r="B46" s="75" t="s">
        <v>144</v>
      </c>
      <c r="C46" s="75" t="s">
        <v>145</v>
      </c>
      <c r="D46" s="75" t="s">
        <v>146</v>
      </c>
    </row>
    <row r="47" spans="2:13">
      <c r="B47" s="75" t="s">
        <v>147</v>
      </c>
      <c r="C47" s="75" t="s">
        <v>148</v>
      </c>
      <c r="D47" s="75" t="s">
        <v>149</v>
      </c>
    </row>
    <row r="48" spans="2:13">
      <c r="B48" s="144" t="s">
        <v>150</v>
      </c>
      <c r="C48" s="75" t="s">
        <v>151</v>
      </c>
      <c r="D48" s="75" t="s">
        <v>152</v>
      </c>
    </row>
    <row r="49" spans="2:4">
      <c r="B49" s="75" t="s">
        <v>153</v>
      </c>
      <c r="D49" s="75" t="s">
        <v>154</v>
      </c>
    </row>
    <row r="50" spans="2:4">
      <c r="B50" s="75" t="s">
        <v>155</v>
      </c>
      <c r="C50" s="144" t="s">
        <v>156</v>
      </c>
      <c r="D50" s="75" t="s">
        <v>157</v>
      </c>
    </row>
    <row r="51" spans="2:4">
      <c r="B51" s="75" t="s">
        <v>158</v>
      </c>
      <c r="C51" s="75" t="s">
        <v>159</v>
      </c>
      <c r="D51" s="75" t="s">
        <v>31</v>
      </c>
    </row>
    <row r="52" spans="2:4">
      <c r="B52" s="75" t="s">
        <v>160</v>
      </c>
      <c r="C52" s="75" t="s">
        <v>161</v>
      </c>
      <c r="D52" s="75" t="s">
        <v>162</v>
      </c>
    </row>
    <row r="53" spans="2:4">
      <c r="B53" s="75" t="s">
        <v>110</v>
      </c>
      <c r="C53" s="75" t="s">
        <v>163</v>
      </c>
      <c r="D53" s="144" t="s">
        <v>164</v>
      </c>
    </row>
    <row r="54" spans="2:4">
      <c r="B54" s="144" t="s">
        <v>165</v>
      </c>
      <c r="C54" s="75" t="s">
        <v>166</v>
      </c>
      <c r="D54" s="75" t="s">
        <v>167</v>
      </c>
    </row>
    <row r="55" spans="2:4">
      <c r="B55" s="75" t="s">
        <v>168</v>
      </c>
      <c r="C55" s="75" t="s">
        <v>169</v>
      </c>
      <c r="D55" s="75" t="s">
        <v>170</v>
      </c>
    </row>
    <row r="56" spans="2:4">
      <c r="B56" s="75" t="s">
        <v>171</v>
      </c>
      <c r="C56" s="75"/>
      <c r="D56" s="75" t="s">
        <v>172</v>
      </c>
    </row>
    <row r="57" spans="2:4">
      <c r="B57" s="75" t="s">
        <v>173</v>
      </c>
      <c r="C57" s="75"/>
      <c r="D57" s="75" t="s">
        <v>106</v>
      </c>
    </row>
    <row r="59" spans="2:4">
      <c r="B59" s="17" t="s">
        <v>174</v>
      </c>
    </row>
    <row r="60" spans="2:4">
      <c r="B60" s="340" t="s">
        <v>175</v>
      </c>
    </row>
    <row r="61" spans="2:4">
      <c r="B61" s="77" t="s">
        <v>176</v>
      </c>
    </row>
    <row r="62" spans="2:4">
      <c r="B62" s="77" t="s">
        <v>177</v>
      </c>
    </row>
    <row r="63" spans="2:4">
      <c r="B63" s="77" t="s">
        <v>178</v>
      </c>
    </row>
    <row r="64" spans="2:4">
      <c r="B64" s="77" t="s">
        <v>179</v>
      </c>
    </row>
    <row r="65" spans="2:2">
      <c r="B65" s="77" t="s">
        <v>180</v>
      </c>
    </row>
    <row r="66" spans="2:2">
      <c r="B66" s="77" t="s">
        <v>181</v>
      </c>
    </row>
    <row r="67" spans="2:2">
      <c r="B67" s="77" t="s">
        <v>182</v>
      </c>
    </row>
  </sheetData>
  <mergeCells count="7">
    <mergeCell ref="K32:M32"/>
    <mergeCell ref="B8:D8"/>
    <mergeCell ref="B2:M2"/>
    <mergeCell ref="K28:M28"/>
    <mergeCell ref="K30:M30"/>
    <mergeCell ref="K27:M27"/>
    <mergeCell ref="F8:N8"/>
  </mergeCells>
  <dataValidations count="2">
    <dataValidation type="list" allowBlank="1" showInputMessage="1" showErrorMessage="1" sqref="L17" xr:uid="{00000000-0002-0000-0000-000000000000}">
      <formula1>$C$40:$C$43</formula1>
    </dataValidation>
    <dataValidation type="list" allowBlank="1" showInputMessage="1" showErrorMessage="1" sqref="N11:N15" xr:uid="{00000000-0002-0000-0000-000001000000}">
      <formula1>FundingLines</formula1>
    </dataValidation>
  </dataValidations>
  <hyperlinks>
    <hyperlink ref="L24" r:id="rId1" xr:uid="{00000000-0004-0000-0000-000000000000}"/>
  </hyperlinks>
  <pageMargins left="0.25" right="0.25" top="0.75" bottom="0.75" header="0.3" footer="0.3"/>
  <pageSetup scale="45" orientation="landscape" r:id="rId2"/>
  <headerFooter>
    <oddFooter>&amp;L&amp;1#&amp;"Calibri"&amp;11&amp;K000000Classification: Protected A</oddFooter>
  </headerFooter>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theme="2" tint="-0.499984740745262"/>
    <pageSetUpPr fitToPage="1"/>
  </sheetPr>
  <dimension ref="B2:N38"/>
  <sheetViews>
    <sheetView zoomScaleNormal="100" workbookViewId="0">
      <pane ySplit="4" topLeftCell="A5" activePane="bottomLeft" state="frozen"/>
      <selection pane="bottomLeft" activeCell="K29" sqref="K29"/>
      <selection activeCell="I17" sqref="I17"/>
    </sheetView>
  </sheetViews>
  <sheetFormatPr defaultColWidth="9.42578125" defaultRowHeight="14.1"/>
  <cols>
    <col min="1" max="1" width="2.42578125" style="25" customWidth="1"/>
    <col min="2" max="2" width="4.42578125" style="24" bestFit="1" customWidth="1"/>
    <col min="3" max="3" width="25.42578125" style="25" customWidth="1"/>
    <col min="4" max="4" width="4.42578125" style="24" bestFit="1" customWidth="1"/>
    <col min="5" max="5" width="25.42578125" style="25" customWidth="1"/>
    <col min="6" max="6" width="4.42578125" style="24" bestFit="1" customWidth="1"/>
    <col min="7" max="7" width="25.42578125" style="25" customWidth="1"/>
    <col min="8" max="8" width="4.42578125" style="24" bestFit="1" customWidth="1"/>
    <col min="9" max="9" width="25.42578125" style="25" customWidth="1"/>
    <col min="10" max="10" width="4.42578125" style="24" bestFit="1" customWidth="1"/>
    <col min="11" max="11" width="25.42578125" style="25" customWidth="1"/>
    <col min="12" max="12" width="4.42578125" style="24" bestFit="1" customWidth="1"/>
    <col min="13" max="13" width="25.42578125" style="25" customWidth="1"/>
    <col min="14" max="14" width="2.42578125" style="25" customWidth="1"/>
    <col min="15" max="16384" width="9.42578125" style="25"/>
  </cols>
  <sheetData>
    <row r="2" spans="2:13" s="1" customFormat="1" ht="23.65">
      <c r="B2" s="16" t="s">
        <v>183</v>
      </c>
      <c r="C2" s="2"/>
      <c r="D2" s="2"/>
      <c r="E2" s="24"/>
      <c r="F2" s="19" t="str">
        <f>Validations!$C$6</f>
        <v>Justice Centre</v>
      </c>
      <c r="G2" s="2"/>
    </row>
    <row r="4" spans="2:13" s="21" customFormat="1">
      <c r="B4" s="20">
        <v>100</v>
      </c>
      <c r="C4" s="20" t="s">
        <v>20</v>
      </c>
      <c r="D4" s="20" t="s">
        <v>184</v>
      </c>
      <c r="E4" s="20" t="s">
        <v>25</v>
      </c>
      <c r="F4" s="20" t="s">
        <v>185</v>
      </c>
      <c r="G4" s="147" t="s">
        <v>31</v>
      </c>
      <c r="H4" s="20" t="s">
        <v>186</v>
      </c>
      <c r="I4" s="20" t="s">
        <v>187</v>
      </c>
      <c r="J4" s="20" t="s">
        <v>188</v>
      </c>
      <c r="K4" s="20" t="s">
        <v>43</v>
      </c>
      <c r="L4" s="20" t="s">
        <v>189</v>
      </c>
      <c r="M4" s="20" t="s">
        <v>48</v>
      </c>
    </row>
    <row r="5" spans="2:13" s="23" customFormat="1">
      <c r="B5" s="22" t="s">
        <v>190</v>
      </c>
      <c r="C5" s="81" t="s">
        <v>191</v>
      </c>
      <c r="D5" s="22" t="s">
        <v>190</v>
      </c>
      <c r="E5" s="81" t="s">
        <v>49</v>
      </c>
      <c r="F5" s="22" t="s">
        <v>190</v>
      </c>
      <c r="G5" s="81" t="s">
        <v>192</v>
      </c>
      <c r="H5" s="22" t="s">
        <v>190</v>
      </c>
      <c r="I5" s="81" t="s">
        <v>193</v>
      </c>
      <c r="J5" s="22" t="s">
        <v>190</v>
      </c>
      <c r="K5" s="81" t="s">
        <v>194</v>
      </c>
      <c r="L5" s="22" t="s">
        <v>190</v>
      </c>
      <c r="M5" s="81" t="s">
        <v>48</v>
      </c>
    </row>
    <row r="6" spans="2:13" s="23" customFormat="1">
      <c r="B6" s="22" t="s">
        <v>195</v>
      </c>
      <c r="C6" s="81" t="s">
        <v>196</v>
      </c>
      <c r="D6" s="22" t="s">
        <v>195</v>
      </c>
      <c r="E6" s="81" t="s">
        <v>197</v>
      </c>
      <c r="F6" s="22" t="s">
        <v>195</v>
      </c>
      <c r="G6" s="81" t="s">
        <v>198</v>
      </c>
      <c r="H6" s="22" t="s">
        <v>195</v>
      </c>
      <c r="I6" s="81" t="s">
        <v>199</v>
      </c>
      <c r="J6" s="22" t="s">
        <v>195</v>
      </c>
      <c r="K6" s="89" t="s">
        <v>22</v>
      </c>
      <c r="L6" s="22" t="s">
        <v>195</v>
      </c>
      <c r="M6" s="89" t="s">
        <v>22</v>
      </c>
    </row>
    <row r="7" spans="2:13" s="23" customFormat="1">
      <c r="B7" s="22" t="s">
        <v>200</v>
      </c>
      <c r="C7" s="81" t="s">
        <v>201</v>
      </c>
      <c r="D7" s="22" t="s">
        <v>200</v>
      </c>
      <c r="E7" s="81" t="s">
        <v>202</v>
      </c>
      <c r="F7" s="22" t="s">
        <v>200</v>
      </c>
      <c r="G7" s="81" t="s">
        <v>203</v>
      </c>
      <c r="H7" s="22" t="s">
        <v>200</v>
      </c>
      <c r="I7" s="81" t="s">
        <v>204</v>
      </c>
      <c r="J7" s="22" t="s">
        <v>200</v>
      </c>
      <c r="K7" s="89" t="s">
        <v>22</v>
      </c>
      <c r="L7" s="22" t="s">
        <v>200</v>
      </c>
      <c r="M7" s="89" t="s">
        <v>22</v>
      </c>
    </row>
    <row r="8" spans="2:13" s="23" customFormat="1">
      <c r="B8" s="22" t="s">
        <v>205</v>
      </c>
      <c r="C8" s="81" t="s">
        <v>206</v>
      </c>
      <c r="D8" s="22" t="s">
        <v>205</v>
      </c>
      <c r="E8" s="81" t="s">
        <v>207</v>
      </c>
      <c r="F8" s="22" t="s">
        <v>205</v>
      </c>
      <c r="G8" s="81" t="s">
        <v>208</v>
      </c>
      <c r="H8" s="22" t="s">
        <v>205</v>
      </c>
      <c r="I8" s="81" t="s">
        <v>209</v>
      </c>
      <c r="J8" s="22" t="s">
        <v>205</v>
      </c>
      <c r="K8" s="89" t="s">
        <v>22</v>
      </c>
      <c r="L8" s="22" t="s">
        <v>205</v>
      </c>
      <c r="M8" s="89" t="s">
        <v>22</v>
      </c>
    </row>
    <row r="9" spans="2:13" s="23" customFormat="1">
      <c r="B9" s="22" t="s">
        <v>210</v>
      </c>
      <c r="C9" s="81" t="s">
        <v>211</v>
      </c>
      <c r="D9" s="22" t="s">
        <v>210</v>
      </c>
      <c r="E9" s="81" t="s">
        <v>212</v>
      </c>
      <c r="F9" s="22" t="s">
        <v>210</v>
      </c>
      <c r="G9" s="81" t="s">
        <v>213</v>
      </c>
      <c r="H9" s="22" t="s">
        <v>210</v>
      </c>
      <c r="I9" s="81" t="s">
        <v>214</v>
      </c>
      <c r="J9" s="22" t="s">
        <v>210</v>
      </c>
      <c r="K9" s="89" t="s">
        <v>22</v>
      </c>
      <c r="L9" s="22" t="s">
        <v>210</v>
      </c>
      <c r="M9" s="89" t="s">
        <v>22</v>
      </c>
    </row>
    <row r="10" spans="2:13" s="23" customFormat="1">
      <c r="B10" s="22" t="s">
        <v>215</v>
      </c>
      <c r="C10" s="89" t="s">
        <v>22</v>
      </c>
      <c r="D10" s="22" t="s">
        <v>215</v>
      </c>
      <c r="E10" s="81" t="s">
        <v>216</v>
      </c>
      <c r="F10" s="22" t="s">
        <v>215</v>
      </c>
      <c r="G10" s="81" t="s">
        <v>217</v>
      </c>
      <c r="H10" s="22" t="s">
        <v>215</v>
      </c>
      <c r="I10" s="81" t="s">
        <v>218</v>
      </c>
      <c r="J10" s="22" t="s">
        <v>215</v>
      </c>
      <c r="K10" s="89" t="s">
        <v>22</v>
      </c>
      <c r="L10" s="22" t="s">
        <v>215</v>
      </c>
      <c r="M10" s="89" t="s">
        <v>22</v>
      </c>
    </row>
    <row r="11" spans="2:13" s="23" customFormat="1">
      <c r="B11" s="22" t="s">
        <v>219</v>
      </c>
      <c r="C11" s="89" t="s">
        <v>22</v>
      </c>
      <c r="D11" s="22" t="s">
        <v>219</v>
      </c>
      <c r="E11" s="81" t="s">
        <v>57</v>
      </c>
      <c r="F11" s="22" t="s">
        <v>219</v>
      </c>
      <c r="G11" s="81" t="s">
        <v>220</v>
      </c>
      <c r="H11" s="22" t="s">
        <v>219</v>
      </c>
      <c r="I11" s="89" t="s">
        <v>22</v>
      </c>
      <c r="J11" s="22" t="s">
        <v>219</v>
      </c>
      <c r="K11" s="89" t="s">
        <v>22</v>
      </c>
      <c r="L11" s="22" t="s">
        <v>219</v>
      </c>
      <c r="M11" s="89" t="s">
        <v>22</v>
      </c>
    </row>
    <row r="12" spans="2:13" s="23" customFormat="1">
      <c r="B12" s="22" t="s">
        <v>221</v>
      </c>
      <c r="C12" s="89" t="s">
        <v>22</v>
      </c>
      <c r="D12" s="22" t="s">
        <v>221</v>
      </c>
      <c r="E12" s="81" t="s">
        <v>222</v>
      </c>
      <c r="F12" s="22" t="s">
        <v>221</v>
      </c>
      <c r="G12" s="81" t="s">
        <v>223</v>
      </c>
      <c r="H12" s="22" t="s">
        <v>221</v>
      </c>
      <c r="I12" s="89" t="s">
        <v>22</v>
      </c>
      <c r="J12" s="22" t="s">
        <v>221</v>
      </c>
      <c r="K12" s="89" t="s">
        <v>22</v>
      </c>
      <c r="L12" s="22" t="s">
        <v>221</v>
      </c>
      <c r="M12" s="89" t="s">
        <v>22</v>
      </c>
    </row>
    <row r="13" spans="2:13">
      <c r="B13" s="22" t="s">
        <v>224</v>
      </c>
      <c r="C13" s="89" t="s">
        <v>22</v>
      </c>
      <c r="D13" s="22" t="s">
        <v>224</v>
      </c>
      <c r="E13" s="81" t="s">
        <v>225</v>
      </c>
      <c r="F13" s="22" t="s">
        <v>224</v>
      </c>
      <c r="G13" s="81" t="s">
        <v>226</v>
      </c>
      <c r="H13" s="22" t="s">
        <v>224</v>
      </c>
      <c r="I13" s="89" t="s">
        <v>22</v>
      </c>
      <c r="J13" s="22" t="s">
        <v>224</v>
      </c>
      <c r="K13" s="89" t="s">
        <v>22</v>
      </c>
      <c r="L13" s="22" t="s">
        <v>224</v>
      </c>
      <c r="M13" s="89" t="s">
        <v>22</v>
      </c>
    </row>
    <row r="14" spans="2:13" s="26" customFormat="1">
      <c r="B14" s="22" t="s">
        <v>227</v>
      </c>
      <c r="C14" s="89" t="s">
        <v>22</v>
      </c>
      <c r="D14" s="22" t="s">
        <v>227</v>
      </c>
      <c r="E14" s="81" t="s">
        <v>228</v>
      </c>
      <c r="F14" s="22" t="s">
        <v>227</v>
      </c>
      <c r="G14" s="81" t="s">
        <v>229</v>
      </c>
      <c r="H14" s="22" t="s">
        <v>227</v>
      </c>
      <c r="I14" s="89" t="s">
        <v>22</v>
      </c>
      <c r="J14" s="22" t="s">
        <v>227</v>
      </c>
      <c r="K14" s="89" t="s">
        <v>22</v>
      </c>
      <c r="L14" s="22" t="s">
        <v>227</v>
      </c>
      <c r="M14" s="89" t="s">
        <v>22</v>
      </c>
    </row>
    <row r="15" spans="2:13" s="26" customFormat="1">
      <c r="B15" s="22" t="s">
        <v>230</v>
      </c>
      <c r="C15" s="89" t="s">
        <v>22</v>
      </c>
      <c r="D15" s="22" t="s">
        <v>230</v>
      </c>
      <c r="E15" s="81" t="s">
        <v>231</v>
      </c>
      <c r="F15" s="22" t="s">
        <v>230</v>
      </c>
      <c r="G15" s="81" t="s">
        <v>232</v>
      </c>
      <c r="H15" s="22" t="s">
        <v>230</v>
      </c>
      <c r="I15" s="89" t="s">
        <v>22</v>
      </c>
      <c r="J15" s="22" t="s">
        <v>230</v>
      </c>
      <c r="K15" s="89" t="s">
        <v>22</v>
      </c>
      <c r="L15" s="22" t="s">
        <v>230</v>
      </c>
      <c r="M15" s="89" t="s">
        <v>22</v>
      </c>
    </row>
    <row r="16" spans="2:13" s="26" customFormat="1">
      <c r="B16" s="22" t="s">
        <v>233</v>
      </c>
      <c r="C16" s="89" t="s">
        <v>22</v>
      </c>
      <c r="D16" s="22" t="s">
        <v>233</v>
      </c>
      <c r="E16" s="81" t="s">
        <v>234</v>
      </c>
      <c r="F16" s="22" t="s">
        <v>233</v>
      </c>
      <c r="G16" s="81" t="s">
        <v>235</v>
      </c>
      <c r="H16" s="22" t="s">
        <v>233</v>
      </c>
      <c r="I16" s="89" t="s">
        <v>22</v>
      </c>
      <c r="J16" s="22" t="s">
        <v>233</v>
      </c>
      <c r="K16" s="89" t="s">
        <v>22</v>
      </c>
      <c r="L16" s="22" t="s">
        <v>233</v>
      </c>
      <c r="M16" s="89" t="s">
        <v>22</v>
      </c>
    </row>
    <row r="17" spans="2:13" s="26" customFormat="1">
      <c r="B17" s="22" t="s">
        <v>236</v>
      </c>
      <c r="C17" s="89" t="s">
        <v>22</v>
      </c>
      <c r="D17" s="22" t="s">
        <v>236</v>
      </c>
      <c r="E17" s="81" t="s">
        <v>237</v>
      </c>
      <c r="F17" s="22" t="s">
        <v>236</v>
      </c>
      <c r="G17" s="81" t="s">
        <v>238</v>
      </c>
      <c r="H17" s="22" t="s">
        <v>236</v>
      </c>
      <c r="I17" s="89" t="s">
        <v>22</v>
      </c>
      <c r="J17" s="22" t="s">
        <v>236</v>
      </c>
      <c r="K17" s="89" t="s">
        <v>22</v>
      </c>
      <c r="L17" s="22" t="s">
        <v>236</v>
      </c>
      <c r="M17" s="89" t="s">
        <v>22</v>
      </c>
    </row>
    <row r="18" spans="2:13" s="26" customFormat="1">
      <c r="B18" s="22" t="s">
        <v>239</v>
      </c>
      <c r="C18" s="89" t="s">
        <v>22</v>
      </c>
      <c r="D18" s="22" t="s">
        <v>239</v>
      </c>
      <c r="E18" s="89" t="s">
        <v>22</v>
      </c>
      <c r="F18" s="22" t="s">
        <v>239</v>
      </c>
      <c r="G18" s="89" t="s">
        <v>22</v>
      </c>
      <c r="H18" s="22" t="s">
        <v>239</v>
      </c>
      <c r="I18" s="89" t="s">
        <v>22</v>
      </c>
      <c r="J18" s="22" t="s">
        <v>239</v>
      </c>
      <c r="K18" s="89" t="s">
        <v>22</v>
      </c>
      <c r="L18" s="22" t="s">
        <v>239</v>
      </c>
      <c r="M18" s="89" t="s">
        <v>22</v>
      </c>
    </row>
    <row r="19" spans="2:13" s="26" customFormat="1">
      <c r="B19" s="22" t="s">
        <v>240</v>
      </c>
      <c r="C19" s="89" t="s">
        <v>22</v>
      </c>
      <c r="D19" s="22" t="s">
        <v>240</v>
      </c>
      <c r="E19" s="89" t="s">
        <v>22</v>
      </c>
      <c r="F19" s="22" t="s">
        <v>240</v>
      </c>
      <c r="G19" s="89" t="s">
        <v>22</v>
      </c>
      <c r="H19" s="22" t="s">
        <v>240</v>
      </c>
      <c r="I19" s="89" t="s">
        <v>22</v>
      </c>
      <c r="J19" s="22" t="s">
        <v>240</v>
      </c>
      <c r="K19" s="89" t="s">
        <v>22</v>
      </c>
      <c r="L19" s="22" t="s">
        <v>240</v>
      </c>
      <c r="M19" s="89" t="s">
        <v>22</v>
      </c>
    </row>
    <row r="20" spans="2:13" s="26" customFormat="1">
      <c r="B20" s="22" t="s">
        <v>241</v>
      </c>
      <c r="C20" s="89" t="s">
        <v>22</v>
      </c>
      <c r="D20" s="22" t="s">
        <v>241</v>
      </c>
      <c r="E20" s="89" t="s">
        <v>22</v>
      </c>
      <c r="F20" s="22" t="s">
        <v>241</v>
      </c>
      <c r="G20" s="89" t="s">
        <v>22</v>
      </c>
      <c r="H20" s="22" t="s">
        <v>241</v>
      </c>
      <c r="I20" s="89" t="s">
        <v>22</v>
      </c>
      <c r="J20" s="22" t="s">
        <v>241</v>
      </c>
      <c r="K20" s="89" t="s">
        <v>22</v>
      </c>
      <c r="L20" s="22" t="s">
        <v>241</v>
      </c>
      <c r="M20" s="89" t="s">
        <v>22</v>
      </c>
    </row>
    <row r="21" spans="2:13" s="26" customFormat="1">
      <c r="B21" s="22" t="s">
        <v>242</v>
      </c>
      <c r="C21" s="89" t="s">
        <v>22</v>
      </c>
      <c r="D21" s="22" t="s">
        <v>242</v>
      </c>
      <c r="E21" s="89" t="s">
        <v>22</v>
      </c>
      <c r="F21" s="22" t="s">
        <v>242</v>
      </c>
      <c r="G21" s="89" t="s">
        <v>22</v>
      </c>
      <c r="H21" s="22" t="s">
        <v>242</v>
      </c>
      <c r="I21" s="89" t="s">
        <v>22</v>
      </c>
      <c r="J21" s="22" t="s">
        <v>242</v>
      </c>
      <c r="K21" s="89" t="s">
        <v>22</v>
      </c>
      <c r="L21" s="22" t="s">
        <v>242</v>
      </c>
      <c r="M21" s="89" t="s">
        <v>22</v>
      </c>
    </row>
    <row r="22" spans="2:13" s="26" customFormat="1">
      <c r="B22" s="22" t="s">
        <v>243</v>
      </c>
      <c r="C22" s="89" t="s">
        <v>22</v>
      </c>
      <c r="D22" s="22" t="s">
        <v>243</v>
      </c>
      <c r="E22" s="89" t="s">
        <v>22</v>
      </c>
      <c r="F22" s="22" t="s">
        <v>243</v>
      </c>
      <c r="G22" s="89" t="s">
        <v>22</v>
      </c>
      <c r="H22" s="22" t="s">
        <v>243</v>
      </c>
      <c r="I22" s="89" t="s">
        <v>22</v>
      </c>
      <c r="J22" s="22" t="s">
        <v>243</v>
      </c>
      <c r="K22" s="89" t="s">
        <v>22</v>
      </c>
      <c r="L22" s="22" t="s">
        <v>243</v>
      </c>
      <c r="M22" s="89" t="s">
        <v>22</v>
      </c>
    </row>
    <row r="23" spans="2:13" s="26" customFormat="1">
      <c r="B23" s="22" t="s">
        <v>244</v>
      </c>
      <c r="C23" s="89" t="s">
        <v>22</v>
      </c>
      <c r="D23" s="22" t="s">
        <v>244</v>
      </c>
      <c r="E23" s="89" t="s">
        <v>22</v>
      </c>
      <c r="F23" s="22" t="s">
        <v>244</v>
      </c>
      <c r="G23" s="89" t="s">
        <v>22</v>
      </c>
      <c r="H23" s="22" t="s">
        <v>244</v>
      </c>
      <c r="I23" s="89" t="s">
        <v>22</v>
      </c>
      <c r="J23" s="22" t="s">
        <v>244</v>
      </c>
      <c r="K23" s="89" t="s">
        <v>22</v>
      </c>
      <c r="L23" s="22" t="s">
        <v>244</v>
      </c>
      <c r="M23" s="89" t="s">
        <v>22</v>
      </c>
    </row>
    <row r="24" spans="2:13" s="26" customFormat="1">
      <c r="B24" s="22" t="s">
        <v>245</v>
      </c>
      <c r="C24" s="89" t="s">
        <v>22</v>
      </c>
      <c r="D24" s="22" t="s">
        <v>245</v>
      </c>
      <c r="E24" s="89" t="s">
        <v>22</v>
      </c>
      <c r="F24" s="22" t="s">
        <v>245</v>
      </c>
      <c r="G24" s="89" t="s">
        <v>22</v>
      </c>
      <c r="H24" s="22" t="s">
        <v>245</v>
      </c>
      <c r="I24" s="89" t="s">
        <v>22</v>
      </c>
      <c r="J24" s="22" t="s">
        <v>245</v>
      </c>
      <c r="K24" s="89" t="s">
        <v>22</v>
      </c>
      <c r="L24" s="22" t="s">
        <v>245</v>
      </c>
      <c r="M24" s="89" t="s">
        <v>22</v>
      </c>
    </row>
    <row r="25" spans="2:13" s="26" customFormat="1">
      <c r="B25" s="24"/>
      <c r="C25" s="25"/>
      <c r="D25" s="24"/>
      <c r="E25" s="25"/>
      <c r="F25" s="24"/>
      <c r="G25" s="25"/>
      <c r="H25" s="24"/>
      <c r="I25" s="25"/>
      <c r="J25" s="24"/>
      <c r="K25" s="25"/>
      <c r="L25" s="24"/>
      <c r="M25" s="25"/>
    </row>
    <row r="26" spans="2:13" s="26" customFormat="1">
      <c r="D26" s="27"/>
      <c r="F26" s="27"/>
      <c r="H26" s="27"/>
      <c r="J26" s="27"/>
      <c r="L26" s="27"/>
    </row>
    <row r="27" spans="2:13">
      <c r="B27" s="28" t="s">
        <v>246</v>
      </c>
      <c r="C27" s="26"/>
      <c r="D27" s="27"/>
      <c r="E27" s="26"/>
      <c r="F27" s="27"/>
      <c r="G27" s="26"/>
      <c r="H27" s="27"/>
      <c r="I27" s="26"/>
      <c r="J27" s="27"/>
      <c r="K27" s="26"/>
      <c r="L27" s="27"/>
      <c r="M27" s="26"/>
    </row>
    <row r="28" spans="2:13" s="23" customFormat="1">
      <c r="B28" s="24"/>
      <c r="C28" s="25"/>
      <c r="D28" s="24"/>
      <c r="E28" s="25"/>
      <c r="F28" s="24"/>
      <c r="G28" s="25"/>
      <c r="H28" s="24"/>
      <c r="I28" s="25"/>
      <c r="J28" s="24"/>
      <c r="K28" s="25"/>
      <c r="L28" s="24"/>
      <c r="M28" s="25"/>
    </row>
    <row r="29" spans="2:13" s="23" customFormat="1">
      <c r="B29" s="29" t="s">
        <v>247</v>
      </c>
      <c r="D29" s="30"/>
      <c r="G29" s="31" t="s">
        <v>248</v>
      </c>
      <c r="J29" s="30"/>
      <c r="L29" s="30"/>
    </row>
    <row r="30" spans="2:13" s="23" customFormat="1">
      <c r="B30" s="29" t="s">
        <v>249</v>
      </c>
      <c r="D30" s="30"/>
      <c r="G30" s="31" t="s">
        <v>250</v>
      </c>
      <c r="J30" s="30"/>
      <c r="L30" s="30"/>
    </row>
    <row r="31" spans="2:13" s="23" customFormat="1">
      <c r="B31" s="29" t="s">
        <v>251</v>
      </c>
      <c r="D31" s="30"/>
      <c r="G31" s="31" t="s">
        <v>252</v>
      </c>
      <c r="J31" s="30"/>
      <c r="L31" s="30"/>
    </row>
    <row r="32" spans="2:13" s="23" customFormat="1">
      <c r="B32" s="29" t="s">
        <v>253</v>
      </c>
      <c r="D32" s="30"/>
      <c r="G32" s="31" t="s">
        <v>254</v>
      </c>
      <c r="J32" s="30"/>
      <c r="L32" s="30"/>
    </row>
    <row r="33" spans="2:14" s="23" customFormat="1">
      <c r="B33" s="29" t="s">
        <v>255</v>
      </c>
      <c r="D33" s="30"/>
      <c r="G33" s="31" t="s">
        <v>256</v>
      </c>
      <c r="J33" s="30"/>
      <c r="L33" s="30"/>
    </row>
    <row r="34" spans="2:14" s="23" customFormat="1">
      <c r="B34" s="29" t="s">
        <v>257</v>
      </c>
      <c r="D34" s="30"/>
      <c r="G34" s="31" t="s">
        <v>258</v>
      </c>
      <c r="J34" s="30"/>
      <c r="L34" s="30"/>
    </row>
    <row r="35" spans="2:14" s="23" customFormat="1" ht="15" customHeight="1">
      <c r="B35" s="32"/>
      <c r="D35" s="30"/>
      <c r="F35" s="30"/>
      <c r="H35" s="30"/>
      <c r="J35" s="30"/>
      <c r="L35" s="30"/>
      <c r="N35" s="246"/>
    </row>
    <row r="36" spans="2:14" s="23" customFormat="1">
      <c r="B36" s="32" t="s">
        <v>259</v>
      </c>
      <c r="C36" s="246"/>
      <c r="D36" s="246"/>
      <c r="E36" s="246"/>
      <c r="F36" s="246"/>
      <c r="G36" s="246"/>
      <c r="H36" s="246"/>
      <c r="I36" s="246"/>
      <c r="J36" s="246"/>
      <c r="K36" s="246"/>
      <c r="L36" s="246"/>
      <c r="M36" s="246"/>
    </row>
    <row r="37" spans="2:14" s="23" customFormat="1">
      <c r="B37" s="30"/>
      <c r="D37" s="30"/>
      <c r="F37" s="30"/>
      <c r="H37" s="30"/>
      <c r="J37" s="30"/>
      <c r="L37" s="30"/>
    </row>
    <row r="38" spans="2:14">
      <c r="B38" s="30"/>
      <c r="C38" s="23"/>
      <c r="D38" s="30"/>
      <c r="E38" s="23"/>
      <c r="F38" s="30"/>
      <c r="G38" s="23"/>
      <c r="H38" s="30"/>
      <c r="I38" s="23"/>
      <c r="J38" s="30"/>
      <c r="K38" s="23"/>
      <c r="L38" s="30"/>
      <c r="M38" s="23"/>
    </row>
  </sheetData>
  <sheetProtection algorithmName="SHA-512" hashValue="jHgaeVjQp5vmjkti3Ae9cM9gefoK0ug3RTSAxJnwWELl8lV7bTVi0aFh7rnvC6iQOf6nkOkSCtBnyV4mU66NPg==" saltValue="uJ32Krx68vXCODsFOs+RAg==" spinCount="100000" sheet="1" objects="1" scenarios="1"/>
  <dataConsolidate>
    <dataRefs count="1">
      <dataRef name="$C$7:$C$9,$E$7:$E$13"/>
    </dataRefs>
  </dataConsolidate>
  <pageMargins left="0.25" right="0.25" top="0.75" bottom="0.75" header="0.3" footer="0.3"/>
  <pageSetup scale="73" orientation="landscape" r:id="rId1"/>
  <headerFooter>
    <oddFooter>&amp;L&amp;1#&amp;"Calibri"&amp;11&amp;K000000Classification: Protected A</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7" tint="-0.249977111117893"/>
  </sheetPr>
  <dimension ref="B1:Y162"/>
  <sheetViews>
    <sheetView showGridLines="0" topLeftCell="E1" zoomScale="70" zoomScaleNormal="70" workbookViewId="0">
      <selection activeCell="O47" sqref="O47"/>
    </sheetView>
  </sheetViews>
  <sheetFormatPr defaultColWidth="9.42578125" defaultRowHeight="14.1" outlineLevelRow="1" outlineLevelCol="1"/>
  <cols>
    <col min="1" max="1" width="2.42578125" style="1" customWidth="1"/>
    <col min="2" max="2" width="16.42578125" style="2" customWidth="1"/>
    <col min="3" max="3" width="11.42578125" style="2" customWidth="1"/>
    <col min="4" max="4" width="24.28515625" style="2" bestFit="1" customWidth="1"/>
    <col min="5" max="7" width="17.42578125" style="2" customWidth="1"/>
    <col min="8" max="8" width="17.42578125" style="3" customWidth="1"/>
    <col min="9" max="12" width="17.42578125" style="1" customWidth="1"/>
    <col min="13" max="22" width="17.42578125" style="1" customWidth="1" outlineLevel="1"/>
    <col min="23" max="23" width="17.42578125" style="1" customWidth="1"/>
    <col min="24" max="24" width="39.42578125" style="1" customWidth="1"/>
    <col min="25" max="25" width="2.42578125" style="1" customWidth="1"/>
    <col min="26" max="16384" width="9.42578125" style="1"/>
  </cols>
  <sheetData>
    <row r="1" spans="2:25">
      <c r="G1" s="355"/>
      <c r="H1" s="355"/>
      <c r="I1" s="355"/>
      <c r="J1" s="355"/>
      <c r="K1" s="355"/>
    </row>
    <row r="2" spans="2:25" ht="23.65">
      <c r="B2" s="16" t="s">
        <v>260</v>
      </c>
      <c r="F2" s="126"/>
      <c r="G2" s="355"/>
      <c r="H2" s="355"/>
      <c r="I2" s="355"/>
      <c r="J2" s="355"/>
      <c r="K2" s="355"/>
    </row>
    <row r="3" spans="2:25" ht="21">
      <c r="B3" s="19" t="str">
        <f>Validations!$C$6</f>
        <v>Justice Centre</v>
      </c>
      <c r="G3" s="355"/>
      <c r="H3" s="355"/>
      <c r="I3" s="355"/>
      <c r="J3" s="355"/>
      <c r="K3" s="355"/>
    </row>
    <row r="4" spans="2:25" ht="15.6">
      <c r="B4" s="148" t="s">
        <v>261</v>
      </c>
      <c r="E4"/>
      <c r="F4"/>
      <c r="G4"/>
    </row>
    <row r="5" spans="2:25" s="41" customFormat="1">
      <c r="B5" s="43"/>
      <c r="C5" s="6"/>
      <c r="D5" s="6"/>
      <c r="E5" s="6"/>
      <c r="F5" s="6"/>
      <c r="G5" s="6"/>
      <c r="H5" s="50"/>
      <c r="M5" s="1"/>
      <c r="O5" s="1"/>
    </row>
    <row r="6" spans="2:25" s="2" customFormat="1" ht="42">
      <c r="B6" s="144" t="s">
        <v>16</v>
      </c>
      <c r="C6" s="1127" t="s">
        <v>124</v>
      </c>
      <c r="D6" s="1128"/>
      <c r="E6" s="20" t="s">
        <v>13</v>
      </c>
      <c r="F6" s="20" t="s">
        <v>262</v>
      </c>
      <c r="G6" s="20" t="s">
        <v>263</v>
      </c>
      <c r="H6" s="20" t="s">
        <v>264</v>
      </c>
      <c r="I6" s="20" t="s">
        <v>265</v>
      </c>
      <c r="J6" s="20" t="s">
        <v>266</v>
      </c>
      <c r="K6" s="1118" t="s">
        <v>267</v>
      </c>
      <c r="L6" s="1118"/>
      <c r="M6" s="1118"/>
      <c r="N6" s="1118"/>
      <c r="O6" s="1118"/>
      <c r="P6" s="1118"/>
      <c r="Q6" s="1118"/>
      <c r="R6" s="1118"/>
      <c r="S6" s="1118"/>
      <c r="T6" s="1118"/>
      <c r="U6" s="1118"/>
      <c r="V6" s="1118"/>
      <c r="W6" s="1118"/>
      <c r="X6" s="1118"/>
      <c r="Y6" s="1118"/>
    </row>
    <row r="7" spans="2:25" s="4" customFormat="1">
      <c r="B7" s="22" t="s">
        <v>23</v>
      </c>
      <c r="C7" s="1125" t="str">
        <f>IFERROR(INDEX(Validations!$K$10:$K$15,MATCH(B7,Validations!$M$10:$M$15,0),1),"--")</f>
        <v>GFI</v>
      </c>
      <c r="D7" s="1126"/>
      <c r="E7" s="124" t="str">
        <f>IFERROR(INDEX(Validations!$J$10:$J$15,MATCH(B7,Validations!$M$10:$M$15,0),1),"--")</f>
        <v>P-002360</v>
      </c>
      <c r="F7" s="553">
        <f>SUMIFS(W28:W51,D28:D51,"Approved")</f>
        <v>191100000</v>
      </c>
      <c r="G7" s="1035">
        <v>1515000</v>
      </c>
      <c r="H7" s="553">
        <f ca="1">SUMIF(INDEX(FSrc1,,MATCH("Status",INDEX(FSrc1,1,),0)),"Approved",INDEX(FSrc1,,MATCH(CurrentYear,INDEX(FSrc1,1,),0)))</f>
        <v>1515172.2300000004</v>
      </c>
      <c r="I7" s="553">
        <f ca="1">SUMIF(INDEX(FSrc1,,MATCH("Ref.",INDEX(FSrc1,1,),0)),".F1",INDEX(FSrc1,,MATCH(CurrentYear,INDEX(FSrc1,1,),0)))</f>
        <v>1515172.2300000004</v>
      </c>
      <c r="J7" s="1036" t="s">
        <v>268</v>
      </c>
      <c r="K7" s="1124" t="s">
        <v>269</v>
      </c>
      <c r="L7" s="1124"/>
      <c r="M7" s="1124"/>
      <c r="N7" s="1124"/>
      <c r="O7" s="1124"/>
      <c r="P7" s="1124"/>
      <c r="Q7" s="1124"/>
      <c r="R7" s="1124"/>
      <c r="S7" s="1124"/>
      <c r="T7" s="1124"/>
      <c r="U7" s="1124"/>
      <c r="V7" s="1124"/>
      <c r="W7" s="1124"/>
      <c r="X7" s="1124"/>
      <c r="Y7" s="1124"/>
    </row>
    <row r="8" spans="2:25" s="4" customFormat="1">
      <c r="B8" s="22" t="s">
        <v>30</v>
      </c>
      <c r="C8" s="1125" t="str">
        <f>IFERROR(INDEX(Validations!$K$10:$K$15,MATCH(B8,Validations!$M$10:$M$15,0),1),"--")</f>
        <v>--</v>
      </c>
      <c r="D8" s="1126"/>
      <c r="E8" s="124" t="str">
        <f>IFERROR(INDEX(Validations!$J$10:$J$15,MATCH(B8,Validations!$M$10:$M$15,0),1),"--")</f>
        <v>--</v>
      </c>
      <c r="F8" s="553">
        <f>SUMIFS(W58:W78,D58:D78,"Approved")</f>
        <v>0</v>
      </c>
      <c r="G8" s="1035"/>
      <c r="H8" s="553">
        <f ca="1">SUMIF(INDEX(FSrc2,,MATCH("Status",INDEX(FSrc2,1,),0)),"Approved",INDEX(FSrc2,,MATCH(CurrentYear,INDEX(FSrc2,1,),0)))</f>
        <v>0</v>
      </c>
      <c r="I8" s="553">
        <f ca="1">SUMIF(INDEX(FSrc2,,MATCH("Ref.",INDEX(FSrc2,1,),0)),".F2",INDEX(FSrc2,,MATCH(CurrentYear,INDEX(FSrc2,1,),0)))</f>
        <v>0</v>
      </c>
      <c r="J8" s="1036" t="s">
        <v>268</v>
      </c>
      <c r="K8" s="1124" t="s">
        <v>270</v>
      </c>
      <c r="L8" s="1124"/>
      <c r="M8" s="1124"/>
      <c r="N8" s="1124"/>
      <c r="O8" s="1124"/>
      <c r="P8" s="1124"/>
      <c r="Q8" s="1124"/>
      <c r="R8" s="1124"/>
      <c r="S8" s="1124"/>
      <c r="T8" s="1124"/>
      <c r="U8" s="1124"/>
      <c r="V8" s="1124"/>
      <c r="W8" s="1124"/>
      <c r="X8" s="1124"/>
      <c r="Y8" s="1124"/>
    </row>
    <row r="9" spans="2:25" s="4" customFormat="1">
      <c r="B9" s="22" t="s">
        <v>36</v>
      </c>
      <c r="C9" s="1125" t="str">
        <f>IFERROR(INDEX(Validations!$K$10:$K$15,MATCH(B9,Validations!$M$10:$M$15,0),1),"--")</f>
        <v>--</v>
      </c>
      <c r="D9" s="1126"/>
      <c r="E9" s="124" t="str">
        <f>IFERROR(INDEX(Validations!$J$10:$J$15,MATCH(B9,Validations!$M$10:$M$15,0),1),"--")</f>
        <v>--</v>
      </c>
      <c r="F9" s="553">
        <f>SUMIFS(W85:W105,D85:D105,"Approved")</f>
        <v>0</v>
      </c>
      <c r="G9" s="1035"/>
      <c r="H9" s="553">
        <f ca="1">SUMIF(INDEX(FSrc3,,MATCH("Status",INDEX(FSrc3,1,),0)),"Approved",INDEX(FSrc3,,MATCH(CurrentYear,INDEX(FSrc3,1,),0)))</f>
        <v>0</v>
      </c>
      <c r="I9" s="553">
        <f ca="1">SUMIF(INDEX(FSrc3,,MATCH("Ref.",INDEX(FSrc3,1,),0)),".F3",INDEX(FSrc3,,MATCH(CurrentYear,INDEX(FSrc3,1,),0)))</f>
        <v>0</v>
      </c>
      <c r="J9" s="1036"/>
      <c r="K9" s="1124"/>
      <c r="L9" s="1124"/>
      <c r="M9" s="1124"/>
      <c r="N9" s="1124"/>
      <c r="O9" s="1124"/>
      <c r="P9" s="1124"/>
      <c r="Q9" s="1124"/>
      <c r="R9" s="1124"/>
      <c r="S9" s="1124"/>
      <c r="T9" s="1124"/>
      <c r="U9" s="1124"/>
      <c r="V9" s="1124"/>
      <c r="W9" s="1124"/>
      <c r="X9" s="1124"/>
      <c r="Y9" s="1124"/>
    </row>
    <row r="10" spans="2:25" s="4" customFormat="1">
      <c r="B10" s="22" t="s">
        <v>42</v>
      </c>
      <c r="C10" s="1125" t="str">
        <f>IFERROR(INDEX(Validations!$K$10:$K$15,MATCH(B10,Validations!$M$10:$M$15,0),1),"--")</f>
        <v>--</v>
      </c>
      <c r="D10" s="1126"/>
      <c r="E10" s="124" t="str">
        <f>IFERROR(INDEX(Validations!$J$10:$J$15,MATCH(B10,Validations!$M$10:$M$15,0),1),"--")</f>
        <v>--</v>
      </c>
      <c r="F10" s="553">
        <f>SUMIFS(W112:W132,D112:D132,"Approved")</f>
        <v>0</v>
      </c>
      <c r="G10" s="1035"/>
      <c r="H10" s="553">
        <f ca="1">SUMIF(INDEX(FSrc4,,MATCH("Status",INDEX(FSrc4,1,),0)),"Approved",INDEX(FSrc4,,MATCH(CurrentYear,INDEX(FSrc4,1,),0)))</f>
        <v>0</v>
      </c>
      <c r="I10" s="553">
        <f ca="1">SUMIF(INDEX(FSrc4,,MATCH("Ref.",INDEX(FSrc4,1,),0)),".F4",INDEX(FSrc4,,MATCH(CurrentYear,INDEX(FSrc4,1,),0)))</f>
        <v>0</v>
      </c>
      <c r="J10" s="1036"/>
      <c r="K10" s="1124"/>
      <c r="L10" s="1124"/>
      <c r="M10" s="1124"/>
      <c r="N10" s="1124"/>
      <c r="O10" s="1124"/>
      <c r="P10" s="1124"/>
      <c r="Q10" s="1124"/>
      <c r="R10" s="1124"/>
      <c r="S10" s="1124"/>
      <c r="T10" s="1124"/>
      <c r="U10" s="1124"/>
      <c r="V10" s="1124"/>
      <c r="W10" s="1124"/>
      <c r="X10" s="1124"/>
      <c r="Y10" s="1124"/>
    </row>
    <row r="11" spans="2:25" s="4" customFormat="1">
      <c r="B11" s="22" t="s">
        <v>47</v>
      </c>
      <c r="C11" s="1125" t="str">
        <f>IFERROR(INDEX(Validations!$K$10:$K$15,MATCH(B11,Validations!$M$10:$M$15,0),1),"--")</f>
        <v>--</v>
      </c>
      <c r="D11" s="1126"/>
      <c r="E11" s="124" t="str">
        <f>IFERROR(INDEX(Validations!$J$10:$J$15,MATCH(B11,Validations!$M$10:$M$15,0),1),"--")</f>
        <v>--</v>
      </c>
      <c r="F11" s="553">
        <f>SUMIFS(W139:W159,D139:D159,"Approved")</f>
        <v>0</v>
      </c>
      <c r="G11" s="1035"/>
      <c r="H11" s="553">
        <f ca="1">SUMIF(INDEX(FSrc5,,MATCH("Status",INDEX(FSrc5,1,),0)),"Approved",INDEX(FSrc5,,MATCH(CurrentYear,INDEX(FSrc5,1,),0)))</f>
        <v>0</v>
      </c>
      <c r="I11" s="553">
        <f ca="1">SUMIF(INDEX(FSrc5,,MATCH("Ref.",INDEX(FSrc5,1,),0)),".F5",INDEX(FSrc5,,MATCH(CurrentYear,INDEX(FSrc5,1,),0)))</f>
        <v>0</v>
      </c>
      <c r="J11" s="1036"/>
      <c r="K11" s="1124"/>
      <c r="L11" s="1124"/>
      <c r="M11" s="1124"/>
      <c r="N11" s="1124"/>
      <c r="O11" s="1124"/>
      <c r="P11" s="1124"/>
      <c r="Q11" s="1124"/>
      <c r="R11" s="1124"/>
      <c r="S11" s="1124"/>
      <c r="T11" s="1124"/>
      <c r="U11" s="1124"/>
      <c r="V11" s="1124"/>
      <c r="W11" s="1124"/>
      <c r="X11" s="1124"/>
      <c r="Y11" s="1124"/>
    </row>
    <row r="12" spans="2:25" s="4" customFormat="1" ht="9" customHeight="1">
      <c r="B12" s="1037"/>
      <c r="C12" s="1125"/>
      <c r="D12" s="1126"/>
      <c r="E12" s="1038"/>
      <c r="F12" s="553"/>
      <c r="G12" s="1035"/>
      <c r="H12" s="553"/>
      <c r="I12" s="553"/>
      <c r="J12" s="1036"/>
      <c r="K12" s="1124"/>
      <c r="L12" s="1124"/>
      <c r="M12" s="1124"/>
      <c r="N12" s="1124"/>
      <c r="O12" s="1124"/>
      <c r="P12" s="1124"/>
      <c r="Q12" s="1124"/>
      <c r="R12" s="1124"/>
      <c r="S12" s="1124"/>
      <c r="T12" s="1124"/>
      <c r="U12" s="1124"/>
      <c r="V12" s="1124"/>
      <c r="W12" s="1124"/>
      <c r="X12" s="1124"/>
      <c r="Y12" s="1124"/>
    </row>
    <row r="13" spans="2:25">
      <c r="B13" s="114"/>
      <c r="C13" s="115"/>
      <c r="D13" s="115"/>
      <c r="E13" s="222" t="s">
        <v>271</v>
      </c>
      <c r="F13" s="550">
        <f>SUM(F7:F12)</f>
        <v>191100000</v>
      </c>
      <c r="G13" s="550">
        <f>SUM(G7:G12)</f>
        <v>1515000</v>
      </c>
      <c r="H13" s="550">
        <f t="shared" ref="H13:I13" ca="1" si="0">SUM(H7:H12)</f>
        <v>1515172.2300000004</v>
      </c>
      <c r="I13" s="550">
        <f t="shared" ca="1" si="0"/>
        <v>1515172.2300000004</v>
      </c>
      <c r="J13" s="549"/>
      <c r="K13" s="149"/>
      <c r="L13" s="150"/>
      <c r="M13" s="150"/>
      <c r="N13" s="150"/>
      <c r="O13" s="150"/>
      <c r="P13" s="150"/>
      <c r="Q13" s="150"/>
      <c r="R13" s="150"/>
      <c r="S13" s="151"/>
      <c r="T13" s="151"/>
      <c r="U13" s="151"/>
      <c r="V13" s="151"/>
      <c r="W13" s="151"/>
      <c r="X13" s="151"/>
      <c r="Y13" s="151"/>
    </row>
    <row r="14" spans="2:25" s="209" customFormat="1">
      <c r="B14"/>
      <c r="C14"/>
      <c r="D14"/>
      <c r="E14"/>
      <c r="G14" s="558"/>
      <c r="H14" s="208"/>
      <c r="M14" s="4"/>
      <c r="O14" s="4"/>
    </row>
    <row r="15" spans="2:25" s="209" customFormat="1" ht="3.75" customHeight="1">
      <c r="B15" s="206"/>
      <c r="C15" s="206"/>
      <c r="D15" s="206"/>
      <c r="E15" s="198"/>
      <c r="F15" s="207"/>
      <c r="G15" s="206"/>
      <c r="H15" s="208"/>
      <c r="M15" s="4"/>
      <c r="O15" s="4"/>
    </row>
    <row r="16" spans="2:25" s="152" customFormat="1">
      <c r="B16" s="153"/>
      <c r="C16" s="153"/>
      <c r="D16" s="153"/>
      <c r="E16" s="44" t="s">
        <v>272</v>
      </c>
      <c r="F16" s="48"/>
      <c r="G16" s="48"/>
      <c r="H16" s="154"/>
      <c r="M16" s="1"/>
      <c r="O16" s="1"/>
    </row>
    <row r="17" spans="2:24" s="152" customFormat="1">
      <c r="B17" s="153"/>
      <c r="C17" s="153"/>
      <c r="D17" s="557" t="s">
        <v>273</v>
      </c>
      <c r="E17" s="20" t="s">
        <v>28</v>
      </c>
      <c r="F17" s="20" t="s">
        <v>34</v>
      </c>
      <c r="G17" s="20" t="s">
        <v>40</v>
      </c>
      <c r="H17" s="20" t="s">
        <v>45</v>
      </c>
      <c r="I17" s="20" t="s">
        <v>50</v>
      </c>
      <c r="J17" s="20" t="s">
        <v>53</v>
      </c>
      <c r="K17" s="20" t="s">
        <v>58</v>
      </c>
      <c r="L17" s="20" t="s">
        <v>63</v>
      </c>
      <c r="M17" s="20" t="s">
        <v>67</v>
      </c>
      <c r="N17" s="20" t="s">
        <v>72</v>
      </c>
      <c r="O17" s="20" t="s">
        <v>76</v>
      </c>
      <c r="P17" s="20"/>
      <c r="Q17" s="20"/>
      <c r="R17" s="20"/>
      <c r="S17" s="20"/>
      <c r="T17" s="20"/>
      <c r="U17" s="20"/>
      <c r="V17" s="20"/>
      <c r="W17" s="20" t="s">
        <v>274</v>
      </c>
    </row>
    <row r="18" spans="2:24" s="152" customFormat="1">
      <c r="B18" s="114"/>
      <c r="C18" s="115"/>
      <c r="D18" s="386" t="s">
        <v>275</v>
      </c>
      <c r="E18" s="554">
        <f t="shared" ref="E18:V18" ca="1" si="1">SUMIFS(E27:E162,$D27:$D162,"Approved")</f>
        <v>3805074.12</v>
      </c>
      <c r="F18" s="554">
        <f t="shared" ca="1" si="1"/>
        <v>5066302.08</v>
      </c>
      <c r="G18" s="554">
        <f t="shared" ca="1" si="1"/>
        <v>4866360.96</v>
      </c>
      <c r="H18" s="554">
        <f t="shared" ca="1" si="1"/>
        <v>15266680.300000001</v>
      </c>
      <c r="I18" s="554">
        <f t="shared" ca="1" si="1"/>
        <v>30824558.229999997</v>
      </c>
      <c r="J18" s="554">
        <f t="shared" ca="1" si="1"/>
        <v>76980671.719999999</v>
      </c>
      <c r="K18" s="554">
        <f t="shared" ca="1" si="1"/>
        <v>34139180.359999992</v>
      </c>
      <c r="L18" s="554">
        <f t="shared" ca="1" si="1"/>
        <v>11498770</v>
      </c>
      <c r="M18" s="554">
        <f t="shared" ca="1" si="1"/>
        <v>1515172.2300000004</v>
      </c>
      <c r="N18" s="554">
        <f t="shared" ca="1" si="1"/>
        <v>7137230</v>
      </c>
      <c r="O18" s="554">
        <f t="shared" ca="1" si="1"/>
        <v>0</v>
      </c>
      <c r="P18" s="554">
        <f t="shared" ca="1" si="1"/>
        <v>0</v>
      </c>
      <c r="Q18" s="554">
        <f t="shared" ca="1" si="1"/>
        <v>0</v>
      </c>
      <c r="R18" s="554">
        <f t="shared" ca="1" si="1"/>
        <v>0</v>
      </c>
      <c r="S18" s="554">
        <f t="shared" ca="1" si="1"/>
        <v>0</v>
      </c>
      <c r="T18" s="554">
        <f t="shared" ca="1" si="1"/>
        <v>0</v>
      </c>
      <c r="U18" s="554">
        <f t="shared" ca="1" si="1"/>
        <v>0</v>
      </c>
      <c r="V18" s="554">
        <f t="shared" ca="1" si="1"/>
        <v>0</v>
      </c>
      <c r="W18" s="555">
        <f ca="1">SUM(E18:V18)</f>
        <v>191099999.99999997</v>
      </c>
    </row>
    <row r="19" spans="2:24" s="152" customFormat="1">
      <c r="B19" s="114"/>
      <c r="C19" s="115"/>
      <c r="D19" s="386" t="s">
        <v>276</v>
      </c>
      <c r="E19" s="554">
        <f t="shared" ref="E19:J19" ca="1" si="2">E53+E80+E107+E134+E161</f>
        <v>3805074.1200000006</v>
      </c>
      <c r="F19" s="554">
        <f t="shared" ca="1" si="2"/>
        <v>5066302.08</v>
      </c>
      <c r="G19" s="554">
        <f t="shared" ca="1" si="2"/>
        <v>4866360.959999999</v>
      </c>
      <c r="H19" s="554">
        <f t="shared" ca="1" si="2"/>
        <v>15266680.300000001</v>
      </c>
      <c r="I19" s="554">
        <f t="shared" ca="1" si="2"/>
        <v>30824558.23</v>
      </c>
      <c r="J19" s="554">
        <f t="shared" ca="1" si="2"/>
        <v>76980671.719999999</v>
      </c>
      <c r="K19" s="554">
        <f ca="1">K53+K80+K107+K134+K161</f>
        <v>34139180.360000007</v>
      </c>
      <c r="L19" s="554">
        <f t="shared" ref="L19:V19" ca="1" si="3">L53+L80+L107+L134+L161</f>
        <v>11498770.159999998</v>
      </c>
      <c r="M19" s="554">
        <f t="shared" ca="1" si="3"/>
        <v>1515171.99</v>
      </c>
      <c r="N19" s="554">
        <f t="shared" ca="1" si="3"/>
        <v>7137229.9600000009</v>
      </c>
      <c r="O19" s="554">
        <f t="shared" ca="1" si="3"/>
        <v>0</v>
      </c>
      <c r="P19" s="554">
        <f t="shared" ca="1" si="3"/>
        <v>0</v>
      </c>
      <c r="Q19" s="554">
        <f t="shared" ca="1" si="3"/>
        <v>0</v>
      </c>
      <c r="R19" s="554">
        <f t="shared" ca="1" si="3"/>
        <v>0</v>
      </c>
      <c r="S19" s="554">
        <f t="shared" ca="1" si="3"/>
        <v>0</v>
      </c>
      <c r="T19" s="554">
        <f t="shared" ca="1" si="3"/>
        <v>0</v>
      </c>
      <c r="U19" s="554">
        <f t="shared" ca="1" si="3"/>
        <v>0</v>
      </c>
      <c r="V19" s="554">
        <f t="shared" ca="1" si="3"/>
        <v>0</v>
      </c>
      <c r="W19" s="555">
        <f ca="1">SUM(E19:V19)</f>
        <v>191099999.88000003</v>
      </c>
    </row>
    <row r="20" spans="2:24">
      <c r="C20" s="479"/>
      <c r="D20" s="480" t="s">
        <v>277</v>
      </c>
      <c r="E20" s="552">
        <f t="shared" ref="E20:K20" ca="1" si="4">E18-E19</f>
        <v>0</v>
      </c>
      <c r="F20" s="552">
        <f t="shared" ca="1" si="4"/>
        <v>0</v>
      </c>
      <c r="G20" s="552">
        <f t="shared" ca="1" si="4"/>
        <v>0</v>
      </c>
      <c r="H20" s="552">
        <f t="shared" ca="1" si="4"/>
        <v>0</v>
      </c>
      <c r="I20" s="552">
        <f t="shared" ca="1" si="4"/>
        <v>0</v>
      </c>
      <c r="J20" s="552">
        <f t="shared" ca="1" si="4"/>
        <v>0</v>
      </c>
      <c r="K20" s="552">
        <f t="shared" ca="1" si="4"/>
        <v>0</v>
      </c>
      <c r="L20" s="552">
        <f t="shared" ref="L20:N20" ca="1" si="5">L18-L19</f>
        <v>-0.15999999828636646</v>
      </c>
      <c r="M20" s="552">
        <f t="shared" ref="M20:P20" ca="1" si="6">M18-M19</f>
        <v>0.24000000045634806</v>
      </c>
      <c r="N20" s="552">
        <f t="shared" ca="1" si="5"/>
        <v>3.9999999105930328E-2</v>
      </c>
      <c r="O20" s="552">
        <f t="shared" ca="1" si="6"/>
        <v>0</v>
      </c>
      <c r="P20" s="552">
        <f t="shared" ca="1" si="6"/>
        <v>0</v>
      </c>
      <c r="Q20" s="552">
        <f t="shared" ref="Q20:V20" ca="1" si="7">Q18-Q19</f>
        <v>0</v>
      </c>
      <c r="R20" s="552">
        <f t="shared" ca="1" si="7"/>
        <v>0</v>
      </c>
      <c r="S20" s="552">
        <f t="shared" ref="S20:U20" ca="1" si="8">S18-S19</f>
        <v>0</v>
      </c>
      <c r="T20" s="552">
        <f t="shared" ca="1" si="8"/>
        <v>0</v>
      </c>
      <c r="U20" s="552">
        <f t="shared" ca="1" si="8"/>
        <v>0</v>
      </c>
      <c r="V20" s="552">
        <f t="shared" ca="1" si="7"/>
        <v>0</v>
      </c>
      <c r="W20" s="556">
        <f ca="1">W18-W19</f>
        <v>0.11999994516372681</v>
      </c>
    </row>
    <row r="21" spans="2:24">
      <c r="C21" s="54"/>
      <c r="D21" s="161"/>
      <c r="E21" s="556"/>
      <c r="F21" s="556"/>
      <c r="G21" s="556"/>
      <c r="H21" s="556"/>
      <c r="I21" s="556"/>
      <c r="J21" s="556"/>
      <c r="K21" s="556"/>
      <c r="L21" s="556"/>
      <c r="M21" s="556"/>
      <c r="N21" s="556"/>
      <c r="O21" s="556"/>
      <c r="P21" s="556"/>
      <c r="Q21" s="556"/>
      <c r="R21" s="556"/>
      <c r="S21" s="556"/>
      <c r="T21" s="556"/>
      <c r="U21" s="556"/>
      <c r="V21" s="556"/>
      <c r="W21" s="556"/>
    </row>
    <row r="22" spans="2:24">
      <c r="B22" s="114"/>
      <c r="C22" s="115"/>
      <c r="D22" s="386" t="s">
        <v>278</v>
      </c>
      <c r="E22" s="554">
        <f>SUM(E51,E78,E105,E132,E159)</f>
        <v>3805074.12</v>
      </c>
      <c r="F22" s="554">
        <f t="shared" ref="F22:V22" si="9">SUM(F51,F78,F105,F132,F159)</f>
        <v>5066302.08</v>
      </c>
      <c r="G22" s="554">
        <f t="shared" si="9"/>
        <v>4866360.96</v>
      </c>
      <c r="H22" s="554">
        <f t="shared" si="9"/>
        <v>15266680.300000001</v>
      </c>
      <c r="I22" s="554">
        <f t="shared" si="9"/>
        <v>30824558.229999997</v>
      </c>
      <c r="J22" s="554">
        <f t="shared" si="9"/>
        <v>76980671.719999999</v>
      </c>
      <c r="K22" s="554">
        <f t="shared" si="9"/>
        <v>34139180.359999992</v>
      </c>
      <c r="L22" s="554">
        <f t="shared" si="9"/>
        <v>11498770</v>
      </c>
      <c r="M22" s="554">
        <f t="shared" si="9"/>
        <v>1515172.2300000004</v>
      </c>
      <c r="N22" s="554">
        <f t="shared" si="9"/>
        <v>7137230</v>
      </c>
      <c r="O22" s="554">
        <f t="shared" si="9"/>
        <v>0</v>
      </c>
      <c r="P22" s="554">
        <f t="shared" si="9"/>
        <v>0</v>
      </c>
      <c r="Q22" s="554">
        <f t="shared" si="9"/>
        <v>0</v>
      </c>
      <c r="R22" s="554">
        <f t="shared" si="9"/>
        <v>0</v>
      </c>
      <c r="S22" s="554">
        <f t="shared" si="9"/>
        <v>0</v>
      </c>
      <c r="T22" s="554">
        <f t="shared" si="9"/>
        <v>0</v>
      </c>
      <c r="U22" s="554">
        <f t="shared" si="9"/>
        <v>0</v>
      </c>
      <c r="V22" s="554">
        <f t="shared" si="9"/>
        <v>0</v>
      </c>
      <c r="W22" s="555">
        <f>SUM(E22:V22)</f>
        <v>191099999.99999997</v>
      </c>
    </row>
    <row r="23" spans="2:24">
      <c r="B23" s="114"/>
      <c r="C23" s="115"/>
      <c r="D23" s="386" t="s">
        <v>276</v>
      </c>
      <c r="E23" s="554">
        <f ca="1">E19</f>
        <v>3805074.1200000006</v>
      </c>
      <c r="F23" s="554">
        <f t="shared" ref="F23:V23" ca="1" si="10">F19</f>
        <v>5066302.08</v>
      </c>
      <c r="G23" s="554">
        <f t="shared" ca="1" si="10"/>
        <v>4866360.959999999</v>
      </c>
      <c r="H23" s="554">
        <f t="shared" ca="1" si="10"/>
        <v>15266680.300000001</v>
      </c>
      <c r="I23" s="554">
        <f t="shared" ca="1" si="10"/>
        <v>30824558.23</v>
      </c>
      <c r="J23" s="554">
        <f t="shared" ca="1" si="10"/>
        <v>76980671.719999999</v>
      </c>
      <c r="K23" s="554">
        <f t="shared" ca="1" si="10"/>
        <v>34139180.360000007</v>
      </c>
      <c r="L23" s="554">
        <f t="shared" ca="1" si="10"/>
        <v>11498770.159999998</v>
      </c>
      <c r="M23" s="554">
        <f t="shared" ca="1" si="10"/>
        <v>1515171.99</v>
      </c>
      <c r="N23" s="554">
        <f t="shared" ca="1" si="10"/>
        <v>7137229.9600000009</v>
      </c>
      <c r="O23" s="554">
        <f t="shared" ca="1" si="10"/>
        <v>0</v>
      </c>
      <c r="P23" s="554">
        <f t="shared" ca="1" si="10"/>
        <v>0</v>
      </c>
      <c r="Q23" s="554">
        <f t="shared" ca="1" si="10"/>
        <v>0</v>
      </c>
      <c r="R23" s="554">
        <f t="shared" ca="1" si="10"/>
        <v>0</v>
      </c>
      <c r="S23" s="554">
        <f t="shared" ca="1" si="10"/>
        <v>0</v>
      </c>
      <c r="T23" s="554">
        <f t="shared" ca="1" si="10"/>
        <v>0</v>
      </c>
      <c r="U23" s="554">
        <f t="shared" ca="1" si="10"/>
        <v>0</v>
      </c>
      <c r="V23" s="554">
        <f t="shared" ca="1" si="10"/>
        <v>0</v>
      </c>
      <c r="W23" s="555">
        <f ca="1">SUM(E23:V23)</f>
        <v>191099999.88000003</v>
      </c>
    </row>
    <row r="24" spans="2:24">
      <c r="C24" s="479"/>
      <c r="D24" s="480" t="s">
        <v>277</v>
      </c>
      <c r="E24" s="552">
        <f t="shared" ref="E24:V24" ca="1" si="11">E22-E23</f>
        <v>0</v>
      </c>
      <c r="F24" s="552">
        <f t="shared" ca="1" si="11"/>
        <v>0</v>
      </c>
      <c r="G24" s="552">
        <f t="shared" ca="1" si="11"/>
        <v>0</v>
      </c>
      <c r="H24" s="552">
        <f t="shared" ca="1" si="11"/>
        <v>0</v>
      </c>
      <c r="I24" s="552">
        <f t="shared" ca="1" si="11"/>
        <v>0</v>
      </c>
      <c r="J24" s="552">
        <f t="shared" ca="1" si="11"/>
        <v>0</v>
      </c>
      <c r="K24" s="552">
        <f t="shared" ca="1" si="11"/>
        <v>0</v>
      </c>
      <c r="L24" s="552">
        <f t="shared" ca="1" si="11"/>
        <v>-0.15999999828636646</v>
      </c>
      <c r="M24" s="552">
        <f t="shared" ca="1" si="11"/>
        <v>0.24000000045634806</v>
      </c>
      <c r="N24" s="552">
        <f t="shared" ca="1" si="11"/>
        <v>3.9999999105930328E-2</v>
      </c>
      <c r="O24" s="552">
        <f t="shared" ca="1" si="11"/>
        <v>0</v>
      </c>
      <c r="P24" s="552">
        <f t="shared" ca="1" si="11"/>
        <v>0</v>
      </c>
      <c r="Q24" s="552">
        <f t="shared" ca="1" si="11"/>
        <v>0</v>
      </c>
      <c r="R24" s="552">
        <f t="shared" ca="1" si="11"/>
        <v>0</v>
      </c>
      <c r="S24" s="552">
        <f t="shared" ca="1" si="11"/>
        <v>0</v>
      </c>
      <c r="T24" s="552">
        <f t="shared" ca="1" si="11"/>
        <v>0</v>
      </c>
      <c r="U24" s="552">
        <f t="shared" ca="1" si="11"/>
        <v>0</v>
      </c>
      <c r="V24" s="552">
        <f t="shared" ca="1" si="11"/>
        <v>0</v>
      </c>
      <c r="W24" s="556">
        <f ca="1">W22-W23</f>
        <v>0.11999994516372681</v>
      </c>
    </row>
    <row r="25" spans="2:24" s="152" customFormat="1">
      <c r="B25" s="156"/>
      <c r="C25" s="157"/>
      <c r="D25" s="157"/>
      <c r="E25" s="532"/>
      <c r="F25" s="532"/>
      <c r="G25" s="532"/>
      <c r="H25" s="532"/>
      <c r="I25" s="532"/>
      <c r="J25" s="532"/>
      <c r="K25" s="532"/>
      <c r="L25" s="532"/>
      <c r="M25" s="532"/>
      <c r="N25" s="532"/>
      <c r="O25" s="532"/>
      <c r="P25" s="532"/>
      <c r="Q25" s="532"/>
      <c r="R25" s="532"/>
      <c r="S25" s="532"/>
      <c r="T25" s="532"/>
      <c r="U25" s="532"/>
      <c r="V25" s="532"/>
      <c r="W25" s="533"/>
    </row>
    <row r="26" spans="2:24" s="158" customFormat="1">
      <c r="B26" s="159" t="s">
        <v>279</v>
      </c>
      <c r="C26" s="160"/>
      <c r="D26" s="160"/>
      <c r="E26" s="534"/>
      <c r="F26" s="535"/>
      <c r="G26" s="536"/>
      <c r="H26" s="537"/>
      <c r="I26" s="537"/>
      <c r="J26" s="537"/>
      <c r="K26" s="537"/>
      <c r="L26" s="537"/>
      <c r="M26" s="537"/>
      <c r="N26" s="537"/>
      <c r="O26" s="537"/>
      <c r="P26" s="537"/>
      <c r="Q26" s="537"/>
      <c r="R26" s="537"/>
      <c r="S26" s="537"/>
      <c r="T26" s="537"/>
      <c r="U26" s="537"/>
      <c r="V26" s="537"/>
      <c r="W26" s="537"/>
    </row>
    <row r="27" spans="2:24" s="158" customFormat="1">
      <c r="B27" s="144" t="s">
        <v>280</v>
      </c>
      <c r="C27" s="144" t="s">
        <v>281</v>
      </c>
      <c r="D27" s="144" t="s">
        <v>282</v>
      </c>
      <c r="E27" s="20" t="str">
        <f>E$17</f>
        <v>2017-18</v>
      </c>
      <c r="F27" s="20" t="str">
        <f t="shared" ref="F27:V27" si="12">F$17</f>
        <v>2018-19</v>
      </c>
      <c r="G27" s="20" t="str">
        <f t="shared" si="12"/>
        <v>2019-20</v>
      </c>
      <c r="H27" s="20" t="str">
        <f t="shared" si="12"/>
        <v>2020-21</v>
      </c>
      <c r="I27" s="20" t="str">
        <f t="shared" si="12"/>
        <v>2021-22</v>
      </c>
      <c r="J27" s="20" t="str">
        <f t="shared" si="12"/>
        <v>2022-23</v>
      </c>
      <c r="K27" s="20" t="str">
        <f t="shared" si="12"/>
        <v>2023-24</v>
      </c>
      <c r="L27" s="20" t="str">
        <f t="shared" si="12"/>
        <v>2024-25</v>
      </c>
      <c r="M27" s="20" t="str">
        <f t="shared" si="12"/>
        <v>2025-26</v>
      </c>
      <c r="N27" s="20" t="str">
        <f t="shared" si="12"/>
        <v>2026-27</v>
      </c>
      <c r="O27" s="20" t="str">
        <f t="shared" si="12"/>
        <v>2027-28</v>
      </c>
      <c r="P27" s="20">
        <f t="shared" si="12"/>
        <v>0</v>
      </c>
      <c r="Q27" s="20">
        <f t="shared" si="12"/>
        <v>0</v>
      </c>
      <c r="R27" s="20">
        <f t="shared" si="12"/>
        <v>0</v>
      </c>
      <c r="S27" s="20">
        <f t="shared" si="12"/>
        <v>0</v>
      </c>
      <c r="T27" s="20">
        <f t="shared" si="12"/>
        <v>0</v>
      </c>
      <c r="U27" s="20">
        <f t="shared" si="12"/>
        <v>0</v>
      </c>
      <c r="V27" s="20">
        <f t="shared" si="12"/>
        <v>0</v>
      </c>
      <c r="W27" s="20" t="s">
        <v>274</v>
      </c>
      <c r="X27" s="144" t="s">
        <v>267</v>
      </c>
    </row>
    <row r="28" spans="2:24" s="4" customFormat="1">
      <c r="B28" s="1039" t="s">
        <v>283</v>
      </c>
      <c r="C28" s="1040">
        <v>42884</v>
      </c>
      <c r="D28" s="1041" t="s">
        <v>106</v>
      </c>
      <c r="E28" s="1042">
        <v>25047000</v>
      </c>
      <c r="F28" s="1042">
        <v>20643000</v>
      </c>
      <c r="G28" s="1042">
        <v>25270000</v>
      </c>
      <c r="H28" s="1042">
        <v>26005000</v>
      </c>
      <c r="I28" s="1042">
        <v>50216000</v>
      </c>
      <c r="J28" s="1042"/>
      <c r="K28" s="1042"/>
      <c r="L28" s="1042"/>
      <c r="M28" s="1042"/>
      <c r="N28" s="1042"/>
      <c r="O28" s="1042"/>
      <c r="P28" s="1042"/>
      <c r="Q28" s="1042"/>
      <c r="R28" s="1042"/>
      <c r="S28" s="1042"/>
      <c r="T28" s="1042"/>
      <c r="U28" s="1042"/>
      <c r="V28" s="1042"/>
      <c r="W28" s="42">
        <f t="shared" ref="W28:W46" si="13">SUM(E28:V28)</f>
        <v>147181000</v>
      </c>
      <c r="X28" s="1043"/>
    </row>
    <row r="29" spans="2:24" s="4" customFormat="1">
      <c r="B29" s="1039" t="s">
        <v>284</v>
      </c>
      <c r="C29" s="1040">
        <v>43191</v>
      </c>
      <c r="D29" s="1041" t="s">
        <v>106</v>
      </c>
      <c r="E29" s="1042">
        <v>-21415000</v>
      </c>
      <c r="F29" s="1042">
        <v>-15408000</v>
      </c>
      <c r="G29" s="1042">
        <v>-12135000</v>
      </c>
      <c r="H29" s="1042">
        <v>20856000</v>
      </c>
      <c r="I29" s="1042">
        <v>20830000</v>
      </c>
      <c r="J29" s="1042">
        <v>43921000</v>
      </c>
      <c r="K29" s="1042">
        <v>20295000</v>
      </c>
      <c r="L29" s="1042"/>
      <c r="M29" s="1042"/>
      <c r="N29" s="1042"/>
      <c r="O29" s="1042"/>
      <c r="P29" s="1042"/>
      <c r="Q29" s="1042"/>
      <c r="R29" s="1042"/>
      <c r="S29" s="1042"/>
      <c r="T29" s="1042"/>
      <c r="U29" s="1042"/>
      <c r="V29" s="1042"/>
      <c r="W29" s="42">
        <f t="shared" si="13"/>
        <v>56944000</v>
      </c>
      <c r="X29" s="1043"/>
    </row>
    <row r="30" spans="2:24" s="4" customFormat="1">
      <c r="B30" s="1039" t="s">
        <v>285</v>
      </c>
      <c r="C30" s="1040"/>
      <c r="D30" s="1041" t="s">
        <v>106</v>
      </c>
      <c r="E30" s="1042"/>
      <c r="F30" s="1042"/>
      <c r="G30" s="1042">
        <v>-4135000</v>
      </c>
      <c r="H30" s="1042">
        <v>1264000</v>
      </c>
      <c r="I30" s="1042">
        <v>4135000</v>
      </c>
      <c r="J30" s="1042">
        <v>7016000</v>
      </c>
      <c r="K30" s="1042">
        <v>-288733</v>
      </c>
      <c r="L30" s="1042"/>
      <c r="M30" s="1042"/>
      <c r="N30" s="1042"/>
      <c r="O30" s="1042"/>
      <c r="P30" s="1042"/>
      <c r="Q30" s="1042"/>
      <c r="R30" s="1042"/>
      <c r="S30" s="1042"/>
      <c r="T30" s="1042"/>
      <c r="U30" s="1042"/>
      <c r="V30" s="1042"/>
      <c r="W30" s="42">
        <f t="shared" si="13"/>
        <v>7991267</v>
      </c>
      <c r="X30" s="1043"/>
    </row>
    <row r="31" spans="2:24" s="4" customFormat="1">
      <c r="B31" s="1039"/>
      <c r="C31" s="1040"/>
      <c r="D31" s="1041" t="s">
        <v>106</v>
      </c>
      <c r="E31" s="1042">
        <v>-742</v>
      </c>
      <c r="F31" s="1042">
        <v>-446701</v>
      </c>
      <c r="G31" s="1042">
        <v>-3495800</v>
      </c>
      <c r="H31" s="1042">
        <v>-540000</v>
      </c>
      <c r="I31" s="1042">
        <v>-3042000</v>
      </c>
      <c r="J31" s="1042">
        <v>-600000</v>
      </c>
      <c r="K31" s="1042">
        <v>133976</v>
      </c>
      <c r="L31" s="1042"/>
      <c r="M31" s="1042"/>
      <c r="N31" s="1042"/>
      <c r="O31" s="1042"/>
      <c r="P31" s="1042"/>
      <c r="Q31" s="1042"/>
      <c r="R31" s="1042"/>
      <c r="S31" s="1042"/>
      <c r="T31" s="1042"/>
      <c r="U31" s="1042"/>
      <c r="V31" s="1042"/>
      <c r="W31" s="42">
        <f t="shared" si="13"/>
        <v>-7991267</v>
      </c>
      <c r="X31" s="1043"/>
    </row>
    <row r="32" spans="2:24" s="4" customFormat="1">
      <c r="B32" s="1039" t="s">
        <v>286</v>
      </c>
      <c r="C32" s="1040">
        <v>43888</v>
      </c>
      <c r="D32" s="1041" t="s">
        <v>106</v>
      </c>
      <c r="E32" s="1042">
        <v>1050.1199999999999</v>
      </c>
      <c r="F32" s="1042">
        <v>1386.08</v>
      </c>
      <c r="G32" s="1042">
        <v>-402200</v>
      </c>
      <c r="H32" s="1042">
        <v>-14853000</v>
      </c>
      <c r="I32" s="1042">
        <v>-14328000</v>
      </c>
      <c r="J32" s="1042">
        <v>14737000</v>
      </c>
      <c r="K32" s="1042">
        <f>14843764-0.2</f>
        <v>14843763.800000001</v>
      </c>
      <c r="L32" s="1042"/>
      <c r="M32" s="1042"/>
      <c r="N32" s="1042"/>
      <c r="O32" s="1042"/>
      <c r="P32" s="1042"/>
      <c r="Q32" s="1042"/>
      <c r="R32" s="1042"/>
      <c r="S32" s="1042"/>
      <c r="T32" s="1042"/>
      <c r="U32" s="1042"/>
      <c r="V32" s="1042"/>
      <c r="W32" s="42">
        <f t="shared" si="13"/>
        <v>0</v>
      </c>
      <c r="X32" s="1043"/>
    </row>
    <row r="33" spans="2:24" s="4" customFormat="1">
      <c r="B33" s="1039" t="s">
        <v>287</v>
      </c>
      <c r="C33" s="1040">
        <v>44104</v>
      </c>
      <c r="D33" s="1041" t="s">
        <v>106</v>
      </c>
      <c r="E33" s="1042"/>
      <c r="F33" s="1042"/>
      <c r="G33" s="1042">
        <v>-642947</v>
      </c>
      <c r="H33" s="1042">
        <v>-10417632</v>
      </c>
      <c r="I33" s="1042">
        <v>-10315000</v>
      </c>
      <c r="J33" s="1042">
        <v>9501000</v>
      </c>
      <c r="K33" s="1042">
        <v>11874579</v>
      </c>
      <c r="L33" s="1042"/>
      <c r="M33" s="1042"/>
      <c r="N33" s="1042"/>
      <c r="O33" s="1042"/>
      <c r="P33" s="1042"/>
      <c r="Q33" s="1042"/>
      <c r="R33" s="1042"/>
      <c r="S33" s="1042"/>
      <c r="T33" s="1042"/>
      <c r="U33" s="1042"/>
      <c r="V33" s="1042"/>
      <c r="W33" s="42">
        <f t="shared" si="13"/>
        <v>0</v>
      </c>
      <c r="X33" s="1043"/>
    </row>
    <row r="34" spans="2:24" s="4" customFormat="1" ht="22.9" hidden="1" customHeight="1">
      <c r="B34" s="1039" t="s">
        <v>288</v>
      </c>
      <c r="C34" s="1040">
        <v>44106</v>
      </c>
      <c r="D34" s="1041" t="s">
        <v>106</v>
      </c>
      <c r="E34" s="1042">
        <v>172766</v>
      </c>
      <c r="F34" s="1042">
        <v>276617</v>
      </c>
      <c r="G34" s="1042">
        <f>407308-0.04</f>
        <v>407307.96</v>
      </c>
      <c r="H34" s="1042">
        <f>412632+0.3</f>
        <v>412632.3</v>
      </c>
      <c r="I34" s="1042">
        <f>589000+0.23</f>
        <v>589000.23</v>
      </c>
      <c r="J34" s="1042">
        <v>587000</v>
      </c>
      <c r="K34" s="1042">
        <f>529677-0.49</f>
        <v>529676.51</v>
      </c>
      <c r="L34" s="1042"/>
      <c r="M34" s="1042"/>
      <c r="N34" s="1042"/>
      <c r="O34" s="1042"/>
      <c r="P34" s="1042"/>
      <c r="Q34" s="1042"/>
      <c r="R34" s="1042"/>
      <c r="S34" s="1042"/>
      <c r="T34" s="1042"/>
      <c r="U34" s="1042"/>
      <c r="V34" s="1042"/>
      <c r="W34" s="42">
        <f t="shared" si="13"/>
        <v>2975000</v>
      </c>
      <c r="X34" s="1043"/>
    </row>
    <row r="35" spans="2:24" s="4" customFormat="1" hidden="1">
      <c r="B35" s="1039" t="s">
        <v>289</v>
      </c>
      <c r="C35" s="1040">
        <v>44138</v>
      </c>
      <c r="D35" s="1041" t="s">
        <v>106</v>
      </c>
      <c r="E35" s="1042"/>
      <c r="F35" s="1042"/>
      <c r="G35" s="1042"/>
      <c r="H35" s="1042">
        <v>-6409000</v>
      </c>
      <c r="I35" s="1042">
        <v>2056000</v>
      </c>
      <c r="J35" s="1042">
        <v>542000</v>
      </c>
      <c r="K35" s="1042">
        <v>3811000</v>
      </c>
      <c r="L35" s="1042"/>
      <c r="M35" s="1042"/>
      <c r="N35" s="1042"/>
      <c r="O35" s="1042"/>
      <c r="P35" s="1042"/>
      <c r="Q35" s="1042"/>
      <c r="R35" s="1042"/>
      <c r="S35" s="1042"/>
      <c r="T35" s="1042"/>
      <c r="U35" s="1042"/>
      <c r="V35" s="1042"/>
      <c r="W35" s="42">
        <f t="shared" ref="W35:W40" si="14">SUM(E35:V35)</f>
        <v>0</v>
      </c>
      <c r="X35" s="1043" t="s">
        <v>290</v>
      </c>
    </row>
    <row r="36" spans="2:24" s="4" customFormat="1" hidden="1">
      <c r="B36" s="1039" t="s">
        <v>291</v>
      </c>
      <c r="C36" s="1040">
        <v>44435</v>
      </c>
      <c r="D36" s="1041" t="s">
        <v>106</v>
      </c>
      <c r="E36" s="1042"/>
      <c r="F36" s="1042"/>
      <c r="G36" s="1042"/>
      <c r="H36" s="1042">
        <v>-1051320</v>
      </c>
      <c r="I36" s="1042"/>
      <c r="J36" s="1042">
        <v>201000</v>
      </c>
      <c r="K36" s="1042">
        <v>850320</v>
      </c>
      <c r="L36" s="1042"/>
      <c r="M36" s="1042"/>
      <c r="N36" s="1042"/>
      <c r="O36" s="1042"/>
      <c r="P36" s="1042"/>
      <c r="Q36" s="1042"/>
      <c r="R36" s="1042"/>
      <c r="S36" s="1042"/>
      <c r="T36" s="1042"/>
      <c r="U36" s="1042"/>
      <c r="V36" s="1042"/>
      <c r="W36" s="42">
        <f t="shared" si="14"/>
        <v>0</v>
      </c>
      <c r="X36" s="1043"/>
    </row>
    <row r="37" spans="2:24" s="4" customFormat="1" hidden="1">
      <c r="B37" s="1039" t="s">
        <v>292</v>
      </c>
      <c r="C37" s="1040">
        <v>44435</v>
      </c>
      <c r="D37" s="1041" t="s">
        <v>106</v>
      </c>
      <c r="E37" s="1042"/>
      <c r="F37" s="1042"/>
      <c r="G37" s="1042"/>
      <c r="H37" s="1042"/>
      <c r="I37" s="1042">
        <v>-2058000</v>
      </c>
      <c r="J37" s="1042">
        <v>-174000</v>
      </c>
      <c r="K37" s="1042">
        <v>2232000</v>
      </c>
      <c r="L37" s="1042"/>
      <c r="M37" s="1042"/>
      <c r="N37" s="1042"/>
      <c r="O37" s="1042"/>
      <c r="P37" s="1042"/>
      <c r="Q37" s="1042"/>
      <c r="R37" s="1042"/>
      <c r="S37" s="1042"/>
      <c r="T37" s="1042"/>
      <c r="U37" s="1042"/>
      <c r="V37" s="1042"/>
      <c r="W37" s="42">
        <f t="shared" si="14"/>
        <v>0</v>
      </c>
      <c r="X37" s="1043"/>
    </row>
    <row r="38" spans="2:24" s="4" customFormat="1" hidden="1">
      <c r="B38" s="1039" t="s">
        <v>293</v>
      </c>
      <c r="C38" s="1040">
        <v>44526</v>
      </c>
      <c r="D38" s="1041" t="s">
        <v>106</v>
      </c>
      <c r="E38" s="1042"/>
      <c r="F38" s="1042"/>
      <c r="G38" s="1042"/>
      <c r="H38" s="1042"/>
      <c r="I38" s="1042">
        <v>-21642000</v>
      </c>
      <c r="J38" s="1042">
        <v>-12752000</v>
      </c>
      <c r="K38" s="1042">
        <v>-2651000</v>
      </c>
      <c r="L38" s="1042">
        <v>37045000</v>
      </c>
      <c r="M38" s="1042"/>
      <c r="N38" s="1042"/>
      <c r="O38" s="1042"/>
      <c r="P38" s="1042"/>
      <c r="Q38" s="1042"/>
      <c r="R38" s="1042"/>
      <c r="S38" s="1042"/>
      <c r="T38" s="1042"/>
      <c r="U38" s="1042"/>
      <c r="V38" s="1042"/>
      <c r="W38" s="42">
        <f t="shared" si="14"/>
        <v>0</v>
      </c>
      <c r="X38" s="1043"/>
    </row>
    <row r="39" spans="2:24" s="4" customFormat="1" ht="27.95" hidden="1">
      <c r="B39" s="1039" t="s">
        <v>294</v>
      </c>
      <c r="C39" s="1040">
        <v>44798</v>
      </c>
      <c r="D39" s="1041" t="s">
        <v>106</v>
      </c>
      <c r="E39" s="1042"/>
      <c r="F39" s="1042"/>
      <c r="G39" s="1042"/>
      <c r="H39" s="1042"/>
      <c r="I39" s="1042">
        <v>4383558</v>
      </c>
      <c r="J39" s="1042"/>
      <c r="K39" s="1042"/>
      <c r="L39" s="1042">
        <v>-8383558</v>
      </c>
      <c r="M39" s="1042"/>
      <c r="N39" s="1042"/>
      <c r="O39" s="1042"/>
      <c r="P39" s="1042"/>
      <c r="Q39" s="1042"/>
      <c r="R39" s="1042"/>
      <c r="S39" s="1042"/>
      <c r="T39" s="1042"/>
      <c r="U39" s="1042"/>
      <c r="V39" s="1042"/>
      <c r="W39" s="42">
        <f t="shared" si="14"/>
        <v>-4000000</v>
      </c>
      <c r="X39" s="1043" t="s">
        <v>295</v>
      </c>
    </row>
    <row r="40" spans="2:24" s="4" customFormat="1" hidden="1">
      <c r="B40" s="1039" t="s">
        <v>296</v>
      </c>
      <c r="C40" s="1040">
        <v>44775</v>
      </c>
      <c r="D40" s="1041" t="s">
        <v>106</v>
      </c>
      <c r="E40" s="1042"/>
      <c r="F40" s="1042"/>
      <c r="G40" s="1042"/>
      <c r="H40" s="1042"/>
      <c r="I40" s="1042"/>
      <c r="J40" s="1042">
        <v>-3149000</v>
      </c>
      <c r="K40" s="1042"/>
      <c r="L40" s="1042">
        <v>7149000</v>
      </c>
      <c r="M40" s="1042"/>
      <c r="N40" s="1042"/>
      <c r="O40" s="1042"/>
      <c r="P40" s="1042"/>
      <c r="Q40" s="1042"/>
      <c r="R40" s="1042"/>
      <c r="S40" s="1042"/>
      <c r="T40" s="1042"/>
      <c r="U40" s="1042"/>
      <c r="V40" s="1042"/>
      <c r="W40" s="42">
        <f t="shared" si="14"/>
        <v>4000000</v>
      </c>
      <c r="X40" s="1043" t="s">
        <v>297</v>
      </c>
    </row>
    <row r="41" spans="2:24" s="4" customFormat="1" ht="55.9" hidden="1">
      <c r="B41" s="1039" t="s">
        <v>298</v>
      </c>
      <c r="C41" s="1040">
        <v>44797</v>
      </c>
      <c r="D41" s="1041" t="s">
        <v>106</v>
      </c>
      <c r="E41" s="1042"/>
      <c r="F41" s="1042"/>
      <c r="G41" s="1042"/>
      <c r="H41" s="1042"/>
      <c r="I41" s="1042"/>
      <c r="J41" s="1042"/>
      <c r="K41" s="1042"/>
      <c r="L41" s="1042">
        <v>-4000000</v>
      </c>
      <c r="M41" s="1042"/>
      <c r="N41" s="1042"/>
      <c r="O41" s="1042"/>
      <c r="P41" s="1042"/>
      <c r="Q41" s="1042"/>
      <c r="R41" s="1042"/>
      <c r="S41" s="1042"/>
      <c r="T41" s="1042"/>
      <c r="U41" s="1042"/>
      <c r="V41" s="1042"/>
      <c r="W41" s="42">
        <f t="shared" si="13"/>
        <v>-4000000</v>
      </c>
      <c r="X41" s="1043" t="s">
        <v>299</v>
      </c>
    </row>
    <row r="42" spans="2:24" s="4" customFormat="1" hidden="1">
      <c r="B42" s="1039" t="s">
        <v>300</v>
      </c>
      <c r="C42" s="1040">
        <v>45154</v>
      </c>
      <c r="D42" s="1041" t="s">
        <v>106</v>
      </c>
      <c r="E42" s="1042"/>
      <c r="F42" s="1042"/>
      <c r="G42" s="1042"/>
      <c r="H42" s="1042"/>
      <c r="I42" s="1042"/>
      <c r="J42" s="1042">
        <v>17150671.719999999</v>
      </c>
      <c r="K42" s="1042">
        <f>34480000-51630583-89+0.28</f>
        <v>-17150671.719999999</v>
      </c>
      <c r="L42" s="1042"/>
      <c r="M42" s="1042"/>
      <c r="N42" s="1042"/>
      <c r="O42" s="1042"/>
      <c r="P42" s="1042"/>
      <c r="Q42" s="1042"/>
      <c r="R42" s="1042"/>
      <c r="S42" s="1042"/>
      <c r="T42" s="1042"/>
      <c r="U42" s="1042"/>
      <c r="V42" s="1042"/>
      <c r="W42" s="42">
        <f>SUM(E42:V42)</f>
        <v>0</v>
      </c>
      <c r="X42" s="1043"/>
    </row>
    <row r="43" spans="2:24" s="4" customFormat="1" hidden="1">
      <c r="B43" s="1039" t="s">
        <v>301</v>
      </c>
      <c r="C43" s="1040">
        <v>45232</v>
      </c>
      <c r="D43" s="1041" t="s">
        <v>106</v>
      </c>
      <c r="E43" s="1042"/>
      <c r="F43" s="1042"/>
      <c r="G43" s="1042"/>
      <c r="H43" s="1042"/>
      <c r="I43" s="1042"/>
      <c r="J43" s="1042"/>
      <c r="K43" s="1042"/>
      <c r="L43" s="1042">
        <f>28810000-31810442+442</f>
        <v>-3000000</v>
      </c>
      <c r="M43" s="1042">
        <f>3000000</f>
        <v>3000000</v>
      </c>
      <c r="N43" s="1042"/>
      <c r="O43" s="1042"/>
      <c r="P43" s="1042"/>
      <c r="Q43" s="1042"/>
      <c r="R43" s="1042"/>
      <c r="S43" s="1042"/>
      <c r="T43" s="1042"/>
      <c r="U43" s="1042"/>
      <c r="V43" s="1042"/>
      <c r="W43" s="42">
        <f t="shared" si="13"/>
        <v>0</v>
      </c>
      <c r="X43" s="1043"/>
    </row>
    <row r="44" spans="2:24" s="4" customFormat="1" hidden="1">
      <c r="B44" s="1039" t="s">
        <v>302</v>
      </c>
      <c r="C44" s="1040">
        <v>45316</v>
      </c>
      <c r="D44" s="1041" t="s">
        <v>106</v>
      </c>
      <c r="E44" s="1042"/>
      <c r="F44" s="1042"/>
      <c r="G44" s="1042"/>
      <c r="H44" s="1042"/>
      <c r="I44" s="1042"/>
      <c r="J44" s="1042"/>
      <c r="K44" s="1042"/>
      <c r="L44" s="1042">
        <v>-6071442</v>
      </c>
      <c r="M44" s="1042">
        <v>6071442</v>
      </c>
      <c r="N44" s="1042"/>
      <c r="O44" s="1042"/>
      <c r="P44" s="1042"/>
      <c r="Q44" s="1042"/>
      <c r="R44" s="1042"/>
      <c r="S44" s="1042"/>
      <c r="T44" s="1042"/>
      <c r="U44" s="1042"/>
      <c r="V44" s="1042"/>
      <c r="W44" s="42">
        <f t="shared" si="13"/>
        <v>0</v>
      </c>
      <c r="X44" s="1043"/>
    </row>
    <row r="45" spans="2:24" s="4" customFormat="1" ht="97.9" hidden="1">
      <c r="B45" s="1039" t="s">
        <v>303</v>
      </c>
      <c r="C45" s="1040">
        <v>45520</v>
      </c>
      <c r="D45" s="1041" t="s">
        <v>106</v>
      </c>
      <c r="E45" s="1042"/>
      <c r="F45" s="1042"/>
      <c r="G45" s="1042"/>
      <c r="H45" s="1042"/>
      <c r="I45" s="1042"/>
      <c r="J45" s="1042"/>
      <c r="K45" s="1042">
        <f>34139180.36-34479910.59</f>
        <v>-340730.23000000417</v>
      </c>
      <c r="L45" s="1042">
        <f>13130000-22739000</f>
        <v>-9609000</v>
      </c>
      <c r="M45" s="1042">
        <v>9949730.2300000004</v>
      </c>
      <c r="N45" s="1042"/>
      <c r="O45" s="1042"/>
      <c r="P45" s="1042"/>
      <c r="Q45" s="1042"/>
      <c r="R45" s="1042"/>
      <c r="S45" s="1042"/>
      <c r="T45" s="1042"/>
      <c r="U45" s="1042"/>
      <c r="V45" s="1042"/>
      <c r="W45" s="42">
        <f t="shared" si="13"/>
        <v>0</v>
      </c>
      <c r="X45" s="1043" t="s">
        <v>304</v>
      </c>
    </row>
    <row r="46" spans="2:24" s="4" customFormat="1" ht="42">
      <c r="B46" s="1039" t="s">
        <v>303</v>
      </c>
      <c r="C46" s="1040">
        <v>45481</v>
      </c>
      <c r="D46" s="1041" t="s">
        <v>106</v>
      </c>
      <c r="E46" s="1042"/>
      <c r="F46" s="1042"/>
      <c r="G46" s="1042"/>
      <c r="H46" s="1042"/>
      <c r="I46" s="1042"/>
      <c r="J46" s="1042"/>
      <c r="K46" s="1042"/>
      <c r="L46" s="1042">
        <v>9609000</v>
      </c>
      <c r="M46" s="1042">
        <v>-9609000</v>
      </c>
      <c r="N46" s="1042"/>
      <c r="O46" s="1042"/>
      <c r="P46" s="1042"/>
      <c r="Q46" s="1042"/>
      <c r="R46" s="1042"/>
      <c r="S46" s="1042"/>
      <c r="T46" s="1042"/>
      <c r="U46" s="1042"/>
      <c r="V46" s="1042"/>
      <c r="W46" s="42">
        <f t="shared" si="13"/>
        <v>0</v>
      </c>
      <c r="X46" s="1043" t="s">
        <v>305</v>
      </c>
    </row>
    <row r="47" spans="2:24" s="4" customFormat="1" ht="27.95">
      <c r="B47" s="1039" t="s">
        <v>306</v>
      </c>
      <c r="C47" s="1040">
        <v>45604</v>
      </c>
      <c r="D47" s="1041" t="s">
        <v>106</v>
      </c>
      <c r="E47" s="1042"/>
      <c r="F47" s="1042"/>
      <c r="G47" s="1042"/>
      <c r="H47" s="1042"/>
      <c r="I47" s="1042"/>
      <c r="J47" s="1042"/>
      <c r="K47" s="1042"/>
      <c r="L47" s="1042">
        <v>-12000000</v>
      </c>
      <c r="M47" s="1042"/>
      <c r="N47" s="1042"/>
      <c r="O47" s="1042"/>
      <c r="P47" s="1042"/>
      <c r="Q47" s="1042"/>
      <c r="R47" s="1042"/>
      <c r="S47" s="1042"/>
      <c r="T47" s="1042"/>
      <c r="U47" s="1042"/>
      <c r="V47" s="1042"/>
      <c r="W47" s="42">
        <f>SUM(E47:V47)</f>
        <v>-12000000</v>
      </c>
      <c r="X47" s="1043" t="s">
        <v>307</v>
      </c>
    </row>
    <row r="48" spans="2:24" s="4" customFormat="1">
      <c r="B48" s="1039" t="s">
        <v>308</v>
      </c>
      <c r="C48" s="1040">
        <v>45694</v>
      </c>
      <c r="D48" s="1041" t="s">
        <v>106</v>
      </c>
      <c r="E48" s="1042"/>
      <c r="F48" s="1042"/>
      <c r="G48" s="1042"/>
      <c r="H48" s="1042"/>
      <c r="I48" s="1042"/>
      <c r="J48" s="1042"/>
      <c r="K48" s="1042"/>
      <c r="L48" s="1042"/>
      <c r="M48" s="1042">
        <v>-7897000</v>
      </c>
      <c r="N48" s="1042">
        <v>7897000</v>
      </c>
      <c r="O48" s="1042"/>
      <c r="P48" s="1042"/>
      <c r="Q48" s="1042"/>
      <c r="R48" s="1042"/>
      <c r="S48" s="1042"/>
      <c r="T48" s="1042"/>
      <c r="U48" s="1042"/>
      <c r="V48" s="1042"/>
      <c r="W48" s="42">
        <f t="shared" ref="W48:W50" si="15">SUM(E48:V48)</f>
        <v>0</v>
      </c>
      <c r="X48" s="1043" t="s">
        <v>309</v>
      </c>
    </row>
    <row r="49" spans="2:24" s="4" customFormat="1">
      <c r="B49" s="1039" t="s">
        <v>310</v>
      </c>
      <c r="C49" s="1040">
        <v>45747</v>
      </c>
      <c r="D49" s="1041" t="s">
        <v>106</v>
      </c>
      <c r="E49" s="1042"/>
      <c r="F49" s="1042"/>
      <c r="G49" s="1042"/>
      <c r="H49" s="1042"/>
      <c r="I49" s="1042"/>
      <c r="J49" s="1042"/>
      <c r="K49" s="1042"/>
      <c r="L49" s="1042">
        <v>759770</v>
      </c>
      <c r="M49" s="1042"/>
      <c r="N49" s="1042">
        <v>-759770</v>
      </c>
      <c r="O49" s="1042"/>
      <c r="P49" s="1042"/>
      <c r="Q49" s="1042"/>
      <c r="R49" s="1042"/>
      <c r="S49" s="1042"/>
      <c r="T49" s="1042"/>
      <c r="U49" s="1042"/>
      <c r="V49" s="1042"/>
      <c r="W49" s="42">
        <f t="shared" si="15"/>
        <v>0</v>
      </c>
      <c r="X49" s="1043" t="s">
        <v>311</v>
      </c>
    </row>
    <row r="50" spans="2:24">
      <c r="B50" s="1039"/>
      <c r="C50" s="1040"/>
      <c r="D50" s="1041"/>
      <c r="E50" s="1042"/>
      <c r="F50" s="1042"/>
      <c r="G50" s="1042"/>
      <c r="H50" s="1042"/>
      <c r="I50" s="1042"/>
      <c r="J50" s="1042"/>
      <c r="K50" s="1042"/>
      <c r="L50" s="1042"/>
      <c r="M50" s="1042"/>
      <c r="N50" s="1042"/>
      <c r="O50" s="1042"/>
      <c r="P50" s="1042"/>
      <c r="Q50" s="1042"/>
      <c r="R50" s="1042"/>
      <c r="S50" s="1042"/>
      <c r="T50" s="1042"/>
      <c r="U50" s="1042"/>
      <c r="V50" s="1042"/>
      <c r="W50" s="42">
        <f t="shared" si="15"/>
        <v>0</v>
      </c>
      <c r="X50" s="1043"/>
    </row>
    <row r="51" spans="2:24">
      <c r="B51" s="112" t="s">
        <v>23</v>
      </c>
      <c r="C51" s="1129" t="s">
        <v>312</v>
      </c>
      <c r="D51" s="1130"/>
      <c r="E51" s="1031">
        <f>SUM(E28:E50)</f>
        <v>3805074.12</v>
      </c>
      <c r="F51" s="1031">
        <f>SUM(F28:F50)</f>
        <v>5066302.08</v>
      </c>
      <c r="G51" s="1031">
        <f t="shared" ref="G51:V51" si="16">SUM(G27:G50)</f>
        <v>4866360.96</v>
      </c>
      <c r="H51" s="1031">
        <f t="shared" si="16"/>
        <v>15266680.300000001</v>
      </c>
      <c r="I51" s="1031">
        <f t="shared" si="16"/>
        <v>30824558.229999997</v>
      </c>
      <c r="J51" s="1031">
        <f t="shared" si="16"/>
        <v>76980671.719999999</v>
      </c>
      <c r="K51" s="1031">
        <f t="shared" si="16"/>
        <v>34139180.359999992</v>
      </c>
      <c r="L51" s="1031">
        <f t="shared" si="16"/>
        <v>11498770</v>
      </c>
      <c r="M51" s="1031">
        <f t="shared" si="16"/>
        <v>1515172.2300000004</v>
      </c>
      <c r="N51" s="1031">
        <f t="shared" si="16"/>
        <v>7137230</v>
      </c>
      <c r="O51" s="1031">
        <f t="shared" si="16"/>
        <v>0</v>
      </c>
      <c r="P51" s="1031">
        <f t="shared" si="16"/>
        <v>0</v>
      </c>
      <c r="Q51" s="1031">
        <f t="shared" si="16"/>
        <v>0</v>
      </c>
      <c r="R51" s="1031">
        <f t="shared" si="16"/>
        <v>0</v>
      </c>
      <c r="S51" s="1031">
        <f t="shared" si="16"/>
        <v>0</v>
      </c>
      <c r="T51" s="1031">
        <f t="shared" si="16"/>
        <v>0</v>
      </c>
      <c r="U51" s="1031">
        <f t="shared" si="16"/>
        <v>0</v>
      </c>
      <c r="V51" s="1031">
        <f t="shared" si="16"/>
        <v>0</v>
      </c>
      <c r="W51" s="1031">
        <f>SUM(W28:W50)</f>
        <v>191100000</v>
      </c>
      <c r="X51" s="57"/>
    </row>
    <row r="52" spans="2:24">
      <c r="E52" s="1032"/>
      <c r="F52" s="110"/>
      <c r="G52" s="110"/>
      <c r="H52" s="110"/>
      <c r="I52" s="110"/>
      <c r="J52" s="110"/>
      <c r="K52" s="110"/>
      <c r="L52" s="110"/>
      <c r="M52" s="110"/>
      <c r="N52" s="110"/>
      <c r="O52" s="110"/>
      <c r="P52" s="110"/>
      <c r="Q52" s="110"/>
      <c r="R52" s="110"/>
      <c r="S52" s="110"/>
      <c r="T52" s="110"/>
      <c r="U52" s="110"/>
      <c r="V52" s="110"/>
      <c r="W52" s="110"/>
    </row>
    <row r="53" spans="2:24">
      <c r="B53" s="1129" t="s">
        <v>313</v>
      </c>
      <c r="C53" s="1131"/>
      <c r="D53" s="1130"/>
      <c r="E53" s="1031">
        <f ca="1">((IFERROR(INDEX(Cashflow!$G$150:$FS$156,MATCH('Target Tracking'!$B51,Cashflow!$G$150:$G$156,0),MATCH('Target Tracking'!E27,Cashflow!$G$150:$FS$150,0)),0)))</f>
        <v>3805074.1200000006</v>
      </c>
      <c r="F53" s="1031">
        <f ca="1">((IFERROR(INDEX(Cashflow!$G$150:$FS$156,MATCH('Target Tracking'!$B51,Cashflow!$G$150:$G$156,0),MATCH('Target Tracking'!F27,Cashflow!$G$150:$FS$150,0)),0)))</f>
        <v>5066302.08</v>
      </c>
      <c r="G53" s="1031">
        <f ca="1">((IFERROR(INDEX(Cashflow!$G$150:$FS$156,MATCH('Target Tracking'!$B51,Cashflow!$G$150:$G$156,0),MATCH('Target Tracking'!G27,Cashflow!$G$150:$FS$150,0)),0)))</f>
        <v>4866360.959999999</v>
      </c>
      <c r="H53" s="1031">
        <f ca="1">((IFERROR(INDEX(Cashflow!$G$150:$FS$156,MATCH('Target Tracking'!$B51,Cashflow!$G$150:$G$156,0),MATCH('Target Tracking'!H27,Cashflow!$G$150:$FS$150,0)),0)))</f>
        <v>15266680.300000001</v>
      </c>
      <c r="I53" s="1031">
        <f ca="1">((IFERROR(INDEX(Cashflow!$G$150:$FS$156,MATCH('Target Tracking'!$B51,Cashflow!$G$150:$G$156,0),MATCH('Target Tracking'!I27,Cashflow!$G$150:$FS$150,0)),0)))</f>
        <v>30824558.23</v>
      </c>
      <c r="J53" s="1031">
        <f ca="1">((IFERROR(INDEX(Cashflow!$G$150:$FS$156,MATCH('Target Tracking'!$B51,Cashflow!$G$150:$G$156,0),MATCH('Target Tracking'!J27,Cashflow!$G$150:$FS$150,0)),0)))</f>
        <v>76980671.719999999</v>
      </c>
      <c r="K53" s="1031">
        <f ca="1">((IFERROR(INDEX(Cashflow!$G$150:$FS$156,MATCH('Target Tracking'!$B51,Cashflow!$G$150:$G$156,0),MATCH('Target Tracking'!K27,Cashflow!$G$150:$FS$150,0)),0)))</f>
        <v>34139180.360000007</v>
      </c>
      <c r="L53" s="1031">
        <f ca="1">((IFERROR(INDEX(Cashflow!$G$150:$FS$156,MATCH('Target Tracking'!$B51,Cashflow!$G$150:$G$156,0),MATCH('Target Tracking'!L27,Cashflow!$G$150:$FS$150,0)),0)))</f>
        <v>11498770.159999998</v>
      </c>
      <c r="M53" s="1031">
        <f ca="1">((IFERROR(INDEX(Cashflow!$G$150:$FS$156,MATCH('Target Tracking'!$B51,Cashflow!$G$150:$G$156,0),MATCH('Target Tracking'!M27,Cashflow!$G$150:$FS$150,0)),0)))</f>
        <v>1515171.99</v>
      </c>
      <c r="N53" s="1031">
        <f ca="1">((IFERROR(INDEX(Cashflow!$G$150:$FS$156,MATCH('Target Tracking'!$B51,Cashflow!$G$150:$G$156,0),MATCH('Target Tracking'!N27,Cashflow!$G$150:$FS$150,0)),0)))</f>
        <v>7137229.9600000009</v>
      </c>
      <c r="O53" s="1031">
        <f ca="1">((IFERROR(INDEX(Cashflow!$G$150:$FS$156,MATCH('Target Tracking'!$B51,Cashflow!$G$150:$G$156,0),MATCH('Target Tracking'!O27,Cashflow!$G$150:$FS$150,0)),0)))</f>
        <v>0</v>
      </c>
      <c r="P53" s="1031">
        <f ca="1">ROUND((IFERROR(INDEX(Cashflow!$G$150:$FS$156,MATCH('Target Tracking'!$B51,Cashflow!$G$150:$G$156,0),MATCH('Target Tracking'!P27,Cashflow!$G$150:$FS$150,0)),0)),0)</f>
        <v>0</v>
      </c>
      <c r="Q53" s="1031">
        <f ca="1">ROUND((IFERROR(INDEX(Cashflow!$G$150:$FS$156,MATCH('Target Tracking'!$B51,Cashflow!$G$150:$G$156,0),MATCH('Target Tracking'!Q27,Cashflow!$G$150:$FS$150,0)),0)),0)</f>
        <v>0</v>
      </c>
      <c r="R53" s="1031">
        <f ca="1">ROUND((IFERROR(INDEX(Cashflow!$G$150:$FS$156,MATCH('Target Tracking'!$B51,Cashflow!$G$150:$G$156,0),MATCH('Target Tracking'!R27,Cashflow!$G$150:$FS$150,0)),0)),0)</f>
        <v>0</v>
      </c>
      <c r="S53" s="1031">
        <f ca="1">ROUND((IFERROR(INDEX(Cashflow!$G$150:$FS$156,MATCH('Target Tracking'!$B51,Cashflow!$G$150:$G$156,0),MATCH('Target Tracking'!S27,Cashflow!$G$150:$FS$150,0)),0)),0)</f>
        <v>0</v>
      </c>
      <c r="T53" s="1031">
        <f ca="1">ROUND((IFERROR(INDEX(Cashflow!$G$150:$FS$156,MATCH('Target Tracking'!$B51,Cashflow!$G$150:$G$156,0),MATCH('Target Tracking'!T27,Cashflow!$G$150:$FS$150,0)),0)),0)</f>
        <v>0</v>
      </c>
      <c r="U53" s="1031">
        <f ca="1">ROUND((IFERROR(INDEX(Cashflow!$G$150:$FS$156,MATCH('Target Tracking'!$B51,Cashflow!$G$150:$G$156,0),MATCH('Target Tracking'!U27,Cashflow!$G$150:$FS$150,0)),0)),0)</f>
        <v>0</v>
      </c>
      <c r="V53" s="1031">
        <f ca="1">ROUND((IFERROR(INDEX(Cashflow!$G$150:$FS$156,MATCH('Target Tracking'!$B51,Cashflow!$G$150:$G$156,0),MATCH('Target Tracking'!V27,Cashflow!$G$150:$FS$150,0)),0)),0)</f>
        <v>0</v>
      </c>
      <c r="W53" s="1031">
        <f ca="1">SUM(E53:V53)</f>
        <v>191099999.88000003</v>
      </c>
      <c r="X53" s="57"/>
    </row>
    <row r="54" spans="2:24" s="158" customFormat="1">
      <c r="B54" s="2"/>
      <c r="C54" s="161"/>
      <c r="D54" s="162" t="s">
        <v>277</v>
      </c>
      <c r="E54" s="110">
        <f t="shared" ref="E54:V54" ca="1" si="17">E51-E53</f>
        <v>0</v>
      </c>
      <c r="F54" s="110">
        <f t="shared" ca="1" si="17"/>
        <v>0</v>
      </c>
      <c r="G54" s="110">
        <f t="shared" ca="1" si="17"/>
        <v>0</v>
      </c>
      <c r="H54" s="110">
        <f t="shared" ca="1" si="17"/>
        <v>0</v>
      </c>
      <c r="I54" s="110">
        <f t="shared" ca="1" si="17"/>
        <v>0</v>
      </c>
      <c r="J54" s="110">
        <f t="shared" ca="1" si="17"/>
        <v>0</v>
      </c>
      <c r="K54" s="110">
        <f t="shared" ca="1" si="17"/>
        <v>0</v>
      </c>
      <c r="L54" s="110">
        <f t="shared" ref="L54:M54" ca="1" si="18">L51-L53</f>
        <v>-0.15999999828636646</v>
      </c>
      <c r="M54" s="110">
        <f t="shared" ca="1" si="18"/>
        <v>0.24000000045634806</v>
      </c>
      <c r="N54" s="110">
        <f t="shared" ca="1" si="17"/>
        <v>3.9999999105930328E-2</v>
      </c>
      <c r="O54" s="110">
        <f t="shared" ca="1" si="17"/>
        <v>0</v>
      </c>
      <c r="P54" s="110">
        <f t="shared" ref="P54:U54" ca="1" si="19">P51-P53</f>
        <v>0</v>
      </c>
      <c r="Q54" s="110">
        <f t="shared" ca="1" si="19"/>
        <v>0</v>
      </c>
      <c r="R54" s="110">
        <f t="shared" ref="R54:S54" ca="1" si="20">R51-R53</f>
        <v>0</v>
      </c>
      <c r="S54" s="110">
        <f t="shared" ca="1" si="20"/>
        <v>0</v>
      </c>
      <c r="T54" s="110">
        <f t="shared" ca="1" si="19"/>
        <v>0</v>
      </c>
      <c r="U54" s="110">
        <f t="shared" ca="1" si="19"/>
        <v>0</v>
      </c>
      <c r="V54" s="110">
        <f t="shared" ca="1" si="17"/>
        <v>0</v>
      </c>
      <c r="W54" s="110"/>
      <c r="X54" s="1"/>
    </row>
    <row r="55" spans="2:24" s="158" customFormat="1">
      <c r="B55" s="2"/>
      <c r="C55" s="2"/>
      <c r="D55" s="2"/>
      <c r="E55" s="531"/>
      <c r="F55" s="531"/>
      <c r="G55" s="538"/>
      <c r="H55" s="508"/>
      <c r="I55" s="508"/>
      <c r="J55" s="508"/>
      <c r="K55" s="508"/>
      <c r="L55" s="508"/>
      <c r="M55" s="508"/>
      <c r="N55" s="508"/>
      <c r="O55" s="508"/>
      <c r="P55" s="508"/>
      <c r="Q55" s="508"/>
      <c r="R55" s="508"/>
      <c r="S55" s="508"/>
      <c r="T55" s="508"/>
      <c r="U55" s="508"/>
      <c r="V55" s="508"/>
      <c r="W55" s="508"/>
      <c r="X55" s="1"/>
    </row>
    <row r="56" spans="2:24" s="4" customFormat="1" outlineLevel="1">
      <c r="B56" s="159" t="s">
        <v>314</v>
      </c>
      <c r="C56" s="160"/>
      <c r="D56" s="160"/>
      <c r="E56" s="534"/>
      <c r="F56" s="535"/>
      <c r="G56" s="536"/>
      <c r="H56" s="537"/>
      <c r="I56" s="537"/>
      <c r="J56" s="537"/>
      <c r="K56" s="537"/>
      <c r="L56" s="537"/>
      <c r="M56" s="537"/>
      <c r="N56" s="537"/>
      <c r="O56" s="537"/>
      <c r="P56" s="537"/>
      <c r="Q56" s="537"/>
      <c r="R56" s="537"/>
      <c r="S56" s="537"/>
      <c r="T56" s="537"/>
      <c r="U56" s="537"/>
      <c r="V56" s="537"/>
      <c r="W56" s="537"/>
      <c r="X56" s="158"/>
    </row>
    <row r="57" spans="2:24" s="4" customFormat="1" outlineLevel="1">
      <c r="B57" s="144" t="s">
        <v>280</v>
      </c>
      <c r="C57" s="144" t="s">
        <v>281</v>
      </c>
      <c r="D57" s="144" t="s">
        <v>282</v>
      </c>
      <c r="E57" s="20" t="str">
        <f>E$17</f>
        <v>2017-18</v>
      </c>
      <c r="F57" s="20" t="str">
        <f t="shared" ref="F57:V57" si="21">F$17</f>
        <v>2018-19</v>
      </c>
      <c r="G57" s="20" t="str">
        <f t="shared" si="21"/>
        <v>2019-20</v>
      </c>
      <c r="H57" s="20" t="str">
        <f t="shared" si="21"/>
        <v>2020-21</v>
      </c>
      <c r="I57" s="20" t="str">
        <f t="shared" si="21"/>
        <v>2021-22</v>
      </c>
      <c r="J57" s="20" t="str">
        <f t="shared" si="21"/>
        <v>2022-23</v>
      </c>
      <c r="K57" s="20" t="str">
        <f t="shared" si="21"/>
        <v>2023-24</v>
      </c>
      <c r="L57" s="20" t="str">
        <f t="shared" si="21"/>
        <v>2024-25</v>
      </c>
      <c r="M57" s="20" t="str">
        <f t="shared" si="21"/>
        <v>2025-26</v>
      </c>
      <c r="N57" s="20" t="str">
        <f t="shared" si="21"/>
        <v>2026-27</v>
      </c>
      <c r="O57" s="20" t="str">
        <f t="shared" si="21"/>
        <v>2027-28</v>
      </c>
      <c r="P57" s="20">
        <f t="shared" si="21"/>
        <v>0</v>
      </c>
      <c r="Q57" s="20">
        <f t="shared" si="21"/>
        <v>0</v>
      </c>
      <c r="R57" s="20">
        <f t="shared" si="21"/>
        <v>0</v>
      </c>
      <c r="S57" s="20">
        <f t="shared" si="21"/>
        <v>0</v>
      </c>
      <c r="T57" s="20">
        <f t="shared" si="21"/>
        <v>0</v>
      </c>
      <c r="U57" s="20">
        <f t="shared" si="21"/>
        <v>0</v>
      </c>
      <c r="V57" s="20">
        <f t="shared" si="21"/>
        <v>0</v>
      </c>
      <c r="W57" s="20" t="s">
        <v>274</v>
      </c>
      <c r="X57" s="144" t="s">
        <v>267</v>
      </c>
    </row>
    <row r="58" spans="2:24" s="4" customFormat="1" outlineLevel="1">
      <c r="B58" s="1044" t="s">
        <v>283</v>
      </c>
      <c r="C58" s="1040">
        <v>43191</v>
      </c>
      <c r="D58" s="1041" t="s">
        <v>106</v>
      </c>
      <c r="E58" s="1035">
        <v>172766</v>
      </c>
      <c r="F58" s="1035">
        <v>277701</v>
      </c>
      <c r="G58" s="1035">
        <v>495800</v>
      </c>
      <c r="H58" s="1035">
        <v>540000</v>
      </c>
      <c r="I58" s="1035">
        <v>600000</v>
      </c>
      <c r="J58" s="1035">
        <v>600000</v>
      </c>
      <c r="K58" s="1035">
        <v>288733</v>
      </c>
      <c r="L58" s="1035"/>
      <c r="M58" s="1035"/>
      <c r="N58" s="1035"/>
      <c r="O58" s="1035"/>
      <c r="P58" s="1035"/>
      <c r="Q58" s="1035"/>
      <c r="R58" s="1035"/>
      <c r="S58" s="1035"/>
      <c r="T58" s="1035"/>
      <c r="U58" s="1035"/>
      <c r="V58" s="1035"/>
      <c r="W58" s="553">
        <f t="shared" ref="W58:W77" si="22">SUM(E58:V58)</f>
        <v>2975000</v>
      </c>
      <c r="X58" s="1043"/>
    </row>
    <row r="59" spans="2:24" s="4" customFormat="1" outlineLevel="1">
      <c r="B59" s="1044" t="s">
        <v>286</v>
      </c>
      <c r="C59" s="1040">
        <v>43888</v>
      </c>
      <c r="D59" s="1041" t="s">
        <v>106</v>
      </c>
      <c r="E59" s="1035"/>
      <c r="F59" s="1035">
        <v>-1084</v>
      </c>
      <c r="G59" s="1035">
        <v>-88800</v>
      </c>
      <c r="H59" s="1035">
        <v>49000</v>
      </c>
      <c r="I59" s="1035">
        <v>-11000</v>
      </c>
      <c r="J59" s="1035">
        <v>-13000</v>
      </c>
      <c r="K59" s="1035">
        <v>64884</v>
      </c>
      <c r="L59" s="1035"/>
      <c r="M59" s="1035"/>
      <c r="N59" s="1035"/>
      <c r="O59" s="1035"/>
      <c r="P59" s="1035"/>
      <c r="Q59" s="1035"/>
      <c r="R59" s="1035"/>
      <c r="S59" s="1035"/>
      <c r="T59" s="1035"/>
      <c r="U59" s="1035"/>
      <c r="V59" s="1035"/>
      <c r="W59" s="553">
        <f t="shared" si="22"/>
        <v>0</v>
      </c>
      <c r="X59" s="1043"/>
    </row>
    <row r="60" spans="2:24" s="4" customFormat="1" outlineLevel="1">
      <c r="B60" s="1044" t="s">
        <v>287</v>
      </c>
      <c r="C60" s="1040">
        <v>44104</v>
      </c>
      <c r="D60" s="1041" t="s">
        <v>106</v>
      </c>
      <c r="E60" s="1035"/>
      <c r="F60" s="1035"/>
      <c r="G60" s="1035">
        <v>308</v>
      </c>
      <c r="H60" s="1035">
        <v>-176368</v>
      </c>
      <c r="I60" s="1035"/>
      <c r="J60" s="1035"/>
      <c r="K60" s="1035">
        <v>176060</v>
      </c>
      <c r="L60" s="1035"/>
      <c r="M60" s="1035"/>
      <c r="N60" s="1035"/>
      <c r="O60" s="1035"/>
      <c r="P60" s="1035"/>
      <c r="Q60" s="1035"/>
      <c r="R60" s="1035"/>
      <c r="S60" s="1035"/>
      <c r="T60" s="1035"/>
      <c r="U60" s="1035"/>
      <c r="V60" s="1035"/>
      <c r="W60" s="553">
        <f t="shared" si="22"/>
        <v>0</v>
      </c>
      <c r="X60" s="1043"/>
    </row>
    <row r="61" spans="2:24" s="4" customFormat="1" outlineLevel="1">
      <c r="B61" s="1044" t="s">
        <v>288</v>
      </c>
      <c r="C61" s="1040">
        <v>44106</v>
      </c>
      <c r="D61" s="1041" t="s">
        <v>106</v>
      </c>
      <c r="E61" s="1035">
        <v>-172766</v>
      </c>
      <c r="F61" s="1035">
        <v>-276617</v>
      </c>
      <c r="G61" s="1035">
        <v>-407308</v>
      </c>
      <c r="H61" s="1035">
        <v>-412632</v>
      </c>
      <c r="I61" s="1035">
        <v>-589000</v>
      </c>
      <c r="J61" s="1035">
        <v>-587000</v>
      </c>
      <c r="K61" s="1035">
        <v>-529677</v>
      </c>
      <c r="L61" s="1035"/>
      <c r="M61" s="1035"/>
      <c r="N61" s="1035"/>
      <c r="O61" s="1035"/>
      <c r="P61" s="1035"/>
      <c r="Q61" s="1035"/>
      <c r="R61" s="1035"/>
      <c r="S61" s="1035"/>
      <c r="T61" s="1035"/>
      <c r="U61" s="1035"/>
      <c r="V61" s="1035"/>
      <c r="W61" s="553">
        <f t="shared" si="22"/>
        <v>-2975000</v>
      </c>
      <c r="X61" s="1043" t="s">
        <v>315</v>
      </c>
    </row>
    <row r="62" spans="2:24" s="4" customFormat="1" outlineLevel="1">
      <c r="B62" s="1044"/>
      <c r="C62" s="1040"/>
      <c r="D62" s="1041"/>
      <c r="E62" s="1035"/>
      <c r="F62" s="1035"/>
      <c r="G62" s="1035"/>
      <c r="H62" s="1035"/>
      <c r="I62" s="1035"/>
      <c r="J62" s="1035"/>
      <c r="K62" s="1035"/>
      <c r="L62" s="1035"/>
      <c r="M62" s="1035"/>
      <c r="N62" s="1035"/>
      <c r="O62" s="1035"/>
      <c r="P62" s="1035"/>
      <c r="Q62" s="1035"/>
      <c r="R62" s="1035"/>
      <c r="S62" s="1035"/>
      <c r="T62" s="1035"/>
      <c r="U62" s="1035"/>
      <c r="V62" s="1035"/>
      <c r="W62" s="553">
        <f t="shared" si="22"/>
        <v>0</v>
      </c>
      <c r="X62" s="1043"/>
    </row>
    <row r="63" spans="2:24" s="4" customFormat="1" outlineLevel="1">
      <c r="B63" s="1044"/>
      <c r="C63" s="1040"/>
      <c r="D63" s="1041"/>
      <c r="E63" s="1035"/>
      <c r="F63" s="1035"/>
      <c r="G63" s="1035"/>
      <c r="H63" s="1035"/>
      <c r="I63" s="1035"/>
      <c r="J63" s="1035"/>
      <c r="K63" s="1035"/>
      <c r="L63" s="1035"/>
      <c r="M63" s="1035"/>
      <c r="N63" s="1035"/>
      <c r="O63" s="1035"/>
      <c r="P63" s="1035"/>
      <c r="Q63" s="1035"/>
      <c r="R63" s="1035"/>
      <c r="S63" s="1035"/>
      <c r="T63" s="1035"/>
      <c r="U63" s="1035"/>
      <c r="V63" s="1035"/>
      <c r="W63" s="553">
        <f t="shared" si="22"/>
        <v>0</v>
      </c>
      <c r="X63" s="1043"/>
    </row>
    <row r="64" spans="2:24" s="4" customFormat="1" outlineLevel="1">
      <c r="B64" s="1044"/>
      <c r="C64" s="1040"/>
      <c r="D64" s="1041"/>
      <c r="E64" s="1035"/>
      <c r="F64" s="1035"/>
      <c r="G64" s="1035"/>
      <c r="H64" s="1035"/>
      <c r="I64" s="1035"/>
      <c r="J64" s="1035"/>
      <c r="K64" s="1035"/>
      <c r="L64" s="1035"/>
      <c r="M64" s="1035"/>
      <c r="N64" s="1035"/>
      <c r="O64" s="1035"/>
      <c r="P64" s="1035"/>
      <c r="Q64" s="1035"/>
      <c r="R64" s="1035"/>
      <c r="S64" s="1035"/>
      <c r="T64" s="1035"/>
      <c r="U64" s="1035"/>
      <c r="V64" s="1035"/>
      <c r="W64" s="553">
        <f t="shared" si="22"/>
        <v>0</v>
      </c>
      <c r="X64" s="1043"/>
    </row>
    <row r="65" spans="2:24" s="4" customFormat="1" outlineLevel="1">
      <c r="B65" s="1044"/>
      <c r="C65" s="1040"/>
      <c r="D65" s="1041"/>
      <c r="E65" s="1035"/>
      <c r="F65" s="1035"/>
      <c r="G65" s="1035"/>
      <c r="H65" s="1035"/>
      <c r="I65" s="1035"/>
      <c r="J65" s="1035"/>
      <c r="K65" s="1035"/>
      <c r="L65" s="1035"/>
      <c r="M65" s="1035"/>
      <c r="N65" s="1035"/>
      <c r="O65" s="1035"/>
      <c r="P65" s="1035"/>
      <c r="Q65" s="1035"/>
      <c r="R65" s="1035"/>
      <c r="S65" s="1035"/>
      <c r="T65" s="1035"/>
      <c r="U65" s="1035"/>
      <c r="V65" s="1035"/>
      <c r="W65" s="553">
        <f t="shared" si="22"/>
        <v>0</v>
      </c>
      <c r="X65" s="1043"/>
    </row>
    <row r="66" spans="2:24" s="4" customFormat="1" outlineLevel="1">
      <c r="B66" s="1044"/>
      <c r="C66" s="1040"/>
      <c r="D66" s="1041"/>
      <c r="E66" s="1035"/>
      <c r="F66" s="1035"/>
      <c r="G66" s="1035"/>
      <c r="H66" s="1035"/>
      <c r="I66" s="1035"/>
      <c r="J66" s="1035"/>
      <c r="K66" s="1035"/>
      <c r="L66" s="1035"/>
      <c r="M66" s="1035"/>
      <c r="N66" s="1035"/>
      <c r="O66" s="1035"/>
      <c r="P66" s="1035"/>
      <c r="Q66" s="1035"/>
      <c r="R66" s="1035"/>
      <c r="S66" s="1035"/>
      <c r="T66" s="1035"/>
      <c r="U66" s="1035"/>
      <c r="V66" s="1035"/>
      <c r="W66" s="553">
        <f t="shared" si="22"/>
        <v>0</v>
      </c>
      <c r="X66" s="1043"/>
    </row>
    <row r="67" spans="2:24" s="4" customFormat="1" outlineLevel="1">
      <c r="B67" s="1044"/>
      <c r="C67" s="1040"/>
      <c r="D67" s="1041"/>
      <c r="E67" s="1035"/>
      <c r="F67" s="1035"/>
      <c r="G67" s="1035"/>
      <c r="H67" s="1035"/>
      <c r="I67" s="1035"/>
      <c r="J67" s="1035"/>
      <c r="K67" s="1035"/>
      <c r="L67" s="1035"/>
      <c r="M67" s="1035"/>
      <c r="N67" s="1035"/>
      <c r="O67" s="1035"/>
      <c r="P67" s="1035"/>
      <c r="Q67" s="1035"/>
      <c r="R67" s="1035"/>
      <c r="S67" s="1035"/>
      <c r="T67" s="1035"/>
      <c r="U67" s="1035"/>
      <c r="V67" s="1035"/>
      <c r="W67" s="553">
        <f t="shared" si="22"/>
        <v>0</v>
      </c>
      <c r="X67" s="1043"/>
    </row>
    <row r="68" spans="2:24" s="4" customFormat="1" outlineLevel="1">
      <c r="B68" s="1044"/>
      <c r="C68" s="1040"/>
      <c r="D68" s="1041"/>
      <c r="E68" s="1035"/>
      <c r="F68" s="1035"/>
      <c r="G68" s="1035"/>
      <c r="H68" s="1035"/>
      <c r="I68" s="1035"/>
      <c r="J68" s="1035"/>
      <c r="K68" s="1035"/>
      <c r="L68" s="1035"/>
      <c r="M68" s="1035"/>
      <c r="N68" s="1035"/>
      <c r="O68" s="1035"/>
      <c r="P68" s="1035"/>
      <c r="Q68" s="1035"/>
      <c r="R68" s="1035"/>
      <c r="S68" s="1035"/>
      <c r="T68" s="1035"/>
      <c r="U68" s="1035"/>
      <c r="V68" s="1035"/>
      <c r="W68" s="553">
        <f t="shared" si="22"/>
        <v>0</v>
      </c>
      <c r="X68" s="1043"/>
    </row>
    <row r="69" spans="2:24" s="4" customFormat="1" outlineLevel="1">
      <c r="B69" s="1044"/>
      <c r="C69" s="1040"/>
      <c r="D69" s="1041"/>
      <c r="E69" s="1035"/>
      <c r="F69" s="1035"/>
      <c r="G69" s="1035"/>
      <c r="H69" s="1035"/>
      <c r="I69" s="1035"/>
      <c r="J69" s="1035"/>
      <c r="K69" s="1035"/>
      <c r="L69" s="1035"/>
      <c r="M69" s="1035"/>
      <c r="N69" s="1035"/>
      <c r="O69" s="1035"/>
      <c r="P69" s="1035"/>
      <c r="Q69" s="1035"/>
      <c r="R69" s="1035"/>
      <c r="S69" s="1035"/>
      <c r="T69" s="1035"/>
      <c r="U69" s="1035"/>
      <c r="V69" s="1035"/>
      <c r="W69" s="553">
        <f t="shared" si="22"/>
        <v>0</v>
      </c>
      <c r="X69" s="1043"/>
    </row>
    <row r="70" spans="2:24" s="4" customFormat="1" outlineLevel="1">
      <c r="B70" s="1044"/>
      <c r="C70" s="1040"/>
      <c r="D70" s="1041"/>
      <c r="E70" s="1035"/>
      <c r="F70" s="1035"/>
      <c r="G70" s="1035"/>
      <c r="H70" s="1035"/>
      <c r="I70" s="1035"/>
      <c r="J70" s="1035"/>
      <c r="K70" s="1035"/>
      <c r="L70" s="1035"/>
      <c r="M70" s="1035"/>
      <c r="N70" s="1035"/>
      <c r="O70" s="1035"/>
      <c r="P70" s="1035"/>
      <c r="Q70" s="1035"/>
      <c r="R70" s="1035"/>
      <c r="S70" s="1035"/>
      <c r="T70" s="1035"/>
      <c r="U70" s="1035"/>
      <c r="V70" s="1035"/>
      <c r="W70" s="553">
        <f t="shared" si="22"/>
        <v>0</v>
      </c>
      <c r="X70" s="1043"/>
    </row>
    <row r="71" spans="2:24" s="4" customFormat="1" outlineLevel="1">
      <c r="B71" s="1044"/>
      <c r="C71" s="1040"/>
      <c r="D71" s="1041"/>
      <c r="E71" s="1035"/>
      <c r="F71" s="1035"/>
      <c r="G71" s="1035"/>
      <c r="H71" s="1035"/>
      <c r="I71" s="1035"/>
      <c r="J71" s="1035"/>
      <c r="K71" s="1035"/>
      <c r="L71" s="1035"/>
      <c r="M71" s="1035"/>
      <c r="N71" s="1035"/>
      <c r="O71" s="1035"/>
      <c r="P71" s="1035"/>
      <c r="Q71" s="1035"/>
      <c r="R71" s="1035"/>
      <c r="S71" s="1035"/>
      <c r="T71" s="1035"/>
      <c r="U71" s="1035"/>
      <c r="V71" s="1035"/>
      <c r="W71" s="553">
        <f t="shared" si="22"/>
        <v>0</v>
      </c>
      <c r="X71" s="1043"/>
    </row>
    <row r="72" spans="2:24" s="4" customFormat="1" outlineLevel="1">
      <c r="B72" s="1044"/>
      <c r="C72" s="1040"/>
      <c r="D72" s="1041"/>
      <c r="E72" s="1035"/>
      <c r="F72" s="1035"/>
      <c r="G72" s="1035"/>
      <c r="H72" s="1035"/>
      <c r="I72" s="1035"/>
      <c r="J72" s="1035"/>
      <c r="K72" s="1035"/>
      <c r="L72" s="1035"/>
      <c r="M72" s="1035"/>
      <c r="N72" s="1035"/>
      <c r="O72" s="1035"/>
      <c r="P72" s="1035"/>
      <c r="Q72" s="1035"/>
      <c r="R72" s="1035"/>
      <c r="S72" s="1035"/>
      <c r="T72" s="1035"/>
      <c r="U72" s="1035"/>
      <c r="V72" s="1035"/>
      <c r="W72" s="553">
        <f t="shared" si="22"/>
        <v>0</v>
      </c>
      <c r="X72" s="1043"/>
    </row>
    <row r="73" spans="2:24" s="4" customFormat="1" outlineLevel="1">
      <c r="B73" s="1044"/>
      <c r="C73" s="1040"/>
      <c r="D73" s="1041"/>
      <c r="E73" s="1035"/>
      <c r="F73" s="1035"/>
      <c r="G73" s="1035"/>
      <c r="H73" s="1035"/>
      <c r="I73" s="1035"/>
      <c r="J73" s="1035"/>
      <c r="K73" s="1035"/>
      <c r="L73" s="1035"/>
      <c r="M73" s="1035"/>
      <c r="N73" s="1035"/>
      <c r="O73" s="1035"/>
      <c r="P73" s="1035"/>
      <c r="Q73" s="1035"/>
      <c r="R73" s="1035"/>
      <c r="S73" s="1035"/>
      <c r="T73" s="1035"/>
      <c r="U73" s="1035"/>
      <c r="V73" s="1035"/>
      <c r="W73" s="553">
        <f t="shared" si="22"/>
        <v>0</v>
      </c>
      <c r="X73" s="1043"/>
    </row>
    <row r="74" spans="2:24" s="4" customFormat="1" outlineLevel="1">
      <c r="B74" s="1044"/>
      <c r="C74" s="1040"/>
      <c r="D74" s="1041"/>
      <c r="E74" s="1035"/>
      <c r="F74" s="1035"/>
      <c r="G74" s="1035"/>
      <c r="H74" s="1035"/>
      <c r="I74" s="1035"/>
      <c r="J74" s="1035"/>
      <c r="K74" s="1035"/>
      <c r="L74" s="1035"/>
      <c r="M74" s="1035"/>
      <c r="N74" s="1035"/>
      <c r="O74" s="1035"/>
      <c r="P74" s="1035"/>
      <c r="Q74" s="1035"/>
      <c r="R74" s="1035"/>
      <c r="S74" s="1035"/>
      <c r="T74" s="1035"/>
      <c r="U74" s="1035"/>
      <c r="V74" s="1035"/>
      <c r="W74" s="553">
        <f t="shared" si="22"/>
        <v>0</v>
      </c>
      <c r="X74" s="1043"/>
    </row>
    <row r="75" spans="2:24" s="4" customFormat="1" outlineLevel="1">
      <c r="B75" s="1044"/>
      <c r="C75" s="1040"/>
      <c r="D75" s="1041"/>
      <c r="E75" s="1035"/>
      <c r="F75" s="1035"/>
      <c r="G75" s="1035"/>
      <c r="H75" s="1035"/>
      <c r="I75" s="1035"/>
      <c r="J75" s="1035"/>
      <c r="K75" s="1035"/>
      <c r="L75" s="1035"/>
      <c r="M75" s="1035"/>
      <c r="N75" s="1035"/>
      <c r="O75" s="1035"/>
      <c r="P75" s="1035"/>
      <c r="Q75" s="1035"/>
      <c r="R75" s="1035"/>
      <c r="S75" s="1035"/>
      <c r="T75" s="1035"/>
      <c r="U75" s="1035"/>
      <c r="V75" s="1035"/>
      <c r="W75" s="553">
        <f t="shared" si="22"/>
        <v>0</v>
      </c>
      <c r="X75" s="1043"/>
    </row>
    <row r="76" spans="2:24" outlineLevel="1">
      <c r="B76" s="1044"/>
      <c r="C76" s="1040"/>
      <c r="D76" s="1041"/>
      <c r="E76" s="1035"/>
      <c r="F76" s="1035"/>
      <c r="G76" s="1035"/>
      <c r="H76" s="1035"/>
      <c r="I76" s="1035"/>
      <c r="J76" s="1035"/>
      <c r="K76" s="1035"/>
      <c r="L76" s="1035"/>
      <c r="M76" s="1035"/>
      <c r="N76" s="1035"/>
      <c r="O76" s="1035"/>
      <c r="P76" s="1035"/>
      <c r="Q76" s="1035"/>
      <c r="R76" s="1035"/>
      <c r="S76" s="1035"/>
      <c r="T76" s="1035"/>
      <c r="U76" s="1035"/>
      <c r="V76" s="1035"/>
      <c r="W76" s="553">
        <f t="shared" si="22"/>
        <v>0</v>
      </c>
      <c r="X76" s="1043"/>
    </row>
    <row r="77" spans="2:24" outlineLevel="1">
      <c r="B77" s="1044"/>
      <c r="C77" s="1040"/>
      <c r="D77" s="1041"/>
      <c r="E77" s="1035"/>
      <c r="F77" s="1035"/>
      <c r="G77" s="1035"/>
      <c r="H77" s="1035"/>
      <c r="I77" s="1035"/>
      <c r="J77" s="1035"/>
      <c r="K77" s="1035"/>
      <c r="L77" s="1035"/>
      <c r="M77" s="1035"/>
      <c r="N77" s="1035"/>
      <c r="O77" s="1035"/>
      <c r="P77" s="1035"/>
      <c r="Q77" s="1035"/>
      <c r="R77" s="1035"/>
      <c r="S77" s="1035"/>
      <c r="T77" s="1035"/>
      <c r="U77" s="1035"/>
      <c r="V77" s="1035"/>
      <c r="W77" s="553">
        <f t="shared" si="22"/>
        <v>0</v>
      </c>
      <c r="X77" s="1043"/>
    </row>
    <row r="78" spans="2:24">
      <c r="B78" s="112" t="s">
        <v>30</v>
      </c>
      <c r="C78" s="1129" t="s">
        <v>312</v>
      </c>
      <c r="D78" s="1130"/>
      <c r="E78" s="551">
        <f>SUM(E58:E77)</f>
        <v>0</v>
      </c>
      <c r="F78" s="551">
        <f>SUM(F58:F77)</f>
        <v>0</v>
      </c>
      <c r="G78" s="551">
        <f t="shared" ref="G78:V78" si="23">SUM(G57:G77)</f>
        <v>0</v>
      </c>
      <c r="H78" s="551">
        <f t="shared" si="23"/>
        <v>0</v>
      </c>
      <c r="I78" s="551">
        <f t="shared" si="23"/>
        <v>0</v>
      </c>
      <c r="J78" s="551">
        <f t="shared" si="23"/>
        <v>0</v>
      </c>
      <c r="K78" s="551">
        <f t="shared" si="23"/>
        <v>0</v>
      </c>
      <c r="L78" s="551">
        <f t="shared" ref="L78:M78" si="24">SUM(L57:L77)</f>
        <v>0</v>
      </c>
      <c r="M78" s="551">
        <f t="shared" si="24"/>
        <v>0</v>
      </c>
      <c r="N78" s="551">
        <f t="shared" si="23"/>
        <v>0</v>
      </c>
      <c r="O78" s="551">
        <f t="shared" si="23"/>
        <v>0</v>
      </c>
      <c r="P78" s="551">
        <f t="shared" ref="P78:U78" si="25">SUM(P57:P77)</f>
        <v>0</v>
      </c>
      <c r="Q78" s="551">
        <f t="shared" si="25"/>
        <v>0</v>
      </c>
      <c r="R78" s="551">
        <f t="shared" ref="R78:S78" si="26">SUM(R57:R77)</f>
        <v>0</v>
      </c>
      <c r="S78" s="551">
        <f t="shared" si="26"/>
        <v>0</v>
      </c>
      <c r="T78" s="551">
        <f t="shared" si="25"/>
        <v>0</v>
      </c>
      <c r="U78" s="551">
        <f t="shared" si="25"/>
        <v>0</v>
      </c>
      <c r="V78" s="551">
        <f t="shared" si="23"/>
        <v>0</v>
      </c>
      <c r="W78" s="551">
        <f>SUM(W58:W77)</f>
        <v>0</v>
      </c>
      <c r="X78" s="57"/>
    </row>
    <row r="79" spans="2:24">
      <c r="E79" s="552"/>
      <c r="F79" s="552"/>
      <c r="G79" s="552"/>
      <c r="H79" s="552"/>
      <c r="I79" s="552"/>
      <c r="J79" s="552"/>
      <c r="K79" s="552"/>
      <c r="L79" s="552"/>
      <c r="M79" s="552"/>
      <c r="N79" s="552"/>
      <c r="O79" s="552"/>
      <c r="P79" s="552"/>
      <c r="Q79" s="552"/>
      <c r="R79" s="552"/>
      <c r="S79" s="552"/>
      <c r="T79" s="552"/>
      <c r="U79" s="552"/>
      <c r="V79" s="552"/>
      <c r="W79" s="552"/>
    </row>
    <row r="80" spans="2:24">
      <c r="B80" s="1129" t="s">
        <v>316</v>
      </c>
      <c r="C80" s="1131"/>
      <c r="D80" s="1130"/>
      <c r="E80" s="551">
        <f ca="1">ROUND((IFERROR(INDEX(Cashflow!$G$150:$FS$156,MATCH('Target Tracking'!$B78,Cashflow!$G$150:$G$156,0),MATCH('Target Tracking'!E57,Cashflow!$G$150:$FS$150,0)),0)),0)</f>
        <v>0</v>
      </c>
      <c r="F80" s="551">
        <f ca="1">ROUND((IFERROR(INDEX(Cashflow!$G$150:$FS$156,MATCH('Target Tracking'!$B78,Cashflow!$G$150:$G$156,0),MATCH('Target Tracking'!F57,Cashflow!$G$150:$FS$150,0)),0)),0)</f>
        <v>0</v>
      </c>
      <c r="G80" s="551">
        <f ca="1">ROUND((IFERROR(INDEX(Cashflow!$G$150:$FS$156,MATCH('Target Tracking'!$B78,Cashflow!$G$150:$G$156,0),MATCH('Target Tracking'!G57,Cashflow!$G$150:$FS$150,0)),0)),0)</f>
        <v>0</v>
      </c>
      <c r="H80" s="551">
        <f ca="1">ROUND((IFERROR(INDEX(Cashflow!$G$150:$FS$156,MATCH('Target Tracking'!$B78,Cashflow!$G$150:$G$156,0),MATCH('Target Tracking'!H57,Cashflow!$G$150:$FS$150,0)),0)),0)</f>
        <v>0</v>
      </c>
      <c r="I80" s="551">
        <f ca="1">ROUND((IFERROR(INDEX(Cashflow!$G$150:$FS$156,MATCH('Target Tracking'!$B78,Cashflow!$G$150:$G$156,0),MATCH('Target Tracking'!I57,Cashflow!$G$150:$FS$150,0)),0)),0)</f>
        <v>0</v>
      </c>
      <c r="J80" s="551">
        <f ca="1">ROUND((IFERROR(INDEX(Cashflow!$G$150:$FS$156,MATCH('Target Tracking'!$B78,Cashflow!$G$150:$G$156,0),MATCH('Target Tracking'!J57,Cashflow!$G$150:$FS$150,0)),0)),0)</f>
        <v>0</v>
      </c>
      <c r="K80" s="551">
        <f ca="1">ROUND((IFERROR(INDEX(Cashflow!$G$150:$FS$156,MATCH('Target Tracking'!$B78,Cashflow!$G$150:$G$156,0),MATCH('Target Tracking'!K57,Cashflow!$G$150:$FS$150,0)),0)),0)</f>
        <v>0</v>
      </c>
      <c r="L80" s="551">
        <f ca="1">ROUND((IFERROR(INDEX(Cashflow!$G$150:$FS$156,MATCH('Target Tracking'!$B78,Cashflow!$G$150:$G$156,0),MATCH('Target Tracking'!L57,Cashflow!$G$150:$FS$150,0)),0)),0)</f>
        <v>0</v>
      </c>
      <c r="M80" s="551">
        <f ca="1">ROUND((IFERROR(INDEX(Cashflow!$G$150:$FS$156,MATCH('Target Tracking'!$B78,Cashflow!$G$150:$G$156,0),MATCH('Target Tracking'!M57,Cashflow!$G$150:$FS$150,0)),0)),0)</f>
        <v>0</v>
      </c>
      <c r="N80" s="551">
        <f ca="1">ROUND((IFERROR(INDEX(Cashflow!$G$150:$FS$156,MATCH('Target Tracking'!$B78,Cashflow!$G$150:$G$156,0),MATCH('Target Tracking'!N57,Cashflow!$G$150:$FS$150,0)),0)),0)</f>
        <v>0</v>
      </c>
      <c r="O80" s="551">
        <f ca="1">ROUND((IFERROR(INDEX(Cashflow!$G$150:$FS$156,MATCH('Target Tracking'!$B78,Cashflow!$G$150:$G$156,0),MATCH('Target Tracking'!O57,Cashflow!$G$150:$FS$150,0)),0)),0)</f>
        <v>0</v>
      </c>
      <c r="P80" s="551">
        <f ca="1">ROUND((IFERROR(INDEX(Cashflow!$G$150:$FS$156,MATCH('Target Tracking'!$B78,Cashflow!$G$150:$G$156,0),MATCH('Target Tracking'!P57,Cashflow!$G$150:$FS$150,0)),0)),0)</f>
        <v>0</v>
      </c>
      <c r="Q80" s="551">
        <f ca="1">ROUND((IFERROR(INDEX(Cashflow!$G$150:$FS$156,MATCH('Target Tracking'!$B78,Cashflow!$G$150:$G$156,0),MATCH('Target Tracking'!Q57,Cashflow!$G$150:$FS$150,0)),0)),0)</f>
        <v>0</v>
      </c>
      <c r="R80" s="551">
        <f ca="1">ROUND((IFERROR(INDEX(Cashflow!$G$150:$FS$156,MATCH('Target Tracking'!$B78,Cashflow!$G$150:$G$156,0),MATCH('Target Tracking'!R57,Cashflow!$G$150:$FS$150,0)),0)),0)</f>
        <v>0</v>
      </c>
      <c r="S80" s="551">
        <f ca="1">ROUND((IFERROR(INDEX(Cashflow!$G$150:$FS$156,MATCH('Target Tracking'!$B78,Cashflow!$G$150:$G$156,0),MATCH('Target Tracking'!S57,Cashflow!$G$150:$FS$150,0)),0)),0)</f>
        <v>0</v>
      </c>
      <c r="T80" s="551">
        <f ca="1">ROUND((IFERROR(INDEX(Cashflow!$G$150:$FS$156,MATCH('Target Tracking'!$B78,Cashflow!$G$150:$G$156,0),MATCH('Target Tracking'!T57,Cashflow!$G$150:$FS$150,0)),0)),0)</f>
        <v>0</v>
      </c>
      <c r="U80" s="551">
        <f ca="1">ROUND((IFERROR(INDEX(Cashflow!$G$150:$FS$156,MATCH('Target Tracking'!$B78,Cashflow!$G$150:$G$156,0),MATCH('Target Tracking'!U57,Cashflow!$G$150:$FS$150,0)),0)),0)</f>
        <v>0</v>
      </c>
      <c r="V80" s="551">
        <f ca="1">ROUND((IFERROR(INDEX(Cashflow!$G$150:$FS$156,MATCH('Target Tracking'!$B78,Cashflow!$G$150:$G$156,0),MATCH('Target Tracking'!V57,Cashflow!$G$150:$FS$150,0)),0)),0)</f>
        <v>0</v>
      </c>
      <c r="W80" s="551">
        <f ca="1">SUM(E80:V80)</f>
        <v>0</v>
      </c>
      <c r="X80" s="57"/>
    </row>
    <row r="81" spans="2:24" s="158" customFormat="1">
      <c r="B81" s="2"/>
      <c r="C81" s="161"/>
      <c r="D81" s="162" t="s">
        <v>277</v>
      </c>
      <c r="E81" s="552">
        <f t="shared" ref="E81" ca="1" si="27">E78-E80</f>
        <v>0</v>
      </c>
      <c r="F81" s="552">
        <f t="shared" ref="F81" ca="1" si="28">F78-F80</f>
        <v>0</v>
      </c>
      <c r="G81" s="552">
        <f t="shared" ref="G81" ca="1" si="29">G78-G80</f>
        <v>0</v>
      </c>
      <c r="H81" s="552">
        <f t="shared" ref="H81" ca="1" si="30">H78-H80</f>
        <v>0</v>
      </c>
      <c r="I81" s="552">
        <f t="shared" ref="I81" ca="1" si="31">I78-I80</f>
        <v>0</v>
      </c>
      <c r="J81" s="552">
        <f t="shared" ref="J81" ca="1" si="32">J78-J80</f>
        <v>0</v>
      </c>
      <c r="K81" s="552">
        <f t="shared" ref="K81" ca="1" si="33">K78-K80</f>
        <v>0</v>
      </c>
      <c r="L81" s="552">
        <f t="shared" ref="L81:N81" ca="1" si="34">L78-L80</f>
        <v>0</v>
      </c>
      <c r="M81" s="552">
        <f t="shared" ref="M81:P81" ca="1" si="35">M78-M80</f>
        <v>0</v>
      </c>
      <c r="N81" s="552">
        <f t="shared" ca="1" si="34"/>
        <v>0</v>
      </c>
      <c r="O81" s="552">
        <f t="shared" ca="1" si="35"/>
        <v>0</v>
      </c>
      <c r="P81" s="552">
        <f t="shared" ca="1" si="35"/>
        <v>0</v>
      </c>
      <c r="Q81" s="552">
        <f t="shared" ref="Q81:V81" ca="1" si="36">Q78-Q80</f>
        <v>0</v>
      </c>
      <c r="R81" s="552">
        <f t="shared" ca="1" si="36"/>
        <v>0</v>
      </c>
      <c r="S81" s="552">
        <f t="shared" ref="S81:U81" ca="1" si="37">S78-S80</f>
        <v>0</v>
      </c>
      <c r="T81" s="552">
        <f t="shared" ca="1" si="37"/>
        <v>0</v>
      </c>
      <c r="U81" s="552">
        <f t="shared" ca="1" si="37"/>
        <v>0</v>
      </c>
      <c r="V81" s="552">
        <f t="shared" ca="1" si="36"/>
        <v>0</v>
      </c>
      <c r="W81" s="552"/>
      <c r="X81" s="1"/>
    </row>
    <row r="82" spans="2:24" s="158" customFormat="1">
      <c r="B82" s="2"/>
      <c r="C82" s="2"/>
      <c r="D82" s="2"/>
      <c r="E82" s="531"/>
      <c r="F82" s="531"/>
      <c r="G82" s="538"/>
      <c r="H82" s="508"/>
      <c r="I82" s="508"/>
      <c r="J82" s="508"/>
      <c r="K82" s="508"/>
      <c r="L82" s="508"/>
      <c r="M82" s="508"/>
      <c r="N82" s="508"/>
      <c r="O82" s="508"/>
      <c r="P82" s="508"/>
      <c r="Q82" s="508"/>
      <c r="R82" s="508"/>
      <c r="S82" s="508"/>
      <c r="T82" s="508"/>
      <c r="U82" s="508"/>
      <c r="V82" s="508"/>
      <c r="W82" s="508"/>
      <c r="X82" s="1"/>
    </row>
    <row r="83" spans="2:24" s="4" customFormat="1" outlineLevel="1">
      <c r="B83" s="159" t="s">
        <v>317</v>
      </c>
      <c r="C83" s="160"/>
      <c r="D83" s="160"/>
      <c r="E83" s="534"/>
      <c r="F83" s="535"/>
      <c r="G83" s="536"/>
      <c r="H83" s="537"/>
      <c r="I83" s="537"/>
      <c r="J83" s="537"/>
      <c r="K83" s="537"/>
      <c r="L83" s="537"/>
      <c r="M83" s="537"/>
      <c r="N83" s="537"/>
      <c r="O83" s="537"/>
      <c r="P83" s="537"/>
      <c r="Q83" s="537"/>
      <c r="R83" s="537"/>
      <c r="S83" s="537"/>
      <c r="T83" s="537"/>
      <c r="U83" s="537"/>
      <c r="V83" s="537"/>
      <c r="W83" s="537"/>
      <c r="X83" s="158"/>
    </row>
    <row r="84" spans="2:24" s="4" customFormat="1" outlineLevel="1">
      <c r="B84" s="144" t="s">
        <v>280</v>
      </c>
      <c r="C84" s="144" t="s">
        <v>281</v>
      </c>
      <c r="D84" s="144" t="s">
        <v>282</v>
      </c>
      <c r="E84" s="20" t="str">
        <f>E$17</f>
        <v>2017-18</v>
      </c>
      <c r="F84" s="20" t="str">
        <f t="shared" ref="F84:V84" si="38">F$17</f>
        <v>2018-19</v>
      </c>
      <c r="G84" s="20" t="str">
        <f t="shared" si="38"/>
        <v>2019-20</v>
      </c>
      <c r="H84" s="20" t="str">
        <f t="shared" si="38"/>
        <v>2020-21</v>
      </c>
      <c r="I84" s="20" t="str">
        <f t="shared" si="38"/>
        <v>2021-22</v>
      </c>
      <c r="J84" s="20" t="str">
        <f t="shared" si="38"/>
        <v>2022-23</v>
      </c>
      <c r="K84" s="20" t="str">
        <f t="shared" si="38"/>
        <v>2023-24</v>
      </c>
      <c r="L84" s="20" t="str">
        <f t="shared" si="38"/>
        <v>2024-25</v>
      </c>
      <c r="M84" s="20" t="str">
        <f t="shared" si="38"/>
        <v>2025-26</v>
      </c>
      <c r="N84" s="20" t="str">
        <f t="shared" si="38"/>
        <v>2026-27</v>
      </c>
      <c r="O84" s="20" t="str">
        <f t="shared" si="38"/>
        <v>2027-28</v>
      </c>
      <c r="P84" s="20">
        <f t="shared" si="38"/>
        <v>0</v>
      </c>
      <c r="Q84" s="20">
        <f t="shared" si="38"/>
        <v>0</v>
      </c>
      <c r="R84" s="20">
        <f t="shared" si="38"/>
        <v>0</v>
      </c>
      <c r="S84" s="20">
        <f t="shared" si="38"/>
        <v>0</v>
      </c>
      <c r="T84" s="20">
        <f t="shared" si="38"/>
        <v>0</v>
      </c>
      <c r="U84" s="20">
        <f t="shared" si="38"/>
        <v>0</v>
      </c>
      <c r="V84" s="20">
        <f t="shared" si="38"/>
        <v>0</v>
      </c>
      <c r="W84" s="20" t="s">
        <v>274</v>
      </c>
      <c r="X84" s="144" t="s">
        <v>267</v>
      </c>
    </row>
    <row r="85" spans="2:24" s="4" customFormat="1" outlineLevel="1">
      <c r="B85" s="1044"/>
      <c r="C85" s="1040"/>
      <c r="D85" s="1041"/>
      <c r="E85" s="1035"/>
      <c r="F85" s="1035"/>
      <c r="G85" s="1035"/>
      <c r="H85" s="1035"/>
      <c r="I85" s="1035"/>
      <c r="J85" s="1035"/>
      <c r="K85" s="1035"/>
      <c r="L85" s="1035"/>
      <c r="M85" s="1035"/>
      <c r="N85" s="1035"/>
      <c r="O85" s="1035"/>
      <c r="P85" s="1035"/>
      <c r="Q85" s="1035"/>
      <c r="R85" s="1035"/>
      <c r="S85" s="1035"/>
      <c r="T85" s="1035"/>
      <c r="U85" s="1035"/>
      <c r="V85" s="1035"/>
      <c r="W85" s="553">
        <f t="shared" ref="W85:W104" si="39">SUM(E85:V85)</f>
        <v>0</v>
      </c>
      <c r="X85" s="1043"/>
    </row>
    <row r="86" spans="2:24" s="4" customFormat="1" outlineLevel="1">
      <c r="B86" s="1044"/>
      <c r="C86" s="1040"/>
      <c r="D86" s="1041"/>
      <c r="E86" s="1035"/>
      <c r="F86" s="1035"/>
      <c r="G86" s="1035"/>
      <c r="H86" s="1035"/>
      <c r="I86" s="1035"/>
      <c r="J86" s="1035"/>
      <c r="K86" s="1035"/>
      <c r="L86" s="1035"/>
      <c r="M86" s="1035"/>
      <c r="N86" s="1035"/>
      <c r="O86" s="1035"/>
      <c r="P86" s="1035"/>
      <c r="Q86" s="1035"/>
      <c r="R86" s="1035"/>
      <c r="S86" s="1035"/>
      <c r="T86" s="1035"/>
      <c r="U86" s="1035"/>
      <c r="V86" s="1035"/>
      <c r="W86" s="553">
        <f t="shared" si="39"/>
        <v>0</v>
      </c>
      <c r="X86" s="1043"/>
    </row>
    <row r="87" spans="2:24" s="4" customFormat="1" outlineLevel="1">
      <c r="B87" s="1044"/>
      <c r="C87" s="1040"/>
      <c r="D87" s="1041"/>
      <c r="E87" s="1035"/>
      <c r="F87" s="1035"/>
      <c r="G87" s="1035"/>
      <c r="H87" s="1035"/>
      <c r="I87" s="1035"/>
      <c r="J87" s="1035"/>
      <c r="K87" s="1035"/>
      <c r="L87" s="1035"/>
      <c r="M87" s="1035"/>
      <c r="N87" s="1035"/>
      <c r="O87" s="1035"/>
      <c r="P87" s="1035"/>
      <c r="Q87" s="1035"/>
      <c r="R87" s="1035"/>
      <c r="S87" s="1035"/>
      <c r="T87" s="1035"/>
      <c r="U87" s="1035"/>
      <c r="V87" s="1035"/>
      <c r="W87" s="553">
        <f t="shared" si="39"/>
        <v>0</v>
      </c>
      <c r="X87" s="1043"/>
    </row>
    <row r="88" spans="2:24" s="4" customFormat="1" outlineLevel="1">
      <c r="B88" s="1044"/>
      <c r="C88" s="1040"/>
      <c r="D88" s="1041"/>
      <c r="E88" s="1035"/>
      <c r="F88" s="1035"/>
      <c r="G88" s="1035"/>
      <c r="H88" s="1035"/>
      <c r="I88" s="1035"/>
      <c r="J88" s="1035"/>
      <c r="K88" s="1035"/>
      <c r="L88" s="1035"/>
      <c r="M88" s="1035"/>
      <c r="N88" s="1035"/>
      <c r="O88" s="1035"/>
      <c r="P88" s="1035"/>
      <c r="Q88" s="1035"/>
      <c r="R88" s="1035"/>
      <c r="S88" s="1035"/>
      <c r="T88" s="1035"/>
      <c r="U88" s="1035"/>
      <c r="V88" s="1035"/>
      <c r="W88" s="553">
        <f t="shared" si="39"/>
        <v>0</v>
      </c>
      <c r="X88" s="1043"/>
    </row>
    <row r="89" spans="2:24" s="4" customFormat="1" outlineLevel="1">
      <c r="B89" s="1044"/>
      <c r="C89" s="1040"/>
      <c r="D89" s="1041"/>
      <c r="E89" s="1035"/>
      <c r="F89" s="1035"/>
      <c r="G89" s="1035"/>
      <c r="H89" s="1035"/>
      <c r="I89" s="1035"/>
      <c r="J89" s="1035"/>
      <c r="K89" s="1035"/>
      <c r="L89" s="1035"/>
      <c r="M89" s="1035"/>
      <c r="N89" s="1035"/>
      <c r="O89" s="1035"/>
      <c r="P89" s="1035"/>
      <c r="Q89" s="1035"/>
      <c r="R89" s="1035"/>
      <c r="S89" s="1035"/>
      <c r="T89" s="1035"/>
      <c r="U89" s="1035"/>
      <c r="V89" s="1035"/>
      <c r="W89" s="553">
        <f t="shared" si="39"/>
        <v>0</v>
      </c>
      <c r="X89" s="1043"/>
    </row>
    <row r="90" spans="2:24" s="4" customFormat="1" outlineLevel="1">
      <c r="B90" s="1044"/>
      <c r="C90" s="1040"/>
      <c r="D90" s="1041"/>
      <c r="E90" s="1035"/>
      <c r="F90" s="1035"/>
      <c r="G90" s="1035"/>
      <c r="H90" s="1035"/>
      <c r="I90" s="1035"/>
      <c r="J90" s="1035"/>
      <c r="K90" s="1035"/>
      <c r="L90" s="1035"/>
      <c r="M90" s="1035"/>
      <c r="N90" s="1035"/>
      <c r="O90" s="1035"/>
      <c r="P90" s="1035"/>
      <c r="Q90" s="1035"/>
      <c r="R90" s="1035"/>
      <c r="S90" s="1035"/>
      <c r="T90" s="1035"/>
      <c r="U90" s="1035"/>
      <c r="V90" s="1035"/>
      <c r="W90" s="553">
        <f t="shared" si="39"/>
        <v>0</v>
      </c>
      <c r="X90" s="1043"/>
    </row>
    <row r="91" spans="2:24" s="4" customFormat="1" outlineLevel="1">
      <c r="B91" s="1044"/>
      <c r="C91" s="1040"/>
      <c r="D91" s="1041"/>
      <c r="E91" s="1035"/>
      <c r="F91" s="1035"/>
      <c r="G91" s="1035"/>
      <c r="H91" s="1035"/>
      <c r="I91" s="1035"/>
      <c r="J91" s="1035"/>
      <c r="K91" s="1035"/>
      <c r="L91" s="1035"/>
      <c r="M91" s="1035"/>
      <c r="N91" s="1035"/>
      <c r="O91" s="1035"/>
      <c r="P91" s="1035"/>
      <c r="Q91" s="1035"/>
      <c r="R91" s="1035"/>
      <c r="S91" s="1035"/>
      <c r="T91" s="1035"/>
      <c r="U91" s="1035"/>
      <c r="V91" s="1035"/>
      <c r="W91" s="553">
        <f t="shared" si="39"/>
        <v>0</v>
      </c>
      <c r="X91" s="1043"/>
    </row>
    <row r="92" spans="2:24" s="4" customFormat="1" outlineLevel="1">
      <c r="B92" s="1044"/>
      <c r="C92" s="1040"/>
      <c r="D92" s="1041"/>
      <c r="E92" s="1035"/>
      <c r="F92" s="1035"/>
      <c r="G92" s="1035"/>
      <c r="H92" s="1035"/>
      <c r="I92" s="1035"/>
      <c r="J92" s="1035"/>
      <c r="K92" s="1035"/>
      <c r="L92" s="1035"/>
      <c r="M92" s="1035"/>
      <c r="N92" s="1035"/>
      <c r="O92" s="1035"/>
      <c r="P92" s="1035"/>
      <c r="Q92" s="1035"/>
      <c r="R92" s="1035"/>
      <c r="S92" s="1035"/>
      <c r="T92" s="1035"/>
      <c r="U92" s="1035"/>
      <c r="V92" s="1035"/>
      <c r="W92" s="553">
        <f t="shared" si="39"/>
        <v>0</v>
      </c>
      <c r="X92" s="1043"/>
    </row>
    <row r="93" spans="2:24" s="4" customFormat="1" outlineLevel="1">
      <c r="B93" s="1044"/>
      <c r="C93" s="1040"/>
      <c r="D93" s="1041"/>
      <c r="E93" s="1035"/>
      <c r="F93" s="1035"/>
      <c r="G93" s="1035"/>
      <c r="H93" s="1035"/>
      <c r="I93" s="1035"/>
      <c r="J93" s="1035"/>
      <c r="K93" s="1035"/>
      <c r="L93" s="1035"/>
      <c r="M93" s="1035"/>
      <c r="N93" s="1035"/>
      <c r="O93" s="1035"/>
      <c r="P93" s="1035"/>
      <c r="Q93" s="1035"/>
      <c r="R93" s="1035"/>
      <c r="S93" s="1035"/>
      <c r="T93" s="1035"/>
      <c r="U93" s="1035"/>
      <c r="V93" s="1035"/>
      <c r="W93" s="553">
        <f t="shared" si="39"/>
        <v>0</v>
      </c>
      <c r="X93" s="1043"/>
    </row>
    <row r="94" spans="2:24" s="4" customFormat="1" outlineLevel="1">
      <c r="B94" s="1044"/>
      <c r="C94" s="1040"/>
      <c r="D94" s="1041"/>
      <c r="E94" s="1035"/>
      <c r="F94" s="1035"/>
      <c r="G94" s="1035"/>
      <c r="H94" s="1035"/>
      <c r="I94" s="1035"/>
      <c r="J94" s="1035"/>
      <c r="K94" s="1035"/>
      <c r="L94" s="1035"/>
      <c r="M94" s="1035"/>
      <c r="N94" s="1035"/>
      <c r="O94" s="1035"/>
      <c r="P94" s="1035"/>
      <c r="Q94" s="1035"/>
      <c r="R94" s="1035"/>
      <c r="S94" s="1035"/>
      <c r="T94" s="1035"/>
      <c r="U94" s="1035"/>
      <c r="V94" s="1035"/>
      <c r="W94" s="553">
        <f t="shared" si="39"/>
        <v>0</v>
      </c>
      <c r="X94" s="1043"/>
    </row>
    <row r="95" spans="2:24" s="4" customFormat="1" outlineLevel="1">
      <c r="B95" s="1044"/>
      <c r="C95" s="1040"/>
      <c r="D95" s="1041"/>
      <c r="E95" s="1035"/>
      <c r="F95" s="1035"/>
      <c r="G95" s="1035"/>
      <c r="H95" s="1035"/>
      <c r="I95" s="1035"/>
      <c r="J95" s="1035"/>
      <c r="K95" s="1035"/>
      <c r="L95" s="1035"/>
      <c r="M95" s="1035"/>
      <c r="N95" s="1035"/>
      <c r="O95" s="1035"/>
      <c r="P95" s="1035"/>
      <c r="Q95" s="1035"/>
      <c r="R95" s="1035"/>
      <c r="S95" s="1035"/>
      <c r="T95" s="1035"/>
      <c r="U95" s="1035"/>
      <c r="V95" s="1035"/>
      <c r="W95" s="553">
        <f t="shared" si="39"/>
        <v>0</v>
      </c>
      <c r="X95" s="1043"/>
    </row>
    <row r="96" spans="2:24" s="4" customFormat="1" outlineLevel="1">
      <c r="B96" s="1044"/>
      <c r="C96" s="1040"/>
      <c r="D96" s="1041"/>
      <c r="E96" s="1035"/>
      <c r="F96" s="1035"/>
      <c r="G96" s="1035"/>
      <c r="H96" s="1035"/>
      <c r="I96" s="1035"/>
      <c r="J96" s="1035"/>
      <c r="K96" s="1035"/>
      <c r="L96" s="1035"/>
      <c r="M96" s="1035"/>
      <c r="N96" s="1035"/>
      <c r="O96" s="1035"/>
      <c r="P96" s="1035"/>
      <c r="Q96" s="1035"/>
      <c r="R96" s="1035"/>
      <c r="S96" s="1035"/>
      <c r="T96" s="1035"/>
      <c r="U96" s="1035"/>
      <c r="V96" s="1035"/>
      <c r="W96" s="553">
        <f t="shared" si="39"/>
        <v>0</v>
      </c>
      <c r="X96" s="1043"/>
    </row>
    <row r="97" spans="2:24" s="4" customFormat="1" outlineLevel="1">
      <c r="B97" s="1044"/>
      <c r="C97" s="1040"/>
      <c r="D97" s="1041"/>
      <c r="E97" s="1035"/>
      <c r="F97" s="1035"/>
      <c r="G97" s="1035"/>
      <c r="H97" s="1035"/>
      <c r="I97" s="1035"/>
      <c r="J97" s="1035"/>
      <c r="K97" s="1035"/>
      <c r="L97" s="1035"/>
      <c r="M97" s="1035"/>
      <c r="N97" s="1035"/>
      <c r="O97" s="1035"/>
      <c r="P97" s="1035"/>
      <c r="Q97" s="1035"/>
      <c r="R97" s="1035"/>
      <c r="S97" s="1035"/>
      <c r="T97" s="1035"/>
      <c r="U97" s="1035"/>
      <c r="V97" s="1035"/>
      <c r="W97" s="553">
        <f t="shared" si="39"/>
        <v>0</v>
      </c>
      <c r="X97" s="1043"/>
    </row>
    <row r="98" spans="2:24" s="4" customFormat="1" outlineLevel="1">
      <c r="B98" s="1044"/>
      <c r="C98" s="1040"/>
      <c r="D98" s="1041"/>
      <c r="E98" s="1035"/>
      <c r="F98" s="1035"/>
      <c r="G98" s="1035"/>
      <c r="H98" s="1035"/>
      <c r="I98" s="1035"/>
      <c r="J98" s="1035"/>
      <c r="K98" s="1035"/>
      <c r="L98" s="1035"/>
      <c r="M98" s="1035"/>
      <c r="N98" s="1035"/>
      <c r="O98" s="1035"/>
      <c r="P98" s="1035"/>
      <c r="Q98" s="1035"/>
      <c r="R98" s="1035"/>
      <c r="S98" s="1035"/>
      <c r="T98" s="1035"/>
      <c r="U98" s="1035"/>
      <c r="V98" s="1035"/>
      <c r="W98" s="553">
        <f t="shared" si="39"/>
        <v>0</v>
      </c>
      <c r="X98" s="1043"/>
    </row>
    <row r="99" spans="2:24" s="4" customFormat="1" outlineLevel="1">
      <c r="B99" s="1044"/>
      <c r="C99" s="1040"/>
      <c r="D99" s="1041"/>
      <c r="E99" s="1035"/>
      <c r="F99" s="1035"/>
      <c r="G99" s="1035"/>
      <c r="H99" s="1035"/>
      <c r="I99" s="1035"/>
      <c r="J99" s="1035"/>
      <c r="K99" s="1035"/>
      <c r="L99" s="1035"/>
      <c r="M99" s="1035"/>
      <c r="N99" s="1035"/>
      <c r="O99" s="1035"/>
      <c r="P99" s="1035"/>
      <c r="Q99" s="1035"/>
      <c r="R99" s="1035"/>
      <c r="S99" s="1035"/>
      <c r="T99" s="1035"/>
      <c r="U99" s="1035"/>
      <c r="V99" s="1035"/>
      <c r="W99" s="553">
        <f t="shared" si="39"/>
        <v>0</v>
      </c>
      <c r="X99" s="1043"/>
    </row>
    <row r="100" spans="2:24" s="4" customFormat="1" outlineLevel="1">
      <c r="B100" s="1044"/>
      <c r="C100" s="1040"/>
      <c r="D100" s="1041"/>
      <c r="E100" s="1035"/>
      <c r="F100" s="1035"/>
      <c r="G100" s="1035"/>
      <c r="H100" s="1035"/>
      <c r="I100" s="1035"/>
      <c r="J100" s="1035"/>
      <c r="K100" s="1035"/>
      <c r="L100" s="1035"/>
      <c r="M100" s="1035"/>
      <c r="N100" s="1035"/>
      <c r="O100" s="1035"/>
      <c r="P100" s="1035"/>
      <c r="Q100" s="1035"/>
      <c r="R100" s="1035"/>
      <c r="S100" s="1035"/>
      <c r="T100" s="1035"/>
      <c r="U100" s="1035"/>
      <c r="V100" s="1035"/>
      <c r="W100" s="553">
        <f t="shared" si="39"/>
        <v>0</v>
      </c>
      <c r="X100" s="1043"/>
    </row>
    <row r="101" spans="2:24" s="4" customFormat="1" outlineLevel="1">
      <c r="B101" s="1044"/>
      <c r="C101" s="1040"/>
      <c r="D101" s="1041"/>
      <c r="E101" s="1035"/>
      <c r="F101" s="1035"/>
      <c r="G101" s="1035"/>
      <c r="H101" s="1035"/>
      <c r="I101" s="1035"/>
      <c r="J101" s="1035"/>
      <c r="K101" s="1035"/>
      <c r="L101" s="1035"/>
      <c r="M101" s="1035"/>
      <c r="N101" s="1035"/>
      <c r="O101" s="1035"/>
      <c r="P101" s="1035"/>
      <c r="Q101" s="1035"/>
      <c r="R101" s="1035"/>
      <c r="S101" s="1035"/>
      <c r="T101" s="1035"/>
      <c r="U101" s="1035"/>
      <c r="V101" s="1035"/>
      <c r="W101" s="553">
        <f t="shared" si="39"/>
        <v>0</v>
      </c>
      <c r="X101" s="1043"/>
    </row>
    <row r="102" spans="2:24" s="4" customFormat="1" outlineLevel="1">
      <c r="B102" s="1044"/>
      <c r="C102" s="1040"/>
      <c r="D102" s="1041"/>
      <c r="E102" s="1035"/>
      <c r="F102" s="1035"/>
      <c r="G102" s="1035"/>
      <c r="H102" s="1035"/>
      <c r="I102" s="1035"/>
      <c r="J102" s="1035"/>
      <c r="K102" s="1035"/>
      <c r="L102" s="1035"/>
      <c r="M102" s="1035"/>
      <c r="N102" s="1035"/>
      <c r="O102" s="1035"/>
      <c r="P102" s="1035"/>
      <c r="Q102" s="1035"/>
      <c r="R102" s="1035"/>
      <c r="S102" s="1035"/>
      <c r="T102" s="1035"/>
      <c r="U102" s="1035"/>
      <c r="V102" s="1035"/>
      <c r="W102" s="553">
        <f t="shared" si="39"/>
        <v>0</v>
      </c>
      <c r="X102" s="1043"/>
    </row>
    <row r="103" spans="2:24" outlineLevel="1">
      <c r="B103" s="1044"/>
      <c r="C103" s="1040"/>
      <c r="D103" s="1041"/>
      <c r="E103" s="1035"/>
      <c r="F103" s="1035"/>
      <c r="G103" s="1035"/>
      <c r="H103" s="1035"/>
      <c r="I103" s="1035"/>
      <c r="J103" s="1035"/>
      <c r="K103" s="1035"/>
      <c r="L103" s="1035"/>
      <c r="M103" s="1035"/>
      <c r="N103" s="1035"/>
      <c r="O103" s="1035"/>
      <c r="P103" s="1035"/>
      <c r="Q103" s="1035"/>
      <c r="R103" s="1035"/>
      <c r="S103" s="1035"/>
      <c r="T103" s="1035"/>
      <c r="U103" s="1035"/>
      <c r="V103" s="1035"/>
      <c r="W103" s="553">
        <f t="shared" si="39"/>
        <v>0</v>
      </c>
      <c r="X103" s="1043"/>
    </row>
    <row r="104" spans="2:24" outlineLevel="1">
      <c r="B104" s="1044"/>
      <c r="C104" s="1040"/>
      <c r="D104" s="1041"/>
      <c r="E104" s="1035"/>
      <c r="F104" s="1035"/>
      <c r="G104" s="1035"/>
      <c r="H104" s="1035"/>
      <c r="I104" s="1035"/>
      <c r="J104" s="1035"/>
      <c r="K104" s="1035"/>
      <c r="L104" s="1035"/>
      <c r="M104" s="1035"/>
      <c r="N104" s="1035"/>
      <c r="O104" s="1035"/>
      <c r="P104" s="1035"/>
      <c r="Q104" s="1035"/>
      <c r="R104" s="1035"/>
      <c r="S104" s="1035"/>
      <c r="T104" s="1035"/>
      <c r="U104" s="1035"/>
      <c r="V104" s="1035"/>
      <c r="W104" s="553">
        <f t="shared" si="39"/>
        <v>0</v>
      </c>
      <c r="X104" s="1043"/>
    </row>
    <row r="105" spans="2:24">
      <c r="B105" s="112" t="s">
        <v>36</v>
      </c>
      <c r="C105" s="1129" t="s">
        <v>312</v>
      </c>
      <c r="D105" s="1130"/>
      <c r="E105" s="551">
        <f>SUM(E85:E104)</f>
        <v>0</v>
      </c>
      <c r="F105" s="551">
        <f>SUM(F85:F104)</f>
        <v>0</v>
      </c>
      <c r="G105" s="551">
        <f t="shared" ref="G105:V105" si="40">SUM(G84:G104)</f>
        <v>0</v>
      </c>
      <c r="H105" s="551">
        <f t="shared" si="40"/>
        <v>0</v>
      </c>
      <c r="I105" s="551">
        <f t="shared" si="40"/>
        <v>0</v>
      </c>
      <c r="J105" s="551">
        <f t="shared" si="40"/>
        <v>0</v>
      </c>
      <c r="K105" s="551">
        <f t="shared" si="40"/>
        <v>0</v>
      </c>
      <c r="L105" s="551">
        <f t="shared" ref="L105:M105" si="41">SUM(L84:L104)</f>
        <v>0</v>
      </c>
      <c r="M105" s="551">
        <f t="shared" si="41"/>
        <v>0</v>
      </c>
      <c r="N105" s="551">
        <f t="shared" si="40"/>
        <v>0</v>
      </c>
      <c r="O105" s="551">
        <f t="shared" si="40"/>
        <v>0</v>
      </c>
      <c r="P105" s="551">
        <f t="shared" ref="P105:U105" si="42">SUM(P84:P104)</f>
        <v>0</v>
      </c>
      <c r="Q105" s="551">
        <f t="shared" si="42"/>
        <v>0</v>
      </c>
      <c r="R105" s="551">
        <f t="shared" ref="R105:S105" si="43">SUM(R84:R104)</f>
        <v>0</v>
      </c>
      <c r="S105" s="551">
        <f t="shared" si="43"/>
        <v>0</v>
      </c>
      <c r="T105" s="551">
        <f t="shared" si="42"/>
        <v>0</v>
      </c>
      <c r="U105" s="551">
        <f t="shared" si="42"/>
        <v>0</v>
      </c>
      <c r="V105" s="551">
        <f t="shared" si="40"/>
        <v>0</v>
      </c>
      <c r="W105" s="551">
        <f>SUM(W85:W104)</f>
        <v>0</v>
      </c>
      <c r="X105" s="57"/>
    </row>
    <row r="106" spans="2:24">
      <c r="E106" s="552"/>
      <c r="F106" s="552"/>
      <c r="G106" s="552"/>
      <c r="H106" s="552"/>
      <c r="I106" s="552"/>
      <c r="J106" s="552"/>
      <c r="K106" s="552"/>
      <c r="L106" s="552"/>
      <c r="M106" s="552"/>
      <c r="N106" s="552"/>
      <c r="O106" s="552"/>
      <c r="P106" s="552"/>
      <c r="Q106" s="552"/>
      <c r="R106" s="552"/>
      <c r="S106" s="552"/>
      <c r="T106" s="552"/>
      <c r="U106" s="552"/>
      <c r="V106" s="552"/>
      <c r="W106" s="552"/>
    </row>
    <row r="107" spans="2:24">
      <c r="B107" s="1129" t="s">
        <v>316</v>
      </c>
      <c r="C107" s="1131"/>
      <c r="D107" s="1130"/>
      <c r="E107" s="551">
        <f ca="1">ROUND((IFERROR(INDEX(Cashflow!$G$150:$FS$156,MATCH('Target Tracking'!$B105,Cashflow!$G$150:$G$156,0),MATCH('Target Tracking'!E84,Cashflow!$G$150:$FS$150,0)),0)),0)</f>
        <v>0</v>
      </c>
      <c r="F107" s="551">
        <f ca="1">ROUND((IFERROR(INDEX(Cashflow!$G$150:$FS$156,MATCH('Target Tracking'!$B105,Cashflow!$G$150:$G$156,0),MATCH('Target Tracking'!F84,Cashflow!$G$150:$FS$150,0)),0)),0)</f>
        <v>0</v>
      </c>
      <c r="G107" s="551">
        <f ca="1">ROUND((IFERROR(INDEX(Cashflow!$G$150:$FS$156,MATCH('Target Tracking'!$B105,Cashflow!$G$150:$G$156,0),MATCH('Target Tracking'!G84,Cashflow!$G$150:$FS$150,0)),0)),0)</f>
        <v>0</v>
      </c>
      <c r="H107" s="551">
        <f ca="1">ROUND((IFERROR(INDEX(Cashflow!$G$150:$FS$156,MATCH('Target Tracking'!$B105,Cashflow!$G$150:$G$156,0),MATCH('Target Tracking'!H84,Cashflow!$G$150:$FS$150,0)),0)),0)</f>
        <v>0</v>
      </c>
      <c r="I107" s="551">
        <f ca="1">ROUND((IFERROR(INDEX(Cashflow!$G$150:$FS$156,MATCH('Target Tracking'!$B105,Cashflow!$G$150:$G$156,0),MATCH('Target Tracking'!I84,Cashflow!$G$150:$FS$150,0)),0)),0)</f>
        <v>0</v>
      </c>
      <c r="J107" s="551">
        <f ca="1">ROUND((IFERROR(INDEX(Cashflow!$G$150:$FS$156,MATCH('Target Tracking'!$B105,Cashflow!$G$150:$G$156,0),MATCH('Target Tracking'!J84,Cashflow!$G$150:$FS$150,0)),0)),0)</f>
        <v>0</v>
      </c>
      <c r="K107" s="551">
        <f ca="1">ROUND((IFERROR(INDEX(Cashflow!$G$150:$FS$156,MATCH('Target Tracking'!$B105,Cashflow!$G$150:$G$156,0),MATCH('Target Tracking'!K84,Cashflow!$G$150:$FS$150,0)),0)),0)</f>
        <v>0</v>
      </c>
      <c r="L107" s="551">
        <f ca="1">ROUND((IFERROR(INDEX(Cashflow!$G$150:$FS$156,MATCH('Target Tracking'!$B105,Cashflow!$G$150:$G$156,0),MATCH('Target Tracking'!L84,Cashflow!$G$150:$FS$150,0)),0)),0)</f>
        <v>0</v>
      </c>
      <c r="M107" s="551">
        <f ca="1">ROUND((IFERROR(INDEX(Cashflow!$G$150:$FS$156,MATCH('Target Tracking'!$B105,Cashflow!$G$150:$G$156,0),MATCH('Target Tracking'!M84,Cashflow!$G$150:$FS$150,0)),0)),0)</f>
        <v>0</v>
      </c>
      <c r="N107" s="551">
        <f ca="1">ROUND((IFERROR(INDEX(Cashflow!$G$150:$FS$156,MATCH('Target Tracking'!$B105,Cashflow!$G$150:$G$156,0),MATCH('Target Tracking'!N84,Cashflow!$G$150:$FS$150,0)),0)),0)</f>
        <v>0</v>
      </c>
      <c r="O107" s="551">
        <f ca="1">ROUND((IFERROR(INDEX(Cashflow!$G$150:$FS$156,MATCH('Target Tracking'!$B105,Cashflow!$G$150:$G$156,0),MATCH('Target Tracking'!O84,Cashflow!$G$150:$FS$150,0)),0)),0)</f>
        <v>0</v>
      </c>
      <c r="P107" s="551">
        <f ca="1">ROUND((IFERROR(INDEX(Cashflow!$G$150:$FS$156,MATCH('Target Tracking'!$B105,Cashflow!$G$150:$G$156,0),MATCH('Target Tracking'!P84,Cashflow!$G$150:$FS$150,0)),0)),0)</f>
        <v>0</v>
      </c>
      <c r="Q107" s="551">
        <f ca="1">ROUND((IFERROR(INDEX(Cashflow!$G$150:$FS$156,MATCH('Target Tracking'!$B105,Cashflow!$G$150:$G$156,0),MATCH('Target Tracking'!Q84,Cashflow!$G$150:$FS$150,0)),0)),0)</f>
        <v>0</v>
      </c>
      <c r="R107" s="551">
        <f ca="1">ROUND((IFERROR(INDEX(Cashflow!$G$150:$FS$156,MATCH('Target Tracking'!$B105,Cashflow!$G$150:$G$156,0),MATCH('Target Tracking'!R84,Cashflow!$G$150:$FS$150,0)),0)),0)</f>
        <v>0</v>
      </c>
      <c r="S107" s="551">
        <f ca="1">ROUND((IFERROR(INDEX(Cashflow!$G$150:$FS$156,MATCH('Target Tracking'!$B105,Cashflow!$G$150:$G$156,0),MATCH('Target Tracking'!S84,Cashflow!$G$150:$FS$150,0)),0)),0)</f>
        <v>0</v>
      </c>
      <c r="T107" s="551">
        <f ca="1">ROUND((IFERROR(INDEX(Cashflow!$G$150:$FS$156,MATCH('Target Tracking'!$B105,Cashflow!$G$150:$G$156,0),MATCH('Target Tracking'!T84,Cashflow!$G$150:$FS$150,0)),0)),0)</f>
        <v>0</v>
      </c>
      <c r="U107" s="551">
        <f ca="1">ROUND((IFERROR(INDEX(Cashflow!$G$150:$FS$156,MATCH('Target Tracking'!$B105,Cashflow!$G$150:$G$156,0),MATCH('Target Tracking'!U84,Cashflow!$G$150:$FS$150,0)),0)),0)</f>
        <v>0</v>
      </c>
      <c r="V107" s="551">
        <f ca="1">ROUND((IFERROR(INDEX(Cashflow!$G$150:$FS$156,MATCH('Target Tracking'!$B105,Cashflow!$G$150:$G$156,0),MATCH('Target Tracking'!V84,Cashflow!$G$150:$FS$150,0)),0)),0)</f>
        <v>0</v>
      </c>
      <c r="W107" s="551">
        <f ca="1">SUM(E107:V107)</f>
        <v>0</v>
      </c>
      <c r="X107" s="57"/>
    </row>
    <row r="108" spans="2:24" s="158" customFormat="1">
      <c r="B108" s="2"/>
      <c r="C108" s="161"/>
      <c r="D108" s="162" t="s">
        <v>277</v>
      </c>
      <c r="E108" s="552">
        <f t="shared" ref="E108" ca="1" si="44">E105-E107</f>
        <v>0</v>
      </c>
      <c r="F108" s="552">
        <f t="shared" ref="F108" ca="1" si="45">F105-F107</f>
        <v>0</v>
      </c>
      <c r="G108" s="552">
        <f t="shared" ref="G108" ca="1" si="46">G105-G107</f>
        <v>0</v>
      </c>
      <c r="H108" s="552">
        <f t="shared" ref="H108" ca="1" si="47">H105-H107</f>
        <v>0</v>
      </c>
      <c r="I108" s="552">
        <f t="shared" ref="I108" ca="1" si="48">I105-I107</f>
        <v>0</v>
      </c>
      <c r="J108" s="552">
        <f t="shared" ref="J108" ca="1" si="49">J105-J107</f>
        <v>0</v>
      </c>
      <c r="K108" s="552">
        <f t="shared" ref="K108" ca="1" si="50">K105-K107</f>
        <v>0</v>
      </c>
      <c r="L108" s="552">
        <f t="shared" ref="L108:N108" ca="1" si="51">L105-L107</f>
        <v>0</v>
      </c>
      <c r="M108" s="552">
        <f t="shared" ref="M108:P108" ca="1" si="52">M105-M107</f>
        <v>0</v>
      </c>
      <c r="N108" s="552">
        <f t="shared" ca="1" si="51"/>
        <v>0</v>
      </c>
      <c r="O108" s="552">
        <f t="shared" ca="1" si="52"/>
        <v>0</v>
      </c>
      <c r="P108" s="552">
        <f t="shared" ca="1" si="52"/>
        <v>0</v>
      </c>
      <c r="Q108" s="552">
        <f t="shared" ref="Q108:V108" ca="1" si="53">Q105-Q107</f>
        <v>0</v>
      </c>
      <c r="R108" s="552">
        <f t="shared" ca="1" si="53"/>
        <v>0</v>
      </c>
      <c r="S108" s="552">
        <f t="shared" ref="S108:U108" ca="1" si="54">S105-S107</f>
        <v>0</v>
      </c>
      <c r="T108" s="552">
        <f t="shared" ca="1" si="54"/>
        <v>0</v>
      </c>
      <c r="U108" s="552">
        <f t="shared" ca="1" si="54"/>
        <v>0</v>
      </c>
      <c r="V108" s="552">
        <f t="shared" ca="1" si="53"/>
        <v>0</v>
      </c>
      <c r="W108" s="552"/>
      <c r="X108" s="1"/>
    </row>
    <row r="109" spans="2:24" s="158" customFormat="1">
      <c r="B109" s="2"/>
      <c r="C109" s="2"/>
      <c r="D109" s="2"/>
      <c r="E109" s="531"/>
      <c r="F109" s="531"/>
      <c r="G109" s="538"/>
      <c r="H109" s="508"/>
      <c r="I109" s="508"/>
      <c r="J109" s="508"/>
      <c r="K109" s="508"/>
      <c r="L109" s="508"/>
      <c r="M109" s="508"/>
      <c r="N109" s="508"/>
      <c r="O109" s="508"/>
      <c r="P109" s="508"/>
      <c r="Q109" s="508"/>
      <c r="R109" s="508"/>
      <c r="S109" s="508"/>
      <c r="T109" s="508"/>
      <c r="U109" s="508"/>
      <c r="V109" s="508"/>
      <c r="W109" s="508"/>
      <c r="X109" s="1"/>
    </row>
    <row r="110" spans="2:24" s="4" customFormat="1" outlineLevel="1">
      <c r="B110" s="159" t="s">
        <v>318</v>
      </c>
      <c r="C110" s="160"/>
      <c r="D110" s="160"/>
      <c r="E110" s="534"/>
      <c r="F110" s="535"/>
      <c r="G110" s="536"/>
      <c r="H110" s="537"/>
      <c r="I110" s="537"/>
      <c r="J110" s="537"/>
      <c r="K110" s="537"/>
      <c r="L110" s="537"/>
      <c r="M110" s="537"/>
      <c r="N110" s="537"/>
      <c r="O110" s="537"/>
      <c r="P110" s="537"/>
      <c r="Q110" s="537"/>
      <c r="R110" s="537"/>
      <c r="S110" s="537"/>
      <c r="T110" s="537"/>
      <c r="U110" s="537"/>
      <c r="V110" s="537"/>
      <c r="W110" s="537"/>
      <c r="X110" s="158"/>
    </row>
    <row r="111" spans="2:24" s="4" customFormat="1" outlineLevel="1">
      <c r="B111" s="144" t="s">
        <v>280</v>
      </c>
      <c r="C111" s="144" t="s">
        <v>281</v>
      </c>
      <c r="D111" s="144" t="s">
        <v>282</v>
      </c>
      <c r="E111" s="20" t="str">
        <f>E$17</f>
        <v>2017-18</v>
      </c>
      <c r="F111" s="20" t="str">
        <f t="shared" ref="F111:V111" si="55">F$17</f>
        <v>2018-19</v>
      </c>
      <c r="G111" s="20" t="str">
        <f t="shared" si="55"/>
        <v>2019-20</v>
      </c>
      <c r="H111" s="20" t="str">
        <f t="shared" si="55"/>
        <v>2020-21</v>
      </c>
      <c r="I111" s="20" t="str">
        <f t="shared" si="55"/>
        <v>2021-22</v>
      </c>
      <c r="J111" s="20" t="str">
        <f t="shared" si="55"/>
        <v>2022-23</v>
      </c>
      <c r="K111" s="20" t="str">
        <f t="shared" si="55"/>
        <v>2023-24</v>
      </c>
      <c r="L111" s="20" t="str">
        <f t="shared" si="55"/>
        <v>2024-25</v>
      </c>
      <c r="M111" s="20" t="str">
        <f t="shared" si="55"/>
        <v>2025-26</v>
      </c>
      <c r="N111" s="20" t="str">
        <f t="shared" si="55"/>
        <v>2026-27</v>
      </c>
      <c r="O111" s="20" t="str">
        <f t="shared" si="55"/>
        <v>2027-28</v>
      </c>
      <c r="P111" s="20">
        <f t="shared" si="55"/>
        <v>0</v>
      </c>
      <c r="Q111" s="20">
        <f t="shared" si="55"/>
        <v>0</v>
      </c>
      <c r="R111" s="20">
        <f t="shared" si="55"/>
        <v>0</v>
      </c>
      <c r="S111" s="20">
        <f t="shared" si="55"/>
        <v>0</v>
      </c>
      <c r="T111" s="20">
        <f t="shared" si="55"/>
        <v>0</v>
      </c>
      <c r="U111" s="20">
        <f t="shared" si="55"/>
        <v>0</v>
      </c>
      <c r="V111" s="20">
        <f t="shared" si="55"/>
        <v>0</v>
      </c>
      <c r="W111" s="20" t="s">
        <v>274</v>
      </c>
      <c r="X111" s="144" t="s">
        <v>267</v>
      </c>
    </row>
    <row r="112" spans="2:24" s="4" customFormat="1" outlineLevel="1">
      <c r="B112" s="1044"/>
      <c r="C112" s="1040"/>
      <c r="D112" s="1041"/>
      <c r="E112" s="1035"/>
      <c r="F112" s="1035"/>
      <c r="G112" s="1035"/>
      <c r="H112" s="1035"/>
      <c r="I112" s="1035"/>
      <c r="J112" s="1035"/>
      <c r="K112" s="1035"/>
      <c r="L112" s="1035"/>
      <c r="M112" s="1035"/>
      <c r="N112" s="1035"/>
      <c r="O112" s="1035"/>
      <c r="P112" s="1035"/>
      <c r="Q112" s="1035"/>
      <c r="R112" s="1035"/>
      <c r="S112" s="1035"/>
      <c r="T112" s="1035"/>
      <c r="U112" s="1035"/>
      <c r="V112" s="1035"/>
      <c r="W112" s="553">
        <f t="shared" ref="W112:W131" si="56">SUM(E112:V112)</f>
        <v>0</v>
      </c>
      <c r="X112" s="1043"/>
    </row>
    <row r="113" spans="2:24" s="4" customFormat="1" outlineLevel="1">
      <c r="B113" s="1044"/>
      <c r="C113" s="1040"/>
      <c r="D113" s="1041"/>
      <c r="E113" s="1035"/>
      <c r="F113" s="1035"/>
      <c r="G113" s="1035"/>
      <c r="H113" s="1035"/>
      <c r="I113" s="1035"/>
      <c r="J113" s="1035"/>
      <c r="K113" s="1035"/>
      <c r="L113" s="1035"/>
      <c r="M113" s="1035"/>
      <c r="N113" s="1035"/>
      <c r="O113" s="1035"/>
      <c r="P113" s="1035"/>
      <c r="Q113" s="1035"/>
      <c r="R113" s="1035"/>
      <c r="S113" s="1035"/>
      <c r="T113" s="1035"/>
      <c r="U113" s="1035"/>
      <c r="V113" s="1035"/>
      <c r="W113" s="553">
        <f t="shared" si="56"/>
        <v>0</v>
      </c>
      <c r="X113" s="1043"/>
    </row>
    <row r="114" spans="2:24" s="4" customFormat="1" outlineLevel="1">
      <c r="B114" s="1044"/>
      <c r="C114" s="1040"/>
      <c r="D114" s="1041"/>
      <c r="E114" s="1035"/>
      <c r="F114" s="1035"/>
      <c r="G114" s="1035"/>
      <c r="H114" s="1035"/>
      <c r="I114" s="1035"/>
      <c r="J114" s="1035"/>
      <c r="K114" s="1035"/>
      <c r="L114" s="1035"/>
      <c r="M114" s="1035"/>
      <c r="N114" s="1035"/>
      <c r="O114" s="1035"/>
      <c r="P114" s="1035"/>
      <c r="Q114" s="1035"/>
      <c r="R114" s="1035"/>
      <c r="S114" s="1035"/>
      <c r="T114" s="1035"/>
      <c r="U114" s="1035"/>
      <c r="V114" s="1035"/>
      <c r="W114" s="553">
        <f t="shared" si="56"/>
        <v>0</v>
      </c>
      <c r="X114" s="1043"/>
    </row>
    <row r="115" spans="2:24" s="4" customFormat="1" outlineLevel="1">
      <c r="B115" s="1044"/>
      <c r="C115" s="1040"/>
      <c r="D115" s="1041"/>
      <c r="E115" s="1035"/>
      <c r="F115" s="1035"/>
      <c r="G115" s="1035"/>
      <c r="H115" s="1035"/>
      <c r="I115" s="1035"/>
      <c r="J115" s="1035"/>
      <c r="K115" s="1035"/>
      <c r="L115" s="1035"/>
      <c r="M115" s="1035"/>
      <c r="N115" s="1035"/>
      <c r="O115" s="1035"/>
      <c r="P115" s="1035"/>
      <c r="Q115" s="1035"/>
      <c r="R115" s="1035"/>
      <c r="S115" s="1035"/>
      <c r="T115" s="1035"/>
      <c r="U115" s="1035"/>
      <c r="V115" s="1035"/>
      <c r="W115" s="553">
        <f t="shared" si="56"/>
        <v>0</v>
      </c>
      <c r="X115" s="1043"/>
    </row>
    <row r="116" spans="2:24" s="4" customFormat="1" outlineLevel="1">
      <c r="B116" s="1044"/>
      <c r="C116" s="1040"/>
      <c r="D116" s="1041"/>
      <c r="E116" s="1035"/>
      <c r="F116" s="1035"/>
      <c r="G116" s="1035"/>
      <c r="H116" s="1035"/>
      <c r="I116" s="1035"/>
      <c r="J116" s="1035"/>
      <c r="K116" s="1035"/>
      <c r="L116" s="1035"/>
      <c r="M116" s="1035"/>
      <c r="N116" s="1035"/>
      <c r="O116" s="1035"/>
      <c r="P116" s="1035"/>
      <c r="Q116" s="1035"/>
      <c r="R116" s="1035"/>
      <c r="S116" s="1035"/>
      <c r="T116" s="1035"/>
      <c r="U116" s="1035"/>
      <c r="V116" s="1035"/>
      <c r="W116" s="553">
        <f t="shared" si="56"/>
        <v>0</v>
      </c>
      <c r="X116" s="1043"/>
    </row>
    <row r="117" spans="2:24" s="4" customFormat="1" outlineLevel="1">
      <c r="B117" s="1044"/>
      <c r="C117" s="1040"/>
      <c r="D117" s="1041"/>
      <c r="E117" s="1035"/>
      <c r="F117" s="1035"/>
      <c r="G117" s="1035"/>
      <c r="H117" s="1035"/>
      <c r="I117" s="1035"/>
      <c r="J117" s="1035"/>
      <c r="K117" s="1035"/>
      <c r="L117" s="1035"/>
      <c r="M117" s="1035"/>
      <c r="N117" s="1035"/>
      <c r="O117" s="1035"/>
      <c r="P117" s="1035"/>
      <c r="Q117" s="1035"/>
      <c r="R117" s="1035"/>
      <c r="S117" s="1035"/>
      <c r="T117" s="1035"/>
      <c r="U117" s="1035"/>
      <c r="V117" s="1035"/>
      <c r="W117" s="553">
        <f t="shared" si="56"/>
        <v>0</v>
      </c>
      <c r="X117" s="1043"/>
    </row>
    <row r="118" spans="2:24" s="4" customFormat="1" outlineLevel="1">
      <c r="B118" s="1044"/>
      <c r="C118" s="1040"/>
      <c r="D118" s="1041"/>
      <c r="E118" s="1035"/>
      <c r="F118" s="1035"/>
      <c r="G118" s="1035"/>
      <c r="H118" s="1035"/>
      <c r="I118" s="1035"/>
      <c r="J118" s="1035"/>
      <c r="K118" s="1035"/>
      <c r="L118" s="1035"/>
      <c r="M118" s="1035"/>
      <c r="N118" s="1035"/>
      <c r="O118" s="1035"/>
      <c r="P118" s="1035"/>
      <c r="Q118" s="1035"/>
      <c r="R118" s="1035"/>
      <c r="S118" s="1035"/>
      <c r="T118" s="1035"/>
      <c r="U118" s="1035"/>
      <c r="V118" s="1035"/>
      <c r="W118" s="553">
        <f t="shared" si="56"/>
        <v>0</v>
      </c>
      <c r="X118" s="1043"/>
    </row>
    <row r="119" spans="2:24" s="4" customFormat="1" outlineLevel="1">
      <c r="B119" s="1044"/>
      <c r="C119" s="1040"/>
      <c r="D119" s="1041"/>
      <c r="E119" s="1035"/>
      <c r="F119" s="1035"/>
      <c r="G119" s="1035"/>
      <c r="H119" s="1035"/>
      <c r="I119" s="1035"/>
      <c r="J119" s="1035"/>
      <c r="K119" s="1035"/>
      <c r="L119" s="1035"/>
      <c r="M119" s="1035"/>
      <c r="N119" s="1035"/>
      <c r="O119" s="1035"/>
      <c r="P119" s="1035"/>
      <c r="Q119" s="1035"/>
      <c r="R119" s="1035"/>
      <c r="S119" s="1035"/>
      <c r="T119" s="1035"/>
      <c r="U119" s="1035"/>
      <c r="V119" s="1035"/>
      <c r="W119" s="553">
        <f t="shared" si="56"/>
        <v>0</v>
      </c>
      <c r="X119" s="1043"/>
    </row>
    <row r="120" spans="2:24" s="4" customFormat="1" outlineLevel="1">
      <c r="B120" s="1044"/>
      <c r="C120" s="1040"/>
      <c r="D120" s="1041"/>
      <c r="E120" s="1035"/>
      <c r="F120" s="1035"/>
      <c r="G120" s="1035"/>
      <c r="H120" s="1035"/>
      <c r="I120" s="1035"/>
      <c r="J120" s="1035"/>
      <c r="K120" s="1035"/>
      <c r="L120" s="1035"/>
      <c r="M120" s="1035"/>
      <c r="N120" s="1035"/>
      <c r="O120" s="1035"/>
      <c r="P120" s="1035"/>
      <c r="Q120" s="1035"/>
      <c r="R120" s="1035"/>
      <c r="S120" s="1035"/>
      <c r="T120" s="1035"/>
      <c r="U120" s="1035"/>
      <c r="V120" s="1035"/>
      <c r="W120" s="553">
        <f t="shared" si="56"/>
        <v>0</v>
      </c>
      <c r="X120" s="1043"/>
    </row>
    <row r="121" spans="2:24" s="4" customFormat="1" outlineLevel="1">
      <c r="B121" s="1044"/>
      <c r="C121" s="1040"/>
      <c r="D121" s="1041"/>
      <c r="E121" s="1035"/>
      <c r="F121" s="1035"/>
      <c r="G121" s="1035"/>
      <c r="H121" s="1035"/>
      <c r="I121" s="1035"/>
      <c r="J121" s="1035"/>
      <c r="K121" s="1035"/>
      <c r="L121" s="1035"/>
      <c r="M121" s="1035"/>
      <c r="N121" s="1035"/>
      <c r="O121" s="1035"/>
      <c r="P121" s="1035"/>
      <c r="Q121" s="1035"/>
      <c r="R121" s="1035"/>
      <c r="S121" s="1035"/>
      <c r="T121" s="1035"/>
      <c r="U121" s="1035"/>
      <c r="V121" s="1035"/>
      <c r="W121" s="553">
        <f t="shared" si="56"/>
        <v>0</v>
      </c>
      <c r="X121" s="1043"/>
    </row>
    <row r="122" spans="2:24" s="4" customFormat="1" outlineLevel="1">
      <c r="B122" s="1044"/>
      <c r="C122" s="1040"/>
      <c r="D122" s="1041"/>
      <c r="E122" s="1035"/>
      <c r="F122" s="1035"/>
      <c r="G122" s="1035"/>
      <c r="H122" s="1035"/>
      <c r="I122" s="1035"/>
      <c r="J122" s="1035"/>
      <c r="K122" s="1035"/>
      <c r="L122" s="1035"/>
      <c r="M122" s="1035"/>
      <c r="N122" s="1035"/>
      <c r="O122" s="1035"/>
      <c r="P122" s="1035"/>
      <c r="Q122" s="1035"/>
      <c r="R122" s="1035"/>
      <c r="S122" s="1035"/>
      <c r="T122" s="1035"/>
      <c r="U122" s="1035"/>
      <c r="V122" s="1035"/>
      <c r="W122" s="553">
        <f t="shared" si="56"/>
        <v>0</v>
      </c>
      <c r="X122" s="1043"/>
    </row>
    <row r="123" spans="2:24" s="4" customFormat="1" outlineLevel="1">
      <c r="B123" s="1044"/>
      <c r="C123" s="1040"/>
      <c r="D123" s="1041"/>
      <c r="E123" s="1035"/>
      <c r="F123" s="1035"/>
      <c r="G123" s="1035"/>
      <c r="H123" s="1035"/>
      <c r="I123" s="1035"/>
      <c r="J123" s="1035"/>
      <c r="K123" s="1035"/>
      <c r="L123" s="1035"/>
      <c r="M123" s="1035"/>
      <c r="N123" s="1035"/>
      <c r="O123" s="1035"/>
      <c r="P123" s="1035"/>
      <c r="Q123" s="1035"/>
      <c r="R123" s="1035"/>
      <c r="S123" s="1035"/>
      <c r="T123" s="1035"/>
      <c r="U123" s="1035"/>
      <c r="V123" s="1035"/>
      <c r="W123" s="553">
        <f t="shared" si="56"/>
        <v>0</v>
      </c>
      <c r="X123" s="1043"/>
    </row>
    <row r="124" spans="2:24" s="4" customFormat="1" outlineLevel="1">
      <c r="B124" s="1044"/>
      <c r="C124" s="1040"/>
      <c r="D124" s="1041"/>
      <c r="E124" s="1035"/>
      <c r="F124" s="1035"/>
      <c r="G124" s="1035"/>
      <c r="H124" s="1035"/>
      <c r="I124" s="1035"/>
      <c r="J124" s="1035"/>
      <c r="K124" s="1035"/>
      <c r="L124" s="1035"/>
      <c r="M124" s="1035"/>
      <c r="N124" s="1035"/>
      <c r="O124" s="1035"/>
      <c r="P124" s="1035"/>
      <c r="Q124" s="1035"/>
      <c r="R124" s="1035"/>
      <c r="S124" s="1035"/>
      <c r="T124" s="1035"/>
      <c r="U124" s="1035"/>
      <c r="V124" s="1035"/>
      <c r="W124" s="553">
        <f t="shared" si="56"/>
        <v>0</v>
      </c>
      <c r="X124" s="1043"/>
    </row>
    <row r="125" spans="2:24" s="4" customFormat="1" outlineLevel="1">
      <c r="B125" s="1044"/>
      <c r="C125" s="1040"/>
      <c r="D125" s="1041"/>
      <c r="E125" s="1035"/>
      <c r="F125" s="1035"/>
      <c r="G125" s="1035"/>
      <c r="H125" s="1035"/>
      <c r="I125" s="1035"/>
      <c r="J125" s="1035"/>
      <c r="K125" s="1035"/>
      <c r="L125" s="1035"/>
      <c r="M125" s="1035"/>
      <c r="N125" s="1035"/>
      <c r="O125" s="1035"/>
      <c r="P125" s="1035"/>
      <c r="Q125" s="1035"/>
      <c r="R125" s="1035"/>
      <c r="S125" s="1035"/>
      <c r="T125" s="1035"/>
      <c r="U125" s="1035"/>
      <c r="V125" s="1035"/>
      <c r="W125" s="553">
        <f t="shared" si="56"/>
        <v>0</v>
      </c>
      <c r="X125" s="1043"/>
    </row>
    <row r="126" spans="2:24" s="4" customFormat="1" outlineLevel="1">
      <c r="B126" s="1044"/>
      <c r="C126" s="1040"/>
      <c r="D126" s="1041"/>
      <c r="E126" s="1035"/>
      <c r="F126" s="1035"/>
      <c r="G126" s="1035"/>
      <c r="H126" s="1035"/>
      <c r="I126" s="1035"/>
      <c r="J126" s="1035"/>
      <c r="K126" s="1035"/>
      <c r="L126" s="1035"/>
      <c r="M126" s="1035"/>
      <c r="N126" s="1035"/>
      <c r="O126" s="1035"/>
      <c r="P126" s="1035"/>
      <c r="Q126" s="1035"/>
      <c r="R126" s="1035"/>
      <c r="S126" s="1035"/>
      <c r="T126" s="1035"/>
      <c r="U126" s="1035"/>
      <c r="V126" s="1035"/>
      <c r="W126" s="553">
        <f t="shared" si="56"/>
        <v>0</v>
      </c>
      <c r="X126" s="1043"/>
    </row>
    <row r="127" spans="2:24" s="4" customFormat="1" outlineLevel="1">
      <c r="B127" s="1044"/>
      <c r="C127" s="1040"/>
      <c r="D127" s="1041"/>
      <c r="E127" s="1035"/>
      <c r="F127" s="1035"/>
      <c r="G127" s="1035"/>
      <c r="H127" s="1035"/>
      <c r="I127" s="1035"/>
      <c r="J127" s="1035"/>
      <c r="K127" s="1035"/>
      <c r="L127" s="1035"/>
      <c r="M127" s="1035"/>
      <c r="N127" s="1035"/>
      <c r="O127" s="1035"/>
      <c r="P127" s="1035"/>
      <c r="Q127" s="1035"/>
      <c r="R127" s="1035"/>
      <c r="S127" s="1035"/>
      <c r="T127" s="1035"/>
      <c r="U127" s="1035"/>
      <c r="V127" s="1035"/>
      <c r="W127" s="553">
        <f t="shared" si="56"/>
        <v>0</v>
      </c>
      <c r="X127" s="1043"/>
    </row>
    <row r="128" spans="2:24" s="4" customFormat="1" outlineLevel="1">
      <c r="B128" s="1044"/>
      <c r="C128" s="1040"/>
      <c r="D128" s="1041"/>
      <c r="E128" s="1035"/>
      <c r="F128" s="1035"/>
      <c r="G128" s="1035"/>
      <c r="H128" s="1035"/>
      <c r="I128" s="1035"/>
      <c r="J128" s="1035"/>
      <c r="K128" s="1035"/>
      <c r="L128" s="1035"/>
      <c r="M128" s="1035"/>
      <c r="N128" s="1035"/>
      <c r="O128" s="1035"/>
      <c r="P128" s="1035"/>
      <c r="Q128" s="1035"/>
      <c r="R128" s="1035"/>
      <c r="S128" s="1035"/>
      <c r="T128" s="1035"/>
      <c r="U128" s="1035"/>
      <c r="V128" s="1035"/>
      <c r="W128" s="553">
        <f t="shared" si="56"/>
        <v>0</v>
      </c>
      <c r="X128" s="1043"/>
    </row>
    <row r="129" spans="2:24" s="4" customFormat="1" outlineLevel="1">
      <c r="B129" s="1044"/>
      <c r="C129" s="1040"/>
      <c r="D129" s="1041"/>
      <c r="E129" s="1035"/>
      <c r="F129" s="1035"/>
      <c r="G129" s="1035"/>
      <c r="H129" s="1035"/>
      <c r="I129" s="1035"/>
      <c r="J129" s="1035"/>
      <c r="K129" s="1035"/>
      <c r="L129" s="1035"/>
      <c r="M129" s="1035"/>
      <c r="N129" s="1035"/>
      <c r="O129" s="1035"/>
      <c r="P129" s="1035"/>
      <c r="Q129" s="1035"/>
      <c r="R129" s="1035"/>
      <c r="S129" s="1035"/>
      <c r="T129" s="1035"/>
      <c r="U129" s="1035"/>
      <c r="V129" s="1035"/>
      <c r="W129" s="553">
        <f t="shared" si="56"/>
        <v>0</v>
      </c>
      <c r="X129" s="1043"/>
    </row>
    <row r="130" spans="2:24" outlineLevel="1">
      <c r="B130" s="1044"/>
      <c r="C130" s="1040"/>
      <c r="D130" s="1041"/>
      <c r="E130" s="1035"/>
      <c r="F130" s="1035"/>
      <c r="G130" s="1035"/>
      <c r="H130" s="1035"/>
      <c r="I130" s="1035"/>
      <c r="J130" s="1035"/>
      <c r="K130" s="1035"/>
      <c r="L130" s="1035"/>
      <c r="M130" s="1035"/>
      <c r="N130" s="1035"/>
      <c r="O130" s="1035"/>
      <c r="P130" s="1035"/>
      <c r="Q130" s="1035"/>
      <c r="R130" s="1035"/>
      <c r="S130" s="1035"/>
      <c r="T130" s="1035"/>
      <c r="U130" s="1035"/>
      <c r="V130" s="1035"/>
      <c r="W130" s="553">
        <f t="shared" si="56"/>
        <v>0</v>
      </c>
      <c r="X130" s="1043"/>
    </row>
    <row r="131" spans="2:24" outlineLevel="1">
      <c r="B131" s="1044"/>
      <c r="C131" s="1040"/>
      <c r="D131" s="1041"/>
      <c r="E131" s="1035"/>
      <c r="F131" s="1035"/>
      <c r="G131" s="1035"/>
      <c r="H131" s="1035"/>
      <c r="I131" s="1035"/>
      <c r="J131" s="1035"/>
      <c r="K131" s="1035"/>
      <c r="L131" s="1035"/>
      <c r="M131" s="1035"/>
      <c r="N131" s="1035"/>
      <c r="O131" s="1035"/>
      <c r="P131" s="1035"/>
      <c r="Q131" s="1035"/>
      <c r="R131" s="1035"/>
      <c r="S131" s="1035"/>
      <c r="T131" s="1035"/>
      <c r="U131" s="1035"/>
      <c r="V131" s="1035"/>
      <c r="W131" s="553">
        <f t="shared" si="56"/>
        <v>0</v>
      </c>
      <c r="X131" s="1043"/>
    </row>
    <row r="132" spans="2:24">
      <c r="B132" s="112" t="s">
        <v>42</v>
      </c>
      <c r="C132" s="1129" t="s">
        <v>312</v>
      </c>
      <c r="D132" s="1130"/>
      <c r="E132" s="551">
        <f>SUM(E112:E131)</f>
        <v>0</v>
      </c>
      <c r="F132" s="551">
        <f>SUM(F112:F131)</f>
        <v>0</v>
      </c>
      <c r="G132" s="551">
        <f t="shared" ref="G132:V132" si="57">SUM(G111:G131)</f>
        <v>0</v>
      </c>
      <c r="H132" s="551">
        <f t="shared" si="57"/>
        <v>0</v>
      </c>
      <c r="I132" s="551">
        <f t="shared" si="57"/>
        <v>0</v>
      </c>
      <c r="J132" s="551">
        <f t="shared" si="57"/>
        <v>0</v>
      </c>
      <c r="K132" s="551">
        <f t="shared" si="57"/>
        <v>0</v>
      </c>
      <c r="L132" s="551">
        <f t="shared" ref="L132:M132" si="58">SUM(L111:L131)</f>
        <v>0</v>
      </c>
      <c r="M132" s="551">
        <f t="shared" si="58"/>
        <v>0</v>
      </c>
      <c r="N132" s="551">
        <f t="shared" si="57"/>
        <v>0</v>
      </c>
      <c r="O132" s="551">
        <f t="shared" si="57"/>
        <v>0</v>
      </c>
      <c r="P132" s="551">
        <f t="shared" ref="P132:U132" si="59">SUM(P111:P131)</f>
        <v>0</v>
      </c>
      <c r="Q132" s="551">
        <f t="shared" si="59"/>
        <v>0</v>
      </c>
      <c r="R132" s="551">
        <f t="shared" ref="R132:S132" si="60">SUM(R111:R131)</f>
        <v>0</v>
      </c>
      <c r="S132" s="551">
        <f t="shared" si="60"/>
        <v>0</v>
      </c>
      <c r="T132" s="551">
        <f t="shared" si="59"/>
        <v>0</v>
      </c>
      <c r="U132" s="551">
        <f t="shared" si="59"/>
        <v>0</v>
      </c>
      <c r="V132" s="551">
        <f t="shared" si="57"/>
        <v>0</v>
      </c>
      <c r="W132" s="551">
        <f>SUM(W112:W131)</f>
        <v>0</v>
      </c>
      <c r="X132" s="57"/>
    </row>
    <row r="133" spans="2:24">
      <c r="E133" s="552"/>
      <c r="F133" s="552"/>
      <c r="G133" s="552"/>
      <c r="H133" s="552"/>
      <c r="I133" s="552"/>
      <c r="J133" s="552"/>
      <c r="K133" s="552"/>
      <c r="L133" s="552"/>
      <c r="M133" s="552"/>
      <c r="N133" s="552"/>
      <c r="O133" s="552"/>
      <c r="P133" s="552"/>
      <c r="Q133" s="552"/>
      <c r="R133" s="552"/>
      <c r="S133" s="552"/>
      <c r="T133" s="552"/>
      <c r="U133" s="552"/>
      <c r="V133" s="552"/>
      <c r="W133" s="552"/>
    </row>
    <row r="134" spans="2:24">
      <c r="B134" s="1129" t="s">
        <v>316</v>
      </c>
      <c r="C134" s="1131"/>
      <c r="D134" s="1130"/>
      <c r="E134" s="551">
        <f ca="1">ROUND((IFERROR(INDEX(Cashflow!$G$150:$FS$156,MATCH('Target Tracking'!$B132,Cashflow!$G$150:$G$156,0),MATCH('Target Tracking'!E111,Cashflow!$G$150:$FS$150,0)),0)),0)</f>
        <v>0</v>
      </c>
      <c r="F134" s="551">
        <f ca="1">ROUND((IFERROR(INDEX(Cashflow!$G$150:$FS$156,MATCH('Target Tracking'!$B132,Cashflow!$G$150:$G$156,0),MATCH('Target Tracking'!F111,Cashflow!$G$150:$FS$150,0)),0)),0)</f>
        <v>0</v>
      </c>
      <c r="G134" s="551">
        <f ca="1">ROUND((IFERROR(INDEX(Cashflow!$G$150:$FS$156,MATCH('Target Tracking'!$B132,Cashflow!$G$150:$G$156,0),MATCH('Target Tracking'!G111,Cashflow!$G$150:$FS$150,0)),0)),0)</f>
        <v>0</v>
      </c>
      <c r="H134" s="551">
        <f ca="1">ROUND((IFERROR(INDEX(Cashflow!$G$150:$FS$156,MATCH('Target Tracking'!$B132,Cashflow!$G$150:$G$156,0),MATCH('Target Tracking'!H111,Cashflow!$G$150:$FS$150,0)),0)),0)</f>
        <v>0</v>
      </c>
      <c r="I134" s="551">
        <f ca="1">ROUND((IFERROR(INDEX(Cashflow!$G$150:$FS$156,MATCH('Target Tracking'!$B132,Cashflow!$G$150:$G$156,0),MATCH('Target Tracking'!I111,Cashflow!$G$150:$FS$150,0)),0)),0)</f>
        <v>0</v>
      </c>
      <c r="J134" s="551">
        <f ca="1">ROUND((IFERROR(INDEX(Cashflow!$G$150:$FS$156,MATCH('Target Tracking'!$B132,Cashflow!$G$150:$G$156,0),MATCH('Target Tracking'!J111,Cashflow!$G$150:$FS$150,0)),0)),0)</f>
        <v>0</v>
      </c>
      <c r="K134" s="551">
        <f ca="1">ROUND((IFERROR(INDEX(Cashflow!$G$150:$FS$156,MATCH('Target Tracking'!$B132,Cashflow!$G$150:$G$156,0),MATCH('Target Tracking'!K111,Cashflow!$G$150:$FS$150,0)),0)),0)</f>
        <v>0</v>
      </c>
      <c r="L134" s="551">
        <f ca="1">ROUND((IFERROR(INDEX(Cashflow!$G$150:$FS$156,MATCH('Target Tracking'!$B132,Cashflow!$G$150:$G$156,0),MATCH('Target Tracking'!L111,Cashflow!$G$150:$FS$150,0)),0)),0)</f>
        <v>0</v>
      </c>
      <c r="M134" s="551">
        <f ca="1">ROUND((IFERROR(INDEX(Cashflow!$G$150:$FS$156,MATCH('Target Tracking'!$B132,Cashflow!$G$150:$G$156,0),MATCH('Target Tracking'!M111,Cashflow!$G$150:$FS$150,0)),0)),0)</f>
        <v>0</v>
      </c>
      <c r="N134" s="551">
        <f ca="1">ROUND((IFERROR(INDEX(Cashflow!$G$150:$FS$156,MATCH('Target Tracking'!$B132,Cashflow!$G$150:$G$156,0),MATCH('Target Tracking'!N111,Cashflow!$G$150:$FS$150,0)),0)),0)</f>
        <v>0</v>
      </c>
      <c r="O134" s="551">
        <f ca="1">ROUND((IFERROR(INDEX(Cashflow!$G$150:$FS$156,MATCH('Target Tracking'!$B132,Cashflow!$G$150:$G$156,0),MATCH('Target Tracking'!O111,Cashflow!$G$150:$FS$150,0)),0)),0)</f>
        <v>0</v>
      </c>
      <c r="P134" s="551">
        <f ca="1">ROUND((IFERROR(INDEX(Cashflow!$G$150:$FS$156,MATCH('Target Tracking'!$B132,Cashflow!$G$150:$G$156,0),MATCH('Target Tracking'!P111,Cashflow!$G$150:$FS$150,0)),0)),0)</f>
        <v>0</v>
      </c>
      <c r="Q134" s="551">
        <f ca="1">ROUND((IFERROR(INDEX(Cashflow!$G$150:$FS$156,MATCH('Target Tracking'!$B132,Cashflow!$G$150:$G$156,0),MATCH('Target Tracking'!Q111,Cashflow!$G$150:$FS$150,0)),0)),0)</f>
        <v>0</v>
      </c>
      <c r="R134" s="551">
        <f ca="1">ROUND((IFERROR(INDEX(Cashflow!$G$150:$FS$156,MATCH('Target Tracking'!$B132,Cashflow!$G$150:$G$156,0),MATCH('Target Tracking'!R111,Cashflow!$G$150:$FS$150,0)),0)),0)</f>
        <v>0</v>
      </c>
      <c r="S134" s="551">
        <f ca="1">ROUND((IFERROR(INDEX(Cashflow!$G$150:$FS$156,MATCH('Target Tracking'!$B132,Cashflow!$G$150:$G$156,0),MATCH('Target Tracking'!S111,Cashflow!$G$150:$FS$150,0)),0)),0)</f>
        <v>0</v>
      </c>
      <c r="T134" s="551">
        <f ca="1">ROUND((IFERROR(INDEX(Cashflow!$G$150:$FS$156,MATCH('Target Tracking'!$B132,Cashflow!$G$150:$G$156,0),MATCH('Target Tracking'!T111,Cashflow!$G$150:$FS$150,0)),0)),0)</f>
        <v>0</v>
      </c>
      <c r="U134" s="551">
        <f ca="1">ROUND((IFERROR(INDEX(Cashflow!$G$150:$FS$156,MATCH('Target Tracking'!$B132,Cashflow!$G$150:$G$156,0),MATCH('Target Tracking'!U111,Cashflow!$G$150:$FS$150,0)),0)),0)</f>
        <v>0</v>
      </c>
      <c r="V134" s="551">
        <f ca="1">ROUND((IFERROR(INDEX(Cashflow!$G$150:$FS$156,MATCH('Target Tracking'!$B132,Cashflow!$G$150:$G$156,0),MATCH('Target Tracking'!V111,Cashflow!$G$150:$FS$150,0)),0)),0)</f>
        <v>0</v>
      </c>
      <c r="W134" s="551">
        <f ca="1">SUM(E134:V134)</f>
        <v>0</v>
      </c>
      <c r="X134" s="57"/>
    </row>
    <row r="135" spans="2:24" s="158" customFormat="1">
      <c r="B135" s="2"/>
      <c r="C135" s="161"/>
      <c r="D135" s="162" t="s">
        <v>277</v>
      </c>
      <c r="E135" s="552">
        <f t="shared" ref="E135" ca="1" si="61">E132-E134</f>
        <v>0</v>
      </c>
      <c r="F135" s="552">
        <f t="shared" ref="F135" ca="1" si="62">F132-F134</f>
        <v>0</v>
      </c>
      <c r="G135" s="552">
        <f t="shared" ref="G135" ca="1" si="63">G132-G134</f>
        <v>0</v>
      </c>
      <c r="H135" s="552">
        <f t="shared" ref="H135" ca="1" si="64">H132-H134</f>
        <v>0</v>
      </c>
      <c r="I135" s="552">
        <f t="shared" ref="I135" ca="1" si="65">I132-I134</f>
        <v>0</v>
      </c>
      <c r="J135" s="552">
        <f t="shared" ref="J135" ca="1" si="66">J132-J134</f>
        <v>0</v>
      </c>
      <c r="K135" s="552">
        <f t="shared" ref="K135" ca="1" si="67">K132-K134</f>
        <v>0</v>
      </c>
      <c r="L135" s="552">
        <f t="shared" ref="L135:N135" ca="1" si="68">L132-L134</f>
        <v>0</v>
      </c>
      <c r="M135" s="552">
        <f t="shared" ref="M135:P135" ca="1" si="69">M132-M134</f>
        <v>0</v>
      </c>
      <c r="N135" s="552">
        <f t="shared" ca="1" si="68"/>
        <v>0</v>
      </c>
      <c r="O135" s="552">
        <f t="shared" ca="1" si="69"/>
        <v>0</v>
      </c>
      <c r="P135" s="552">
        <f t="shared" ca="1" si="69"/>
        <v>0</v>
      </c>
      <c r="Q135" s="552">
        <f t="shared" ref="Q135:V135" ca="1" si="70">Q132-Q134</f>
        <v>0</v>
      </c>
      <c r="R135" s="552">
        <f t="shared" ca="1" si="70"/>
        <v>0</v>
      </c>
      <c r="S135" s="552">
        <f t="shared" ref="S135:U135" ca="1" si="71">S132-S134</f>
        <v>0</v>
      </c>
      <c r="T135" s="552">
        <f t="shared" ca="1" si="71"/>
        <v>0</v>
      </c>
      <c r="U135" s="552">
        <f t="shared" ca="1" si="71"/>
        <v>0</v>
      </c>
      <c r="V135" s="552">
        <f t="shared" ca="1" si="70"/>
        <v>0</v>
      </c>
      <c r="W135" s="552"/>
      <c r="X135" s="1"/>
    </row>
    <row r="136" spans="2:24" s="158" customFormat="1">
      <c r="B136" s="2"/>
      <c r="C136" s="2"/>
      <c r="D136" s="2"/>
      <c r="E136" s="531"/>
      <c r="F136" s="531"/>
      <c r="G136" s="538"/>
      <c r="H136" s="508"/>
      <c r="I136" s="508"/>
      <c r="J136" s="508"/>
      <c r="K136" s="508"/>
      <c r="L136" s="508"/>
      <c r="M136" s="508"/>
      <c r="N136" s="508"/>
      <c r="O136" s="508"/>
      <c r="P136" s="508"/>
      <c r="Q136" s="508"/>
      <c r="R136" s="508"/>
      <c r="S136" s="508"/>
      <c r="T136" s="508"/>
      <c r="U136" s="508"/>
      <c r="V136" s="508"/>
      <c r="W136" s="508"/>
      <c r="X136" s="1"/>
    </row>
    <row r="137" spans="2:24" s="4" customFormat="1" outlineLevel="1">
      <c r="B137" s="159" t="s">
        <v>319</v>
      </c>
      <c r="C137" s="160"/>
      <c r="D137" s="160"/>
      <c r="E137" s="534"/>
      <c r="F137" s="535"/>
      <c r="G137" s="536"/>
      <c r="H137" s="537"/>
      <c r="I137" s="537"/>
      <c r="J137" s="537"/>
      <c r="K137" s="537"/>
      <c r="L137" s="537"/>
      <c r="M137" s="537"/>
      <c r="N137" s="537"/>
      <c r="O137" s="537"/>
      <c r="P137" s="537"/>
      <c r="Q137" s="537"/>
      <c r="R137" s="537"/>
      <c r="S137" s="537"/>
      <c r="T137" s="537"/>
      <c r="U137" s="537"/>
      <c r="V137" s="537"/>
      <c r="W137" s="537"/>
      <c r="X137" s="158"/>
    </row>
    <row r="138" spans="2:24" s="4" customFormat="1" outlineLevel="1">
      <c r="B138" s="144" t="s">
        <v>280</v>
      </c>
      <c r="C138" s="144" t="s">
        <v>281</v>
      </c>
      <c r="D138" s="144" t="s">
        <v>282</v>
      </c>
      <c r="E138" s="20" t="str">
        <f>E$17</f>
        <v>2017-18</v>
      </c>
      <c r="F138" s="20" t="str">
        <f t="shared" ref="F138:V138" si="72">F$17</f>
        <v>2018-19</v>
      </c>
      <c r="G138" s="20" t="str">
        <f t="shared" si="72"/>
        <v>2019-20</v>
      </c>
      <c r="H138" s="20" t="str">
        <f t="shared" si="72"/>
        <v>2020-21</v>
      </c>
      <c r="I138" s="20" t="str">
        <f t="shared" si="72"/>
        <v>2021-22</v>
      </c>
      <c r="J138" s="20" t="str">
        <f t="shared" si="72"/>
        <v>2022-23</v>
      </c>
      <c r="K138" s="20" t="str">
        <f t="shared" si="72"/>
        <v>2023-24</v>
      </c>
      <c r="L138" s="20" t="str">
        <f t="shared" si="72"/>
        <v>2024-25</v>
      </c>
      <c r="M138" s="20" t="str">
        <f t="shared" si="72"/>
        <v>2025-26</v>
      </c>
      <c r="N138" s="20" t="str">
        <f t="shared" si="72"/>
        <v>2026-27</v>
      </c>
      <c r="O138" s="20" t="str">
        <f t="shared" si="72"/>
        <v>2027-28</v>
      </c>
      <c r="P138" s="20">
        <f t="shared" si="72"/>
        <v>0</v>
      </c>
      <c r="Q138" s="20">
        <f t="shared" si="72"/>
        <v>0</v>
      </c>
      <c r="R138" s="20">
        <f t="shared" si="72"/>
        <v>0</v>
      </c>
      <c r="S138" s="20">
        <f t="shared" si="72"/>
        <v>0</v>
      </c>
      <c r="T138" s="20">
        <f t="shared" si="72"/>
        <v>0</v>
      </c>
      <c r="U138" s="20">
        <f t="shared" si="72"/>
        <v>0</v>
      </c>
      <c r="V138" s="20">
        <f t="shared" si="72"/>
        <v>0</v>
      </c>
      <c r="W138" s="20" t="s">
        <v>274</v>
      </c>
      <c r="X138" s="144" t="s">
        <v>267</v>
      </c>
    </row>
    <row r="139" spans="2:24" s="4" customFormat="1" outlineLevel="1">
      <c r="B139" s="1044"/>
      <c r="C139" s="1040"/>
      <c r="D139" s="1041"/>
      <c r="E139" s="1035"/>
      <c r="F139" s="1035"/>
      <c r="G139" s="1035"/>
      <c r="H139" s="1035"/>
      <c r="I139" s="1035"/>
      <c r="J139" s="1035"/>
      <c r="K139" s="1035"/>
      <c r="L139" s="1035"/>
      <c r="M139" s="1035"/>
      <c r="N139" s="1035"/>
      <c r="O139" s="1035"/>
      <c r="P139" s="1035"/>
      <c r="Q139" s="1035"/>
      <c r="R139" s="1035"/>
      <c r="S139" s="1035"/>
      <c r="T139" s="1035"/>
      <c r="U139" s="1035"/>
      <c r="V139" s="1035"/>
      <c r="W139" s="553">
        <f t="shared" ref="W139:W158" si="73">SUM(E139:V139)</f>
        <v>0</v>
      </c>
      <c r="X139" s="1043"/>
    </row>
    <row r="140" spans="2:24" s="4" customFormat="1" outlineLevel="1">
      <c r="B140" s="1044"/>
      <c r="C140" s="1040"/>
      <c r="D140" s="1041"/>
      <c r="E140" s="1035"/>
      <c r="F140" s="1035"/>
      <c r="G140" s="1035"/>
      <c r="H140" s="1035"/>
      <c r="I140" s="1035"/>
      <c r="J140" s="1035"/>
      <c r="K140" s="1035"/>
      <c r="L140" s="1035"/>
      <c r="M140" s="1035"/>
      <c r="N140" s="1035"/>
      <c r="O140" s="1035"/>
      <c r="P140" s="1035"/>
      <c r="Q140" s="1035"/>
      <c r="R140" s="1035"/>
      <c r="S140" s="1035"/>
      <c r="T140" s="1035"/>
      <c r="U140" s="1035"/>
      <c r="V140" s="1035"/>
      <c r="W140" s="553">
        <f t="shared" si="73"/>
        <v>0</v>
      </c>
      <c r="X140" s="1043"/>
    </row>
    <row r="141" spans="2:24" s="4" customFormat="1" outlineLevel="1">
      <c r="B141" s="1044"/>
      <c r="C141" s="1040"/>
      <c r="D141" s="1041"/>
      <c r="E141" s="1035"/>
      <c r="F141" s="1035"/>
      <c r="G141" s="1035"/>
      <c r="H141" s="1035"/>
      <c r="I141" s="1035"/>
      <c r="J141" s="1035"/>
      <c r="K141" s="1035"/>
      <c r="L141" s="1035"/>
      <c r="M141" s="1035"/>
      <c r="N141" s="1035"/>
      <c r="O141" s="1035"/>
      <c r="P141" s="1035"/>
      <c r="Q141" s="1035"/>
      <c r="R141" s="1035"/>
      <c r="S141" s="1035"/>
      <c r="T141" s="1035"/>
      <c r="U141" s="1035"/>
      <c r="V141" s="1035"/>
      <c r="W141" s="553">
        <f t="shared" si="73"/>
        <v>0</v>
      </c>
      <c r="X141" s="1043"/>
    </row>
    <row r="142" spans="2:24" s="4" customFormat="1" outlineLevel="1">
      <c r="B142" s="1044"/>
      <c r="C142" s="1040"/>
      <c r="D142" s="1041"/>
      <c r="E142" s="1035"/>
      <c r="F142" s="1035"/>
      <c r="G142" s="1035"/>
      <c r="H142" s="1035"/>
      <c r="I142" s="1035"/>
      <c r="J142" s="1035"/>
      <c r="K142" s="1035"/>
      <c r="L142" s="1035"/>
      <c r="M142" s="1035"/>
      <c r="N142" s="1035"/>
      <c r="O142" s="1035"/>
      <c r="P142" s="1035"/>
      <c r="Q142" s="1035"/>
      <c r="R142" s="1035"/>
      <c r="S142" s="1035"/>
      <c r="T142" s="1035"/>
      <c r="U142" s="1035"/>
      <c r="V142" s="1035"/>
      <c r="W142" s="553">
        <f t="shared" si="73"/>
        <v>0</v>
      </c>
      <c r="X142" s="1043"/>
    </row>
    <row r="143" spans="2:24" s="4" customFormat="1" outlineLevel="1">
      <c r="B143" s="1044"/>
      <c r="C143" s="1040"/>
      <c r="D143" s="1041"/>
      <c r="E143" s="1035"/>
      <c r="F143" s="1035"/>
      <c r="G143" s="1035"/>
      <c r="H143" s="1035"/>
      <c r="I143" s="1035"/>
      <c r="J143" s="1035"/>
      <c r="K143" s="1035"/>
      <c r="L143" s="1035"/>
      <c r="M143" s="1035"/>
      <c r="N143" s="1035"/>
      <c r="O143" s="1035"/>
      <c r="P143" s="1035"/>
      <c r="Q143" s="1035"/>
      <c r="R143" s="1035"/>
      <c r="S143" s="1035"/>
      <c r="T143" s="1035"/>
      <c r="U143" s="1035"/>
      <c r="V143" s="1035"/>
      <c r="W143" s="553">
        <f t="shared" si="73"/>
        <v>0</v>
      </c>
      <c r="X143" s="1043"/>
    </row>
    <row r="144" spans="2:24" s="4" customFormat="1" outlineLevel="1">
      <c r="B144" s="1044"/>
      <c r="C144" s="1040"/>
      <c r="D144" s="1041"/>
      <c r="E144" s="1035"/>
      <c r="F144" s="1035"/>
      <c r="G144" s="1035"/>
      <c r="H144" s="1035"/>
      <c r="I144" s="1035"/>
      <c r="J144" s="1035"/>
      <c r="K144" s="1035"/>
      <c r="L144" s="1035"/>
      <c r="M144" s="1035"/>
      <c r="N144" s="1035"/>
      <c r="O144" s="1035"/>
      <c r="P144" s="1035"/>
      <c r="Q144" s="1035"/>
      <c r="R144" s="1035"/>
      <c r="S144" s="1035"/>
      <c r="T144" s="1035"/>
      <c r="U144" s="1035"/>
      <c r="V144" s="1035"/>
      <c r="W144" s="553">
        <f t="shared" si="73"/>
        <v>0</v>
      </c>
      <c r="X144" s="1043"/>
    </row>
    <row r="145" spans="2:24" s="4" customFormat="1" outlineLevel="1">
      <c r="B145" s="1044"/>
      <c r="C145" s="1040"/>
      <c r="D145" s="1041"/>
      <c r="E145" s="1035"/>
      <c r="F145" s="1035"/>
      <c r="G145" s="1035"/>
      <c r="H145" s="1035"/>
      <c r="I145" s="1035"/>
      <c r="J145" s="1035"/>
      <c r="K145" s="1035"/>
      <c r="L145" s="1035"/>
      <c r="M145" s="1035"/>
      <c r="N145" s="1035"/>
      <c r="O145" s="1035"/>
      <c r="P145" s="1035"/>
      <c r="Q145" s="1035"/>
      <c r="R145" s="1035"/>
      <c r="S145" s="1035"/>
      <c r="T145" s="1035"/>
      <c r="U145" s="1035"/>
      <c r="V145" s="1035"/>
      <c r="W145" s="553">
        <f t="shared" si="73"/>
        <v>0</v>
      </c>
      <c r="X145" s="1043"/>
    </row>
    <row r="146" spans="2:24" s="4" customFormat="1" outlineLevel="1">
      <c r="B146" s="1044"/>
      <c r="C146" s="1040"/>
      <c r="D146" s="1041"/>
      <c r="E146" s="1035"/>
      <c r="F146" s="1035"/>
      <c r="G146" s="1035"/>
      <c r="H146" s="1035"/>
      <c r="I146" s="1035"/>
      <c r="J146" s="1035"/>
      <c r="K146" s="1035"/>
      <c r="L146" s="1035"/>
      <c r="M146" s="1035"/>
      <c r="N146" s="1035"/>
      <c r="O146" s="1035"/>
      <c r="P146" s="1035"/>
      <c r="Q146" s="1035"/>
      <c r="R146" s="1035"/>
      <c r="S146" s="1035"/>
      <c r="T146" s="1035"/>
      <c r="U146" s="1035"/>
      <c r="V146" s="1035"/>
      <c r="W146" s="553">
        <f t="shared" si="73"/>
        <v>0</v>
      </c>
      <c r="X146" s="1043"/>
    </row>
    <row r="147" spans="2:24" s="4" customFormat="1" outlineLevel="1">
      <c r="B147" s="1044"/>
      <c r="C147" s="1040"/>
      <c r="D147" s="1041"/>
      <c r="E147" s="1035"/>
      <c r="F147" s="1035"/>
      <c r="G147" s="1035"/>
      <c r="H147" s="1035"/>
      <c r="I147" s="1035"/>
      <c r="J147" s="1035"/>
      <c r="K147" s="1035"/>
      <c r="L147" s="1035"/>
      <c r="M147" s="1035"/>
      <c r="N147" s="1035"/>
      <c r="O147" s="1035"/>
      <c r="P147" s="1035"/>
      <c r="Q147" s="1035"/>
      <c r="R147" s="1035"/>
      <c r="S147" s="1035"/>
      <c r="T147" s="1035"/>
      <c r="U147" s="1035"/>
      <c r="V147" s="1035"/>
      <c r="W147" s="553">
        <f t="shared" si="73"/>
        <v>0</v>
      </c>
      <c r="X147" s="1043"/>
    </row>
    <row r="148" spans="2:24" s="4" customFormat="1" outlineLevel="1">
      <c r="B148" s="1044"/>
      <c r="C148" s="1040"/>
      <c r="D148" s="1041"/>
      <c r="E148" s="1035"/>
      <c r="F148" s="1035"/>
      <c r="G148" s="1035"/>
      <c r="H148" s="1035"/>
      <c r="I148" s="1035"/>
      <c r="J148" s="1035"/>
      <c r="K148" s="1035"/>
      <c r="L148" s="1035"/>
      <c r="M148" s="1035"/>
      <c r="N148" s="1035"/>
      <c r="O148" s="1035"/>
      <c r="P148" s="1035"/>
      <c r="Q148" s="1035"/>
      <c r="R148" s="1035"/>
      <c r="S148" s="1035"/>
      <c r="T148" s="1035"/>
      <c r="U148" s="1035"/>
      <c r="V148" s="1035"/>
      <c r="W148" s="553">
        <f t="shared" si="73"/>
        <v>0</v>
      </c>
      <c r="X148" s="1043"/>
    </row>
    <row r="149" spans="2:24" s="4" customFormat="1" outlineLevel="1">
      <c r="B149" s="1044"/>
      <c r="C149" s="1040"/>
      <c r="D149" s="1041"/>
      <c r="E149" s="1035"/>
      <c r="F149" s="1035"/>
      <c r="G149" s="1035"/>
      <c r="H149" s="1035"/>
      <c r="I149" s="1035"/>
      <c r="J149" s="1035"/>
      <c r="K149" s="1035"/>
      <c r="L149" s="1035"/>
      <c r="M149" s="1035"/>
      <c r="N149" s="1035"/>
      <c r="O149" s="1035"/>
      <c r="P149" s="1035"/>
      <c r="Q149" s="1035"/>
      <c r="R149" s="1035"/>
      <c r="S149" s="1035"/>
      <c r="T149" s="1035"/>
      <c r="U149" s="1035"/>
      <c r="V149" s="1035"/>
      <c r="W149" s="553">
        <f t="shared" si="73"/>
        <v>0</v>
      </c>
      <c r="X149" s="1043"/>
    </row>
    <row r="150" spans="2:24" s="4" customFormat="1" outlineLevel="1">
      <c r="B150" s="1044"/>
      <c r="C150" s="1040"/>
      <c r="D150" s="1041"/>
      <c r="E150" s="1035"/>
      <c r="F150" s="1035"/>
      <c r="G150" s="1035"/>
      <c r="H150" s="1035"/>
      <c r="I150" s="1035"/>
      <c r="J150" s="1035"/>
      <c r="K150" s="1035"/>
      <c r="L150" s="1035"/>
      <c r="M150" s="1035"/>
      <c r="N150" s="1035"/>
      <c r="O150" s="1035"/>
      <c r="P150" s="1035"/>
      <c r="Q150" s="1035"/>
      <c r="R150" s="1035"/>
      <c r="S150" s="1035"/>
      <c r="T150" s="1035"/>
      <c r="U150" s="1035"/>
      <c r="V150" s="1035"/>
      <c r="W150" s="553">
        <f t="shared" si="73"/>
        <v>0</v>
      </c>
      <c r="X150" s="1043"/>
    </row>
    <row r="151" spans="2:24" s="4" customFormat="1" outlineLevel="1">
      <c r="B151" s="1044"/>
      <c r="C151" s="1040"/>
      <c r="D151" s="1041"/>
      <c r="E151" s="1035"/>
      <c r="F151" s="1035"/>
      <c r="G151" s="1035"/>
      <c r="H151" s="1035"/>
      <c r="I151" s="1035"/>
      <c r="J151" s="1035"/>
      <c r="K151" s="1035"/>
      <c r="L151" s="1035"/>
      <c r="M151" s="1035"/>
      <c r="N151" s="1035"/>
      <c r="O151" s="1035"/>
      <c r="P151" s="1035"/>
      <c r="Q151" s="1035"/>
      <c r="R151" s="1035"/>
      <c r="S151" s="1035"/>
      <c r="T151" s="1035"/>
      <c r="U151" s="1035"/>
      <c r="V151" s="1035"/>
      <c r="W151" s="553">
        <f t="shared" si="73"/>
        <v>0</v>
      </c>
      <c r="X151" s="1043"/>
    </row>
    <row r="152" spans="2:24" s="4" customFormat="1" outlineLevel="1">
      <c r="B152" s="1044"/>
      <c r="C152" s="1040"/>
      <c r="D152" s="1041"/>
      <c r="E152" s="1035"/>
      <c r="F152" s="1035"/>
      <c r="G152" s="1035"/>
      <c r="H152" s="1035"/>
      <c r="I152" s="1035"/>
      <c r="J152" s="1035"/>
      <c r="K152" s="1035"/>
      <c r="L152" s="1035"/>
      <c r="M152" s="1035"/>
      <c r="N152" s="1035"/>
      <c r="O152" s="1035"/>
      <c r="P152" s="1035"/>
      <c r="Q152" s="1035"/>
      <c r="R152" s="1035"/>
      <c r="S152" s="1035"/>
      <c r="T152" s="1035"/>
      <c r="U152" s="1035"/>
      <c r="V152" s="1035"/>
      <c r="W152" s="553">
        <f t="shared" si="73"/>
        <v>0</v>
      </c>
      <c r="X152" s="1043"/>
    </row>
    <row r="153" spans="2:24" s="4" customFormat="1" outlineLevel="1">
      <c r="B153" s="1044"/>
      <c r="C153" s="1040"/>
      <c r="D153" s="1041"/>
      <c r="E153" s="1035"/>
      <c r="F153" s="1035"/>
      <c r="G153" s="1035"/>
      <c r="H153" s="1035"/>
      <c r="I153" s="1035"/>
      <c r="J153" s="1035"/>
      <c r="K153" s="1035"/>
      <c r="L153" s="1035"/>
      <c r="M153" s="1035"/>
      <c r="N153" s="1035"/>
      <c r="O153" s="1035"/>
      <c r="P153" s="1035"/>
      <c r="Q153" s="1035"/>
      <c r="R153" s="1035"/>
      <c r="S153" s="1035"/>
      <c r="T153" s="1035"/>
      <c r="U153" s="1035"/>
      <c r="V153" s="1035"/>
      <c r="W153" s="553">
        <f t="shared" si="73"/>
        <v>0</v>
      </c>
      <c r="X153" s="1043"/>
    </row>
    <row r="154" spans="2:24" s="4" customFormat="1" outlineLevel="1">
      <c r="B154" s="1044"/>
      <c r="C154" s="1040"/>
      <c r="D154" s="1041"/>
      <c r="E154" s="1035"/>
      <c r="F154" s="1035"/>
      <c r="G154" s="1035"/>
      <c r="H154" s="1035"/>
      <c r="I154" s="1035"/>
      <c r="J154" s="1035"/>
      <c r="K154" s="1035"/>
      <c r="L154" s="1035"/>
      <c r="M154" s="1035"/>
      <c r="N154" s="1035"/>
      <c r="O154" s="1035"/>
      <c r="P154" s="1035"/>
      <c r="Q154" s="1035"/>
      <c r="R154" s="1035"/>
      <c r="S154" s="1035"/>
      <c r="T154" s="1035"/>
      <c r="U154" s="1035"/>
      <c r="V154" s="1035"/>
      <c r="W154" s="553">
        <f t="shared" si="73"/>
        <v>0</v>
      </c>
      <c r="X154" s="1043"/>
    </row>
    <row r="155" spans="2:24" s="4" customFormat="1" outlineLevel="1">
      <c r="B155" s="1044"/>
      <c r="C155" s="1040"/>
      <c r="D155" s="1041"/>
      <c r="E155" s="1035"/>
      <c r="F155" s="1035"/>
      <c r="G155" s="1035"/>
      <c r="H155" s="1035"/>
      <c r="I155" s="1035"/>
      <c r="J155" s="1035"/>
      <c r="K155" s="1035"/>
      <c r="L155" s="1035"/>
      <c r="M155" s="1035"/>
      <c r="N155" s="1035"/>
      <c r="O155" s="1035"/>
      <c r="P155" s="1035"/>
      <c r="Q155" s="1035"/>
      <c r="R155" s="1035"/>
      <c r="S155" s="1035"/>
      <c r="T155" s="1035"/>
      <c r="U155" s="1035"/>
      <c r="V155" s="1035"/>
      <c r="W155" s="553">
        <f t="shared" si="73"/>
        <v>0</v>
      </c>
      <c r="X155" s="1043"/>
    </row>
    <row r="156" spans="2:24" s="4" customFormat="1" outlineLevel="1">
      <c r="B156" s="1044"/>
      <c r="C156" s="1040"/>
      <c r="D156" s="1041"/>
      <c r="E156" s="1035"/>
      <c r="F156" s="1035"/>
      <c r="G156" s="1035"/>
      <c r="H156" s="1035"/>
      <c r="I156" s="1035"/>
      <c r="J156" s="1035"/>
      <c r="K156" s="1035"/>
      <c r="L156" s="1035"/>
      <c r="M156" s="1035"/>
      <c r="N156" s="1035"/>
      <c r="O156" s="1035"/>
      <c r="P156" s="1035"/>
      <c r="Q156" s="1035"/>
      <c r="R156" s="1035"/>
      <c r="S156" s="1035"/>
      <c r="T156" s="1035"/>
      <c r="U156" s="1035"/>
      <c r="V156" s="1035"/>
      <c r="W156" s="553">
        <f t="shared" si="73"/>
        <v>0</v>
      </c>
      <c r="X156" s="1043"/>
    </row>
    <row r="157" spans="2:24" outlineLevel="1">
      <c r="B157" s="1044"/>
      <c r="C157" s="1040"/>
      <c r="D157" s="1041"/>
      <c r="E157" s="1035"/>
      <c r="F157" s="1035"/>
      <c r="G157" s="1035"/>
      <c r="H157" s="1035"/>
      <c r="I157" s="1035"/>
      <c r="J157" s="1035"/>
      <c r="K157" s="1035"/>
      <c r="L157" s="1035"/>
      <c r="M157" s="1035"/>
      <c r="N157" s="1035"/>
      <c r="O157" s="1035"/>
      <c r="P157" s="1035"/>
      <c r="Q157" s="1035"/>
      <c r="R157" s="1035"/>
      <c r="S157" s="1035"/>
      <c r="T157" s="1035"/>
      <c r="U157" s="1035"/>
      <c r="V157" s="1035"/>
      <c r="W157" s="553">
        <f t="shared" si="73"/>
        <v>0</v>
      </c>
      <c r="X157" s="1043"/>
    </row>
    <row r="158" spans="2:24" outlineLevel="1">
      <c r="B158" s="1044"/>
      <c r="C158" s="1040"/>
      <c r="D158" s="1041"/>
      <c r="E158" s="1035"/>
      <c r="F158" s="1035"/>
      <c r="G158" s="1035"/>
      <c r="H158" s="1035"/>
      <c r="I158" s="1035"/>
      <c r="J158" s="1035"/>
      <c r="K158" s="1035"/>
      <c r="L158" s="1035"/>
      <c r="M158" s="1035"/>
      <c r="N158" s="1035"/>
      <c r="O158" s="1035"/>
      <c r="P158" s="1035"/>
      <c r="Q158" s="1035"/>
      <c r="R158" s="1035"/>
      <c r="S158" s="1035"/>
      <c r="T158" s="1035"/>
      <c r="U158" s="1035"/>
      <c r="V158" s="1035"/>
      <c r="W158" s="553">
        <f t="shared" si="73"/>
        <v>0</v>
      </c>
      <c r="X158" s="1043"/>
    </row>
    <row r="159" spans="2:24">
      <c r="B159" s="112" t="s">
        <v>47</v>
      </c>
      <c r="C159" s="1129" t="s">
        <v>312</v>
      </c>
      <c r="D159" s="1130"/>
      <c r="E159" s="551">
        <f>SUM(E139:E158)</f>
        <v>0</v>
      </c>
      <c r="F159" s="551">
        <f>SUM(F139:F158)</f>
        <v>0</v>
      </c>
      <c r="G159" s="551">
        <f t="shared" ref="G159:V159" si="74">SUM(G138:G158)</f>
        <v>0</v>
      </c>
      <c r="H159" s="551">
        <f t="shared" si="74"/>
        <v>0</v>
      </c>
      <c r="I159" s="551">
        <f t="shared" si="74"/>
        <v>0</v>
      </c>
      <c r="J159" s="551">
        <f t="shared" si="74"/>
        <v>0</v>
      </c>
      <c r="K159" s="551">
        <f t="shared" si="74"/>
        <v>0</v>
      </c>
      <c r="L159" s="551">
        <f t="shared" ref="L159:M159" si="75">SUM(L138:L158)</f>
        <v>0</v>
      </c>
      <c r="M159" s="551">
        <f t="shared" si="75"/>
        <v>0</v>
      </c>
      <c r="N159" s="551">
        <f t="shared" si="74"/>
        <v>0</v>
      </c>
      <c r="O159" s="551">
        <f t="shared" si="74"/>
        <v>0</v>
      </c>
      <c r="P159" s="551">
        <f t="shared" ref="P159:U159" si="76">SUM(P138:P158)</f>
        <v>0</v>
      </c>
      <c r="Q159" s="551">
        <f t="shared" si="76"/>
        <v>0</v>
      </c>
      <c r="R159" s="551">
        <f t="shared" ref="R159:S159" si="77">SUM(R138:R158)</f>
        <v>0</v>
      </c>
      <c r="S159" s="551">
        <f t="shared" si="77"/>
        <v>0</v>
      </c>
      <c r="T159" s="551">
        <f t="shared" si="76"/>
        <v>0</v>
      </c>
      <c r="U159" s="551">
        <f t="shared" si="76"/>
        <v>0</v>
      </c>
      <c r="V159" s="551">
        <f t="shared" si="74"/>
        <v>0</v>
      </c>
      <c r="W159" s="551">
        <f>SUM(W139:W158)</f>
        <v>0</v>
      </c>
      <c r="X159" s="57"/>
    </row>
    <row r="160" spans="2:24">
      <c r="E160" s="552"/>
      <c r="F160" s="552"/>
      <c r="G160" s="552"/>
      <c r="H160" s="552"/>
      <c r="I160" s="552"/>
      <c r="J160" s="552"/>
      <c r="K160" s="552"/>
      <c r="L160" s="552"/>
      <c r="M160" s="552"/>
      <c r="N160" s="552"/>
      <c r="O160" s="552"/>
      <c r="P160" s="552"/>
      <c r="Q160" s="552"/>
      <c r="R160" s="552"/>
      <c r="S160" s="552"/>
      <c r="T160" s="552"/>
      <c r="U160" s="552"/>
      <c r="V160" s="552"/>
      <c r="W160" s="552"/>
    </row>
    <row r="161" spans="2:24">
      <c r="B161" s="1129" t="s">
        <v>316</v>
      </c>
      <c r="C161" s="1131"/>
      <c r="D161" s="1130"/>
      <c r="E161" s="551">
        <f ca="1">ROUND((IFERROR(INDEX(Cashflow!$G$150:$FS$156,MATCH('Target Tracking'!$B159,Cashflow!$G$150:$G$156,0),MATCH('Target Tracking'!E138,Cashflow!$G$150:$FS$150,0)),0)),0)</f>
        <v>0</v>
      </c>
      <c r="F161" s="551">
        <f ca="1">ROUND((IFERROR(INDEX(Cashflow!$G$150:$FS$156,MATCH('Target Tracking'!$B159,Cashflow!$G$150:$G$156,0),MATCH('Target Tracking'!F138,Cashflow!$G$150:$FS$150,0)),0)),0)</f>
        <v>0</v>
      </c>
      <c r="G161" s="551">
        <f ca="1">ROUND((IFERROR(INDEX(Cashflow!$G$150:$FS$156,MATCH('Target Tracking'!$B159,Cashflow!$G$150:$G$156,0),MATCH('Target Tracking'!G138,Cashflow!$G$150:$FS$150,0)),0)),0)</f>
        <v>0</v>
      </c>
      <c r="H161" s="551">
        <f ca="1">ROUND((IFERROR(INDEX(Cashflow!$G$150:$FS$156,MATCH('Target Tracking'!$B159,Cashflow!$G$150:$G$156,0),MATCH('Target Tracking'!H138,Cashflow!$G$150:$FS$150,0)),0)),0)</f>
        <v>0</v>
      </c>
      <c r="I161" s="551">
        <f ca="1">ROUND((IFERROR(INDEX(Cashflow!$G$150:$FS$156,MATCH('Target Tracking'!$B159,Cashflow!$G$150:$G$156,0),MATCH('Target Tracking'!I138,Cashflow!$G$150:$FS$150,0)),0)),0)</f>
        <v>0</v>
      </c>
      <c r="J161" s="551">
        <f ca="1">ROUND((IFERROR(INDEX(Cashflow!$G$150:$FS$156,MATCH('Target Tracking'!$B159,Cashflow!$G$150:$G$156,0),MATCH('Target Tracking'!J138,Cashflow!$G$150:$FS$150,0)),0)),0)</f>
        <v>0</v>
      </c>
      <c r="K161" s="551">
        <f ca="1">ROUND((IFERROR(INDEX(Cashflow!$G$150:$FS$156,MATCH('Target Tracking'!$B159,Cashflow!$G$150:$G$156,0),MATCH('Target Tracking'!K138,Cashflow!$G$150:$FS$150,0)),0)),0)</f>
        <v>0</v>
      </c>
      <c r="L161" s="551">
        <f ca="1">ROUND((IFERROR(INDEX(Cashflow!$G$150:$FS$156,MATCH('Target Tracking'!$B159,Cashflow!$G$150:$G$156,0),MATCH('Target Tracking'!L138,Cashflow!$G$150:$FS$150,0)),0)),0)</f>
        <v>0</v>
      </c>
      <c r="M161" s="551">
        <f ca="1">ROUND((IFERROR(INDEX(Cashflow!$G$150:$FS$156,MATCH('Target Tracking'!$B159,Cashflow!$G$150:$G$156,0),MATCH('Target Tracking'!M138,Cashflow!$G$150:$FS$150,0)),0)),0)</f>
        <v>0</v>
      </c>
      <c r="N161" s="551">
        <f ca="1">ROUND((IFERROR(INDEX(Cashflow!$G$150:$FS$156,MATCH('Target Tracking'!$B159,Cashflow!$G$150:$G$156,0),MATCH('Target Tracking'!N138,Cashflow!$G$150:$FS$150,0)),0)),0)</f>
        <v>0</v>
      </c>
      <c r="O161" s="551">
        <f ca="1">ROUND((IFERROR(INDEX(Cashflow!$G$150:$FS$156,MATCH('Target Tracking'!$B159,Cashflow!$G$150:$G$156,0),MATCH('Target Tracking'!O138,Cashflow!$G$150:$FS$150,0)),0)),0)</f>
        <v>0</v>
      </c>
      <c r="P161" s="551">
        <f ca="1">ROUND((IFERROR(INDEX(Cashflow!$G$150:$FS$156,MATCH('Target Tracking'!$B159,Cashflow!$G$150:$G$156,0),MATCH('Target Tracking'!P138,Cashflow!$G$150:$FS$150,0)),0)),0)</f>
        <v>0</v>
      </c>
      <c r="Q161" s="551">
        <f ca="1">ROUND((IFERROR(INDEX(Cashflow!$G$150:$FS$156,MATCH('Target Tracking'!$B159,Cashflow!$G$150:$G$156,0),MATCH('Target Tracking'!Q138,Cashflow!$G$150:$FS$150,0)),0)),0)</f>
        <v>0</v>
      </c>
      <c r="R161" s="551">
        <f ca="1">ROUND((IFERROR(INDEX(Cashflow!$G$150:$FS$156,MATCH('Target Tracking'!$B159,Cashflow!$G$150:$G$156,0),MATCH('Target Tracking'!R138,Cashflow!$G$150:$FS$150,0)),0)),0)</f>
        <v>0</v>
      </c>
      <c r="S161" s="551">
        <f ca="1">ROUND((IFERROR(INDEX(Cashflow!$G$150:$FS$156,MATCH('Target Tracking'!$B159,Cashflow!$G$150:$G$156,0),MATCH('Target Tracking'!S138,Cashflow!$G$150:$FS$150,0)),0)),0)</f>
        <v>0</v>
      </c>
      <c r="T161" s="551">
        <f ca="1">ROUND((IFERROR(INDEX(Cashflow!$G$150:$FS$156,MATCH('Target Tracking'!$B159,Cashflow!$G$150:$G$156,0),MATCH('Target Tracking'!T138,Cashflow!$G$150:$FS$150,0)),0)),0)</f>
        <v>0</v>
      </c>
      <c r="U161" s="551">
        <f ca="1">ROUND((IFERROR(INDEX(Cashflow!$G$150:$FS$156,MATCH('Target Tracking'!$B159,Cashflow!$G$150:$G$156,0),MATCH('Target Tracking'!U138,Cashflow!$G$150:$FS$150,0)),0)),0)</f>
        <v>0</v>
      </c>
      <c r="V161" s="551">
        <f ca="1">ROUND((IFERROR(INDEX(Cashflow!$G$150:$FS$156,MATCH('Target Tracking'!$B159,Cashflow!$G$150:$G$156,0),MATCH('Target Tracking'!V138,Cashflow!$G$150:$FS$150,0)),0)),0)</f>
        <v>0</v>
      </c>
      <c r="W161" s="551">
        <f ca="1">SUM(E161:V161)</f>
        <v>0</v>
      </c>
      <c r="X161" s="57"/>
    </row>
    <row r="162" spans="2:24">
      <c r="C162" s="161"/>
      <c r="D162" s="162" t="s">
        <v>277</v>
      </c>
      <c r="E162" s="552">
        <f t="shared" ref="E162" ca="1" si="78">E159-E161</f>
        <v>0</v>
      </c>
      <c r="F162" s="552">
        <f t="shared" ref="F162" ca="1" si="79">F159-F161</f>
        <v>0</v>
      </c>
      <c r="G162" s="552">
        <f t="shared" ref="G162" ca="1" si="80">G159-G161</f>
        <v>0</v>
      </c>
      <c r="H162" s="552">
        <f t="shared" ref="H162" ca="1" si="81">H159-H161</f>
        <v>0</v>
      </c>
      <c r="I162" s="552">
        <f t="shared" ref="I162" ca="1" si="82">I159-I161</f>
        <v>0</v>
      </c>
      <c r="J162" s="552">
        <f t="shared" ref="J162" ca="1" si="83">J159-J161</f>
        <v>0</v>
      </c>
      <c r="K162" s="552">
        <f t="shared" ref="K162" ca="1" si="84">K159-K161</f>
        <v>0</v>
      </c>
      <c r="L162" s="552">
        <f t="shared" ref="L162:N162" ca="1" si="85">L159-L161</f>
        <v>0</v>
      </c>
      <c r="M162" s="552">
        <f t="shared" ref="M162:P162" ca="1" si="86">M159-M161</f>
        <v>0</v>
      </c>
      <c r="N162" s="552">
        <f t="shared" ca="1" si="85"/>
        <v>0</v>
      </c>
      <c r="O162" s="552">
        <f t="shared" ca="1" si="86"/>
        <v>0</v>
      </c>
      <c r="P162" s="552">
        <f t="shared" ca="1" si="86"/>
        <v>0</v>
      </c>
      <c r="Q162" s="552">
        <f t="shared" ref="Q162:V162" ca="1" si="87">Q159-Q161</f>
        <v>0</v>
      </c>
      <c r="R162" s="552">
        <f t="shared" ca="1" si="87"/>
        <v>0</v>
      </c>
      <c r="S162" s="552">
        <f t="shared" ref="S162:U162" ca="1" si="88">S159-S161</f>
        <v>0</v>
      </c>
      <c r="T162" s="552">
        <f t="shared" ca="1" si="88"/>
        <v>0</v>
      </c>
      <c r="U162" s="552">
        <f t="shared" ca="1" si="88"/>
        <v>0</v>
      </c>
      <c r="V162" s="552">
        <f t="shared" ca="1" si="87"/>
        <v>0</v>
      </c>
      <c r="W162" s="552"/>
    </row>
  </sheetData>
  <sheetProtection algorithmName="SHA-512" hashValue="Y00IkFAUW3DfiOx188yK4XEWx6XLjGsU7pqDAUOnRA6IrQGdMEEafbSZRxl3gH5FSlA6d5bY+gR0g2pq7PTzwg==" saltValue="tcwXON4R1MnWADxrpALiLA==" spinCount="100000" sheet="1" objects="1" scenarios="1" selectLockedCells="1"/>
  <mergeCells count="24">
    <mergeCell ref="B161:D161"/>
    <mergeCell ref="B134:D134"/>
    <mergeCell ref="B107:D107"/>
    <mergeCell ref="B80:D80"/>
    <mergeCell ref="B53:D53"/>
    <mergeCell ref="C51:D51"/>
    <mergeCell ref="C78:D78"/>
    <mergeCell ref="C105:D105"/>
    <mergeCell ref="C132:D132"/>
    <mergeCell ref="C159:D159"/>
    <mergeCell ref="C11:D11"/>
    <mergeCell ref="C12:D12"/>
    <mergeCell ref="C6:D6"/>
    <mergeCell ref="C7:D7"/>
    <mergeCell ref="C8:D8"/>
    <mergeCell ref="C9:D9"/>
    <mergeCell ref="C10:D10"/>
    <mergeCell ref="K11:Y11"/>
    <mergeCell ref="K12:Y12"/>
    <mergeCell ref="K6:Y6"/>
    <mergeCell ref="K7:Y7"/>
    <mergeCell ref="K8:Y8"/>
    <mergeCell ref="K9:Y9"/>
    <mergeCell ref="K10:Y10"/>
  </mergeCells>
  <conditionalFormatting sqref="E20:W21 E24:W24">
    <cfRule type="cellIs" dxfId="632" priority="2" operator="notBetween">
      <formula>-1</formula>
      <formula>1</formula>
    </cfRule>
  </conditionalFormatting>
  <dataValidations count="1">
    <dataValidation type="date" operator="greaterThanOrEqual" allowBlank="1" showInputMessage="1" showErrorMessage="1" error="Please enter a valid date." sqref="C139:C158 C58:C77 C85:C104 C112:C131 C28:C50" xr:uid="{00000000-0002-0000-0200-000000000000}">
      <formula1>1</formula1>
    </dataValidation>
  </dataValidations>
  <pageMargins left="0.23622047244094491" right="0.23622047244094491" top="0.35433070866141736" bottom="0.35433070866141736" header="0.31496062992125984" footer="0.31496062992125984"/>
  <pageSetup scale="44" fitToHeight="4" orientation="landscape" r:id="rId1"/>
  <headerFooter>
    <oddFooter>&amp;L&amp;1#&amp;"Calibri"&amp;11&amp;K000000Classification: Protected A</oddFooter>
  </headerFooter>
  <rowBreaks count="1" manualBreakCount="1">
    <brk id="134" max="18"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1000000}">
          <x14:formula1>
            <xm:f>Validations!$C$37:$C$38</xm:f>
          </x14:formula1>
          <xm:sqref>D139:D158 D112:D131 D58:D77 D85:D104 D28:D50</xm:sqref>
        </x14:dataValidation>
        <x14:dataValidation type="list" allowBlank="1" showInputMessage="1" showErrorMessage="1" xr:uid="{00000000-0002-0000-0200-000002000000}">
          <x14:formula1>
            <xm:f>Validations!$G$12:$G$33</xm:f>
          </x14:formula1>
          <xm:sqref>E17:V17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2" tint="-0.499984740745262"/>
    <pageSetUpPr fitToPage="1"/>
  </sheetPr>
  <dimension ref="A1:AA88"/>
  <sheetViews>
    <sheetView showGridLines="0" topLeftCell="K1" zoomScale="85" zoomScaleNormal="85" workbookViewId="0">
      <selection activeCell="E84" sqref="E84:AA84"/>
    </sheetView>
  </sheetViews>
  <sheetFormatPr defaultColWidth="9.42578125" defaultRowHeight="14.1" outlineLevelCol="1"/>
  <cols>
    <col min="1" max="1" width="4.42578125" style="12" customWidth="1"/>
    <col min="2" max="2" width="16.42578125" style="3" customWidth="1"/>
    <col min="3" max="3" width="29.28515625" style="3" bestFit="1" customWidth="1"/>
    <col min="4" max="4" width="26.7109375" style="3" bestFit="1" customWidth="1"/>
    <col min="5" max="5" width="46.28515625" style="3" hidden="1" customWidth="1"/>
    <col min="6" max="6" width="22.28515625" style="3" hidden="1" customWidth="1"/>
    <col min="7" max="7" width="19.28515625" style="3" hidden="1" customWidth="1"/>
    <col min="8" max="8" width="20.28515625" style="2" hidden="1" customWidth="1"/>
    <col min="9" max="9" width="29.42578125" style="2" customWidth="1" outlineLevel="1"/>
    <col min="10" max="10" width="22.28515625" style="2" customWidth="1" outlineLevel="1"/>
    <col min="11" max="11" width="23.42578125" style="2" customWidth="1" outlineLevel="1"/>
    <col min="12" max="12" width="20.28515625" style="2" customWidth="1" outlineLevel="1"/>
    <col min="13" max="13" width="24.7109375" style="2" customWidth="1" outlineLevel="1"/>
    <col min="14" max="15" width="21.7109375" style="2" customWidth="1" outlineLevel="1"/>
    <col min="16" max="16" width="22.7109375" style="2" customWidth="1" outlineLevel="1"/>
    <col min="17" max="18" width="23.42578125" style="2" customWidth="1" outlineLevel="1"/>
    <col min="19" max="19" width="9.42578125" style="1" customWidth="1" outlineLevel="1"/>
    <col min="20" max="20" width="17" style="2" bestFit="1" customWidth="1"/>
    <col min="21" max="21" width="3.42578125" style="1" customWidth="1"/>
    <col min="22" max="22" width="17.28515625" style="1" bestFit="1" customWidth="1"/>
    <col min="23" max="23" width="18.7109375" style="2" bestFit="1" customWidth="1"/>
    <col min="24" max="24" width="16.7109375" style="1" bestFit="1" customWidth="1"/>
    <col min="25" max="25" width="19" style="1" customWidth="1"/>
    <col min="26" max="26" width="2.42578125" style="1" customWidth="1"/>
    <col min="27" max="27" width="73.42578125" style="1" customWidth="1"/>
    <col min="28" max="28" width="2.42578125" style="1" customWidth="1"/>
    <col min="29" max="16384" width="9.42578125" style="1"/>
  </cols>
  <sheetData>
    <row r="1" spans="1:27" ht="9" customHeight="1"/>
    <row r="2" spans="1:27" ht="23.65">
      <c r="B2" s="16" t="s">
        <v>320</v>
      </c>
      <c r="C2" s="16"/>
      <c r="E2" s="19" t="str">
        <f>Validations!$C$6</f>
        <v>Justice Centre</v>
      </c>
      <c r="H2" s="19"/>
    </row>
    <row r="3" spans="1:27" ht="6.75" customHeight="1"/>
    <row r="4" spans="1:27" s="45" customFormat="1" ht="16.7">
      <c r="A4" s="92"/>
      <c r="B4" s="120"/>
      <c r="C4" s="39"/>
      <c r="D4" s="40"/>
      <c r="E4" s="40"/>
      <c r="F4" s="40"/>
      <c r="G4" s="40"/>
      <c r="H4" s="6" t="s">
        <v>321</v>
      </c>
      <c r="I4" s="6" t="s">
        <v>322</v>
      </c>
      <c r="J4" s="6" t="s">
        <v>323</v>
      </c>
      <c r="K4" s="6" t="s">
        <v>324</v>
      </c>
      <c r="L4" s="6" t="s">
        <v>325</v>
      </c>
      <c r="M4" s="6" t="s">
        <v>326</v>
      </c>
      <c r="N4" s="6" t="s">
        <v>327</v>
      </c>
      <c r="O4" s="6" t="s">
        <v>328</v>
      </c>
      <c r="P4" s="6" t="s">
        <v>329</v>
      </c>
      <c r="Q4" s="6" t="s">
        <v>330</v>
      </c>
      <c r="R4" s="6" t="s">
        <v>331</v>
      </c>
      <c r="S4" s="56"/>
      <c r="T4" s="6" t="s">
        <v>332</v>
      </c>
      <c r="U4" s="1"/>
      <c r="V4" s="6" t="s">
        <v>333</v>
      </c>
      <c r="W4" s="6" t="s">
        <v>334</v>
      </c>
      <c r="X4" s="6" t="s">
        <v>335</v>
      </c>
      <c r="Y4" s="6"/>
    </row>
    <row r="5" spans="1:27" ht="15" customHeight="1">
      <c r="B5" s="108"/>
      <c r="C5" s="163"/>
      <c r="D5" s="164"/>
      <c r="E5" s="165"/>
      <c r="F5" s="250"/>
      <c r="G5" s="164"/>
      <c r="H5" s="213">
        <v>43348</v>
      </c>
      <c r="I5" s="213">
        <v>43221</v>
      </c>
      <c r="J5" s="213">
        <v>43612</v>
      </c>
      <c r="K5" s="213">
        <v>43774</v>
      </c>
      <c r="L5" s="213">
        <v>44076</v>
      </c>
      <c r="M5" s="213">
        <v>44201</v>
      </c>
      <c r="N5" s="213">
        <v>44229</v>
      </c>
      <c r="O5" s="213">
        <v>44772</v>
      </c>
      <c r="P5" s="213" t="s">
        <v>336</v>
      </c>
      <c r="Q5" s="213" t="s">
        <v>336</v>
      </c>
      <c r="R5" s="213">
        <v>45499</v>
      </c>
      <c r="S5" s="99"/>
      <c r="T5" s="97"/>
      <c r="V5" s="164"/>
      <c r="W5" s="164"/>
      <c r="X5" s="164"/>
      <c r="Y5" s="353"/>
      <c r="AA5" s="164"/>
    </row>
    <row r="6" spans="1:27" ht="27.95">
      <c r="A6" s="383" t="s">
        <v>337</v>
      </c>
      <c r="B6" s="223" t="s">
        <v>338</v>
      </c>
      <c r="C6" s="166" t="s">
        <v>7</v>
      </c>
      <c r="D6" s="167" t="s">
        <v>339</v>
      </c>
      <c r="E6" s="378" t="s">
        <v>340</v>
      </c>
      <c r="F6" s="378" t="s">
        <v>341</v>
      </c>
      <c r="G6" s="380" t="s">
        <v>13</v>
      </c>
      <c r="H6" s="379" t="s">
        <v>342</v>
      </c>
      <c r="I6" s="379" t="s">
        <v>343</v>
      </c>
      <c r="J6" s="379" t="s">
        <v>344</v>
      </c>
      <c r="K6" s="379" t="s">
        <v>345</v>
      </c>
      <c r="L6" s="379" t="s">
        <v>346</v>
      </c>
      <c r="M6" s="379" t="s">
        <v>347</v>
      </c>
      <c r="N6" s="379" t="s">
        <v>348</v>
      </c>
      <c r="O6" s="379" t="s">
        <v>349</v>
      </c>
      <c r="P6" s="379" t="s">
        <v>350</v>
      </c>
      <c r="Q6" s="379" t="s">
        <v>351</v>
      </c>
      <c r="R6" s="379" t="s">
        <v>352</v>
      </c>
      <c r="S6" s="384" t="s">
        <v>353</v>
      </c>
      <c r="T6" s="98" t="s">
        <v>354</v>
      </c>
      <c r="U6" s="384" t="s">
        <v>355</v>
      </c>
      <c r="V6" s="278" t="s">
        <v>356</v>
      </c>
      <c r="W6" s="278" t="s">
        <v>357</v>
      </c>
      <c r="X6" s="278" t="s">
        <v>358</v>
      </c>
      <c r="Y6" s="353" t="s">
        <v>359</v>
      </c>
      <c r="Z6" s="384" t="s">
        <v>360</v>
      </c>
      <c r="AA6" s="381" t="s">
        <v>267</v>
      </c>
    </row>
    <row r="7" spans="1:27" s="4" customFormat="1" ht="15" customHeight="1">
      <c r="A7" s="90">
        <v>1</v>
      </c>
      <c r="B7" s="118" t="str">
        <f ca="1">CONCATENATE(IFERROR(INDEX(Validations!$B$11:$B$16,MATCH(C7,Primary,0)),""),IFERROR(OFFSET(INDEX(INDIRECT(SUBSTITUTE(C7," ","")),MATCH(D7,INDIRECT(SUBSTITUTE(C7," ","")),0)),0,-1),""),IFERROR(INDEX(Validations!$I$12:$I$32,MATCH(E7,Validations!$H$12:$H$32,0)),""),IFERROR(INDEX(Validations!$I$12:$I$32,MATCH(F7,Validations!$H$12:$H$32,0)),""),IFERROR(INDEX(Validations!$M$11:$M$16,MATCH(G7,Validations!$J$11:$J$16,0)),""))</f>
        <v>100.010.F1</v>
      </c>
      <c r="C7" s="88" t="s">
        <v>20</v>
      </c>
      <c r="D7" s="88" t="s">
        <v>191</v>
      </c>
      <c r="E7" s="79" t="s">
        <v>22</v>
      </c>
      <c r="F7" s="79" t="s">
        <v>22</v>
      </c>
      <c r="G7" s="79" t="s">
        <v>361</v>
      </c>
      <c r="H7" s="299">
        <v>2975000</v>
      </c>
      <c r="I7" s="293"/>
      <c r="J7" s="293"/>
      <c r="K7" s="293"/>
      <c r="L7" s="293"/>
      <c r="M7" s="293">
        <v>297500</v>
      </c>
      <c r="N7" s="293">
        <v>-297500</v>
      </c>
      <c r="O7" s="293"/>
      <c r="P7" s="293"/>
      <c r="Q7" s="293"/>
      <c r="R7" s="293">
        <v>602739</v>
      </c>
      <c r="T7" s="46">
        <f t="shared" ref="T7:T38" si="0">SUM(H7:S7)</f>
        <v>3577739</v>
      </c>
      <c r="V7" s="42">
        <f ca="1">SUMIF(EAC[PA ID],BudgetTrack[[#This Row],[PA ID]],EAC[Estimate At Completion])</f>
        <v>3577739</v>
      </c>
      <c r="W7" s="1048">
        <f ca="1">BudgetTrack[[#This Row],[Current Budget]]-BudgetTrack[[#This Row],[Estimate At Completion]]</f>
        <v>0</v>
      </c>
      <c r="X7" s="42">
        <f ca="1">SUMIFS(CostTrack[Value],CostTrack[PA ID],BudgetTrack[[#This Row],[PA ID]],CostTrack[Holdback (Y/N/R)],"&lt;&gt;Release",CostTrack[Status],"Approved")</f>
        <v>3303972.9300000006</v>
      </c>
      <c r="Y7" s="42">
        <f ca="1">SUMPRODUCT(ChangeTrack[Change Value],--(ChangeTrack[Change Status]="Approved"),--(ChangeTrack[PA ID]=BudgetTrack[[#This Row],[PA ID]]),--(ChangeTrack[PA ID]&lt;&gt;""))</f>
        <v>602739</v>
      </c>
      <c r="AA7" s="382"/>
    </row>
    <row r="8" spans="1:27" s="4" customFormat="1" ht="15" customHeight="1">
      <c r="A8" s="90">
        <f>A7+1</f>
        <v>2</v>
      </c>
      <c r="B8" s="118" t="str">
        <f ca="1">CONCATENATE(IFERROR(INDEX(Validations!$B$11:$B$16,MATCH(C8,Primary,0)),""),IFERROR(OFFSET(INDEX(INDIRECT(SUBSTITUTE(C8," ","")),MATCH(D8,INDIRECT(SUBSTITUTE(C8," ","")),0)),0,-1),""),IFERROR(INDEX(Validations!$I$12:$I$32,MATCH(E8,Validations!$H$12:$H$32,0)),""),IFERROR(INDEX(Validations!$I$12:$I$32,MATCH(F8,Validations!$H$12:$H$32,0)),""),IFERROR(INDEX(Validations!$M$11:$M$16,MATCH(G8,Validations!$J$11:$J$16,0)),""))</f>
        <v>100.050.F1</v>
      </c>
      <c r="C8" s="88" t="s">
        <v>20</v>
      </c>
      <c r="D8" s="88" t="s">
        <v>211</v>
      </c>
      <c r="E8" s="79" t="s">
        <v>22</v>
      </c>
      <c r="F8" s="79" t="s">
        <v>22</v>
      </c>
      <c r="G8" s="79" t="s">
        <v>361</v>
      </c>
      <c r="H8" s="299">
        <v>25167</v>
      </c>
      <c r="I8" s="293"/>
      <c r="J8" s="293"/>
      <c r="K8" s="293">
        <v>15000</v>
      </c>
      <c r="L8" s="293">
        <v>673</v>
      </c>
      <c r="M8" s="293">
        <v>6000</v>
      </c>
      <c r="N8" s="293">
        <v>1553</v>
      </c>
      <c r="O8" s="293">
        <v>2319</v>
      </c>
      <c r="P8" s="293">
        <v>-5244</v>
      </c>
      <c r="Q8" s="293"/>
      <c r="R8" s="293">
        <v>-12438.26</v>
      </c>
      <c r="T8" s="42">
        <f t="shared" si="0"/>
        <v>33029.74</v>
      </c>
      <c r="V8" s="42">
        <f ca="1">SUMIF(EAC[PA ID],BudgetTrack[[#This Row],[PA ID]],EAC[Estimate At Completion])</f>
        <v>33015.730000000003</v>
      </c>
      <c r="W8" s="184">
        <f ca="1">BudgetTrack[[#This Row],[Current Budget]]-BudgetTrack[[#This Row],[Estimate At Completion]]</f>
        <v>14.009999999994761</v>
      </c>
      <c r="X8" s="42">
        <f ca="1">SUMIFS(CostTrack[Value],CostTrack[PA ID],BudgetTrack[[#This Row],[PA ID]],CostTrack[Holdback (Y/N/R)],"&lt;&gt;Release",CostTrack[Status],"Approved")</f>
        <v>32959.769999999982</v>
      </c>
      <c r="Y8" s="42">
        <f ca="1">SUMPRODUCT(ChangeTrack[Change Value],--(ChangeTrack[Change Status]="Approved"),--(ChangeTrack[PA ID]=BudgetTrack[[#This Row],[PA ID]]),--(ChangeTrack[PA ID]&lt;&gt;""))</f>
        <v>0</v>
      </c>
      <c r="AA8" s="382"/>
    </row>
    <row r="9" spans="1:27" s="4" customFormat="1" ht="15" customHeight="1">
      <c r="A9" s="90">
        <f>A8+1</f>
        <v>3</v>
      </c>
      <c r="B9" s="118" t="str">
        <f ca="1">CONCATENATE(IFERROR(INDEX(Validations!$B$11:$B$16,MATCH(C9,Primary,0)),""),IFERROR(OFFSET(INDEX(INDIRECT(SUBSTITUTE(C9," ","")),MATCH(D9,INDIRECT(SUBSTITUTE(C9," ","")),0)),0,-1),""),IFERROR(INDEX(Validations!$I$12:$I$32,MATCH(E9,Validations!$H$12:$H$32,0)),""),IFERROR(INDEX(Validations!$I$12:$I$32,MATCH(F9,Validations!$H$12:$H$32,0)),""),IFERROR(INDEX(Validations!$M$11:$M$16,MATCH(G9,Validations!$J$11:$J$16,0)),""))</f>
        <v>200.010.F1</v>
      </c>
      <c r="C9" s="88" t="s">
        <v>25</v>
      </c>
      <c r="D9" s="88" t="s">
        <v>49</v>
      </c>
      <c r="E9" s="79" t="s">
        <v>22</v>
      </c>
      <c r="F9" s="79" t="s">
        <v>22</v>
      </c>
      <c r="G9" s="79" t="s">
        <v>361</v>
      </c>
      <c r="H9" s="299">
        <v>11000000</v>
      </c>
      <c r="I9" s="293">
        <v>-2250000</v>
      </c>
      <c r="J9" s="293"/>
      <c r="K9" s="293">
        <v>-728879</v>
      </c>
      <c r="L9" s="293">
        <v>142460</v>
      </c>
      <c r="M9" s="293"/>
      <c r="N9" s="293">
        <v>374962</v>
      </c>
      <c r="O9" s="293">
        <f>629578-0.18</f>
        <v>629577.81999999995</v>
      </c>
      <c r="P9" s="293">
        <v>375715</v>
      </c>
      <c r="Q9" s="293">
        <v>2933884</v>
      </c>
      <c r="R9" s="293">
        <v>-2734054</v>
      </c>
      <c r="T9" s="42">
        <f t="shared" si="0"/>
        <v>9743665.8200000003</v>
      </c>
      <c r="V9" s="42">
        <f ca="1">SUMIF(EAC[PA ID],BudgetTrack[[#This Row],[PA ID]],EAC[Estimate At Completion])</f>
        <v>9743665.8200000003</v>
      </c>
      <c r="W9" s="184">
        <f ca="1">BudgetTrack[[#This Row],[Current Budget]]-BudgetTrack[[#This Row],[Estimate At Completion]]</f>
        <v>0</v>
      </c>
      <c r="X9" s="42">
        <f ca="1">SUMIFS(CostTrack[Value],CostTrack[PA ID],BudgetTrack[[#This Row],[PA ID]],CostTrack[Holdback (Y/N/R)],"&lt;&gt;Release",CostTrack[Status],"Approved")</f>
        <v>9659288.0199999921</v>
      </c>
      <c r="Y9" s="42">
        <f ca="1">SUMPRODUCT(ChangeTrack[Change Value],--(ChangeTrack[Change Status]="Approved"),--(ChangeTrack[PA ID]=BudgetTrack[[#This Row],[PA ID]]),--(ChangeTrack[PA ID]&lt;&gt;""))</f>
        <v>1799688.82</v>
      </c>
      <c r="AA9" s="382"/>
    </row>
    <row r="10" spans="1:27" s="4" customFormat="1" ht="15" customHeight="1">
      <c r="A10" s="90">
        <f t="shared" ref="A10:A66" si="1">A9+1</f>
        <v>4</v>
      </c>
      <c r="B10" s="118" t="str">
        <f ca="1">CONCATENATE(IFERROR(INDEX(Validations!$B$11:$B$16,MATCH(C10,Primary,0)),""),IFERROR(OFFSET(INDEX(INDIRECT(SUBSTITUTE(C10," ","")),MATCH(D10,INDIRECT(SUBSTITUTE(C10," ","")),0)),0,-1),""),IFERROR(INDEX(Validations!$I$12:$I$32,MATCH(E10,Validations!$H$12:$H$32,0)),""),IFERROR(INDEX(Validations!$I$12:$I$32,MATCH(F10,Validations!$H$12:$H$32,0)),""),IFERROR(INDEX(Validations!$M$11:$M$16,MATCH(G10,Validations!$J$11:$J$16,0)),""))</f>
        <v>200.050.F1</v>
      </c>
      <c r="C10" s="88" t="s">
        <v>25</v>
      </c>
      <c r="D10" s="88" t="s">
        <v>212</v>
      </c>
      <c r="E10" s="79" t="s">
        <v>22</v>
      </c>
      <c r="F10" s="79" t="s">
        <v>22</v>
      </c>
      <c r="G10" s="79" t="s">
        <v>361</v>
      </c>
      <c r="H10" s="299">
        <v>850000</v>
      </c>
      <c r="I10" s="293">
        <v>-100000</v>
      </c>
      <c r="J10" s="293"/>
      <c r="K10" s="293">
        <v>121000</v>
      </c>
      <c r="L10" s="293">
        <v>-75481</v>
      </c>
      <c r="M10" s="293"/>
      <c r="N10" s="293">
        <v>183585</v>
      </c>
      <c r="O10" s="293">
        <v>-65661</v>
      </c>
      <c r="P10" s="293">
        <v>84687</v>
      </c>
      <c r="Q10" s="293">
        <v>-31290</v>
      </c>
      <c r="R10" s="293">
        <v>616754.56999999995</v>
      </c>
      <c r="T10" s="42">
        <f t="shared" si="0"/>
        <v>1583594.5699999998</v>
      </c>
      <c r="V10" s="42">
        <f ca="1">SUMIF(EAC[PA ID],BudgetTrack[[#This Row],[PA ID]],EAC[Estimate At Completion])</f>
        <v>1583594.5699999998</v>
      </c>
      <c r="W10" s="184">
        <f ca="1">BudgetTrack[[#This Row],[Current Budget]]-BudgetTrack[[#This Row],[Estimate At Completion]]</f>
        <v>0</v>
      </c>
      <c r="X10" s="42">
        <f ca="1">SUMIFS(CostTrack[Value],CostTrack[PA ID],BudgetTrack[[#This Row],[PA ID]],CostTrack[Holdback (Y/N/R)],"&lt;&gt;Release",CostTrack[Status],"Approved")</f>
        <v>1119144.45</v>
      </c>
      <c r="Y10" s="42">
        <f ca="1">SUMPRODUCT(ChangeTrack[Change Value],--(ChangeTrack[Change Status]="Approved"),--(ChangeTrack[PA ID]=BudgetTrack[[#This Row],[PA ID]]),--(ChangeTrack[PA ID]&lt;&gt;""))</f>
        <v>298376.57</v>
      </c>
      <c r="AA10" s="382"/>
    </row>
    <row r="11" spans="1:27" s="4" customFormat="1" ht="15" customHeight="1">
      <c r="A11" s="90">
        <f t="shared" si="1"/>
        <v>5</v>
      </c>
      <c r="B11" s="118" t="str">
        <f ca="1">CONCATENATE(IFERROR(INDEX(Validations!$B$11:$B$16,MATCH(C11,Primary,0)),""),IFERROR(OFFSET(INDEX(INDIRECT(SUBSTITUTE(C11," ","")),MATCH(D11,INDIRECT(SUBSTITUTE(C11," ","")),0)),0,-1),""),IFERROR(INDEX(Validations!$I$12:$I$32,MATCH(E11,Validations!$H$12:$H$32,0)),""),IFERROR(INDEX(Validations!$I$12:$I$32,MATCH(F11,Validations!$H$12:$H$32,0)),""),IFERROR(INDEX(Validations!$M$11:$M$16,MATCH(G11,Validations!$J$11:$J$16,0)),""))</f>
        <v>200.040.F1</v>
      </c>
      <c r="C11" s="88" t="s">
        <v>25</v>
      </c>
      <c r="D11" s="88" t="s">
        <v>207</v>
      </c>
      <c r="E11" s="79" t="s">
        <v>22</v>
      </c>
      <c r="F11" s="79" t="s">
        <v>22</v>
      </c>
      <c r="G11" s="79" t="s">
        <v>361</v>
      </c>
      <c r="H11" s="299">
        <v>360000</v>
      </c>
      <c r="I11" s="293"/>
      <c r="J11" s="293"/>
      <c r="K11" s="293"/>
      <c r="L11" s="293"/>
      <c r="M11" s="293"/>
      <c r="N11" s="293">
        <v>12234</v>
      </c>
      <c r="O11" s="293">
        <v>32545</v>
      </c>
      <c r="P11" s="293"/>
      <c r="Q11" s="293">
        <v>32742</v>
      </c>
      <c r="R11" s="293">
        <v>114934.79</v>
      </c>
      <c r="T11" s="42">
        <f t="shared" si="0"/>
        <v>552455.79</v>
      </c>
      <c r="V11" s="42">
        <f ca="1">SUMIF(EAC[PA ID],BudgetTrack[[#This Row],[PA ID]],EAC[Estimate At Completion])</f>
        <v>518581.79</v>
      </c>
      <c r="W11" s="184">
        <f ca="1">BudgetTrack[[#This Row],[Current Budget]]-BudgetTrack[[#This Row],[Estimate At Completion]]</f>
        <v>33874.000000000058</v>
      </c>
      <c r="X11" s="42">
        <f ca="1">SUMIFS(CostTrack[Value],CostTrack[PA ID],BudgetTrack[[#This Row],[PA ID]],CostTrack[Holdback (Y/N/R)],"&lt;&gt;Release",CostTrack[Status],"Approved")</f>
        <v>517954.04</v>
      </c>
      <c r="Y11" s="42">
        <f ca="1">SUMPRODUCT(ChangeTrack[Change Value],--(ChangeTrack[Change Status]="Approved"),--(ChangeTrack[PA ID]=BudgetTrack[[#This Row],[PA ID]]),--(ChangeTrack[PA ID]&lt;&gt;""))</f>
        <v>185616.78999999998</v>
      </c>
      <c r="AA11" s="382"/>
    </row>
    <row r="12" spans="1:27" s="4" customFormat="1" ht="15" customHeight="1">
      <c r="A12" s="90">
        <f t="shared" si="1"/>
        <v>6</v>
      </c>
      <c r="B12" s="118" t="str">
        <f ca="1">CONCATENATE(IFERROR(INDEX(Validations!$B$11:$B$16,MATCH(C12,Primary,0)),""),IFERROR(OFFSET(INDEX(INDIRECT(SUBSTITUTE(C12," ","")),MATCH(D12,INDIRECT(SUBSTITUTE(C12," ","")),0)),0,-1),""),IFERROR(INDEX(Validations!$I$12:$I$32,MATCH(E12,Validations!$H$12:$H$32,0)),""),IFERROR(INDEX(Validations!$I$12:$I$32,MATCH(F12,Validations!$H$12:$H$32,0)),""),IFERROR(INDEX(Validations!$M$11:$M$16,MATCH(G12,Validations!$J$11:$J$16,0)),""))</f>
        <v>200.060.F1</v>
      </c>
      <c r="C12" s="88" t="s">
        <v>25</v>
      </c>
      <c r="D12" s="82" t="s">
        <v>216</v>
      </c>
      <c r="E12" s="79" t="s">
        <v>22</v>
      </c>
      <c r="F12" s="79" t="s">
        <v>22</v>
      </c>
      <c r="G12" s="79" t="s">
        <v>361</v>
      </c>
      <c r="H12" s="299">
        <v>1000000</v>
      </c>
      <c r="I12" s="293"/>
      <c r="J12" s="293"/>
      <c r="K12" s="293"/>
      <c r="L12" s="293">
        <f>-138278-2980-1470</f>
        <v>-142728</v>
      </c>
      <c r="M12" s="293"/>
      <c r="N12" s="293">
        <f>-253666</f>
        <v>-253666</v>
      </c>
      <c r="O12" s="293">
        <v>1200000</v>
      </c>
      <c r="P12" s="293">
        <v>-303606</v>
      </c>
      <c r="Q12" s="293">
        <v>-1425000</v>
      </c>
      <c r="R12" s="293">
        <v>2625000</v>
      </c>
      <c r="T12" s="42">
        <f t="shared" si="0"/>
        <v>2700000</v>
      </c>
      <c r="V12" s="42">
        <f ca="1">SUMIF(EAC[PA ID],BudgetTrack[[#This Row],[PA ID]],EAC[Estimate At Completion])</f>
        <v>2700000</v>
      </c>
      <c r="W12" s="184">
        <f ca="1">BudgetTrack[[#This Row],[Current Budget]]-BudgetTrack[[#This Row],[Estimate At Completion]]</f>
        <v>0</v>
      </c>
      <c r="X12" s="42">
        <f ca="1">SUMIFS(CostTrack[Value],CostTrack[PA ID],BudgetTrack[[#This Row],[PA ID]],CostTrack[Holdback (Y/N/R)],"&lt;&gt;Release",CostTrack[Status],"Approved")</f>
        <v>0</v>
      </c>
      <c r="Y12" s="42">
        <f ca="1">SUMPRODUCT(ChangeTrack[Change Value],--(ChangeTrack[Change Status]="Approved"),--(ChangeTrack[PA ID]=BudgetTrack[[#This Row],[PA ID]]),--(ChangeTrack[PA ID]&lt;&gt;""))</f>
        <v>0</v>
      </c>
      <c r="AA12" s="382"/>
    </row>
    <row r="13" spans="1:27" s="4" customFormat="1" ht="15" customHeight="1">
      <c r="A13" s="90">
        <f t="shared" si="1"/>
        <v>7</v>
      </c>
      <c r="B13" s="118" t="str">
        <f ca="1">CONCATENATE(IFERROR(INDEX(Validations!$B$11:$B$16,MATCH(C13,Primary,0)),""),IFERROR(OFFSET(INDEX(INDIRECT(SUBSTITUTE(C13," ","")),MATCH(D13,INDIRECT(SUBSTITUTE(C13," ","")),0)),0,-1),""),IFERROR(INDEX(Validations!$I$12:$I$32,MATCH(E13,Validations!$H$12:$H$32,0)),""),IFERROR(INDEX(Validations!$I$12:$I$32,MATCH(F13,Validations!$H$12:$H$32,0)),""),IFERROR(INDEX(Validations!$M$11:$M$16,MATCH(G13,Validations!$J$11:$J$16,0)),""))</f>
        <v>300.010.F1</v>
      </c>
      <c r="C13" s="88" t="s">
        <v>31</v>
      </c>
      <c r="D13" s="82" t="s">
        <v>192</v>
      </c>
      <c r="E13" s="79" t="s">
        <v>22</v>
      </c>
      <c r="F13" s="79" t="s">
        <v>22</v>
      </c>
      <c r="G13" s="79" t="s">
        <v>361</v>
      </c>
      <c r="H13" s="299">
        <v>250000</v>
      </c>
      <c r="I13" s="293">
        <v>50000</v>
      </c>
      <c r="J13" s="293"/>
      <c r="K13" s="293">
        <f>713153+109966+120</f>
        <v>823239</v>
      </c>
      <c r="L13" s="293">
        <v>33840</v>
      </c>
      <c r="M13" s="293"/>
      <c r="N13" s="293"/>
      <c r="O13" s="293">
        <v>698</v>
      </c>
      <c r="P13" s="293"/>
      <c r="Q13" s="293"/>
      <c r="R13" s="293">
        <v>-0.3</v>
      </c>
      <c r="T13" s="42">
        <f t="shared" si="0"/>
        <v>1157776.7</v>
      </c>
      <c r="V13" s="42">
        <f ca="1">SUMIF(EAC[PA ID],BudgetTrack[[#This Row],[PA ID]],EAC[Estimate At Completion])</f>
        <v>1157776.7</v>
      </c>
      <c r="W13" s="184">
        <f ca="1">BudgetTrack[[#This Row],[Current Budget]]-BudgetTrack[[#This Row],[Estimate At Completion]]</f>
        <v>0</v>
      </c>
      <c r="X13" s="42">
        <f ca="1">SUMIFS(CostTrack[Value],CostTrack[PA ID],BudgetTrack[[#This Row],[PA ID]],CostTrack[Holdback (Y/N/R)],"&lt;&gt;Release",CostTrack[Status],"Approved")</f>
        <v>1157776.7</v>
      </c>
      <c r="Y13" s="42">
        <f ca="1">SUMPRODUCT(ChangeTrack[Change Value],--(ChangeTrack[Change Status]="Approved"),--(ChangeTrack[PA ID]=BudgetTrack[[#This Row],[PA ID]]),--(ChangeTrack[PA ID]&lt;&gt;""))</f>
        <v>0</v>
      </c>
      <c r="AA13" s="382"/>
    </row>
    <row r="14" spans="1:27" s="4" customFormat="1" ht="15" customHeight="1">
      <c r="A14" s="90">
        <f t="shared" si="1"/>
        <v>8</v>
      </c>
      <c r="B14" s="118" t="str">
        <f ca="1">CONCATENATE(IFERROR(INDEX(Validations!$B$11:$B$16,MATCH(C14,Primary,0)),""),IFERROR(OFFSET(INDEX(INDIRECT(SUBSTITUTE(C14," ","")),MATCH(D14,INDIRECT(SUBSTITUTE(C14," ","")),0)),0,-1),""),IFERROR(INDEX(Validations!$I$12:$I$32,MATCH(E14,Validations!$H$12:$H$32,0)),""),IFERROR(INDEX(Validations!$I$12:$I$32,MATCH(F14,Validations!$H$12:$H$32,0)),""),IFERROR(INDEX(Validations!$M$11:$M$16,MATCH(G14,Validations!$J$11:$J$16,0)),""))</f>
        <v>300.020.F1</v>
      </c>
      <c r="C14" s="88" t="s">
        <v>31</v>
      </c>
      <c r="D14" s="82" t="s">
        <v>198</v>
      </c>
      <c r="E14" s="79" t="s">
        <v>22</v>
      </c>
      <c r="F14" s="79" t="s">
        <v>22</v>
      </c>
      <c r="G14" s="79" t="s">
        <v>361</v>
      </c>
      <c r="H14" s="299">
        <v>500000</v>
      </c>
      <c r="I14" s="293"/>
      <c r="J14" s="293">
        <v>1091221</v>
      </c>
      <c r="K14" s="293">
        <v>-1246142</v>
      </c>
      <c r="L14" s="293">
        <v>-31482</v>
      </c>
      <c r="M14" s="293">
        <v>76349</v>
      </c>
      <c r="N14" s="293"/>
      <c r="O14" s="293">
        <f>200000-0.15</f>
        <v>199999.85</v>
      </c>
      <c r="P14" s="293">
        <v>-270327</v>
      </c>
      <c r="Q14" s="293">
        <v>-181345</v>
      </c>
      <c r="R14" s="293">
        <v>8612.4699999999993</v>
      </c>
      <c r="T14" s="42">
        <f t="shared" si="0"/>
        <v>146886.31999999998</v>
      </c>
      <c r="V14" s="42">
        <f ca="1">SUMIF(EAC[PA ID],BudgetTrack[[#This Row],[PA ID]],EAC[Estimate At Completion])</f>
        <v>146886.31999999998</v>
      </c>
      <c r="W14" s="184">
        <f ca="1">BudgetTrack[[#This Row],[Current Budget]]-BudgetTrack[[#This Row],[Estimate At Completion]]</f>
        <v>0</v>
      </c>
      <c r="X14" s="42">
        <f ca="1">SUMIFS(CostTrack[Value],CostTrack[PA ID],BudgetTrack[[#This Row],[PA ID]],CostTrack[Holdback (Y/N/R)],"&lt;&gt;Release",CostTrack[Status],"Approved")</f>
        <v>146886.31999999998</v>
      </c>
      <c r="Y14" s="42">
        <f ca="1">SUMPRODUCT(ChangeTrack[Change Value],--(ChangeTrack[Change Status]="Approved"),--(ChangeTrack[PA ID]=BudgetTrack[[#This Row],[PA ID]]),--(ChangeTrack[PA ID]&lt;&gt;""))</f>
        <v>0</v>
      </c>
      <c r="AA14" s="382"/>
    </row>
    <row r="15" spans="1:27" s="4" customFormat="1" ht="15" customHeight="1">
      <c r="A15" s="90">
        <f t="shared" si="1"/>
        <v>9</v>
      </c>
      <c r="B15" s="118" t="str">
        <f ca="1">CONCATENATE(IFERROR(INDEX(Validations!$B$11:$B$16,MATCH(C15,Primary,0)),""),IFERROR(OFFSET(INDEX(INDIRECT(SUBSTITUTE(C15," ","")),MATCH(D15,INDIRECT(SUBSTITUTE(C15," ","")),0)),0,-1),""),IFERROR(INDEX(Validations!$I$12:$I$32,MATCH(E15,Validations!$H$12:$H$32,0)),""),IFERROR(INDEX(Validations!$I$12:$I$32,MATCH(F15,Validations!$H$12:$H$32,0)),""),IFERROR(INDEX(Validations!$M$11:$M$16,MATCH(G15,Validations!$J$11:$J$16,0)),""))</f>
        <v>300.030.F1</v>
      </c>
      <c r="C15" s="88" t="s">
        <v>31</v>
      </c>
      <c r="D15" s="82" t="s">
        <v>203</v>
      </c>
      <c r="E15" s="79" t="s">
        <v>22</v>
      </c>
      <c r="F15" s="79" t="s">
        <v>22</v>
      </c>
      <c r="G15" s="79" t="s">
        <v>361</v>
      </c>
      <c r="H15" s="299">
        <v>138000000</v>
      </c>
      <c r="I15" s="293"/>
      <c r="J15" s="293"/>
      <c r="K15" s="293">
        <v>7000000</v>
      </c>
      <c r="L15" s="293"/>
      <c r="M15" s="293">
        <v>-5412188</v>
      </c>
      <c r="N15" s="293">
        <v>935378</v>
      </c>
      <c r="O15" s="293">
        <v>9089340</v>
      </c>
      <c r="P15" s="293">
        <v>5329357</v>
      </c>
      <c r="Q15" s="293">
        <v>3120466</v>
      </c>
      <c r="R15" s="293">
        <v>-3747761.58</v>
      </c>
      <c r="T15" s="42">
        <f t="shared" si="0"/>
        <v>154314591.41999999</v>
      </c>
      <c r="V15" s="42">
        <f ca="1">SUMIF(EAC[PA ID],BudgetTrack[[#This Row],[PA ID]],EAC[Estimate At Completion])</f>
        <v>154314591.42000002</v>
      </c>
      <c r="W15" s="184">
        <f ca="1">BudgetTrack[[#This Row],[Current Budget]]-BudgetTrack[[#This Row],[Estimate At Completion]]</f>
        <v>0</v>
      </c>
      <c r="X15" s="42">
        <f ca="1">SUMIFS(CostTrack[Value],CostTrack[PA ID],BudgetTrack[[#This Row],[PA ID]],CostTrack[Holdback (Y/N/R)],"&lt;&gt;Release",CostTrack[Status],"Approved")</f>
        <v>153062832.02000001</v>
      </c>
      <c r="Y15" s="42">
        <f ca="1">SUMPRODUCT(ChangeTrack[Change Value],--(ChangeTrack[Change Status]="Approved"),--(ChangeTrack[PA ID]=BudgetTrack[[#This Row],[PA ID]]),--(ChangeTrack[PA ID]&lt;&gt;""))</f>
        <v>14745298.420000009</v>
      </c>
      <c r="AA15" s="382"/>
    </row>
    <row r="16" spans="1:27" s="4" customFormat="1">
      <c r="A16" s="90">
        <f t="shared" si="1"/>
        <v>10</v>
      </c>
      <c r="B16" s="118" t="str">
        <f ca="1">CONCATENATE(IFERROR(INDEX(Validations!$B$11:$B$16,MATCH(C16,Primary,0)),""),IFERROR(OFFSET(INDEX(INDIRECT(SUBSTITUTE(C16," ","")),MATCH(D16,INDIRECT(SUBSTITUTE(C16," ","")),0)),0,-1),""),IFERROR(INDEX(Validations!$I$12:$I$32,MATCH(E16,Validations!$H$12:$H$32,0)),""),IFERROR(INDEX(Validations!$I$12:$I$32,MATCH(F16,Validations!$H$12:$H$32,0)),""),IFERROR(INDEX(Validations!$M$11:$M$16,MATCH(G16,Validations!$J$11:$J$16,0)),""))</f>
        <v>300.040.F1</v>
      </c>
      <c r="C16" s="88" t="s">
        <v>31</v>
      </c>
      <c r="D16" s="82" t="s">
        <v>208</v>
      </c>
      <c r="E16" s="79" t="s">
        <v>22</v>
      </c>
      <c r="F16" s="79" t="s">
        <v>22</v>
      </c>
      <c r="G16" s="79" t="s">
        <v>361</v>
      </c>
      <c r="H16" s="299">
        <v>3000000</v>
      </c>
      <c r="I16" s="293">
        <v>800000</v>
      </c>
      <c r="J16" s="293">
        <f>10198+49802</f>
        <v>60000</v>
      </c>
      <c r="K16" s="293">
        <f>-(1231637+2310)+1</f>
        <v>-1233946</v>
      </c>
      <c r="L16" s="293"/>
      <c r="M16" s="293"/>
      <c r="N16" s="293"/>
      <c r="O16" s="293">
        <v>-1574626.16</v>
      </c>
      <c r="P16" s="293">
        <v>2417701</v>
      </c>
      <c r="Q16" s="293">
        <v>1896816</v>
      </c>
      <c r="R16" s="293">
        <v>-3949232.72</v>
      </c>
      <c r="T16" s="42">
        <f t="shared" si="0"/>
        <v>1416712.1199999996</v>
      </c>
      <c r="V16" s="42">
        <f ca="1">SUMIF(EAC[PA ID],BudgetTrack[[#This Row],[PA ID]],EAC[Estimate At Completion])</f>
        <v>1416712.12</v>
      </c>
      <c r="W16" s="184">
        <f ca="1">BudgetTrack[[#This Row],[Current Budget]]-BudgetTrack[[#This Row],[Estimate At Completion]]</f>
        <v>0</v>
      </c>
      <c r="X16" s="42">
        <f ca="1">SUMIFS(CostTrack[Value],CostTrack[PA ID],BudgetTrack[[#This Row],[PA ID]],CostTrack[Holdback (Y/N/R)],"&lt;&gt;Release",CostTrack[Status],"Approved")</f>
        <v>916712.12000000011</v>
      </c>
      <c r="Y16" s="42">
        <f ca="1">SUMPRODUCT(ChangeTrack[Change Value],--(ChangeTrack[Change Status]="Approved"),--(ChangeTrack[PA ID]=BudgetTrack[[#This Row],[PA ID]]),--(ChangeTrack[PA ID]&lt;&gt;""))</f>
        <v>398900.85</v>
      </c>
      <c r="AA16" s="382"/>
    </row>
    <row r="17" spans="1:27" s="4" customFormat="1">
      <c r="A17" s="90">
        <f t="shared" si="1"/>
        <v>11</v>
      </c>
      <c r="B17" s="118" t="str">
        <f ca="1">CONCATENATE(IFERROR(INDEX(Validations!$B$11:$B$16,MATCH(C17,Primary,0)),""),IFERROR(OFFSET(INDEX(INDIRECT(SUBSTITUTE(C17," ","")),MATCH(D17,INDIRECT(SUBSTITUTE(C17," ","")),0)),0,-1),""),IFERROR(INDEX(Validations!$I$12:$I$32,MATCH(E17,Validations!$H$12:$H$32,0)),""),IFERROR(INDEX(Validations!$I$12:$I$32,MATCH(F17,Validations!$H$12:$H$32,0)),""),IFERROR(INDEX(Validations!$M$11:$M$16,MATCH(G17,Validations!$J$11:$J$16,0)),""))</f>
        <v>300.060.F1</v>
      </c>
      <c r="C17" s="88" t="s">
        <v>31</v>
      </c>
      <c r="D17" s="82" t="s">
        <v>217</v>
      </c>
      <c r="E17" s="79" t="s">
        <v>22</v>
      </c>
      <c r="F17" s="79" t="s">
        <v>22</v>
      </c>
      <c r="G17" s="79" t="s">
        <v>361</v>
      </c>
      <c r="H17" s="299">
        <v>13900000</v>
      </c>
      <c r="I17" s="293"/>
      <c r="J17" s="293">
        <v>200000</v>
      </c>
      <c r="K17" s="293">
        <v>400000</v>
      </c>
      <c r="L17" s="293"/>
      <c r="M17" s="293">
        <v>-561589</v>
      </c>
      <c r="N17" s="293">
        <v>-935379</v>
      </c>
      <c r="O17" s="757">
        <f>-2083595-234723+0.68</f>
        <v>-2318317.3199999998</v>
      </c>
      <c r="P17" s="293">
        <v>-3667037</v>
      </c>
      <c r="Q17" s="293">
        <v>-2017678</v>
      </c>
      <c r="R17" s="293">
        <v>-2283522.6800000002</v>
      </c>
      <c r="T17" s="42">
        <f t="shared" si="0"/>
        <v>2716476.9999999995</v>
      </c>
      <c r="V17" s="42">
        <f ca="1">SUMIF(EAC[PA ID],BudgetTrack[[#This Row],[PA ID]],EAC[Estimate At Completion])</f>
        <v>2629223</v>
      </c>
      <c r="W17" s="184">
        <f ca="1">BudgetTrack[[#This Row],[Current Budget]]-BudgetTrack[[#This Row],[Estimate At Completion]]</f>
        <v>87253.999999999534</v>
      </c>
      <c r="X17" s="42">
        <f ca="1">SUMIFS(CostTrack[Value],CostTrack[PA ID],BudgetTrack[[#This Row],[PA ID]],CostTrack[Holdback (Y/N/R)],"&lt;&gt;Release",CostTrack[Status],"Approved")</f>
        <v>0</v>
      </c>
      <c r="Y17" s="42">
        <f ca="1">SUMPRODUCT(ChangeTrack[Change Value],--(ChangeTrack[Change Status]="Approved"),--(ChangeTrack[PA ID]=BudgetTrack[[#This Row],[PA ID]]),--(ChangeTrack[PA ID]&lt;&gt;""))</f>
        <v>0</v>
      </c>
      <c r="AA17" s="382"/>
    </row>
    <row r="18" spans="1:27" s="4" customFormat="1">
      <c r="A18" s="90">
        <f t="shared" si="1"/>
        <v>12</v>
      </c>
      <c r="B18" s="118" t="str">
        <f ca="1">CONCATENATE(IFERROR(INDEX(Validations!$B$11:$B$16,MATCH(C18,Primary,0)),""),IFERROR(OFFSET(INDEX(INDIRECT(SUBSTITUTE(C18," ","")),MATCH(D18,INDIRECT(SUBSTITUTE(C18," ","")),0)),0,-1),""),IFERROR(INDEX(Validations!$I$12:$I$32,MATCH(E18,Validations!$H$12:$H$32,0)),""),IFERROR(INDEX(Validations!$I$12:$I$32,MATCH(F18,Validations!$H$12:$H$32,0)),""),IFERROR(INDEX(Validations!$M$11:$M$16,MATCH(G18,Validations!$J$11:$J$16,0)),""))</f>
        <v>300.070.F1</v>
      </c>
      <c r="C18" s="88" t="s">
        <v>31</v>
      </c>
      <c r="D18" s="82" t="s">
        <v>220</v>
      </c>
      <c r="E18" s="79" t="s">
        <v>22</v>
      </c>
      <c r="F18" s="79" t="s">
        <v>22</v>
      </c>
      <c r="G18" s="79" t="s">
        <v>361</v>
      </c>
      <c r="H18" s="299">
        <v>7000000</v>
      </c>
      <c r="I18" s="293"/>
      <c r="J18" s="293"/>
      <c r="K18" s="293"/>
      <c r="L18" s="293"/>
      <c r="M18" s="293">
        <v>-7000000</v>
      </c>
      <c r="N18" s="293"/>
      <c r="O18" s="293"/>
      <c r="P18" s="293"/>
      <c r="Q18" s="293"/>
      <c r="R18" s="293"/>
      <c r="T18" s="42">
        <f t="shared" si="0"/>
        <v>0</v>
      </c>
      <c r="V18" s="42">
        <f ca="1">SUMIF(EAC[PA ID],BudgetTrack[[#This Row],[PA ID]],EAC[Estimate At Completion])</f>
        <v>0</v>
      </c>
      <c r="W18" s="184">
        <f ca="1">BudgetTrack[[#This Row],[Current Budget]]-BudgetTrack[[#This Row],[Estimate At Completion]]</f>
        <v>0</v>
      </c>
      <c r="X18" s="42">
        <f ca="1">SUMIFS(CostTrack[Value],CostTrack[PA ID],BudgetTrack[[#This Row],[PA ID]],CostTrack[Holdback (Y/N/R)],"&lt;&gt;Release",CostTrack[Status],"Approved")</f>
        <v>0</v>
      </c>
      <c r="Y18" s="42">
        <f ca="1">SUMPRODUCT(ChangeTrack[Change Value],--(ChangeTrack[Change Status]="Approved"),--(ChangeTrack[PA ID]=BudgetTrack[[#This Row],[PA ID]]),--(ChangeTrack[PA ID]&lt;&gt;""))</f>
        <v>0</v>
      </c>
      <c r="AA18" s="382"/>
    </row>
    <row r="19" spans="1:27" s="4" customFormat="1">
      <c r="A19" s="90">
        <f t="shared" si="1"/>
        <v>13</v>
      </c>
      <c r="B19" s="118" t="str">
        <f ca="1">CONCATENATE(IFERROR(INDEX(Validations!$B$11:$B$16,MATCH(C19,Primary,0)),""),IFERROR(OFFSET(INDEX(INDIRECT(SUBSTITUTE(C19," ","")),MATCH(D19,INDIRECT(SUBSTITUTE(C19," ","")),0)),0,-1),""),IFERROR(INDEX(Validations!$I$12:$I$32,MATCH(E19,Validations!$H$12:$H$32,0)),""),IFERROR(INDEX(Validations!$I$12:$I$32,MATCH(F19,Validations!$H$12:$H$32,0)),""),IFERROR(INDEX(Validations!$M$11:$M$16,MATCH(G19,Validations!$J$11:$J$16,0)),""))</f>
        <v>400.010.F1</v>
      </c>
      <c r="C19" s="88" t="s">
        <v>37</v>
      </c>
      <c r="D19" s="82" t="s">
        <v>193</v>
      </c>
      <c r="E19" s="79" t="s">
        <v>22</v>
      </c>
      <c r="F19" s="79" t="s">
        <v>22</v>
      </c>
      <c r="G19" s="79" t="s">
        <v>361</v>
      </c>
      <c r="H19" s="299">
        <v>13000000</v>
      </c>
      <c r="I19" s="293"/>
      <c r="J19" s="293"/>
      <c r="K19" s="293">
        <f>-(5000000+152581)+2310</f>
        <v>-5150271</v>
      </c>
      <c r="L19" s="293"/>
      <c r="M19" s="293">
        <v>1650271</v>
      </c>
      <c r="N19" s="293"/>
      <c r="O19" s="293">
        <v>870880</v>
      </c>
      <c r="P19" s="293">
        <v>-3493297</v>
      </c>
      <c r="Q19" s="293">
        <v>-3805135</v>
      </c>
      <c r="R19" s="293">
        <v>-36228.01</v>
      </c>
      <c r="T19" s="42">
        <f t="shared" si="0"/>
        <v>3036219.99</v>
      </c>
      <c r="V19" s="42">
        <f ca="1">SUMIF(EAC[PA ID],BudgetTrack[[#This Row],[PA ID]],EAC[Estimate At Completion])</f>
        <v>3036219.9900000007</v>
      </c>
      <c r="W19" s="184">
        <f ca="1">BudgetTrack[[#This Row],[Current Budget]]-BudgetTrack[[#This Row],[Estimate At Completion]]</f>
        <v>0</v>
      </c>
      <c r="X19" s="42">
        <f ca="1">SUMIFS(CostTrack[Value],CostTrack[PA ID],BudgetTrack[[#This Row],[PA ID]],CostTrack[Holdback (Y/N/R)],"&lt;&gt;Release",CostTrack[Status],"Approved")</f>
        <v>3036219.9900000012</v>
      </c>
      <c r="Y19" s="42">
        <f ca="1">SUMPRODUCT(ChangeTrack[Change Value],--(ChangeTrack[Change Status]="Approved"),--(ChangeTrack[PA ID]=BudgetTrack[[#This Row],[PA ID]]),--(ChangeTrack[PA ID]&lt;&gt;""))</f>
        <v>0</v>
      </c>
      <c r="AA19" s="382"/>
    </row>
    <row r="20" spans="1:27" s="4" customFormat="1">
      <c r="A20" s="90">
        <f t="shared" si="1"/>
        <v>14</v>
      </c>
      <c r="B20" s="118" t="str">
        <f ca="1">CONCATENATE(IFERROR(INDEX(Validations!$B$11:$B$16,MATCH(C20,Primary,0)),""),IFERROR(OFFSET(INDEX(INDIRECT(SUBSTITUTE(C20," ","")),MATCH(D20,INDIRECT(SUBSTITUTE(C20," ","")),0)),0,-1),""),IFERROR(INDEX(Validations!$I$12:$I$32,MATCH(E20,Validations!$H$12:$H$32,0)),""),IFERROR(INDEX(Validations!$I$12:$I$32,MATCH(F20,Validations!$H$12:$H$32,0)),""),IFERROR(INDEX(Validations!$M$11:$M$16,MATCH(G20,Validations!$J$11:$J$16,0)),""))</f>
        <v>400.020.F1</v>
      </c>
      <c r="C20" s="88" t="s">
        <v>37</v>
      </c>
      <c r="D20" s="82" t="s">
        <v>199</v>
      </c>
      <c r="E20" s="79" t="s">
        <v>22</v>
      </c>
      <c r="F20" s="79" t="s">
        <v>22</v>
      </c>
      <c r="G20" s="79" t="s">
        <v>361</v>
      </c>
      <c r="H20" s="299">
        <v>2000000</v>
      </c>
      <c r="I20" s="293"/>
      <c r="J20" s="293"/>
      <c r="K20" s="293">
        <v>1500000</v>
      </c>
      <c r="L20" s="293"/>
      <c r="M20" s="293">
        <v>2500000</v>
      </c>
      <c r="N20" s="293"/>
      <c r="O20" s="293">
        <v>2132282</v>
      </c>
      <c r="P20" s="293">
        <v>-1060476</v>
      </c>
      <c r="Q20" s="293">
        <v>-519409</v>
      </c>
      <c r="R20" s="293">
        <v>-1872178.05</v>
      </c>
      <c r="T20" s="42">
        <f t="shared" si="0"/>
        <v>4680218.95</v>
      </c>
      <c r="V20" s="42">
        <f ca="1">SUMIF(EAC[PA ID],BudgetTrack[[#This Row],[PA ID]],EAC[Estimate At Completion])</f>
        <v>4680218.95</v>
      </c>
      <c r="W20" s="184">
        <f ca="1">BudgetTrack[[#This Row],[Current Budget]]-BudgetTrack[[#This Row],[Estimate At Completion]]</f>
        <v>0</v>
      </c>
      <c r="X20" s="42">
        <f ca="1">SUMIFS(CostTrack[Value],CostTrack[PA ID],BudgetTrack[[#This Row],[PA ID]],CostTrack[Holdback (Y/N/R)],"&lt;&gt;Release",CostTrack[Status],"Approved")</f>
        <v>4211824.57</v>
      </c>
      <c r="Y20" s="42">
        <f ca="1">SUMPRODUCT(ChangeTrack[Change Value],--(ChangeTrack[Change Status]="Approved"),--(ChangeTrack[PA ID]=BudgetTrack[[#This Row],[PA ID]]),--(ChangeTrack[PA ID]&lt;&gt;""))</f>
        <v>332302.18</v>
      </c>
      <c r="AA20" s="382"/>
    </row>
    <row r="21" spans="1:27" s="4" customFormat="1">
      <c r="A21" s="90">
        <f t="shared" si="1"/>
        <v>15</v>
      </c>
      <c r="B21" s="118" t="str">
        <f ca="1">CONCATENATE(IFERROR(INDEX(Validations!$B$11:$B$16,MATCH(C21,Primary,0)),""),IFERROR(OFFSET(INDEX(INDIRECT(SUBSTITUTE(C21," ","")),MATCH(D21,INDIRECT(SUBSTITUTE(C21," ","")),0)),0,-1),""),IFERROR(INDEX(Validations!$I$12:$I$32,MATCH(E21,Validations!$H$12:$H$32,0)),""),IFERROR(INDEX(Validations!$I$12:$I$32,MATCH(F21,Validations!$H$12:$H$32,0)),""),IFERROR(INDEX(Validations!$M$11:$M$16,MATCH(G21,Validations!$J$11:$J$16,0)),""))</f>
        <v>400.030.F1</v>
      </c>
      <c r="C21" s="88" t="s">
        <v>37</v>
      </c>
      <c r="D21" s="82" t="s">
        <v>204</v>
      </c>
      <c r="E21" s="79" t="s">
        <v>22</v>
      </c>
      <c r="F21" s="79" t="s">
        <v>22</v>
      </c>
      <c r="G21" s="79" t="s">
        <v>361</v>
      </c>
      <c r="H21" s="299">
        <v>200000</v>
      </c>
      <c r="I21" s="293"/>
      <c r="J21" s="293"/>
      <c r="K21" s="293"/>
      <c r="L21" s="293"/>
      <c r="M21" s="293"/>
      <c r="N21" s="293"/>
      <c r="O21" s="293">
        <v>1300000</v>
      </c>
      <c r="P21" s="293">
        <v>13078</v>
      </c>
      <c r="Q21" s="293">
        <v>1251</v>
      </c>
      <c r="R21" s="293">
        <v>-1337850.23</v>
      </c>
      <c r="T21" s="42">
        <f t="shared" si="0"/>
        <v>176478.77000000002</v>
      </c>
      <c r="V21" s="42">
        <f ca="1">SUMIF(EAC[PA ID],BudgetTrack[[#This Row],[PA ID]],EAC[Estimate At Completion])</f>
        <v>176478.77</v>
      </c>
      <c r="W21" s="184">
        <f ca="1">BudgetTrack[[#This Row],[Current Budget]]-BudgetTrack[[#This Row],[Estimate At Completion]]</f>
        <v>0</v>
      </c>
      <c r="X21" s="42">
        <f ca="1">SUMIFS(CostTrack[Value],CostTrack[PA ID],BudgetTrack[[#This Row],[PA ID]],CostTrack[Holdback (Y/N/R)],"&lt;&gt;Release",CostTrack[Status],"Approved")</f>
        <v>176478.77</v>
      </c>
      <c r="Y21" s="42">
        <f ca="1">SUMPRODUCT(ChangeTrack[Change Value],--(ChangeTrack[Change Status]="Approved"),--(ChangeTrack[PA ID]=BudgetTrack[[#This Row],[PA ID]]),--(ChangeTrack[PA ID]&lt;&gt;""))</f>
        <v>4153</v>
      </c>
      <c r="AA21" s="382"/>
    </row>
    <row r="22" spans="1:27" s="4" customFormat="1">
      <c r="A22" s="90">
        <f t="shared" si="1"/>
        <v>16</v>
      </c>
      <c r="B22" s="118" t="str">
        <f ca="1">CONCATENATE(IFERROR(INDEX(Validations!$B$11:$B$16,MATCH(C22,Primary,0)),""),IFERROR(OFFSET(INDEX(INDIRECT(SUBSTITUTE(C22," ","")),MATCH(D22,INDIRECT(SUBSTITUTE(C22," ","")),0)),0,-1),""),IFERROR(INDEX(Validations!$I$12:$I$32,MATCH(E22,Validations!$H$12:$H$32,0)),""),IFERROR(INDEX(Validations!$I$12:$I$32,MATCH(F22,Validations!$H$12:$H$32,0)),""),IFERROR(INDEX(Validations!$M$11:$M$16,MATCH(G22,Validations!$J$11:$J$16,0)),""))</f>
        <v>500.010.F1</v>
      </c>
      <c r="C22" s="88" t="s">
        <v>43</v>
      </c>
      <c r="D22" s="82" t="s">
        <v>194</v>
      </c>
      <c r="E22" s="79" t="s">
        <v>22</v>
      </c>
      <c r="F22" s="79" t="s">
        <v>22</v>
      </c>
      <c r="G22" s="79" t="s">
        <v>361</v>
      </c>
      <c r="H22" s="300">
        <v>5000000</v>
      </c>
      <c r="I22" s="294">
        <v>1188612</v>
      </c>
      <c r="J22" s="294"/>
      <c r="K22" s="294">
        <v>-1500000</v>
      </c>
      <c r="L22" s="294"/>
      <c r="M22" s="294"/>
      <c r="N22" s="294"/>
      <c r="O22" s="294">
        <v>-0.03</v>
      </c>
      <c r="P22" s="294"/>
      <c r="Q22" s="294"/>
      <c r="R22" s="294"/>
      <c r="T22" s="42">
        <f t="shared" si="0"/>
        <v>4688611.97</v>
      </c>
      <c r="V22" s="42">
        <f ca="1">SUMIF(EAC[PA ID],BudgetTrack[[#This Row],[PA ID]],EAC[Estimate At Completion])</f>
        <v>4688611.97</v>
      </c>
      <c r="W22" s="184">
        <f ca="1">BudgetTrack[[#This Row],[Current Budget]]-BudgetTrack[[#This Row],[Estimate At Completion]]</f>
        <v>0</v>
      </c>
      <c r="X22" s="42">
        <f ca="1">SUMIFS(CostTrack[Value],CostTrack[PA ID],BudgetTrack[[#This Row],[PA ID]],CostTrack[Holdback (Y/N/R)],"&lt;&gt;Release",CostTrack[Status],"Approved")</f>
        <v>4688611.97</v>
      </c>
      <c r="Y22" s="42">
        <f ca="1">SUMPRODUCT(ChangeTrack[Change Value],--(ChangeTrack[Change Status]="Approved"),--(ChangeTrack[PA ID]=BudgetTrack[[#This Row],[PA ID]]),--(ChangeTrack[PA ID]&lt;&gt;""))</f>
        <v>1171400.3299999998</v>
      </c>
      <c r="AA22" s="382"/>
    </row>
    <row r="23" spans="1:27" s="4" customFormat="1">
      <c r="A23" s="90">
        <f t="shared" si="1"/>
        <v>17</v>
      </c>
      <c r="B23" s="118" t="str">
        <f ca="1">CONCATENATE(IFERROR(INDEX(Validations!$B$11:$B$16,MATCH(C23,Primary,0)),""),IFERROR(OFFSET(INDEX(INDIRECT(SUBSTITUTE(C23," ","")),MATCH(D23,INDIRECT(SUBSTITUTE(C23," ","")),0)),0,-1),""),IFERROR(INDEX(Validations!$I$12:$I$32,MATCH(E23,Validations!$H$12:$H$32,0)),""),IFERROR(INDEX(Validations!$I$12:$I$32,MATCH(F23,Validations!$H$12:$H$32,0)),""),IFERROR(INDEX(Validations!$M$11:$M$16,MATCH(G23,Validations!$J$11:$J$16,0)),""))</f>
        <v>600.010.F1</v>
      </c>
      <c r="C23" s="88" t="s">
        <v>48</v>
      </c>
      <c r="D23" s="82" t="s">
        <v>48</v>
      </c>
      <c r="E23" s="79" t="s">
        <v>22</v>
      </c>
      <c r="F23" s="79" t="s">
        <v>22</v>
      </c>
      <c r="G23" s="79" t="s">
        <v>361</v>
      </c>
      <c r="H23" s="300">
        <v>7000000</v>
      </c>
      <c r="I23" s="294"/>
      <c r="J23" s="294"/>
      <c r="K23" s="294"/>
      <c r="L23" s="294">
        <v>72718</v>
      </c>
      <c r="M23" s="294">
        <v>8443658</v>
      </c>
      <c r="N23" s="294">
        <f>93410-19964+270</f>
        <v>73716</v>
      </c>
      <c r="O23" s="294">
        <v>-15590092</v>
      </c>
      <c r="P23" s="294"/>
      <c r="Q23" s="294"/>
      <c r="R23" s="294"/>
      <c r="T23" s="42">
        <f t="shared" si="0"/>
        <v>0</v>
      </c>
      <c r="V23" s="42">
        <f ca="1">SUMIF(EAC[PA ID],BudgetTrack[[#This Row],[PA ID]],EAC[Estimate At Completion])</f>
        <v>0</v>
      </c>
      <c r="W23" s="184">
        <f ca="1">BudgetTrack[[#This Row],[Current Budget]]-BudgetTrack[[#This Row],[Estimate At Completion]]</f>
        <v>0</v>
      </c>
      <c r="X23" s="42">
        <f ca="1">SUMIFS(CostTrack[Value],CostTrack[PA ID],BudgetTrack[[#This Row],[PA ID]],CostTrack[Holdback (Y/N/R)],"&lt;&gt;Release",CostTrack[Status],"Approved")</f>
        <v>0</v>
      </c>
      <c r="Y23" s="42">
        <f ca="1">SUMPRODUCT(ChangeTrack[Change Value],--(ChangeTrack[Change Status]="Approved"),--(ChangeTrack[PA ID]=BudgetTrack[[#This Row],[PA ID]]),--(ChangeTrack[PA ID]&lt;&gt;""))</f>
        <v>0</v>
      </c>
      <c r="AA23" s="382"/>
    </row>
    <row r="24" spans="1:27" s="4" customFormat="1">
      <c r="A24" s="90">
        <f t="shared" si="1"/>
        <v>18</v>
      </c>
      <c r="B24" s="118" t="str">
        <f ca="1">CONCATENATE(IFERROR(INDEX(Validations!$B$11:$B$16,MATCH(C24,Primary,0)),""),IFERROR(OFFSET(INDEX(INDIRECT(SUBSTITUTE(C24," ","")),MATCH(D24,INDIRECT(SUBSTITUTE(C24," ","")),0)),0,-1),""),IFERROR(INDEX(Validations!$I$12:$I$32,MATCH(E24,Validations!$H$12:$H$32,0)),""),IFERROR(INDEX(Validations!$I$12:$I$32,MATCH(F24,Validations!$H$12:$H$32,0)),""),IFERROR(INDEX(Validations!$M$11:$M$16,MATCH(G24,Validations!$J$11:$J$16,0)),""))</f>
        <v>100.040.F1</v>
      </c>
      <c r="C24" s="88" t="s">
        <v>20</v>
      </c>
      <c r="D24" s="82" t="s">
        <v>206</v>
      </c>
      <c r="E24" s="79" t="s">
        <v>22</v>
      </c>
      <c r="F24" s="79" t="s">
        <v>22</v>
      </c>
      <c r="G24" s="79" t="s">
        <v>361</v>
      </c>
      <c r="H24" s="300">
        <v>0</v>
      </c>
      <c r="I24" s="294"/>
      <c r="J24" s="294"/>
      <c r="K24" s="294"/>
      <c r="L24" s="294"/>
      <c r="M24" s="294"/>
      <c r="N24" s="294"/>
      <c r="O24" s="294">
        <v>1263</v>
      </c>
      <c r="P24" s="294"/>
      <c r="Q24" s="294"/>
      <c r="R24" s="294">
        <v>5225</v>
      </c>
      <c r="T24" s="42">
        <f t="shared" si="0"/>
        <v>6488</v>
      </c>
      <c r="V24" s="42">
        <f ca="1">SUMIF(EAC[PA ID],BudgetTrack[[#This Row],[PA ID]],EAC[Estimate At Completion])</f>
        <v>127630.05</v>
      </c>
      <c r="W24" s="184">
        <f ca="1">BudgetTrack[[#This Row],[Current Budget]]-BudgetTrack[[#This Row],[Estimate At Completion]]</f>
        <v>-121142.05</v>
      </c>
      <c r="X24" s="42">
        <f ca="1">SUMIFS(CostTrack[Value],CostTrack[PA ID],BudgetTrack[[#This Row],[PA ID]],CostTrack[Holdback (Y/N/R)],"&lt;&gt;Release",CostTrack[Status],"Approved")</f>
        <v>127630.05</v>
      </c>
      <c r="Y24" s="42">
        <f ca="1">SUMPRODUCT(ChangeTrack[Change Value],--(ChangeTrack[Change Status]="Approved"),--(ChangeTrack[PA ID]=BudgetTrack[[#This Row],[PA ID]]),--(ChangeTrack[PA ID]&lt;&gt;""))</f>
        <v>0</v>
      </c>
      <c r="AA24" s="382"/>
    </row>
    <row r="25" spans="1:27" s="4" customFormat="1">
      <c r="A25" s="90">
        <f t="shared" si="1"/>
        <v>19</v>
      </c>
      <c r="B25" s="118" t="str">
        <f ca="1">CONCATENATE(IFERROR(INDEX(Validations!$B$11:$B$16,MATCH(C25,Primary,0)),""),IFERROR(OFFSET(INDEX(INDIRECT(SUBSTITUTE(C25," ","")),MATCH(D25,INDIRECT(SUBSTITUTE(C25," ","")),0)),0,-1),""),IFERROR(INDEX(Validations!$I$12:$I$32,MATCH(E25,Validations!$H$12:$H$32,0)),""),IFERROR(INDEX(Validations!$I$12:$I$32,MATCH(F25,Validations!$H$12:$H$32,0)),""),IFERROR(INDEX(Validations!$M$11:$M$16,MATCH(G25,Validations!$J$11:$J$16,0)),""))</f>
        <v>300.090.F1</v>
      </c>
      <c r="C25" s="88" t="s">
        <v>31</v>
      </c>
      <c r="D25" s="82" t="s">
        <v>226</v>
      </c>
      <c r="E25" s="79" t="s">
        <v>22</v>
      </c>
      <c r="F25" s="79" t="s">
        <v>22</v>
      </c>
      <c r="G25" s="79" t="s">
        <v>361</v>
      </c>
      <c r="H25" s="300">
        <v>96165</v>
      </c>
      <c r="I25" s="294"/>
      <c r="J25" s="294"/>
      <c r="K25" s="294"/>
      <c r="L25" s="294"/>
      <c r="M25" s="294"/>
      <c r="N25" s="294"/>
      <c r="O25" s="294"/>
      <c r="P25" s="294"/>
      <c r="Q25" s="294"/>
      <c r="R25" s="294">
        <v>0.3</v>
      </c>
      <c r="T25" s="42">
        <f t="shared" si="0"/>
        <v>96165.3</v>
      </c>
      <c r="V25" s="42">
        <f ca="1">SUMIF(EAC[PA ID],BudgetTrack[[#This Row],[PA ID]],EAC[Estimate At Completion])</f>
        <v>96165.3</v>
      </c>
      <c r="W25" s="184">
        <f ca="1">BudgetTrack[[#This Row],[Current Budget]]-BudgetTrack[[#This Row],[Estimate At Completion]]</f>
        <v>0</v>
      </c>
      <c r="X25" s="42">
        <f ca="1">SUMIFS(CostTrack[Value],CostTrack[PA ID],BudgetTrack[[#This Row],[PA ID]],CostTrack[Holdback (Y/N/R)],"&lt;&gt;Release",CostTrack[Status],"Approved")</f>
        <v>96165.3</v>
      </c>
      <c r="Y25" s="42">
        <f ca="1">SUMPRODUCT(ChangeTrack[Change Value],--(ChangeTrack[Change Status]="Approved"),--(ChangeTrack[PA ID]=BudgetTrack[[#This Row],[PA ID]]),--(ChangeTrack[PA ID]&lt;&gt;""))</f>
        <v>13665.3</v>
      </c>
      <c r="AA25" s="382"/>
    </row>
    <row r="26" spans="1:27" s="4" customFormat="1">
      <c r="A26" s="90">
        <f t="shared" si="1"/>
        <v>20</v>
      </c>
      <c r="B26" s="118" t="str">
        <f ca="1">CONCATENATE(IFERROR(INDEX(Validations!$B$11:$B$16,MATCH(C26,Primary,0)),""),IFERROR(OFFSET(INDEX(INDIRECT(SUBSTITUTE(C26," ","")),MATCH(D26,INDIRECT(SUBSTITUTE(C26," ","")),0)),0,-1),""),IFERROR(INDEX(Validations!$I$12:$I$32,MATCH(E26,Validations!$H$12:$H$32,0)),""),IFERROR(INDEX(Validations!$I$12:$I$32,MATCH(F26,Validations!$H$12:$H$32,0)),""),IFERROR(INDEX(Validations!$M$11:$M$16,MATCH(G26,Validations!$J$11:$J$16,0)),""))</f>
        <v>300.100.F1</v>
      </c>
      <c r="C26" s="88" t="s">
        <v>31</v>
      </c>
      <c r="D26" s="82" t="s">
        <v>229</v>
      </c>
      <c r="E26" s="79" t="s">
        <v>22</v>
      </c>
      <c r="F26" s="79" t="s">
        <v>22</v>
      </c>
      <c r="G26" s="79" t="s">
        <v>361</v>
      </c>
      <c r="H26" s="300">
        <v>472888.38</v>
      </c>
      <c r="I26" s="294"/>
      <c r="J26" s="294"/>
      <c r="K26" s="294"/>
      <c r="L26" s="294"/>
      <c r="M26" s="294"/>
      <c r="N26" s="294"/>
      <c r="O26" s="294"/>
      <c r="P26" s="294"/>
      <c r="Q26" s="294"/>
      <c r="R26" s="294"/>
      <c r="T26" s="42">
        <f t="shared" si="0"/>
        <v>472888.38</v>
      </c>
      <c r="V26" s="42">
        <f ca="1">SUMIF(EAC[PA ID],BudgetTrack[[#This Row],[PA ID]],EAC[Estimate At Completion])</f>
        <v>472888.38</v>
      </c>
      <c r="W26" s="184">
        <f ca="1">BudgetTrack[[#This Row],[Current Budget]]-BudgetTrack[[#This Row],[Estimate At Completion]]</f>
        <v>0</v>
      </c>
      <c r="X26" s="42">
        <f ca="1">SUMIFS(CostTrack[Value],CostTrack[PA ID],BudgetTrack[[#This Row],[PA ID]],CostTrack[Holdback (Y/N/R)],"&lt;&gt;Release",CostTrack[Status],"Approved")</f>
        <v>472888.38</v>
      </c>
      <c r="Y26" s="42">
        <f ca="1">SUMPRODUCT(ChangeTrack[Change Value],--(ChangeTrack[Change Status]="Approved"),--(ChangeTrack[PA ID]=BudgetTrack[[#This Row],[PA ID]]),--(ChangeTrack[PA ID]&lt;&gt;""))</f>
        <v>-2111.62</v>
      </c>
      <c r="AA26" s="382"/>
    </row>
    <row r="27" spans="1:27" s="4" customFormat="1" hidden="1">
      <c r="A27" s="90">
        <f t="shared" si="1"/>
        <v>21</v>
      </c>
      <c r="B27" s="118" t="str">
        <f ca="1">CONCATENATE(IFERROR(INDEX(Validations!$B$11:$B$16,MATCH(C27,Primary,0)),""),IFERROR(OFFSET(INDEX(INDIRECT(SUBSTITUTE(C27," ","")),MATCH(D27,INDIRECT(SUBSTITUTE(C27," ","")),0)),0,-1),""),IFERROR(INDEX(Validations!$I$12:$I$32,MATCH(E27,Validations!$H$12:$H$32,0)),""),IFERROR(INDEX(Validations!$I$12:$I$32,MATCH(F27,Validations!$H$12:$H$32,0)),""),IFERROR(INDEX(Validations!$M$11:$M$16,MATCH(G27,Validations!$J$11:$J$16,0)),""))</f>
        <v/>
      </c>
      <c r="C27" s="88"/>
      <c r="D27" s="82"/>
      <c r="E27" s="79"/>
      <c r="F27" s="79"/>
      <c r="G27" s="79"/>
      <c r="H27" s="300"/>
      <c r="I27" s="294"/>
      <c r="J27" s="294"/>
      <c r="K27" s="294"/>
      <c r="L27" s="294"/>
      <c r="M27" s="294"/>
      <c r="N27" s="294"/>
      <c r="O27" s="294"/>
      <c r="P27" s="294"/>
      <c r="Q27" s="294"/>
      <c r="R27" s="294"/>
      <c r="T27" s="42">
        <f t="shared" si="0"/>
        <v>0</v>
      </c>
      <c r="V27" s="42">
        <f ca="1">SUMIF(EAC[PA ID],BudgetTrack[[#This Row],[PA ID]],EAC[Estimate At Completion])</f>
        <v>0</v>
      </c>
      <c r="W27" s="184">
        <f ca="1">BudgetTrack[[#This Row],[Current Budget]]-BudgetTrack[[#This Row],[Estimate At Completion]]</f>
        <v>0</v>
      </c>
      <c r="X27" s="42">
        <f ca="1">SUMIFS(CostTrack[Value],CostTrack[PA ID],BudgetTrack[[#This Row],[PA ID]],CostTrack[Holdback (Y/N/R)],"&lt;&gt;Release",CostTrack[Status],"Approved")</f>
        <v>0</v>
      </c>
      <c r="Y27" s="42">
        <f ca="1">SUMPRODUCT(ChangeTrack[Change Value],--(ChangeTrack[Change Status]="Approved"),--(ChangeTrack[PA ID]=BudgetTrack[[#This Row],[PA ID]]),--(ChangeTrack[PA ID]&lt;&gt;""))</f>
        <v>0</v>
      </c>
      <c r="AA27" s="382"/>
    </row>
    <row r="28" spans="1:27" s="4" customFormat="1" hidden="1">
      <c r="A28" s="90">
        <f t="shared" si="1"/>
        <v>22</v>
      </c>
      <c r="B28" s="118" t="str">
        <f ca="1">CONCATENATE(IFERROR(INDEX(Validations!$B$11:$B$16,MATCH(C28,Primary,0)),""),IFERROR(OFFSET(INDEX(INDIRECT(SUBSTITUTE(C28," ","")),MATCH(D28,INDIRECT(SUBSTITUTE(C28," ","")),0)),0,-1),""),IFERROR(INDEX(Validations!$I$12:$I$32,MATCH(E28,Validations!$H$12:$H$32,0)),""),IFERROR(INDEX(Validations!$I$12:$I$32,MATCH(F28,Validations!$H$12:$H$32,0)),""),IFERROR(INDEX(Validations!$M$11:$M$16,MATCH(G28,Validations!$J$11:$J$16,0)),""))</f>
        <v/>
      </c>
      <c r="C28" s="88"/>
      <c r="D28" s="82"/>
      <c r="E28" s="79"/>
      <c r="F28" s="79"/>
      <c r="G28" s="79"/>
      <c r="H28" s="300"/>
      <c r="I28" s="294"/>
      <c r="J28" s="294"/>
      <c r="K28" s="294"/>
      <c r="L28" s="294"/>
      <c r="M28" s="294"/>
      <c r="N28" s="294"/>
      <c r="O28" s="294"/>
      <c r="P28" s="294"/>
      <c r="Q28" s="294"/>
      <c r="R28" s="294"/>
      <c r="T28" s="42">
        <f t="shared" si="0"/>
        <v>0</v>
      </c>
      <c r="V28" s="42">
        <f ca="1">SUMIF(EAC[PA ID],BudgetTrack[[#This Row],[PA ID]],EAC[Estimate At Completion])</f>
        <v>0</v>
      </c>
      <c r="W28" s="184">
        <f ca="1">BudgetTrack[[#This Row],[Current Budget]]-BudgetTrack[[#This Row],[Estimate At Completion]]</f>
        <v>0</v>
      </c>
      <c r="X28" s="42">
        <f ca="1">SUMIFS(CostTrack[Value],CostTrack[PA ID],BudgetTrack[[#This Row],[PA ID]],CostTrack[Holdback (Y/N/R)],"&lt;&gt;Release",CostTrack[Status],"Approved")</f>
        <v>0</v>
      </c>
      <c r="Y28" s="42">
        <f ca="1">SUMPRODUCT(ChangeTrack[Change Value],--(ChangeTrack[Change Status]="Approved"),--(ChangeTrack[PA ID]=BudgetTrack[[#This Row],[PA ID]]),--(ChangeTrack[PA ID]&lt;&gt;""))</f>
        <v>0</v>
      </c>
      <c r="AA28" s="382"/>
    </row>
    <row r="29" spans="1:27" s="4" customFormat="1" hidden="1">
      <c r="A29" s="90">
        <f t="shared" si="1"/>
        <v>23</v>
      </c>
      <c r="B29" s="118" t="str">
        <f ca="1">CONCATENATE(IFERROR(INDEX(Validations!$B$11:$B$16,MATCH(C29,Primary,0)),""),IFERROR(OFFSET(INDEX(INDIRECT(SUBSTITUTE(C29," ","")),MATCH(D29,INDIRECT(SUBSTITUTE(C29," ","")),0)),0,-1),""),IFERROR(INDEX(Validations!$I$12:$I$32,MATCH(E29,Validations!$H$12:$H$32,0)),""),IFERROR(INDEX(Validations!$I$12:$I$32,MATCH(F29,Validations!$H$12:$H$32,0)),""),IFERROR(INDEX(Validations!$M$11:$M$16,MATCH(G29,Validations!$J$11:$J$16,0)),""))</f>
        <v/>
      </c>
      <c r="C29" s="88"/>
      <c r="D29" s="82"/>
      <c r="E29" s="79"/>
      <c r="F29" s="79"/>
      <c r="G29" s="79"/>
      <c r="H29" s="300"/>
      <c r="I29" s="294"/>
      <c r="J29" s="294"/>
      <c r="K29" s="294"/>
      <c r="L29" s="294"/>
      <c r="M29" s="294"/>
      <c r="N29" s="294"/>
      <c r="O29" s="294"/>
      <c r="P29" s="294"/>
      <c r="Q29" s="294"/>
      <c r="R29" s="294"/>
      <c r="T29" s="42">
        <f t="shared" si="0"/>
        <v>0</v>
      </c>
      <c r="V29" s="42">
        <f ca="1">SUMIF(EAC[PA ID],BudgetTrack[[#This Row],[PA ID]],EAC[Estimate At Completion])</f>
        <v>0</v>
      </c>
      <c r="W29" s="184">
        <f ca="1">BudgetTrack[[#This Row],[Current Budget]]-BudgetTrack[[#This Row],[Estimate At Completion]]</f>
        <v>0</v>
      </c>
      <c r="X29" s="42">
        <f ca="1">SUMIFS(CostTrack[Value],CostTrack[PA ID],BudgetTrack[[#This Row],[PA ID]],CostTrack[Holdback (Y/N/R)],"&lt;&gt;Release",CostTrack[Status],"Approved")</f>
        <v>0</v>
      </c>
      <c r="Y29" s="42">
        <f ca="1">SUMPRODUCT(ChangeTrack[Change Value],--(ChangeTrack[Change Status]="Approved"),--(ChangeTrack[PA ID]=BudgetTrack[[#This Row],[PA ID]]),--(ChangeTrack[PA ID]&lt;&gt;""))</f>
        <v>0</v>
      </c>
      <c r="AA29" s="382"/>
    </row>
    <row r="30" spans="1:27" s="4" customFormat="1" hidden="1">
      <c r="A30" s="90">
        <f t="shared" si="1"/>
        <v>24</v>
      </c>
      <c r="B30" s="118" t="str">
        <f ca="1">CONCATENATE(IFERROR(INDEX(Validations!$B$11:$B$16,MATCH(C30,Primary,0)),""),IFERROR(OFFSET(INDEX(INDIRECT(SUBSTITUTE(C30," ","")),MATCH(D30,INDIRECT(SUBSTITUTE(C30," ","")),0)),0,-1),""),IFERROR(INDEX(Validations!$I$12:$I$32,MATCH(E30,Validations!$H$12:$H$32,0)),""),IFERROR(INDEX(Validations!$I$12:$I$32,MATCH(F30,Validations!$H$12:$H$32,0)),""),IFERROR(INDEX(Validations!$M$11:$M$16,MATCH(G30,Validations!$J$11:$J$16,0)),""))</f>
        <v/>
      </c>
      <c r="C30" s="88"/>
      <c r="D30" s="82"/>
      <c r="E30" s="79"/>
      <c r="F30" s="79"/>
      <c r="G30" s="79"/>
      <c r="H30" s="300"/>
      <c r="I30" s="294"/>
      <c r="J30" s="294"/>
      <c r="K30" s="294"/>
      <c r="L30" s="294"/>
      <c r="M30" s="294"/>
      <c r="N30" s="294"/>
      <c r="O30" s="294"/>
      <c r="P30" s="294"/>
      <c r="Q30" s="294"/>
      <c r="R30" s="294"/>
      <c r="T30" s="42">
        <f t="shared" si="0"/>
        <v>0</v>
      </c>
      <c r="V30" s="42">
        <f ca="1">SUMIF(EAC[PA ID],BudgetTrack[[#This Row],[PA ID]],EAC[Estimate At Completion])</f>
        <v>0</v>
      </c>
      <c r="W30" s="184">
        <f ca="1">BudgetTrack[[#This Row],[Current Budget]]-BudgetTrack[[#This Row],[Estimate At Completion]]</f>
        <v>0</v>
      </c>
      <c r="X30" s="42">
        <f ca="1">SUMIFS(CostTrack[Value],CostTrack[PA ID],BudgetTrack[[#This Row],[PA ID]],CostTrack[Holdback (Y/N/R)],"&lt;&gt;Release",CostTrack[Status],"Approved")</f>
        <v>0</v>
      </c>
      <c r="Y30" s="42">
        <f ca="1">SUMPRODUCT(ChangeTrack[Change Value],--(ChangeTrack[Change Status]="Approved"),--(ChangeTrack[PA ID]=BudgetTrack[[#This Row],[PA ID]]),--(ChangeTrack[PA ID]&lt;&gt;""))</f>
        <v>0</v>
      </c>
      <c r="AA30" s="382"/>
    </row>
    <row r="31" spans="1:27" s="4" customFormat="1" hidden="1">
      <c r="A31" s="90">
        <f t="shared" si="1"/>
        <v>25</v>
      </c>
      <c r="B31" s="118" t="str">
        <f ca="1">CONCATENATE(IFERROR(INDEX(Validations!$B$11:$B$16,MATCH(C31,Primary,0)),""),IFERROR(OFFSET(INDEX(INDIRECT(SUBSTITUTE(C31," ","")),MATCH(D31,INDIRECT(SUBSTITUTE(C31," ","")),0)),0,-1),""),IFERROR(INDEX(Validations!$I$12:$I$32,MATCH(E31,Validations!$H$12:$H$32,0)),""),IFERROR(INDEX(Validations!$I$12:$I$32,MATCH(F31,Validations!$H$12:$H$32,0)),""),IFERROR(INDEX(Validations!$M$11:$M$16,MATCH(G31,Validations!$J$11:$J$16,0)),""))</f>
        <v/>
      </c>
      <c r="C31" s="88"/>
      <c r="D31" s="82"/>
      <c r="E31" s="79"/>
      <c r="F31" s="79"/>
      <c r="G31" s="79"/>
      <c r="H31" s="300"/>
      <c r="I31" s="294"/>
      <c r="J31" s="294"/>
      <c r="K31" s="294"/>
      <c r="L31" s="294"/>
      <c r="M31" s="294"/>
      <c r="N31" s="294"/>
      <c r="O31" s="294"/>
      <c r="P31" s="294"/>
      <c r="Q31" s="294"/>
      <c r="R31" s="294"/>
      <c r="T31" s="42">
        <f t="shared" si="0"/>
        <v>0</v>
      </c>
      <c r="V31" s="42">
        <f ca="1">SUMIF(EAC[PA ID],BudgetTrack[[#This Row],[PA ID]],EAC[Estimate At Completion])</f>
        <v>0</v>
      </c>
      <c r="W31" s="184">
        <f ca="1">BudgetTrack[[#This Row],[Current Budget]]-BudgetTrack[[#This Row],[Estimate At Completion]]</f>
        <v>0</v>
      </c>
      <c r="X31" s="42">
        <f ca="1">SUMIFS(CostTrack[Value],CostTrack[PA ID],BudgetTrack[[#This Row],[PA ID]],CostTrack[Holdback (Y/N/R)],"&lt;&gt;Release",CostTrack[Status],"Approved")</f>
        <v>0</v>
      </c>
      <c r="Y31" s="42">
        <f ca="1">SUMPRODUCT(ChangeTrack[Change Value],--(ChangeTrack[Change Status]="Approved"),--(ChangeTrack[PA ID]=BudgetTrack[[#This Row],[PA ID]]),--(ChangeTrack[PA ID]&lt;&gt;""))</f>
        <v>0</v>
      </c>
      <c r="AA31" s="382"/>
    </row>
    <row r="32" spans="1:27" s="4" customFormat="1" hidden="1">
      <c r="A32" s="90">
        <f t="shared" si="1"/>
        <v>26</v>
      </c>
      <c r="B32" s="118" t="str">
        <f ca="1">CONCATENATE(IFERROR(INDEX(Validations!$B$11:$B$16,MATCH(C32,Primary,0)),""),IFERROR(OFFSET(INDEX(INDIRECT(SUBSTITUTE(C32," ","")),MATCH(D32,INDIRECT(SUBSTITUTE(C32," ","")),0)),0,-1),""),IFERROR(INDEX(Validations!$I$12:$I$32,MATCH(E32,Validations!$H$12:$H$32,0)),""),IFERROR(INDEX(Validations!$I$12:$I$32,MATCH(F32,Validations!$H$12:$H$32,0)),""),IFERROR(INDEX(Validations!$M$11:$M$16,MATCH(G32,Validations!$J$11:$J$16,0)),""))</f>
        <v/>
      </c>
      <c r="C32" s="88"/>
      <c r="D32" s="82"/>
      <c r="E32" s="79"/>
      <c r="F32" s="79"/>
      <c r="G32" s="79"/>
      <c r="H32" s="300"/>
      <c r="I32" s="294"/>
      <c r="J32" s="294"/>
      <c r="K32" s="294"/>
      <c r="L32" s="294"/>
      <c r="M32" s="294"/>
      <c r="N32" s="294"/>
      <c r="O32" s="294"/>
      <c r="P32" s="294"/>
      <c r="Q32" s="294"/>
      <c r="R32" s="294"/>
      <c r="T32" s="42">
        <f t="shared" si="0"/>
        <v>0</v>
      </c>
      <c r="V32" s="42">
        <f ca="1">SUMIF(EAC[PA ID],BudgetTrack[[#This Row],[PA ID]],EAC[Estimate At Completion])</f>
        <v>0</v>
      </c>
      <c r="W32" s="184">
        <f ca="1">BudgetTrack[[#This Row],[Current Budget]]-BudgetTrack[[#This Row],[Estimate At Completion]]</f>
        <v>0</v>
      </c>
      <c r="X32" s="42">
        <f ca="1">SUMIFS(CostTrack[Value],CostTrack[PA ID],BudgetTrack[[#This Row],[PA ID]],CostTrack[Holdback (Y/N/R)],"&lt;&gt;Release",CostTrack[Status],"Approved")</f>
        <v>0</v>
      </c>
      <c r="Y32" s="42">
        <f ca="1">SUMPRODUCT(ChangeTrack[Change Value],--(ChangeTrack[Change Status]="Approved"),--(ChangeTrack[PA ID]=BudgetTrack[[#This Row],[PA ID]]),--(ChangeTrack[PA ID]&lt;&gt;""))</f>
        <v>0</v>
      </c>
      <c r="AA32" s="382"/>
    </row>
    <row r="33" spans="1:27" s="4" customFormat="1" hidden="1">
      <c r="A33" s="90">
        <f t="shared" si="1"/>
        <v>27</v>
      </c>
      <c r="B33" s="118" t="str">
        <f ca="1">CONCATENATE(IFERROR(INDEX(Validations!$B$11:$B$16,MATCH(C33,Primary,0)),""),IFERROR(OFFSET(INDEX(INDIRECT(SUBSTITUTE(C33," ","")),MATCH(D33,INDIRECT(SUBSTITUTE(C33," ","")),0)),0,-1),""),IFERROR(INDEX(Validations!$I$12:$I$32,MATCH(E33,Validations!$H$12:$H$32,0)),""),IFERROR(INDEX(Validations!$I$12:$I$32,MATCH(F33,Validations!$H$12:$H$32,0)),""),IFERROR(INDEX(Validations!$M$11:$M$16,MATCH(G33,Validations!$J$11:$J$16,0)),""))</f>
        <v/>
      </c>
      <c r="C33" s="88"/>
      <c r="D33" s="82"/>
      <c r="E33" s="79"/>
      <c r="F33" s="79"/>
      <c r="G33" s="79"/>
      <c r="H33" s="300"/>
      <c r="I33" s="294"/>
      <c r="J33" s="294"/>
      <c r="K33" s="294"/>
      <c r="L33" s="294"/>
      <c r="M33" s="294"/>
      <c r="N33" s="294"/>
      <c r="O33" s="294"/>
      <c r="P33" s="294"/>
      <c r="Q33" s="294"/>
      <c r="R33" s="294"/>
      <c r="T33" s="42">
        <f t="shared" si="0"/>
        <v>0</v>
      </c>
      <c r="V33" s="42">
        <f ca="1">SUMIF(EAC[PA ID],BudgetTrack[[#This Row],[PA ID]],EAC[Estimate At Completion])</f>
        <v>0</v>
      </c>
      <c r="W33" s="184">
        <f ca="1">BudgetTrack[[#This Row],[Current Budget]]-BudgetTrack[[#This Row],[Estimate At Completion]]</f>
        <v>0</v>
      </c>
      <c r="X33" s="42">
        <f ca="1">SUMIFS(CostTrack[Value],CostTrack[PA ID],BudgetTrack[[#This Row],[PA ID]],CostTrack[Holdback (Y/N/R)],"&lt;&gt;Release",CostTrack[Status],"Approved")</f>
        <v>0</v>
      </c>
      <c r="Y33" s="42">
        <f ca="1">SUMPRODUCT(ChangeTrack[Change Value],--(ChangeTrack[Change Status]="Approved"),--(ChangeTrack[PA ID]=BudgetTrack[[#This Row],[PA ID]]),--(ChangeTrack[PA ID]&lt;&gt;""))</f>
        <v>0</v>
      </c>
      <c r="AA33" s="382"/>
    </row>
    <row r="34" spans="1:27" s="4" customFormat="1" hidden="1">
      <c r="A34" s="90">
        <f t="shared" si="1"/>
        <v>28</v>
      </c>
      <c r="B34" s="118" t="str">
        <f ca="1">CONCATENATE(IFERROR(INDEX(Validations!$B$11:$B$16,MATCH(C34,Primary,0)),""),IFERROR(OFFSET(INDEX(INDIRECT(SUBSTITUTE(C34," ","")),MATCH(D34,INDIRECT(SUBSTITUTE(C34," ","")),0)),0,-1),""),IFERROR(INDEX(Validations!$I$12:$I$32,MATCH(E34,Validations!$H$12:$H$32,0)),""),IFERROR(INDEX(Validations!$I$12:$I$32,MATCH(F34,Validations!$H$12:$H$32,0)),""),IFERROR(INDEX(Validations!$M$11:$M$16,MATCH(G34,Validations!$J$11:$J$16,0)),""))</f>
        <v/>
      </c>
      <c r="C34" s="88"/>
      <c r="D34" s="82"/>
      <c r="E34" s="79"/>
      <c r="F34" s="79"/>
      <c r="G34" s="79"/>
      <c r="H34" s="300"/>
      <c r="I34" s="294"/>
      <c r="J34" s="294"/>
      <c r="K34" s="294"/>
      <c r="L34" s="294"/>
      <c r="M34" s="294"/>
      <c r="N34" s="294"/>
      <c r="O34" s="294"/>
      <c r="P34" s="294"/>
      <c r="Q34" s="294"/>
      <c r="R34" s="294"/>
      <c r="T34" s="42">
        <f t="shared" si="0"/>
        <v>0</v>
      </c>
      <c r="V34" s="42">
        <f ca="1">SUMIF(EAC[PA ID],BudgetTrack[[#This Row],[PA ID]],EAC[Estimate At Completion])</f>
        <v>0</v>
      </c>
      <c r="W34" s="184">
        <f ca="1">BudgetTrack[[#This Row],[Current Budget]]-BudgetTrack[[#This Row],[Estimate At Completion]]</f>
        <v>0</v>
      </c>
      <c r="X34" s="42">
        <f ca="1">SUMIFS(CostTrack[Value],CostTrack[PA ID],BudgetTrack[[#This Row],[PA ID]],CostTrack[Holdback (Y/N/R)],"&lt;&gt;Release",CostTrack[Status],"Approved")</f>
        <v>0</v>
      </c>
      <c r="Y34" s="42">
        <f ca="1">SUMPRODUCT(ChangeTrack[Change Value],--(ChangeTrack[Change Status]="Approved"),--(ChangeTrack[PA ID]=BudgetTrack[[#This Row],[PA ID]]),--(ChangeTrack[PA ID]&lt;&gt;""))</f>
        <v>0</v>
      </c>
      <c r="AA34" s="382"/>
    </row>
    <row r="35" spans="1:27" s="4" customFormat="1" hidden="1">
      <c r="A35" s="90">
        <f t="shared" si="1"/>
        <v>29</v>
      </c>
      <c r="B35" s="118" t="str">
        <f ca="1">CONCATENATE(IFERROR(INDEX(Validations!$B$11:$B$16,MATCH(C35,Primary,0)),""),IFERROR(OFFSET(INDEX(INDIRECT(SUBSTITUTE(C35," ","")),MATCH(D35,INDIRECT(SUBSTITUTE(C35," ","")),0)),0,-1),""),IFERROR(INDEX(Validations!$I$12:$I$32,MATCH(E35,Validations!$H$12:$H$32,0)),""),IFERROR(INDEX(Validations!$I$12:$I$32,MATCH(F35,Validations!$H$12:$H$32,0)),""),IFERROR(INDEX(Validations!$M$11:$M$16,MATCH(G35,Validations!$J$11:$J$16,0)),""))</f>
        <v/>
      </c>
      <c r="C35" s="88"/>
      <c r="D35" s="82"/>
      <c r="E35" s="79"/>
      <c r="F35" s="79"/>
      <c r="G35" s="79"/>
      <c r="H35" s="300"/>
      <c r="I35" s="294"/>
      <c r="J35" s="294"/>
      <c r="K35" s="294"/>
      <c r="L35" s="294"/>
      <c r="M35" s="294"/>
      <c r="N35" s="294"/>
      <c r="O35" s="294"/>
      <c r="P35" s="294"/>
      <c r="Q35" s="294"/>
      <c r="R35" s="294"/>
      <c r="T35" s="42">
        <f t="shared" si="0"/>
        <v>0</v>
      </c>
      <c r="V35" s="42">
        <f ca="1">SUMIF(EAC[PA ID],BudgetTrack[[#This Row],[PA ID]],EAC[Estimate At Completion])</f>
        <v>0</v>
      </c>
      <c r="W35" s="184">
        <f ca="1">BudgetTrack[[#This Row],[Current Budget]]-BudgetTrack[[#This Row],[Estimate At Completion]]</f>
        <v>0</v>
      </c>
      <c r="X35" s="42">
        <f ca="1">SUMIFS(CostTrack[Value],CostTrack[PA ID],BudgetTrack[[#This Row],[PA ID]],CostTrack[Holdback (Y/N/R)],"&lt;&gt;Release",CostTrack[Status],"Approved")</f>
        <v>0</v>
      </c>
      <c r="Y35" s="42">
        <f ca="1">SUMPRODUCT(ChangeTrack[Change Value],--(ChangeTrack[Change Status]="Approved"),--(ChangeTrack[PA ID]=BudgetTrack[[#This Row],[PA ID]]),--(ChangeTrack[PA ID]&lt;&gt;""))</f>
        <v>0</v>
      </c>
      <c r="AA35" s="382"/>
    </row>
    <row r="36" spans="1:27" s="4" customFormat="1" hidden="1">
      <c r="A36" s="90">
        <f t="shared" si="1"/>
        <v>30</v>
      </c>
      <c r="B36" s="118" t="str">
        <f ca="1">CONCATENATE(IFERROR(INDEX(Validations!$B$11:$B$16,MATCH(C36,Primary,0)),""),IFERROR(OFFSET(INDEX(INDIRECT(SUBSTITUTE(C36," ","")),MATCH(D36,INDIRECT(SUBSTITUTE(C36," ","")),0)),0,-1),""),IFERROR(INDEX(Validations!$I$12:$I$32,MATCH(E36,Validations!$H$12:$H$32,0)),""),IFERROR(INDEX(Validations!$I$12:$I$32,MATCH(F36,Validations!$H$12:$H$32,0)),""),IFERROR(INDEX(Validations!$M$11:$M$16,MATCH(G36,Validations!$J$11:$J$16,0)),""))</f>
        <v/>
      </c>
      <c r="C36" s="88"/>
      <c r="D36" s="82"/>
      <c r="E36" s="79"/>
      <c r="F36" s="79"/>
      <c r="G36" s="79"/>
      <c r="H36" s="300"/>
      <c r="I36" s="294"/>
      <c r="J36" s="294"/>
      <c r="K36" s="294"/>
      <c r="L36" s="294"/>
      <c r="M36" s="294"/>
      <c r="N36" s="294"/>
      <c r="O36" s="294"/>
      <c r="P36" s="294"/>
      <c r="Q36" s="294"/>
      <c r="R36" s="294"/>
      <c r="T36" s="42">
        <f t="shared" si="0"/>
        <v>0</v>
      </c>
      <c r="V36" s="42">
        <f ca="1">SUMIF(EAC[PA ID],BudgetTrack[[#This Row],[PA ID]],EAC[Estimate At Completion])</f>
        <v>0</v>
      </c>
      <c r="W36" s="184">
        <f ca="1">BudgetTrack[[#This Row],[Current Budget]]-BudgetTrack[[#This Row],[Estimate At Completion]]</f>
        <v>0</v>
      </c>
      <c r="X36" s="42">
        <f ca="1">SUMIFS(CostTrack[Value],CostTrack[PA ID],BudgetTrack[[#This Row],[PA ID]],CostTrack[Holdback (Y/N/R)],"&lt;&gt;Release",CostTrack[Status],"Approved")</f>
        <v>0</v>
      </c>
      <c r="Y36" s="42">
        <f ca="1">SUMPRODUCT(ChangeTrack[Change Value],--(ChangeTrack[Change Status]="Approved"),--(ChangeTrack[PA ID]=BudgetTrack[[#This Row],[PA ID]]),--(ChangeTrack[PA ID]&lt;&gt;""))</f>
        <v>0</v>
      </c>
      <c r="AA36" s="382"/>
    </row>
    <row r="37" spans="1:27" s="4" customFormat="1" hidden="1">
      <c r="A37" s="90">
        <f t="shared" si="1"/>
        <v>31</v>
      </c>
      <c r="B37" s="118" t="str">
        <f ca="1">CONCATENATE(IFERROR(INDEX(Validations!$B$11:$B$16,MATCH(C37,Primary,0)),""),IFERROR(OFFSET(INDEX(INDIRECT(SUBSTITUTE(C37," ","")),MATCH(D37,INDIRECT(SUBSTITUTE(C37," ","")),0)),0,-1),""),IFERROR(INDEX(Validations!$I$12:$I$32,MATCH(E37,Validations!$H$12:$H$32,0)),""),IFERROR(INDEX(Validations!$I$12:$I$32,MATCH(F37,Validations!$H$12:$H$32,0)),""),IFERROR(INDEX(Validations!$M$11:$M$16,MATCH(G37,Validations!$J$11:$J$16,0)),""))</f>
        <v/>
      </c>
      <c r="C37" s="88"/>
      <c r="D37" s="82"/>
      <c r="E37" s="79"/>
      <c r="F37" s="79"/>
      <c r="G37" s="79"/>
      <c r="H37" s="300"/>
      <c r="I37" s="294"/>
      <c r="J37" s="294"/>
      <c r="K37" s="294"/>
      <c r="L37" s="294"/>
      <c r="M37" s="294"/>
      <c r="N37" s="294"/>
      <c r="O37" s="294"/>
      <c r="P37" s="294"/>
      <c r="Q37" s="294"/>
      <c r="R37" s="294"/>
      <c r="T37" s="42">
        <f t="shared" si="0"/>
        <v>0</v>
      </c>
      <c r="V37" s="42">
        <f ca="1">SUMIF(EAC[PA ID],BudgetTrack[[#This Row],[PA ID]],EAC[Estimate At Completion])</f>
        <v>0</v>
      </c>
      <c r="W37" s="184">
        <f ca="1">BudgetTrack[[#This Row],[Current Budget]]-BudgetTrack[[#This Row],[Estimate At Completion]]</f>
        <v>0</v>
      </c>
      <c r="X37" s="42">
        <f ca="1">SUMIFS(CostTrack[Value],CostTrack[PA ID],BudgetTrack[[#This Row],[PA ID]],CostTrack[Holdback (Y/N/R)],"&lt;&gt;Release",CostTrack[Status],"Approved")</f>
        <v>0</v>
      </c>
      <c r="Y37" s="42">
        <f ca="1">SUMPRODUCT(ChangeTrack[Change Value],--(ChangeTrack[Change Status]="Approved"),--(ChangeTrack[PA ID]=BudgetTrack[[#This Row],[PA ID]]),--(ChangeTrack[PA ID]&lt;&gt;""))</f>
        <v>0</v>
      </c>
      <c r="AA37" s="382"/>
    </row>
    <row r="38" spans="1:27" s="4" customFormat="1" hidden="1">
      <c r="A38" s="90">
        <f t="shared" si="1"/>
        <v>32</v>
      </c>
      <c r="B38" s="118" t="str">
        <f ca="1">CONCATENATE(IFERROR(INDEX(Validations!$B$11:$B$16,MATCH(C38,Primary,0)),""),IFERROR(OFFSET(INDEX(INDIRECT(SUBSTITUTE(C38," ","")),MATCH(D38,INDIRECT(SUBSTITUTE(C38," ","")),0)),0,-1),""),IFERROR(INDEX(Validations!$I$12:$I$32,MATCH(E38,Validations!$H$12:$H$32,0)),""),IFERROR(INDEX(Validations!$I$12:$I$32,MATCH(F38,Validations!$H$12:$H$32,0)),""),IFERROR(INDEX(Validations!$M$11:$M$16,MATCH(G38,Validations!$J$11:$J$16,0)),""))</f>
        <v/>
      </c>
      <c r="C38" s="88"/>
      <c r="D38" s="82"/>
      <c r="E38" s="79"/>
      <c r="F38" s="79"/>
      <c r="G38" s="79"/>
      <c r="H38" s="300"/>
      <c r="I38" s="294"/>
      <c r="J38" s="294"/>
      <c r="K38" s="294"/>
      <c r="L38" s="294"/>
      <c r="M38" s="294"/>
      <c r="N38" s="294"/>
      <c r="O38" s="294"/>
      <c r="P38" s="294"/>
      <c r="Q38" s="294"/>
      <c r="R38" s="294"/>
      <c r="T38" s="42">
        <f t="shared" si="0"/>
        <v>0</v>
      </c>
      <c r="V38" s="42">
        <f ca="1">SUMIF(EAC[PA ID],BudgetTrack[[#This Row],[PA ID]],EAC[Estimate At Completion])</f>
        <v>0</v>
      </c>
      <c r="W38" s="184">
        <f ca="1">BudgetTrack[[#This Row],[Current Budget]]-BudgetTrack[[#This Row],[Estimate At Completion]]</f>
        <v>0</v>
      </c>
      <c r="X38" s="42">
        <f ca="1">SUMIFS(CostTrack[Value],CostTrack[PA ID],BudgetTrack[[#This Row],[PA ID]],CostTrack[Holdback (Y/N/R)],"&lt;&gt;Release",CostTrack[Status],"Approved")</f>
        <v>0</v>
      </c>
      <c r="Y38" s="42">
        <f ca="1">SUMPRODUCT(ChangeTrack[Change Value],--(ChangeTrack[Change Status]="Approved"),--(ChangeTrack[PA ID]=BudgetTrack[[#This Row],[PA ID]]),--(ChangeTrack[PA ID]&lt;&gt;""))</f>
        <v>0</v>
      </c>
      <c r="AA38" s="382"/>
    </row>
    <row r="39" spans="1:27" s="4" customFormat="1" hidden="1">
      <c r="A39" s="90">
        <f t="shared" si="1"/>
        <v>33</v>
      </c>
      <c r="B39" s="118" t="str">
        <f ca="1">CONCATENATE(IFERROR(INDEX(Validations!$B$11:$B$16,MATCH(C39,Primary,0)),""),IFERROR(OFFSET(INDEX(INDIRECT(SUBSTITUTE(C39," ","")),MATCH(D39,INDIRECT(SUBSTITUTE(C39," ","")),0)),0,-1),""),IFERROR(INDEX(Validations!$I$12:$I$32,MATCH(E39,Validations!$H$12:$H$32,0)),""),IFERROR(INDEX(Validations!$I$12:$I$32,MATCH(F39,Validations!$H$12:$H$32,0)),""),IFERROR(INDEX(Validations!$M$11:$M$16,MATCH(G39,Validations!$J$11:$J$16,0)),""))</f>
        <v/>
      </c>
      <c r="C39" s="88"/>
      <c r="D39" s="82"/>
      <c r="E39" s="79"/>
      <c r="F39" s="79"/>
      <c r="G39" s="79"/>
      <c r="H39" s="300"/>
      <c r="I39" s="294"/>
      <c r="J39" s="294"/>
      <c r="K39" s="294"/>
      <c r="L39" s="294"/>
      <c r="M39" s="294"/>
      <c r="N39" s="294"/>
      <c r="O39" s="294"/>
      <c r="P39" s="294"/>
      <c r="Q39" s="294"/>
      <c r="R39" s="294"/>
      <c r="T39" s="42">
        <f t="shared" ref="T39:T66" si="2">SUM(H39:S39)</f>
        <v>0</v>
      </c>
      <c r="V39" s="42">
        <f ca="1">SUMIF(EAC[PA ID],BudgetTrack[[#This Row],[PA ID]],EAC[Estimate At Completion])</f>
        <v>0</v>
      </c>
      <c r="W39" s="184">
        <f ca="1">BudgetTrack[[#This Row],[Current Budget]]-BudgetTrack[[#This Row],[Estimate At Completion]]</f>
        <v>0</v>
      </c>
      <c r="X39" s="42">
        <f ca="1">SUMIFS(CostTrack[Value],CostTrack[PA ID],BudgetTrack[[#This Row],[PA ID]],CostTrack[Holdback (Y/N/R)],"&lt;&gt;Release",CostTrack[Status],"Approved")</f>
        <v>0</v>
      </c>
      <c r="Y39" s="42">
        <f ca="1">SUMPRODUCT(ChangeTrack[Change Value],--(ChangeTrack[Change Status]="Approved"),--(ChangeTrack[PA ID]=BudgetTrack[[#This Row],[PA ID]]),--(ChangeTrack[PA ID]&lt;&gt;""))</f>
        <v>0</v>
      </c>
      <c r="AA39" s="382"/>
    </row>
    <row r="40" spans="1:27" s="4" customFormat="1" hidden="1">
      <c r="A40" s="90">
        <f t="shared" si="1"/>
        <v>34</v>
      </c>
      <c r="B40" s="118" t="str">
        <f ca="1">CONCATENATE(IFERROR(INDEX(Validations!$B$11:$B$16,MATCH(C40,Primary,0)),""),IFERROR(OFFSET(INDEX(INDIRECT(SUBSTITUTE(C40," ","")),MATCH(D40,INDIRECT(SUBSTITUTE(C40," ","")),0)),0,-1),""),IFERROR(INDEX(Validations!$I$12:$I$32,MATCH(E40,Validations!$H$12:$H$32,0)),""),IFERROR(INDEX(Validations!$I$12:$I$32,MATCH(F40,Validations!$H$12:$H$32,0)),""),IFERROR(INDEX(Validations!$M$11:$M$16,MATCH(G40,Validations!$J$11:$J$16,0)),""))</f>
        <v/>
      </c>
      <c r="C40" s="88"/>
      <c r="D40" s="82"/>
      <c r="E40" s="79"/>
      <c r="F40" s="79"/>
      <c r="G40" s="79"/>
      <c r="H40" s="300"/>
      <c r="I40" s="294"/>
      <c r="J40" s="294"/>
      <c r="K40" s="294"/>
      <c r="L40" s="294"/>
      <c r="M40" s="294"/>
      <c r="N40" s="294"/>
      <c r="O40" s="294"/>
      <c r="P40" s="294"/>
      <c r="Q40" s="294"/>
      <c r="R40" s="294"/>
      <c r="T40" s="42">
        <f t="shared" si="2"/>
        <v>0</v>
      </c>
      <c r="V40" s="42">
        <f ca="1">SUMIF(EAC[PA ID],BudgetTrack[[#This Row],[PA ID]],EAC[Estimate At Completion])</f>
        <v>0</v>
      </c>
      <c r="W40" s="184">
        <f ca="1">BudgetTrack[[#This Row],[Current Budget]]-BudgetTrack[[#This Row],[Estimate At Completion]]</f>
        <v>0</v>
      </c>
      <c r="X40" s="42">
        <f ca="1">SUMIFS(CostTrack[Value],CostTrack[PA ID],BudgetTrack[[#This Row],[PA ID]],CostTrack[Holdback (Y/N/R)],"&lt;&gt;Release",CostTrack[Status],"Approved")</f>
        <v>0</v>
      </c>
      <c r="Y40" s="42">
        <f ca="1">SUMPRODUCT(ChangeTrack[Change Value],--(ChangeTrack[Change Status]="Approved"),--(ChangeTrack[PA ID]=BudgetTrack[[#This Row],[PA ID]]),--(ChangeTrack[PA ID]&lt;&gt;""))</f>
        <v>0</v>
      </c>
      <c r="AA40" s="382"/>
    </row>
    <row r="41" spans="1:27" s="4" customFormat="1" hidden="1">
      <c r="A41" s="90">
        <f t="shared" si="1"/>
        <v>35</v>
      </c>
      <c r="B41" s="118" t="str">
        <f ca="1">CONCATENATE(IFERROR(INDEX(Validations!$B$11:$B$16,MATCH(C41,Primary,0)),""),IFERROR(OFFSET(INDEX(INDIRECT(SUBSTITUTE(C41," ","")),MATCH(D41,INDIRECT(SUBSTITUTE(C41," ","")),0)),0,-1),""),IFERROR(INDEX(Validations!$I$12:$I$32,MATCH(E41,Validations!$H$12:$H$32,0)),""),IFERROR(INDEX(Validations!$I$12:$I$32,MATCH(F41,Validations!$H$12:$H$32,0)),""),IFERROR(INDEX(Validations!$M$11:$M$16,MATCH(G41,Validations!$J$11:$J$16,0)),""))</f>
        <v/>
      </c>
      <c r="C41" s="88"/>
      <c r="D41" s="82"/>
      <c r="E41" s="79"/>
      <c r="F41" s="79"/>
      <c r="G41" s="79"/>
      <c r="H41" s="300"/>
      <c r="I41" s="294"/>
      <c r="J41" s="294"/>
      <c r="K41" s="294"/>
      <c r="L41" s="294"/>
      <c r="M41" s="294"/>
      <c r="N41" s="294"/>
      <c r="O41" s="294"/>
      <c r="P41" s="294"/>
      <c r="Q41" s="294"/>
      <c r="R41" s="294"/>
      <c r="T41" s="42">
        <f t="shared" si="2"/>
        <v>0</v>
      </c>
      <c r="V41" s="42">
        <f ca="1">SUMIF(EAC[PA ID],BudgetTrack[[#This Row],[PA ID]],EAC[Estimate At Completion])</f>
        <v>0</v>
      </c>
      <c r="W41" s="184">
        <f ca="1">BudgetTrack[[#This Row],[Current Budget]]-BudgetTrack[[#This Row],[Estimate At Completion]]</f>
        <v>0</v>
      </c>
      <c r="X41" s="42">
        <f ca="1">SUMIFS(CostTrack[Value],CostTrack[PA ID],BudgetTrack[[#This Row],[PA ID]],CostTrack[Holdback (Y/N/R)],"&lt;&gt;Release",CostTrack[Status],"Approved")</f>
        <v>0</v>
      </c>
      <c r="Y41" s="42">
        <f ca="1">SUMPRODUCT(ChangeTrack[Change Value],--(ChangeTrack[Change Status]="Approved"),--(ChangeTrack[PA ID]=BudgetTrack[[#This Row],[PA ID]]),--(ChangeTrack[PA ID]&lt;&gt;""))</f>
        <v>0</v>
      </c>
      <c r="AA41" s="382"/>
    </row>
    <row r="42" spans="1:27" s="4" customFormat="1" hidden="1">
      <c r="A42" s="90">
        <f t="shared" si="1"/>
        <v>36</v>
      </c>
      <c r="B42" s="118" t="str">
        <f ca="1">CONCATENATE(IFERROR(INDEX(Validations!$B$11:$B$16,MATCH(C42,Primary,0)),""),IFERROR(OFFSET(INDEX(INDIRECT(SUBSTITUTE(C42," ","")),MATCH(D42,INDIRECT(SUBSTITUTE(C42," ","")),0)),0,-1),""),IFERROR(INDEX(Validations!$I$12:$I$32,MATCH(E42,Validations!$H$12:$H$32,0)),""),IFERROR(INDEX(Validations!$I$12:$I$32,MATCH(F42,Validations!$H$12:$H$32,0)),""),IFERROR(INDEX(Validations!$M$11:$M$16,MATCH(G42,Validations!$J$11:$J$16,0)),""))</f>
        <v/>
      </c>
      <c r="C42" s="88"/>
      <c r="D42" s="82"/>
      <c r="E42" s="79"/>
      <c r="F42" s="79"/>
      <c r="G42" s="79"/>
      <c r="H42" s="300"/>
      <c r="I42" s="294"/>
      <c r="J42" s="294"/>
      <c r="K42" s="294"/>
      <c r="L42" s="294"/>
      <c r="M42" s="294"/>
      <c r="N42" s="294"/>
      <c r="O42" s="294"/>
      <c r="P42" s="294"/>
      <c r="Q42" s="294"/>
      <c r="R42" s="294"/>
      <c r="T42" s="42">
        <f t="shared" si="2"/>
        <v>0</v>
      </c>
      <c r="V42" s="42">
        <f ca="1">SUMIF(EAC[PA ID],BudgetTrack[[#This Row],[PA ID]],EAC[Estimate At Completion])</f>
        <v>0</v>
      </c>
      <c r="W42" s="184">
        <f ca="1">BudgetTrack[[#This Row],[Current Budget]]-BudgetTrack[[#This Row],[Estimate At Completion]]</f>
        <v>0</v>
      </c>
      <c r="X42" s="42">
        <f ca="1">SUMIFS(CostTrack[Value],CostTrack[PA ID],BudgetTrack[[#This Row],[PA ID]],CostTrack[Holdback (Y/N/R)],"&lt;&gt;Release",CostTrack[Status],"Approved")</f>
        <v>0</v>
      </c>
      <c r="Y42" s="42">
        <f ca="1">SUMPRODUCT(ChangeTrack[Change Value],--(ChangeTrack[Change Status]="Approved"),--(ChangeTrack[PA ID]=BudgetTrack[[#This Row],[PA ID]]),--(ChangeTrack[PA ID]&lt;&gt;""))</f>
        <v>0</v>
      </c>
      <c r="AA42" s="382"/>
    </row>
    <row r="43" spans="1:27" s="4" customFormat="1" hidden="1">
      <c r="A43" s="90">
        <f t="shared" si="1"/>
        <v>37</v>
      </c>
      <c r="B43" s="118" t="str">
        <f ca="1">CONCATENATE(IFERROR(INDEX(Validations!$B$11:$B$16,MATCH(C43,Primary,0)),""),IFERROR(OFFSET(INDEX(INDIRECT(SUBSTITUTE(C43," ","")),MATCH(D43,INDIRECT(SUBSTITUTE(C43," ","")),0)),0,-1),""),IFERROR(INDEX(Validations!$I$12:$I$32,MATCH(E43,Validations!$H$12:$H$32,0)),""),IFERROR(INDEX(Validations!$I$12:$I$32,MATCH(F43,Validations!$H$12:$H$32,0)),""),IFERROR(INDEX(Validations!$M$11:$M$16,MATCH(G43,Validations!$J$11:$J$16,0)),""))</f>
        <v/>
      </c>
      <c r="C43" s="88"/>
      <c r="D43" s="82"/>
      <c r="E43" s="79"/>
      <c r="F43" s="79"/>
      <c r="G43" s="79"/>
      <c r="H43" s="300"/>
      <c r="I43" s="294"/>
      <c r="J43" s="294"/>
      <c r="K43" s="294"/>
      <c r="L43" s="294"/>
      <c r="M43" s="294"/>
      <c r="N43" s="294"/>
      <c r="O43" s="294"/>
      <c r="P43" s="294"/>
      <c r="Q43" s="294"/>
      <c r="R43" s="294"/>
      <c r="T43" s="42">
        <f t="shared" si="2"/>
        <v>0</v>
      </c>
      <c r="V43" s="42">
        <f ca="1">SUMIF(EAC[PA ID],BudgetTrack[[#This Row],[PA ID]],EAC[Estimate At Completion])</f>
        <v>0</v>
      </c>
      <c r="W43" s="184">
        <f ca="1">BudgetTrack[[#This Row],[Current Budget]]-BudgetTrack[[#This Row],[Estimate At Completion]]</f>
        <v>0</v>
      </c>
      <c r="X43" s="42">
        <f ca="1">SUMIFS(CostTrack[Value],CostTrack[PA ID],BudgetTrack[[#This Row],[PA ID]],CostTrack[Holdback (Y/N/R)],"&lt;&gt;Release",CostTrack[Status],"Approved")</f>
        <v>0</v>
      </c>
      <c r="Y43" s="42">
        <f ca="1">SUMPRODUCT(ChangeTrack[Change Value],--(ChangeTrack[Change Status]="Approved"),--(ChangeTrack[PA ID]=BudgetTrack[[#This Row],[PA ID]]),--(ChangeTrack[PA ID]&lt;&gt;""))</f>
        <v>0</v>
      </c>
      <c r="AA43" s="382"/>
    </row>
    <row r="44" spans="1:27" s="4" customFormat="1" hidden="1">
      <c r="A44" s="90">
        <f t="shared" si="1"/>
        <v>38</v>
      </c>
      <c r="B44" s="118" t="str">
        <f ca="1">CONCATENATE(IFERROR(INDEX(Validations!$B$11:$B$16,MATCH(C44,Primary,0)),""),IFERROR(OFFSET(INDEX(INDIRECT(SUBSTITUTE(C44," ","")),MATCH(D44,INDIRECT(SUBSTITUTE(C44," ","")),0)),0,-1),""),IFERROR(INDEX(Validations!$I$12:$I$32,MATCH(E44,Validations!$H$12:$H$32,0)),""),IFERROR(INDEX(Validations!$I$12:$I$32,MATCH(F44,Validations!$H$12:$H$32,0)),""),IFERROR(INDEX(Validations!$M$11:$M$16,MATCH(G44,Validations!$J$11:$J$16,0)),""))</f>
        <v/>
      </c>
      <c r="C44" s="88"/>
      <c r="D44" s="82"/>
      <c r="E44" s="79"/>
      <c r="F44" s="79"/>
      <c r="G44" s="79"/>
      <c r="H44" s="300"/>
      <c r="I44" s="294"/>
      <c r="J44" s="294"/>
      <c r="K44" s="294"/>
      <c r="L44" s="294"/>
      <c r="M44" s="294"/>
      <c r="N44" s="294"/>
      <c r="O44" s="294"/>
      <c r="P44" s="294"/>
      <c r="Q44" s="294"/>
      <c r="R44" s="294"/>
      <c r="T44" s="42">
        <f t="shared" si="2"/>
        <v>0</v>
      </c>
      <c r="V44" s="42">
        <f ca="1">SUMIF(EAC[PA ID],BudgetTrack[[#This Row],[PA ID]],EAC[Estimate At Completion])</f>
        <v>0</v>
      </c>
      <c r="W44" s="184">
        <f ca="1">BudgetTrack[[#This Row],[Current Budget]]-BudgetTrack[[#This Row],[Estimate At Completion]]</f>
        <v>0</v>
      </c>
      <c r="X44" s="42">
        <f ca="1">SUMIFS(CostTrack[Value],CostTrack[PA ID],BudgetTrack[[#This Row],[PA ID]],CostTrack[Holdback (Y/N/R)],"&lt;&gt;Release",CostTrack[Status],"Approved")</f>
        <v>0</v>
      </c>
      <c r="Y44" s="42">
        <f ca="1">SUMPRODUCT(ChangeTrack[Change Value],--(ChangeTrack[Change Status]="Approved"),--(ChangeTrack[PA ID]=BudgetTrack[[#This Row],[PA ID]]),--(ChangeTrack[PA ID]&lt;&gt;""))</f>
        <v>0</v>
      </c>
      <c r="AA44" s="382"/>
    </row>
    <row r="45" spans="1:27" s="4" customFormat="1" hidden="1">
      <c r="A45" s="90">
        <f t="shared" si="1"/>
        <v>39</v>
      </c>
      <c r="B45" s="118" t="str">
        <f ca="1">CONCATENATE(IFERROR(INDEX(Validations!$B$11:$B$16,MATCH(C45,Primary,0)),""),IFERROR(OFFSET(INDEX(INDIRECT(SUBSTITUTE(C45," ","")),MATCH(D45,INDIRECT(SUBSTITUTE(C45," ","")),0)),0,-1),""),IFERROR(INDEX(Validations!$I$12:$I$32,MATCH(E45,Validations!$H$12:$H$32,0)),""),IFERROR(INDEX(Validations!$I$12:$I$32,MATCH(F45,Validations!$H$12:$H$32,0)),""),IFERROR(INDEX(Validations!$M$11:$M$16,MATCH(G45,Validations!$J$11:$J$16,0)),""))</f>
        <v/>
      </c>
      <c r="C45" s="88"/>
      <c r="D45" s="82"/>
      <c r="E45" s="79"/>
      <c r="F45" s="79"/>
      <c r="G45" s="79"/>
      <c r="H45" s="300"/>
      <c r="I45" s="294"/>
      <c r="J45" s="294"/>
      <c r="K45" s="294"/>
      <c r="L45" s="294"/>
      <c r="M45" s="294"/>
      <c r="N45" s="294"/>
      <c r="O45" s="294"/>
      <c r="P45" s="294"/>
      <c r="Q45" s="294"/>
      <c r="R45" s="294"/>
      <c r="T45" s="42">
        <f t="shared" si="2"/>
        <v>0</v>
      </c>
      <c r="V45" s="42">
        <f ca="1">SUMIF(EAC[PA ID],BudgetTrack[[#This Row],[PA ID]],EAC[Estimate At Completion])</f>
        <v>0</v>
      </c>
      <c r="W45" s="184">
        <f ca="1">BudgetTrack[[#This Row],[Current Budget]]-BudgetTrack[[#This Row],[Estimate At Completion]]</f>
        <v>0</v>
      </c>
      <c r="X45" s="42">
        <f ca="1">SUMIFS(CostTrack[Value],CostTrack[PA ID],BudgetTrack[[#This Row],[PA ID]],CostTrack[Holdback (Y/N/R)],"&lt;&gt;Release",CostTrack[Status],"Approved")</f>
        <v>0</v>
      </c>
      <c r="Y45" s="42">
        <f ca="1">SUMPRODUCT(ChangeTrack[Change Value],--(ChangeTrack[Change Status]="Approved"),--(ChangeTrack[PA ID]=BudgetTrack[[#This Row],[PA ID]]),--(ChangeTrack[PA ID]&lt;&gt;""))</f>
        <v>0</v>
      </c>
      <c r="AA45" s="382"/>
    </row>
    <row r="46" spans="1:27" s="4" customFormat="1" hidden="1">
      <c r="A46" s="90">
        <f t="shared" si="1"/>
        <v>40</v>
      </c>
      <c r="B46" s="118" t="str">
        <f ca="1">CONCATENATE(IFERROR(INDEX(Validations!$B$11:$B$16,MATCH(C46,Primary,0)),""),IFERROR(OFFSET(INDEX(INDIRECT(SUBSTITUTE(C46," ","")),MATCH(D46,INDIRECT(SUBSTITUTE(C46," ","")),0)),0,-1),""),IFERROR(INDEX(Validations!$I$12:$I$32,MATCH(E46,Validations!$H$12:$H$32,0)),""),IFERROR(INDEX(Validations!$I$12:$I$32,MATCH(F46,Validations!$H$12:$H$32,0)),""),IFERROR(INDEX(Validations!$M$11:$M$16,MATCH(G46,Validations!$J$11:$J$16,0)),""))</f>
        <v/>
      </c>
      <c r="C46" s="212"/>
      <c r="D46" s="82"/>
      <c r="E46" s="79"/>
      <c r="F46" s="79"/>
      <c r="G46" s="79"/>
      <c r="H46" s="301"/>
      <c r="I46" s="294"/>
      <c r="J46" s="294"/>
      <c r="K46" s="294"/>
      <c r="L46" s="294"/>
      <c r="M46" s="294"/>
      <c r="N46" s="294"/>
      <c r="O46" s="294"/>
      <c r="P46" s="294"/>
      <c r="Q46" s="294"/>
      <c r="R46" s="294"/>
      <c r="T46" s="42">
        <f t="shared" si="2"/>
        <v>0</v>
      </c>
      <c r="V46" s="42">
        <f ca="1">SUMIF(EAC[PA ID],BudgetTrack[[#This Row],[PA ID]],EAC[Estimate At Completion])</f>
        <v>0</v>
      </c>
      <c r="W46" s="184">
        <f ca="1">BudgetTrack[[#This Row],[Current Budget]]-BudgetTrack[[#This Row],[Estimate At Completion]]</f>
        <v>0</v>
      </c>
      <c r="X46" s="42">
        <f ca="1">SUMIFS(CostTrack[Value],CostTrack[PA ID],BudgetTrack[[#This Row],[PA ID]],CostTrack[Holdback (Y/N/R)],"&lt;&gt;Release",CostTrack[Status],"Approved")</f>
        <v>0</v>
      </c>
      <c r="Y46" s="42">
        <f ca="1">SUMPRODUCT(ChangeTrack[Change Value],--(ChangeTrack[Change Status]="Approved"),--(ChangeTrack[PA ID]=BudgetTrack[[#This Row],[PA ID]]),--(ChangeTrack[PA ID]&lt;&gt;""))</f>
        <v>0</v>
      </c>
      <c r="AA46" s="382"/>
    </row>
    <row r="47" spans="1:27" s="4" customFormat="1" hidden="1">
      <c r="A47" s="90">
        <f t="shared" si="1"/>
        <v>41</v>
      </c>
      <c r="B47" s="118" t="str">
        <f ca="1">CONCATENATE(IFERROR(INDEX(Validations!$B$11:$B$16,MATCH(C47,Primary,0)),""),IFERROR(OFFSET(INDEX(INDIRECT(SUBSTITUTE(C47," ","")),MATCH(D47,INDIRECT(SUBSTITUTE(C47," ","")),0)),0,-1),""),IFERROR(INDEX(Validations!$I$12:$I$32,MATCH(E47,Validations!$H$12:$H$32,0)),""),IFERROR(INDEX(Validations!$I$12:$I$32,MATCH(F47,Validations!$H$12:$H$32,0)),""),IFERROR(INDEX(Validations!$M$11:$M$16,MATCH(G47,Validations!$J$11:$J$16,0)),""))</f>
        <v/>
      </c>
      <c r="C47" s="88"/>
      <c r="D47" s="82"/>
      <c r="E47" s="79"/>
      <c r="F47" s="79"/>
      <c r="G47" s="79"/>
      <c r="H47" s="300"/>
      <c r="I47" s="294"/>
      <c r="J47" s="294"/>
      <c r="K47" s="294"/>
      <c r="L47" s="294"/>
      <c r="M47" s="294"/>
      <c r="N47" s="294"/>
      <c r="O47" s="294"/>
      <c r="P47" s="294"/>
      <c r="Q47" s="294"/>
      <c r="R47" s="294"/>
      <c r="T47" s="42">
        <f t="shared" si="2"/>
        <v>0</v>
      </c>
      <c r="V47" s="42">
        <f ca="1">SUMIF(EAC[PA ID],BudgetTrack[[#This Row],[PA ID]],EAC[Estimate At Completion])</f>
        <v>0</v>
      </c>
      <c r="W47" s="184">
        <f ca="1">BudgetTrack[[#This Row],[Current Budget]]-BudgetTrack[[#This Row],[Estimate At Completion]]</f>
        <v>0</v>
      </c>
      <c r="X47" s="42">
        <f ca="1">SUMIFS(CostTrack[Value],CostTrack[PA ID],BudgetTrack[[#This Row],[PA ID]],CostTrack[Holdback (Y/N/R)],"&lt;&gt;Release",CostTrack[Status],"Approved")</f>
        <v>0</v>
      </c>
      <c r="Y47" s="42">
        <f ca="1">SUMPRODUCT(ChangeTrack[Change Value],--(ChangeTrack[Change Status]="Approved"),--(ChangeTrack[PA ID]=BudgetTrack[[#This Row],[PA ID]]),--(ChangeTrack[PA ID]&lt;&gt;""))</f>
        <v>0</v>
      </c>
      <c r="AA47" s="382"/>
    </row>
    <row r="48" spans="1:27" s="4" customFormat="1" hidden="1">
      <c r="A48" s="90">
        <f t="shared" si="1"/>
        <v>42</v>
      </c>
      <c r="B48" s="118" t="str">
        <f ca="1">CONCATENATE(IFERROR(INDEX(Validations!$B$11:$B$16,MATCH(C48,Primary,0)),""),IFERROR(OFFSET(INDEX(INDIRECT(SUBSTITUTE(C48," ","")),MATCH(D48,INDIRECT(SUBSTITUTE(C48," ","")),0)),0,-1),""),IFERROR(INDEX(Validations!$I$12:$I$32,MATCH(E48,Validations!$H$12:$H$32,0)),""),IFERROR(INDEX(Validations!$I$12:$I$32,MATCH(F48,Validations!$H$12:$H$32,0)),""),IFERROR(INDEX(Validations!$M$11:$M$16,MATCH(G48,Validations!$J$11:$J$16,0)),""))</f>
        <v/>
      </c>
      <c r="C48" s="88"/>
      <c r="D48" s="82"/>
      <c r="E48" s="79"/>
      <c r="F48" s="79"/>
      <c r="G48" s="79"/>
      <c r="H48" s="300"/>
      <c r="I48" s="294"/>
      <c r="J48" s="294"/>
      <c r="K48" s="294"/>
      <c r="L48" s="294"/>
      <c r="M48" s="294"/>
      <c r="N48" s="294"/>
      <c r="O48" s="294"/>
      <c r="P48" s="294"/>
      <c r="Q48" s="294"/>
      <c r="R48" s="294"/>
      <c r="T48" s="42">
        <f t="shared" si="2"/>
        <v>0</v>
      </c>
      <c r="V48" s="42">
        <f ca="1">SUMIF(EAC[PA ID],BudgetTrack[[#This Row],[PA ID]],EAC[Estimate At Completion])</f>
        <v>0</v>
      </c>
      <c r="W48" s="184">
        <f ca="1">BudgetTrack[[#This Row],[Current Budget]]-BudgetTrack[[#This Row],[Estimate At Completion]]</f>
        <v>0</v>
      </c>
      <c r="X48" s="42">
        <f ca="1">SUMIFS(CostTrack[Value],CostTrack[PA ID],BudgetTrack[[#This Row],[PA ID]],CostTrack[Holdback (Y/N/R)],"&lt;&gt;Release",CostTrack[Status],"Approved")</f>
        <v>0</v>
      </c>
      <c r="Y48" s="42">
        <f ca="1">SUMPRODUCT(ChangeTrack[Change Value],--(ChangeTrack[Change Status]="Approved"),--(ChangeTrack[PA ID]=BudgetTrack[[#This Row],[PA ID]]),--(ChangeTrack[PA ID]&lt;&gt;""))</f>
        <v>0</v>
      </c>
      <c r="AA48" s="382"/>
    </row>
    <row r="49" spans="1:27" s="4" customFormat="1" hidden="1">
      <c r="A49" s="90">
        <f t="shared" si="1"/>
        <v>43</v>
      </c>
      <c r="B49" s="118" t="str">
        <f ca="1">CONCATENATE(IFERROR(INDEX(Validations!$B$11:$B$16,MATCH(C49,Primary,0)),""),IFERROR(OFFSET(INDEX(INDIRECT(SUBSTITUTE(C49," ","")),MATCH(D49,INDIRECT(SUBSTITUTE(C49," ","")),0)),0,-1),""),IFERROR(INDEX(Validations!$I$12:$I$32,MATCH(E49,Validations!$H$12:$H$32,0)),""),IFERROR(INDEX(Validations!$I$12:$I$32,MATCH(F49,Validations!$H$12:$H$32,0)),""),IFERROR(INDEX(Validations!$M$11:$M$16,MATCH(G49,Validations!$J$11:$J$16,0)),""))</f>
        <v/>
      </c>
      <c r="C49" s="88"/>
      <c r="D49" s="82"/>
      <c r="E49" s="79"/>
      <c r="F49" s="79"/>
      <c r="G49" s="79"/>
      <c r="H49" s="300"/>
      <c r="I49" s="294"/>
      <c r="J49" s="294"/>
      <c r="K49" s="294"/>
      <c r="L49" s="294"/>
      <c r="M49" s="294"/>
      <c r="N49" s="294"/>
      <c r="O49" s="294"/>
      <c r="P49" s="294"/>
      <c r="Q49" s="294"/>
      <c r="R49" s="294"/>
      <c r="T49" s="42">
        <f t="shared" si="2"/>
        <v>0</v>
      </c>
      <c r="V49" s="42">
        <f ca="1">SUMIF(EAC[PA ID],BudgetTrack[[#This Row],[PA ID]],EAC[Estimate At Completion])</f>
        <v>0</v>
      </c>
      <c r="W49" s="184">
        <f ca="1">BudgetTrack[[#This Row],[Current Budget]]-BudgetTrack[[#This Row],[Estimate At Completion]]</f>
        <v>0</v>
      </c>
      <c r="X49" s="42">
        <f ca="1">SUMIFS(CostTrack[Value],CostTrack[PA ID],BudgetTrack[[#This Row],[PA ID]],CostTrack[Holdback (Y/N/R)],"&lt;&gt;Release",CostTrack[Status],"Approved")</f>
        <v>0</v>
      </c>
      <c r="Y49" s="42">
        <f ca="1">SUMPRODUCT(ChangeTrack[Change Value],--(ChangeTrack[Change Status]="Approved"),--(ChangeTrack[PA ID]=BudgetTrack[[#This Row],[PA ID]]),--(ChangeTrack[PA ID]&lt;&gt;""))</f>
        <v>0</v>
      </c>
      <c r="AA49" s="382"/>
    </row>
    <row r="50" spans="1:27" s="4" customFormat="1" hidden="1">
      <c r="A50" s="90">
        <f t="shared" si="1"/>
        <v>44</v>
      </c>
      <c r="B50" s="118" t="str">
        <f ca="1">CONCATENATE(IFERROR(INDEX(Validations!$B$11:$B$16,MATCH(C50,Primary,0)),""),IFERROR(OFFSET(INDEX(INDIRECT(SUBSTITUTE(C50," ","")),MATCH(D50,INDIRECT(SUBSTITUTE(C50," ","")),0)),0,-1),""),IFERROR(INDEX(Validations!$I$12:$I$32,MATCH(E50,Validations!$H$12:$H$32,0)),""),IFERROR(INDEX(Validations!$I$12:$I$32,MATCH(F50,Validations!$H$12:$H$32,0)),""),IFERROR(INDEX(Validations!$M$11:$M$16,MATCH(G50,Validations!$J$11:$J$16,0)),""))</f>
        <v/>
      </c>
      <c r="C50" s="88"/>
      <c r="D50" s="82"/>
      <c r="E50" s="79"/>
      <c r="F50" s="79"/>
      <c r="G50" s="79"/>
      <c r="H50" s="300"/>
      <c r="I50" s="294"/>
      <c r="J50" s="294"/>
      <c r="K50" s="294"/>
      <c r="L50" s="294"/>
      <c r="M50" s="294"/>
      <c r="N50" s="294"/>
      <c r="O50" s="294"/>
      <c r="P50" s="294"/>
      <c r="Q50" s="294"/>
      <c r="R50" s="294"/>
      <c r="T50" s="42">
        <f t="shared" si="2"/>
        <v>0</v>
      </c>
      <c r="V50" s="42">
        <f ca="1">SUMIF(EAC[PA ID],BudgetTrack[[#This Row],[PA ID]],EAC[Estimate At Completion])</f>
        <v>0</v>
      </c>
      <c r="W50" s="184">
        <f ca="1">BudgetTrack[[#This Row],[Current Budget]]-BudgetTrack[[#This Row],[Estimate At Completion]]</f>
        <v>0</v>
      </c>
      <c r="X50" s="42">
        <f ca="1">SUMIFS(CostTrack[Value],CostTrack[PA ID],BudgetTrack[[#This Row],[PA ID]],CostTrack[Holdback (Y/N/R)],"&lt;&gt;Release",CostTrack[Status],"Approved")</f>
        <v>0</v>
      </c>
      <c r="Y50" s="42">
        <f ca="1">SUMPRODUCT(ChangeTrack[Change Value],--(ChangeTrack[Change Status]="Approved"),--(ChangeTrack[PA ID]=BudgetTrack[[#This Row],[PA ID]]),--(ChangeTrack[PA ID]&lt;&gt;""))</f>
        <v>0</v>
      </c>
      <c r="AA50" s="382"/>
    </row>
    <row r="51" spans="1:27" s="4" customFormat="1" hidden="1">
      <c r="A51" s="90">
        <f t="shared" si="1"/>
        <v>45</v>
      </c>
      <c r="B51" s="118" t="str">
        <f ca="1">CONCATENATE(IFERROR(INDEX(Validations!$B$11:$B$16,MATCH(C51,Primary,0)),""),IFERROR(OFFSET(INDEX(INDIRECT(SUBSTITUTE(C51," ","")),MATCH(D51,INDIRECT(SUBSTITUTE(C51," ","")),0)),0,-1),""),IFERROR(INDEX(Validations!$I$12:$I$32,MATCH(E51,Validations!$H$12:$H$32,0)),""),IFERROR(INDEX(Validations!$I$12:$I$32,MATCH(F51,Validations!$H$12:$H$32,0)),""),IFERROR(INDEX(Validations!$M$11:$M$16,MATCH(G51,Validations!$J$11:$J$16,0)),""))</f>
        <v/>
      </c>
      <c r="C51" s="88"/>
      <c r="D51" s="82"/>
      <c r="E51" s="79"/>
      <c r="F51" s="79"/>
      <c r="G51" s="79"/>
      <c r="H51" s="300"/>
      <c r="I51" s="294"/>
      <c r="J51" s="294"/>
      <c r="K51" s="294"/>
      <c r="L51" s="294"/>
      <c r="M51" s="294"/>
      <c r="N51" s="294"/>
      <c r="O51" s="294"/>
      <c r="P51" s="294"/>
      <c r="Q51" s="294"/>
      <c r="R51" s="294"/>
      <c r="T51" s="42">
        <f t="shared" si="2"/>
        <v>0</v>
      </c>
      <c r="V51" s="42">
        <f ca="1">SUMIF(EAC[PA ID],BudgetTrack[[#This Row],[PA ID]],EAC[Estimate At Completion])</f>
        <v>0</v>
      </c>
      <c r="W51" s="184">
        <f ca="1">BudgetTrack[[#This Row],[Current Budget]]-BudgetTrack[[#This Row],[Estimate At Completion]]</f>
        <v>0</v>
      </c>
      <c r="X51" s="42">
        <f ca="1">SUMIFS(CostTrack[Value],CostTrack[PA ID],BudgetTrack[[#This Row],[PA ID]],CostTrack[Holdback (Y/N/R)],"&lt;&gt;Release",CostTrack[Status],"Approved")</f>
        <v>0</v>
      </c>
      <c r="Y51" s="42">
        <f ca="1">SUMPRODUCT(ChangeTrack[Change Value],--(ChangeTrack[Change Status]="Approved"),--(ChangeTrack[PA ID]=BudgetTrack[[#This Row],[PA ID]]),--(ChangeTrack[PA ID]&lt;&gt;""))</f>
        <v>0</v>
      </c>
      <c r="AA51" s="382"/>
    </row>
    <row r="52" spans="1:27" s="4" customFormat="1" hidden="1">
      <c r="A52" s="90">
        <f t="shared" si="1"/>
        <v>46</v>
      </c>
      <c r="B52" s="118" t="str">
        <f ca="1">CONCATENATE(IFERROR(INDEX(Validations!$B$11:$B$16,MATCH(C52,Primary,0)),""),IFERROR(OFFSET(INDEX(INDIRECT(SUBSTITUTE(C52," ","")),MATCH(D52,INDIRECT(SUBSTITUTE(C52," ","")),0)),0,-1),""),IFERROR(INDEX(Validations!$I$12:$I$32,MATCH(E52,Validations!$H$12:$H$32,0)),""),IFERROR(INDEX(Validations!$I$12:$I$32,MATCH(F52,Validations!$H$12:$H$32,0)),""),IFERROR(INDEX(Validations!$M$11:$M$16,MATCH(G52,Validations!$J$11:$J$16,0)),""))</f>
        <v/>
      </c>
      <c r="C52" s="88"/>
      <c r="D52" s="82"/>
      <c r="E52" s="79"/>
      <c r="F52" s="79"/>
      <c r="G52" s="79"/>
      <c r="H52" s="300"/>
      <c r="I52" s="294"/>
      <c r="J52" s="294"/>
      <c r="K52" s="294"/>
      <c r="L52" s="294"/>
      <c r="M52" s="294"/>
      <c r="N52" s="294"/>
      <c r="O52" s="294"/>
      <c r="P52" s="294"/>
      <c r="Q52" s="294"/>
      <c r="R52" s="294"/>
      <c r="T52" s="42">
        <f t="shared" si="2"/>
        <v>0</v>
      </c>
      <c r="V52" s="42">
        <f ca="1">SUMIF(EAC[PA ID],BudgetTrack[[#This Row],[PA ID]],EAC[Estimate At Completion])</f>
        <v>0</v>
      </c>
      <c r="W52" s="184">
        <f ca="1">BudgetTrack[[#This Row],[Current Budget]]-BudgetTrack[[#This Row],[Estimate At Completion]]</f>
        <v>0</v>
      </c>
      <c r="X52" s="42">
        <f ca="1">SUMIFS(CostTrack[Value],CostTrack[PA ID],BudgetTrack[[#This Row],[PA ID]],CostTrack[Holdback (Y/N/R)],"&lt;&gt;Release",CostTrack[Status],"Approved")</f>
        <v>0</v>
      </c>
      <c r="Y52" s="42">
        <f ca="1">SUMPRODUCT(ChangeTrack[Change Value],--(ChangeTrack[Change Status]="Approved"),--(ChangeTrack[PA ID]=BudgetTrack[[#This Row],[PA ID]]),--(ChangeTrack[PA ID]&lt;&gt;""))</f>
        <v>0</v>
      </c>
      <c r="AA52" s="382"/>
    </row>
    <row r="53" spans="1:27" s="4" customFormat="1" hidden="1">
      <c r="A53" s="90">
        <f t="shared" si="1"/>
        <v>47</v>
      </c>
      <c r="B53" s="118" t="str">
        <f ca="1">CONCATENATE(IFERROR(INDEX(Validations!$B$11:$B$16,MATCH(C53,Primary,0)),""),IFERROR(OFFSET(INDEX(INDIRECT(SUBSTITUTE(C53," ","")),MATCH(D53,INDIRECT(SUBSTITUTE(C53," ","")),0)),0,-1),""),IFERROR(INDEX(Validations!$I$12:$I$32,MATCH(E53,Validations!$H$12:$H$32,0)),""),IFERROR(INDEX(Validations!$I$12:$I$32,MATCH(F53,Validations!$H$12:$H$32,0)),""),IFERROR(INDEX(Validations!$M$11:$M$16,MATCH(G53,Validations!$J$11:$J$16,0)),""))</f>
        <v/>
      </c>
      <c r="C53" s="88"/>
      <c r="D53" s="82"/>
      <c r="E53" s="79"/>
      <c r="F53" s="79"/>
      <c r="G53" s="79"/>
      <c r="H53" s="300"/>
      <c r="I53" s="294"/>
      <c r="J53" s="294"/>
      <c r="K53" s="294"/>
      <c r="L53" s="294"/>
      <c r="M53" s="294"/>
      <c r="N53" s="294"/>
      <c r="O53" s="294"/>
      <c r="P53" s="294"/>
      <c r="Q53" s="294"/>
      <c r="R53" s="294"/>
      <c r="T53" s="42">
        <f t="shared" si="2"/>
        <v>0</v>
      </c>
      <c r="V53" s="42">
        <f ca="1">SUMIF(EAC[PA ID],BudgetTrack[[#This Row],[PA ID]],EAC[Estimate At Completion])</f>
        <v>0</v>
      </c>
      <c r="W53" s="184">
        <f ca="1">BudgetTrack[[#This Row],[Current Budget]]-BudgetTrack[[#This Row],[Estimate At Completion]]</f>
        <v>0</v>
      </c>
      <c r="X53" s="42">
        <f ca="1">SUMIFS(CostTrack[Value],CostTrack[PA ID],BudgetTrack[[#This Row],[PA ID]],CostTrack[Holdback (Y/N/R)],"&lt;&gt;Release",CostTrack[Status],"Approved")</f>
        <v>0</v>
      </c>
      <c r="Y53" s="42">
        <f ca="1">SUMPRODUCT(ChangeTrack[Change Value],--(ChangeTrack[Change Status]="Approved"),--(ChangeTrack[PA ID]=BudgetTrack[[#This Row],[PA ID]]),--(ChangeTrack[PA ID]&lt;&gt;""))</f>
        <v>0</v>
      </c>
      <c r="AA53" s="382"/>
    </row>
    <row r="54" spans="1:27" s="4" customFormat="1" hidden="1">
      <c r="A54" s="90">
        <f t="shared" si="1"/>
        <v>48</v>
      </c>
      <c r="B54" s="118" t="str">
        <f ca="1">CONCATENATE(IFERROR(INDEX(Validations!$B$11:$B$16,MATCH(C54,Primary,0)),""),IFERROR(OFFSET(INDEX(INDIRECT(SUBSTITUTE(C54," ","")),MATCH(D54,INDIRECT(SUBSTITUTE(C54," ","")),0)),0,-1),""),IFERROR(INDEX(Validations!$I$12:$I$32,MATCH(E54,Validations!$H$12:$H$32,0)),""),IFERROR(INDEX(Validations!$I$12:$I$32,MATCH(F54,Validations!$H$12:$H$32,0)),""),IFERROR(INDEX(Validations!$M$11:$M$16,MATCH(G54,Validations!$J$11:$J$16,0)),""))</f>
        <v/>
      </c>
      <c r="C54" s="88"/>
      <c r="D54" s="82"/>
      <c r="E54" s="79"/>
      <c r="F54" s="79"/>
      <c r="G54" s="79"/>
      <c r="H54" s="300"/>
      <c r="I54" s="294"/>
      <c r="J54" s="294"/>
      <c r="K54" s="294"/>
      <c r="L54" s="294"/>
      <c r="M54" s="294"/>
      <c r="N54" s="294"/>
      <c r="O54" s="294"/>
      <c r="P54" s="294"/>
      <c r="Q54" s="294"/>
      <c r="R54" s="294"/>
      <c r="T54" s="42">
        <f t="shared" si="2"/>
        <v>0</v>
      </c>
      <c r="V54" s="42">
        <f ca="1">SUMIF(EAC[PA ID],BudgetTrack[[#This Row],[PA ID]],EAC[Estimate At Completion])</f>
        <v>0</v>
      </c>
      <c r="W54" s="184">
        <f ca="1">BudgetTrack[[#This Row],[Current Budget]]-BudgetTrack[[#This Row],[Estimate At Completion]]</f>
        <v>0</v>
      </c>
      <c r="X54" s="42">
        <f ca="1">SUMIFS(CostTrack[Value],CostTrack[PA ID],BudgetTrack[[#This Row],[PA ID]],CostTrack[Holdback (Y/N/R)],"&lt;&gt;Release",CostTrack[Status],"Approved")</f>
        <v>0</v>
      </c>
      <c r="Y54" s="42">
        <f ca="1">SUMPRODUCT(ChangeTrack[Change Value],--(ChangeTrack[Change Status]="Approved"),--(ChangeTrack[PA ID]=BudgetTrack[[#This Row],[PA ID]]),--(ChangeTrack[PA ID]&lt;&gt;""))</f>
        <v>0</v>
      </c>
      <c r="AA54" s="382"/>
    </row>
    <row r="55" spans="1:27" s="4" customFormat="1" hidden="1">
      <c r="A55" s="90">
        <f t="shared" si="1"/>
        <v>49</v>
      </c>
      <c r="B55" s="118" t="str">
        <f ca="1">CONCATENATE(IFERROR(INDEX(Validations!$B$11:$B$16,MATCH(C55,Primary,0)),""),IFERROR(OFFSET(INDEX(INDIRECT(SUBSTITUTE(C55," ","")),MATCH(D55,INDIRECT(SUBSTITUTE(C55," ","")),0)),0,-1),""),IFERROR(INDEX(Validations!$I$12:$I$32,MATCH(E55,Validations!$H$12:$H$32,0)),""),IFERROR(INDEX(Validations!$I$12:$I$32,MATCH(F55,Validations!$H$12:$H$32,0)),""),IFERROR(INDEX(Validations!$M$11:$M$16,MATCH(G55,Validations!$J$11:$J$16,0)),""))</f>
        <v/>
      </c>
      <c r="C55" s="212"/>
      <c r="D55" s="82"/>
      <c r="E55" s="79"/>
      <c r="F55" s="79"/>
      <c r="G55" s="79"/>
      <c r="H55" s="301"/>
      <c r="I55" s="294"/>
      <c r="J55" s="294"/>
      <c r="K55" s="294"/>
      <c r="L55" s="294"/>
      <c r="M55" s="294"/>
      <c r="N55" s="294"/>
      <c r="O55" s="294"/>
      <c r="P55" s="294"/>
      <c r="Q55" s="294"/>
      <c r="R55" s="294"/>
      <c r="T55" s="42">
        <f t="shared" si="2"/>
        <v>0</v>
      </c>
      <c r="V55" s="42">
        <f ca="1">SUMIF(EAC[PA ID],BudgetTrack[[#This Row],[PA ID]],EAC[Estimate At Completion])</f>
        <v>0</v>
      </c>
      <c r="W55" s="184">
        <f ca="1">BudgetTrack[[#This Row],[Current Budget]]-BudgetTrack[[#This Row],[Estimate At Completion]]</f>
        <v>0</v>
      </c>
      <c r="X55" s="42">
        <f ca="1">SUMIFS(CostTrack[Value],CostTrack[PA ID],BudgetTrack[[#This Row],[PA ID]],CostTrack[Holdback (Y/N/R)],"&lt;&gt;Release",CostTrack[Status],"Approved")</f>
        <v>0</v>
      </c>
      <c r="Y55" s="42">
        <f ca="1">SUMPRODUCT(ChangeTrack[Change Value],--(ChangeTrack[Change Status]="Approved"),--(ChangeTrack[PA ID]=BudgetTrack[[#This Row],[PA ID]]),--(ChangeTrack[PA ID]&lt;&gt;""))</f>
        <v>0</v>
      </c>
      <c r="AA55" s="382"/>
    </row>
    <row r="56" spans="1:27" s="4" customFormat="1" hidden="1">
      <c r="A56" s="90">
        <f t="shared" si="1"/>
        <v>50</v>
      </c>
      <c r="B56" s="118" t="str">
        <f ca="1">CONCATENATE(IFERROR(INDEX(Validations!$B$11:$B$16,MATCH(C56,Primary,0)),""),IFERROR(OFFSET(INDEX(INDIRECT(SUBSTITUTE(C56," ","")),MATCH(D56,INDIRECT(SUBSTITUTE(C56," ","")),0)),0,-1),""),IFERROR(INDEX(Validations!$I$12:$I$32,MATCH(E56,Validations!$H$12:$H$32,0)),""),IFERROR(INDEX(Validations!$I$12:$I$32,MATCH(F56,Validations!$H$12:$H$32,0)),""),IFERROR(INDEX(Validations!$M$11:$M$16,MATCH(G56,Validations!$J$11:$J$16,0)),""))</f>
        <v/>
      </c>
      <c r="C56" s="88"/>
      <c r="D56" s="82"/>
      <c r="E56" s="79"/>
      <c r="F56" s="79"/>
      <c r="G56" s="79"/>
      <c r="H56" s="300"/>
      <c r="I56" s="294"/>
      <c r="J56" s="294"/>
      <c r="K56" s="294"/>
      <c r="L56" s="294"/>
      <c r="M56" s="294"/>
      <c r="N56" s="294"/>
      <c r="O56" s="294"/>
      <c r="P56" s="294"/>
      <c r="Q56" s="294"/>
      <c r="R56" s="294"/>
      <c r="T56" s="42">
        <f t="shared" si="2"/>
        <v>0</v>
      </c>
      <c r="V56" s="42">
        <f ca="1">SUMIF(EAC[PA ID],BudgetTrack[[#This Row],[PA ID]],EAC[Estimate At Completion])</f>
        <v>0</v>
      </c>
      <c r="W56" s="184">
        <f ca="1">BudgetTrack[[#This Row],[Current Budget]]-BudgetTrack[[#This Row],[Estimate At Completion]]</f>
        <v>0</v>
      </c>
      <c r="X56" s="42">
        <f ca="1">SUMIFS(CostTrack[Value],CostTrack[PA ID],BudgetTrack[[#This Row],[PA ID]],CostTrack[Holdback (Y/N/R)],"&lt;&gt;Release",CostTrack[Status],"Approved")</f>
        <v>0</v>
      </c>
      <c r="Y56" s="42">
        <f ca="1">SUMPRODUCT(ChangeTrack[Change Value],--(ChangeTrack[Change Status]="Approved"),--(ChangeTrack[PA ID]=BudgetTrack[[#This Row],[PA ID]]),--(ChangeTrack[PA ID]&lt;&gt;""))</f>
        <v>0</v>
      </c>
      <c r="AA56" s="382"/>
    </row>
    <row r="57" spans="1:27" s="4" customFormat="1" hidden="1">
      <c r="A57" s="90">
        <f t="shared" si="1"/>
        <v>51</v>
      </c>
      <c r="B57" s="118" t="str">
        <f ca="1">CONCATENATE(IFERROR(INDEX(Validations!$B$11:$B$16,MATCH(C57,Primary,0)),""),IFERROR(OFFSET(INDEX(INDIRECT(SUBSTITUTE(C57," ","")),MATCH(D57,INDIRECT(SUBSTITUTE(C57," ","")),0)),0,-1),""),IFERROR(INDEX(Validations!$I$12:$I$32,MATCH(E57,Validations!$H$12:$H$32,0)),""),IFERROR(INDEX(Validations!$I$12:$I$32,MATCH(F57,Validations!$H$12:$H$32,0)),""),IFERROR(INDEX(Validations!$M$11:$M$16,MATCH(G57,Validations!$J$11:$J$16,0)),""))</f>
        <v/>
      </c>
      <c r="C57" s="88"/>
      <c r="D57" s="82"/>
      <c r="E57" s="79"/>
      <c r="F57" s="79"/>
      <c r="G57" s="79"/>
      <c r="H57" s="300"/>
      <c r="I57" s="294"/>
      <c r="J57" s="294"/>
      <c r="K57" s="294"/>
      <c r="L57" s="294"/>
      <c r="M57" s="294"/>
      <c r="N57" s="294"/>
      <c r="O57" s="294"/>
      <c r="P57" s="294"/>
      <c r="Q57" s="294"/>
      <c r="R57" s="294"/>
      <c r="T57" s="42">
        <f t="shared" si="2"/>
        <v>0</v>
      </c>
      <c r="V57" s="42">
        <f ca="1">SUMIF(EAC[PA ID],BudgetTrack[[#This Row],[PA ID]],EAC[Estimate At Completion])</f>
        <v>0</v>
      </c>
      <c r="W57" s="184">
        <f ca="1">BudgetTrack[[#This Row],[Current Budget]]-BudgetTrack[[#This Row],[Estimate At Completion]]</f>
        <v>0</v>
      </c>
      <c r="X57" s="42">
        <f ca="1">SUMIFS(CostTrack[Value],CostTrack[PA ID],BudgetTrack[[#This Row],[PA ID]],CostTrack[Holdback (Y/N/R)],"&lt;&gt;Release",CostTrack[Status],"Approved")</f>
        <v>0</v>
      </c>
      <c r="Y57" s="42">
        <f ca="1">SUMPRODUCT(ChangeTrack[Change Value],--(ChangeTrack[Change Status]="Approved"),--(ChangeTrack[PA ID]=BudgetTrack[[#This Row],[PA ID]]),--(ChangeTrack[PA ID]&lt;&gt;""))</f>
        <v>0</v>
      </c>
      <c r="AA57" s="382"/>
    </row>
    <row r="58" spans="1:27" s="4" customFormat="1" hidden="1">
      <c r="A58" s="90">
        <f t="shared" si="1"/>
        <v>52</v>
      </c>
      <c r="B58" s="118" t="str">
        <f ca="1">CONCATENATE(IFERROR(INDEX(Validations!$B$11:$B$16,MATCH(C58,Primary,0)),""),IFERROR(OFFSET(INDEX(INDIRECT(SUBSTITUTE(C58," ","")),MATCH(D58,INDIRECT(SUBSTITUTE(C58," ","")),0)),0,-1),""),IFERROR(INDEX(Validations!$I$12:$I$32,MATCH(E58,Validations!$H$12:$H$32,0)),""),IFERROR(INDEX(Validations!$I$12:$I$32,MATCH(F58,Validations!$H$12:$H$32,0)),""),IFERROR(INDEX(Validations!$M$11:$M$16,MATCH(G58,Validations!$J$11:$J$16,0)),""))</f>
        <v/>
      </c>
      <c r="C58" s="88"/>
      <c r="D58" s="82"/>
      <c r="E58" s="79"/>
      <c r="F58" s="79"/>
      <c r="G58" s="79"/>
      <c r="H58" s="300"/>
      <c r="I58" s="294"/>
      <c r="J58" s="294"/>
      <c r="K58" s="294"/>
      <c r="L58" s="294"/>
      <c r="M58" s="294"/>
      <c r="N58" s="294"/>
      <c r="O58" s="294"/>
      <c r="P58" s="294"/>
      <c r="Q58" s="294"/>
      <c r="R58" s="294"/>
      <c r="T58" s="42">
        <f t="shared" si="2"/>
        <v>0</v>
      </c>
      <c r="V58" s="42">
        <f ca="1">SUMIF(EAC[PA ID],BudgetTrack[[#This Row],[PA ID]],EAC[Estimate At Completion])</f>
        <v>0</v>
      </c>
      <c r="W58" s="184">
        <f ca="1">BudgetTrack[[#This Row],[Current Budget]]-BudgetTrack[[#This Row],[Estimate At Completion]]</f>
        <v>0</v>
      </c>
      <c r="X58" s="42">
        <f ca="1">SUMIFS(CostTrack[Value],CostTrack[PA ID],BudgetTrack[[#This Row],[PA ID]],CostTrack[Holdback (Y/N/R)],"&lt;&gt;Release",CostTrack[Status],"Approved")</f>
        <v>0</v>
      </c>
      <c r="Y58" s="42">
        <f ca="1">SUMPRODUCT(ChangeTrack[Change Value],--(ChangeTrack[Change Status]="Approved"),--(ChangeTrack[PA ID]=BudgetTrack[[#This Row],[PA ID]]),--(ChangeTrack[PA ID]&lt;&gt;""))</f>
        <v>0</v>
      </c>
      <c r="AA58" s="382"/>
    </row>
    <row r="59" spans="1:27" s="4" customFormat="1" hidden="1">
      <c r="A59" s="90">
        <f t="shared" si="1"/>
        <v>53</v>
      </c>
      <c r="B59" s="118" t="str">
        <f ca="1">CONCATENATE(IFERROR(INDEX(Validations!$B$11:$B$16,MATCH(C59,Primary,0)),""),IFERROR(OFFSET(INDEX(INDIRECT(SUBSTITUTE(C59," ","")),MATCH(D59,INDIRECT(SUBSTITUTE(C59," ","")),0)),0,-1),""),IFERROR(INDEX(Validations!$I$12:$I$32,MATCH(E59,Validations!$H$12:$H$32,0)),""),IFERROR(INDEX(Validations!$I$12:$I$32,MATCH(F59,Validations!$H$12:$H$32,0)),""),IFERROR(INDEX(Validations!$M$11:$M$16,MATCH(G59,Validations!$J$11:$J$16,0)),""))</f>
        <v/>
      </c>
      <c r="C59" s="88"/>
      <c r="D59" s="82"/>
      <c r="E59" s="79"/>
      <c r="F59" s="79"/>
      <c r="G59" s="79"/>
      <c r="H59" s="300"/>
      <c r="I59" s="294"/>
      <c r="J59" s="294"/>
      <c r="K59" s="294"/>
      <c r="L59" s="294"/>
      <c r="M59" s="294"/>
      <c r="N59" s="294"/>
      <c r="O59" s="294"/>
      <c r="P59" s="294"/>
      <c r="Q59" s="294"/>
      <c r="R59" s="294"/>
      <c r="T59" s="42">
        <f t="shared" si="2"/>
        <v>0</v>
      </c>
      <c r="V59" s="42">
        <f ca="1">SUMIF(EAC[PA ID],BudgetTrack[[#This Row],[PA ID]],EAC[Estimate At Completion])</f>
        <v>0</v>
      </c>
      <c r="W59" s="184">
        <f ca="1">BudgetTrack[[#This Row],[Current Budget]]-BudgetTrack[[#This Row],[Estimate At Completion]]</f>
        <v>0</v>
      </c>
      <c r="X59" s="42">
        <f ca="1">SUMIFS(CostTrack[Value],CostTrack[PA ID],BudgetTrack[[#This Row],[PA ID]],CostTrack[Holdback (Y/N/R)],"&lt;&gt;Release",CostTrack[Status],"Approved")</f>
        <v>0</v>
      </c>
      <c r="Y59" s="42">
        <f ca="1">SUMPRODUCT(ChangeTrack[Change Value],--(ChangeTrack[Change Status]="Approved"),--(ChangeTrack[PA ID]=BudgetTrack[[#This Row],[PA ID]]),--(ChangeTrack[PA ID]&lt;&gt;""))</f>
        <v>0</v>
      </c>
      <c r="AA59" s="382"/>
    </row>
    <row r="60" spans="1:27" s="4" customFormat="1" hidden="1">
      <c r="A60" s="90">
        <f t="shared" si="1"/>
        <v>54</v>
      </c>
      <c r="B60" s="118" t="str">
        <f ca="1">CONCATENATE(IFERROR(INDEX(Validations!$B$11:$B$16,MATCH(C60,Primary,0)),""),IFERROR(OFFSET(INDEX(INDIRECT(SUBSTITUTE(C60," ","")),MATCH(D60,INDIRECT(SUBSTITUTE(C60," ","")),0)),0,-1),""),IFERROR(INDEX(Validations!$I$12:$I$32,MATCH(E60,Validations!$H$12:$H$32,0)),""),IFERROR(INDEX(Validations!$I$12:$I$32,MATCH(F60,Validations!$H$12:$H$32,0)),""),IFERROR(INDEX(Validations!$M$11:$M$16,MATCH(G60,Validations!$J$11:$J$16,0)),""))</f>
        <v/>
      </c>
      <c r="C60" s="88"/>
      <c r="D60" s="82"/>
      <c r="E60" s="79"/>
      <c r="F60" s="79"/>
      <c r="G60" s="79"/>
      <c r="H60" s="300"/>
      <c r="I60" s="294"/>
      <c r="J60" s="294"/>
      <c r="K60" s="294"/>
      <c r="L60" s="294"/>
      <c r="M60" s="294"/>
      <c r="N60" s="294"/>
      <c r="O60" s="294"/>
      <c r="P60" s="294"/>
      <c r="Q60" s="294"/>
      <c r="R60" s="294"/>
      <c r="T60" s="42">
        <f t="shared" si="2"/>
        <v>0</v>
      </c>
      <c r="V60" s="42">
        <f ca="1">SUMIF(EAC[PA ID],BudgetTrack[[#This Row],[PA ID]],EAC[Estimate At Completion])</f>
        <v>0</v>
      </c>
      <c r="W60" s="184">
        <f ca="1">BudgetTrack[[#This Row],[Current Budget]]-BudgetTrack[[#This Row],[Estimate At Completion]]</f>
        <v>0</v>
      </c>
      <c r="X60" s="42">
        <f ca="1">SUMIFS(CostTrack[Value],CostTrack[PA ID],BudgetTrack[[#This Row],[PA ID]],CostTrack[Holdback (Y/N/R)],"&lt;&gt;Release",CostTrack[Status],"Approved")</f>
        <v>0</v>
      </c>
      <c r="Y60" s="42">
        <f ca="1">SUMPRODUCT(ChangeTrack[Change Value],--(ChangeTrack[Change Status]="Approved"),--(ChangeTrack[PA ID]=BudgetTrack[[#This Row],[PA ID]]),--(ChangeTrack[PA ID]&lt;&gt;""))</f>
        <v>0</v>
      </c>
      <c r="AA60" s="382"/>
    </row>
    <row r="61" spans="1:27" s="4" customFormat="1" hidden="1">
      <c r="A61" s="90">
        <f t="shared" si="1"/>
        <v>55</v>
      </c>
      <c r="B61" s="118" t="str">
        <f ca="1">CONCATENATE(IFERROR(INDEX(Validations!$B$11:$B$16,MATCH(C61,Primary,0)),""),IFERROR(OFFSET(INDEX(INDIRECT(SUBSTITUTE(C61," ","")),MATCH(D61,INDIRECT(SUBSTITUTE(C61," ","")),0)),0,-1),""),IFERROR(INDEX(Validations!$I$12:$I$32,MATCH(E61,Validations!$H$12:$H$32,0)),""),IFERROR(INDEX(Validations!$I$12:$I$32,MATCH(F61,Validations!$H$12:$H$32,0)),""),IFERROR(INDEX(Validations!$M$11:$M$16,MATCH(G61,Validations!$J$11:$J$16,0)),""))</f>
        <v/>
      </c>
      <c r="C61" s="88"/>
      <c r="D61" s="82"/>
      <c r="E61" s="79"/>
      <c r="F61" s="79"/>
      <c r="G61" s="79"/>
      <c r="H61" s="300"/>
      <c r="I61" s="294"/>
      <c r="J61" s="294"/>
      <c r="K61" s="294"/>
      <c r="L61" s="294"/>
      <c r="M61" s="294"/>
      <c r="N61" s="294"/>
      <c r="O61" s="294"/>
      <c r="P61" s="294"/>
      <c r="Q61" s="294"/>
      <c r="R61" s="294"/>
      <c r="T61" s="42">
        <f t="shared" si="2"/>
        <v>0</v>
      </c>
      <c r="V61" s="42">
        <f ca="1">SUMIF(EAC[PA ID],BudgetTrack[[#This Row],[PA ID]],EAC[Estimate At Completion])</f>
        <v>0</v>
      </c>
      <c r="W61" s="184">
        <f ca="1">BudgetTrack[[#This Row],[Current Budget]]-BudgetTrack[[#This Row],[Estimate At Completion]]</f>
        <v>0</v>
      </c>
      <c r="X61" s="42">
        <f ca="1">SUMIFS(CostTrack[Value],CostTrack[PA ID],BudgetTrack[[#This Row],[PA ID]],CostTrack[Holdback (Y/N/R)],"&lt;&gt;Release",CostTrack[Status],"Approved")</f>
        <v>0</v>
      </c>
      <c r="Y61" s="42">
        <f ca="1">SUMPRODUCT(ChangeTrack[Change Value],--(ChangeTrack[Change Status]="Approved"),--(ChangeTrack[PA ID]=BudgetTrack[[#This Row],[PA ID]]),--(ChangeTrack[PA ID]&lt;&gt;""))</f>
        <v>0</v>
      </c>
      <c r="AA61" s="382"/>
    </row>
    <row r="62" spans="1:27" s="4" customFormat="1" hidden="1">
      <c r="A62" s="90">
        <f t="shared" si="1"/>
        <v>56</v>
      </c>
      <c r="B62" s="118" t="str">
        <f ca="1">CONCATENATE(IFERROR(INDEX(Validations!$B$11:$B$16,MATCH(C62,Primary,0)),""),IFERROR(OFFSET(INDEX(INDIRECT(SUBSTITUTE(C62," ","")),MATCH(D62,INDIRECT(SUBSTITUTE(C62," ","")),0)),0,-1),""),IFERROR(INDEX(Validations!$I$12:$I$32,MATCH(E62,Validations!$H$12:$H$32,0)),""),IFERROR(INDEX(Validations!$I$12:$I$32,MATCH(F62,Validations!$H$12:$H$32,0)),""),IFERROR(INDEX(Validations!$M$11:$M$16,MATCH(G62,Validations!$J$11:$J$16,0)),""))</f>
        <v/>
      </c>
      <c r="C62" s="212"/>
      <c r="D62" s="82"/>
      <c r="E62" s="212"/>
      <c r="F62" s="212"/>
      <c r="G62" s="212"/>
      <c r="H62" s="301"/>
      <c r="I62" s="294"/>
      <c r="J62" s="294"/>
      <c r="K62" s="294"/>
      <c r="L62" s="294"/>
      <c r="M62" s="294"/>
      <c r="N62" s="294"/>
      <c r="O62" s="294"/>
      <c r="P62" s="294"/>
      <c r="Q62" s="294"/>
      <c r="R62" s="294"/>
      <c r="T62" s="42">
        <f t="shared" si="2"/>
        <v>0</v>
      </c>
      <c r="V62" s="42">
        <f ca="1">SUMIF(EAC[PA ID],BudgetTrack[[#This Row],[PA ID]],EAC[Estimate At Completion])</f>
        <v>0</v>
      </c>
      <c r="W62" s="184">
        <f ca="1">BudgetTrack[[#This Row],[Current Budget]]-BudgetTrack[[#This Row],[Estimate At Completion]]</f>
        <v>0</v>
      </c>
      <c r="X62" s="42">
        <f ca="1">SUMIFS(CostTrack[Value],CostTrack[PA ID],BudgetTrack[[#This Row],[PA ID]],CostTrack[Holdback (Y/N/R)],"&lt;&gt;Release",CostTrack[Status],"Approved")</f>
        <v>0</v>
      </c>
      <c r="Y62" s="42">
        <f ca="1">SUMPRODUCT(ChangeTrack[Change Value],--(ChangeTrack[Change Status]="Approved"),--(ChangeTrack[PA ID]=BudgetTrack[[#This Row],[PA ID]]),--(ChangeTrack[PA ID]&lt;&gt;""))</f>
        <v>0</v>
      </c>
      <c r="AA62" s="382"/>
    </row>
    <row r="63" spans="1:27" s="4" customFormat="1" hidden="1">
      <c r="A63" s="90">
        <f t="shared" si="1"/>
        <v>57</v>
      </c>
      <c r="B63" s="118" t="str">
        <f ca="1">CONCATENATE(IFERROR(INDEX(Validations!$B$11:$B$16,MATCH(C63,Primary,0)),""),IFERROR(OFFSET(INDEX(INDIRECT(SUBSTITUTE(C63," ","")),MATCH(D63,INDIRECT(SUBSTITUTE(C63," ","")),0)),0,-1),""),IFERROR(INDEX(Validations!$I$12:$I$32,MATCH(E63,Validations!$H$12:$H$32,0)),""),IFERROR(INDEX(Validations!$I$12:$I$32,MATCH(F63,Validations!$H$12:$H$32,0)),""),IFERROR(INDEX(Validations!$M$11:$M$16,MATCH(G63,Validations!$J$11:$J$16,0)),""))</f>
        <v/>
      </c>
      <c r="C63" s="88"/>
      <c r="D63" s="82"/>
      <c r="E63" s="79"/>
      <c r="F63" s="79"/>
      <c r="G63" s="79"/>
      <c r="H63" s="300"/>
      <c r="I63" s="294"/>
      <c r="J63" s="294"/>
      <c r="K63" s="294"/>
      <c r="L63" s="294"/>
      <c r="M63" s="294"/>
      <c r="N63" s="294"/>
      <c r="O63" s="294"/>
      <c r="P63" s="294"/>
      <c r="Q63" s="294"/>
      <c r="R63" s="294"/>
      <c r="T63" s="42">
        <f t="shared" si="2"/>
        <v>0</v>
      </c>
      <c r="V63" s="42">
        <f ca="1">SUMIF(EAC[PA ID],BudgetTrack[[#This Row],[PA ID]],EAC[Estimate At Completion])</f>
        <v>0</v>
      </c>
      <c r="W63" s="184">
        <f ca="1">BudgetTrack[[#This Row],[Current Budget]]-BudgetTrack[[#This Row],[Estimate At Completion]]</f>
        <v>0</v>
      </c>
      <c r="X63" s="42">
        <f ca="1">SUMIFS(CostTrack[Value],CostTrack[PA ID],BudgetTrack[[#This Row],[PA ID]],CostTrack[Holdback (Y/N/R)],"&lt;&gt;Release",CostTrack[Status],"Approved")</f>
        <v>0</v>
      </c>
      <c r="Y63" s="42">
        <f ca="1">SUMPRODUCT(ChangeTrack[Change Value],--(ChangeTrack[Change Status]="Approved"),--(ChangeTrack[PA ID]=BudgetTrack[[#This Row],[PA ID]]),--(ChangeTrack[PA ID]&lt;&gt;""))</f>
        <v>0</v>
      </c>
      <c r="AA63" s="382"/>
    </row>
    <row r="64" spans="1:27" s="4" customFormat="1" hidden="1">
      <c r="A64" s="90">
        <f t="shared" si="1"/>
        <v>58</v>
      </c>
      <c r="B64" s="118" t="str">
        <f ca="1">CONCATENATE(IFERROR(INDEX(Validations!$B$11:$B$16,MATCH(C64,Primary,0)),""),IFERROR(OFFSET(INDEX(INDIRECT(SUBSTITUTE(C64," ","")),MATCH(D64,INDIRECT(SUBSTITUTE(C64," ","")),0)),0,-1),""),IFERROR(INDEX(Validations!$I$12:$I$32,MATCH(E64,Validations!$H$12:$H$32,0)),""),IFERROR(INDEX(Validations!$I$12:$I$32,MATCH(F64,Validations!$H$12:$H$32,0)),""),IFERROR(INDEX(Validations!$M$11:$M$16,MATCH(G64,Validations!$J$11:$J$16,0)),""))</f>
        <v/>
      </c>
      <c r="C64" s="88"/>
      <c r="D64" s="82"/>
      <c r="E64" s="79"/>
      <c r="F64" s="79"/>
      <c r="G64" s="79"/>
      <c r="H64" s="300"/>
      <c r="I64" s="294"/>
      <c r="J64" s="294"/>
      <c r="K64" s="294"/>
      <c r="L64" s="294"/>
      <c r="M64" s="294"/>
      <c r="N64" s="294"/>
      <c r="O64" s="294"/>
      <c r="P64" s="294"/>
      <c r="Q64" s="294"/>
      <c r="R64" s="294"/>
      <c r="T64" s="42">
        <f t="shared" si="2"/>
        <v>0</v>
      </c>
      <c r="V64" s="42">
        <f ca="1">SUMIF(EAC[PA ID],BudgetTrack[[#This Row],[PA ID]],EAC[Estimate At Completion])</f>
        <v>0</v>
      </c>
      <c r="W64" s="184">
        <f ca="1">BudgetTrack[[#This Row],[Current Budget]]-BudgetTrack[[#This Row],[Estimate At Completion]]</f>
        <v>0</v>
      </c>
      <c r="X64" s="42">
        <f ca="1">SUMIFS(CostTrack[Value],CostTrack[PA ID],BudgetTrack[[#This Row],[PA ID]],CostTrack[Holdback (Y/N/R)],"&lt;&gt;Release",CostTrack[Status],"Approved")</f>
        <v>0</v>
      </c>
      <c r="Y64" s="42">
        <f ca="1">SUMPRODUCT(ChangeTrack[Change Value],--(ChangeTrack[Change Status]="Approved"),--(ChangeTrack[PA ID]=BudgetTrack[[#This Row],[PA ID]]),--(ChangeTrack[PA ID]&lt;&gt;""))</f>
        <v>0</v>
      </c>
      <c r="AA64" s="382"/>
    </row>
    <row r="65" spans="1:27" s="4" customFormat="1" hidden="1">
      <c r="A65" s="90">
        <f t="shared" si="1"/>
        <v>59</v>
      </c>
      <c r="B65" s="118" t="str">
        <f ca="1">CONCATENATE(IFERROR(INDEX(Validations!$B$11:$B$16,MATCH(C65,Primary,0)),""),IFERROR(OFFSET(INDEX(INDIRECT(SUBSTITUTE(C65," ","")),MATCH(D65,INDIRECT(SUBSTITUTE(C65," ","")),0)),0,-1),""),IFERROR(INDEX(Validations!$I$12:$I$32,MATCH(E65,Validations!$H$12:$H$32,0)),""),IFERROR(INDEX(Validations!$I$12:$I$32,MATCH(F65,Validations!$H$12:$H$32,0)),""),IFERROR(INDEX(Validations!$M$11:$M$16,MATCH(G65,Validations!$J$11:$J$16,0)),""))</f>
        <v/>
      </c>
      <c r="C65" s="212"/>
      <c r="D65" s="82"/>
      <c r="E65" s="212"/>
      <c r="F65" s="212"/>
      <c r="G65" s="212"/>
      <c r="H65" s="301"/>
      <c r="I65" s="294"/>
      <c r="J65" s="294"/>
      <c r="K65" s="294"/>
      <c r="L65" s="294"/>
      <c r="M65" s="294"/>
      <c r="N65" s="294"/>
      <c r="O65" s="294"/>
      <c r="P65" s="294"/>
      <c r="Q65" s="294"/>
      <c r="R65" s="294"/>
      <c r="T65" s="42">
        <f t="shared" si="2"/>
        <v>0</v>
      </c>
      <c r="V65" s="42">
        <f ca="1">SUMIF(EAC[PA ID],BudgetTrack[[#This Row],[PA ID]],EAC[Estimate At Completion])</f>
        <v>0</v>
      </c>
      <c r="W65" s="184">
        <f ca="1">BudgetTrack[[#This Row],[Current Budget]]-BudgetTrack[[#This Row],[Estimate At Completion]]</f>
        <v>0</v>
      </c>
      <c r="X65" s="42">
        <f ca="1">SUMIFS(CostTrack[Value],CostTrack[PA ID],BudgetTrack[[#This Row],[PA ID]],CostTrack[Holdback (Y/N/R)],"&lt;&gt;Release",CostTrack[Status],"Approved")</f>
        <v>0</v>
      </c>
      <c r="Y65" s="42">
        <f ca="1">SUMPRODUCT(ChangeTrack[Change Value],--(ChangeTrack[Change Status]="Approved"),--(ChangeTrack[PA ID]=BudgetTrack[[#This Row],[PA ID]]),--(ChangeTrack[PA ID]&lt;&gt;""))</f>
        <v>0</v>
      </c>
      <c r="AA65" s="382"/>
    </row>
    <row r="66" spans="1:27" s="4" customFormat="1">
      <c r="A66" s="90">
        <f t="shared" si="1"/>
        <v>60</v>
      </c>
      <c r="B66" s="118"/>
      <c r="C66" s="212"/>
      <c r="D66" s="82"/>
      <c r="E66" s="212"/>
      <c r="F66" s="212"/>
      <c r="G66" s="79"/>
      <c r="H66" s="301"/>
      <c r="I66" s="294"/>
      <c r="J66" s="294"/>
      <c r="K66" s="294"/>
      <c r="L66" s="294"/>
      <c r="M66" s="294"/>
      <c r="N66" s="294"/>
      <c r="O66" s="294"/>
      <c r="P66" s="294"/>
      <c r="Q66" s="294"/>
      <c r="R66" s="294"/>
      <c r="T66" s="42">
        <f t="shared" si="2"/>
        <v>0</v>
      </c>
      <c r="V66" s="42">
        <f ca="1">SUMIF(EAC[PA ID],BudgetTrack[[#This Row],[PA ID]],EAC[Estimate At Completion])</f>
        <v>0</v>
      </c>
      <c r="W66" s="184">
        <f ca="1">BudgetTrack[[#This Row],[Current Budget]]-BudgetTrack[[#This Row],[Estimate At Completion]]</f>
        <v>0</v>
      </c>
      <c r="X66" s="42">
        <f ca="1">SUMIFS(CostTrack[Value],CostTrack[PA ID],BudgetTrack[[#This Row],[PA ID]],CostTrack[Holdback (Y/N/R)],"&lt;&gt;Release",CostTrack[Status],"Approved")</f>
        <v>0</v>
      </c>
      <c r="Y66" s="42">
        <f ca="1">SUMPRODUCT(ChangeTrack[Change Value],--(ChangeTrack[Change Status]="Approved"),--(ChangeTrack[PA ID]=BudgetTrack[[#This Row],[PA ID]]),--(ChangeTrack[PA ID]&lt;&gt;""))</f>
        <v>0</v>
      </c>
      <c r="AA66" s="382"/>
    </row>
    <row r="67" spans="1:27" s="18" customFormat="1">
      <c r="A67" s="90"/>
      <c r="B67" s="114"/>
      <c r="C67" s="115"/>
      <c r="D67" s="115"/>
      <c r="E67" s="115"/>
      <c r="F67" s="115"/>
      <c r="G67" s="386" t="s">
        <v>362</v>
      </c>
      <c r="H67" s="280">
        <f ca="1">SUBTOTAL(109,BudgetTrack[Baseline Budget])</f>
        <v>206629220.38</v>
      </c>
      <c r="I67" s="280">
        <f ca="1">SUBTOTAL(109,BudgetTrack[Prime Consultant Contract Award])</f>
        <v>-311388</v>
      </c>
      <c r="J67" s="280">
        <f ca="1">SUBTOTAL(109,BudgetTrack[&lt;enter milestone&gt;])</f>
        <v>1351221</v>
      </c>
      <c r="K67" s="280">
        <f ca="1">SUBTOTAL(109,BudgetTrack[75% CD Submission])</f>
        <v>1</v>
      </c>
      <c r="L67" s="280">
        <f ca="1">SUBTOTAL(109,BudgetTrack[Contract Award])</f>
        <v>0</v>
      </c>
      <c r="M67" s="280">
        <f ca="1">SUBTOTAL(109,BudgetTrack[Post-Contract Award])</f>
        <v>1</v>
      </c>
      <c r="N67" s="280">
        <f ca="1">SUBTOTAL(109,BudgetTrack[25% Construction])</f>
        <v>94883</v>
      </c>
      <c r="O67" s="280">
        <f ca="1">SUBTOTAL(109,BudgetTrack[50% Construction])</f>
        <v>-4089791.84</v>
      </c>
      <c r="P67" s="280">
        <f ca="1">SUBTOTAL(109,BudgetTrack[75% Construction])</f>
        <v>-579449</v>
      </c>
      <c r="Q67" s="280">
        <f ca="1">SUBTOTAL(109,BudgetTrack[95% Construction])</f>
        <v>5302</v>
      </c>
      <c r="R67" s="280">
        <f ca="1">SUBTOTAL(109,BudgetTrack[Post Interim])</f>
        <v>-11999999.700000001</v>
      </c>
      <c r="S67" s="4"/>
      <c r="T67" s="280">
        <f ca="1">SUBTOTAL(109,BudgetTrack[Current Budget])</f>
        <v>191099999.84</v>
      </c>
      <c r="U67" s="4"/>
      <c r="V67" s="280">
        <f ca="1">SUBTOTAL(109,BudgetTrack[Estimate At Completion])</f>
        <v>191099999.88000005</v>
      </c>
      <c r="W67" s="280">
        <f ca="1">SUBTOTAL(109,BudgetTrack[Budget Variance])</f>
        <v>-4.0000000415602699E-2</v>
      </c>
      <c r="X67" s="280">
        <f ca="1">SUBTOTAL(109,BudgetTrack[Expenditures])</f>
        <v>182727345.40000004</v>
      </c>
      <c r="Y67" s="280">
        <f ca="1">SUBTOTAL(109,BudgetTrack[Approved Changes])</f>
        <v>19550029.640000008</v>
      </c>
      <c r="Z67" s="4"/>
      <c r="AA67" s="385">
        <f ca="1">SUBTOTAL(103,BudgetTrack[Notes])</f>
        <v>0</v>
      </c>
    </row>
    <row r="68" spans="1:27" s="47" customFormat="1">
      <c r="A68" s="91"/>
      <c r="B68" s="114"/>
      <c r="C68" s="115"/>
      <c r="D68" s="115"/>
      <c r="E68" s="115"/>
      <c r="F68" s="115"/>
      <c r="G68" s="386" t="s">
        <v>274</v>
      </c>
      <c r="H68" s="280">
        <f ca="1">ROUND(SUM(BudgetTrack[Baseline Budget]),2)</f>
        <v>206629220.38</v>
      </c>
      <c r="I68" s="280">
        <f ca="1">ROUND(SUM(BudgetTrack[Prime Consultant Contract Award]),2)</f>
        <v>-311388</v>
      </c>
      <c r="J68" s="280">
        <f ca="1">ROUND(SUM(BudgetTrack[&lt;enter milestone&gt;]),2)</f>
        <v>1351221</v>
      </c>
      <c r="K68" s="280">
        <f ca="1">ROUND(SUM(BudgetTrack[75% CD Submission]),2)</f>
        <v>1</v>
      </c>
      <c r="L68" s="280">
        <f ca="1">ROUND(SUM(BudgetTrack[Contract Award]),2)</f>
        <v>0</v>
      </c>
      <c r="M68" s="280">
        <f ca="1">ROUND(SUM(BudgetTrack[Post-Contract Award]),2)</f>
        <v>1</v>
      </c>
      <c r="N68" s="280">
        <f ca="1">ROUND(SUM(BudgetTrack[25% Construction]),2)</f>
        <v>94883</v>
      </c>
      <c r="O68" s="280">
        <f ca="1">ROUND(SUM(BudgetTrack[50% Construction]),2)</f>
        <v>-4089791.84</v>
      </c>
      <c r="P68" s="280">
        <f ca="1">ROUND(SUM(BudgetTrack[75% Construction]),2)</f>
        <v>-579449</v>
      </c>
      <c r="Q68" s="280">
        <f ca="1">ROUND(SUM(BudgetTrack[95% Construction]),2)</f>
        <v>5302</v>
      </c>
      <c r="R68" s="280">
        <f ca="1">ROUND(SUM(BudgetTrack[Post Interim]),2)</f>
        <v>-11999999.699999999</v>
      </c>
      <c r="S68" s="1"/>
      <c r="T68" s="280">
        <f ca="1">ROUND(SUM(BudgetTrack[Current Budget]),2)</f>
        <v>191099999.84</v>
      </c>
      <c r="U68" s="18"/>
      <c r="V68" s="280">
        <f ca="1">ROUND(SUM(BudgetTrack[Estimate At Completion]),2)</f>
        <v>191099999.88</v>
      </c>
      <c r="W68" s="280">
        <f ca="1">ROUND(SUM(BudgetTrack[Budget Variance]),2)</f>
        <v>-0.04</v>
      </c>
      <c r="X68" s="280">
        <f ca="1">ROUND(SUM(BudgetTrack[Expenditures]),2)</f>
        <v>182727345.40000001</v>
      </c>
      <c r="Y68" s="280">
        <f ca="1">ROUND(SUM(BudgetTrack[Approved Changes]),2)</f>
        <v>19550029.640000001</v>
      </c>
      <c r="Z68" s="18"/>
      <c r="AA68" s="57"/>
    </row>
    <row r="69" spans="1:27" s="47" customFormat="1" ht="12.4">
      <c r="A69" s="93"/>
      <c r="C69" s="58"/>
      <c r="D69" s="59"/>
      <c r="E69" s="59"/>
      <c r="F69" s="59"/>
      <c r="G69" s="59"/>
      <c r="H69" s="60"/>
      <c r="I69" s="348"/>
      <c r="J69" s="349"/>
      <c r="K69" s="347"/>
      <c r="L69" s="347"/>
      <c r="M69" s="13"/>
      <c r="N69" s="13"/>
      <c r="O69" s="13"/>
      <c r="P69" s="13"/>
      <c r="Q69" s="13"/>
      <c r="R69" s="347"/>
      <c r="S69" s="49"/>
    </row>
    <row r="70" spans="1:27" s="47" customFormat="1" ht="9.75" customHeight="1">
      <c r="A70" s="93"/>
      <c r="C70" s="58"/>
      <c r="D70" s="59"/>
      <c r="E70" s="59"/>
      <c r="F70" s="59"/>
      <c r="G70" s="59"/>
      <c r="H70" s="60"/>
      <c r="I70" s="348"/>
      <c r="J70" s="349"/>
      <c r="K70" s="347"/>
      <c r="L70" s="347"/>
      <c r="M70" s="13"/>
      <c r="N70" s="13"/>
      <c r="O70" s="13"/>
      <c r="P70" s="13"/>
      <c r="Q70" s="13"/>
      <c r="R70" s="347"/>
      <c r="S70" s="49"/>
      <c r="Y70" s="48"/>
    </row>
    <row r="71" spans="1:27" s="102" customFormat="1" ht="30.75" customHeight="1">
      <c r="A71" s="93"/>
      <c r="B71" s="58"/>
      <c r="C71" s="58"/>
      <c r="D71" s="59"/>
      <c r="E71" s="59"/>
      <c r="F71" s="59"/>
      <c r="G71" s="59"/>
      <c r="H71" s="60"/>
      <c r="I71" s="49"/>
      <c r="J71" s="49"/>
      <c r="K71" s="49"/>
      <c r="L71" s="49"/>
      <c r="M71" s="49"/>
      <c r="N71" s="49"/>
      <c r="O71" s="49"/>
      <c r="P71" s="49"/>
      <c r="Q71" s="49"/>
      <c r="R71" s="49"/>
      <c r="S71" s="49"/>
      <c r="T71" s="13"/>
      <c r="U71" s="47"/>
      <c r="V71" s="48"/>
      <c r="W71" s="49"/>
      <c r="X71" s="48"/>
      <c r="Y71" s="48"/>
      <c r="Z71" s="47"/>
      <c r="AA71" s="47"/>
    </row>
    <row r="72" spans="1:27" s="47" customFormat="1">
      <c r="A72" s="101"/>
      <c r="B72" s="1135" t="s">
        <v>363</v>
      </c>
      <c r="C72" s="1135"/>
      <c r="D72" s="1135"/>
      <c r="E72" s="1135"/>
      <c r="F72" s="1135"/>
      <c r="G72" s="1135"/>
      <c r="H72" s="1135"/>
      <c r="I72" s="1135"/>
      <c r="J72" s="1135"/>
      <c r="K72" s="1135"/>
      <c r="L72" s="1135"/>
      <c r="M72" s="1135"/>
      <c r="N72" s="1135"/>
      <c r="O72" s="1135"/>
      <c r="P72" s="1135"/>
      <c r="Q72" s="1135"/>
      <c r="R72" s="1135"/>
      <c r="S72" s="1135"/>
      <c r="T72" s="1135"/>
      <c r="U72" s="1135"/>
      <c r="V72" s="1135"/>
      <c r="W72" s="1135"/>
      <c r="X72" s="1135"/>
      <c r="Y72" s="1135"/>
      <c r="Z72" s="1135"/>
      <c r="AA72" s="1135"/>
    </row>
    <row r="73" spans="1:27">
      <c r="A73" s="93"/>
      <c r="B73" s="100"/>
      <c r="C73" s="100"/>
      <c r="D73" s="100"/>
      <c r="E73" s="100"/>
      <c r="F73" s="100"/>
      <c r="G73" s="100"/>
      <c r="H73" s="100"/>
      <c r="I73" s="100"/>
      <c r="J73" s="100"/>
      <c r="K73" s="100"/>
      <c r="L73" s="100"/>
      <c r="M73" s="100"/>
      <c r="N73" s="100"/>
      <c r="O73" s="100"/>
      <c r="P73" s="100"/>
      <c r="Q73" s="100"/>
      <c r="R73" s="100"/>
      <c r="S73" s="100"/>
      <c r="T73" s="100"/>
      <c r="U73" s="100"/>
      <c r="V73" s="100"/>
      <c r="W73" s="100"/>
      <c r="X73" s="100"/>
      <c r="Y73" s="100"/>
      <c r="Z73" s="100"/>
      <c r="AA73" s="100"/>
    </row>
    <row r="74" spans="1:27" ht="15" customHeight="1">
      <c r="B74" s="40" t="s">
        <v>364</v>
      </c>
      <c r="C74" s="40"/>
      <c r="D74" s="14" t="s">
        <v>365</v>
      </c>
    </row>
    <row r="75" spans="1:27" ht="15" customHeight="1">
      <c r="B75" s="281">
        <f>H5</f>
        <v>43348</v>
      </c>
      <c r="C75" s="124" t="str">
        <f>H6</f>
        <v>Baseline Budget</v>
      </c>
      <c r="D75" s="279" t="s">
        <v>366</v>
      </c>
      <c r="E75" s="1132" t="s">
        <v>367</v>
      </c>
      <c r="F75" s="1133"/>
      <c r="G75" s="1133"/>
      <c r="H75" s="1133"/>
      <c r="I75" s="1133"/>
      <c r="J75" s="1133"/>
      <c r="K75" s="1133"/>
      <c r="L75" s="1133"/>
      <c r="M75" s="1133"/>
      <c r="N75" s="1133"/>
      <c r="O75" s="1133"/>
      <c r="P75" s="1133"/>
      <c r="Q75" s="1133"/>
      <c r="R75" s="1133"/>
      <c r="S75" s="1133"/>
      <c r="T75" s="1133"/>
      <c r="U75" s="1133"/>
      <c r="V75" s="1133"/>
      <c r="W75" s="1133"/>
      <c r="X75" s="1133"/>
      <c r="Y75" s="1133"/>
      <c r="Z75" s="1133"/>
      <c r="AA75" s="1134"/>
    </row>
    <row r="76" spans="1:27">
      <c r="B76" s="281">
        <f>I5</f>
        <v>43221</v>
      </c>
      <c r="C76" s="124" t="str">
        <f>I6</f>
        <v>Prime Consultant Contract Award</v>
      </c>
      <c r="D76" s="279" t="s">
        <v>366</v>
      </c>
      <c r="E76" s="1132" t="s">
        <v>368</v>
      </c>
      <c r="F76" s="1133"/>
      <c r="G76" s="1133"/>
      <c r="H76" s="1133"/>
      <c r="I76" s="1133"/>
      <c r="J76" s="1133"/>
      <c r="K76" s="1133"/>
      <c r="L76" s="1133"/>
      <c r="M76" s="1133"/>
      <c r="N76" s="1133"/>
      <c r="O76" s="1133"/>
      <c r="P76" s="1133"/>
      <c r="Q76" s="1133"/>
      <c r="R76" s="1133"/>
      <c r="S76" s="1133"/>
      <c r="T76" s="1133"/>
      <c r="U76" s="1133"/>
      <c r="V76" s="1133"/>
      <c r="W76" s="1133"/>
      <c r="X76" s="1133"/>
      <c r="Y76" s="1133"/>
      <c r="Z76" s="1133"/>
      <c r="AA76" s="1134"/>
    </row>
    <row r="77" spans="1:27">
      <c r="B77" s="64">
        <f>J5</f>
        <v>43612</v>
      </c>
      <c r="C77" s="118" t="str">
        <f>J6</f>
        <v>&lt;enter milestone&gt;</v>
      </c>
      <c r="D77" s="279" t="s">
        <v>366</v>
      </c>
      <c r="E77" s="1132" t="s">
        <v>369</v>
      </c>
      <c r="F77" s="1133"/>
      <c r="G77" s="1133"/>
      <c r="H77" s="1133"/>
      <c r="I77" s="1133"/>
      <c r="J77" s="1133"/>
      <c r="K77" s="1133"/>
      <c r="L77" s="1133"/>
      <c r="M77" s="1133"/>
      <c r="N77" s="1133"/>
      <c r="O77" s="1133"/>
      <c r="P77" s="1133"/>
      <c r="Q77" s="1133"/>
      <c r="R77" s="1133"/>
      <c r="S77" s="1133"/>
      <c r="T77" s="1133"/>
      <c r="U77" s="1133"/>
      <c r="V77" s="1133"/>
      <c r="W77" s="1133"/>
      <c r="X77" s="1133"/>
      <c r="Y77" s="1133"/>
      <c r="Z77" s="1133"/>
      <c r="AA77" s="1134"/>
    </row>
    <row r="78" spans="1:27">
      <c r="B78" s="64">
        <f>K5</f>
        <v>43774</v>
      </c>
      <c r="C78" s="118" t="str">
        <f>K6</f>
        <v>75% CD Submission</v>
      </c>
      <c r="D78" s="279" t="s">
        <v>366</v>
      </c>
      <c r="E78" s="1132" t="s">
        <v>370</v>
      </c>
      <c r="F78" s="1133"/>
      <c r="G78" s="1133"/>
      <c r="H78" s="1133"/>
      <c r="I78" s="1133"/>
      <c r="J78" s="1133"/>
      <c r="K78" s="1133"/>
      <c r="L78" s="1133"/>
      <c r="M78" s="1133"/>
      <c r="N78" s="1133"/>
      <c r="O78" s="1133"/>
      <c r="P78" s="1133"/>
      <c r="Q78" s="1133"/>
      <c r="R78" s="1133"/>
      <c r="S78" s="1133"/>
      <c r="T78" s="1133"/>
      <c r="U78" s="1133"/>
      <c r="V78" s="1133"/>
      <c r="W78" s="1133"/>
      <c r="X78" s="1133"/>
      <c r="Y78" s="1133"/>
      <c r="Z78" s="1133"/>
      <c r="AA78" s="1134"/>
    </row>
    <row r="79" spans="1:27">
      <c r="B79" s="64">
        <f>L5</f>
        <v>44076</v>
      </c>
      <c r="C79" s="118" t="str">
        <f>L6</f>
        <v>Contract Award</v>
      </c>
      <c r="D79" s="279" t="s">
        <v>366</v>
      </c>
      <c r="E79" s="1132" t="s">
        <v>370</v>
      </c>
      <c r="F79" s="1133"/>
      <c r="G79" s="1133"/>
      <c r="H79" s="1133"/>
      <c r="I79" s="1133"/>
      <c r="J79" s="1133"/>
      <c r="K79" s="1133"/>
      <c r="L79" s="1133"/>
      <c r="M79" s="1133"/>
      <c r="N79" s="1133"/>
      <c r="O79" s="1133"/>
      <c r="P79" s="1133"/>
      <c r="Q79" s="1133"/>
      <c r="R79" s="1133"/>
      <c r="S79" s="1133"/>
      <c r="T79" s="1133"/>
      <c r="U79" s="1133"/>
      <c r="V79" s="1133"/>
      <c r="W79" s="1133"/>
      <c r="X79" s="1133"/>
      <c r="Y79" s="1133"/>
      <c r="Z79" s="1133"/>
      <c r="AA79" s="1134"/>
    </row>
    <row r="80" spans="1:27">
      <c r="B80" s="64">
        <f>M5</f>
        <v>44201</v>
      </c>
      <c r="C80" s="118" t="str">
        <f>M6</f>
        <v>Post-Contract Award</v>
      </c>
      <c r="D80" s="279" t="s">
        <v>371</v>
      </c>
      <c r="E80" s="1132" t="s">
        <v>372</v>
      </c>
      <c r="F80" s="1133"/>
      <c r="G80" s="1133"/>
      <c r="H80" s="1133"/>
      <c r="I80" s="1133"/>
      <c r="J80" s="1133"/>
      <c r="K80" s="1133"/>
      <c r="L80" s="1133"/>
      <c r="M80" s="1133"/>
      <c r="N80" s="1133"/>
      <c r="O80" s="1133"/>
      <c r="P80" s="1133"/>
      <c r="Q80" s="1133"/>
      <c r="R80" s="1133"/>
      <c r="S80" s="1133"/>
      <c r="T80" s="1133"/>
      <c r="U80" s="1133"/>
      <c r="V80" s="1133"/>
      <c r="W80" s="1133"/>
      <c r="X80" s="1133"/>
      <c r="Y80" s="1133"/>
      <c r="Z80" s="1133"/>
      <c r="AA80" s="1134"/>
    </row>
    <row r="81" spans="2:27">
      <c r="B81" s="64">
        <f>N5</f>
        <v>44229</v>
      </c>
      <c r="C81" s="118" t="str">
        <f>N6</f>
        <v>25% Construction</v>
      </c>
      <c r="D81" s="279" t="s">
        <v>366</v>
      </c>
      <c r="E81" s="1132" t="s">
        <v>373</v>
      </c>
      <c r="F81" s="1133"/>
      <c r="G81" s="1133"/>
      <c r="H81" s="1133"/>
      <c r="I81" s="1133"/>
      <c r="J81" s="1133"/>
      <c r="K81" s="1133"/>
      <c r="L81" s="1133"/>
      <c r="M81" s="1133"/>
      <c r="N81" s="1133"/>
      <c r="O81" s="1133"/>
      <c r="P81" s="1133"/>
      <c r="Q81" s="1133"/>
      <c r="R81" s="1133"/>
      <c r="S81" s="1133"/>
      <c r="T81" s="1133"/>
      <c r="U81" s="1133"/>
      <c r="V81" s="1133"/>
      <c r="W81" s="1133"/>
      <c r="X81" s="1133"/>
      <c r="Y81" s="1133"/>
      <c r="Z81" s="1133"/>
      <c r="AA81" s="1134"/>
    </row>
    <row r="82" spans="2:27">
      <c r="B82" s="64">
        <f>O5</f>
        <v>44772</v>
      </c>
      <c r="C82" s="118" t="str">
        <f>O6</f>
        <v>50% Construction</v>
      </c>
      <c r="D82" s="279" t="s">
        <v>366</v>
      </c>
      <c r="E82" s="1132" t="s">
        <v>373</v>
      </c>
      <c r="F82" s="1133"/>
      <c r="G82" s="1133"/>
      <c r="H82" s="1133"/>
      <c r="I82" s="1133"/>
      <c r="J82" s="1133"/>
      <c r="K82" s="1133"/>
      <c r="L82" s="1133"/>
      <c r="M82" s="1133"/>
      <c r="N82" s="1133"/>
      <c r="O82" s="1133"/>
      <c r="P82" s="1133"/>
      <c r="Q82" s="1133"/>
      <c r="R82" s="1133"/>
      <c r="S82" s="1133"/>
      <c r="T82" s="1133"/>
      <c r="U82" s="1133"/>
      <c r="V82" s="1133"/>
      <c r="W82" s="1133"/>
      <c r="X82" s="1133"/>
      <c r="Y82" s="1133"/>
      <c r="Z82" s="1133"/>
      <c r="AA82" s="1134"/>
    </row>
    <row r="83" spans="2:27">
      <c r="B83" s="64" t="str">
        <f>P5</f>
        <v>&lt;enter date&gt;</v>
      </c>
      <c r="C83" s="118" t="str">
        <f>P6</f>
        <v>75% Construction</v>
      </c>
      <c r="D83" s="279" t="s">
        <v>366</v>
      </c>
      <c r="E83" s="1132" t="s">
        <v>373</v>
      </c>
      <c r="F83" s="1133"/>
      <c r="G83" s="1133"/>
      <c r="H83" s="1133"/>
      <c r="I83" s="1133"/>
      <c r="J83" s="1133"/>
      <c r="K83" s="1133"/>
      <c r="L83" s="1133"/>
      <c r="M83" s="1133"/>
      <c r="N83" s="1133"/>
      <c r="O83" s="1133"/>
      <c r="P83" s="1133"/>
      <c r="Q83" s="1133"/>
      <c r="R83" s="1133"/>
      <c r="S83" s="1133"/>
      <c r="T83" s="1133"/>
      <c r="U83" s="1133"/>
      <c r="V83" s="1133"/>
      <c r="W83" s="1133"/>
      <c r="X83" s="1133"/>
      <c r="Y83" s="1133"/>
      <c r="Z83" s="1133"/>
      <c r="AA83" s="1134"/>
    </row>
    <row r="84" spans="2:27">
      <c r="B84" s="64" t="str">
        <f>Q5</f>
        <v>&lt;enter date&gt;</v>
      </c>
      <c r="C84" s="118" t="str">
        <f>Q6</f>
        <v>95% Construction</v>
      </c>
      <c r="D84" s="279" t="s">
        <v>366</v>
      </c>
      <c r="E84" s="1132" t="s">
        <v>373</v>
      </c>
      <c r="F84" s="1133"/>
      <c r="G84" s="1133"/>
      <c r="H84" s="1133"/>
      <c r="I84" s="1133"/>
      <c r="J84" s="1133"/>
      <c r="K84" s="1133"/>
      <c r="L84" s="1133"/>
      <c r="M84" s="1133"/>
      <c r="N84" s="1133"/>
      <c r="O84" s="1133"/>
      <c r="P84" s="1133"/>
      <c r="Q84" s="1133"/>
      <c r="R84" s="1133"/>
      <c r="S84" s="1133"/>
      <c r="T84" s="1133"/>
      <c r="U84" s="1133"/>
      <c r="V84" s="1133"/>
      <c r="W84" s="1133"/>
      <c r="X84" s="1133"/>
      <c r="Y84" s="1133"/>
      <c r="Z84" s="1133"/>
      <c r="AA84" s="1134"/>
    </row>
    <row r="85" spans="2:27">
      <c r="B85" s="64">
        <f>R5</f>
        <v>45499</v>
      </c>
      <c r="C85" s="118" t="str">
        <f>R6</f>
        <v>Post Interim</v>
      </c>
      <c r="D85" s="279" t="s">
        <v>366</v>
      </c>
      <c r="E85" s="1132" t="s">
        <v>373</v>
      </c>
      <c r="F85" s="1133"/>
      <c r="G85" s="1133"/>
      <c r="H85" s="1133"/>
      <c r="I85" s="1133"/>
      <c r="J85" s="1133"/>
      <c r="K85" s="1133"/>
      <c r="L85" s="1133"/>
      <c r="M85" s="1133"/>
      <c r="N85" s="1133"/>
      <c r="O85" s="1133"/>
      <c r="P85" s="1133"/>
      <c r="Q85" s="1133"/>
      <c r="R85" s="1133"/>
      <c r="S85" s="1133"/>
      <c r="T85" s="1133"/>
      <c r="U85" s="1133"/>
      <c r="V85" s="1133"/>
      <c r="W85" s="1133"/>
      <c r="X85" s="1133"/>
      <c r="Y85" s="1133"/>
      <c r="Z85" s="1133"/>
      <c r="AA85" s="1134"/>
    </row>
    <row r="86" spans="2:27">
      <c r="B86" s="33"/>
      <c r="C86" s="35"/>
      <c r="D86" s="33"/>
      <c r="E86" s="33"/>
      <c r="F86" s="33"/>
      <c r="G86" s="33"/>
      <c r="H86" s="34"/>
      <c r="I86" s="34"/>
      <c r="J86" s="34"/>
      <c r="K86" s="34"/>
      <c r="L86" s="34"/>
      <c r="M86" s="34"/>
      <c r="N86" s="34"/>
      <c r="O86" s="34"/>
      <c r="P86" s="34"/>
      <c r="Q86" s="34"/>
      <c r="R86" s="34"/>
      <c r="S86" s="35"/>
      <c r="T86" s="34"/>
      <c r="U86" s="35"/>
      <c r="V86" s="35"/>
      <c r="W86" s="34"/>
      <c r="X86" s="35"/>
      <c r="Y86" s="35"/>
      <c r="Z86" s="35"/>
      <c r="AA86" s="35"/>
    </row>
    <row r="87" spans="2:27">
      <c r="B87" s="33"/>
      <c r="C87" s="35"/>
      <c r="D87" s="33"/>
      <c r="E87" s="33"/>
      <c r="F87" s="33"/>
      <c r="G87" s="33"/>
      <c r="H87" s="34"/>
      <c r="I87" s="34"/>
      <c r="J87" s="34"/>
      <c r="K87" s="34"/>
      <c r="L87" s="34"/>
      <c r="M87" s="34"/>
      <c r="N87" s="34"/>
      <c r="O87" s="34"/>
      <c r="P87" s="34"/>
      <c r="Q87" s="34"/>
      <c r="R87" s="34"/>
      <c r="S87" s="35"/>
      <c r="T87" s="34"/>
      <c r="U87" s="35"/>
      <c r="V87" s="35"/>
      <c r="W87" s="34"/>
      <c r="X87" s="35"/>
      <c r="Y87" s="35"/>
      <c r="Z87" s="35"/>
      <c r="AA87" s="35"/>
    </row>
    <row r="88" spans="2:27">
      <c r="C88" s="1"/>
    </row>
  </sheetData>
  <sheetProtection insertRows="0" autoFilter="0"/>
  <mergeCells count="12">
    <mergeCell ref="B72:AA72"/>
    <mergeCell ref="E75:AA75"/>
    <mergeCell ref="E77:AA77"/>
    <mergeCell ref="E78:AA78"/>
    <mergeCell ref="E79:AA79"/>
    <mergeCell ref="E85:AA85"/>
    <mergeCell ref="E76:AA76"/>
    <mergeCell ref="E80:AA80"/>
    <mergeCell ref="E81:AA81"/>
    <mergeCell ref="E82:AA82"/>
    <mergeCell ref="E83:AA83"/>
    <mergeCell ref="E84:AA84"/>
  </mergeCells>
  <conditionalFormatting sqref="Y70">
    <cfRule type="cellIs" dxfId="631" priority="2" operator="equal">
      <formula>"no"</formula>
    </cfRule>
    <cfRule type="cellIs" dxfId="630" priority="3" operator="equal">
      <formula>"yes"</formula>
    </cfRule>
  </conditionalFormatting>
  <conditionalFormatting sqref="W7:W66">
    <cfRule type="cellIs" dxfId="629" priority="1" operator="notBetween">
      <formula>1</formula>
      <formula>-1</formula>
    </cfRule>
  </conditionalFormatting>
  <dataValidations count="2">
    <dataValidation type="list" allowBlank="1" showInputMessage="1" showErrorMessage="1" sqref="D7:D66" xr:uid="{00000000-0002-0000-0400-000000000000}">
      <formula1>INDIRECT(SUBSTITUTE(C7," ",""))</formula1>
    </dataValidation>
    <dataValidation type="date" operator="greaterThanOrEqual" allowBlank="1" showInputMessage="1" showErrorMessage="1" error="Please enter a valid date." sqref="H5:R5" xr:uid="{00000000-0002-0000-0400-000001000000}">
      <formula1>1</formula1>
    </dataValidation>
  </dataValidations>
  <pageMargins left="0.23622047244094491" right="0.23622047244094491" top="0.74803149606299213" bottom="0.74803149606299213" header="0.31496062992125984" footer="0.31496062992125984"/>
  <pageSetup paperSize="17" scale="71" fitToHeight="4" orientation="landscape" r:id="rId1"/>
  <headerFooter>
    <oddFooter>&amp;L&amp;1#&amp;"Calibri"&amp;11&amp;K000000Classification: Protected A</oddFooter>
  </headerFooter>
  <drawing r:id="rId2"/>
  <legacyDrawing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2000000}">
          <x14:formula1>
            <xm:f>Validations!$C$11:$C$16</xm:f>
          </x14:formula1>
          <xm:sqref>C7:C66</xm:sqref>
        </x14:dataValidation>
        <x14:dataValidation type="list" allowBlank="1" showInputMessage="1" showErrorMessage="1" xr:uid="{00000000-0002-0000-0400-000003000000}">
          <x14:formula1>
            <xm:f>Validations!$J$11:$J$15</xm:f>
          </x14:formula1>
          <xm:sqref>G7:G66</xm:sqref>
        </x14:dataValidation>
        <x14:dataValidation type="list" allowBlank="1" showInputMessage="1" showErrorMessage="1" xr:uid="{00000000-0002-0000-0400-000004000000}">
          <x14:formula1>
            <xm:f>Validations!$H$11:$H$38</xm:f>
          </x14:formula1>
          <xm:sqref>E7:F66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theme="2" tint="-0.499984740745262"/>
    <pageSetUpPr fitToPage="1"/>
  </sheetPr>
  <dimension ref="A1:Y116"/>
  <sheetViews>
    <sheetView topLeftCell="D1" zoomScale="80" zoomScaleNormal="80" workbookViewId="0">
      <selection activeCell="N43" sqref="N43"/>
    </sheetView>
  </sheetViews>
  <sheetFormatPr defaultColWidth="9.42578125" defaultRowHeight="14.1" outlineLevelCol="1"/>
  <cols>
    <col min="1" max="1" width="2.42578125" style="25" customWidth="1"/>
    <col min="2" max="2" width="47.7109375" style="36" customWidth="1"/>
    <col min="3" max="3" width="19.42578125" style="36" customWidth="1"/>
    <col min="4" max="4" width="41.42578125" style="33" customWidth="1" outlineLevel="1"/>
    <col min="5" max="5" width="19.42578125" style="37" customWidth="1"/>
    <col min="6" max="6" width="28.42578125" style="37" customWidth="1"/>
    <col min="7" max="7" width="23.7109375" style="37" customWidth="1"/>
    <col min="8" max="8" width="27.7109375" style="37" customWidth="1"/>
    <col min="9" max="9" width="23.28515625" style="37" customWidth="1"/>
    <col min="10" max="10" width="13.28515625" style="36" bestFit="1" customWidth="1"/>
    <col min="11" max="11" width="20.7109375" style="36" customWidth="1"/>
    <col min="12" max="12" width="20.42578125" style="37" customWidth="1"/>
    <col min="13" max="13" width="13.42578125" style="36" bestFit="1" customWidth="1"/>
    <col min="14" max="14" width="12.28515625" style="36" bestFit="1" customWidth="1"/>
    <col min="15" max="15" width="16.42578125" style="36" bestFit="1" customWidth="1" outlineLevel="1"/>
    <col min="16" max="16" width="22.42578125" style="36" customWidth="1" outlineLevel="1"/>
    <col min="17" max="17" width="28.42578125" style="36" customWidth="1" outlineLevel="1"/>
    <col min="18" max="18" width="19.42578125" style="37" customWidth="1" outlineLevel="1"/>
    <col min="19" max="19" width="21" style="37" customWidth="1" outlineLevel="1"/>
    <col min="20" max="20" width="17.42578125" style="37" customWidth="1" outlineLevel="1"/>
    <col min="21" max="21" width="21.42578125" style="37" customWidth="1"/>
    <col min="22" max="22" width="29.28515625" style="37" customWidth="1"/>
    <col min="23" max="23" width="16.42578125" style="37" bestFit="1" customWidth="1"/>
    <col min="24" max="24" width="18.7109375" style="37" customWidth="1"/>
    <col min="25" max="16384" width="9.42578125" style="37"/>
  </cols>
  <sheetData>
    <row r="1" spans="2:25" s="25" customFormat="1" ht="9" customHeight="1">
      <c r="B1" s="24"/>
      <c r="C1" s="24"/>
      <c r="D1" s="3"/>
      <c r="J1" s="24"/>
      <c r="K1" s="24"/>
      <c r="M1" s="24"/>
      <c r="N1" s="24"/>
      <c r="O1" s="24"/>
      <c r="P1" s="24"/>
      <c r="Q1" s="24"/>
    </row>
    <row r="2" spans="2:25" s="1" customFormat="1" ht="23.65">
      <c r="B2" s="16" t="s">
        <v>374</v>
      </c>
      <c r="C2" s="16"/>
      <c r="D2" s="169" t="s">
        <v>375</v>
      </c>
      <c r="F2" s="19" t="str">
        <f>Validations!$C$6</f>
        <v>Justice Centre</v>
      </c>
      <c r="J2" s="2"/>
      <c r="K2" s="2"/>
      <c r="M2" s="2"/>
      <c r="N2" s="170"/>
      <c r="O2" s="2"/>
      <c r="P2" s="2"/>
      <c r="Q2" s="2"/>
      <c r="U2" s="374"/>
    </row>
    <row r="3" spans="2:25" s="1" customFormat="1" ht="9" customHeight="1">
      <c r="B3" s="148"/>
      <c r="C3" s="148"/>
      <c r="D3" s="3"/>
      <c r="E3" s="2"/>
      <c r="J3" s="2"/>
      <c r="K3" s="2"/>
      <c r="M3" s="2"/>
      <c r="N3" s="2"/>
      <c r="O3" s="2"/>
      <c r="P3" s="2"/>
      <c r="Q3" s="2"/>
    </row>
    <row r="4" spans="2:25" s="25" customFormat="1">
      <c r="B4" s="284" t="s">
        <v>376</v>
      </c>
      <c r="C4" s="24"/>
      <c r="D4" s="24"/>
      <c r="E4" s="24"/>
      <c r="F4" s="6" t="s">
        <v>321</v>
      </c>
      <c r="G4" s="6" t="s">
        <v>377</v>
      </c>
      <c r="H4" s="6" t="s">
        <v>378</v>
      </c>
      <c r="I4" s="6" t="s">
        <v>333</v>
      </c>
      <c r="J4" s="6" t="s">
        <v>379</v>
      </c>
      <c r="K4" s="6" t="s">
        <v>335</v>
      </c>
      <c r="L4" s="6" t="s">
        <v>380</v>
      </c>
      <c r="M4" s="6"/>
      <c r="N4" s="6"/>
      <c r="O4" s="1137" t="s">
        <v>381</v>
      </c>
      <c r="P4" s="1137"/>
      <c r="Q4" s="1137"/>
      <c r="R4" s="1137"/>
      <c r="S4" s="1137"/>
      <c r="T4" s="1137"/>
      <c r="U4" s="1137" t="s">
        <v>382</v>
      </c>
      <c r="V4" s="1137"/>
    </row>
    <row r="5" spans="2:25" s="21" customFormat="1">
      <c r="B5" s="388" t="s">
        <v>383</v>
      </c>
      <c r="C5" s="435" t="s">
        <v>384</v>
      </c>
      <c r="D5" s="436" t="s">
        <v>385</v>
      </c>
      <c r="E5" s="435" t="s">
        <v>282</v>
      </c>
      <c r="F5" s="437" t="s">
        <v>386</v>
      </c>
      <c r="G5" s="389" t="s">
        <v>387</v>
      </c>
      <c r="H5" s="380" t="s">
        <v>388</v>
      </c>
      <c r="I5" s="380" t="s">
        <v>389</v>
      </c>
      <c r="J5" s="380" t="s">
        <v>390</v>
      </c>
      <c r="K5" s="380" t="s">
        <v>88</v>
      </c>
      <c r="L5" s="380" t="s">
        <v>391</v>
      </c>
      <c r="M5" s="438" t="s">
        <v>392</v>
      </c>
      <c r="N5" s="438" t="s">
        <v>393</v>
      </c>
      <c r="O5" s="223" t="s">
        <v>338</v>
      </c>
      <c r="P5" s="167" t="s">
        <v>7</v>
      </c>
      <c r="Q5" s="167" t="s">
        <v>339</v>
      </c>
      <c r="R5" s="439" t="s">
        <v>340</v>
      </c>
      <c r="S5" s="440" t="s">
        <v>341</v>
      </c>
      <c r="T5" s="441" t="s">
        <v>13</v>
      </c>
      <c r="U5" s="380" t="s">
        <v>394</v>
      </c>
      <c r="V5" s="378" t="s">
        <v>395</v>
      </c>
      <c r="W5" s="231" t="s">
        <v>396</v>
      </c>
      <c r="Y5" s="922"/>
    </row>
    <row r="6" spans="2:25" s="25" customFormat="1">
      <c r="B6" s="430" t="s">
        <v>397</v>
      </c>
      <c r="C6" s="117" t="s">
        <v>22</v>
      </c>
      <c r="D6" s="501" t="s">
        <v>397</v>
      </c>
      <c r="E6" s="172" t="s">
        <v>22</v>
      </c>
      <c r="F6" s="286">
        <v>0</v>
      </c>
      <c r="G6" s="286">
        <f ca="1">SUMIFS(ChangeTrack[Change Value],ChangeTrack[Vendor / Org.],VendorList[[#This Row],[Vendor / Org. with Contract ID]],ChangeTrack[Change Status],"Approved")</f>
        <v>0</v>
      </c>
      <c r="H6" s="289">
        <f ca="1">VendorList[[#This Row],[Original Contract Value]]+VendorList[[#This Row],[Amendment(s)]]</f>
        <v>0</v>
      </c>
      <c r="I6" s="290">
        <f ca="1">SUMIFS(CostTrack[Value],CostTrack[Vendor - Contract],VendorList[[#This Row],[Vendor / Org. with Contract ID]],CostTrack[PA ID],VendorList[[#This Row],[PA ID]],CostTrack[Holdback (Y/N/R)],"&lt;&gt;Release",CostTrack[Status],"Approved")</f>
        <v>0</v>
      </c>
      <c r="J6" s="106" t="str">
        <f ca="1">IF(VendorList[[#This Row],[Current Commitment]]=0,"-",VendorList[[#This Row],[Expenditures to Date]]/VendorList[[#This Row],[Current Commitment]])</f>
        <v>-</v>
      </c>
      <c r="K6" s="292">
        <f ca="1">SUMIF(CostTrack[Vendor - Contract],VendorList[[#This Row],[Vendor / Org. with Contract ID]],CostTrack[Holdback Value])*-1</f>
        <v>0</v>
      </c>
      <c r="L6" s="292">
        <f ca="1">VendorList[[#This Row],[Current Commitment]]-VendorList[[#This Row],[Expenditures to Date]]</f>
        <v>0</v>
      </c>
      <c r="M6" s="173" t="s">
        <v>22</v>
      </c>
      <c r="N6" s="174" t="s">
        <v>22</v>
      </c>
      <c r="O6" s="175"/>
      <c r="P6" s="80" t="s">
        <v>22</v>
      </c>
      <c r="Q6" s="80" t="s">
        <v>22</v>
      </c>
      <c r="R6" s="117" t="s">
        <v>22</v>
      </c>
      <c r="S6" s="117" t="s">
        <v>22</v>
      </c>
      <c r="T6" s="117" t="s">
        <v>22</v>
      </c>
      <c r="U6" s="80" t="str">
        <f>IF((OR(E6="Open",E6="--")),D6,"")</f>
        <v>Future / Not Awarded</v>
      </c>
      <c r="V6" s="434" t="str">
        <f ca="1">IFERROR(INDEX($U$6:$U$109,_xlfn.AGGREGATE(15,6,(ROW($U$6:$U$109)-ROW($U$6)+1)/($U$6:$U$109&lt;&gt;""),ROWS(V$6:V6))),"")</f>
        <v>Future / Not Awarded</v>
      </c>
      <c r="W6" s="1284" t="str">
        <f ca="1">IF(OR(VendorList[[#This Row],[Vendor / Org. with Contract ID]]="",VendorList[[#This Row],[Vendor / Org. with Contract ID]]="Future / Not Awarded"),"",IFERROR(INDEX(EAC[Estimate At Completion],MATCH(VendorList[[#This Row],[Vendor / Org. with Contract ID]],EAC[Vendor / Org. with Contract ID],0),1),"Does Not Exist"))</f>
        <v/>
      </c>
      <c r="Y6" s="922"/>
    </row>
    <row r="7" spans="2:25">
      <c r="B7" s="431" t="s">
        <v>398</v>
      </c>
      <c r="C7" s="83">
        <v>34413</v>
      </c>
      <c r="D7" s="77" t="str">
        <f ca="1">IF(VendorList[[#This Row],[Vendor / Org.]]="","",CONCATENATE(VendorList[[#This Row],[Vendor / Org.]],"-",VendorList[[#This Row],[Contract ID]]))</f>
        <v>Group2 Architecture Interior Design Ltd. -34413</v>
      </c>
      <c r="E7" s="83" t="s">
        <v>71</v>
      </c>
      <c r="F7" s="287">
        <v>7943977</v>
      </c>
      <c r="G7" s="286">
        <f ca="1">SUMIFS(ChangeTrack[Change Value],ChangeTrack[Vendor / Org.],VendorList[[#This Row],[Vendor / Org. with Contract ID]],ChangeTrack[Change Status],"Approved")</f>
        <v>1799688.82</v>
      </c>
      <c r="H7" s="286">
        <f ca="1">VendorList[[#This Row],[Original Contract Value]]+VendorList[[#This Row],[Amendment(s)]]</f>
        <v>9743665.8200000003</v>
      </c>
      <c r="I7" s="290">
        <f ca="1">SUMIFS(CostTrack[Value],CostTrack[Vendor - Contract],VendorList[[#This Row],[Vendor / Org. with Contract ID]],CostTrack[PA ID],VendorList[[#This Row],[PA ID]],CostTrack[Holdback (Y/N/R)],"&lt;&gt;Release",CostTrack[Status],"Approved")</f>
        <v>9659288.0199999921</v>
      </c>
      <c r="J7" s="106">
        <f ca="1">IF(VendorList[[#This Row],[Current Commitment]]=0,"-",VendorList[[#This Row],[Expenditures to Date]]/VendorList[[#This Row],[Current Commitment]])</f>
        <v>0.99134024077192662</v>
      </c>
      <c r="K7" s="292">
        <f ca="1">SUMIF(CostTrack[Vendor - Contract],VendorList[[#This Row],[Vendor / Org. with Contract ID]],CostTrack[Holdback Value])*-1</f>
        <v>0</v>
      </c>
      <c r="L7" s="292">
        <f ca="1">VendorList[[#This Row],[Current Commitment]]-VendorList[[#This Row],[Expenditures to Date]]</f>
        <v>84377.800000008196</v>
      </c>
      <c r="M7" s="84"/>
      <c r="N7" s="84">
        <v>46022</v>
      </c>
      <c r="O7" s="85" t="s">
        <v>399</v>
      </c>
      <c r="P7" s="177" t="str">
        <f ca="1">IFERROR(INDEX(BudgetTrack[Primary Category],MATCH(VendorList[[#This Row],[PA ID]],BudgetTrack[PA ID],0)),"")</f>
        <v>Professional Services</v>
      </c>
      <c r="Q7" s="177" t="str">
        <f ca="1">IFERROR(INDEX(BudgetTrack[Secondary Category],MATCH(VendorList[[#This Row],[PA ID]],BudgetTrack[PA ID],0)),"")</f>
        <v>Prime Consultant</v>
      </c>
      <c r="R7" s="176" t="str">
        <f ca="1">IFERROR(INDEX(BudgetTrack[Phase / Subproject],MATCH(VendorList[[#This Row],[PA ID]],BudgetTrack[PA ID],0)),"")</f>
        <v>--</v>
      </c>
      <c r="S7" s="176" t="str">
        <f ca="1">IFERROR(INDEX(BudgetTrack[Phase / Subproject 2],MATCH(VendorList[[#This Row],[PA ID]],BudgetTrack[PA ID],0)),"")</f>
        <v>--</v>
      </c>
      <c r="T7" s="576" t="str">
        <f ca="1">IFERROR(INDEX(BudgetTrack[Funding Source],MATCH(VendorList[[#This Row],[PA ID]],BudgetTrack[PA ID],0)),"")</f>
        <v>P-002360</v>
      </c>
      <c r="U7" s="80" t="str">
        <f t="shared" ref="U7:U74" ca="1" si="0">IF((OR(E7="Open",E7="--")),D7,"")</f>
        <v>Group2 Architecture Interior Design Ltd. -34413</v>
      </c>
      <c r="V7" s="434" t="str">
        <f ca="1">IFERROR(INDEX($U$6:$U$109,_xlfn.AGGREGATE(15,6,(ROW($U$6:$U$109)-ROW($U$6)+1)/($U$6:$U$109&lt;&gt;""),ROWS(V$6:V7))),"")</f>
        <v>Group2 Architecture Interior Design Ltd. -34413</v>
      </c>
      <c r="W7" s="1285">
        <f ca="1">IF(OR(VendorList[[#This Row],[Vendor / Org. with Contract ID]]="",VendorList[[#This Row],[Vendor / Org. with Contract ID]]="Future / Not Awarded"),"",IFERROR(INDEX(EAC[Estimate At Completion],MATCH(VendorList[[#This Row],[Vendor / Org. with Contract ID]],EAC[Vendor / Org. with Contract ID],0),1),"Does Not Exist"))</f>
        <v>9743665.8200000003</v>
      </c>
      <c r="Y7" s="922"/>
    </row>
    <row r="8" spans="2:25">
      <c r="B8" s="995" t="s">
        <v>400</v>
      </c>
      <c r="C8" s="85">
        <v>33849</v>
      </c>
      <c r="D8" s="77" t="str">
        <f ca="1">IF(VendorList[[#This Row],[Vendor / Org.]]="","",CONCATENATE(VendorList[[#This Row],[Vendor / Org.]],"-",VendorList[[#This Row],[Contract ID]]))</f>
        <v>Pinchin Ltd. -33849</v>
      </c>
      <c r="E8" s="83" t="s">
        <v>80</v>
      </c>
      <c r="F8" s="287">
        <v>21825</v>
      </c>
      <c r="G8" s="286">
        <f ca="1">SUMIFS(ChangeTrack[Change Value],ChangeTrack[Vendor / Org.],VendorList[[#This Row],[Vendor / Org. with Contract ID]],ChangeTrack[Change Status],"Approved")</f>
        <v>-9740</v>
      </c>
      <c r="H8" s="286">
        <f ca="1">VendorList[[#This Row],[Original Contract Value]]+VendorList[[#This Row],[Amendment(s)]]</f>
        <v>12085</v>
      </c>
      <c r="I8" s="290">
        <f ca="1">SUMIFS(CostTrack[Value],CostTrack[Vendor - Contract],VendorList[[#This Row],[Vendor / Org. with Contract ID]],CostTrack[PA ID],VendorList[[#This Row],[PA ID]],CostTrack[Holdback (Y/N/R)],"&lt;&gt;Release",CostTrack[Status],"Approved")</f>
        <v>12085</v>
      </c>
      <c r="J8" s="106">
        <f ca="1">IF(VendorList[[#This Row],[Current Commitment]]=0,"-",VendorList[[#This Row],[Expenditures to Date]]/VendorList[[#This Row],[Current Commitment]])</f>
        <v>1</v>
      </c>
      <c r="K8" s="292">
        <f ca="1">SUMIF(CostTrack[Vendor - Contract],VendorList[[#This Row],[Vendor / Org. with Contract ID]],CostTrack[Holdback Value])*-1</f>
        <v>0</v>
      </c>
      <c r="L8" s="292">
        <f ca="1">VendorList[[#This Row],[Current Commitment]]-VendorList[[#This Row],[Expenditures to Date]]</f>
        <v>0</v>
      </c>
      <c r="M8" s="84"/>
      <c r="N8" s="84">
        <v>43373</v>
      </c>
      <c r="O8" s="85" t="s">
        <v>401</v>
      </c>
      <c r="P8" s="177" t="str">
        <f ca="1">IFERROR(INDEX(BudgetTrack[Primary Category],MATCH(VendorList[[#This Row],[PA ID]],BudgetTrack[PA ID],0)),"")</f>
        <v>Professional Services</v>
      </c>
      <c r="Q8" s="177" t="str">
        <f ca="1">IFERROR(INDEX(BudgetTrack[Secondary Category],MATCH(VendorList[[#This Row],[PA ID]],BudgetTrack[PA ID],0)),"")</f>
        <v>Other Professional Services</v>
      </c>
      <c r="R8" s="176" t="str">
        <f ca="1">IFERROR(INDEX(BudgetTrack[Phase / Subproject],MATCH(VendorList[[#This Row],[PA ID]],BudgetTrack[PA ID],0)),"")</f>
        <v>--</v>
      </c>
      <c r="S8" s="176" t="str">
        <f ca="1">IFERROR(INDEX(BudgetTrack[Phase / Subproject 2],MATCH(VendorList[[#This Row],[PA ID]],BudgetTrack[PA ID],0)),"")</f>
        <v>--</v>
      </c>
      <c r="T8" s="576" t="str">
        <f ca="1">IFERROR(INDEX(BudgetTrack[Funding Source],MATCH(VendorList[[#This Row],[PA ID]],BudgetTrack[PA ID],0)),"")</f>
        <v>P-002360</v>
      </c>
      <c r="U8" s="80" t="str">
        <f t="shared" ca="1" si="0"/>
        <v/>
      </c>
      <c r="V8" s="434" t="str">
        <f ca="1">IFERROR(INDEX($U$6:$U$109,_xlfn.AGGREGATE(15,6,(ROW($U$6:$U$109)-ROW($U$6)+1)/($U$6:$U$109&lt;&gt;""),ROWS(V$6:V8))),"")</f>
        <v>Stantec Consultant Ltd. -34489</v>
      </c>
      <c r="W8" s="1285">
        <f ca="1">IF(OR(VendorList[[#This Row],[Vendor / Org. with Contract ID]]="",VendorList[[#This Row],[Vendor / Org. with Contract ID]]="Future / Not Awarded"),"",IFERROR(INDEX(EAC[Estimate At Completion],MATCH(VendorList[[#This Row],[Vendor / Org. with Contract ID]],EAC[Vendor / Org. with Contract ID],0),1),"Does Not Exist"))</f>
        <v>12085</v>
      </c>
      <c r="Y8" s="922"/>
    </row>
    <row r="9" spans="2:25">
      <c r="B9" s="995" t="s">
        <v>402</v>
      </c>
      <c r="C9" s="83">
        <v>34790</v>
      </c>
      <c r="D9" s="77" t="str">
        <f ca="1">IF(VendorList[[#This Row],[Vendor / Org.]]="","",CONCATENATE(VendorList[[#This Row],[Vendor / Org.]],"-",VendorList[[#This Row],[Contract ID]]))</f>
        <v>Aura Environmental Restorations Ltd. -34790</v>
      </c>
      <c r="E9" s="83" t="s">
        <v>80</v>
      </c>
      <c r="F9" s="287">
        <v>82500</v>
      </c>
      <c r="G9" s="286">
        <f ca="1">SUMIFS(ChangeTrack[Change Value],ChangeTrack[Vendor / Org.],VendorList[[#This Row],[Vendor / Org. with Contract ID]],ChangeTrack[Change Status],"Approved")</f>
        <v>13665.3</v>
      </c>
      <c r="H9" s="286">
        <f ca="1">VendorList[[#This Row],[Original Contract Value]]+VendorList[[#This Row],[Amendment(s)]]</f>
        <v>96165.3</v>
      </c>
      <c r="I9" s="290">
        <f ca="1">SUMIFS(CostTrack[Value],CostTrack[Vendor - Contract],VendorList[[#This Row],[Vendor / Org. with Contract ID]],CostTrack[PA ID],VendorList[[#This Row],[PA ID]],CostTrack[Holdback (Y/N/R)],"&lt;&gt;Release",CostTrack[Status],"Approved")</f>
        <v>96165.3</v>
      </c>
      <c r="J9" s="106">
        <f ca="1">IF(VendorList[[#This Row],[Current Commitment]]=0,"-",VendorList[[#This Row],[Expenditures to Date]]/VendorList[[#This Row],[Current Commitment]])</f>
        <v>1</v>
      </c>
      <c r="K9" s="292">
        <f ca="1">SUMIF(CostTrack[Vendor - Contract],VendorList[[#This Row],[Vendor / Org. with Contract ID]],CostTrack[Holdback Value])*-1</f>
        <v>0</v>
      </c>
      <c r="L9" s="292">
        <f ca="1">VendorList[[#This Row],[Current Commitment]]-VendorList[[#This Row],[Expenditures to Date]]</f>
        <v>0</v>
      </c>
      <c r="M9" s="84"/>
      <c r="N9" s="84">
        <v>43404</v>
      </c>
      <c r="O9" s="85" t="s">
        <v>403</v>
      </c>
      <c r="P9" s="177" t="str">
        <f ca="1">IFERROR(INDEX(BudgetTrack[Primary Category],MATCH(VendorList[[#This Row],[PA ID]],BudgetTrack[PA ID],0)),"")</f>
        <v>Construction</v>
      </c>
      <c r="Q9" s="177" t="str">
        <f ca="1">IFERROR(INDEX(BudgetTrack[Secondary Category],MATCH(VendorList[[#This Row],[PA ID]],BudgetTrack[PA ID],0)),"")</f>
        <v>Hazmat - Contractor</v>
      </c>
      <c r="R9" s="176" t="str">
        <f ca="1">IFERROR(INDEX(BudgetTrack[Phase / Subproject],MATCH(VendorList[[#This Row],[PA ID]],BudgetTrack[PA ID],0)),"")</f>
        <v>--</v>
      </c>
      <c r="S9" s="176" t="str">
        <f ca="1">IFERROR(INDEX(BudgetTrack[Phase / Subproject 2],MATCH(VendorList[[#This Row],[PA ID]],BudgetTrack[PA ID],0)),"")</f>
        <v>--</v>
      </c>
      <c r="T9" s="576" t="str">
        <f ca="1">IFERROR(INDEX(BudgetTrack[Funding Source],MATCH(VendorList[[#This Row],[PA ID]],BudgetTrack[PA ID],0)),"")</f>
        <v>P-002360</v>
      </c>
      <c r="U9" s="80" t="str">
        <f t="shared" ca="1" si="0"/>
        <v/>
      </c>
      <c r="V9" s="434" t="str">
        <f ca="1">IFERROR(INDEX($U$6:$U$109,_xlfn.AGGREGATE(15,6,(ROW($U$6:$U$109)-ROW($U$6)+1)/($U$6:$U$109&lt;&gt;""),ROWS(V$6:V9))),"")</f>
        <v>Staff Capitalization-34830</v>
      </c>
      <c r="W9" s="1285">
        <f ca="1">IF(OR(VendorList[[#This Row],[Vendor / Org. with Contract ID]]="",VendorList[[#This Row],[Vendor / Org. with Contract ID]]="Future / Not Awarded"),"",IFERROR(INDEX(EAC[Estimate At Completion],MATCH(VendorList[[#This Row],[Vendor / Org. with Contract ID]],EAC[Vendor / Org. with Contract ID],0),1),"Does Not Exist"))</f>
        <v>96165.3</v>
      </c>
      <c r="Y9" s="922"/>
    </row>
    <row r="10" spans="2:25">
      <c r="B10" s="431" t="s">
        <v>404</v>
      </c>
      <c r="C10" s="83">
        <v>34489</v>
      </c>
      <c r="D10" s="77" t="str">
        <f ca="1">IF(VendorList[[#This Row],[Vendor / Org.]]="","",CONCATENATE(VendorList[[#This Row],[Vendor / Org.]],"-",VendorList[[#This Row],[Contract ID]]))</f>
        <v>Stantec Consultant Ltd. -34489</v>
      </c>
      <c r="E10" s="83" t="s">
        <v>71</v>
      </c>
      <c r="F10" s="287">
        <v>332965</v>
      </c>
      <c r="G10" s="286">
        <f ca="1">SUMIFS(ChangeTrack[Change Value],ChangeTrack[Vendor / Org.],VendorList[[#This Row],[Vendor / Org. with Contract ID]],ChangeTrack[Change Status],"Approved")</f>
        <v>185616.78999999998</v>
      </c>
      <c r="H10" s="286">
        <f ca="1">VendorList[[#This Row],[Original Contract Value]]+VendorList[[#This Row],[Amendment(s)]]</f>
        <v>518581.79</v>
      </c>
      <c r="I10" s="290">
        <f ca="1">SUMIFS(CostTrack[Value],CostTrack[Vendor - Contract],VendorList[[#This Row],[Vendor / Org. with Contract ID]],CostTrack[PA ID],VendorList[[#This Row],[PA ID]],CostTrack[Holdback (Y/N/R)],"&lt;&gt;Release",CostTrack[Status],"Approved")</f>
        <v>517954.04</v>
      </c>
      <c r="J10" s="106">
        <f ca="1">IF(VendorList[[#This Row],[Current Commitment]]=0,"-",VendorList[[#This Row],[Expenditures to Date]]/VendorList[[#This Row],[Current Commitment]])</f>
        <v>0.99878948699683423</v>
      </c>
      <c r="K10" s="292">
        <f ca="1">SUMIF(CostTrack[Vendor - Contract],VendorList[[#This Row],[Vendor / Org. with Contract ID]],CostTrack[Holdback Value])*-1</f>
        <v>0</v>
      </c>
      <c r="L10" s="292">
        <f ca="1">VendorList[[#This Row],[Current Commitment]]-VendorList[[#This Row],[Expenditures to Date]]</f>
        <v>627.75</v>
      </c>
      <c r="M10" s="84"/>
      <c r="N10" s="84">
        <v>46112</v>
      </c>
      <c r="O10" s="85" t="s">
        <v>405</v>
      </c>
      <c r="P10" s="177" t="str">
        <f ca="1">IFERROR(INDEX(BudgetTrack[Primary Category],MATCH(VendorList[[#This Row],[PA ID]],BudgetTrack[PA ID],0)),"")</f>
        <v>Professional Services</v>
      </c>
      <c r="Q10" s="177" t="str">
        <f ca="1">IFERROR(INDEX(BudgetTrack[Secondary Category],MATCH(VendorList[[#This Row],[PA ID]],BudgetTrack[PA ID],0)),"")</f>
        <v>Commissioning</v>
      </c>
      <c r="R10" s="176" t="str">
        <f ca="1">IFERROR(INDEX(BudgetTrack[Phase / Subproject],MATCH(VendorList[[#This Row],[PA ID]],BudgetTrack[PA ID],0)),"")</f>
        <v>--</v>
      </c>
      <c r="S10" s="176" t="str">
        <f ca="1">IFERROR(INDEX(BudgetTrack[Phase / Subproject 2],MATCH(VendorList[[#This Row],[PA ID]],BudgetTrack[PA ID],0)),"")</f>
        <v>--</v>
      </c>
      <c r="T10" s="576" t="str">
        <f ca="1">IFERROR(INDEX(BudgetTrack[Funding Source],MATCH(VendorList[[#This Row],[PA ID]],BudgetTrack[PA ID],0)),"")</f>
        <v>P-002360</v>
      </c>
      <c r="U10" s="80" t="str">
        <f t="shared" ca="1" si="0"/>
        <v>Stantec Consultant Ltd. -34489</v>
      </c>
      <c r="V10" s="434" t="str">
        <f ca="1">IFERROR(INDEX($U$6:$U$109,_xlfn.AGGREGATE(15,6,(ROW($U$6:$U$109)-ROW($U$6)+1)/($U$6:$U$109&lt;&gt;""),ROWS(V$6:V10))),"")</f>
        <v>Travel Expenses-Sommer-Direct Pay</v>
      </c>
      <c r="W10" s="1285">
        <f ca="1">IF(OR(VendorList[[#This Row],[Vendor / Org. with Contract ID]]="",VendorList[[#This Row],[Vendor / Org. with Contract ID]]="Future / Not Awarded"),"",IFERROR(INDEX(EAC[Estimate At Completion],MATCH(VendorList[[#This Row],[Vendor / Org. with Contract ID]],EAC[Vendor / Org. with Contract ID],0),1),"Does Not Exist"))</f>
        <v>518581.79</v>
      </c>
      <c r="Y10" s="922"/>
    </row>
    <row r="11" spans="2:25">
      <c r="B11" s="432" t="s">
        <v>406</v>
      </c>
      <c r="C11" s="83">
        <v>33079</v>
      </c>
      <c r="D11" s="77" t="str">
        <f ca="1">IF(VendorList[[#This Row],[Vendor / Org.]]="","",CONCATENATE(VendorList[[#This Row],[Vendor / Org.]],"-",VendorList[[#This Row],[Contract ID]]))</f>
        <v>Englobe Corp. -33079</v>
      </c>
      <c r="E11" s="83" t="s">
        <v>80</v>
      </c>
      <c r="F11" s="287">
        <v>47600</v>
      </c>
      <c r="G11" s="286">
        <f ca="1">SUMIFS(ChangeTrack[Change Value],ChangeTrack[Vendor / Org.],VendorList[[#This Row],[Vendor / Org. with Contract ID]],ChangeTrack[Change Status],"Approved")</f>
        <v>27660</v>
      </c>
      <c r="H11" s="286">
        <f ca="1">VendorList[[#This Row],[Original Contract Value]]+VendorList[[#This Row],[Amendment(s)]]</f>
        <v>75260</v>
      </c>
      <c r="I11" s="290">
        <f ca="1">SUMIFS(CostTrack[Value],CostTrack[Vendor - Contract],VendorList[[#This Row],[Vendor / Org. with Contract ID]],CostTrack[PA ID],VendorList[[#This Row],[PA ID]],CostTrack[Holdback (Y/N/R)],"&lt;&gt;Release",CostTrack[Status],"Approved")</f>
        <v>75260</v>
      </c>
      <c r="J11" s="106">
        <f ca="1">IF(VendorList[[#This Row],[Current Commitment]]=0,"-",VendorList[[#This Row],[Expenditures to Date]]/VendorList[[#This Row],[Current Commitment]])</f>
        <v>1</v>
      </c>
      <c r="K11" s="292">
        <f ca="1">SUMIF(CostTrack[Vendor - Contract],VendorList[[#This Row],[Vendor / Org. with Contract ID]],CostTrack[Holdback Value])*-1</f>
        <v>0</v>
      </c>
      <c r="L11" s="292">
        <f ca="1">VendorList[[#This Row],[Current Commitment]]-VendorList[[#This Row],[Expenditures to Date]]</f>
        <v>0</v>
      </c>
      <c r="M11" s="84"/>
      <c r="N11" s="84">
        <v>43220</v>
      </c>
      <c r="O11" s="85" t="s">
        <v>401</v>
      </c>
      <c r="P11" s="177" t="str">
        <f ca="1">IFERROR(INDEX(BudgetTrack[Primary Category],MATCH(VendorList[[#This Row],[PA ID]],BudgetTrack[PA ID],0)),"")</f>
        <v>Professional Services</v>
      </c>
      <c r="Q11" s="177" t="str">
        <f ca="1">IFERROR(INDEX(BudgetTrack[Secondary Category],MATCH(VendorList[[#This Row],[PA ID]],BudgetTrack[PA ID],0)),"")</f>
        <v>Other Professional Services</v>
      </c>
      <c r="R11" s="176" t="str">
        <f ca="1">IFERROR(INDEX(BudgetTrack[Phase / Subproject],MATCH(VendorList[[#This Row],[PA ID]],BudgetTrack[PA ID],0)),"")</f>
        <v>--</v>
      </c>
      <c r="S11" s="176" t="str">
        <f ca="1">IFERROR(INDEX(BudgetTrack[Phase / Subproject 2],MATCH(VendorList[[#This Row],[PA ID]],BudgetTrack[PA ID],0)),"")</f>
        <v>--</v>
      </c>
      <c r="T11" s="576" t="str">
        <f ca="1">IFERROR(INDEX(BudgetTrack[Funding Source],MATCH(VendorList[[#This Row],[PA ID]],BudgetTrack[PA ID],0)),"")</f>
        <v>P-002360</v>
      </c>
      <c r="U11" s="80" t="str">
        <f t="shared" ca="1" si="0"/>
        <v/>
      </c>
      <c r="V11" s="434" t="str">
        <f ca="1">IFERROR(INDEX($U$6:$U$109,_xlfn.AGGREGATE(15,6,(ROW($U$6:$U$109)-ROW($U$6)+1)/($U$6:$U$109&lt;&gt;""),ROWS(V$6:V11))),"")</f>
        <v>Travel Expenses-John-Direct Pay</v>
      </c>
      <c r="W11" s="1285">
        <f ca="1">IF(OR(VendorList[[#This Row],[Vendor / Org. with Contract ID]]="",VendorList[[#This Row],[Vendor / Org. with Contract ID]]="Future / Not Awarded"),"",IFERROR(INDEX(EAC[Estimate At Completion],MATCH(VendorList[[#This Row],[Vendor / Org. with Contract ID]],EAC[Vendor / Org. with Contract ID],0),1),"Does Not Exist"))</f>
        <v>75260</v>
      </c>
      <c r="Y11" s="922"/>
    </row>
    <row r="12" spans="2:25">
      <c r="B12" s="432" t="s">
        <v>400</v>
      </c>
      <c r="C12" s="83">
        <v>33133</v>
      </c>
      <c r="D12" s="77" t="str">
        <f ca="1">IF(VendorList[[#This Row],[Vendor / Org.]]="","",CONCATENATE(VendorList[[#This Row],[Vendor / Org.]],"-",VendorList[[#This Row],[Contract ID]]))</f>
        <v>Pinchin Ltd. -33133</v>
      </c>
      <c r="E12" s="83" t="s">
        <v>80</v>
      </c>
      <c r="F12" s="288">
        <v>2080</v>
      </c>
      <c r="G12" s="286">
        <f ca="1">SUMIFS(ChangeTrack[Change Value],ChangeTrack[Vendor / Org.],VendorList[[#This Row],[Vendor / Org. with Contract ID]],ChangeTrack[Change Status],"Approved")</f>
        <v>0</v>
      </c>
      <c r="H12" s="286">
        <f ca="1">VendorList[[#This Row],[Original Contract Value]]+VendorList[[#This Row],[Amendment(s)]]</f>
        <v>2080</v>
      </c>
      <c r="I12" s="290">
        <f ca="1">SUMIFS(CostTrack[Value],CostTrack[Vendor - Contract],VendorList[[#This Row],[Vendor / Org. with Contract ID]],CostTrack[PA ID],VendorList[[#This Row],[PA ID]],CostTrack[Holdback (Y/N/R)],"&lt;&gt;Release",CostTrack[Status],"Approved")</f>
        <v>2080</v>
      </c>
      <c r="J12" s="106">
        <f ca="1">IF(VendorList[[#This Row],[Current Commitment]]=0,"-",VendorList[[#This Row],[Expenditures to Date]]/VendorList[[#This Row],[Current Commitment]])</f>
        <v>1</v>
      </c>
      <c r="K12" s="292">
        <f ca="1">SUMIF(CostTrack[Vendor - Contract],VendorList[[#This Row],[Vendor / Org. with Contract ID]],CostTrack[Holdback Value])*-1</f>
        <v>0</v>
      </c>
      <c r="L12" s="292">
        <f ca="1">VendorList[[#This Row],[Current Commitment]]-VendorList[[#This Row],[Expenditures to Date]]</f>
        <v>0</v>
      </c>
      <c r="M12" s="84"/>
      <c r="N12" s="84">
        <v>43069</v>
      </c>
      <c r="O12" s="85" t="s">
        <v>401</v>
      </c>
      <c r="P12" s="177" t="str">
        <f ca="1">IFERROR(INDEX(BudgetTrack[Primary Category],MATCH(VendorList[[#This Row],[PA ID]],BudgetTrack[PA ID],0)),"")</f>
        <v>Professional Services</v>
      </c>
      <c r="Q12" s="177" t="str">
        <f ca="1">IFERROR(INDEX(BudgetTrack[Secondary Category],MATCH(VendorList[[#This Row],[PA ID]],BudgetTrack[PA ID],0)),"")</f>
        <v>Other Professional Services</v>
      </c>
      <c r="R12" s="176" t="str">
        <f ca="1">IFERROR(INDEX(BudgetTrack[Phase / Subproject],MATCH(VendorList[[#This Row],[PA ID]],BudgetTrack[PA ID],0)),"")</f>
        <v>--</v>
      </c>
      <c r="S12" s="176" t="str">
        <f ca="1">IFERROR(INDEX(BudgetTrack[Phase / Subproject 2],MATCH(VendorList[[#This Row],[PA ID]],BudgetTrack[PA ID],0)),"")</f>
        <v>--</v>
      </c>
      <c r="T12" s="576" t="str">
        <f ca="1">IFERROR(INDEX(BudgetTrack[Funding Source],MATCH(VendorList[[#This Row],[PA ID]],BudgetTrack[PA ID],0)),"")</f>
        <v>P-002360</v>
      </c>
      <c r="U12" s="80" t="str">
        <f t="shared" ca="1" si="0"/>
        <v/>
      </c>
      <c r="V12" s="434" t="str">
        <f ca="1">IFERROR(INDEX($U$6:$U$109,_xlfn.AGGREGATE(15,6,(ROW($U$6:$U$109)-ROW($U$6)+1)/($U$6:$U$109&lt;&gt;""),ROWS(V$6:V12))),"")</f>
        <v>Travel Expenses-Malchuk-Direct Pay</v>
      </c>
      <c r="W12" s="1285">
        <f ca="1">IF(OR(VendorList[[#This Row],[Vendor / Org. with Contract ID]]="",VendorList[[#This Row],[Vendor / Org. with Contract ID]]="Future / Not Awarded"),"",IFERROR(INDEX(EAC[Estimate At Completion],MATCH(VendorList[[#This Row],[Vendor / Org. with Contract ID]],EAC[Vendor / Org. with Contract ID],0),1),"Does Not Exist"))</f>
        <v>2080</v>
      </c>
      <c r="Y12" s="922"/>
    </row>
    <row r="13" spans="2:25">
      <c r="B13" s="432" t="s">
        <v>407</v>
      </c>
      <c r="C13" s="83">
        <v>32924</v>
      </c>
      <c r="D13" s="77" t="str">
        <f ca="1">IF(VendorList[[#This Row],[Vendor / Org.]]="","",CONCATENATE(VendorList[[#This Row],[Vendor / Org.]],"-",VendorList[[#This Row],[Contract ID]]))</f>
        <v>Barb Shipmant Architects Ltd. -32924</v>
      </c>
      <c r="E13" s="83" t="s">
        <v>80</v>
      </c>
      <c r="F13" s="288">
        <v>214800</v>
      </c>
      <c r="G13" s="286">
        <f ca="1">SUMIFS(ChangeTrack[Change Value],ChangeTrack[Vendor / Org.],VendorList[[#This Row],[Vendor / Org. with Contract ID]],ChangeTrack[Change Status],"Approved")</f>
        <v>14470</v>
      </c>
      <c r="H13" s="286">
        <f ca="1">VendorList[[#This Row],[Original Contract Value]]+VendorList[[#This Row],[Amendment(s)]]</f>
        <v>229270</v>
      </c>
      <c r="I13" s="290">
        <f ca="1">SUMIFS(CostTrack[Value],CostTrack[Vendor - Contract],VendorList[[#This Row],[Vendor / Org. with Contract ID]],CostTrack[PA ID],VendorList[[#This Row],[PA ID]],CostTrack[Holdback (Y/N/R)],"&lt;&gt;Release",CostTrack[Status],"Approved")</f>
        <v>229270</v>
      </c>
      <c r="J13" s="106">
        <f ca="1">IF(VendorList[[#This Row],[Current Commitment]]=0,"-",VendorList[[#This Row],[Expenditures to Date]]/VendorList[[#This Row],[Current Commitment]])</f>
        <v>1</v>
      </c>
      <c r="K13" s="292">
        <f ca="1">SUMIF(CostTrack[Vendor - Contract],VendorList[[#This Row],[Vendor / Org. with Contract ID]],CostTrack[Holdback Value])*-1</f>
        <v>0</v>
      </c>
      <c r="L13" s="292">
        <f ca="1">VendorList[[#This Row],[Current Commitment]]-VendorList[[#This Row],[Expenditures to Date]]</f>
        <v>0</v>
      </c>
      <c r="M13" s="84"/>
      <c r="N13" s="84">
        <v>43190</v>
      </c>
      <c r="O13" s="85" t="s">
        <v>401</v>
      </c>
      <c r="P13" s="177" t="str">
        <f ca="1">IFERROR(INDEX(BudgetTrack[Primary Category],MATCH(VendorList[[#This Row],[PA ID]],BudgetTrack[PA ID],0)),"")</f>
        <v>Professional Services</v>
      </c>
      <c r="Q13" s="177" t="str">
        <f ca="1">IFERROR(INDEX(BudgetTrack[Secondary Category],MATCH(VendorList[[#This Row],[PA ID]],BudgetTrack[PA ID],0)),"")</f>
        <v>Other Professional Services</v>
      </c>
      <c r="R13" s="176" t="str">
        <f ca="1">IFERROR(INDEX(BudgetTrack[Phase / Subproject],MATCH(VendorList[[#This Row],[PA ID]],BudgetTrack[PA ID],0)),"")</f>
        <v>--</v>
      </c>
      <c r="S13" s="176" t="str">
        <f ca="1">IFERROR(INDEX(BudgetTrack[Phase / Subproject 2],MATCH(VendorList[[#This Row],[PA ID]],BudgetTrack[PA ID],0)),"")</f>
        <v>--</v>
      </c>
      <c r="T13" s="576" t="str">
        <f ca="1">IFERROR(INDEX(BudgetTrack[Funding Source],MATCH(VendorList[[#This Row],[PA ID]],BudgetTrack[PA ID],0)),"")</f>
        <v>P-002360</v>
      </c>
      <c r="U13" s="80" t="str">
        <f t="shared" ca="1" si="0"/>
        <v/>
      </c>
      <c r="V13" s="434" t="str">
        <f ca="1">IFERROR(INDEX($U$6:$U$109,_xlfn.AGGREGATE(15,6,(ROW($U$6:$U$109)-ROW($U$6)+1)/($U$6:$U$109&lt;&gt;""),ROWS(V$6:V13))),"")</f>
        <v>Travel Expenses-Misc-Direct Pay</v>
      </c>
      <c r="W13" s="1285">
        <f ca="1">IF(OR(VendorList[[#This Row],[Vendor / Org. with Contract ID]]="",VendorList[[#This Row],[Vendor / Org. with Contract ID]]="Future / Not Awarded"),"",IFERROR(INDEX(EAC[Estimate At Completion],MATCH(VendorList[[#This Row],[Vendor / Org. with Contract ID]],EAC[Vendor / Org. with Contract ID],0),1),"Does Not Exist"))</f>
        <v>229270</v>
      </c>
      <c r="Y13" s="922"/>
    </row>
    <row r="14" spans="2:25">
      <c r="B14" s="432" t="s">
        <v>408</v>
      </c>
      <c r="C14" s="83" t="s">
        <v>409</v>
      </c>
      <c r="D14" s="77" t="str">
        <f ca="1">IF(VendorList[[#This Row],[Vendor / Org.]]="","",CONCATENATE(VendorList[[#This Row],[Vendor / Org.]],"-",VendorList[[#This Row],[Contract ID]]))</f>
        <v>City of Red Deer-Direct Pay</v>
      </c>
      <c r="E14" s="83" t="s">
        <v>80</v>
      </c>
      <c r="F14" s="288">
        <v>3623259</v>
      </c>
      <c r="G14" s="286">
        <f ca="1">SUMIFS(ChangeTrack[Change Value],ChangeTrack[Vendor / Org.],VendorList[[#This Row],[Vendor / Org. with Contract ID]],ChangeTrack[Change Status],"Approved")</f>
        <v>60000</v>
      </c>
      <c r="H14" s="286">
        <f ca="1">VendorList[[#This Row],[Original Contract Value]]+VendorList[[#This Row],[Amendment(s)]]</f>
        <v>3683259</v>
      </c>
      <c r="I14" s="290">
        <f ca="1">SUMIFS(CostTrack[Value],CostTrack[Vendor - Contract],VendorList[[#This Row],[Vendor / Org. with Contract ID]],CostTrack[PA ID],VendorList[[#This Row],[PA ID]],CostTrack[Holdback (Y/N/R)],"&lt;&gt;Release",CostTrack[Status],"Approved")</f>
        <v>3683259</v>
      </c>
      <c r="J14" s="106">
        <f ca="1">IF(VendorList[[#This Row],[Current Commitment]]=0,"-",VendorList[[#This Row],[Expenditures to Date]]/VendorList[[#This Row],[Current Commitment]])</f>
        <v>1</v>
      </c>
      <c r="K14" s="292">
        <f ca="1">SUMIF(CostTrack[Vendor - Contract],VendorList[[#This Row],[Vendor / Org. with Contract ID]],CostTrack[Holdback Value])*-1</f>
        <v>0</v>
      </c>
      <c r="L14" s="292">
        <f ca="1">VendorList[[#This Row],[Current Commitment]]-VendorList[[#This Row],[Expenditures to Date]]</f>
        <v>0</v>
      </c>
      <c r="M14" s="84"/>
      <c r="N14" s="84">
        <v>42779</v>
      </c>
      <c r="O14" s="85" t="s">
        <v>410</v>
      </c>
      <c r="P14" s="177" t="str">
        <f ca="1">IFERROR(INDEX(BudgetTrack[Primary Category],MATCH(VendorList[[#This Row],[PA ID]],BudgetTrack[PA ID],0)),"")</f>
        <v>Land</v>
      </c>
      <c r="Q14" s="177" t="str">
        <f ca="1">IFERROR(INDEX(BudgetTrack[Secondary Category],MATCH(VendorList[[#This Row],[PA ID]],BudgetTrack[PA ID],0)),"")</f>
        <v>Land Purchase</v>
      </c>
      <c r="R14" s="176" t="str">
        <f ca="1">IFERROR(INDEX(BudgetTrack[Phase / Subproject],MATCH(VendorList[[#This Row],[PA ID]],BudgetTrack[PA ID],0)),"")</f>
        <v>--</v>
      </c>
      <c r="S14" s="176" t="str">
        <f ca="1">IFERROR(INDEX(BudgetTrack[Phase / Subproject 2],MATCH(VendorList[[#This Row],[PA ID]],BudgetTrack[PA ID],0)),"")</f>
        <v>--</v>
      </c>
      <c r="T14" s="576" t="str">
        <f ca="1">IFERROR(INDEX(BudgetTrack[Funding Source],MATCH(VendorList[[#This Row],[PA ID]],BudgetTrack[PA ID],0)),"")</f>
        <v>P-002360</v>
      </c>
      <c r="U14" s="80" t="str">
        <f t="shared" ca="1" si="0"/>
        <v/>
      </c>
      <c r="V14" s="434" t="str">
        <f ca="1">IFERROR(INDEX($U$6:$U$109,_xlfn.AGGREGATE(15,6,(ROW($U$6:$U$109)-ROW($U$6)+1)/($U$6:$U$109&lt;&gt;""),ROWS(V$6:V14))),"")</f>
        <v>Clark Builders-37987</v>
      </c>
      <c r="W14" s="1285">
        <f ca="1">IF(OR(VendorList[[#This Row],[Vendor / Org. with Contract ID]]="",VendorList[[#This Row],[Vendor / Org. with Contract ID]]="Future / Not Awarded"),"",IFERROR(INDEX(EAC[Estimate At Completion],MATCH(VendorList[[#This Row],[Vendor / Org. with Contract ID]],EAC[Vendor / Org. with Contract ID],0),1),"Does Not Exist"))</f>
        <v>3683259</v>
      </c>
      <c r="Y14" s="922"/>
    </row>
    <row r="15" spans="2:25">
      <c r="B15" s="432" t="s">
        <v>411</v>
      </c>
      <c r="C15" s="83" t="s">
        <v>409</v>
      </c>
      <c r="D15" s="77" t="str">
        <f ca="1">IF(VendorList[[#This Row],[Vendor / Org.]]="","",CONCATENATE(VendorList[[#This Row],[Vendor / Org.]],"-",VendorList[[#This Row],[Contract ID]]))</f>
        <v>Enviro-Works Inc. -Direct Pay</v>
      </c>
      <c r="E15" s="83" t="s">
        <v>80</v>
      </c>
      <c r="F15" s="288">
        <v>1267.73</v>
      </c>
      <c r="G15" s="286">
        <f ca="1">SUMIFS(ChangeTrack[Change Value],ChangeTrack[Vendor / Org.],VendorList[[#This Row],[Vendor / Org. with Contract ID]],ChangeTrack[Change Status],"Approved")</f>
        <v>0</v>
      </c>
      <c r="H15" s="286">
        <f ca="1">VendorList[[#This Row],[Original Contract Value]]+VendorList[[#This Row],[Amendment(s)]]</f>
        <v>1267.73</v>
      </c>
      <c r="I15" s="290">
        <f ca="1">SUMIFS(CostTrack[Value],CostTrack[Vendor - Contract],VendorList[[#This Row],[Vendor / Org. with Contract ID]],CostTrack[PA ID],VendorList[[#This Row],[PA ID]],CostTrack[Holdback (Y/N/R)],"&lt;&gt;Release",CostTrack[Status],"Approved")</f>
        <v>1267.73</v>
      </c>
      <c r="J15" s="106">
        <f ca="1">IF(VendorList[[#This Row],[Current Commitment]]=0,"-",VendorList[[#This Row],[Expenditures to Date]]/VendorList[[#This Row],[Current Commitment]])</f>
        <v>1</v>
      </c>
      <c r="K15" s="292">
        <f ca="1">SUMIF(CostTrack[Vendor - Contract],VendorList[[#This Row],[Vendor / Org. with Contract ID]],CostTrack[Holdback Value])*-1</f>
        <v>0</v>
      </c>
      <c r="L15" s="292">
        <f ca="1">VendorList[[#This Row],[Current Commitment]]-VendorList[[#This Row],[Expenditures to Date]]</f>
        <v>0</v>
      </c>
      <c r="M15" s="84"/>
      <c r="N15" s="84">
        <v>43004</v>
      </c>
      <c r="O15" s="85" t="s">
        <v>401</v>
      </c>
      <c r="P15" s="177" t="str">
        <f ca="1">IFERROR(INDEX(BudgetTrack[Primary Category],MATCH(VendorList[[#This Row],[PA ID]],BudgetTrack[PA ID],0)),"")</f>
        <v>Professional Services</v>
      </c>
      <c r="Q15" s="177" t="str">
        <f ca="1">IFERROR(INDEX(BudgetTrack[Secondary Category],MATCH(VendorList[[#This Row],[PA ID]],BudgetTrack[PA ID],0)),"")</f>
        <v>Other Professional Services</v>
      </c>
      <c r="R15" s="176" t="str">
        <f ca="1">IFERROR(INDEX(BudgetTrack[Phase / Subproject],MATCH(VendorList[[#This Row],[PA ID]],BudgetTrack[PA ID],0)),"")</f>
        <v>--</v>
      </c>
      <c r="S15" s="176" t="str">
        <f ca="1">IFERROR(INDEX(BudgetTrack[Phase / Subproject 2],MATCH(VendorList[[#This Row],[PA ID]],BudgetTrack[PA ID],0)),"")</f>
        <v>--</v>
      </c>
      <c r="T15" s="576" t="str">
        <f ca="1">IFERROR(INDEX(BudgetTrack[Funding Source],MATCH(VendorList[[#This Row],[PA ID]],BudgetTrack[PA ID],0)),"")</f>
        <v>P-002360</v>
      </c>
      <c r="U15" s="80" t="str">
        <f t="shared" ca="1" si="0"/>
        <v/>
      </c>
      <c r="V15" s="434" t="str">
        <f ca="1">IFERROR(INDEX($U$6:$U$109,_xlfn.AGGREGATE(15,6,(ROW($U$6:$U$109)-ROW($U$6)+1)/($U$6:$U$109&lt;&gt;""),ROWS(V$6:V15))),"")</f>
        <v>Accrual Write Off-Clearing-Direct Pay</v>
      </c>
      <c r="W15" s="1285">
        <f ca="1">IF(OR(VendorList[[#This Row],[Vendor / Org. with Contract ID]]="",VendorList[[#This Row],[Vendor / Org. with Contract ID]]="Future / Not Awarded"),"",IFERROR(INDEX(EAC[Estimate At Completion],MATCH(VendorList[[#This Row],[Vendor / Org. with Contract ID]],EAC[Vendor / Org. with Contract ID],0),1),"Does Not Exist"))</f>
        <v>1267.73</v>
      </c>
      <c r="Y15" s="922"/>
    </row>
    <row r="16" spans="2:25">
      <c r="B16" s="432" t="s">
        <v>412</v>
      </c>
      <c r="C16" s="83" t="s">
        <v>409</v>
      </c>
      <c r="D16" s="77" t="str">
        <f ca="1">IF(VendorList[[#This Row],[Vendor / Org.]]="","",CONCATENATE(VendorList[[#This Row],[Vendor / Org.]],"-",VendorList[[#This Row],[Contract ID]]))</f>
        <v>CarbonCopy Digital-Direct Pay</v>
      </c>
      <c r="E16" s="83" t="s">
        <v>80</v>
      </c>
      <c r="F16" s="288">
        <v>166.55</v>
      </c>
      <c r="G16" s="286">
        <f ca="1">SUMIFS(ChangeTrack[Change Value],ChangeTrack[Vendor / Org.],VendorList[[#This Row],[Vendor / Org. with Contract ID]],ChangeTrack[Change Status],"Approved")</f>
        <v>0</v>
      </c>
      <c r="H16" s="286">
        <f ca="1">VendorList[[#This Row],[Original Contract Value]]+VendorList[[#This Row],[Amendment(s)]]</f>
        <v>166.55</v>
      </c>
      <c r="I16" s="290">
        <f ca="1">SUMIFS(CostTrack[Value],CostTrack[Vendor - Contract],VendorList[[#This Row],[Vendor / Org. with Contract ID]],CostTrack[PA ID],VendorList[[#This Row],[PA ID]],CostTrack[Holdback (Y/N/R)],"&lt;&gt;Release",CostTrack[Status],"Approved")</f>
        <v>166.55</v>
      </c>
      <c r="J16" s="106">
        <f ca="1">IF(VendorList[[#This Row],[Current Commitment]]=0,"-",VendorList[[#This Row],[Expenditures to Date]]/VendorList[[#This Row],[Current Commitment]])</f>
        <v>1</v>
      </c>
      <c r="K16" s="292">
        <f ca="1">SUMIF(CostTrack[Vendor - Contract],VendorList[[#This Row],[Vendor / Org. with Contract ID]],CostTrack[Holdback Value])*-1</f>
        <v>0</v>
      </c>
      <c r="L16" s="292">
        <f ca="1">VendorList[[#This Row],[Current Commitment]]-VendorList[[#This Row],[Expenditures to Date]]</f>
        <v>0</v>
      </c>
      <c r="M16" s="84">
        <v>43186</v>
      </c>
      <c r="N16" s="84">
        <v>43186</v>
      </c>
      <c r="O16" s="85" t="s">
        <v>413</v>
      </c>
      <c r="P16" s="177" t="str">
        <f ca="1">IFERROR(INDEX(BudgetTrack[Primary Category],MATCH(VendorList[[#This Row],[PA ID]],BudgetTrack[PA ID],0)),"")</f>
        <v>Administration</v>
      </c>
      <c r="Q16" s="177" t="str">
        <f ca="1">IFERROR(INDEX(BudgetTrack[Secondary Category],MATCH(VendorList[[#This Row],[PA ID]],BudgetTrack[PA ID],0)),"")</f>
        <v>Other Administration</v>
      </c>
      <c r="R16" s="176" t="str">
        <f ca="1">IFERROR(INDEX(BudgetTrack[Phase / Subproject],MATCH(VendorList[[#This Row],[PA ID]],BudgetTrack[PA ID],0)),"")</f>
        <v>--</v>
      </c>
      <c r="S16" s="176" t="str">
        <f ca="1">IFERROR(INDEX(BudgetTrack[Phase / Subproject 2],MATCH(VendorList[[#This Row],[PA ID]],BudgetTrack[PA ID],0)),"")</f>
        <v>--</v>
      </c>
      <c r="T16" s="576" t="str">
        <f ca="1">IFERROR(INDEX(BudgetTrack[Funding Source],MATCH(VendorList[[#This Row],[PA ID]],BudgetTrack[PA ID],0)),"")</f>
        <v>P-002360</v>
      </c>
      <c r="U16" s="80" t="str">
        <f t="shared" ca="1" si="0"/>
        <v/>
      </c>
      <c r="V16" s="434" t="str">
        <f ca="1">IFERROR(INDEX($U$6:$U$109,_xlfn.AGGREGATE(15,6,(ROW($U$6:$U$109)-ROW($U$6)+1)/($U$6:$U$109&lt;&gt;""),ROWS(V$6:V16))),"")</f>
        <v>IUT-CTS Equipment-JSG-IUT</v>
      </c>
      <c r="W16" s="1285">
        <f ca="1">IF(OR(VendorList[[#This Row],[Vendor / Org. with Contract ID]]="",VendorList[[#This Row],[Vendor / Org. with Contract ID]]="Future / Not Awarded"),"",IFERROR(INDEX(EAC[Estimate At Completion],MATCH(VendorList[[#This Row],[Vendor / Org. with Contract ID]],EAC[Vendor / Org. with Contract ID],0),1),"Does Not Exist"))</f>
        <v>166.55</v>
      </c>
      <c r="Y16" s="922"/>
    </row>
    <row r="17" spans="2:25">
      <c r="B17" s="433" t="s">
        <v>414</v>
      </c>
      <c r="C17" s="83" t="s">
        <v>409</v>
      </c>
      <c r="D17" s="77" t="str">
        <f ca="1">IF(VendorList[[#This Row],[Vendor / Org.]]="","",CONCATENATE(VendorList[[#This Row],[Vendor / Org.]],"-",VendorList[[#This Row],[Contract ID]]))</f>
        <v>Harrison Bowker Real Estate AP-Direct Pay</v>
      </c>
      <c r="E17" s="83" t="s">
        <v>80</v>
      </c>
      <c r="F17" s="288">
        <v>5985</v>
      </c>
      <c r="G17" s="286">
        <f ca="1">SUMIFS(ChangeTrack[Change Value],ChangeTrack[Vendor / Org.],VendorList[[#This Row],[Vendor / Org. with Contract ID]],ChangeTrack[Change Status],"Approved")</f>
        <v>0</v>
      </c>
      <c r="H17" s="286">
        <f ca="1">VendorList[[#This Row],[Original Contract Value]]+VendorList[[#This Row],[Amendment(s)]]</f>
        <v>5985</v>
      </c>
      <c r="I17" s="290">
        <f ca="1">SUMIFS(CostTrack[Value],CostTrack[Vendor - Contract],VendorList[[#This Row],[Vendor / Org. with Contract ID]],CostTrack[PA ID],VendorList[[#This Row],[PA ID]],CostTrack[Holdback (Y/N/R)],"&lt;&gt;Release",CostTrack[Status],"Approved")</f>
        <v>5985</v>
      </c>
      <c r="J17" s="106">
        <f ca="1">IF(VendorList[[#This Row],[Current Commitment]]=0,"-",VendorList[[#This Row],[Expenditures to Date]]/VendorList[[#This Row],[Current Commitment]])</f>
        <v>1</v>
      </c>
      <c r="K17" s="292">
        <f ca="1">SUMIF(CostTrack[Vendor - Contract],VendorList[[#This Row],[Vendor / Org. with Contract ID]],CostTrack[Holdback Value])*-1</f>
        <v>0</v>
      </c>
      <c r="L17" s="292">
        <f ca="1">VendorList[[#This Row],[Current Commitment]]-VendorList[[#This Row],[Expenditures to Date]]</f>
        <v>0</v>
      </c>
      <c r="M17" s="84">
        <v>43190</v>
      </c>
      <c r="N17" s="84">
        <v>43190</v>
      </c>
      <c r="O17" s="85" t="s">
        <v>413</v>
      </c>
      <c r="P17" s="177" t="str">
        <f ca="1">IFERROR(INDEX(BudgetTrack[Primary Category],MATCH(VendorList[[#This Row],[PA ID]],BudgetTrack[PA ID],0)),"")</f>
        <v>Administration</v>
      </c>
      <c r="Q17" s="177" t="str">
        <f ca="1">IFERROR(INDEX(BudgetTrack[Secondary Category],MATCH(VendorList[[#This Row],[PA ID]],BudgetTrack[PA ID],0)),"")</f>
        <v>Other Administration</v>
      </c>
      <c r="R17" s="176" t="str">
        <f ca="1">IFERROR(INDEX(BudgetTrack[Phase / Subproject],MATCH(VendorList[[#This Row],[PA ID]],BudgetTrack[PA ID],0)),"")</f>
        <v>--</v>
      </c>
      <c r="S17" s="176" t="str">
        <f ca="1">IFERROR(INDEX(BudgetTrack[Phase / Subproject 2],MATCH(VendorList[[#This Row],[PA ID]],BudgetTrack[PA ID],0)),"")</f>
        <v>--</v>
      </c>
      <c r="T17" s="576" t="str">
        <f ca="1">IFERROR(INDEX(BudgetTrack[Funding Source],MATCH(VendorList[[#This Row],[PA ID]],BudgetTrack[PA ID],0)),"")</f>
        <v>P-002360</v>
      </c>
      <c r="U17" s="80" t="str">
        <f t="shared" ca="1" si="0"/>
        <v/>
      </c>
      <c r="V17" s="434" t="str">
        <f ca="1">IFERROR(INDEX($U$6:$U$109,_xlfn.AGGREGATE(15,6,(ROW($U$6:$U$109)-ROW($U$6)+1)/($U$6:$U$109&lt;&gt;""),ROWS(V$6:V17))),"")</f>
        <v>Uline storage cabinets-9000087761</v>
      </c>
      <c r="W17" s="1285">
        <f ca="1">IF(OR(VendorList[[#This Row],[Vendor / Org. with Contract ID]]="",VendorList[[#This Row],[Vendor / Org. with Contract ID]]="Future / Not Awarded"),"",IFERROR(INDEX(EAC[Estimate At Completion],MATCH(VendorList[[#This Row],[Vendor / Org. with Contract ID]],EAC[Vendor / Org. with Contract ID],0),1),"Does Not Exist"))</f>
        <v>5985</v>
      </c>
      <c r="Y17" s="922"/>
    </row>
    <row r="18" spans="2:25">
      <c r="B18" s="432" t="s">
        <v>415</v>
      </c>
      <c r="C18" s="83" t="s">
        <v>409</v>
      </c>
      <c r="D18" s="77" t="str">
        <f ca="1">IF(VendorList[[#This Row],[Vendor / Org.]]="","",CONCATENATE(VendorList[[#This Row],[Vendor / Org.]],"-",VendorList[[#This Row],[Contract ID]]))</f>
        <v>Fire Sail Holdings-Direct Pay</v>
      </c>
      <c r="E18" s="83" t="s">
        <v>80</v>
      </c>
      <c r="F18" s="288">
        <v>1005352.97</v>
      </c>
      <c r="G18" s="286">
        <f ca="1">SUMIFS(ChangeTrack[Change Value],ChangeTrack[Vendor / Org.],VendorList[[#This Row],[Vendor / Org. with Contract ID]],ChangeTrack[Change Status],"Approved")</f>
        <v>0</v>
      </c>
      <c r="H18" s="286">
        <f ca="1">VendorList[[#This Row],[Original Contract Value]]+VendorList[[#This Row],[Amendment(s)]]</f>
        <v>1005352.97</v>
      </c>
      <c r="I18" s="290">
        <f ca="1">SUMIFS(CostTrack[Value],CostTrack[Vendor - Contract],VendorList[[#This Row],[Vendor / Org. with Contract ID]],CostTrack[PA ID],VendorList[[#This Row],[PA ID]],CostTrack[Holdback (Y/N/R)],"&lt;&gt;Release",CostTrack[Status],"Approved")</f>
        <v>1005352.97</v>
      </c>
      <c r="J18" s="106">
        <f ca="1">IF(VendorList[[#This Row],[Current Commitment]]=0,"-",VendorList[[#This Row],[Expenditures to Date]]/VendorList[[#This Row],[Current Commitment]])</f>
        <v>1</v>
      </c>
      <c r="K18" s="292">
        <f ca="1">SUMIF(CostTrack[Vendor - Contract],VendorList[[#This Row],[Vendor / Org. with Contract ID]],CostTrack[Holdback Value])*-1</f>
        <v>0</v>
      </c>
      <c r="L18" s="292">
        <f ca="1">VendorList[[#This Row],[Current Commitment]]-VendorList[[#This Row],[Expenditures to Date]]</f>
        <v>0</v>
      </c>
      <c r="M18" s="84">
        <v>43262</v>
      </c>
      <c r="N18" s="84">
        <v>43262</v>
      </c>
      <c r="O18" s="85" t="s">
        <v>410</v>
      </c>
      <c r="P18" s="177" t="str">
        <f ca="1">IFERROR(INDEX(BudgetTrack[Primary Category],MATCH(VendorList[[#This Row],[PA ID]],BudgetTrack[PA ID],0)),"")</f>
        <v>Land</v>
      </c>
      <c r="Q18" s="177" t="str">
        <f ca="1">IFERROR(INDEX(BudgetTrack[Secondary Category],MATCH(VendorList[[#This Row],[PA ID]],BudgetTrack[PA ID],0)),"")</f>
        <v>Land Purchase</v>
      </c>
      <c r="R18" s="176" t="str">
        <f ca="1">IFERROR(INDEX(BudgetTrack[Phase / Subproject],MATCH(VendorList[[#This Row],[PA ID]],BudgetTrack[PA ID],0)),"")</f>
        <v>--</v>
      </c>
      <c r="S18" s="176" t="str">
        <f ca="1">IFERROR(INDEX(BudgetTrack[Phase / Subproject 2],MATCH(VendorList[[#This Row],[PA ID]],BudgetTrack[PA ID],0)),"")</f>
        <v>--</v>
      </c>
      <c r="T18" s="576" t="str">
        <f ca="1">IFERROR(INDEX(BudgetTrack[Funding Source],MATCH(VendorList[[#This Row],[PA ID]],BudgetTrack[PA ID],0)),"")</f>
        <v>P-002360</v>
      </c>
      <c r="U18" s="80" t="str">
        <f t="shared" ca="1" si="0"/>
        <v/>
      </c>
      <c r="V18" s="434" t="str">
        <f ca="1">IFERROR(INDEX($U$6:$U$109,_xlfn.AGGREGATE(15,6,(ROW($U$6:$U$109)-ROW($U$6)+1)/($U$6:$U$109&lt;&gt;""),ROWS(V$6:V18))),"")</f>
        <v>Chandos -041280</v>
      </c>
      <c r="W18" s="1285">
        <f ca="1">IF(OR(VendorList[[#This Row],[Vendor / Org. with Contract ID]]="",VendorList[[#This Row],[Vendor / Org. with Contract ID]]="Future / Not Awarded"),"",IFERROR(INDEX(EAC[Estimate At Completion],MATCH(VendorList[[#This Row],[Vendor / Org. with Contract ID]],EAC[Vendor / Org. with Contract ID],0),1),"Does Not Exist"))</f>
        <v>1005352.97</v>
      </c>
      <c r="Y18" s="922"/>
    </row>
    <row r="19" spans="2:25">
      <c r="B19" s="433" t="s">
        <v>416</v>
      </c>
      <c r="C19" s="111">
        <v>35131</v>
      </c>
      <c r="D19" s="77" t="str">
        <f ca="1">IF(VendorList[[#This Row],[Vendor / Org.]]="","",CONCATENATE(VendorList[[#This Row],[Vendor / Org.]],"-",VendorList[[#This Row],[Contract ID]]))</f>
        <v>Shunda Consulting &amp; Construction Mgt-35131</v>
      </c>
      <c r="E19" s="83" t="s">
        <v>80</v>
      </c>
      <c r="F19" s="288">
        <v>7000</v>
      </c>
      <c r="G19" s="286">
        <f ca="1">SUMIFS(ChangeTrack[Change Value],ChangeTrack[Vendor / Org.],VendorList[[#This Row],[Vendor / Org. with Contract ID]],ChangeTrack[Change Status],"Approved")</f>
        <v>0</v>
      </c>
      <c r="H19" s="286">
        <f ca="1">VendorList[[#This Row],[Original Contract Value]]+VendorList[[#This Row],[Amendment(s)]]</f>
        <v>7000</v>
      </c>
      <c r="I19" s="290">
        <f ca="1">SUMIFS(CostTrack[Value],CostTrack[Vendor - Contract],VendorList[[#This Row],[Vendor / Org. with Contract ID]],CostTrack[PA ID],VendorList[[#This Row],[PA ID]],CostTrack[Holdback (Y/N/R)],"&lt;&gt;Release",CostTrack[Status],"Approved")</f>
        <v>7000</v>
      </c>
      <c r="J19" s="106">
        <f ca="1">IF(VendorList[[#This Row],[Current Commitment]]=0,"-",VendorList[[#This Row],[Expenditures to Date]]/VendorList[[#This Row],[Current Commitment]])</f>
        <v>1</v>
      </c>
      <c r="K19" s="292">
        <f ca="1">SUMIF(CostTrack[Vendor - Contract],VendorList[[#This Row],[Vendor / Org. with Contract ID]],CostTrack[Holdback Value])*-1</f>
        <v>0</v>
      </c>
      <c r="L19" s="292">
        <f ca="1">VendorList[[#This Row],[Current Commitment]]-VendorList[[#This Row],[Expenditures to Date]]</f>
        <v>0</v>
      </c>
      <c r="M19" s="84"/>
      <c r="N19" s="84">
        <v>43646</v>
      </c>
      <c r="O19" s="85" t="s">
        <v>248</v>
      </c>
      <c r="P19" s="177" t="str">
        <f ca="1">IFERROR(INDEX(BudgetTrack[Primary Category],MATCH(VendorList[[#This Row],[PA ID]],BudgetTrack[PA ID],0)),"")</f>
        <v>Construction</v>
      </c>
      <c r="Q19" s="177" t="str">
        <f ca="1">IFERROR(INDEX(BudgetTrack[Secondary Category],MATCH(VendorList[[#This Row],[PA ID]],BudgetTrack[PA ID],0)),"")</f>
        <v>Other Contractor</v>
      </c>
      <c r="R19" s="176" t="str">
        <f ca="1">IFERROR(INDEX(BudgetTrack[Phase / Subproject],MATCH(VendorList[[#This Row],[PA ID]],BudgetTrack[PA ID],0)),"")</f>
        <v>--</v>
      </c>
      <c r="S19" s="176" t="str">
        <f ca="1">IFERROR(INDEX(BudgetTrack[Phase / Subproject 2],MATCH(VendorList[[#This Row],[PA ID]],BudgetTrack[PA ID],0)),"")</f>
        <v>--</v>
      </c>
      <c r="T19" s="576" t="str">
        <f ca="1">IFERROR(INDEX(BudgetTrack[Funding Source],MATCH(VendorList[[#This Row],[PA ID]],BudgetTrack[PA ID],0)),"")</f>
        <v>P-002360</v>
      </c>
      <c r="U19" s="80" t="str">
        <f t="shared" ca="1" si="0"/>
        <v/>
      </c>
      <c r="V19" s="434" t="str">
        <f ca="1">IFERROR(INDEX($U$6:$U$109,_xlfn.AGGREGATE(15,6,(ROW($U$6:$U$109)-ROW($U$6)+1)/($U$6:$U$109&lt;&gt;""),ROWS(V$6:V19))),"")</f>
        <v>Gowling WLG -External Counsel-41876</v>
      </c>
      <c r="W19" s="1285">
        <f ca="1">IF(OR(VendorList[[#This Row],[Vendor / Org. with Contract ID]]="",VendorList[[#This Row],[Vendor / Org. with Contract ID]]="Future / Not Awarded"),"",IFERROR(INDEX(EAC[Estimate At Completion],MATCH(VendorList[[#This Row],[Vendor / Org. with Contract ID]],EAC[Vendor / Org. with Contract ID],0),1),"Does Not Exist"))</f>
        <v>7000</v>
      </c>
      <c r="Y19" s="922"/>
    </row>
    <row r="20" spans="2:25">
      <c r="B20" s="433" t="s">
        <v>417</v>
      </c>
      <c r="C20" s="111">
        <v>34830</v>
      </c>
      <c r="D20" s="77" t="str">
        <f ca="1">IF(VendorList[[#This Row],[Vendor / Org.]]="","",CONCATENATE(VendorList[[#This Row],[Vendor / Org.]],"-",VendorList[[#This Row],[Contract ID]]))</f>
        <v>Staff Capitalization-34830</v>
      </c>
      <c r="E20" s="83" t="s">
        <v>71</v>
      </c>
      <c r="F20" s="288">
        <v>2975000</v>
      </c>
      <c r="G20" s="286">
        <f ca="1">SUMIFS(ChangeTrack[Change Value],ChangeTrack[Vendor / Org.],VendorList[[#This Row],[Vendor / Org. with Contract ID]],ChangeTrack[Change Status],"Approved")</f>
        <v>602739</v>
      </c>
      <c r="H20" s="286">
        <f ca="1">VendorList[[#This Row],[Original Contract Value]]+VendorList[[#This Row],[Amendment(s)]]</f>
        <v>3577739</v>
      </c>
      <c r="I20" s="290">
        <f ca="1">SUMIFS(CostTrack[Value],CostTrack[Vendor - Contract],VendorList[[#This Row],[Vendor / Org. with Contract ID]],CostTrack[PA ID],VendorList[[#This Row],[PA ID]],CostTrack[Holdback (Y/N/R)],"&lt;&gt;Release",CostTrack[Status],"Approved")</f>
        <v>3303972.9300000006</v>
      </c>
      <c r="J20" s="106">
        <f ca="1">IF(VendorList[[#This Row],[Current Commitment]]=0,"-",VendorList[[#This Row],[Expenditures to Date]]/VendorList[[#This Row],[Current Commitment]])</f>
        <v>0.92348070387470993</v>
      </c>
      <c r="K20" s="292">
        <f ca="1">SUMIF(CostTrack[Vendor - Contract],VendorList[[#This Row],[Vendor / Org. with Contract ID]],CostTrack[Holdback Value])*-1</f>
        <v>0</v>
      </c>
      <c r="L20" s="292">
        <f ca="1">VendorList[[#This Row],[Current Commitment]]-VendorList[[#This Row],[Expenditures to Date]]</f>
        <v>273766.06999999937</v>
      </c>
      <c r="M20" s="84"/>
      <c r="N20" s="84">
        <v>46112</v>
      </c>
      <c r="O20" s="583" t="s">
        <v>418</v>
      </c>
      <c r="P20" s="177" t="str">
        <f ca="1">IFERROR(INDEX(BudgetTrack[Primary Category],MATCH(VendorList[[#This Row],[PA ID]],BudgetTrack[PA ID],0)),"")</f>
        <v>Administration</v>
      </c>
      <c r="Q20" s="177" t="str">
        <f ca="1">IFERROR(INDEX(BudgetTrack[Secondary Category],MATCH(VendorList[[#This Row],[PA ID]],BudgetTrack[PA ID],0)),"")</f>
        <v>Staff Capitalization - INFRA</v>
      </c>
      <c r="R20" s="176" t="str">
        <f ca="1">IFERROR(INDEX(BudgetTrack[Phase / Subproject],MATCH(VendorList[[#This Row],[PA ID]],BudgetTrack[PA ID],0)),"")</f>
        <v>--</v>
      </c>
      <c r="S20" s="176" t="str">
        <f ca="1">IFERROR(INDEX(BudgetTrack[Phase / Subproject 2],MATCH(VendorList[[#This Row],[PA ID]],BudgetTrack[PA ID],0)),"")</f>
        <v>--</v>
      </c>
      <c r="T20" s="576" t="str">
        <f ca="1">IFERROR(INDEX(BudgetTrack[Funding Source],MATCH(VendorList[[#This Row],[PA ID]],BudgetTrack[PA ID],0)),"")</f>
        <v>P-002360</v>
      </c>
      <c r="U20" s="80" t="str">
        <f t="shared" ca="1" si="0"/>
        <v>Staff Capitalization-34830</v>
      </c>
      <c r="V20" s="434" t="str">
        <f ca="1">IFERROR(INDEX($U$6:$U$109,_xlfn.AGGREGATE(15,6,(ROW($U$6:$U$109)-ROW($U$6)+1)/($U$6:$U$109&lt;&gt;""),ROWS(V$6:V20))),"")</f>
        <v>IUT Out - CTS Operational Support-IUT</v>
      </c>
      <c r="W20" s="1285">
        <f ca="1">IF(OR(VendorList[[#This Row],[Vendor / Org. with Contract ID]]="",VendorList[[#This Row],[Vendor / Org. with Contract ID]]="Future / Not Awarded"),"",IFERROR(INDEX(EAC[Estimate At Completion],MATCH(VendorList[[#This Row],[Vendor / Org. with Contract ID]],EAC[Vendor / Org. with Contract ID],0),1),"Does Not Exist"))</f>
        <v>3577739</v>
      </c>
      <c r="Y20" s="922"/>
    </row>
    <row r="21" spans="2:25">
      <c r="B21" s="433" t="s">
        <v>419</v>
      </c>
      <c r="C21" s="111">
        <v>36059</v>
      </c>
      <c r="D21" s="77" t="str">
        <f ca="1">IF(VendorList[[#This Row],[Vendor / Org.]]="","",CONCATENATE(VendorList[[#This Row],[Vendor / Org.]],"-",VendorList[[#This Row],[Contract ID]]))</f>
        <v>Novus West Inc-36059</v>
      </c>
      <c r="E21" s="83" t="s">
        <v>80</v>
      </c>
      <c r="F21" s="288">
        <v>14275</v>
      </c>
      <c r="G21" s="286">
        <f ca="1">SUMIFS(ChangeTrack[Change Value],ChangeTrack[Vendor / Org.],VendorList[[#This Row],[Vendor / Org. with Contract ID]],ChangeTrack[Change Status],"Approved")</f>
        <v>-395</v>
      </c>
      <c r="H21" s="286">
        <f ca="1">VendorList[[#This Row],[Original Contract Value]]+VendorList[[#This Row],[Amendment(s)]]</f>
        <v>13880</v>
      </c>
      <c r="I21" s="290">
        <f ca="1">SUMIFS(CostTrack[Value],CostTrack[Vendor - Contract],VendorList[[#This Row],[Vendor / Org. with Contract ID]],CostTrack[PA ID],VendorList[[#This Row],[PA ID]],CostTrack[Holdback (Y/N/R)],"&lt;&gt;Release",CostTrack[Status],"Approved")</f>
        <v>13880</v>
      </c>
      <c r="J21" s="106">
        <f ca="1">IF(VendorList[[#This Row],[Current Commitment]]=0,"-",VendorList[[#This Row],[Expenditures to Date]]/VendorList[[#This Row],[Current Commitment]])</f>
        <v>1</v>
      </c>
      <c r="K21" s="292">
        <f ca="1">SUMIF(CostTrack[Vendor - Contract],VendorList[[#This Row],[Vendor / Org. with Contract ID]],CostTrack[Holdback Value])*-1</f>
        <v>0</v>
      </c>
      <c r="L21" s="292">
        <f ca="1">VendorList[[#This Row],[Current Commitment]]-VendorList[[#This Row],[Expenditures to Date]]</f>
        <v>0</v>
      </c>
      <c r="M21" s="84">
        <v>43474</v>
      </c>
      <c r="N21" s="84">
        <v>43738</v>
      </c>
      <c r="O21" s="85" t="s">
        <v>401</v>
      </c>
      <c r="P21" s="177" t="str">
        <f ca="1">IFERROR(INDEX(BudgetTrack[Primary Category],MATCH(VendorList[[#This Row],[PA ID]],BudgetTrack[PA ID],0)),"")</f>
        <v>Professional Services</v>
      </c>
      <c r="Q21" s="177" t="str">
        <f ca="1">IFERROR(INDEX(BudgetTrack[Secondary Category],MATCH(VendorList[[#This Row],[PA ID]],BudgetTrack[PA ID],0)),"")</f>
        <v>Other Professional Services</v>
      </c>
      <c r="R21" s="176" t="str">
        <f ca="1">IFERROR(INDEX(BudgetTrack[Phase / Subproject],MATCH(VendorList[[#This Row],[PA ID]],BudgetTrack[PA ID],0)),"")</f>
        <v>--</v>
      </c>
      <c r="S21" s="176" t="str">
        <f ca="1">IFERROR(INDEX(BudgetTrack[Phase / Subproject 2],MATCH(VendorList[[#This Row],[PA ID]],BudgetTrack[PA ID],0)),"")</f>
        <v>--</v>
      </c>
      <c r="T21" s="576" t="str">
        <f ca="1">IFERROR(INDEX(BudgetTrack[Funding Source],MATCH(VendorList[[#This Row],[PA ID]],BudgetTrack[PA ID],0)),"")</f>
        <v>P-002360</v>
      </c>
      <c r="U21" s="80" t="str">
        <f t="shared" ca="1" si="0"/>
        <v/>
      </c>
      <c r="V21" s="434" t="str">
        <f ca="1">IFERROR(INDEX($U$6:$U$109,_xlfn.AGGREGATE(15,6,(ROW($U$6:$U$109)-ROW($U$6)+1)/($U$6:$U$109&lt;&gt;""),ROWS(V$6:V21))),"")</f>
        <v>IUT IN- CTS WAPS-IUT</v>
      </c>
      <c r="W21" s="1285">
        <f ca="1">IF(OR(VendorList[[#This Row],[Vendor / Org. with Contract ID]]="",VendorList[[#This Row],[Vendor / Org. with Contract ID]]="Future / Not Awarded"),"",IFERROR(INDEX(EAC[Estimate At Completion],MATCH(VendorList[[#This Row],[Vendor / Org. with Contract ID]],EAC[Vendor / Org. with Contract ID],0),1),"Does Not Exist"))</f>
        <v>13880</v>
      </c>
      <c r="Y21" s="922"/>
    </row>
    <row r="22" spans="2:25">
      <c r="B22" s="433" t="s">
        <v>420</v>
      </c>
      <c r="C22" s="111">
        <v>36068</v>
      </c>
      <c r="D22" s="77" t="str">
        <f ca="1">IF(VendorList[[#This Row],[Vendor / Org.]]="","",CONCATENATE(VendorList[[#This Row],[Vendor / Org.]],"-",VendorList[[#This Row],[Contract ID]]))</f>
        <v>Visco Demolition Contractors Ltd.-36068</v>
      </c>
      <c r="E22" s="83" t="s">
        <v>80</v>
      </c>
      <c r="F22" s="288">
        <v>475000</v>
      </c>
      <c r="G22" s="286">
        <f ca="1">SUMIFS(ChangeTrack[Change Value],ChangeTrack[Vendor / Org.],VendorList[[#This Row],[Vendor / Org. with Contract ID]],ChangeTrack[Change Status],"Approved")</f>
        <v>-2111.62</v>
      </c>
      <c r="H22" s="286">
        <f ca="1">VendorList[[#This Row],[Original Contract Value]]+VendorList[[#This Row],[Amendment(s)]]</f>
        <v>472888.38</v>
      </c>
      <c r="I22" s="290">
        <f ca="1">SUMIFS(CostTrack[Value],CostTrack[Vendor - Contract],VendorList[[#This Row],[Vendor / Org. with Contract ID]],CostTrack[PA ID],VendorList[[#This Row],[PA ID]],CostTrack[Holdback (Y/N/R)],"&lt;&gt;Release",CostTrack[Status],"Approved")</f>
        <v>472888.38</v>
      </c>
      <c r="J22" s="106">
        <f ca="1">IF(VendorList[[#This Row],[Current Commitment]]=0,"-",VendorList[[#This Row],[Expenditures to Date]]/VendorList[[#This Row],[Current Commitment]])</f>
        <v>1</v>
      </c>
      <c r="K22" s="292">
        <f ca="1">SUMIF(CostTrack[Vendor - Contract],VendorList[[#This Row],[Vendor / Org. with Contract ID]],CostTrack[Holdback Value])*-1</f>
        <v>0</v>
      </c>
      <c r="L22" s="292">
        <f ca="1">VendorList[[#This Row],[Current Commitment]]-VendorList[[#This Row],[Expenditures to Date]]</f>
        <v>0</v>
      </c>
      <c r="M22" s="84">
        <v>43474</v>
      </c>
      <c r="N22" s="84">
        <v>44135</v>
      </c>
      <c r="O22" s="85" t="s">
        <v>421</v>
      </c>
      <c r="P22" s="177" t="str">
        <f ca="1">IFERROR(INDEX(BudgetTrack[Primary Category],MATCH(VendorList[[#This Row],[PA ID]],BudgetTrack[PA ID],0)),"")</f>
        <v>Construction</v>
      </c>
      <c r="Q22" s="177" t="str">
        <f ca="1">IFERROR(INDEX(BudgetTrack[Secondary Category],MATCH(VendorList[[#This Row],[PA ID]],BudgetTrack[PA ID],0)),"")</f>
        <v>Demolition</v>
      </c>
      <c r="R22" s="176" t="str">
        <f ca="1">IFERROR(INDEX(BudgetTrack[Phase / Subproject],MATCH(VendorList[[#This Row],[PA ID]],BudgetTrack[PA ID],0)),"")</f>
        <v>--</v>
      </c>
      <c r="S22" s="176" t="str">
        <f ca="1">IFERROR(INDEX(BudgetTrack[Phase / Subproject 2],MATCH(VendorList[[#This Row],[PA ID]],BudgetTrack[PA ID],0)),"")</f>
        <v>--</v>
      </c>
      <c r="T22" s="576" t="str">
        <f ca="1">IFERROR(INDEX(BudgetTrack[Funding Source],MATCH(VendorList[[#This Row],[PA ID]],BudgetTrack[PA ID],0)),"")</f>
        <v>P-002360</v>
      </c>
      <c r="U22" s="80" t="str">
        <f t="shared" ca="1" si="0"/>
        <v/>
      </c>
      <c r="V22" s="434" t="str">
        <f ca="1">IFERROR(INDEX($U$6:$U$109,_xlfn.AGGREGATE(15,6,(ROW($U$6:$U$109)-ROW($U$6)+1)/($U$6:$U$109&lt;&gt;""),ROWS(V$6:V22))),"")</f>
        <v>Facilities-</v>
      </c>
      <c r="W22" s="1285">
        <f ca="1">IF(OR(VendorList[[#This Row],[Vendor / Org. with Contract ID]]="",VendorList[[#This Row],[Vendor / Org. with Contract ID]]="Future / Not Awarded"),"",IFERROR(INDEX(EAC[Estimate At Completion],MATCH(VendorList[[#This Row],[Vendor / Org. with Contract ID]],EAC[Vendor / Org. with Contract ID],0),1),"Does Not Exist"))</f>
        <v>472888.38</v>
      </c>
      <c r="Y22" s="922"/>
    </row>
    <row r="23" spans="2:25">
      <c r="B23" s="433" t="s">
        <v>422</v>
      </c>
      <c r="C23" s="111">
        <v>36168</v>
      </c>
      <c r="D23" s="77" t="str">
        <f ca="1">IF(VendorList[[#This Row],[Vendor / Org.]]="","",CONCATENATE(VendorList[[#This Row],[Vendor / Org.]],"-",VendorList[[#This Row],[Contract ID]]))</f>
        <v>Tetra Tech Canada Inc.-36168</v>
      </c>
      <c r="E23" s="83" t="s">
        <v>80</v>
      </c>
      <c r="F23" s="288">
        <v>128604</v>
      </c>
      <c r="G23" s="286">
        <f ca="1">SUMIFS(ChangeTrack[Change Value],ChangeTrack[Vendor / Org.],VendorList[[#This Row],[Vendor / Org. with Contract ID]],ChangeTrack[Change Status],"Approved")</f>
        <v>76102.25</v>
      </c>
      <c r="H23" s="286">
        <f ca="1">VendorList[[#This Row],[Original Contract Value]]+VendorList[[#This Row],[Amendment(s)]]</f>
        <v>204706.25</v>
      </c>
      <c r="I23" s="290">
        <f ca="1">SUMIFS(CostTrack[Value],CostTrack[Vendor - Contract],VendorList[[#This Row],[Vendor / Org. with Contract ID]],CostTrack[PA ID],VendorList[[#This Row],[PA ID]],CostTrack[Holdback (Y/N/R)],"&lt;&gt;Release",CostTrack[Status],"Approved")</f>
        <v>204706.25</v>
      </c>
      <c r="J23" s="106">
        <f ca="1">IF(VendorList[[#This Row],[Current Commitment]]=0,"-",VendorList[[#This Row],[Expenditures to Date]]/VendorList[[#This Row],[Current Commitment]])</f>
        <v>1</v>
      </c>
      <c r="K23" s="292">
        <f ca="1">SUMIF(CostTrack[Vendor - Contract],VendorList[[#This Row],[Vendor / Org. with Contract ID]],CostTrack[Holdback Value])*-1</f>
        <v>0</v>
      </c>
      <c r="L23" s="292">
        <f ca="1">VendorList[[#This Row],[Current Commitment]]-VendorList[[#This Row],[Expenditures to Date]]</f>
        <v>0</v>
      </c>
      <c r="M23" s="84">
        <v>43531</v>
      </c>
      <c r="N23" s="84">
        <v>45382</v>
      </c>
      <c r="O23" s="85" t="s">
        <v>401</v>
      </c>
      <c r="P23" s="177" t="str">
        <f ca="1">IFERROR(INDEX(BudgetTrack[Primary Category],MATCH(VendorList[[#This Row],[PA ID]],BudgetTrack[PA ID],0)),"")</f>
        <v>Professional Services</v>
      </c>
      <c r="Q23" s="177" t="str">
        <f ca="1">IFERROR(INDEX(BudgetTrack[Secondary Category],MATCH(VendorList[[#This Row],[PA ID]],BudgetTrack[PA ID],0)),"")</f>
        <v>Other Professional Services</v>
      </c>
      <c r="R23" s="176" t="str">
        <f ca="1">IFERROR(INDEX(BudgetTrack[Phase / Subproject],MATCH(VendorList[[#This Row],[PA ID]],BudgetTrack[PA ID],0)),"")</f>
        <v>--</v>
      </c>
      <c r="S23" s="176" t="str">
        <f ca="1">IFERROR(INDEX(BudgetTrack[Phase / Subproject 2],MATCH(VendorList[[#This Row],[PA ID]],BudgetTrack[PA ID],0)),"")</f>
        <v>--</v>
      </c>
      <c r="T23" s="576" t="str">
        <f ca="1">IFERROR(INDEX(BudgetTrack[Funding Source],MATCH(VendorList[[#This Row],[PA ID]],BudgetTrack[PA ID],0)),"")</f>
        <v>P-002360</v>
      </c>
      <c r="U23" s="80" t="str">
        <f t="shared" ca="1" si="0"/>
        <v/>
      </c>
      <c r="V23" s="434" t="str">
        <f ca="1">IFERROR(INDEX($U$6:$U$109,_xlfn.AGGREGATE(15,6,(ROW($U$6:$U$109)-ROW($U$6)+1)/($U$6:$U$109&lt;&gt;""),ROWS(V$6:V23))),"")</f>
        <v/>
      </c>
      <c r="W23" s="1285">
        <f ca="1">IF(OR(VendorList[[#This Row],[Vendor / Org. with Contract ID]]="",VendorList[[#This Row],[Vendor / Org. with Contract ID]]="Future / Not Awarded"),"",IFERROR(INDEX(EAC[Estimate At Completion],MATCH(VendorList[[#This Row],[Vendor / Org. with Contract ID]],EAC[Vendor / Org. with Contract ID],0),1),"Does Not Exist"))</f>
        <v>204706.25</v>
      </c>
      <c r="Y23" s="922"/>
    </row>
    <row r="24" spans="2:25">
      <c r="B24" s="433" t="s">
        <v>423</v>
      </c>
      <c r="C24" s="111" t="s">
        <v>409</v>
      </c>
      <c r="D24" s="77" t="str">
        <f ca="1">IF(VendorList[[#This Row],[Vendor / Org.]]="","",CONCATENATE(VendorList[[#This Row],[Vendor / Org.]],"-",VendorList[[#This Row],[Contract ID]]))</f>
        <v>WDC Consulting-Direct Pay</v>
      </c>
      <c r="E24" s="83" t="s">
        <v>80</v>
      </c>
      <c r="F24" s="288">
        <v>3324.04</v>
      </c>
      <c r="G24" s="286">
        <f ca="1">SUMIFS(ChangeTrack[Change Value],ChangeTrack[Vendor / Org.],VendorList[[#This Row],[Vendor / Org. with Contract ID]],ChangeTrack[Change Status],"Approved")</f>
        <v>0</v>
      </c>
      <c r="H24" s="286">
        <f ca="1">VendorList[[#This Row],[Original Contract Value]]+VendorList[[#This Row],[Amendment(s)]]</f>
        <v>3324.04</v>
      </c>
      <c r="I24" s="290">
        <f ca="1">SUMIFS(CostTrack[Value],CostTrack[Vendor - Contract],VendorList[[#This Row],[Vendor / Org. with Contract ID]],CostTrack[PA ID],VendorList[[#This Row],[PA ID]],CostTrack[Holdback (Y/N/R)],"&lt;&gt;Release",CostTrack[Status],"Approved")</f>
        <v>3324.04</v>
      </c>
      <c r="J24" s="106">
        <f ca="1">IF(VendorList[[#This Row],[Current Commitment]]=0,"-",VendorList[[#This Row],[Expenditures to Date]]/VendorList[[#This Row],[Current Commitment]])</f>
        <v>1</v>
      </c>
      <c r="K24" s="292">
        <f ca="1">SUMIF(CostTrack[Vendor - Contract],VendorList[[#This Row],[Vendor / Org. with Contract ID]],CostTrack[Holdback Value])*-1</f>
        <v>0</v>
      </c>
      <c r="L24" s="292">
        <f ca="1">VendorList[[#This Row],[Current Commitment]]-VendorList[[#This Row],[Expenditures to Date]]</f>
        <v>0</v>
      </c>
      <c r="M24" s="84"/>
      <c r="N24" s="84">
        <v>43587</v>
      </c>
      <c r="O24" s="85" t="s">
        <v>413</v>
      </c>
      <c r="P24" s="177" t="str">
        <f ca="1">IFERROR(INDEX(BudgetTrack[Primary Category],MATCH(VendorList[[#This Row],[PA ID]],BudgetTrack[PA ID],0)),"")</f>
        <v>Administration</v>
      </c>
      <c r="Q24" s="177" t="str">
        <f ca="1">IFERROR(INDEX(BudgetTrack[Secondary Category],MATCH(VendorList[[#This Row],[PA ID]],BudgetTrack[PA ID],0)),"")</f>
        <v>Other Administration</v>
      </c>
      <c r="R24" s="176" t="str">
        <f ca="1">IFERROR(INDEX(BudgetTrack[Phase / Subproject],MATCH(VendorList[[#This Row],[PA ID]],BudgetTrack[PA ID],0)),"")</f>
        <v>--</v>
      </c>
      <c r="S24" s="176" t="str">
        <f ca="1">IFERROR(INDEX(BudgetTrack[Phase / Subproject 2],MATCH(VendorList[[#This Row],[PA ID]],BudgetTrack[PA ID],0)),"")</f>
        <v>--</v>
      </c>
      <c r="T24" s="576" t="str">
        <f ca="1">IFERROR(INDEX(BudgetTrack[Funding Source],MATCH(VendorList[[#This Row],[PA ID]],BudgetTrack[PA ID],0)),"")</f>
        <v>P-002360</v>
      </c>
      <c r="U24" s="80" t="str">
        <f t="shared" ca="1" si="0"/>
        <v/>
      </c>
      <c r="V24" s="434" t="str">
        <f ca="1">IFERROR(INDEX($U$6:$U$109,_xlfn.AGGREGATE(15,6,(ROW($U$6:$U$109)-ROW($U$6)+1)/($U$6:$U$109&lt;&gt;""),ROWS(V$6:V24))),"")</f>
        <v/>
      </c>
      <c r="W24" s="1285">
        <f ca="1">IF(OR(VendorList[[#This Row],[Vendor / Org. with Contract ID]]="",VendorList[[#This Row],[Vendor / Org. with Contract ID]]="Future / Not Awarded"),"",IFERROR(INDEX(EAC[Estimate At Completion],MATCH(VendorList[[#This Row],[Vendor / Org. with Contract ID]],EAC[Vendor / Org. with Contract ID],0),1),"Does Not Exist"))</f>
        <v>3324.04</v>
      </c>
      <c r="Y24" s="922"/>
    </row>
    <row r="25" spans="2:25">
      <c r="B25" s="433" t="s">
        <v>424</v>
      </c>
      <c r="C25" s="111" t="s">
        <v>409</v>
      </c>
      <c r="D25" s="77" t="str">
        <f ca="1">IF(VendorList[[#This Row],[Vendor / Org.]]="","",CONCATENATE(VendorList[[#This Row],[Vendor / Org.]],"-",VendorList[[#This Row],[Contract ID]]))</f>
        <v>Chapman Riebeek LLP -Direct Pay</v>
      </c>
      <c r="E25" s="83" t="s">
        <v>80</v>
      </c>
      <c r="F25" s="288">
        <v>5000</v>
      </c>
      <c r="G25" s="286">
        <f ca="1">SUMIFS(ChangeTrack[Change Value],ChangeTrack[Vendor / Org.],VendorList[[#This Row],[Vendor / Org. with Contract ID]],ChangeTrack[Change Status],"Approved")</f>
        <v>0</v>
      </c>
      <c r="H25" s="286">
        <f ca="1">VendorList[[#This Row],[Original Contract Value]]+VendorList[[#This Row],[Amendment(s)]]</f>
        <v>5000</v>
      </c>
      <c r="I25" s="290">
        <f ca="1">SUMIFS(CostTrack[Value],CostTrack[Vendor - Contract],VendorList[[#This Row],[Vendor / Org. with Contract ID]],CostTrack[PA ID],VendorList[[#This Row],[PA ID]],CostTrack[Holdback (Y/N/R)],"&lt;&gt;Release",CostTrack[Status],"Approved")</f>
        <v>5000</v>
      </c>
      <c r="J25" s="106">
        <f ca="1">IF(VendorList[[#This Row],[Current Commitment]]=0,"-",VendorList[[#This Row],[Expenditures to Date]]/VendorList[[#This Row],[Current Commitment]])</f>
        <v>1</v>
      </c>
      <c r="K25" s="292">
        <f ca="1">SUMIF(CostTrack[Vendor - Contract],VendorList[[#This Row],[Vendor / Org. with Contract ID]],CostTrack[Holdback Value])*-1</f>
        <v>0</v>
      </c>
      <c r="L25" s="292">
        <f ca="1">VendorList[[#This Row],[Current Commitment]]-VendorList[[#This Row],[Expenditures to Date]]</f>
        <v>0</v>
      </c>
      <c r="M25" s="84" t="s">
        <v>268</v>
      </c>
      <c r="N25" s="84">
        <v>43600</v>
      </c>
      <c r="O25" s="85" t="s">
        <v>413</v>
      </c>
      <c r="P25" s="177" t="str">
        <f ca="1">IFERROR(INDEX(BudgetTrack[Primary Category],MATCH(VendorList[[#This Row],[PA ID]],BudgetTrack[PA ID],0)),"")</f>
        <v>Administration</v>
      </c>
      <c r="Q25" s="177" t="str">
        <f ca="1">IFERROR(INDEX(BudgetTrack[Secondary Category],MATCH(VendorList[[#This Row],[PA ID]],BudgetTrack[PA ID],0)),"")</f>
        <v>Other Administration</v>
      </c>
      <c r="R25" s="176" t="str">
        <f ca="1">IFERROR(INDEX(BudgetTrack[Phase / Subproject],MATCH(VendorList[[#This Row],[PA ID]],BudgetTrack[PA ID],0)),"")</f>
        <v>--</v>
      </c>
      <c r="S25" s="176" t="str">
        <f ca="1">IFERROR(INDEX(BudgetTrack[Phase / Subproject 2],MATCH(VendorList[[#This Row],[PA ID]],BudgetTrack[PA ID],0)),"")</f>
        <v>--</v>
      </c>
      <c r="T25" s="576" t="str">
        <f ca="1">IFERROR(INDEX(BudgetTrack[Funding Source],MATCH(VendorList[[#This Row],[PA ID]],BudgetTrack[PA ID],0)),"")</f>
        <v>P-002360</v>
      </c>
      <c r="U25" s="80" t="str">
        <f t="shared" ca="1" si="0"/>
        <v/>
      </c>
      <c r="V25" s="434" t="str">
        <f ca="1">IFERROR(INDEX($U$6:$U$109,_xlfn.AGGREGATE(15,6,(ROW($U$6:$U$109)-ROW($U$6)+1)/($U$6:$U$109&lt;&gt;""),ROWS(V$6:V25))),"")</f>
        <v/>
      </c>
      <c r="W25" s="1285">
        <f ca="1">IF(OR(VendorList[[#This Row],[Vendor / Org. with Contract ID]]="",VendorList[[#This Row],[Vendor / Org. with Contract ID]]="Future / Not Awarded"),"",IFERROR(INDEX(EAC[Estimate At Completion],MATCH(VendorList[[#This Row],[Vendor / Org. with Contract ID]],EAC[Vendor / Org. with Contract ID],0),1),"Does Not Exist"))</f>
        <v>5000</v>
      </c>
      <c r="Y25" s="922"/>
    </row>
    <row r="26" spans="2:25">
      <c r="B26" s="578" t="s">
        <v>425</v>
      </c>
      <c r="C26" s="579" t="s">
        <v>409</v>
      </c>
      <c r="D26" s="580" t="str">
        <f ca="1">IF(VendorList[[#This Row],[Vendor / Org.]]="","",CONCATENATE(VendorList[[#This Row],[Vendor / Org.]],"-",VendorList[[#This Row],[Contract ID]]))</f>
        <v>Travel Expenses-Sommer-Direct Pay</v>
      </c>
      <c r="E26" s="590" t="s">
        <v>71</v>
      </c>
      <c r="F26" s="581">
        <v>7579.34</v>
      </c>
      <c r="G26" s="286">
        <f ca="1">SUMIFS(ChangeTrack[Change Value],ChangeTrack[Vendor / Org.],VendorList[[#This Row],[Vendor / Org. with Contract ID]],ChangeTrack[Change Status],"Approved")</f>
        <v>985.99</v>
      </c>
      <c r="H26" s="286">
        <f ca="1">VendorList[[#This Row],[Original Contract Value]]+VendorList[[#This Row],[Amendment(s)]]</f>
        <v>8565.33</v>
      </c>
      <c r="I26" s="290">
        <f ca="1">SUMIFS(CostTrack[Value],CostTrack[Vendor - Contract],VendorList[[#This Row],[Vendor / Org. with Contract ID]],CostTrack[PA ID],VendorList[[#This Row],[PA ID]],CostTrack[Holdback (Y/N/R)],"&lt;&gt;Release",CostTrack[Status],"Approved")</f>
        <v>8565.3299999999981</v>
      </c>
      <c r="J26" s="106">
        <f ca="1">IF(VendorList[[#This Row],[Current Commitment]]=0,"-",VendorList[[#This Row],[Expenditures to Date]]/VendorList[[#This Row],[Current Commitment]])</f>
        <v>0.99999999999999978</v>
      </c>
      <c r="K26" s="292">
        <f ca="1">SUMIF(CostTrack[Vendor - Contract],VendorList[[#This Row],[Vendor / Org. with Contract ID]],CostTrack[Holdback Value])*-1</f>
        <v>0</v>
      </c>
      <c r="L26" s="292">
        <f ca="1">VendorList[[#This Row],[Current Commitment]]-VendorList[[#This Row],[Expenditures to Date]]</f>
        <v>0</v>
      </c>
      <c r="M26" s="84"/>
      <c r="N26" s="84">
        <v>46112</v>
      </c>
      <c r="O26" s="85" t="s">
        <v>413</v>
      </c>
      <c r="P26" s="177" t="str">
        <f ca="1">IFERROR(INDEX(BudgetTrack[Primary Category],MATCH(VendorList[[#This Row],[PA ID]],BudgetTrack[PA ID],0)),"")</f>
        <v>Administration</v>
      </c>
      <c r="Q26" s="177" t="str">
        <f ca="1">IFERROR(INDEX(BudgetTrack[Secondary Category],MATCH(VendorList[[#This Row],[PA ID]],BudgetTrack[PA ID],0)),"")</f>
        <v>Other Administration</v>
      </c>
      <c r="R26" s="176" t="str">
        <f ca="1">IFERROR(INDEX(BudgetTrack[Phase / Subproject],MATCH(VendorList[[#This Row],[PA ID]],BudgetTrack[PA ID],0)),"")</f>
        <v>--</v>
      </c>
      <c r="S26" s="176" t="str">
        <f ca="1">IFERROR(INDEX(BudgetTrack[Phase / Subproject 2],MATCH(VendorList[[#This Row],[PA ID]],BudgetTrack[PA ID],0)),"")</f>
        <v>--</v>
      </c>
      <c r="T26" s="576" t="str">
        <f ca="1">IFERROR(INDEX(BudgetTrack[Funding Source],MATCH(VendorList[[#This Row],[PA ID]],BudgetTrack[PA ID],0)),"")</f>
        <v>P-002360</v>
      </c>
      <c r="U26" s="80" t="str">
        <f t="shared" ca="1" si="0"/>
        <v>Travel Expenses-Sommer-Direct Pay</v>
      </c>
      <c r="V26" s="434" t="str">
        <f ca="1">IFERROR(INDEX($U$6:$U$109,_xlfn.AGGREGATE(15,6,(ROW($U$6:$U$109)-ROW($U$6)+1)/($U$6:$U$109&lt;&gt;""),ROWS(V$6:V26))),"")</f>
        <v/>
      </c>
      <c r="W26" s="1285">
        <f ca="1">IF(OR(VendorList[[#This Row],[Vendor / Org. with Contract ID]]="",VendorList[[#This Row],[Vendor / Org. with Contract ID]]="Future / Not Awarded"),"",IFERROR(INDEX(EAC[Estimate At Completion],MATCH(VendorList[[#This Row],[Vendor / Org. with Contract ID]],EAC[Vendor / Org. with Contract ID],0),1),"Does Not Exist"))</f>
        <v>8565.33</v>
      </c>
      <c r="Y26" s="922"/>
    </row>
    <row r="27" spans="2:25">
      <c r="B27" s="433" t="s">
        <v>426</v>
      </c>
      <c r="C27" s="111">
        <v>38249</v>
      </c>
      <c r="D27" s="77" t="str">
        <f ca="1">IF(VendorList[[#This Row],[Vendor / Org.]]="","",CONCATENATE(VendorList[[#This Row],[Vendor / Org.]],"-",VendorList[[#This Row],[Contract ID]]))</f>
        <v>City of Red Deer-Sorensen Station-38249</v>
      </c>
      <c r="E27" s="83" t="s">
        <v>80</v>
      </c>
      <c r="F27" s="288">
        <v>50000</v>
      </c>
      <c r="G27" s="286">
        <f ca="1">SUMIFS(ChangeTrack[Change Value],ChangeTrack[Vendor / Org.],VendorList[[#This Row],[Vendor / Org. with Contract ID]],ChangeTrack[Change Status],"Approved")</f>
        <v>347065.97</v>
      </c>
      <c r="H27" s="286">
        <f ca="1">VendorList[[#This Row],[Original Contract Value]]+VendorList[[#This Row],[Amendment(s)]]</f>
        <v>397065.97</v>
      </c>
      <c r="I27" s="290">
        <f ca="1">SUMIFS(CostTrack[Value],CostTrack[Vendor - Contract],VendorList[[#This Row],[Vendor / Org. with Contract ID]],CostTrack[PA ID],VendorList[[#This Row],[PA ID]],CostTrack[Holdback (Y/N/R)],"&lt;&gt;Release",CostTrack[Status],"Approved")</f>
        <v>397065.97000000003</v>
      </c>
      <c r="J27" s="106">
        <f ca="1">IF(VendorList[[#This Row],[Current Commitment]]=0,"-",VendorList[[#This Row],[Expenditures to Date]]/VendorList[[#This Row],[Current Commitment]])</f>
        <v>1.0000000000000002</v>
      </c>
      <c r="K27" s="292">
        <f ca="1">SUMIF(CostTrack[Vendor - Contract],VendorList[[#This Row],[Vendor / Org. with Contract ID]],CostTrack[Holdback Value])*-1</f>
        <v>0</v>
      </c>
      <c r="L27" s="292">
        <f ca="1">VendorList[[#This Row],[Current Commitment]]-VendorList[[#This Row],[Expenditures to Date]]</f>
        <v>0</v>
      </c>
      <c r="M27" s="84">
        <v>43664</v>
      </c>
      <c r="N27" s="84">
        <v>45747</v>
      </c>
      <c r="O27" s="85" t="s">
        <v>248</v>
      </c>
      <c r="P27" s="177" t="str">
        <f ca="1">IFERROR(INDEX(BudgetTrack[Primary Category],MATCH(VendorList[[#This Row],[PA ID]],BudgetTrack[PA ID],0)),"")</f>
        <v>Construction</v>
      </c>
      <c r="Q27" s="177" t="str">
        <f ca="1">IFERROR(INDEX(BudgetTrack[Secondary Category],MATCH(VendorList[[#This Row],[PA ID]],BudgetTrack[PA ID],0)),"")</f>
        <v>Other Contractor</v>
      </c>
      <c r="R27" s="176" t="str">
        <f ca="1">IFERROR(INDEX(BudgetTrack[Phase / Subproject],MATCH(VendorList[[#This Row],[PA ID]],BudgetTrack[PA ID],0)),"")</f>
        <v>--</v>
      </c>
      <c r="S27" s="176" t="str">
        <f ca="1">IFERROR(INDEX(BudgetTrack[Phase / Subproject 2],MATCH(VendorList[[#This Row],[PA ID]],BudgetTrack[PA ID],0)),"")</f>
        <v>--</v>
      </c>
      <c r="T27" s="576" t="str">
        <f ca="1">IFERROR(INDEX(BudgetTrack[Funding Source],MATCH(VendorList[[#This Row],[PA ID]],BudgetTrack[PA ID],0)),"")</f>
        <v>P-002360</v>
      </c>
      <c r="U27" s="80" t="str">
        <f t="shared" ca="1" si="0"/>
        <v/>
      </c>
      <c r="V27" s="434" t="str">
        <f ca="1">IFERROR(INDEX($U$6:$U$109,_xlfn.AGGREGATE(15,6,(ROW($U$6:$U$109)-ROW($U$6)+1)/($U$6:$U$109&lt;&gt;""),ROWS(V$6:V27))),"")</f>
        <v/>
      </c>
      <c r="W27" s="1285">
        <f ca="1">IF(OR(VendorList[[#This Row],[Vendor / Org. with Contract ID]]="",VendorList[[#This Row],[Vendor / Org. with Contract ID]]="Future / Not Awarded"),"",IFERROR(INDEX(EAC[Estimate At Completion],MATCH(VendorList[[#This Row],[Vendor / Org. with Contract ID]],EAC[Vendor / Org. with Contract ID],0),1),"Does Not Exist"))</f>
        <v>397065.97</v>
      </c>
      <c r="Y27" s="922"/>
    </row>
    <row r="28" spans="2:25">
      <c r="B28" s="433" t="s">
        <v>427</v>
      </c>
      <c r="C28" s="111">
        <v>36789</v>
      </c>
      <c r="D28" s="77" t="str">
        <f ca="1">IF(VendorList[[#This Row],[Vendor / Org.]]="","",CONCATENATE(VendorList[[#This Row],[Vendor / Org.]],"-",VendorList[[#This Row],[Contract ID]]))</f>
        <v>ATCO-36789</v>
      </c>
      <c r="E28" s="83" t="s">
        <v>80</v>
      </c>
      <c r="F28" s="288">
        <v>26504.9</v>
      </c>
      <c r="G28" s="286">
        <f ca="1">SUMIFS(ChangeTrack[Change Value],ChangeTrack[Vendor / Org.],VendorList[[#This Row],[Vendor / Org. with Contract ID]],ChangeTrack[Change Status],"Approved")</f>
        <v>0</v>
      </c>
      <c r="H28" s="286">
        <f ca="1">VendorList[[#This Row],[Original Contract Value]]+VendorList[[#This Row],[Amendment(s)]]</f>
        <v>26504.9</v>
      </c>
      <c r="I28" s="290">
        <f ca="1">SUMIFS(CostTrack[Value],CostTrack[Vendor - Contract],VendorList[[#This Row],[Vendor / Org. with Contract ID]],CostTrack[PA ID],VendorList[[#This Row],[PA ID]],CostTrack[Holdback (Y/N/R)],"&lt;&gt;Release",CostTrack[Status],"Approved")</f>
        <v>26504.9</v>
      </c>
      <c r="J28" s="106">
        <f ca="1">IF(VendorList[[#This Row],[Current Commitment]]=0,"-",VendorList[[#This Row],[Expenditures to Date]]/VendorList[[#This Row],[Current Commitment]])</f>
        <v>1</v>
      </c>
      <c r="K28" s="292">
        <f ca="1">SUMIF(CostTrack[Vendor - Contract],VendorList[[#This Row],[Vendor / Org. with Contract ID]],CostTrack[Holdback Value])*-1</f>
        <v>0</v>
      </c>
      <c r="L28" s="292">
        <f ca="1">VendorList[[#This Row],[Current Commitment]]-VendorList[[#This Row],[Expenditures to Date]]</f>
        <v>0</v>
      </c>
      <c r="M28" s="84"/>
      <c r="N28" s="84">
        <v>43830</v>
      </c>
      <c r="O28" s="85" t="s">
        <v>428</v>
      </c>
      <c r="P28" s="177" t="str">
        <f ca="1">IFERROR(INDEX(BudgetTrack[Primary Category],MATCH(VendorList[[#This Row],[PA ID]],BudgetTrack[PA ID],0)),"")</f>
        <v>Construction</v>
      </c>
      <c r="Q28" s="177" t="str">
        <f ca="1">IFERROR(INDEX(BudgetTrack[Secondary Category],MATCH(VendorList[[#This Row],[PA ID]],BudgetTrack[PA ID],0)),"")</f>
        <v>Utilities</v>
      </c>
      <c r="R28" s="176" t="str">
        <f ca="1">IFERROR(INDEX(BudgetTrack[Phase / Subproject],MATCH(VendorList[[#This Row],[PA ID]],BudgetTrack[PA ID],0)),"")</f>
        <v>--</v>
      </c>
      <c r="S28" s="176" t="str">
        <f ca="1">IFERROR(INDEX(BudgetTrack[Phase / Subproject 2],MATCH(VendorList[[#This Row],[PA ID]],BudgetTrack[PA ID],0)),"")</f>
        <v>--</v>
      </c>
      <c r="T28" s="576" t="str">
        <f ca="1">IFERROR(INDEX(BudgetTrack[Funding Source],MATCH(VendorList[[#This Row],[PA ID]],BudgetTrack[PA ID],0)),"")</f>
        <v>P-002360</v>
      </c>
      <c r="U28" s="80" t="str">
        <f t="shared" ca="1" si="0"/>
        <v/>
      </c>
      <c r="V28" s="434" t="str">
        <f ca="1">IFERROR(INDEX($U$6:$U$109,_xlfn.AGGREGATE(15,6,(ROW($U$6:$U$109)-ROW($U$6)+1)/($U$6:$U$109&lt;&gt;""),ROWS(V$6:V28))),"")</f>
        <v/>
      </c>
      <c r="W28" s="1285">
        <f ca="1">IF(OR(VendorList[[#This Row],[Vendor / Org. with Contract ID]]="",VendorList[[#This Row],[Vendor / Org. with Contract ID]]="Future / Not Awarded"),"",IFERROR(INDEX(EAC[Estimate At Completion],MATCH(VendorList[[#This Row],[Vendor / Org. with Contract ID]],EAC[Vendor / Org. with Contract ID],0),1),"Does Not Exist"))</f>
        <v>26504.9</v>
      </c>
      <c r="Y28" s="922"/>
    </row>
    <row r="29" spans="2:25" s="179" customFormat="1">
      <c r="B29" s="433" t="s">
        <v>429</v>
      </c>
      <c r="C29" s="111" t="s">
        <v>409</v>
      </c>
      <c r="D29" s="77" t="str">
        <f ca="1">IF(VendorList[[#This Row],[Vendor / Org.]]="","",CONCATENATE(VendorList[[#This Row],[Vendor / Org.]],"-",VendorList[[#This Row],[Contract ID]]))</f>
        <v>TELUS-Service Removal-Direct Pay</v>
      </c>
      <c r="E29" s="83" t="s">
        <v>80</v>
      </c>
      <c r="F29" s="288">
        <v>11161.95</v>
      </c>
      <c r="G29" s="286">
        <f ca="1">SUMIFS(ChangeTrack[Change Value],ChangeTrack[Vendor / Org.],VendorList[[#This Row],[Vendor / Org. with Contract ID]],ChangeTrack[Change Status],"Approved")</f>
        <v>2279</v>
      </c>
      <c r="H29" s="286">
        <f ca="1">VendorList[[#This Row],[Original Contract Value]]+VendorList[[#This Row],[Amendment(s)]]</f>
        <v>13440.95</v>
      </c>
      <c r="I29" s="290">
        <f ca="1">SUMIFS(CostTrack[Value],CostTrack[Vendor - Contract],VendorList[[#This Row],[Vendor / Org. with Contract ID]],CostTrack[PA ID],VendorList[[#This Row],[PA ID]],CostTrack[Holdback (Y/N/R)],"&lt;&gt;Release",CostTrack[Status],"Approved")</f>
        <v>13440.95</v>
      </c>
      <c r="J29" s="106">
        <f ca="1">IF(VendorList[[#This Row],[Current Commitment]]=0,"-",VendorList[[#This Row],[Expenditures to Date]]/VendorList[[#This Row],[Current Commitment]])</f>
        <v>1</v>
      </c>
      <c r="K29" s="292">
        <f ca="1">SUMIF(CostTrack[Vendor - Contract],VendorList[[#This Row],[Vendor / Org. with Contract ID]],CostTrack[Holdback Value])*-1</f>
        <v>0</v>
      </c>
      <c r="L29" s="292">
        <f ca="1">VendorList[[#This Row],[Current Commitment]]-VendorList[[#This Row],[Expenditures to Date]]</f>
        <v>0</v>
      </c>
      <c r="M29" s="84"/>
      <c r="N29" s="84">
        <v>43921</v>
      </c>
      <c r="O29" s="85" t="s">
        <v>428</v>
      </c>
      <c r="P29" s="177" t="str">
        <f ca="1">IFERROR(INDEX(BudgetTrack[Primary Category],MATCH(VendorList[[#This Row],[PA ID]],BudgetTrack[PA ID],0)),"")</f>
        <v>Construction</v>
      </c>
      <c r="Q29" s="177" t="str">
        <f ca="1">IFERROR(INDEX(BudgetTrack[Secondary Category],MATCH(VendorList[[#This Row],[PA ID]],BudgetTrack[PA ID],0)),"")</f>
        <v>Utilities</v>
      </c>
      <c r="R29" s="176" t="str">
        <f ca="1">IFERROR(INDEX(BudgetTrack[Phase / Subproject],MATCH(VendorList[[#This Row],[PA ID]],BudgetTrack[PA ID],0)),"")</f>
        <v>--</v>
      </c>
      <c r="S29" s="176" t="str">
        <f ca="1">IFERROR(INDEX(BudgetTrack[Phase / Subproject 2],MATCH(VendorList[[#This Row],[PA ID]],BudgetTrack[PA ID],0)),"")</f>
        <v>--</v>
      </c>
      <c r="T29" s="576" t="str">
        <f ca="1">IFERROR(INDEX(BudgetTrack[Funding Source],MATCH(VendorList[[#This Row],[PA ID]],BudgetTrack[PA ID],0)),"")</f>
        <v>P-002360</v>
      </c>
      <c r="U29" s="80" t="str">
        <f t="shared" ca="1" si="0"/>
        <v/>
      </c>
      <c r="V29" s="434" t="str">
        <f ca="1">IFERROR(INDEX($U$6:$U$109,_xlfn.AGGREGATE(15,6,(ROW($U$6:$U$109)-ROW($U$6)+1)/($U$6:$U$109&lt;&gt;""),ROWS(V$6:V29))),"")</f>
        <v/>
      </c>
      <c r="W29" s="1285">
        <f ca="1">IF(OR(VendorList[[#This Row],[Vendor / Org. with Contract ID]]="",VendorList[[#This Row],[Vendor / Org. with Contract ID]]="Future / Not Awarded"),"",IFERROR(INDEX(EAC[Estimate At Completion],MATCH(VendorList[[#This Row],[Vendor / Org. with Contract ID]],EAC[Vendor / Org. with Contract ID],0),1),"Does Not Exist"))</f>
        <v>13440.95</v>
      </c>
      <c r="Y29" s="922"/>
    </row>
    <row r="30" spans="2:25" s="179" customFormat="1">
      <c r="B30" s="433" t="s">
        <v>430</v>
      </c>
      <c r="C30" s="111" t="s">
        <v>409</v>
      </c>
      <c r="D30" s="77" t="str">
        <f ca="1">IF(VendorList[[#This Row],[Vendor / Org.]]="","",CONCATENATE(VendorList[[#This Row],[Vendor / Org.]],"-",VendorList[[#This Row],[Contract ID]]))</f>
        <v>City of Red Deer-Permit Fees-Direct Pay</v>
      </c>
      <c r="E30" s="83" t="s">
        <v>80</v>
      </c>
      <c r="F30" s="288">
        <v>13152.64</v>
      </c>
      <c r="G30" s="286">
        <f ca="1">SUMIFS(ChangeTrack[Change Value],ChangeTrack[Vendor / Org.],VendorList[[#This Row],[Vendor / Org. with Contract ID]],ChangeTrack[Change Status],"Approved")</f>
        <v>1110086.2</v>
      </c>
      <c r="H30" s="286">
        <f ca="1">VendorList[[#This Row],[Original Contract Value]]+VendorList[[#This Row],[Amendment(s)]]</f>
        <v>1123238.8399999999</v>
      </c>
      <c r="I30" s="290">
        <f ca="1">SUMIFS(CostTrack[Value],CostTrack[Vendor - Contract],VendorList[[#This Row],[Vendor / Org. with Contract ID]],CostTrack[PA ID],VendorList[[#This Row],[PA ID]],CostTrack[Holdback (Y/N/R)],"&lt;&gt;Release",CostTrack[Status],"Approved")</f>
        <v>1123238.8399999999</v>
      </c>
      <c r="J30" s="106">
        <f ca="1">IF(VendorList[[#This Row],[Current Commitment]]=0,"-",VendorList[[#This Row],[Expenditures to Date]]/VendorList[[#This Row],[Current Commitment]])</f>
        <v>1</v>
      </c>
      <c r="K30" s="292">
        <f ca="1">SUMIF(CostTrack[Vendor - Contract],VendorList[[#This Row],[Vendor / Org. with Contract ID]],CostTrack[Holdback Value])*-1</f>
        <v>0</v>
      </c>
      <c r="L30" s="292">
        <f ca="1">VendorList[[#This Row],[Current Commitment]]-VendorList[[#This Row],[Expenditures to Date]]</f>
        <v>0</v>
      </c>
      <c r="M30" s="84"/>
      <c r="N30" s="84">
        <v>43781</v>
      </c>
      <c r="O30" s="85" t="s">
        <v>431</v>
      </c>
      <c r="P30" s="177" t="str">
        <f ca="1">IFERROR(INDEX(BudgetTrack[Primary Category],MATCH(VendorList[[#This Row],[PA ID]],BudgetTrack[PA ID],0)),"")</f>
        <v>Construction</v>
      </c>
      <c r="Q30" s="177" t="str">
        <f ca="1">IFERROR(INDEX(BudgetTrack[Secondary Category],MATCH(VendorList[[#This Row],[PA ID]],BudgetTrack[PA ID],0)),"")</f>
        <v>Permits &amp; Fees</v>
      </c>
      <c r="R30" s="176" t="str">
        <f ca="1">IFERROR(INDEX(BudgetTrack[Phase / Subproject],MATCH(VendorList[[#This Row],[PA ID]],BudgetTrack[PA ID],0)),"")</f>
        <v>--</v>
      </c>
      <c r="S30" s="176" t="str">
        <f ca="1">IFERROR(INDEX(BudgetTrack[Phase / Subproject 2],MATCH(VendorList[[#This Row],[PA ID]],BudgetTrack[PA ID],0)),"")</f>
        <v>--</v>
      </c>
      <c r="T30" s="576" t="str">
        <f ca="1">IFERROR(INDEX(BudgetTrack[Funding Source],MATCH(VendorList[[#This Row],[PA ID]],BudgetTrack[PA ID],0)),"")</f>
        <v>P-002360</v>
      </c>
      <c r="U30" s="80" t="str">
        <f t="shared" ca="1" si="0"/>
        <v/>
      </c>
      <c r="V30" s="434" t="str">
        <f ca="1">IFERROR(INDEX($U$6:$U$109,_xlfn.AGGREGATE(15,6,(ROW($U$6:$U$109)-ROW($U$6)+1)/($U$6:$U$109&lt;&gt;""),ROWS(V$6:V30))),"")</f>
        <v/>
      </c>
      <c r="W30" s="1285">
        <f ca="1">IF(OR(VendorList[[#This Row],[Vendor / Org. with Contract ID]]="",VendorList[[#This Row],[Vendor / Org. with Contract ID]]="Future / Not Awarded"),"",IFERROR(INDEX(EAC[Estimate At Completion],MATCH(VendorList[[#This Row],[Vendor / Org. with Contract ID]],EAC[Vendor / Org. with Contract ID],0),1),"Does Not Exist"))</f>
        <v>1123238.8399999999</v>
      </c>
      <c r="Y30" s="922"/>
    </row>
    <row r="31" spans="2:25" s="179" customFormat="1">
      <c r="B31" s="578" t="s">
        <v>432</v>
      </c>
      <c r="C31" s="579" t="s">
        <v>409</v>
      </c>
      <c r="D31" s="580" t="str">
        <f ca="1">IF(VendorList[[#This Row],[Vendor / Org.]]="","",CONCATENATE(VendorList[[#This Row],[Vendor / Org.]],"-",VendorList[[#This Row],[Contract ID]]))</f>
        <v>Travel Expenses-John-Direct Pay</v>
      </c>
      <c r="E31" s="590" t="s">
        <v>71</v>
      </c>
      <c r="F31" s="581">
        <f ca="1">2500+4097</f>
        <v>6597</v>
      </c>
      <c r="G31" s="286">
        <f ca="1">SUMIFS(ChangeTrack[Change Value],ChangeTrack[Vendor / Org.],VendorList[[#This Row],[Vendor / Org. with Contract ID]],ChangeTrack[Change Status],"Approved")</f>
        <v>-1255</v>
      </c>
      <c r="H31" s="286">
        <f ca="1">VendorList[[#This Row],[Original Contract Value]]+VendorList[[#This Row],[Amendment(s)]]</f>
        <v>5342</v>
      </c>
      <c r="I31" s="290">
        <f ca="1">SUMIFS(CostTrack[Value],CostTrack[Vendor - Contract],VendorList[[#This Row],[Vendor / Org. with Contract ID]],CostTrack[PA ID],VendorList[[#This Row],[PA ID]],CostTrack[Holdback (Y/N/R)],"&lt;&gt;Release",CostTrack[Status],"Approved")</f>
        <v>5328.67</v>
      </c>
      <c r="J31" s="106">
        <f ca="1">IF(VendorList[[#This Row],[Current Commitment]]=0,"-",VendorList[[#This Row],[Expenditures to Date]]/VendorList[[#This Row],[Current Commitment]])</f>
        <v>0.99750467989517033</v>
      </c>
      <c r="K31" s="292">
        <f ca="1">SUMIF(CostTrack[Vendor - Contract],VendorList[[#This Row],[Vendor / Org. with Contract ID]],CostTrack[Holdback Value])*-1</f>
        <v>0</v>
      </c>
      <c r="L31" s="292">
        <f ca="1">VendorList[[#This Row],[Current Commitment]]-VendorList[[#This Row],[Expenditures to Date]]</f>
        <v>13.329999999999927</v>
      </c>
      <c r="M31" s="84"/>
      <c r="N31" s="84">
        <v>46112</v>
      </c>
      <c r="O31" s="85" t="s">
        <v>413</v>
      </c>
      <c r="P31" s="177" t="str">
        <f ca="1">IFERROR(INDEX(BudgetTrack[Primary Category],MATCH(VendorList[[#This Row],[PA ID]],BudgetTrack[PA ID],0)),"")</f>
        <v>Administration</v>
      </c>
      <c r="Q31" s="177" t="str">
        <f ca="1">IFERROR(INDEX(BudgetTrack[Secondary Category],MATCH(VendorList[[#This Row],[PA ID]],BudgetTrack[PA ID],0)),"")</f>
        <v>Other Administration</v>
      </c>
      <c r="R31" s="176" t="str">
        <f ca="1">IFERROR(INDEX(BudgetTrack[Phase / Subproject],MATCH(VendorList[[#This Row],[PA ID]],BudgetTrack[PA ID],0)),"")</f>
        <v>--</v>
      </c>
      <c r="S31" s="176" t="str">
        <f ca="1">IFERROR(INDEX(BudgetTrack[Phase / Subproject 2],MATCH(VendorList[[#This Row],[PA ID]],BudgetTrack[PA ID],0)),"")</f>
        <v>--</v>
      </c>
      <c r="T31" s="576" t="str">
        <f ca="1">IFERROR(INDEX(BudgetTrack[Funding Source],MATCH(VendorList[[#This Row],[PA ID]],BudgetTrack[PA ID],0)),"")</f>
        <v>P-002360</v>
      </c>
      <c r="U31" s="80" t="str">
        <f t="shared" ca="1" si="0"/>
        <v>Travel Expenses-John-Direct Pay</v>
      </c>
      <c r="V31" s="434" t="str">
        <f ca="1">IFERROR(INDEX($U$6:$U$109,_xlfn.AGGREGATE(15,6,(ROW($U$6:$U$109)-ROW($U$6)+1)/($U$6:$U$109&lt;&gt;""),ROWS(V$6:V31))),"")</f>
        <v/>
      </c>
      <c r="W31" s="1285">
        <f ca="1">IF(OR(VendorList[[#This Row],[Vendor / Org. with Contract ID]]="",VendorList[[#This Row],[Vendor / Org. with Contract ID]]="Future / Not Awarded"),"",IFERROR(INDEX(EAC[Estimate At Completion],MATCH(VendorList[[#This Row],[Vendor / Org. with Contract ID]],EAC[Vendor / Org. with Contract ID],0),1),"Does Not Exist"))</f>
        <v>5342</v>
      </c>
      <c r="Y31" s="922"/>
    </row>
    <row r="32" spans="2:25" s="25" customFormat="1">
      <c r="B32" s="578" t="s">
        <v>433</v>
      </c>
      <c r="C32" s="579" t="s">
        <v>409</v>
      </c>
      <c r="D32" s="580" t="str">
        <f ca="1">IF(VendorList[[#This Row],[Vendor / Org.]]="","",CONCATENATE(VendorList[[#This Row],[Vendor / Org.]],"-",VendorList[[#This Row],[Contract ID]]))</f>
        <v>Travel Expenses-Malchuk-Direct Pay</v>
      </c>
      <c r="E32" s="590" t="s">
        <v>71</v>
      </c>
      <c r="F32" s="581">
        <v>1000</v>
      </c>
      <c r="G32" s="286">
        <f ca="1">SUMIFS(ChangeTrack[Change Value],ChangeTrack[Vendor / Org.],VendorList[[#This Row],[Vendor / Org. with Contract ID]],ChangeTrack[Change Status],"Approved")</f>
        <v>50</v>
      </c>
      <c r="H32" s="286">
        <f ca="1">VendorList[[#This Row],[Original Contract Value]]+VendorList[[#This Row],[Amendment(s)]]</f>
        <v>1050</v>
      </c>
      <c r="I32" s="290">
        <f ca="1">SUMIFS(CostTrack[Value],CostTrack[Vendor - Contract],VendorList[[#This Row],[Vendor / Org. with Contract ID]],CostTrack[PA ID],VendorList[[#This Row],[PA ID]],CostTrack[Holdback (Y/N/R)],"&lt;&gt;Release",CostTrack[Status],"Approved")</f>
        <v>1017.7500000000001</v>
      </c>
      <c r="J32" s="106">
        <f ca="1">IF(VendorList[[#This Row],[Current Commitment]]=0,"-",VendorList[[#This Row],[Expenditures to Date]]/VendorList[[#This Row],[Current Commitment]])</f>
        <v>0.96928571428571442</v>
      </c>
      <c r="K32" s="292">
        <f ca="1">SUMIF(CostTrack[Vendor - Contract],VendorList[[#This Row],[Vendor / Org. with Contract ID]],CostTrack[Holdback Value])*-1</f>
        <v>0</v>
      </c>
      <c r="L32" s="292">
        <f ca="1">VendorList[[#This Row],[Current Commitment]]-VendorList[[#This Row],[Expenditures to Date]]</f>
        <v>32.249999999999886</v>
      </c>
      <c r="M32" s="84"/>
      <c r="N32" s="84">
        <v>46112</v>
      </c>
      <c r="O32" s="85" t="s">
        <v>413</v>
      </c>
      <c r="P32" s="177" t="str">
        <f ca="1">IFERROR(INDEX(BudgetTrack[Primary Category],MATCH(VendorList[[#This Row],[PA ID]],BudgetTrack[PA ID],0)),"")</f>
        <v>Administration</v>
      </c>
      <c r="Q32" s="177" t="str">
        <f ca="1">IFERROR(INDEX(BudgetTrack[Secondary Category],MATCH(VendorList[[#This Row],[PA ID]],BudgetTrack[PA ID],0)),"")</f>
        <v>Other Administration</v>
      </c>
      <c r="R32" s="176" t="str">
        <f ca="1">IFERROR(INDEX(BudgetTrack[Phase / Subproject],MATCH(VendorList[[#This Row],[PA ID]],BudgetTrack[PA ID],0)),"")</f>
        <v>--</v>
      </c>
      <c r="S32" s="176" t="str">
        <f ca="1">IFERROR(INDEX(BudgetTrack[Phase / Subproject 2],MATCH(VendorList[[#This Row],[PA ID]],BudgetTrack[PA ID],0)),"")</f>
        <v>--</v>
      </c>
      <c r="T32" s="576" t="str">
        <f ca="1">IFERROR(INDEX(BudgetTrack[Funding Source],MATCH(VendorList[[#This Row],[PA ID]],BudgetTrack[PA ID],0)),"")</f>
        <v>P-002360</v>
      </c>
      <c r="U32" s="80" t="str">
        <f t="shared" ca="1" si="0"/>
        <v>Travel Expenses-Malchuk-Direct Pay</v>
      </c>
      <c r="V32" s="434" t="str">
        <f ca="1">IFERROR(INDEX($U$6:$U$109,_xlfn.AGGREGATE(15,6,(ROW($U$6:$U$109)-ROW($U$6)+1)/($U$6:$U$109&lt;&gt;""),ROWS(V$6:V32))),"")</f>
        <v/>
      </c>
      <c r="W32" s="1285">
        <f ca="1">IF(OR(VendorList[[#This Row],[Vendor / Org. with Contract ID]]="",VendorList[[#This Row],[Vendor / Org. with Contract ID]]="Future / Not Awarded"),"",IFERROR(INDEX(EAC[Estimate At Completion],MATCH(VendorList[[#This Row],[Vendor / Org. with Contract ID]],EAC[Vendor / Org. with Contract ID],0),1),"Does Not Exist"))</f>
        <v>1050</v>
      </c>
      <c r="Y32" s="922"/>
    </row>
    <row r="33" spans="2:25" s="25" customFormat="1" ht="16.5" customHeight="1">
      <c r="B33" s="578" t="s">
        <v>434</v>
      </c>
      <c r="C33" s="579" t="s">
        <v>409</v>
      </c>
      <c r="D33" s="580" t="str">
        <f ca="1">IF(VendorList[[#This Row],[Vendor / Org.]]="","",CONCATENATE(VendorList[[#This Row],[Vendor / Org.]],"-",VendorList[[#This Row],[Contract ID]]))</f>
        <v>Travel Expenses-Misc-Direct Pay</v>
      </c>
      <c r="E33" s="590" t="s">
        <v>71</v>
      </c>
      <c r="F33" s="582">
        <f ca="1">1000-0.39</f>
        <v>999.61</v>
      </c>
      <c r="G33" s="286">
        <f ca="1">SUMIFS(ChangeTrack[Change Value],ChangeTrack[Vendor / Org.],VendorList[[#This Row],[Vendor / Org. with Contract ID]],ChangeTrack[Change Status],"Approved")</f>
        <v>-400</v>
      </c>
      <c r="H33" s="286">
        <f ca="1">VendorList[[#This Row],[Original Contract Value]]+VendorList[[#This Row],[Amendment(s)]]</f>
        <v>599.61</v>
      </c>
      <c r="I33" s="290">
        <f ca="1">SUMIFS(CostTrack[Value],CostTrack[Vendor - Contract],VendorList[[#This Row],[Vendor / Org. with Contract ID]],CostTrack[PA ID],VendorList[[#This Row],[PA ID]],CostTrack[Holdback (Y/N/R)],"&lt;&gt;Release",CostTrack[Status],"Approved")</f>
        <v>589.23</v>
      </c>
      <c r="J33" s="106">
        <f ca="1">IF(VendorList[[#This Row],[Current Commitment]]=0,"-",VendorList[[#This Row],[Expenditures to Date]]/VendorList[[#This Row],[Current Commitment]])</f>
        <v>0.9826887476859959</v>
      </c>
      <c r="K33" s="292">
        <f ca="1">SUMIF(CostTrack[Vendor - Contract],VendorList[[#This Row],[Vendor / Org. with Contract ID]],CostTrack[Holdback Value])*-1</f>
        <v>0</v>
      </c>
      <c r="L33" s="292">
        <f ca="1">VendorList[[#This Row],[Current Commitment]]-VendorList[[#This Row],[Expenditures to Date]]</f>
        <v>10.379999999999995</v>
      </c>
      <c r="M33" s="86"/>
      <c r="N33" s="84">
        <v>46112</v>
      </c>
      <c r="O33" s="85" t="s">
        <v>413</v>
      </c>
      <c r="P33" s="177" t="str">
        <f ca="1">IFERROR(INDEX(BudgetTrack[Primary Category],MATCH(VendorList[[#This Row],[PA ID]],BudgetTrack[PA ID],0)),"")</f>
        <v>Administration</v>
      </c>
      <c r="Q33" s="177" t="str">
        <f ca="1">IFERROR(INDEX(BudgetTrack[Secondary Category],MATCH(VendorList[[#This Row],[PA ID]],BudgetTrack[PA ID],0)),"")</f>
        <v>Other Administration</v>
      </c>
      <c r="R33" s="176" t="str">
        <f ca="1">IFERROR(INDEX(BudgetTrack[Phase / Subproject],MATCH(VendorList[[#This Row],[PA ID]],BudgetTrack[PA ID],0)),"")</f>
        <v>--</v>
      </c>
      <c r="S33" s="176" t="str">
        <f ca="1">IFERROR(INDEX(BudgetTrack[Phase / Subproject 2],MATCH(VendorList[[#This Row],[PA ID]],BudgetTrack[PA ID],0)),"")</f>
        <v>--</v>
      </c>
      <c r="T33" s="576" t="str">
        <f ca="1">IFERROR(INDEX(BudgetTrack[Funding Source],MATCH(VendorList[[#This Row],[PA ID]],BudgetTrack[PA ID],0)),"")</f>
        <v>P-002360</v>
      </c>
      <c r="U33" s="80" t="str">
        <f t="shared" ca="1" si="0"/>
        <v>Travel Expenses-Misc-Direct Pay</v>
      </c>
      <c r="V33" s="434" t="str">
        <f ca="1">IFERROR(INDEX($U$6:$U$109,_xlfn.AGGREGATE(15,6,(ROW($U$6:$U$109)-ROW($U$6)+1)/($U$6:$U$109&lt;&gt;""),ROWS(V$6:V33))),"")</f>
        <v/>
      </c>
      <c r="W33" s="1285">
        <f ca="1">IF(OR(VendorList[[#This Row],[Vendor / Org. with Contract ID]]="",VendorList[[#This Row],[Vendor / Org. with Contract ID]]="Future / Not Awarded"),"",IFERROR(INDEX(EAC[Estimate At Completion],MATCH(VendorList[[#This Row],[Vendor / Org. with Contract ID]],EAC[Vendor / Org. with Contract ID],0),1),"Does Not Exist"))</f>
        <v>599.61</v>
      </c>
      <c r="Y33" s="922"/>
    </row>
    <row r="34" spans="2:25">
      <c r="B34" s="433" t="s">
        <v>435</v>
      </c>
      <c r="C34" s="111">
        <v>37137</v>
      </c>
      <c r="D34" s="77" t="str">
        <f ca="1">IF(VendorList[[#This Row],[Vendor / Org.]]="","",CONCATENATE(VendorList[[#This Row],[Vendor / Org.]],"-",VendorList[[#This Row],[Contract ID]]))</f>
        <v>Navigation Surveys Ltd. -37137</v>
      </c>
      <c r="E34" s="83" t="s">
        <v>80</v>
      </c>
      <c r="F34" s="288">
        <v>2273</v>
      </c>
      <c r="G34" s="286">
        <f ca="1">SUMIFS(ChangeTrack[Change Value],ChangeTrack[Vendor / Org.],VendorList[[#This Row],[Vendor / Org. with Contract ID]],ChangeTrack[Change Status],"Approved")</f>
        <v>5269.5</v>
      </c>
      <c r="H34" s="286">
        <f ca="1">VendorList[[#This Row],[Original Contract Value]]+VendorList[[#This Row],[Amendment(s)]]</f>
        <v>7542.5</v>
      </c>
      <c r="I34" s="290">
        <f ca="1">SUMIFS(CostTrack[Value],CostTrack[Vendor - Contract],VendorList[[#This Row],[Vendor / Org. with Contract ID]],CostTrack[PA ID],VendorList[[#This Row],[PA ID]],CostTrack[Holdback (Y/N/R)],"&lt;&gt;Release",CostTrack[Status],"Approved")</f>
        <v>7542.5</v>
      </c>
      <c r="J34" s="106">
        <f ca="1">IF(VendorList[[#This Row],[Current Commitment]]=0,"-",VendorList[[#This Row],[Expenditures to Date]]/VendorList[[#This Row],[Current Commitment]])</f>
        <v>1</v>
      </c>
      <c r="K34" s="292">
        <f ca="1">SUMIF(CostTrack[Vendor - Contract],VendorList[[#This Row],[Vendor / Org. with Contract ID]],CostTrack[Holdback Value])*-1</f>
        <v>0</v>
      </c>
      <c r="L34" s="292">
        <f ca="1">VendorList[[#This Row],[Current Commitment]]-VendorList[[#This Row],[Expenditures to Date]]</f>
        <v>0</v>
      </c>
      <c r="M34" s="84">
        <v>43787</v>
      </c>
      <c r="N34" s="84">
        <v>44713</v>
      </c>
      <c r="O34" s="85" t="s">
        <v>401</v>
      </c>
      <c r="P34" s="177" t="str">
        <f ca="1">IFERROR(INDEX(BudgetTrack[Primary Category],MATCH(VendorList[[#This Row],[PA ID]],BudgetTrack[PA ID],0)),"")</f>
        <v>Professional Services</v>
      </c>
      <c r="Q34" s="177" t="str">
        <f ca="1">IFERROR(INDEX(BudgetTrack[Secondary Category],MATCH(VendorList[[#This Row],[PA ID]],BudgetTrack[PA ID],0)),"")</f>
        <v>Other Professional Services</v>
      </c>
      <c r="R34" s="176" t="str">
        <f ca="1">IFERROR(INDEX(BudgetTrack[Phase / Subproject],MATCH(VendorList[[#This Row],[PA ID]],BudgetTrack[PA ID],0)),"")</f>
        <v>--</v>
      </c>
      <c r="S34" s="176" t="str">
        <f ca="1">IFERROR(INDEX(BudgetTrack[Phase / Subproject 2],MATCH(VendorList[[#This Row],[PA ID]],BudgetTrack[PA ID],0)),"")</f>
        <v>--</v>
      </c>
      <c r="T34" s="576" t="str">
        <f ca="1">IFERROR(INDEX(BudgetTrack[Funding Source],MATCH(VendorList[[#This Row],[PA ID]],BudgetTrack[PA ID],0)),"")</f>
        <v>P-002360</v>
      </c>
      <c r="U34" s="80" t="str">
        <f t="shared" ca="1" si="0"/>
        <v/>
      </c>
      <c r="V34" s="434" t="str">
        <f ca="1">IFERROR(INDEX($U$6:$U$109,_xlfn.AGGREGATE(15,6,(ROW($U$6:$U$109)-ROW($U$6)+1)/($U$6:$U$109&lt;&gt;""),ROWS(V$6:V34))),"")</f>
        <v/>
      </c>
      <c r="W34" s="1285">
        <f ca="1">IF(OR(VendorList[[#This Row],[Vendor / Org. with Contract ID]]="",VendorList[[#This Row],[Vendor / Org. with Contract ID]]="Future / Not Awarded"),"",IFERROR(INDEX(EAC[Estimate At Completion],MATCH(VendorList[[#This Row],[Vendor / Org. with Contract ID]],EAC[Vendor / Org. with Contract ID],0),1),"Does Not Exist"))</f>
        <v>7542.5</v>
      </c>
      <c r="Y34" s="922"/>
    </row>
    <row r="35" spans="2:25">
      <c r="B35" s="433" t="s">
        <v>436</v>
      </c>
      <c r="C35" s="111" t="s">
        <v>409</v>
      </c>
      <c r="D35" s="77" t="str">
        <f ca="1">IF(VendorList[[#This Row],[Vendor / Org.]]="","",CONCATENATE(VendorList[[#This Row],[Vendor / Org.]],"-",VendorList[[#This Row],[Contract ID]]))</f>
        <v>Riley's-CD Printing-Direct Pay</v>
      </c>
      <c r="E35" s="83" t="s">
        <v>80</v>
      </c>
      <c r="F35" s="288">
        <v>640.74</v>
      </c>
      <c r="G35" s="286">
        <f ca="1">SUMIFS(ChangeTrack[Change Value],ChangeTrack[Vendor / Org.],VendorList[[#This Row],[Vendor / Org. with Contract ID]],ChangeTrack[Change Status],"Approved")</f>
        <v>0</v>
      </c>
      <c r="H35" s="286">
        <f ca="1">VendorList[[#This Row],[Original Contract Value]]+VendorList[[#This Row],[Amendment(s)]]</f>
        <v>640.74</v>
      </c>
      <c r="I35" s="290">
        <f ca="1">SUMIFS(CostTrack[Value],CostTrack[Vendor - Contract],VendorList[[#This Row],[Vendor / Org. with Contract ID]],CostTrack[PA ID],VendorList[[#This Row],[PA ID]],CostTrack[Holdback (Y/N/R)],"&lt;&gt;Release",CostTrack[Status],"Approved")</f>
        <v>640.74</v>
      </c>
      <c r="J35" s="106">
        <f ca="1">IF(VendorList[[#This Row],[Current Commitment]]=0,"-",VendorList[[#This Row],[Expenditures to Date]]/VendorList[[#This Row],[Current Commitment]])</f>
        <v>1</v>
      </c>
      <c r="K35" s="292">
        <f ca="1">SUMIF(CostTrack[Vendor - Contract],VendorList[[#This Row],[Vendor / Org. with Contract ID]],CostTrack[Holdback Value])*-1</f>
        <v>0</v>
      </c>
      <c r="L35" s="292">
        <f ca="1">VendorList[[#This Row],[Current Commitment]]-VendorList[[#This Row],[Expenditures to Date]]</f>
        <v>0</v>
      </c>
      <c r="M35" s="84"/>
      <c r="N35" s="84">
        <v>43981</v>
      </c>
      <c r="O35" s="85" t="s">
        <v>413</v>
      </c>
      <c r="P35" s="177" t="str">
        <f ca="1">IFERROR(INDEX(BudgetTrack[Primary Category],MATCH(VendorList[[#This Row],[PA ID]],BudgetTrack[PA ID],0)),"")</f>
        <v>Administration</v>
      </c>
      <c r="Q35" s="177" t="str">
        <f ca="1">IFERROR(INDEX(BudgetTrack[Secondary Category],MATCH(VendorList[[#This Row],[PA ID]],BudgetTrack[PA ID],0)),"")</f>
        <v>Other Administration</v>
      </c>
      <c r="R35" s="176" t="str">
        <f ca="1">IFERROR(INDEX(BudgetTrack[Phase / Subproject],MATCH(VendorList[[#This Row],[PA ID]],BudgetTrack[PA ID],0)),"")</f>
        <v>--</v>
      </c>
      <c r="S35" s="176" t="str">
        <f ca="1">IFERROR(INDEX(BudgetTrack[Phase / Subproject 2],MATCH(VendorList[[#This Row],[PA ID]],BudgetTrack[PA ID],0)),"")</f>
        <v>--</v>
      </c>
      <c r="T35" s="576" t="str">
        <f ca="1">IFERROR(INDEX(BudgetTrack[Funding Source],MATCH(VendorList[[#This Row],[PA ID]],BudgetTrack[PA ID],0)),"")</f>
        <v>P-002360</v>
      </c>
      <c r="U35" s="80" t="str">
        <f t="shared" ca="1" si="0"/>
        <v/>
      </c>
      <c r="V35" s="434" t="str">
        <f ca="1">IFERROR(INDEX($U$6:$U$109,_xlfn.AGGREGATE(15,6,(ROW($U$6:$U$109)-ROW($U$6)+1)/($U$6:$U$109&lt;&gt;""),ROWS(V$6:V35))),"")</f>
        <v/>
      </c>
      <c r="W35" s="1285">
        <f ca="1">IF(OR(VendorList[[#This Row],[Vendor / Org. with Contract ID]]="",VendorList[[#This Row],[Vendor / Org. with Contract ID]]="Future / Not Awarded"),"",IFERROR(INDEX(EAC[Estimate At Completion],MATCH(VendorList[[#This Row],[Vendor / Org. with Contract ID]],EAC[Vendor / Org. with Contract ID],0),1),"Does Not Exist"))</f>
        <v>640.74</v>
      </c>
      <c r="Y35" s="922"/>
    </row>
    <row r="36" spans="2:25">
      <c r="B36" s="433" t="s">
        <v>437</v>
      </c>
      <c r="C36" s="111" t="s">
        <v>409</v>
      </c>
      <c r="D36" s="77" t="str">
        <f ca="1">IF(VendorList[[#This Row],[Vendor / Org.]]="","",CONCATENATE(VendorList[[#This Row],[Vendor / Org.]],"-",VendorList[[#This Row],[Contract ID]]))</f>
        <v>City of Red Deer-Tree Removal Fee-Direct Pay</v>
      </c>
      <c r="E36" s="83" t="s">
        <v>80</v>
      </c>
      <c r="F36" s="288">
        <v>6600</v>
      </c>
      <c r="G36" s="286">
        <f ca="1">SUMIFS(ChangeTrack[Change Value],ChangeTrack[Vendor / Org.],VendorList[[#This Row],[Vendor / Org. with Contract ID]],ChangeTrack[Change Status],"Approved")</f>
        <v>0</v>
      </c>
      <c r="H36" s="286">
        <f ca="1">VendorList[[#This Row],[Original Contract Value]]+VendorList[[#This Row],[Amendment(s)]]</f>
        <v>6600</v>
      </c>
      <c r="I36" s="290">
        <f ca="1">SUMIFS(CostTrack[Value],CostTrack[Vendor - Contract],VendorList[[#This Row],[Vendor / Org. with Contract ID]],CostTrack[PA ID],VendorList[[#This Row],[PA ID]],CostTrack[Holdback (Y/N/R)],"&lt;&gt;Release",CostTrack[Status],"Approved")</f>
        <v>6600</v>
      </c>
      <c r="J36" s="106">
        <f ca="1">IF(VendorList[[#This Row],[Current Commitment]]=0,"-",VendorList[[#This Row],[Expenditures to Date]]/VendorList[[#This Row],[Current Commitment]])</f>
        <v>1</v>
      </c>
      <c r="K36" s="292">
        <f ca="1">SUMIF(CostTrack[Vendor - Contract],VendorList[[#This Row],[Vendor / Org. with Contract ID]],CostTrack[Holdback Value])*-1</f>
        <v>0</v>
      </c>
      <c r="L36" s="292">
        <f ca="1">VendorList[[#This Row],[Current Commitment]]-VendorList[[#This Row],[Expenditures to Date]]</f>
        <v>0</v>
      </c>
      <c r="M36" s="84"/>
      <c r="N36" s="84">
        <v>43963</v>
      </c>
      <c r="O36" s="85" t="s">
        <v>431</v>
      </c>
      <c r="P36" s="177" t="str">
        <f ca="1">IFERROR(INDEX(BudgetTrack[Primary Category],MATCH(VendorList[[#This Row],[PA ID]],BudgetTrack[PA ID],0)),"")</f>
        <v>Construction</v>
      </c>
      <c r="Q36" s="177" t="str">
        <f ca="1">IFERROR(INDEX(BudgetTrack[Secondary Category],MATCH(VendorList[[#This Row],[PA ID]],BudgetTrack[PA ID],0)),"")</f>
        <v>Permits &amp; Fees</v>
      </c>
      <c r="R36" s="176" t="str">
        <f ca="1">IFERROR(INDEX(BudgetTrack[Phase / Subproject],MATCH(VendorList[[#This Row],[PA ID]],BudgetTrack[PA ID],0)),"")</f>
        <v>--</v>
      </c>
      <c r="S36" s="176" t="str">
        <f ca="1">IFERROR(INDEX(BudgetTrack[Phase / Subproject 2],MATCH(VendorList[[#This Row],[PA ID]],BudgetTrack[PA ID],0)),"")</f>
        <v>--</v>
      </c>
      <c r="T36" s="576" t="str">
        <f ca="1">IFERROR(INDEX(BudgetTrack[Funding Source],MATCH(VendorList[[#This Row],[PA ID]],BudgetTrack[PA ID],0)),"")</f>
        <v>P-002360</v>
      </c>
      <c r="U36" s="80" t="str">
        <f t="shared" ca="1" si="0"/>
        <v/>
      </c>
      <c r="V36" s="434" t="str">
        <f ca="1">IFERROR(INDEX($U$6:$U$109,_xlfn.AGGREGATE(15,6,(ROW($U$6:$U$109)-ROW($U$6)+1)/($U$6:$U$109&lt;&gt;""),ROWS(V$6:V36))),"")</f>
        <v/>
      </c>
      <c r="W36" s="1285">
        <f ca="1">IF(OR(VendorList[[#This Row],[Vendor / Org. with Contract ID]]="",VendorList[[#This Row],[Vendor / Org. with Contract ID]]="Future / Not Awarded"),"",IFERROR(INDEX(EAC[Estimate At Completion],MATCH(VendorList[[#This Row],[Vendor / Org. with Contract ID]],EAC[Vendor / Org. with Contract ID],0),1),"Does Not Exist"))</f>
        <v>6600</v>
      </c>
      <c r="Y36" s="922"/>
    </row>
    <row r="37" spans="2:25">
      <c r="B37" s="433" t="s">
        <v>438</v>
      </c>
      <c r="C37" s="111">
        <v>37614</v>
      </c>
      <c r="D37" s="77" t="str">
        <f ca="1">IF(VendorList[[#This Row],[Vendor / Org.]]="","",CONCATENATE(VendorList[[#This Row],[Vendor / Org.]],"-",VendorList[[#This Row],[Contract ID]]))</f>
        <v>Stantec-Parsons House Consultant-37614</v>
      </c>
      <c r="E37" s="83" t="s">
        <v>80</v>
      </c>
      <c r="F37" s="288">
        <v>32540</v>
      </c>
      <c r="G37" s="286">
        <f ca="1">SUMIFS(ChangeTrack[Change Value],ChangeTrack[Vendor / Org.],VendorList[[#This Row],[Vendor / Org. with Contract ID]],ChangeTrack[Change Status],"Approved")</f>
        <v>-16884</v>
      </c>
      <c r="H37" s="286">
        <f ca="1">VendorList[[#This Row],[Original Contract Value]]+VendorList[[#This Row],[Amendment(s)]]</f>
        <v>15656</v>
      </c>
      <c r="I37" s="290">
        <f ca="1">SUMIFS(CostTrack[Value],CostTrack[Vendor - Contract],VendorList[[#This Row],[Vendor / Org. with Contract ID]],CostTrack[PA ID],VendorList[[#This Row],[PA ID]],CostTrack[Holdback (Y/N/R)],"&lt;&gt;Release",CostTrack[Status],"Approved")</f>
        <v>15656</v>
      </c>
      <c r="J37" s="106">
        <f ca="1">IF(VendorList[[#This Row],[Current Commitment]]=0,"-",VendorList[[#This Row],[Expenditures to Date]]/VendorList[[#This Row],[Current Commitment]])</f>
        <v>1</v>
      </c>
      <c r="K37" s="292">
        <f ca="1">SUMIF(CostTrack[Vendor - Contract],VendorList[[#This Row],[Vendor / Org. with Contract ID]],CostTrack[Holdback Value])*-1</f>
        <v>0</v>
      </c>
      <c r="L37" s="292">
        <f ca="1">VendorList[[#This Row],[Current Commitment]]-VendorList[[#This Row],[Expenditures to Date]]</f>
        <v>0</v>
      </c>
      <c r="M37" s="84"/>
      <c r="N37" s="84">
        <v>45535</v>
      </c>
      <c r="O37" s="85" t="s">
        <v>401</v>
      </c>
      <c r="P37" s="177" t="str">
        <f ca="1">IFERROR(INDEX(BudgetTrack[Primary Category],MATCH(VendorList[[#This Row],[PA ID]],BudgetTrack[PA ID],0)),"")</f>
        <v>Professional Services</v>
      </c>
      <c r="Q37" s="177" t="str">
        <f ca="1">IFERROR(INDEX(BudgetTrack[Secondary Category],MATCH(VendorList[[#This Row],[PA ID]],BudgetTrack[PA ID],0)),"")</f>
        <v>Other Professional Services</v>
      </c>
      <c r="R37" s="176" t="str">
        <f ca="1">IFERROR(INDEX(BudgetTrack[Phase / Subproject],MATCH(VendorList[[#This Row],[PA ID]],BudgetTrack[PA ID],0)),"")</f>
        <v>--</v>
      </c>
      <c r="S37" s="176" t="str">
        <f ca="1">IFERROR(INDEX(BudgetTrack[Phase / Subproject 2],MATCH(VendorList[[#This Row],[PA ID]],BudgetTrack[PA ID],0)),"")</f>
        <v>--</v>
      </c>
      <c r="T37" s="576" t="str">
        <f ca="1">IFERROR(INDEX(BudgetTrack[Funding Source],MATCH(VendorList[[#This Row],[PA ID]],BudgetTrack[PA ID],0)),"")</f>
        <v>P-002360</v>
      </c>
      <c r="U37" s="80" t="str">
        <f t="shared" ca="1" si="0"/>
        <v/>
      </c>
      <c r="V37" s="434" t="str">
        <f ca="1">IFERROR(INDEX($U$6:$U$109,_xlfn.AGGREGATE(15,6,(ROW($U$6:$U$109)-ROW($U$6)+1)/($U$6:$U$109&lt;&gt;""),ROWS(V$6:V37))),"")</f>
        <v/>
      </c>
      <c r="W37" s="1285">
        <f ca="1">IF(OR(VendorList[[#This Row],[Vendor / Org. with Contract ID]]="",VendorList[[#This Row],[Vendor / Org. with Contract ID]]="Future / Not Awarded"),"",IFERROR(INDEX(EAC[Estimate At Completion],MATCH(VendorList[[#This Row],[Vendor / Org. with Contract ID]],EAC[Vendor / Org. with Contract ID],0),1),"Does Not Exist"))</f>
        <v>15656</v>
      </c>
      <c r="Y37" s="922"/>
    </row>
    <row r="38" spans="2:25">
      <c r="B38" s="433" t="s">
        <v>439</v>
      </c>
      <c r="C38" s="111" t="s">
        <v>409</v>
      </c>
      <c r="D38" s="77" t="str">
        <f ca="1">IF(VendorList[[#This Row],[Vendor / Org.]]="","",CONCATENATE(VendorList[[#This Row],[Vendor / Org.]],"-",VendorList[[#This Row],[Contract ID]]))</f>
        <v>Purolator-Land Title-Direct Pay</v>
      </c>
      <c r="E38" s="83" t="s">
        <v>80</v>
      </c>
      <c r="F38" s="288">
        <v>32.72</v>
      </c>
      <c r="G38" s="286">
        <f ca="1">SUMIFS(ChangeTrack[Change Value],ChangeTrack[Vendor / Org.],VendorList[[#This Row],[Vendor / Org. with Contract ID]],ChangeTrack[Change Status],"Approved")</f>
        <v>0</v>
      </c>
      <c r="H38" s="286">
        <f ca="1">VendorList[[#This Row],[Original Contract Value]]+VendorList[[#This Row],[Amendment(s)]]</f>
        <v>32.72</v>
      </c>
      <c r="I38" s="290">
        <f ca="1">SUMIFS(CostTrack[Value],CostTrack[Vendor - Contract],VendorList[[#This Row],[Vendor / Org. with Contract ID]],CostTrack[PA ID],VendorList[[#This Row],[PA ID]],CostTrack[Holdback (Y/N/R)],"&lt;&gt;Release",CostTrack[Status],"Approved")</f>
        <v>32.72</v>
      </c>
      <c r="J38" s="106">
        <f ca="1">IF(VendorList[[#This Row],[Current Commitment]]=0,"-",VendorList[[#This Row],[Expenditures to Date]]/VendorList[[#This Row],[Current Commitment]])</f>
        <v>1</v>
      </c>
      <c r="K38" s="292">
        <f ca="1">SUMIF(CostTrack[Vendor - Contract],VendorList[[#This Row],[Vendor / Org. with Contract ID]],CostTrack[Holdback Value])*-1</f>
        <v>0</v>
      </c>
      <c r="L38" s="292">
        <f ca="1">VendorList[[#This Row],[Current Commitment]]-VendorList[[#This Row],[Expenditures to Date]]</f>
        <v>0</v>
      </c>
      <c r="M38" s="84"/>
      <c r="N38" s="84">
        <v>44046</v>
      </c>
      <c r="O38" s="85" t="s">
        <v>413</v>
      </c>
      <c r="P38" s="177" t="str">
        <f ca="1">IFERROR(INDEX(BudgetTrack[Primary Category],MATCH(VendorList[[#This Row],[PA ID]],BudgetTrack[PA ID],0)),"")</f>
        <v>Administration</v>
      </c>
      <c r="Q38" s="177" t="str">
        <f ca="1">IFERROR(INDEX(BudgetTrack[Secondary Category],MATCH(VendorList[[#This Row],[PA ID]],BudgetTrack[PA ID],0)),"")</f>
        <v>Other Administration</v>
      </c>
      <c r="R38" s="176" t="str">
        <f ca="1">IFERROR(INDEX(BudgetTrack[Phase / Subproject],MATCH(VendorList[[#This Row],[PA ID]],BudgetTrack[PA ID],0)),"")</f>
        <v>--</v>
      </c>
      <c r="S38" s="176" t="str">
        <f ca="1">IFERROR(INDEX(BudgetTrack[Phase / Subproject 2],MATCH(VendorList[[#This Row],[PA ID]],BudgetTrack[PA ID],0)),"")</f>
        <v>--</v>
      </c>
      <c r="T38" s="576" t="str">
        <f ca="1">IFERROR(INDEX(BudgetTrack[Funding Source],MATCH(VendorList[[#This Row],[PA ID]],BudgetTrack[PA ID],0)),"")</f>
        <v>P-002360</v>
      </c>
      <c r="U38" s="80" t="str">
        <f t="shared" ca="1" si="0"/>
        <v/>
      </c>
      <c r="V38" s="434" t="str">
        <f ca="1">IFERROR(INDEX($U$6:$U$109,_xlfn.AGGREGATE(15,6,(ROW($U$6:$U$109)-ROW($U$6)+1)/($U$6:$U$109&lt;&gt;""),ROWS(V$6:V38))),"")</f>
        <v/>
      </c>
      <c r="W38" s="1285">
        <f ca="1">IF(OR(VendorList[[#This Row],[Vendor / Org. with Contract ID]]="",VendorList[[#This Row],[Vendor / Org. with Contract ID]]="Future / Not Awarded"),"",IFERROR(INDEX(EAC[Estimate At Completion],MATCH(VendorList[[#This Row],[Vendor / Org. with Contract ID]],EAC[Vendor / Org. with Contract ID],0),1),"Does Not Exist"))</f>
        <v>32.72</v>
      </c>
      <c r="Y38" s="922"/>
    </row>
    <row r="39" spans="2:25">
      <c r="B39" s="433" t="s">
        <v>440</v>
      </c>
      <c r="C39" s="111" t="s">
        <v>409</v>
      </c>
      <c r="D39" s="77" t="str">
        <f ca="1">IF(VendorList[[#This Row],[Vendor / Org.]]="","",CONCATENATE(VendorList[[#This Row],[Vendor / Org.]],"-",VendorList[[#This Row],[Contract ID]]))</f>
        <v>LEED- CAGBC-Direct Pay</v>
      </c>
      <c r="E39" s="83" t="s">
        <v>80</v>
      </c>
      <c r="F39" s="288">
        <v>27937.86</v>
      </c>
      <c r="G39" s="286">
        <f ca="1">SUMIFS(ChangeTrack[Change Value],ChangeTrack[Vendor / Org.],VendorList[[#This Row],[Vendor / Org. with Contract ID]],ChangeTrack[Change Status],"Approved")</f>
        <v>0</v>
      </c>
      <c r="H39" s="286">
        <f ca="1">VendorList[[#This Row],[Original Contract Value]]+VendorList[[#This Row],[Amendment(s)]]</f>
        <v>27937.86</v>
      </c>
      <c r="I39" s="290">
        <f ca="1">SUMIFS(CostTrack[Value],CostTrack[Vendor - Contract],VendorList[[#This Row],[Vendor / Org. with Contract ID]],CostTrack[PA ID],VendorList[[#This Row],[PA ID]],CostTrack[Holdback (Y/N/R)],"&lt;&gt;Release",CostTrack[Status],"Approved")</f>
        <v>27937.86</v>
      </c>
      <c r="J39" s="106">
        <f ca="1">IF(VendorList[[#This Row],[Current Commitment]]=0,"-",VendorList[[#This Row],[Expenditures to Date]]/VendorList[[#This Row],[Current Commitment]])</f>
        <v>1</v>
      </c>
      <c r="K39" s="292">
        <f ca="1">SUMIF(CostTrack[Vendor - Contract],VendorList[[#This Row],[Vendor / Org. with Contract ID]],CostTrack[Holdback Value])*-1</f>
        <v>0</v>
      </c>
      <c r="L39" s="292">
        <f ca="1">VendorList[[#This Row],[Current Commitment]]-VendorList[[#This Row],[Expenditures to Date]]</f>
        <v>0</v>
      </c>
      <c r="M39" s="84"/>
      <c r="N39" s="84">
        <v>45747</v>
      </c>
      <c r="O39" s="85" t="s">
        <v>431</v>
      </c>
      <c r="P39" s="177" t="str">
        <f ca="1">IFERROR(INDEX(BudgetTrack[Primary Category],MATCH(VendorList[[#This Row],[PA ID]],BudgetTrack[PA ID],0)),"")</f>
        <v>Construction</v>
      </c>
      <c r="Q39" s="177" t="str">
        <f ca="1">IFERROR(INDEX(BudgetTrack[Secondary Category],MATCH(VendorList[[#This Row],[PA ID]],BudgetTrack[PA ID],0)),"")</f>
        <v>Permits &amp; Fees</v>
      </c>
      <c r="R39" s="176" t="str">
        <f ca="1">IFERROR(INDEX(BudgetTrack[Phase / Subproject],MATCH(VendorList[[#This Row],[PA ID]],BudgetTrack[PA ID],0)),"")</f>
        <v>--</v>
      </c>
      <c r="S39" s="176" t="str">
        <f ca="1">IFERROR(INDEX(BudgetTrack[Phase / Subproject 2],MATCH(VendorList[[#This Row],[PA ID]],BudgetTrack[PA ID],0)),"")</f>
        <v>--</v>
      </c>
      <c r="T39" s="576" t="str">
        <f ca="1">IFERROR(INDEX(BudgetTrack[Funding Source],MATCH(VendorList[[#This Row],[PA ID]],BudgetTrack[PA ID],0)),"")</f>
        <v>P-002360</v>
      </c>
      <c r="U39" s="80" t="str">
        <f t="shared" ca="1" si="0"/>
        <v/>
      </c>
      <c r="V39" s="434" t="str">
        <f ca="1">IFERROR(INDEX($U$6:$U$109,_xlfn.AGGREGATE(15,6,(ROW($U$6:$U$109)-ROW($U$6)+1)/($U$6:$U$109&lt;&gt;""),ROWS(V$6:V39))),"")</f>
        <v/>
      </c>
      <c r="W39" s="1285">
        <f ca="1">IF(OR(VendorList[[#This Row],[Vendor / Org. with Contract ID]]="",VendorList[[#This Row],[Vendor / Org. with Contract ID]]="Future / Not Awarded"),"",IFERROR(INDEX(EAC[Estimate At Completion],MATCH(VendorList[[#This Row],[Vendor / Org. with Contract ID]],EAC[Vendor / Org. with Contract ID],0),1),"Does Not Exist"))</f>
        <v>27937.86</v>
      </c>
      <c r="Y39" s="922"/>
    </row>
    <row r="40" spans="2:25">
      <c r="B40" s="395" t="s">
        <v>441</v>
      </c>
      <c r="C40" s="111">
        <v>37915</v>
      </c>
      <c r="D40" s="77" t="str">
        <f ca="1">IF(VendorList[[#This Row],[Vendor / Org.]]="","",CONCATENATE(VendorList[[#This Row],[Vendor / Org.]],"-",VendorList[[#This Row],[Contract ID]]))</f>
        <v>ACI- Vibration Monitoring Consultant-37915</v>
      </c>
      <c r="E40" s="83" t="s">
        <v>80</v>
      </c>
      <c r="F40" s="288">
        <v>29316</v>
      </c>
      <c r="G40" s="286">
        <f ca="1">SUMIFS(ChangeTrack[Change Value],ChangeTrack[Vendor / Org.],VendorList[[#This Row],[Vendor / Org. with Contract ID]],ChangeTrack[Change Status],"Approved")</f>
        <v>5088</v>
      </c>
      <c r="H40" s="286">
        <f ca="1">VendorList[[#This Row],[Original Contract Value]]+VendorList[[#This Row],[Amendment(s)]]</f>
        <v>34404</v>
      </c>
      <c r="I40" s="290">
        <f ca="1">SUMIFS(CostTrack[Value],CostTrack[Vendor - Contract],VendorList[[#This Row],[Vendor / Org. with Contract ID]],CostTrack[PA ID],VendorList[[#This Row],[PA ID]],CostTrack[Holdback (Y/N/R)],"&lt;&gt;Release",CostTrack[Status],"Approved")</f>
        <v>34404</v>
      </c>
      <c r="J40" s="106">
        <f ca="1">IF(VendorList[[#This Row],[Current Commitment]]=0,"-",VendorList[[#This Row],[Expenditures to Date]]/VendorList[[#This Row],[Current Commitment]])</f>
        <v>1</v>
      </c>
      <c r="K40" s="292">
        <f ca="1">SUMIF(CostTrack[Vendor - Contract],VendorList[[#This Row],[Vendor / Org. with Contract ID]],CostTrack[Holdback Value])*-1</f>
        <v>0</v>
      </c>
      <c r="L40" s="292">
        <f ca="1">VendorList[[#This Row],[Current Commitment]]-VendorList[[#This Row],[Expenditures to Date]]</f>
        <v>0</v>
      </c>
      <c r="M40" s="84"/>
      <c r="N40" s="84">
        <v>44895</v>
      </c>
      <c r="O40" s="85" t="s">
        <v>401</v>
      </c>
      <c r="P40" s="177" t="str">
        <f ca="1">IFERROR(INDEX(BudgetTrack[Primary Category],MATCH(VendorList[[#This Row],[PA ID]],BudgetTrack[PA ID],0)),"")</f>
        <v>Professional Services</v>
      </c>
      <c r="Q40" s="177" t="str">
        <f ca="1">IFERROR(INDEX(BudgetTrack[Secondary Category],MATCH(VendorList[[#This Row],[PA ID]],BudgetTrack[PA ID],0)),"")</f>
        <v>Other Professional Services</v>
      </c>
      <c r="R40" s="176" t="str">
        <f ca="1">IFERROR(INDEX(BudgetTrack[Phase / Subproject],MATCH(VendorList[[#This Row],[PA ID]],BudgetTrack[PA ID],0)),"")</f>
        <v>--</v>
      </c>
      <c r="S40" s="176" t="str">
        <f ca="1">IFERROR(INDEX(BudgetTrack[Phase / Subproject 2],MATCH(VendorList[[#This Row],[PA ID]],BudgetTrack[PA ID],0)),"")</f>
        <v>--</v>
      </c>
      <c r="T40" s="576" t="str">
        <f ca="1">IFERROR(INDEX(BudgetTrack[Funding Source],MATCH(VendorList[[#This Row],[PA ID]],BudgetTrack[PA ID],0)),"")</f>
        <v>P-002360</v>
      </c>
      <c r="U40" s="80" t="str">
        <f t="shared" ca="1" si="0"/>
        <v/>
      </c>
      <c r="V40" s="434" t="str">
        <f ca="1">IFERROR(INDEX($U$6:$U$109,_xlfn.AGGREGATE(15,6,(ROW($U$6:$U$109)-ROW($U$6)+1)/($U$6:$U$109&lt;&gt;""),ROWS(V$6:V40))),"")</f>
        <v/>
      </c>
      <c r="W40" s="1285">
        <f ca="1">IF(OR(VendorList[[#This Row],[Vendor / Org. with Contract ID]]="",VendorList[[#This Row],[Vendor / Org. with Contract ID]]="Future / Not Awarded"),"",IFERROR(INDEX(EAC[Estimate At Completion],MATCH(VendorList[[#This Row],[Vendor / Org. with Contract ID]],EAC[Vendor / Org. with Contract ID],0),1),"Does Not Exist"))</f>
        <v>34404</v>
      </c>
      <c r="Y40" s="922"/>
    </row>
    <row r="41" spans="2:25">
      <c r="B41" s="433" t="s">
        <v>442</v>
      </c>
      <c r="C41" s="111">
        <v>37987</v>
      </c>
      <c r="D41" s="77" t="str">
        <f ca="1">IF(VendorList[[#This Row],[Vendor / Org.]]="","",CONCATENATE(VendorList[[#This Row],[Vendor / Org.]],"-",VendorList[[#This Row],[Contract ID]]))</f>
        <v>Clark Builders-37987</v>
      </c>
      <c r="E41" s="83" t="s">
        <v>71</v>
      </c>
      <c r="F41" s="288">
        <v>139569293</v>
      </c>
      <c r="G41" s="286">
        <f ca="1">SUMIFS(ChangeTrack[Change Value],ChangeTrack[Vendor / Org.],VendorList[[#This Row],[Vendor / Org. with Contract ID]],ChangeTrack[Change Status],"Approved")</f>
        <v>14745298.420000009</v>
      </c>
      <c r="H41" s="286">
        <f ca="1">VendorList[[#This Row],[Original Contract Value]]+VendorList[[#This Row],[Amendment(s)]]</f>
        <v>154314591.42000002</v>
      </c>
      <c r="I41" s="290">
        <f ca="1">SUMIFS(CostTrack[Value],CostTrack[Vendor - Contract],VendorList[[#This Row],[Vendor / Org. with Contract ID]],CostTrack[PA ID],VendorList[[#This Row],[PA ID]],CostTrack[Holdback (Y/N/R)],"&lt;&gt;Release",CostTrack[Status],"Approved")</f>
        <v>153062832.02000001</v>
      </c>
      <c r="J41" s="106">
        <f ca="1">IF(VendorList[[#This Row],[Current Commitment]]=0,"-",VendorList[[#This Row],[Expenditures to Date]]/VendorList[[#This Row],[Current Commitment]])</f>
        <v>0.99188826287597731</v>
      </c>
      <c r="K41" s="292">
        <f ca="1">SUMIF(CostTrack[Vendor - Contract],VendorList[[#This Row],[Vendor / Org. with Contract ID]],CostTrack[Holdback Value])*-1</f>
        <v>9.9999990779906511E-3</v>
      </c>
      <c r="L41" s="292">
        <f ca="1">VendorList[[#This Row],[Current Commitment]]-VendorList[[#This Row],[Expenditures to Date]]</f>
        <v>1251759.400000006</v>
      </c>
      <c r="M41" s="84"/>
      <c r="N41" s="84">
        <v>46081</v>
      </c>
      <c r="O41" s="85" t="s">
        <v>443</v>
      </c>
      <c r="P41" s="177" t="str">
        <f ca="1">IFERROR(INDEX(BudgetTrack[Primary Category],MATCH(VendorList[[#This Row],[PA ID]],BudgetTrack[PA ID],0)),"")</f>
        <v>Construction</v>
      </c>
      <c r="Q41" s="177" t="str">
        <f ca="1">IFERROR(INDEX(BudgetTrack[Secondary Category],MATCH(VendorList[[#This Row],[PA ID]],BudgetTrack[PA ID],0)),"")</f>
        <v>Prime Contractor</v>
      </c>
      <c r="R41" s="176" t="str">
        <f ca="1">IFERROR(INDEX(BudgetTrack[Phase / Subproject],MATCH(VendorList[[#This Row],[PA ID]],BudgetTrack[PA ID],0)),"")</f>
        <v>--</v>
      </c>
      <c r="S41" s="176" t="str">
        <f ca="1">IFERROR(INDEX(BudgetTrack[Phase / Subproject 2],MATCH(VendorList[[#This Row],[PA ID]],BudgetTrack[PA ID],0)),"")</f>
        <v>--</v>
      </c>
      <c r="T41" s="576" t="str">
        <f ca="1">IFERROR(INDEX(BudgetTrack[Funding Source],MATCH(VendorList[[#This Row],[PA ID]],BudgetTrack[PA ID],0)),"")</f>
        <v>P-002360</v>
      </c>
      <c r="U41" s="80" t="str">
        <f t="shared" ca="1" si="0"/>
        <v>Clark Builders-37987</v>
      </c>
      <c r="V41" s="434" t="str">
        <f ca="1">IFERROR(INDEX($U$6:$U$109,_xlfn.AGGREGATE(15,6,(ROW($U$6:$U$109)-ROW($U$6)+1)/($U$6:$U$109&lt;&gt;""),ROWS(V$6:V41))),"")</f>
        <v/>
      </c>
      <c r="W41" s="1285">
        <f ca="1">IF(OR(VendorList[[#This Row],[Vendor / Org. with Contract ID]]="",VendorList[[#This Row],[Vendor / Org. with Contract ID]]="Future / Not Awarded"),"",IFERROR(INDEX(EAC[Estimate At Completion],MATCH(VendorList[[#This Row],[Vendor / Org. with Contract ID]],EAC[Vendor / Org. with Contract ID],0),1),"Does Not Exist"))</f>
        <v>154314591.42000002</v>
      </c>
      <c r="Y41" s="922"/>
    </row>
    <row r="42" spans="2:25">
      <c r="B42" s="433" t="s">
        <v>444</v>
      </c>
      <c r="C42" s="111" t="s">
        <v>409</v>
      </c>
      <c r="D42" s="77" t="str">
        <f ca="1">IF(VendorList[[#This Row],[Vendor / Org.]]="","",CONCATENATE(VendorList[[#This Row],[Vendor / Org.]],"-",VendorList[[#This Row],[Contract ID]]))</f>
        <v>Accrual Write Off-Clearing-Direct Pay</v>
      </c>
      <c r="E42" s="83" t="s">
        <v>71</v>
      </c>
      <c r="F42" s="288">
        <v>122405.05</v>
      </c>
      <c r="G42" s="286">
        <f ca="1">SUMIFS(ChangeTrack[Change Value],ChangeTrack[Vendor / Org.],VendorList[[#This Row],[Vendor / Org. with Contract ID]],ChangeTrack[Change Status],"Approved")</f>
        <v>0</v>
      </c>
      <c r="H42" s="286">
        <f ca="1">VendorList[[#This Row],[Original Contract Value]]+VendorList[[#This Row],[Amendment(s)]]</f>
        <v>122405.05</v>
      </c>
      <c r="I42" s="290">
        <f ca="1">SUMIFS(CostTrack[Value],CostTrack[Vendor - Contract],VendorList[[#This Row],[Vendor / Org. with Contract ID]],CostTrack[PA ID],VendorList[[#This Row],[PA ID]],CostTrack[Holdback (Y/N/R)],"&lt;&gt;Release",CostTrack[Status],"Approved")</f>
        <v>122405.05</v>
      </c>
      <c r="J42" s="106">
        <f ca="1">IF(VendorList[[#This Row],[Current Commitment]]=0,"-",VendorList[[#This Row],[Expenditures to Date]]/VendorList[[#This Row],[Current Commitment]])</f>
        <v>1</v>
      </c>
      <c r="K42" s="292">
        <f ca="1">SUMIF(CostTrack[Vendor - Contract],VendorList[[#This Row],[Vendor / Org. with Contract ID]],CostTrack[Holdback Value])*-1</f>
        <v>0</v>
      </c>
      <c r="L42" s="292">
        <f ca="1">VendorList[[#This Row],[Current Commitment]]-VendorList[[#This Row],[Expenditures to Date]]</f>
        <v>0</v>
      </c>
      <c r="M42" s="84"/>
      <c r="N42" s="84">
        <v>46173</v>
      </c>
      <c r="O42" s="85" t="s">
        <v>445</v>
      </c>
      <c r="P42" s="177" t="str">
        <f ca="1">IFERROR(INDEX(BudgetTrack[Primary Category],MATCH(VendorList[[#This Row],[PA ID]],BudgetTrack[PA ID],0)),"")</f>
        <v>Administration</v>
      </c>
      <c r="Q42" s="177" t="str">
        <f ca="1">IFERROR(INDEX(BudgetTrack[Secondary Category],MATCH(VendorList[[#This Row],[PA ID]],BudgetTrack[PA ID],0)),"")</f>
        <v>Accrual Write Off</v>
      </c>
      <c r="R42" s="176" t="str">
        <f ca="1">IFERROR(INDEX(BudgetTrack[Phase / Subproject],MATCH(VendorList[[#This Row],[PA ID]],BudgetTrack[PA ID],0)),"")</f>
        <v>--</v>
      </c>
      <c r="S42" s="176" t="str">
        <f ca="1">IFERROR(INDEX(BudgetTrack[Phase / Subproject 2],MATCH(VendorList[[#This Row],[PA ID]],BudgetTrack[PA ID],0)),"")</f>
        <v>--</v>
      </c>
      <c r="T42" s="576" t="str">
        <f ca="1">IFERROR(INDEX(BudgetTrack[Funding Source],MATCH(VendorList[[#This Row],[PA ID]],BudgetTrack[PA ID],0)),"")</f>
        <v>P-002360</v>
      </c>
      <c r="U42" s="80" t="str">
        <f t="shared" ca="1" si="0"/>
        <v>Accrual Write Off-Clearing-Direct Pay</v>
      </c>
      <c r="V42" s="434" t="str">
        <f ca="1">IFERROR(INDEX($U$6:$U$109,_xlfn.AGGREGATE(15,6,(ROW($U$6:$U$109)-ROW($U$6)+1)/($U$6:$U$109&lt;&gt;""),ROWS(V$6:V42))),"")</f>
        <v/>
      </c>
      <c r="W42" s="1285">
        <f ca="1">IF(OR(VendorList[[#This Row],[Vendor / Org. with Contract ID]]="",VendorList[[#This Row],[Vendor / Org. with Contract ID]]="Future / Not Awarded"),"",IFERROR(INDEX(EAC[Estimate At Completion],MATCH(VendorList[[#This Row],[Vendor / Org. with Contract ID]],EAC[Vendor / Org. with Contract ID],0),1),"Does Not Exist"))</f>
        <v>122405.05</v>
      </c>
      <c r="Y42" s="922"/>
    </row>
    <row r="43" spans="2:25">
      <c r="B43" s="433" t="s">
        <v>446</v>
      </c>
      <c r="C43" s="111">
        <v>38384</v>
      </c>
      <c r="D43" s="77" t="str">
        <f ca="1">IF(VendorList[[#This Row],[Vendor / Org.]]="","",CONCATENATE(VendorList[[#This Row],[Vendor / Org.]],"-",VendorList[[#This Row],[Contract ID]]))</f>
        <v>Qualimet- Steel Testing consultant-38384</v>
      </c>
      <c r="E43" s="83" t="s">
        <v>80</v>
      </c>
      <c r="F43" s="288">
        <v>9500</v>
      </c>
      <c r="G43" s="286">
        <f ca="1">SUMIFS(ChangeTrack[Change Value],ChangeTrack[Vendor / Org.],VendorList[[#This Row],[Vendor / Org. with Contract ID]],ChangeTrack[Change Status],"Approved")</f>
        <v>22051</v>
      </c>
      <c r="H43" s="286">
        <f ca="1">VendorList[[#This Row],[Original Contract Value]]+VendorList[[#This Row],[Amendment(s)]]</f>
        <v>31551</v>
      </c>
      <c r="I43" s="290">
        <f ca="1">SUMIFS(CostTrack[Value],CostTrack[Vendor - Contract],VendorList[[#This Row],[Vendor / Org. with Contract ID]],CostTrack[PA ID],VendorList[[#This Row],[PA ID]],CostTrack[Holdback (Y/N/R)],"&lt;&gt;Release",CostTrack[Status],"Approved")</f>
        <v>31551</v>
      </c>
      <c r="J43" s="106">
        <f ca="1">IF(VendorList[[#This Row],[Current Commitment]]=0,"-",VendorList[[#This Row],[Expenditures to Date]]/VendorList[[#This Row],[Current Commitment]])</f>
        <v>1</v>
      </c>
      <c r="K43" s="292">
        <f ca="1">SUMIF(CostTrack[Vendor - Contract],VendorList[[#This Row],[Vendor / Org. with Contract ID]],CostTrack[Holdback Value])*-1</f>
        <v>0</v>
      </c>
      <c r="L43" s="292">
        <f ca="1">VendorList[[#This Row],[Current Commitment]]-VendorList[[#This Row],[Expenditures to Date]]</f>
        <v>0</v>
      </c>
      <c r="M43" s="84">
        <v>44139</v>
      </c>
      <c r="N43" s="84">
        <v>45504</v>
      </c>
      <c r="O43" s="85" t="s">
        <v>401</v>
      </c>
      <c r="P43" s="177" t="str">
        <f ca="1">IFERROR(INDEX(BudgetTrack[Primary Category],MATCH(VendorList[[#This Row],[PA ID]],BudgetTrack[PA ID],0)),"")</f>
        <v>Professional Services</v>
      </c>
      <c r="Q43" s="177" t="str">
        <f ca="1">IFERROR(INDEX(BudgetTrack[Secondary Category],MATCH(VendorList[[#This Row],[PA ID]],BudgetTrack[PA ID],0)),"")</f>
        <v>Other Professional Services</v>
      </c>
      <c r="R43" s="176" t="str">
        <f ca="1">IFERROR(INDEX(BudgetTrack[Phase / Subproject],MATCH(VendorList[[#This Row],[PA ID]],BudgetTrack[PA ID],0)),"")</f>
        <v>--</v>
      </c>
      <c r="S43" s="176" t="str">
        <f ca="1">IFERROR(INDEX(BudgetTrack[Phase / Subproject 2],MATCH(VendorList[[#This Row],[PA ID]],BudgetTrack[PA ID],0)),"")</f>
        <v>--</v>
      </c>
      <c r="T43" s="576" t="str">
        <f ca="1">IFERROR(INDEX(BudgetTrack[Funding Source],MATCH(VendorList[[#This Row],[PA ID]],BudgetTrack[PA ID],0)),"")</f>
        <v>P-002360</v>
      </c>
      <c r="U43" s="80" t="str">
        <f t="shared" ca="1" si="0"/>
        <v/>
      </c>
      <c r="V43" s="434" t="str">
        <f ca="1">IFERROR(INDEX($U$6:$U$109,_xlfn.AGGREGATE(15,6,(ROW($U$6:$U$109)-ROW($U$6)+1)/($U$6:$U$109&lt;&gt;""),ROWS(V$6:V43))),"")</f>
        <v/>
      </c>
      <c r="W43" s="1285">
        <f ca="1">IF(OR(VendorList[[#This Row],[Vendor / Org. with Contract ID]]="",VendorList[[#This Row],[Vendor / Org. with Contract ID]]="Future / Not Awarded"),"",IFERROR(INDEX(EAC[Estimate At Completion],MATCH(VendorList[[#This Row],[Vendor / Org. with Contract ID]],EAC[Vendor / Org. with Contract ID],0),1),"Does Not Exist"))</f>
        <v>31551</v>
      </c>
      <c r="Y43" s="922"/>
    </row>
    <row r="44" spans="2:25">
      <c r="B44" s="433" t="s">
        <v>447</v>
      </c>
      <c r="C44" s="111" t="s">
        <v>409</v>
      </c>
      <c r="D44" s="77" t="str">
        <f ca="1">IF(VendorList[[#This Row],[Vendor / Org.]]="","",CONCATENATE(VendorList[[#This Row],[Vendor / Org.]],"-",VendorList[[#This Row],[Contract ID]]))</f>
        <v>Cine Audio Visual-Groundbreaking-Direct Pay</v>
      </c>
      <c r="E44" s="83" t="s">
        <v>80</v>
      </c>
      <c r="F44" s="288">
        <v>1470.77</v>
      </c>
      <c r="G44" s="286">
        <f ca="1">SUMIFS(ChangeTrack[Change Value],ChangeTrack[Vendor / Org.],VendorList[[#This Row],[Vendor / Org. with Contract ID]],ChangeTrack[Change Status],"Approved")</f>
        <v>0</v>
      </c>
      <c r="H44" s="286">
        <f ca="1">VendorList[[#This Row],[Original Contract Value]]+VendorList[[#This Row],[Amendment(s)]]</f>
        <v>1470.77</v>
      </c>
      <c r="I44" s="290">
        <f ca="1">SUMIFS(CostTrack[Value],CostTrack[Vendor - Contract],VendorList[[#This Row],[Vendor / Org. with Contract ID]],CostTrack[PA ID],VendorList[[#This Row],[PA ID]],CostTrack[Holdback (Y/N/R)],"&lt;&gt;Release",CostTrack[Status],"Approved")</f>
        <v>1470.77</v>
      </c>
      <c r="J44" s="106">
        <f ca="1">IF(VendorList[[#This Row],[Current Commitment]]=0,"-",VendorList[[#This Row],[Expenditures to Date]]/VendorList[[#This Row],[Current Commitment]])</f>
        <v>1</v>
      </c>
      <c r="K44" s="292">
        <f ca="1">SUMIF(CostTrack[Vendor - Contract],VendorList[[#This Row],[Vendor / Org. with Contract ID]],CostTrack[Holdback Value])*-1</f>
        <v>0</v>
      </c>
      <c r="L44" s="292">
        <f ca="1">VendorList[[#This Row],[Current Commitment]]-VendorList[[#This Row],[Expenditures to Date]]</f>
        <v>0</v>
      </c>
      <c r="M44" s="84"/>
      <c r="N44" s="84">
        <v>44146</v>
      </c>
      <c r="O44" s="85" t="s">
        <v>401</v>
      </c>
      <c r="P44" s="177" t="str">
        <f ca="1">IFERROR(INDEX(BudgetTrack[Primary Category],MATCH(VendorList[[#This Row],[PA ID]],BudgetTrack[PA ID],0)),"")</f>
        <v>Professional Services</v>
      </c>
      <c r="Q44" s="177" t="str">
        <f ca="1">IFERROR(INDEX(BudgetTrack[Secondary Category],MATCH(VendorList[[#This Row],[PA ID]],BudgetTrack[PA ID],0)),"")</f>
        <v>Other Professional Services</v>
      </c>
      <c r="R44" s="176" t="str">
        <f ca="1">IFERROR(INDEX(BudgetTrack[Phase / Subproject],MATCH(VendorList[[#This Row],[PA ID]],BudgetTrack[PA ID],0)),"")</f>
        <v>--</v>
      </c>
      <c r="S44" s="176" t="str">
        <f ca="1">IFERROR(INDEX(BudgetTrack[Phase / Subproject 2],MATCH(VendorList[[#This Row],[PA ID]],BudgetTrack[PA ID],0)),"")</f>
        <v>--</v>
      </c>
      <c r="T44" s="576" t="str">
        <f ca="1">IFERROR(INDEX(BudgetTrack[Funding Source],MATCH(VendorList[[#This Row],[PA ID]],BudgetTrack[PA ID],0)),"")</f>
        <v>P-002360</v>
      </c>
      <c r="U44" s="80" t="str">
        <f t="shared" ca="1" si="0"/>
        <v/>
      </c>
      <c r="V44" s="434" t="str">
        <f ca="1">IFERROR(INDEX($U$6:$U$109,_xlfn.AGGREGATE(15,6,(ROW($U$6:$U$109)-ROW($U$6)+1)/($U$6:$U$109&lt;&gt;""),ROWS(V$6:V44))),"")</f>
        <v/>
      </c>
      <c r="W44" s="1285">
        <f ca="1">IF(OR(VendorList[[#This Row],[Vendor / Org. with Contract ID]]="",VendorList[[#This Row],[Vendor / Org. with Contract ID]]="Future / Not Awarded"),"",IFERROR(INDEX(EAC[Estimate At Completion],MATCH(VendorList[[#This Row],[Vendor / Org. with Contract ID]],EAC[Vendor / Org. with Contract ID],0),1),"Does Not Exist"))</f>
        <v>1470.77</v>
      </c>
      <c r="Y44" s="922"/>
    </row>
    <row r="45" spans="2:25">
      <c r="B45" s="433" t="s">
        <v>448</v>
      </c>
      <c r="C45" s="111">
        <v>38933</v>
      </c>
      <c r="D45" s="77" t="str">
        <f ca="1">IF(VendorList[[#This Row],[Vendor / Org.]]="","",CONCATENATE(VendorList[[#This Row],[Vendor / Org.]],"-",VendorList[[#This Row],[Contract ID]]))</f>
        <v>Royal Rubber Stamps Co Ltd (Construction Site Signage-CPDD)-38933</v>
      </c>
      <c r="E45" s="83" t="s">
        <v>80</v>
      </c>
      <c r="F45" s="288">
        <v>1553.18</v>
      </c>
      <c r="G45" s="286">
        <f ca="1">SUMIFS(ChangeTrack[Change Value],ChangeTrack[Vendor / Org.],VendorList[[#This Row],[Vendor / Org. with Contract ID]],ChangeTrack[Change Status],"Approved")</f>
        <v>0</v>
      </c>
      <c r="H45" s="286">
        <f ca="1">VendorList[[#This Row],[Original Contract Value]]+VendorList[[#This Row],[Amendment(s)]]</f>
        <v>1553.18</v>
      </c>
      <c r="I45" s="290">
        <f ca="1">SUMIFS(CostTrack[Value],CostTrack[Vendor - Contract],VendorList[[#This Row],[Vendor / Org. with Contract ID]],CostTrack[PA ID],VendorList[[#This Row],[PA ID]],CostTrack[Holdback (Y/N/R)],"&lt;&gt;Release",CostTrack[Status],"Approved")</f>
        <v>1553.18</v>
      </c>
      <c r="J45" s="106">
        <f ca="1">IF(VendorList[[#This Row],[Current Commitment]]=0,"-",VendorList[[#This Row],[Expenditures to Date]]/VendorList[[#This Row],[Current Commitment]])</f>
        <v>1</v>
      </c>
      <c r="K45" s="292">
        <f ca="1">SUMIF(CostTrack[Vendor - Contract],VendorList[[#This Row],[Vendor / Org. with Contract ID]],CostTrack[Holdback Value])*-1</f>
        <v>0</v>
      </c>
      <c r="L45" s="292">
        <f ca="1">VendorList[[#This Row],[Current Commitment]]-VendorList[[#This Row],[Expenditures to Date]]</f>
        <v>0</v>
      </c>
      <c r="M45" s="84">
        <v>44370</v>
      </c>
      <c r="N45" s="84">
        <v>44408</v>
      </c>
      <c r="O45" s="85" t="s">
        <v>413</v>
      </c>
      <c r="P45" s="177" t="str">
        <f ca="1">IFERROR(INDEX(BudgetTrack[Primary Category],MATCH(VendorList[[#This Row],[PA ID]],BudgetTrack[PA ID],0)),"")</f>
        <v>Administration</v>
      </c>
      <c r="Q45" s="177" t="str">
        <f ca="1">IFERROR(INDEX(BudgetTrack[Secondary Category],MATCH(VendorList[[#This Row],[PA ID]],BudgetTrack[PA ID],0)),"")</f>
        <v>Other Administration</v>
      </c>
      <c r="R45" s="176" t="str">
        <f ca="1">IFERROR(INDEX(BudgetTrack[Phase / Subproject],MATCH(VendorList[[#This Row],[PA ID]],BudgetTrack[PA ID],0)),"")</f>
        <v>--</v>
      </c>
      <c r="S45" s="176" t="str">
        <f ca="1">IFERROR(INDEX(BudgetTrack[Phase / Subproject 2],MATCH(VendorList[[#This Row],[PA ID]],BudgetTrack[PA ID],0)),"")</f>
        <v>--</v>
      </c>
      <c r="T45" s="576" t="str">
        <f ca="1">IFERROR(INDEX(BudgetTrack[Funding Source],MATCH(VendorList[[#This Row],[PA ID]],BudgetTrack[PA ID],0)),"")</f>
        <v>P-002360</v>
      </c>
      <c r="U45" s="80" t="str">
        <f t="shared" ca="1" si="0"/>
        <v/>
      </c>
      <c r="V45" s="434" t="str">
        <f ca="1">IFERROR(INDEX($U$6:$U$109,_xlfn.AGGREGATE(15,6,(ROW($U$6:$U$109)-ROW($U$6)+1)/($U$6:$U$109&lt;&gt;""),ROWS(V$6:V45))),"")</f>
        <v/>
      </c>
      <c r="W45" s="1285">
        <f ca="1">IF(OR(VendorList[[#This Row],[Vendor / Org. with Contract ID]]="",VendorList[[#This Row],[Vendor / Org. with Contract ID]]="Future / Not Awarded"),"",IFERROR(INDEX(EAC[Estimate At Completion],MATCH(VendorList[[#This Row],[Vendor / Org. with Contract ID]],EAC[Vendor / Org. with Contract ID],0),1),"Does Not Exist"))</f>
        <v>1553.18</v>
      </c>
      <c r="Y45" s="922"/>
    </row>
    <row r="46" spans="2:25">
      <c r="B46" s="433" t="s">
        <v>449</v>
      </c>
      <c r="C46" s="111">
        <v>39170</v>
      </c>
      <c r="D46" s="77" t="str">
        <f ca="1">IF(VendorList[[#This Row],[Vendor / Org.]]="","",CONCATENATE(VendorList[[#This Row],[Vendor / Org.]],"-",VendorList[[#This Row],[Contract ID]]))</f>
        <v>Altus Group- Schedule and claim consulatnt-39170</v>
      </c>
      <c r="E46" s="83" t="s">
        <v>80</v>
      </c>
      <c r="F46" s="288">
        <v>74885.5</v>
      </c>
      <c r="G46" s="286">
        <f ca="1">SUMIFS(ChangeTrack[Change Value],ChangeTrack[Vendor / Org.],VendorList[[#This Row],[Vendor / Org. with Contract ID]],ChangeTrack[Change Status],"Approved")</f>
        <v>175320.22</v>
      </c>
      <c r="H46" s="286">
        <f ca="1">VendorList[[#This Row],[Original Contract Value]]+VendorList[[#This Row],[Amendment(s)]]</f>
        <v>250205.72</v>
      </c>
      <c r="I46" s="290">
        <f ca="1">SUMIFS(CostTrack[Value],CostTrack[Vendor - Contract],VendorList[[#This Row],[Vendor / Org. with Contract ID]],CostTrack[PA ID],VendorList[[#This Row],[PA ID]],CostTrack[Holdback (Y/N/R)],"&lt;&gt;Release",CostTrack[Status],"Approved")</f>
        <v>250205.72000000003</v>
      </c>
      <c r="J46" s="106">
        <f ca="1">IF(VendorList[[#This Row],[Current Commitment]]=0,"-",VendorList[[#This Row],[Expenditures to Date]]/VendorList[[#This Row],[Current Commitment]])</f>
        <v>1.0000000000000002</v>
      </c>
      <c r="K46" s="292">
        <f ca="1">SUMIF(CostTrack[Vendor - Contract],VendorList[[#This Row],[Vendor / Org. with Contract ID]],CostTrack[Holdback Value])*-1</f>
        <v>0</v>
      </c>
      <c r="L46" s="292">
        <f ca="1">VendorList[[#This Row],[Current Commitment]]-VendorList[[#This Row],[Expenditures to Date]]</f>
        <v>0</v>
      </c>
      <c r="M46" s="84">
        <v>44462</v>
      </c>
      <c r="N46" s="84">
        <v>45747</v>
      </c>
      <c r="O46" s="85" t="s">
        <v>401</v>
      </c>
      <c r="P46" s="177" t="str">
        <f ca="1">IFERROR(INDEX(BudgetTrack[Primary Category],MATCH(VendorList[[#This Row],[PA ID]],BudgetTrack[PA ID],0)),"")</f>
        <v>Professional Services</v>
      </c>
      <c r="Q46" s="177" t="str">
        <f ca="1">IFERROR(INDEX(BudgetTrack[Secondary Category],MATCH(VendorList[[#This Row],[PA ID]],BudgetTrack[PA ID],0)),"")</f>
        <v>Other Professional Services</v>
      </c>
      <c r="R46" s="176" t="str">
        <f ca="1">IFERROR(INDEX(BudgetTrack[Phase / Subproject],MATCH(VendorList[[#This Row],[PA ID]],BudgetTrack[PA ID],0)),"")</f>
        <v>--</v>
      </c>
      <c r="S46" s="176" t="str">
        <f ca="1">IFERROR(INDEX(BudgetTrack[Phase / Subproject 2],MATCH(VendorList[[#This Row],[PA ID]],BudgetTrack[PA ID],0)),"")</f>
        <v>--</v>
      </c>
      <c r="T46" s="576" t="str">
        <f ca="1">IFERROR(INDEX(BudgetTrack[Funding Source],MATCH(VendorList[[#This Row],[PA ID]],BudgetTrack[PA ID],0)),"")</f>
        <v>P-002360</v>
      </c>
      <c r="U46" s="80" t="str">
        <f t="shared" ca="1" si="0"/>
        <v/>
      </c>
      <c r="V46" s="434" t="str">
        <f ca="1">IFERROR(INDEX($U$6:$U$109,_xlfn.AGGREGATE(15,6,(ROW($U$6:$U$109)-ROW($U$6)+1)/($U$6:$U$109&lt;&gt;""),ROWS(V$6:V46))),"")</f>
        <v/>
      </c>
      <c r="W46" s="1285">
        <f ca="1">IF(OR(VendorList[[#This Row],[Vendor / Org. with Contract ID]]="",VendorList[[#This Row],[Vendor / Org. with Contract ID]]="Future / Not Awarded"),"",IFERROR(INDEX(EAC[Estimate At Completion],MATCH(VendorList[[#This Row],[Vendor / Org. with Contract ID]],EAC[Vendor / Org. with Contract ID],0),1),"Does Not Exist"))</f>
        <v>250205.72</v>
      </c>
      <c r="Y46" s="922"/>
    </row>
    <row r="47" spans="2:25">
      <c r="B47" s="433" t="s">
        <v>450</v>
      </c>
      <c r="C47" s="111">
        <v>39222</v>
      </c>
      <c r="D47" s="77" t="str">
        <f ca="1">IF(VendorList[[#This Row],[Vendor / Org.]]="","",CONCATENATE(VendorList[[#This Row],[Vendor / Org.]],"-",VendorList[[#This Row],[Contract ID]]))</f>
        <v>Canadian Infrared Ltd. - Roofing Inspectinos-39222</v>
      </c>
      <c r="E47" s="83" t="s">
        <v>80</v>
      </c>
      <c r="F47" s="288">
        <v>8000</v>
      </c>
      <c r="G47" s="286">
        <f ca="1">SUMIFS(ChangeTrack[Change Value],ChangeTrack[Vendor / Org.],VendorList[[#This Row],[Vendor / Org. with Contract ID]],ChangeTrack[Change Status],"Approved")</f>
        <v>-565.4</v>
      </c>
      <c r="H47" s="286">
        <f ca="1">VendorList[[#This Row],[Original Contract Value]]+VendorList[[#This Row],[Amendment(s)]]</f>
        <v>7434.6</v>
      </c>
      <c r="I47" s="290">
        <f ca="1">SUMIFS(CostTrack[Value],CostTrack[Vendor - Contract],VendorList[[#This Row],[Vendor / Org. with Contract ID]],CostTrack[PA ID],VendorList[[#This Row],[PA ID]],CostTrack[Holdback (Y/N/R)],"&lt;&gt;Release",CostTrack[Status],"Approved")</f>
        <v>7434.6000000000013</v>
      </c>
      <c r="J47" s="106">
        <f ca="1">IF(VendorList[[#This Row],[Current Commitment]]=0,"-",VendorList[[#This Row],[Expenditures to Date]]/VendorList[[#This Row],[Current Commitment]])</f>
        <v>1.0000000000000002</v>
      </c>
      <c r="K47" s="292">
        <f ca="1">SUMIF(CostTrack[Vendor - Contract],VendorList[[#This Row],[Vendor / Org. with Contract ID]],CostTrack[Holdback Value])*-1</f>
        <v>0</v>
      </c>
      <c r="L47" s="292">
        <f ca="1">VendorList[[#This Row],[Current Commitment]]-VendorList[[#This Row],[Expenditures to Date]]</f>
        <v>0</v>
      </c>
      <c r="M47" s="84">
        <v>44491</v>
      </c>
      <c r="N47" s="84">
        <v>45534</v>
      </c>
      <c r="O47" s="85" t="s">
        <v>401</v>
      </c>
      <c r="P47" s="177" t="str">
        <f ca="1">IFERROR(INDEX(BudgetTrack[Primary Category],MATCH(VendorList[[#This Row],[PA ID]],BudgetTrack[PA ID],0)),"")</f>
        <v>Professional Services</v>
      </c>
      <c r="Q47" s="177" t="str">
        <f ca="1">IFERROR(INDEX(BudgetTrack[Secondary Category],MATCH(VendorList[[#This Row],[PA ID]],BudgetTrack[PA ID],0)),"")</f>
        <v>Other Professional Services</v>
      </c>
      <c r="R47" s="176" t="str">
        <f ca="1">IFERROR(INDEX(BudgetTrack[Phase / Subproject],MATCH(VendorList[[#This Row],[PA ID]],BudgetTrack[PA ID],0)),"")</f>
        <v>--</v>
      </c>
      <c r="S47" s="176" t="str">
        <f ca="1">IFERROR(INDEX(BudgetTrack[Phase / Subproject 2],MATCH(VendorList[[#This Row],[PA ID]],BudgetTrack[PA ID],0)),"")</f>
        <v>--</v>
      </c>
      <c r="T47" s="576" t="str">
        <f ca="1">IFERROR(INDEX(BudgetTrack[Funding Source],MATCH(VendorList[[#This Row],[PA ID]],BudgetTrack[PA ID],0)),"")</f>
        <v>P-002360</v>
      </c>
      <c r="U47" s="80" t="str">
        <f t="shared" ca="1" si="0"/>
        <v/>
      </c>
      <c r="V47" s="434" t="str">
        <f ca="1">IFERROR(INDEX($U$6:$U$109,_xlfn.AGGREGATE(15,6,(ROW($U$6:$U$109)-ROW($U$6)+1)/($U$6:$U$109&lt;&gt;""),ROWS(V$6:V47))),"")</f>
        <v/>
      </c>
      <c r="W47" s="1285">
        <f ca="1">IF(OR(VendorList[[#This Row],[Vendor / Org. with Contract ID]]="",VendorList[[#This Row],[Vendor / Org. with Contract ID]]="Future / Not Awarded"),"",IFERROR(INDEX(EAC[Estimate At Completion],MATCH(VendorList[[#This Row],[Vendor / Org. with Contract ID]],EAC[Vendor / Org. with Contract ID],0),1),"Does Not Exist"))</f>
        <v>7434.6</v>
      </c>
      <c r="Y47" s="922"/>
    </row>
    <row r="48" spans="2:25">
      <c r="B48" s="433" t="s">
        <v>451</v>
      </c>
      <c r="C48" s="111">
        <v>9000027253</v>
      </c>
      <c r="D48" s="77" t="str">
        <f ca="1">IF(VendorList[[#This Row],[Vendor / Org.]]="","",CONCATENATE(VendorList[[#This Row],[Vendor / Org.]],"-",VendorList[[#This Row],[Contract ID]]))</f>
        <v>Compugen- Network Switches Mock up-9000027253</v>
      </c>
      <c r="E48" s="83" t="s">
        <v>80</v>
      </c>
      <c r="F48" s="288">
        <v>24277.119999999999</v>
      </c>
      <c r="G48" s="286">
        <f ca="1">SUMIFS(ChangeTrack[Change Value],ChangeTrack[Vendor / Org.],VendorList[[#This Row],[Vendor / Org. with Contract ID]],ChangeTrack[Change Status],"Approved")</f>
        <v>0</v>
      </c>
      <c r="H48" s="286">
        <f ca="1">VendorList[[#This Row],[Original Contract Value]]+VendorList[[#This Row],[Amendment(s)]]</f>
        <v>24277.119999999999</v>
      </c>
      <c r="I48" s="290">
        <f ca="1">SUMIFS(CostTrack[Value],CostTrack[Vendor - Contract],VendorList[[#This Row],[Vendor / Org. with Contract ID]],CostTrack[PA ID],VendorList[[#This Row],[PA ID]],CostTrack[Holdback (Y/N/R)],"&lt;&gt;Release",CostTrack[Status],"Approved")</f>
        <v>24277.119999999999</v>
      </c>
      <c r="J48" s="106">
        <f ca="1">IF(VendorList[[#This Row],[Current Commitment]]=0,"-",VendorList[[#This Row],[Expenditures to Date]]/VendorList[[#This Row],[Current Commitment]])</f>
        <v>1</v>
      </c>
      <c r="K48" s="292">
        <f ca="1">SUMIF(CostTrack[Vendor - Contract],VendorList[[#This Row],[Vendor / Org. with Contract ID]],CostTrack[Holdback Value])*-1</f>
        <v>0</v>
      </c>
      <c r="L48" s="292">
        <f ca="1">VendorList[[#This Row],[Current Commitment]]-VendorList[[#This Row],[Expenditures to Date]]</f>
        <v>0</v>
      </c>
      <c r="M48" s="84">
        <v>44635</v>
      </c>
      <c r="N48" s="84">
        <v>45443</v>
      </c>
      <c r="O48" s="85" t="s">
        <v>452</v>
      </c>
      <c r="P48" s="177" t="str">
        <f ca="1">IFERROR(INDEX(BudgetTrack[Primary Category],MATCH(VendorList[[#This Row],[PA ID]],BudgetTrack[PA ID],0)),"")</f>
        <v>FE_IT</v>
      </c>
      <c r="Q48" s="177" t="str">
        <f ca="1">IFERROR(INDEX(BudgetTrack[Secondary Category],MATCH(VendorList[[#This Row],[PA ID]],BudgetTrack[PA ID],0)),"")</f>
        <v>Information Technology</v>
      </c>
      <c r="R48" s="176" t="str">
        <f ca="1">IFERROR(INDEX(BudgetTrack[Phase / Subproject],MATCH(VendorList[[#This Row],[PA ID]],BudgetTrack[PA ID],0)),"")</f>
        <v>--</v>
      </c>
      <c r="S48" s="176" t="str">
        <f ca="1">IFERROR(INDEX(BudgetTrack[Phase / Subproject 2],MATCH(VendorList[[#This Row],[PA ID]],BudgetTrack[PA ID],0)),"")</f>
        <v>--</v>
      </c>
      <c r="T48" s="576" t="str">
        <f ca="1">IFERROR(INDEX(BudgetTrack[Funding Source],MATCH(VendorList[[#This Row],[PA ID]],BudgetTrack[PA ID],0)),"")</f>
        <v>P-002360</v>
      </c>
      <c r="U48" s="80" t="str">
        <f t="shared" ca="1" si="0"/>
        <v/>
      </c>
      <c r="V48" s="434" t="str">
        <f ca="1">IFERROR(INDEX($U$6:$U$109,_xlfn.AGGREGATE(15,6,(ROW($U$6:$U$109)-ROW($U$6)+1)/($U$6:$U$109&lt;&gt;""),ROWS(V$6:V48))),"")</f>
        <v/>
      </c>
      <c r="W48" s="1285">
        <f ca="1">IF(OR(VendorList[[#This Row],[Vendor / Org. with Contract ID]]="",VendorList[[#This Row],[Vendor / Org. with Contract ID]]="Future / Not Awarded"),"",IFERROR(INDEX(EAC[Estimate At Completion],MATCH(VendorList[[#This Row],[Vendor / Org. with Contract ID]],EAC[Vendor / Org. with Contract ID],0),1),"Does Not Exist"))</f>
        <v>24277.119999999999</v>
      </c>
      <c r="Y48" s="922"/>
    </row>
    <row r="49" spans="2:25">
      <c r="B49" s="433" t="s">
        <v>453</v>
      </c>
      <c r="C49" s="111">
        <v>9000029997</v>
      </c>
      <c r="D49" s="77" t="str">
        <f ca="1">IF(VendorList[[#This Row],[Vendor / Org.]]="","",CONCATENATE(VendorList[[#This Row],[Vendor / Org.]],"-",VendorList[[#This Row],[Contract ID]]))</f>
        <v>Gap Wireless- Das Owner Supplied Standing Offer-9000029997</v>
      </c>
      <c r="E49" s="83" t="s">
        <v>80</v>
      </c>
      <c r="F49" s="288">
        <v>48800.28</v>
      </c>
      <c r="G49" s="286">
        <f ca="1">SUMIFS(ChangeTrack[Change Value],ChangeTrack[Vendor / Org.],VendorList[[#This Row],[Vendor / Org. with Contract ID]],ChangeTrack[Change Status],"Approved")</f>
        <v>0</v>
      </c>
      <c r="H49" s="286">
        <f ca="1">VendorList[[#This Row],[Original Contract Value]]+VendorList[[#This Row],[Amendment(s)]]</f>
        <v>48800.28</v>
      </c>
      <c r="I49" s="290">
        <f ca="1">SUMIFS(CostTrack[Value],CostTrack[Vendor - Contract],VendorList[[#This Row],[Vendor / Org. with Contract ID]],CostTrack[PA ID],VendorList[[#This Row],[PA ID]],CostTrack[Holdback (Y/N/R)],"&lt;&gt;Release",CostTrack[Status],"Approved")</f>
        <v>48800.28</v>
      </c>
      <c r="J49" s="106">
        <f ca="1">IF(VendorList[[#This Row],[Current Commitment]]=0,"-",VendorList[[#This Row],[Expenditures to Date]]/VendorList[[#This Row],[Current Commitment]])</f>
        <v>1</v>
      </c>
      <c r="K49" s="292">
        <f ca="1">SUMIF(CostTrack[Vendor - Contract],VendorList[[#This Row],[Vendor / Org. with Contract ID]],CostTrack[Holdback Value])*-1</f>
        <v>0</v>
      </c>
      <c r="L49" s="292">
        <f ca="1">VendorList[[#This Row],[Current Commitment]]-VendorList[[#This Row],[Expenditures to Date]]</f>
        <v>0</v>
      </c>
      <c r="M49" s="84"/>
      <c r="N49" s="84"/>
      <c r="O49" s="85" t="s">
        <v>248</v>
      </c>
      <c r="P49" s="177" t="str">
        <f ca="1">IFERROR(INDEX(BudgetTrack[Primary Category],MATCH(VendorList[[#This Row],[PA ID]],BudgetTrack[PA ID],0)),"")</f>
        <v>Construction</v>
      </c>
      <c r="Q49" s="177" t="str">
        <f ca="1">IFERROR(INDEX(BudgetTrack[Secondary Category],MATCH(VendorList[[#This Row],[PA ID]],BudgetTrack[PA ID],0)),"")</f>
        <v>Other Contractor</v>
      </c>
      <c r="R49" s="176" t="str">
        <f ca="1">IFERROR(INDEX(BudgetTrack[Phase / Subproject],MATCH(VendorList[[#This Row],[PA ID]],BudgetTrack[PA ID],0)),"")</f>
        <v>--</v>
      </c>
      <c r="S49" s="176" t="str">
        <f ca="1">IFERROR(INDEX(BudgetTrack[Phase / Subproject 2],MATCH(VendorList[[#This Row],[PA ID]],BudgetTrack[PA ID],0)),"")</f>
        <v>--</v>
      </c>
      <c r="T49" s="576" t="str">
        <f ca="1">IFERROR(INDEX(BudgetTrack[Funding Source],MATCH(VendorList[[#This Row],[PA ID]],BudgetTrack[PA ID],0)),"")</f>
        <v>P-002360</v>
      </c>
      <c r="U49" s="80" t="str">
        <f t="shared" ca="1" si="0"/>
        <v/>
      </c>
      <c r="V49" s="434" t="str">
        <f ca="1">IFERROR(INDEX($U$6:$U$109,_xlfn.AGGREGATE(15,6,(ROW($U$6:$U$109)-ROW($U$6)+1)/($U$6:$U$109&lt;&gt;""),ROWS(V$6:V49))),"")</f>
        <v/>
      </c>
      <c r="W49" s="1285">
        <f ca="1">IF(OR(VendorList[[#This Row],[Vendor / Org. with Contract ID]]="",VendorList[[#This Row],[Vendor / Org. with Contract ID]]="Future / Not Awarded"),"",IFERROR(INDEX(EAC[Estimate At Completion],MATCH(VendorList[[#This Row],[Vendor / Org. with Contract ID]],EAC[Vendor / Org. with Contract ID],0),1),"Does Not Exist"))</f>
        <v>48800.28</v>
      </c>
      <c r="Y49" s="922"/>
    </row>
    <row r="50" spans="2:25">
      <c r="B50" s="433" t="s">
        <v>454</v>
      </c>
      <c r="C50" s="111">
        <v>9000032727</v>
      </c>
      <c r="D50" s="77" t="str">
        <f ca="1">IF(VendorList[[#This Row],[Vendor / Org.]]="","",CONCATENATE(VendorList[[#This Row],[Vendor / Org.]],"-",VendorList[[#This Row],[Contract ID]]))</f>
        <v>Gap Wireless- Das Owner Supplied-9000032727</v>
      </c>
      <c r="E50" s="83" t="s">
        <v>80</v>
      </c>
      <c r="F50" s="288">
        <v>35</v>
      </c>
      <c r="G50" s="286">
        <f ca="1">SUMIFS(ChangeTrack[Change Value],ChangeTrack[Vendor / Org.],VendorList[[#This Row],[Vendor / Org. with Contract ID]],ChangeTrack[Change Status],"Approved")</f>
        <v>0</v>
      </c>
      <c r="H50" s="286">
        <f ca="1">VendorList[[#This Row],[Original Contract Value]]+VendorList[[#This Row],[Amendment(s)]]</f>
        <v>35</v>
      </c>
      <c r="I50" s="290">
        <f ca="1">SUMIFS(CostTrack[Value],CostTrack[Vendor - Contract],VendorList[[#This Row],[Vendor / Org. with Contract ID]],CostTrack[PA ID],VendorList[[#This Row],[PA ID]],CostTrack[Holdback (Y/N/R)],"&lt;&gt;Release",CostTrack[Status],"Approved")</f>
        <v>35</v>
      </c>
      <c r="J50" s="106">
        <f ca="1">IF(VendorList[[#This Row],[Current Commitment]]=0,"-",VendorList[[#This Row],[Expenditures to Date]]/VendorList[[#This Row],[Current Commitment]])</f>
        <v>1</v>
      </c>
      <c r="K50" s="292">
        <f ca="1">SUMIF(CostTrack[Vendor - Contract],VendorList[[#This Row],[Vendor / Org. with Contract ID]],CostTrack[Holdback Value])*-1</f>
        <v>0</v>
      </c>
      <c r="L50" s="292">
        <f ca="1">VendorList[[#This Row],[Current Commitment]]-VendorList[[#This Row],[Expenditures to Date]]</f>
        <v>0</v>
      </c>
      <c r="M50" s="84"/>
      <c r="N50" s="84"/>
      <c r="O50" s="85" t="s">
        <v>248</v>
      </c>
      <c r="P50" s="177" t="str">
        <f ca="1">IFERROR(INDEX(BudgetTrack[Primary Category],MATCH(VendorList[[#This Row],[PA ID]],BudgetTrack[PA ID],0)),"")</f>
        <v>Construction</v>
      </c>
      <c r="Q50" s="177" t="str">
        <f ca="1">IFERROR(INDEX(BudgetTrack[Secondary Category],MATCH(VendorList[[#This Row],[PA ID]],BudgetTrack[PA ID],0)),"")</f>
        <v>Other Contractor</v>
      </c>
      <c r="R50" s="176" t="str">
        <f ca="1">IFERROR(INDEX(BudgetTrack[Phase / Subproject],MATCH(VendorList[[#This Row],[PA ID]],BudgetTrack[PA ID],0)),"")</f>
        <v>--</v>
      </c>
      <c r="S50" s="176" t="str">
        <f ca="1">IFERROR(INDEX(BudgetTrack[Phase / Subproject 2],MATCH(VendorList[[#This Row],[PA ID]],BudgetTrack[PA ID],0)),"")</f>
        <v>--</v>
      </c>
      <c r="T50" s="576" t="str">
        <f ca="1">IFERROR(INDEX(BudgetTrack[Funding Source],MATCH(VendorList[[#This Row],[PA ID]],BudgetTrack[PA ID],0)),"")</f>
        <v>P-002360</v>
      </c>
      <c r="U50" s="80" t="str">
        <f t="shared" ca="1" si="0"/>
        <v/>
      </c>
      <c r="V50" s="434" t="str">
        <f ca="1">IFERROR(INDEX($U$6:$U$109,_xlfn.AGGREGATE(15,6,(ROW($U$6:$U$109)-ROW($U$6)+1)/($U$6:$U$109&lt;&gt;""),ROWS(V$6:V50))),"")</f>
        <v/>
      </c>
      <c r="W50" s="1285">
        <f ca="1">IF(OR(VendorList[[#This Row],[Vendor / Org. with Contract ID]]="",VendorList[[#This Row],[Vendor / Org. with Contract ID]]="Future / Not Awarded"),"",IFERROR(INDEX(EAC[Estimate At Completion],MATCH(VendorList[[#This Row],[Vendor / Org. with Contract ID]],EAC[Vendor / Org. with Contract ID],0),1),"Does Not Exist"))</f>
        <v>35</v>
      </c>
      <c r="Y50" s="922"/>
    </row>
    <row r="51" spans="2:25">
      <c r="B51" s="433" t="s">
        <v>455</v>
      </c>
      <c r="C51" s="111">
        <v>39678</v>
      </c>
      <c r="D51" s="77" t="str">
        <f ca="1">IF(VendorList[[#This Row],[Vendor / Org.]]="","",CONCATENATE(VendorList[[#This Row],[Vendor / Org.]],"-",VendorList[[#This Row],[Contract ID]]))</f>
        <v>Compugen -'Wireless prediction study-39678</v>
      </c>
      <c r="E51" s="83" t="s">
        <v>80</v>
      </c>
      <c r="F51" s="288">
        <v>16506</v>
      </c>
      <c r="G51" s="286">
        <f ca="1">SUMIFS(ChangeTrack[Change Value],ChangeTrack[Vendor / Org.],VendorList[[#This Row],[Vendor / Org. with Contract ID]],ChangeTrack[Change Status],"Approved")</f>
        <v>0</v>
      </c>
      <c r="H51" s="286">
        <f ca="1">VendorList[[#This Row],[Original Contract Value]]+VendorList[[#This Row],[Amendment(s)]]</f>
        <v>16506</v>
      </c>
      <c r="I51" s="290">
        <f ca="1">SUMIFS(CostTrack[Value],CostTrack[Vendor - Contract],VendorList[[#This Row],[Vendor / Org. with Contract ID]],CostTrack[PA ID],VendorList[[#This Row],[PA ID]],CostTrack[Holdback (Y/N/R)],"&lt;&gt;Release",CostTrack[Status],"Approved")</f>
        <v>16506</v>
      </c>
      <c r="J51" s="106">
        <f ca="1">IF(VendorList[[#This Row],[Current Commitment]]=0,"-",VendorList[[#This Row],[Expenditures to Date]]/VendorList[[#This Row],[Current Commitment]])</f>
        <v>1</v>
      </c>
      <c r="K51" s="292">
        <f ca="1">SUMIF(CostTrack[Vendor - Contract],VendorList[[#This Row],[Vendor / Org. with Contract ID]],CostTrack[Holdback Value])*-1</f>
        <v>0</v>
      </c>
      <c r="L51" s="292">
        <f ca="1">VendorList[[#This Row],[Current Commitment]]-VendorList[[#This Row],[Expenditures to Date]]</f>
        <v>0</v>
      </c>
      <c r="M51" s="84">
        <v>44729</v>
      </c>
      <c r="N51" s="84">
        <v>45535</v>
      </c>
      <c r="O51" s="85" t="s">
        <v>401</v>
      </c>
      <c r="P51" s="177" t="str">
        <f ca="1">IFERROR(INDEX(BudgetTrack[Primary Category],MATCH(VendorList[[#This Row],[PA ID]],BudgetTrack[PA ID],0)),"")</f>
        <v>Professional Services</v>
      </c>
      <c r="Q51" s="177" t="str">
        <f ca="1">IFERROR(INDEX(BudgetTrack[Secondary Category],MATCH(VendorList[[#This Row],[PA ID]],BudgetTrack[PA ID],0)),"")</f>
        <v>Other Professional Services</v>
      </c>
      <c r="R51" s="176" t="str">
        <f ca="1">IFERROR(INDEX(BudgetTrack[Phase / Subproject],MATCH(VendorList[[#This Row],[PA ID]],BudgetTrack[PA ID],0)),"")</f>
        <v>--</v>
      </c>
      <c r="S51" s="176" t="str">
        <f ca="1">IFERROR(INDEX(BudgetTrack[Phase / Subproject 2],MATCH(VendorList[[#This Row],[PA ID]],BudgetTrack[PA ID],0)),"")</f>
        <v>--</v>
      </c>
      <c r="T51" s="576" t="str">
        <f ca="1">IFERROR(INDEX(BudgetTrack[Funding Source],MATCH(VendorList[[#This Row],[PA ID]],BudgetTrack[PA ID],0)),"")</f>
        <v>P-002360</v>
      </c>
      <c r="U51" s="80" t="str">
        <f t="shared" ca="1" si="0"/>
        <v/>
      </c>
      <c r="V51" s="434" t="str">
        <f ca="1">IFERROR(INDEX($U$6:$U$109,_xlfn.AGGREGATE(15,6,(ROW($U$6:$U$109)-ROW($U$6)+1)/($U$6:$U$109&lt;&gt;""),ROWS(V$6:V51))),"")</f>
        <v/>
      </c>
      <c r="W51" s="1285">
        <f ca="1">IF(OR(VendorList[[#This Row],[Vendor / Org. with Contract ID]]="",VendorList[[#This Row],[Vendor / Org. with Contract ID]]="Future / Not Awarded"),"",IFERROR(INDEX(EAC[Estimate At Completion],MATCH(VendorList[[#This Row],[Vendor / Org. with Contract ID]],EAC[Vendor / Org. with Contract ID],0),1),"Does Not Exist"))</f>
        <v>16506</v>
      </c>
      <c r="Y51" s="922"/>
    </row>
    <row r="52" spans="2:25">
      <c r="B52" s="433" t="s">
        <v>456</v>
      </c>
      <c r="C52" s="111">
        <v>9000032640</v>
      </c>
      <c r="D52" s="77" t="str">
        <f ca="1">IF(VendorList[[#This Row],[Vendor / Org.]]="","",CONCATENATE(VendorList[[#This Row],[Vendor / Org.]],"-",VendorList[[#This Row],[Contract ID]]))</f>
        <v>Compugen- Network Switches-9000032640</v>
      </c>
      <c r="E52" s="83" t="s">
        <v>80</v>
      </c>
      <c r="F52" s="288">
        <v>2374968.7200000002</v>
      </c>
      <c r="G52" s="286">
        <f ca="1">SUMIFS(ChangeTrack[Change Value],ChangeTrack[Vendor / Org.],VendorList[[#This Row],[Vendor / Org. with Contract ID]],ChangeTrack[Change Status],"Approved")</f>
        <v>0</v>
      </c>
      <c r="H52" s="286">
        <f ca="1">VendorList[[#This Row],[Original Contract Value]]+VendorList[[#This Row],[Amendment(s)]]</f>
        <v>2374968.7200000002</v>
      </c>
      <c r="I52" s="290">
        <f ca="1">SUMIFS(CostTrack[Value],CostTrack[Vendor - Contract],VendorList[[#This Row],[Vendor / Org. with Contract ID]],CostTrack[PA ID],VendorList[[#This Row],[PA ID]],CostTrack[Holdback (Y/N/R)],"&lt;&gt;Release",CostTrack[Status],"Approved")</f>
        <v>2374968.7200000002</v>
      </c>
      <c r="J52" s="106">
        <f ca="1">IF(VendorList[[#This Row],[Current Commitment]]=0,"-",VendorList[[#This Row],[Expenditures to Date]]/VendorList[[#This Row],[Current Commitment]])</f>
        <v>1</v>
      </c>
      <c r="K52" s="292">
        <f ca="1">SUMIF(CostTrack[Vendor - Contract],VendorList[[#This Row],[Vendor / Org. with Contract ID]],CostTrack[Holdback Value])*-1</f>
        <v>0</v>
      </c>
      <c r="L52" s="292">
        <f ca="1">VendorList[[#This Row],[Current Commitment]]-VendorList[[#This Row],[Expenditures to Date]]</f>
        <v>0</v>
      </c>
      <c r="M52" s="84"/>
      <c r="N52" s="84"/>
      <c r="O52" s="85" t="s">
        <v>452</v>
      </c>
      <c r="P52" s="177" t="str">
        <f ca="1">IFERROR(INDEX(BudgetTrack[Primary Category],MATCH(VendorList[[#This Row],[PA ID]],BudgetTrack[PA ID],0)),"")</f>
        <v>FE_IT</v>
      </c>
      <c r="Q52" s="177" t="str">
        <f ca="1">IFERROR(INDEX(BudgetTrack[Secondary Category],MATCH(VendorList[[#This Row],[PA ID]],BudgetTrack[PA ID],0)),"")</f>
        <v>Information Technology</v>
      </c>
      <c r="R52" s="176" t="str">
        <f ca="1">IFERROR(INDEX(BudgetTrack[Phase / Subproject],MATCH(VendorList[[#This Row],[PA ID]],BudgetTrack[PA ID],0)),"")</f>
        <v>--</v>
      </c>
      <c r="S52" s="176" t="str">
        <f ca="1">IFERROR(INDEX(BudgetTrack[Phase / Subproject 2],MATCH(VendorList[[#This Row],[PA ID]],BudgetTrack[PA ID],0)),"")</f>
        <v>--</v>
      </c>
      <c r="T52" s="576" t="str">
        <f ca="1">IFERROR(INDEX(BudgetTrack[Funding Source],MATCH(VendorList[[#This Row],[PA ID]],BudgetTrack[PA ID],0)),"")</f>
        <v>P-002360</v>
      </c>
      <c r="U52" s="80" t="str">
        <f t="shared" ca="1" si="0"/>
        <v/>
      </c>
      <c r="V52" s="434" t="str">
        <f ca="1">IFERROR(INDEX($U$6:$U$109,_xlfn.AGGREGATE(15,6,(ROW($U$6:$U$109)-ROW($U$6)+1)/($U$6:$U$109&lt;&gt;""),ROWS(V$6:V52))),"")</f>
        <v/>
      </c>
      <c r="W52" s="1285">
        <f ca="1">IF(OR(VendorList[[#This Row],[Vendor / Org. with Contract ID]]="",VendorList[[#This Row],[Vendor / Org. with Contract ID]]="Future / Not Awarded"),"",IFERROR(INDEX(EAC[Estimate At Completion],MATCH(VendorList[[#This Row],[Vendor / Org. with Contract ID]],EAC[Vendor / Org. with Contract ID],0),1),"Does Not Exist"))</f>
        <v>2374968.7200000002</v>
      </c>
      <c r="Y52" s="922"/>
    </row>
    <row r="53" spans="2:25">
      <c r="B53" s="433" t="s">
        <v>457</v>
      </c>
      <c r="C53" s="111">
        <v>39689</v>
      </c>
      <c r="D53" s="77" t="str">
        <f ca="1">IF(VendorList[[#This Row],[Vendor / Org.]]="","",CONCATENATE(VendorList[[#This Row],[Vendor / Org.]],"-",VendorList[[#This Row],[Contract ID]]))</f>
        <v>AutoBody Services RED DEER Ltd.-Offsite Storage-39689</v>
      </c>
      <c r="E53" s="83" t="s">
        <v>80</v>
      </c>
      <c r="F53" s="288">
        <f ca="1">13333.91*18</f>
        <v>240010.38</v>
      </c>
      <c r="G53" s="286">
        <f ca="1">SUMIFS(ChangeTrack[Change Value],ChangeTrack[Vendor / Org.],VendorList[[#This Row],[Vendor / Org. with Contract ID]],ChangeTrack[Change Status],"Approved")</f>
        <v>0</v>
      </c>
      <c r="H53" s="286">
        <f ca="1">VendorList[[#This Row],[Original Contract Value]]+VendorList[[#This Row],[Amendment(s)]]</f>
        <v>240010.38</v>
      </c>
      <c r="I53" s="290">
        <f ca="1">SUMIFS(CostTrack[Value],CostTrack[Vendor - Contract],VendorList[[#This Row],[Vendor / Org. with Contract ID]],CostTrack[PA ID],VendorList[[#This Row],[PA ID]],CostTrack[Holdback (Y/N/R)],"&lt;&gt;Release",CostTrack[Status],"Approved")</f>
        <v>240010.38000000003</v>
      </c>
      <c r="J53" s="106">
        <f ca="1">IF(VendorList[[#This Row],[Current Commitment]]=0,"-",VendorList[[#This Row],[Expenditures to Date]]/VendorList[[#This Row],[Current Commitment]])</f>
        <v>1.0000000000000002</v>
      </c>
      <c r="K53" s="292">
        <f ca="1">SUMIF(CostTrack[Vendor - Contract],VendorList[[#This Row],[Vendor / Org. with Contract ID]],CostTrack[Holdback Value])*-1</f>
        <v>0</v>
      </c>
      <c r="L53" s="292">
        <f ca="1">VendorList[[#This Row],[Current Commitment]]-VendorList[[#This Row],[Expenditures to Date]]</f>
        <v>0</v>
      </c>
      <c r="M53" s="84">
        <v>44743</v>
      </c>
      <c r="N53" s="84">
        <v>45291</v>
      </c>
      <c r="O53" s="85" t="s">
        <v>248</v>
      </c>
      <c r="P53" s="177" t="str">
        <f ca="1">IFERROR(INDEX(BudgetTrack[Primary Category],MATCH(VendorList[[#This Row],[PA ID]],BudgetTrack[PA ID],0)),"")</f>
        <v>Construction</v>
      </c>
      <c r="Q53" s="177" t="str">
        <f ca="1">IFERROR(INDEX(BudgetTrack[Secondary Category],MATCH(VendorList[[#This Row],[PA ID]],BudgetTrack[PA ID],0)),"")</f>
        <v>Other Contractor</v>
      </c>
      <c r="R53" s="176" t="str">
        <f ca="1">IFERROR(INDEX(BudgetTrack[Phase / Subproject],MATCH(VendorList[[#This Row],[PA ID]],BudgetTrack[PA ID],0)),"")</f>
        <v>--</v>
      </c>
      <c r="S53" s="176" t="str">
        <f ca="1">IFERROR(INDEX(BudgetTrack[Phase / Subproject 2],MATCH(VendorList[[#This Row],[PA ID]],BudgetTrack[PA ID],0)),"")</f>
        <v>--</v>
      </c>
      <c r="T53" s="576" t="str">
        <f ca="1">IFERROR(INDEX(BudgetTrack[Funding Source],MATCH(VendorList[[#This Row],[PA ID]],BudgetTrack[PA ID],0)),"")</f>
        <v>P-002360</v>
      </c>
      <c r="U53" s="80" t="str">
        <f t="shared" ca="1" si="0"/>
        <v/>
      </c>
      <c r="V53" s="434" t="str">
        <f ca="1">IFERROR(INDEX($U$6:$U$109,_xlfn.AGGREGATE(15,6,(ROW($U$6:$U$109)-ROW($U$6)+1)/($U$6:$U$109&lt;&gt;""),ROWS(V$6:V53))),"")</f>
        <v/>
      </c>
      <c r="W53" s="1285">
        <f ca="1">IF(OR(VendorList[[#This Row],[Vendor / Org. with Contract ID]]="",VendorList[[#This Row],[Vendor / Org. with Contract ID]]="Future / Not Awarded"),"",IFERROR(INDEX(EAC[Estimate At Completion],MATCH(VendorList[[#This Row],[Vendor / Org. with Contract ID]],EAC[Vendor / Org. with Contract ID],0),1),"Does Not Exist"))</f>
        <v>240010.38</v>
      </c>
      <c r="Y53" s="922"/>
    </row>
    <row r="54" spans="2:25">
      <c r="B54" s="433" t="s">
        <v>458</v>
      </c>
      <c r="C54" s="111" t="s">
        <v>409</v>
      </c>
      <c r="D54" s="77" t="str">
        <f ca="1">IF(VendorList[[#This Row],[Vendor / Org.]]="","",CONCATENATE(VendorList[[#This Row],[Vendor / Org.]],"-",VendorList[[#This Row],[Contract ID]]))</f>
        <v>Enmax- Offsite Storage -Direct Pay</v>
      </c>
      <c r="E54" s="83" t="s">
        <v>80</v>
      </c>
      <c r="F54" s="288">
        <f ca="1">10000+236.9</f>
        <v>10236.9</v>
      </c>
      <c r="G54" s="286">
        <f ca="1">SUMIFS(ChangeTrack[Change Value],ChangeTrack[Vendor / Org.],VendorList[[#This Row],[Vendor / Org. with Contract ID]],ChangeTrack[Change Status],"Approved")</f>
        <v>681.4</v>
      </c>
      <c r="H54" s="286">
        <f ca="1">VendorList[[#This Row],[Original Contract Value]]+VendorList[[#This Row],[Amendment(s)]]</f>
        <v>10918.3</v>
      </c>
      <c r="I54" s="290">
        <f ca="1">SUMIFS(CostTrack[Value],CostTrack[Vendor - Contract],VendorList[[#This Row],[Vendor / Org. with Contract ID]],CostTrack[PA ID],VendorList[[#This Row],[PA ID]],CostTrack[Holdback (Y/N/R)],"&lt;&gt;Release",CostTrack[Status],"Approved")</f>
        <v>10918.3</v>
      </c>
      <c r="J54" s="106">
        <f ca="1">IF(VendorList[[#This Row],[Current Commitment]]=0,"-",VendorList[[#This Row],[Expenditures to Date]]/VendorList[[#This Row],[Current Commitment]])</f>
        <v>1</v>
      </c>
      <c r="K54" s="292">
        <f ca="1">SUMIF(CostTrack[Vendor - Contract],VendorList[[#This Row],[Vendor / Org. with Contract ID]],CostTrack[Holdback Value])*-1</f>
        <v>0</v>
      </c>
      <c r="L54" s="292">
        <f ca="1">VendorList[[#This Row],[Current Commitment]]-VendorList[[#This Row],[Expenditures to Date]]</f>
        <v>0</v>
      </c>
      <c r="M54" s="84"/>
      <c r="N54" s="84">
        <v>45291</v>
      </c>
      <c r="O54" s="85" t="s">
        <v>248</v>
      </c>
      <c r="P54" s="177" t="str">
        <f ca="1">IFERROR(INDEX(BudgetTrack[Primary Category],MATCH(VendorList[[#This Row],[PA ID]],BudgetTrack[PA ID],0)),"")</f>
        <v>Construction</v>
      </c>
      <c r="Q54" s="177" t="str">
        <f ca="1">IFERROR(INDEX(BudgetTrack[Secondary Category],MATCH(VendorList[[#This Row],[PA ID]],BudgetTrack[PA ID],0)),"")</f>
        <v>Other Contractor</v>
      </c>
      <c r="R54" s="176" t="str">
        <f ca="1">IFERROR(INDEX(BudgetTrack[Phase / Subproject],MATCH(VendorList[[#This Row],[PA ID]],BudgetTrack[PA ID],0)),"")</f>
        <v>--</v>
      </c>
      <c r="S54" s="176" t="str">
        <f ca="1">IFERROR(INDEX(BudgetTrack[Phase / Subproject 2],MATCH(VendorList[[#This Row],[PA ID]],BudgetTrack[PA ID],0)),"")</f>
        <v>--</v>
      </c>
      <c r="T54" s="576" t="str">
        <f ca="1">IFERROR(INDEX(BudgetTrack[Funding Source],MATCH(VendorList[[#This Row],[PA ID]],BudgetTrack[PA ID],0)),"")</f>
        <v>P-002360</v>
      </c>
      <c r="U54" s="80" t="str">
        <f t="shared" ca="1" si="0"/>
        <v/>
      </c>
      <c r="V54" s="434" t="str">
        <f ca="1">IFERROR(INDEX($U$6:$U$109,_xlfn.AGGREGATE(15,6,(ROW($U$6:$U$109)-ROW($U$6)+1)/($U$6:$U$109&lt;&gt;""),ROWS(V$6:V54))),"")</f>
        <v/>
      </c>
      <c r="W54" s="1285">
        <f ca="1">IF(OR(VendorList[[#This Row],[Vendor / Org. with Contract ID]]="",VendorList[[#This Row],[Vendor / Org. with Contract ID]]="Future / Not Awarded"),"",IFERROR(INDEX(EAC[Estimate At Completion],MATCH(VendorList[[#This Row],[Vendor / Org. with Contract ID]],EAC[Vendor / Org. with Contract ID],0),1),"Does Not Exist"))</f>
        <v>10918.3</v>
      </c>
      <c r="Y54" s="922"/>
    </row>
    <row r="55" spans="2:25">
      <c r="B55" s="433" t="s">
        <v>459</v>
      </c>
      <c r="C55" s="111" t="s">
        <v>409</v>
      </c>
      <c r="D55" s="77" t="str">
        <f ca="1">IF(VendorList[[#This Row],[Vendor / Org.]]="","",CONCATENATE(VendorList[[#This Row],[Vendor / Org.]],"-",VendorList[[#This Row],[Contract ID]]))</f>
        <v>Equs- Offsite Storage-Direct Pay</v>
      </c>
      <c r="E55" s="85" t="s">
        <v>80</v>
      </c>
      <c r="F55" s="288">
        <v>6300</v>
      </c>
      <c r="G55" s="286">
        <f ca="1">SUMIFS(ChangeTrack[Change Value],ChangeTrack[Vendor / Org.],VendorList[[#This Row],[Vendor / Org. with Contract ID]],ChangeTrack[Change Status],"Approved")</f>
        <v>-2087.2600000000002</v>
      </c>
      <c r="H55" s="286">
        <f ca="1">VendorList[[#This Row],[Original Contract Value]]+VendorList[[#This Row],[Amendment(s)]]</f>
        <v>4212.74</v>
      </c>
      <c r="I55" s="290">
        <f ca="1">SUMIFS(CostTrack[Value],CostTrack[Vendor - Contract],VendorList[[#This Row],[Vendor / Org. with Contract ID]],CostTrack[PA ID],VendorList[[#This Row],[PA ID]],CostTrack[Holdback (Y/N/R)],"&lt;&gt;Release",CostTrack[Status],"Approved")</f>
        <v>4212.74</v>
      </c>
      <c r="J55" s="106">
        <f ca="1">IF(VendorList[[#This Row],[Current Commitment]]=0,"-",VendorList[[#This Row],[Expenditures to Date]]/VendorList[[#This Row],[Current Commitment]])</f>
        <v>1</v>
      </c>
      <c r="K55" s="292">
        <f ca="1">SUMIF(CostTrack[Vendor - Contract],VendorList[[#This Row],[Vendor / Org. with Contract ID]],CostTrack[Holdback Value])*-1</f>
        <v>0</v>
      </c>
      <c r="L55" s="292">
        <f ca="1">VendorList[[#This Row],[Current Commitment]]-VendorList[[#This Row],[Expenditures to Date]]</f>
        <v>0</v>
      </c>
      <c r="M55" s="84"/>
      <c r="N55" s="84">
        <v>45291</v>
      </c>
      <c r="O55" s="85" t="s">
        <v>248</v>
      </c>
      <c r="P55" s="177" t="str">
        <f ca="1">IFERROR(INDEX(BudgetTrack[Primary Category],MATCH(VendorList[[#This Row],[PA ID]],BudgetTrack[PA ID],0)),"")</f>
        <v>Construction</v>
      </c>
      <c r="Q55" s="177" t="str">
        <f ca="1">IFERROR(INDEX(BudgetTrack[Secondary Category],MATCH(VendorList[[#This Row],[PA ID]],BudgetTrack[PA ID],0)),"")</f>
        <v>Other Contractor</v>
      </c>
      <c r="R55" s="176" t="str">
        <f ca="1">IFERROR(INDEX(BudgetTrack[Phase / Subproject],MATCH(VendorList[[#This Row],[PA ID]],BudgetTrack[PA ID],0)),"")</f>
        <v>--</v>
      </c>
      <c r="S55" s="176" t="str">
        <f ca="1">IFERROR(INDEX(BudgetTrack[Phase / Subproject 2],MATCH(VendorList[[#This Row],[PA ID]],BudgetTrack[PA ID],0)),"")</f>
        <v>--</v>
      </c>
      <c r="T55" s="576" t="str">
        <f ca="1">IFERROR(INDEX(BudgetTrack[Funding Source],MATCH(VendorList[[#This Row],[PA ID]],BudgetTrack[PA ID],0)),"")</f>
        <v>P-002360</v>
      </c>
      <c r="U55" s="80" t="str">
        <f t="shared" ca="1" si="0"/>
        <v/>
      </c>
      <c r="V55" s="434" t="str">
        <f ca="1">IFERROR(INDEX($U$6:$U$109,_xlfn.AGGREGATE(15,6,(ROW($U$6:$U$109)-ROW($U$6)+1)/($U$6:$U$109&lt;&gt;""),ROWS(V$6:V55))),"")</f>
        <v/>
      </c>
      <c r="W55" s="1285">
        <f ca="1">IF(OR(VendorList[[#This Row],[Vendor / Org. with Contract ID]]="",VendorList[[#This Row],[Vendor / Org. with Contract ID]]="Future / Not Awarded"),"",IFERROR(INDEX(EAC[Estimate At Completion],MATCH(VendorList[[#This Row],[Vendor / Org. with Contract ID]],EAC[Vendor / Org. with Contract ID],0),1),"Does Not Exist"))</f>
        <v>4212.74</v>
      </c>
      <c r="Y55" s="922"/>
    </row>
    <row r="56" spans="2:25">
      <c r="B56" s="738" t="s">
        <v>460</v>
      </c>
      <c r="C56" s="123" t="s">
        <v>409</v>
      </c>
      <c r="D56" s="77" t="str">
        <f ca="1">IF(VendorList[[#This Row],[Vendor / Org.]]="","",CONCATENATE(VendorList[[#This Row],[Vendor / Org.]],"-",VendorList[[#This Row],[Contract ID]]))</f>
        <v>Provincial Archives Vinyl Images-Direct Pay</v>
      </c>
      <c r="E56" s="739" t="s">
        <v>80</v>
      </c>
      <c r="F56" s="740">
        <v>400</v>
      </c>
      <c r="G56" s="286">
        <f ca="1">SUMIFS(ChangeTrack[Change Value],ChangeTrack[Vendor / Org.],VendorList[[#This Row],[Vendor / Org. with Contract ID]],ChangeTrack[Change Status],"Approved")</f>
        <v>0</v>
      </c>
      <c r="H56" s="286">
        <f ca="1">VendorList[[#This Row],[Original Contract Value]]+VendorList[[#This Row],[Amendment(s)]]</f>
        <v>400</v>
      </c>
      <c r="I56" s="290">
        <f ca="1">SUMIFS(CostTrack[Value],CostTrack[Vendor - Contract],VendorList[[#This Row],[Vendor / Org. with Contract ID]],CostTrack[PA ID],VendorList[[#This Row],[PA ID]],CostTrack[Holdback (Y/N/R)],"&lt;&gt;Release",CostTrack[Status],"Approved")</f>
        <v>400</v>
      </c>
      <c r="J56" s="741">
        <f ca="1">IF(VendorList[[#This Row],[Current Commitment]]=0,"-",VendorList[[#This Row],[Expenditures to Date]]/VendorList[[#This Row],[Current Commitment]])</f>
        <v>1</v>
      </c>
      <c r="K56" s="292">
        <f ca="1">SUMIF(CostTrack[Vendor - Contract],VendorList[[#This Row],[Vendor / Org. with Contract ID]],CostTrack[Holdback Value])*-1</f>
        <v>0</v>
      </c>
      <c r="L56" s="292">
        <f ca="1">VendorList[[#This Row],[Current Commitment]]-VendorList[[#This Row],[Expenditures to Date]]</f>
        <v>0</v>
      </c>
      <c r="M56" s="127"/>
      <c r="N56" s="127"/>
      <c r="O56" s="739" t="s">
        <v>401</v>
      </c>
      <c r="P56" s="742" t="str">
        <f ca="1">IFERROR(INDEX(BudgetTrack[Primary Category],MATCH(VendorList[[#This Row],[PA ID]],BudgetTrack[PA ID],0)),"")</f>
        <v>Professional Services</v>
      </c>
      <c r="Q56" s="742" t="str">
        <f ca="1">IFERROR(INDEX(BudgetTrack[Secondary Category],MATCH(VendorList[[#This Row],[PA ID]],BudgetTrack[PA ID],0)),"")</f>
        <v>Other Professional Services</v>
      </c>
      <c r="R56" s="743" t="str">
        <f ca="1">IFERROR(INDEX(BudgetTrack[Phase / Subproject],MATCH(VendorList[[#This Row],[PA ID]],BudgetTrack[PA ID],0)),"")</f>
        <v>--</v>
      </c>
      <c r="S56" s="744" t="str">
        <f ca="1">IFERROR(INDEX(BudgetTrack[Phase / Subproject 2],MATCH(VendorList[[#This Row],[PA ID]],BudgetTrack[PA ID],0)),"")</f>
        <v>--</v>
      </c>
      <c r="T56" s="743" t="str">
        <f ca="1">IFERROR(INDEX(BudgetTrack[Funding Source],MATCH(VendorList[[#This Row],[PA ID]],BudgetTrack[PA ID],0)),"")</f>
        <v>P-002360</v>
      </c>
      <c r="U56" s="745" t="str">
        <f t="shared" ref="U56:U59" ca="1" si="1">IF((OR(E56="Open",E56="--")),D56,"")</f>
        <v/>
      </c>
      <c r="V56" s="434" t="str">
        <f ca="1">IFERROR(INDEX($U$6:$U$109,_xlfn.AGGREGATE(15,6,(ROW($U$6:$U$109)-ROW($U$6)+1)/($U$6:$U$109&lt;&gt;""),ROWS(V$6:V56))),"")</f>
        <v/>
      </c>
      <c r="W56" s="1285">
        <f ca="1">IF(OR(VendorList[[#This Row],[Vendor / Org. with Contract ID]]="",VendorList[[#This Row],[Vendor / Org. with Contract ID]]="Future / Not Awarded"),"",IFERROR(INDEX(EAC[Estimate At Completion],MATCH(VendorList[[#This Row],[Vendor / Org. with Contract ID]],EAC[Vendor / Org. with Contract ID],0),1),"Does Not Exist"))</f>
        <v>400</v>
      </c>
      <c r="Y56" s="922"/>
    </row>
    <row r="57" spans="2:25">
      <c r="B57" s="738" t="s">
        <v>461</v>
      </c>
      <c r="C57" s="123" t="s">
        <v>409</v>
      </c>
      <c r="D57" s="77" t="str">
        <f ca="1">IF(VendorList[[#This Row],[Vendor / Org.]]="","",CONCATENATE(VendorList[[#This Row],[Vendor / Org.]],"-",VendorList[[#This Row],[Contract ID]]))</f>
        <v>Red deer lock &amp; safe-Direct Pay</v>
      </c>
      <c r="E57" s="739" t="s">
        <v>80</v>
      </c>
      <c r="F57" s="740">
        <f ca="1">314+235</f>
        <v>549</v>
      </c>
      <c r="G57" s="286">
        <f ca="1">SUMIFS(ChangeTrack[Change Value],ChangeTrack[Vendor / Org.],VendorList[[#This Row],[Vendor / Org. with Contract ID]],ChangeTrack[Change Status],"Approved")</f>
        <v>620</v>
      </c>
      <c r="H57" s="286">
        <f ca="1">VendorList[[#This Row],[Original Contract Value]]+VendorList[[#This Row],[Amendment(s)]]</f>
        <v>1169</v>
      </c>
      <c r="I57" s="290">
        <f ca="1">SUMIFS(CostTrack[Value],CostTrack[Vendor - Contract],VendorList[[#This Row],[Vendor / Org. with Contract ID]],CostTrack[PA ID],VendorList[[#This Row],[PA ID]],CostTrack[Holdback (Y/N/R)],"&lt;&gt;Release",CostTrack[Status],"Approved")</f>
        <v>1169</v>
      </c>
      <c r="J57" s="741">
        <f ca="1">IF(VendorList[[#This Row],[Current Commitment]]=0,"-",VendorList[[#This Row],[Expenditures to Date]]/VendorList[[#This Row],[Current Commitment]])</f>
        <v>1</v>
      </c>
      <c r="K57" s="292">
        <f ca="1">SUMIF(CostTrack[Vendor - Contract],VendorList[[#This Row],[Vendor / Org. with Contract ID]],CostTrack[Holdback Value])*-1</f>
        <v>0</v>
      </c>
      <c r="L57" s="292">
        <f ca="1">VendorList[[#This Row],[Current Commitment]]-VendorList[[#This Row],[Expenditures to Date]]</f>
        <v>0</v>
      </c>
      <c r="M57" s="127"/>
      <c r="N57" s="127"/>
      <c r="O57" s="739" t="s">
        <v>248</v>
      </c>
      <c r="P57" s="742" t="str">
        <f ca="1">IFERROR(INDEX(BudgetTrack[Primary Category],MATCH(VendorList[[#This Row],[PA ID]],BudgetTrack[PA ID],0)),"")</f>
        <v>Construction</v>
      </c>
      <c r="Q57" s="742" t="str">
        <f ca="1">IFERROR(INDEX(BudgetTrack[Secondary Category],MATCH(VendorList[[#This Row],[PA ID]],BudgetTrack[PA ID],0)),"")</f>
        <v>Other Contractor</v>
      </c>
      <c r="R57" s="743" t="str">
        <f ca="1">IFERROR(INDEX(BudgetTrack[Phase / Subproject],MATCH(VendorList[[#This Row],[PA ID]],BudgetTrack[PA ID],0)),"")</f>
        <v>--</v>
      </c>
      <c r="S57" s="744" t="str">
        <f ca="1">IFERROR(INDEX(BudgetTrack[Phase / Subproject 2],MATCH(VendorList[[#This Row],[PA ID]],BudgetTrack[PA ID],0)),"")</f>
        <v>--</v>
      </c>
      <c r="T57" s="743" t="str">
        <f ca="1">IFERROR(INDEX(BudgetTrack[Funding Source],MATCH(VendorList[[#This Row],[PA ID]],BudgetTrack[PA ID],0)),"")</f>
        <v>P-002360</v>
      </c>
      <c r="U57" s="745" t="str">
        <f t="shared" ca="1" si="1"/>
        <v/>
      </c>
      <c r="V57" s="434" t="str">
        <f ca="1">IFERROR(INDEX($U$6:$U$109,_xlfn.AGGREGATE(15,6,(ROW($U$6:$U$109)-ROW($U$6)+1)/($U$6:$U$109&lt;&gt;""),ROWS(V$6:V57))),"")</f>
        <v/>
      </c>
      <c r="W57" s="1285">
        <f ca="1">IF(OR(VendorList[[#This Row],[Vendor / Org. with Contract ID]]="",VendorList[[#This Row],[Vendor / Org. with Contract ID]]="Future / Not Awarded"),"",IFERROR(INDEX(EAC[Estimate At Completion],MATCH(VendorList[[#This Row],[Vendor / Org. with Contract ID]],EAC[Vendor / Org. with Contract ID],0),1),"Does Not Exist"))</f>
        <v>1169</v>
      </c>
      <c r="Y57" s="922"/>
    </row>
    <row r="58" spans="2:25">
      <c r="B58" s="738" t="s">
        <v>462</v>
      </c>
      <c r="C58" s="123" t="s">
        <v>409</v>
      </c>
      <c r="D58" s="77" t="str">
        <f ca="1">IF(VendorList[[#This Row],[Vendor / Org.]]="","",CONCATENATE(VendorList[[#This Row],[Vendor / Org.]],"-",VendorList[[#This Row],[Contract ID]]))</f>
        <v>TELUS-New Service-Direct Pay</v>
      </c>
      <c r="E58" s="739" t="s">
        <v>80</v>
      </c>
      <c r="F58" s="740">
        <v>26028.39</v>
      </c>
      <c r="G58" s="286">
        <f ca="1">SUMIFS(ChangeTrack[Change Value],ChangeTrack[Vendor / Org.],VendorList[[#This Row],[Vendor / Org. with Contract ID]],ChangeTrack[Change Status],"Approved")</f>
        <v>0</v>
      </c>
      <c r="H58" s="286">
        <f ca="1">VendorList[[#This Row],[Original Contract Value]]+VendorList[[#This Row],[Amendment(s)]]</f>
        <v>26028.39</v>
      </c>
      <c r="I58" s="290">
        <f ca="1">SUMIFS(CostTrack[Value],CostTrack[Vendor - Contract],VendorList[[#This Row],[Vendor / Org. with Contract ID]],CostTrack[PA ID],VendorList[[#This Row],[PA ID]],CostTrack[Holdback (Y/N/R)],"&lt;&gt;Release",CostTrack[Status],"Approved")</f>
        <v>26028.39</v>
      </c>
      <c r="J58" s="741">
        <f ca="1">IF(VendorList[[#This Row],[Current Commitment]]=0,"-",VendorList[[#This Row],[Expenditures to Date]]/VendorList[[#This Row],[Current Commitment]])</f>
        <v>1</v>
      </c>
      <c r="K58" s="292">
        <f ca="1">SUMIF(CostTrack[Vendor - Contract],VendorList[[#This Row],[Vendor / Org. with Contract ID]],CostTrack[Holdback Value])*-1</f>
        <v>0</v>
      </c>
      <c r="L58" s="292">
        <f ca="1">VendorList[[#This Row],[Current Commitment]]-VendorList[[#This Row],[Expenditures to Date]]</f>
        <v>0</v>
      </c>
      <c r="M58" s="127">
        <v>44792</v>
      </c>
      <c r="N58" s="127">
        <v>45443</v>
      </c>
      <c r="O58" s="739" t="s">
        <v>428</v>
      </c>
      <c r="P58" s="742" t="str">
        <f ca="1">IFERROR(INDEX(BudgetTrack[Primary Category],MATCH(VendorList[[#This Row],[PA ID]],BudgetTrack[PA ID],0)),"")</f>
        <v>Construction</v>
      </c>
      <c r="Q58" s="742" t="str">
        <f ca="1">IFERROR(INDEX(BudgetTrack[Secondary Category],MATCH(VendorList[[#This Row],[PA ID]],BudgetTrack[PA ID],0)),"")</f>
        <v>Utilities</v>
      </c>
      <c r="R58" s="743" t="str">
        <f ca="1">IFERROR(INDEX(BudgetTrack[Phase / Subproject],MATCH(VendorList[[#This Row],[PA ID]],BudgetTrack[PA ID],0)),"")</f>
        <v>--</v>
      </c>
      <c r="S58" s="744" t="str">
        <f ca="1">IFERROR(INDEX(BudgetTrack[Phase / Subproject 2],MATCH(VendorList[[#This Row],[PA ID]],BudgetTrack[PA ID],0)),"")</f>
        <v>--</v>
      </c>
      <c r="T58" s="743" t="str">
        <f ca="1">IFERROR(INDEX(BudgetTrack[Funding Source],MATCH(VendorList[[#This Row],[PA ID]],BudgetTrack[PA ID],0)),"")</f>
        <v>P-002360</v>
      </c>
      <c r="U58" s="745" t="str">
        <f t="shared" ca="1" si="1"/>
        <v/>
      </c>
      <c r="V58" s="434" t="str">
        <f ca="1">IFERROR(INDEX($U$6:$U$109,_xlfn.AGGREGATE(15,6,(ROW($U$6:$U$109)-ROW($U$6)+1)/($U$6:$U$109&lt;&gt;""),ROWS(V$6:V58))),"")</f>
        <v/>
      </c>
      <c r="W58" s="1285">
        <f ca="1">IF(OR(VendorList[[#This Row],[Vendor / Org. with Contract ID]]="",VendorList[[#This Row],[Vendor / Org. with Contract ID]]="Future / Not Awarded"),"",IFERROR(INDEX(EAC[Estimate At Completion],MATCH(VendorList[[#This Row],[Vendor / Org. with Contract ID]],EAC[Vendor / Org. with Contract ID],0),1),"Does Not Exist"))</f>
        <v>26028.39</v>
      </c>
      <c r="Y58" s="922"/>
    </row>
    <row r="59" spans="2:25">
      <c r="B59" s="738" t="s">
        <v>463</v>
      </c>
      <c r="C59" s="123" t="s">
        <v>409</v>
      </c>
      <c r="D59" s="77" t="str">
        <f ca="1">IF(VendorList[[#This Row],[Vendor / Org.]]="","",CONCATENATE(VendorList[[#This Row],[Vendor / Org.]],"-",VendorList[[#This Row],[Contract ID]]))</f>
        <v>Axia FibreNet Ltd-Supernet-Direct Pay</v>
      </c>
      <c r="E59" s="739" t="s">
        <v>80</v>
      </c>
      <c r="F59" s="740">
        <v>72300</v>
      </c>
      <c r="G59" s="286">
        <f ca="1">SUMIFS(ChangeTrack[Change Value],ChangeTrack[Vendor / Org.],VendorList[[#This Row],[Vendor / Org. with Contract ID]],ChangeTrack[Change Status],"Approved")</f>
        <v>0</v>
      </c>
      <c r="H59" s="286">
        <f ca="1">VendorList[[#This Row],[Original Contract Value]]+VendorList[[#This Row],[Amendment(s)]]</f>
        <v>72300</v>
      </c>
      <c r="I59" s="290">
        <f ca="1">SUMIFS(CostTrack[Value],CostTrack[Vendor - Contract],VendorList[[#This Row],[Vendor / Org. with Contract ID]],CostTrack[PA ID],VendorList[[#This Row],[PA ID]],CostTrack[Holdback (Y/N/R)],"&lt;&gt;Release",CostTrack[Status],"Approved")</f>
        <v>72300</v>
      </c>
      <c r="J59" s="741">
        <f ca="1">IF(VendorList[[#This Row],[Current Commitment]]=0,"-",VendorList[[#This Row],[Expenditures to Date]]/VendorList[[#This Row],[Current Commitment]])</f>
        <v>1</v>
      </c>
      <c r="K59" s="292">
        <f ca="1">SUMIF(CostTrack[Vendor - Contract],VendorList[[#This Row],[Vendor / Org. with Contract ID]],CostTrack[Holdback Value])*-1</f>
        <v>0</v>
      </c>
      <c r="L59" s="292">
        <f ca="1">VendorList[[#This Row],[Current Commitment]]-VendorList[[#This Row],[Expenditures to Date]]</f>
        <v>0</v>
      </c>
      <c r="M59" s="127">
        <v>44712</v>
      </c>
      <c r="N59" s="127">
        <v>45291</v>
      </c>
      <c r="O59" s="739" t="s">
        <v>428</v>
      </c>
      <c r="P59" s="742" t="str">
        <f ca="1">IFERROR(INDEX(BudgetTrack[Primary Category],MATCH(VendorList[[#This Row],[PA ID]],BudgetTrack[PA ID],0)),"")</f>
        <v>Construction</v>
      </c>
      <c r="Q59" s="742" t="str">
        <f ca="1">IFERROR(INDEX(BudgetTrack[Secondary Category],MATCH(VendorList[[#This Row],[PA ID]],BudgetTrack[PA ID],0)),"")</f>
        <v>Utilities</v>
      </c>
      <c r="R59" s="743" t="str">
        <f ca="1">IFERROR(INDEX(BudgetTrack[Phase / Subproject],MATCH(VendorList[[#This Row],[PA ID]],BudgetTrack[PA ID],0)),"")</f>
        <v>--</v>
      </c>
      <c r="S59" s="744" t="str">
        <f ca="1">IFERROR(INDEX(BudgetTrack[Phase / Subproject 2],MATCH(VendorList[[#This Row],[PA ID]],BudgetTrack[PA ID],0)),"")</f>
        <v>--</v>
      </c>
      <c r="T59" s="743" t="str">
        <f ca="1">IFERROR(INDEX(BudgetTrack[Funding Source],MATCH(VendorList[[#This Row],[PA ID]],BudgetTrack[PA ID],0)),"")</f>
        <v>P-002360</v>
      </c>
      <c r="U59" s="745" t="str">
        <f t="shared" ca="1" si="1"/>
        <v/>
      </c>
      <c r="V59" s="434" t="str">
        <f ca="1">IFERROR(INDEX($U$6:$U$109,_xlfn.AGGREGATE(15,6,(ROW($U$6:$U$109)-ROW($U$6)+1)/($U$6:$U$109&lt;&gt;""),ROWS(V$6:V59))),"")</f>
        <v/>
      </c>
      <c r="W59" s="1285">
        <f ca="1">IF(OR(VendorList[[#This Row],[Vendor / Org. with Contract ID]]="",VendorList[[#This Row],[Vendor / Org. with Contract ID]]="Future / Not Awarded"),"",IFERROR(INDEX(EAC[Estimate At Completion],MATCH(VendorList[[#This Row],[Vendor / Org. with Contract ID]],EAC[Vendor / Org. with Contract ID],0),1),"Does Not Exist"))</f>
        <v>72300</v>
      </c>
      <c r="Y59" s="922"/>
    </row>
    <row r="60" spans="2:25">
      <c r="B60" s="578" t="s">
        <v>464</v>
      </c>
      <c r="C60" s="579" t="s">
        <v>409</v>
      </c>
      <c r="D60" s="580" t="str">
        <f ca="1">IF(VendorList[[#This Row],[Vendor / Org.]]="","",CONCATENATE(VendorList[[#This Row],[Vendor / Org.]],"-",VendorList[[#This Row],[Contract ID]]))</f>
        <v>Travel Expenses-Burk-Direct Pay</v>
      </c>
      <c r="E60" s="590" t="s">
        <v>80</v>
      </c>
      <c r="F60" s="581">
        <v>732.62</v>
      </c>
      <c r="G60" s="286">
        <f ca="1">SUMIFS(ChangeTrack[Change Value],ChangeTrack[Vendor / Org.],VendorList[[#This Row],[Vendor / Org. with Contract ID]],ChangeTrack[Change Status],"Approved")</f>
        <v>0</v>
      </c>
      <c r="H60" s="286">
        <f ca="1">VendorList[[#This Row],[Original Contract Value]]+VendorList[[#This Row],[Amendment(s)]]</f>
        <v>732.62</v>
      </c>
      <c r="I60" s="290">
        <f ca="1">SUMIFS(CostTrack[Value],CostTrack[Vendor - Contract],VendorList[[#This Row],[Vendor / Org. with Contract ID]],CostTrack[PA ID],VendorList[[#This Row],[PA ID]],CostTrack[Holdback (Y/N/R)],"&lt;&gt;Release",CostTrack[Status],"Approved")</f>
        <v>732.62</v>
      </c>
      <c r="J60" s="741">
        <f ca="1">IF(VendorList[[#This Row],[Current Commitment]]=0,"-",VendorList[[#This Row],[Expenditures to Date]]/VendorList[[#This Row],[Current Commitment]])</f>
        <v>1</v>
      </c>
      <c r="K60" s="292">
        <f ca="1">SUMIF(CostTrack[Vendor - Contract],VendorList[[#This Row],[Vendor / Org. with Contract ID]],CostTrack[Holdback Value])*-1</f>
        <v>0</v>
      </c>
      <c r="L60" s="292">
        <f ca="1">VendorList[[#This Row],[Current Commitment]]-VendorList[[#This Row],[Expenditures to Date]]</f>
        <v>0</v>
      </c>
      <c r="M60" s="127"/>
      <c r="N60" s="127">
        <v>45291</v>
      </c>
      <c r="O60" s="85" t="s">
        <v>413</v>
      </c>
      <c r="P60" s="742" t="str">
        <f ca="1">IFERROR(INDEX(BudgetTrack[Primary Category],MATCH(VendorList[[#This Row],[PA ID]],BudgetTrack[PA ID],0)),"")</f>
        <v>Administration</v>
      </c>
      <c r="Q60" s="742" t="str">
        <f ca="1">IFERROR(INDEX(BudgetTrack[Secondary Category],MATCH(VendorList[[#This Row],[PA ID]],BudgetTrack[PA ID],0)),"")</f>
        <v>Other Administration</v>
      </c>
      <c r="R60" s="743" t="str">
        <f ca="1">IFERROR(INDEX(BudgetTrack[Phase / Subproject],MATCH(VendorList[[#This Row],[PA ID]],BudgetTrack[PA ID],0)),"")</f>
        <v>--</v>
      </c>
      <c r="S60" s="744" t="str">
        <f ca="1">IFERROR(INDEX(BudgetTrack[Phase / Subproject 2],MATCH(VendorList[[#This Row],[PA ID]],BudgetTrack[PA ID],0)),"")</f>
        <v>--</v>
      </c>
      <c r="T60" s="743" t="str">
        <f ca="1">IFERROR(INDEX(BudgetTrack[Funding Source],MATCH(VendorList[[#This Row],[PA ID]],BudgetTrack[PA ID],0)),"")</f>
        <v>P-002360</v>
      </c>
      <c r="U60" s="745" t="str">
        <f t="shared" ref="U60:U61" ca="1" si="2">IF((OR(E60="Open",E60="--")),D60,"")</f>
        <v/>
      </c>
      <c r="V60" s="434" t="str">
        <f ca="1">IFERROR(INDEX($U$6:$U$109,_xlfn.AGGREGATE(15,6,(ROW($U$6:$U$109)-ROW($U$6)+1)/($U$6:$U$109&lt;&gt;""),ROWS(V$6:V60))),"")</f>
        <v/>
      </c>
      <c r="W60" s="1285">
        <f ca="1">IF(OR(VendorList[[#This Row],[Vendor / Org. with Contract ID]]="",VendorList[[#This Row],[Vendor / Org. with Contract ID]]="Future / Not Awarded"),"",IFERROR(INDEX(EAC[Estimate At Completion],MATCH(VendorList[[#This Row],[Vendor / Org. with Contract ID]],EAC[Vendor / Org. with Contract ID],0),1),"Does Not Exist"))</f>
        <v>732.62</v>
      </c>
      <c r="Y60" s="922"/>
    </row>
    <row r="61" spans="2:25">
      <c r="B61" s="738" t="s">
        <v>465</v>
      </c>
      <c r="C61" s="123">
        <v>9000032855</v>
      </c>
      <c r="D61" s="77" t="str">
        <f ca="1">IF(VendorList[[#This Row],[Vendor / Org.]]="","",CONCATENATE(VendorList[[#This Row],[Vendor / Org.]],"-",VendorList[[#This Row],[Contract ID]]))</f>
        <v>Compugen-Network AV-9000032855</v>
      </c>
      <c r="E61" s="739" t="s">
        <v>80</v>
      </c>
      <c r="F61" s="740">
        <v>4395.3599999999997</v>
      </c>
      <c r="G61" s="286">
        <f ca="1">SUMIFS(ChangeTrack[Change Value],ChangeTrack[Vendor / Org.],VendorList[[#This Row],[Vendor / Org. with Contract ID]],ChangeTrack[Change Status],"Approved")</f>
        <v>0</v>
      </c>
      <c r="H61" s="286">
        <f ca="1">VendorList[[#This Row],[Original Contract Value]]+VendorList[[#This Row],[Amendment(s)]]</f>
        <v>4395.3599999999997</v>
      </c>
      <c r="I61" s="290">
        <f ca="1">SUMIFS(CostTrack[Value],CostTrack[Vendor - Contract],VendorList[[#This Row],[Vendor / Org. with Contract ID]],CostTrack[PA ID],VendorList[[#This Row],[PA ID]],CostTrack[Holdback (Y/N/R)],"&lt;&gt;Release",CostTrack[Status],"Approved")</f>
        <v>4395.3599999999997</v>
      </c>
      <c r="J61" s="741">
        <f ca="1">IF(VendorList[[#This Row],[Current Commitment]]=0,"-",VendorList[[#This Row],[Expenditures to Date]]/VendorList[[#This Row],[Current Commitment]])</f>
        <v>1</v>
      </c>
      <c r="K61" s="292">
        <f ca="1">SUMIF(CostTrack[Vendor - Contract],VendorList[[#This Row],[Vendor / Org. with Contract ID]],CostTrack[Holdback Value])*-1</f>
        <v>0</v>
      </c>
      <c r="L61" s="292">
        <f ca="1">VendorList[[#This Row],[Current Commitment]]-VendorList[[#This Row],[Expenditures to Date]]</f>
        <v>0</v>
      </c>
      <c r="M61" s="127"/>
      <c r="N61" s="127"/>
      <c r="O61" s="739" t="s">
        <v>452</v>
      </c>
      <c r="P61" s="742" t="str">
        <f ca="1">IFERROR(INDEX(BudgetTrack[Primary Category],MATCH(VendorList[[#This Row],[PA ID]],BudgetTrack[PA ID],0)),"")</f>
        <v>FE_IT</v>
      </c>
      <c r="Q61" s="742" t="str">
        <f ca="1">IFERROR(INDEX(BudgetTrack[Secondary Category],MATCH(VendorList[[#This Row],[PA ID]],BudgetTrack[PA ID],0)),"")</f>
        <v>Information Technology</v>
      </c>
      <c r="R61" s="743" t="str">
        <f ca="1">IFERROR(INDEX(BudgetTrack[Phase / Subproject],MATCH(VendorList[[#This Row],[PA ID]],BudgetTrack[PA ID],0)),"")</f>
        <v>--</v>
      </c>
      <c r="S61" s="744" t="str">
        <f ca="1">IFERROR(INDEX(BudgetTrack[Phase / Subproject 2],MATCH(VendorList[[#This Row],[PA ID]],BudgetTrack[PA ID],0)),"")</f>
        <v>--</v>
      </c>
      <c r="T61" s="743" t="str">
        <f ca="1">IFERROR(INDEX(BudgetTrack[Funding Source],MATCH(VendorList[[#This Row],[PA ID]],BudgetTrack[PA ID],0)),"")</f>
        <v>P-002360</v>
      </c>
      <c r="U61" s="745" t="str">
        <f t="shared" ca="1" si="2"/>
        <v/>
      </c>
      <c r="V61" s="434" t="str">
        <f ca="1">IFERROR(INDEX($U$6:$U$109,_xlfn.AGGREGATE(15,6,(ROW($U$6:$U$109)-ROW($U$6)+1)/($U$6:$U$109&lt;&gt;""),ROWS(V$6:V61))),"")</f>
        <v/>
      </c>
      <c r="W61" s="1285">
        <f ca="1">IF(OR(VendorList[[#This Row],[Vendor / Org. with Contract ID]]="",VendorList[[#This Row],[Vendor / Org. with Contract ID]]="Future / Not Awarded"),"",IFERROR(INDEX(EAC[Estimate At Completion],MATCH(VendorList[[#This Row],[Vendor / Org. with Contract ID]],EAC[Vendor / Org. with Contract ID],0),1),"Does Not Exist"))</f>
        <v>4395.3599999999997</v>
      </c>
      <c r="Y61" s="922"/>
    </row>
    <row r="62" spans="2:25">
      <c r="B62" s="738" t="s">
        <v>466</v>
      </c>
      <c r="C62" s="123" t="s">
        <v>409</v>
      </c>
      <c r="D62" s="77" t="str">
        <f ca="1">IF(VendorList[[#This Row],[Vendor / Org.]]="","",CONCATENATE(VendorList[[#This Row],[Vendor / Org.]],"-",VendorList[[#This Row],[Contract ID]]))</f>
        <v>Schedue Reader-Direct Pay</v>
      </c>
      <c r="E62" s="739" t="s">
        <v>80</v>
      </c>
      <c r="F62" s="740">
        <v>1320</v>
      </c>
      <c r="G62" s="286">
        <f ca="1">SUMIFS(ChangeTrack[Change Value],ChangeTrack[Vendor / Org.],VendorList[[#This Row],[Vendor / Org. with Contract ID]],ChangeTrack[Change Status],"Approved")</f>
        <v>0</v>
      </c>
      <c r="H62" s="286">
        <f ca="1">VendorList[[#This Row],[Original Contract Value]]+VendorList[[#This Row],[Amendment(s)]]</f>
        <v>1320</v>
      </c>
      <c r="I62" s="290">
        <f ca="1">SUMIFS(CostTrack[Value],CostTrack[Vendor - Contract],VendorList[[#This Row],[Vendor / Org. with Contract ID]],CostTrack[PA ID],VendorList[[#This Row],[PA ID]],CostTrack[Holdback (Y/N/R)],"&lt;&gt;Release",CostTrack[Status],"Approved")</f>
        <v>1320</v>
      </c>
      <c r="J62" s="741">
        <f ca="1">IF(VendorList[[#This Row],[Current Commitment]]=0,"-",VendorList[[#This Row],[Expenditures to Date]]/VendorList[[#This Row],[Current Commitment]])</f>
        <v>1</v>
      </c>
      <c r="K62" s="292">
        <f ca="1">SUMIF(CostTrack[Vendor - Contract],VendorList[[#This Row],[Vendor / Org. with Contract ID]],CostTrack[Holdback Value])*-1</f>
        <v>0</v>
      </c>
      <c r="L62" s="292">
        <f ca="1">VendorList[[#This Row],[Current Commitment]]-VendorList[[#This Row],[Expenditures to Date]]</f>
        <v>0</v>
      </c>
      <c r="M62" s="127"/>
      <c r="N62" s="127"/>
      <c r="O62" s="739" t="s">
        <v>452</v>
      </c>
      <c r="P62" s="742" t="str">
        <f ca="1">IFERROR(INDEX(BudgetTrack[Primary Category],MATCH(VendorList[[#This Row],[PA ID]],BudgetTrack[PA ID],0)),"")</f>
        <v>FE_IT</v>
      </c>
      <c r="Q62" s="742" t="str">
        <f ca="1">IFERROR(INDEX(BudgetTrack[Secondary Category],MATCH(VendorList[[#This Row],[PA ID]],BudgetTrack[PA ID],0)),"")</f>
        <v>Information Technology</v>
      </c>
      <c r="R62" s="743" t="str">
        <f ca="1">IFERROR(INDEX(BudgetTrack[Phase / Subproject],MATCH(VendorList[[#This Row],[PA ID]],BudgetTrack[PA ID],0)),"")</f>
        <v>--</v>
      </c>
      <c r="S62" s="744" t="str">
        <f ca="1">IFERROR(INDEX(BudgetTrack[Phase / Subproject 2],MATCH(VendorList[[#This Row],[PA ID]],BudgetTrack[PA ID],0)),"")</f>
        <v>--</v>
      </c>
      <c r="T62" s="743" t="str">
        <f ca="1">IFERROR(INDEX(BudgetTrack[Funding Source],MATCH(VendorList[[#This Row],[PA ID]],BudgetTrack[PA ID],0)),"")</f>
        <v>P-002360</v>
      </c>
      <c r="U62" s="745" t="str">
        <f ca="1">IF((OR(E62="Open",E62="--")),D62,"")</f>
        <v/>
      </c>
      <c r="V62" s="434" t="str">
        <f ca="1">IFERROR(INDEX($U$6:$U$109,_xlfn.AGGREGATE(15,6,(ROW($U$6:$U$109)-ROW($U$6)+1)/($U$6:$U$109&lt;&gt;""),ROWS(V$6:V62))),"")</f>
        <v/>
      </c>
      <c r="W62" s="1285">
        <f ca="1">IF(OR(VendorList[[#This Row],[Vendor / Org. with Contract ID]]="",VendorList[[#This Row],[Vendor / Org. with Contract ID]]="Future / Not Awarded"),"",IFERROR(INDEX(EAC[Estimate At Completion],MATCH(VendorList[[#This Row],[Vendor / Org. with Contract ID]],EAC[Vendor / Org. with Contract ID],0),1),"Does Not Exist"))</f>
        <v>1320</v>
      </c>
      <c r="Y62" s="922"/>
    </row>
    <row r="63" spans="2:25">
      <c r="B63" s="738" t="s">
        <v>467</v>
      </c>
      <c r="C63" s="123">
        <v>9000042321</v>
      </c>
      <c r="D63" s="77" t="str">
        <f ca="1">IF(VendorList[[#This Row],[Vendor / Org.]]="","",CONCATENATE(VendorList[[#This Row],[Vendor / Org.]],"-",VendorList[[#This Row],[Contract ID]]))</f>
        <v>Compugen- SA WAPS-9000042321</v>
      </c>
      <c r="E63" s="739" t="s">
        <v>80</v>
      </c>
      <c r="F63" s="740">
        <v>56539.5</v>
      </c>
      <c r="G63" s="286">
        <f ca="1">SUMIFS(ChangeTrack[Change Value],ChangeTrack[Vendor / Org.],VendorList[[#This Row],[Vendor / Org. with Contract ID]],ChangeTrack[Change Status],"Approved")</f>
        <v>0</v>
      </c>
      <c r="H63" s="286">
        <f ca="1">VendorList[[#This Row],[Original Contract Value]]+VendorList[[#This Row],[Amendment(s)]]</f>
        <v>56539.5</v>
      </c>
      <c r="I63" s="290">
        <f ca="1">SUMIFS(CostTrack[Value],CostTrack[Vendor - Contract],VendorList[[#This Row],[Vendor / Org. with Contract ID]],CostTrack[PA ID],VendorList[[#This Row],[PA ID]],CostTrack[Holdback (Y/N/R)],"&lt;&gt;Release",CostTrack[Status],"Approved")</f>
        <v>56539.5</v>
      </c>
      <c r="J63" s="741">
        <f ca="1">IF(VendorList[[#This Row],[Current Commitment]]=0,"-",VendorList[[#This Row],[Expenditures to Date]]/VendorList[[#This Row],[Current Commitment]])</f>
        <v>1</v>
      </c>
      <c r="K63" s="292">
        <f ca="1">SUMIF(CostTrack[Vendor - Contract],VendorList[[#This Row],[Vendor / Org. with Contract ID]],CostTrack[Holdback Value])*-1</f>
        <v>0</v>
      </c>
      <c r="L63" s="292">
        <f ca="1">VendorList[[#This Row],[Current Commitment]]-VendorList[[#This Row],[Expenditures to Date]]</f>
        <v>0</v>
      </c>
      <c r="M63" s="127"/>
      <c r="N63" s="127"/>
      <c r="O63" s="739" t="s">
        <v>452</v>
      </c>
      <c r="P63" s="742" t="str">
        <f ca="1">IFERROR(INDEX(BudgetTrack[Primary Category],MATCH(VendorList[[#This Row],[PA ID]],BudgetTrack[PA ID],0)),"")</f>
        <v>FE_IT</v>
      </c>
      <c r="Q63" s="742" t="str">
        <f ca="1">IFERROR(INDEX(BudgetTrack[Secondary Category],MATCH(VendorList[[#This Row],[PA ID]],BudgetTrack[PA ID],0)),"")</f>
        <v>Information Technology</v>
      </c>
      <c r="R63" s="743" t="str">
        <f ca="1">IFERROR(INDEX(BudgetTrack[Phase / Subproject],MATCH(VendorList[[#This Row],[PA ID]],BudgetTrack[PA ID],0)),"")</f>
        <v>--</v>
      </c>
      <c r="S63" s="744" t="str">
        <f ca="1">IFERROR(INDEX(BudgetTrack[Phase / Subproject 2],MATCH(VendorList[[#This Row],[PA ID]],BudgetTrack[PA ID],0)),"")</f>
        <v>--</v>
      </c>
      <c r="T63" s="743" t="str">
        <f ca="1">IFERROR(INDEX(BudgetTrack[Funding Source],MATCH(VendorList[[#This Row],[PA ID]],BudgetTrack[PA ID],0)),"")</f>
        <v>P-002360</v>
      </c>
      <c r="U63" s="745" t="str">
        <f t="shared" ref="U63:U66" ca="1" si="3">IF((OR(E63="Open",E63="--")),D63,"")</f>
        <v/>
      </c>
      <c r="V63" s="434" t="str">
        <f ca="1">IFERROR(INDEX($U$6:$U$109,_xlfn.AGGREGATE(15,6,(ROW($U$6:$U$109)-ROW($U$6)+1)/($U$6:$U$109&lt;&gt;""),ROWS(V$6:V63))),"")</f>
        <v/>
      </c>
      <c r="W63" s="1285">
        <f ca="1">IF(OR(VendorList[[#This Row],[Vendor / Org. with Contract ID]]="",VendorList[[#This Row],[Vendor / Org. with Contract ID]]="Future / Not Awarded"),"",IFERROR(INDEX(EAC[Estimate At Completion],MATCH(VendorList[[#This Row],[Vendor / Org. with Contract ID]],EAC[Vendor / Org. with Contract ID],0),1),"Does Not Exist"))</f>
        <v>56539.5</v>
      </c>
      <c r="Y63" s="922"/>
    </row>
    <row r="64" spans="2:25">
      <c r="B64" s="738" t="s">
        <v>456</v>
      </c>
      <c r="C64" s="123">
        <v>9000053475</v>
      </c>
      <c r="D64" s="77" t="str">
        <f ca="1">IF(VendorList[[#This Row],[Vendor / Org.]]="","",CONCATENATE(VendorList[[#This Row],[Vendor / Org.]],"-",VendorList[[#This Row],[Contract ID]]))</f>
        <v>Compugen- Network Switches-9000053475</v>
      </c>
      <c r="E64" s="739" t="s">
        <v>80</v>
      </c>
      <c r="F64" s="740">
        <v>1063259.17</v>
      </c>
      <c r="G64" s="286">
        <f ca="1">SUMIFS(ChangeTrack[Change Value],ChangeTrack[Vendor / Org.],VendorList[[#This Row],[Vendor / Org. with Contract ID]],ChangeTrack[Change Status],"Approved")</f>
        <v>0</v>
      </c>
      <c r="H64" s="286">
        <f ca="1">VendorList[[#This Row],[Original Contract Value]]+VendorList[[#This Row],[Amendment(s)]]</f>
        <v>1063259.17</v>
      </c>
      <c r="I64" s="290">
        <f ca="1">SUMIFS(CostTrack[Value],CostTrack[Vendor - Contract],VendorList[[#This Row],[Vendor / Org. with Contract ID]],CostTrack[PA ID],VendorList[[#This Row],[PA ID]],CostTrack[Holdback (Y/N/R)],"&lt;&gt;Release",CostTrack[Status],"Approved")</f>
        <v>1063259.1700000002</v>
      </c>
      <c r="J64" s="741">
        <f ca="1">IF(VendorList[[#This Row],[Current Commitment]]=0,"-",VendorList[[#This Row],[Expenditures to Date]]/VendorList[[#This Row],[Current Commitment]])</f>
        <v>1.0000000000000002</v>
      </c>
      <c r="K64" s="292">
        <f ca="1">SUMIF(CostTrack[Vendor - Contract],VendorList[[#This Row],[Vendor / Org. with Contract ID]],CostTrack[Holdback Value])*-1</f>
        <v>0</v>
      </c>
      <c r="L64" s="292">
        <f ca="1">VendorList[[#This Row],[Current Commitment]]-VendorList[[#This Row],[Expenditures to Date]]</f>
        <v>0</v>
      </c>
      <c r="M64" s="127"/>
      <c r="N64" s="127"/>
      <c r="O64" s="739" t="s">
        <v>452</v>
      </c>
      <c r="P64" s="742" t="str">
        <f ca="1">IFERROR(INDEX(BudgetTrack[Primary Category],MATCH(VendorList[[#This Row],[PA ID]],BudgetTrack[PA ID],0)),"")</f>
        <v>FE_IT</v>
      </c>
      <c r="Q64" s="742" t="str">
        <f ca="1">IFERROR(INDEX(BudgetTrack[Secondary Category],MATCH(VendorList[[#This Row],[PA ID]],BudgetTrack[PA ID],0)),"")</f>
        <v>Information Technology</v>
      </c>
      <c r="R64" s="743" t="str">
        <f ca="1">IFERROR(INDEX(BudgetTrack[Phase / Subproject],MATCH(VendorList[[#This Row],[PA ID]],BudgetTrack[PA ID],0)),"")</f>
        <v>--</v>
      </c>
      <c r="S64" s="744" t="str">
        <f ca="1">IFERROR(INDEX(BudgetTrack[Phase / Subproject 2],MATCH(VendorList[[#This Row],[PA ID]],BudgetTrack[PA ID],0)),"")</f>
        <v>--</v>
      </c>
      <c r="T64" s="743" t="str">
        <f ca="1">IFERROR(INDEX(BudgetTrack[Funding Source],MATCH(VendorList[[#This Row],[PA ID]],BudgetTrack[PA ID],0)),"")</f>
        <v>P-002360</v>
      </c>
      <c r="U64" s="745" t="str">
        <f t="shared" ca="1" si="3"/>
        <v/>
      </c>
      <c r="V64" s="434" t="str">
        <f ca="1">IFERROR(INDEX($U$6:$U$109,_xlfn.AGGREGATE(15,6,(ROW($U$6:$U$109)-ROW($U$6)+1)/($U$6:$U$109&lt;&gt;""),ROWS(V$6:V64))),"")</f>
        <v/>
      </c>
      <c r="W64" s="1285">
        <f ca="1">IF(OR(VendorList[[#This Row],[Vendor / Org. with Contract ID]]="",VendorList[[#This Row],[Vendor / Org. with Contract ID]]="Future / Not Awarded"),"",IFERROR(INDEX(EAC[Estimate At Completion],MATCH(VendorList[[#This Row],[Vendor / Org. with Contract ID]],EAC[Vendor / Org. with Contract ID],0),1),"Does Not Exist"))</f>
        <v>1063259.17</v>
      </c>
      <c r="Y64" s="922"/>
    </row>
    <row r="65" spans="2:25">
      <c r="B65" s="738" t="s">
        <v>468</v>
      </c>
      <c r="C65" s="123" t="s">
        <v>469</v>
      </c>
      <c r="D65" s="77" t="str">
        <f ca="1">IF(VendorList[[#This Row],[Vendor / Org.]]="","",CONCATENATE(VendorList[[#This Row],[Vendor / Org.]],"-",VendorList[[#This Row],[Contract ID]]))</f>
        <v>IUT-CTS Equipment-JSG-IUT</v>
      </c>
      <c r="E65" s="739" t="s">
        <v>71</v>
      </c>
      <c r="F65" s="740">
        <v>75353</v>
      </c>
      <c r="G65" s="286">
        <f ca="1">SUMIFS(ChangeTrack[Change Value],ChangeTrack[Vendor / Org.],VendorList[[#This Row],[Vendor / Org. with Contract ID]],ChangeTrack[Change Status],"Approved")</f>
        <v>304779</v>
      </c>
      <c r="H65" s="286">
        <f ca="1">VendorList[[#This Row],[Original Contract Value]]+VendorList[[#This Row],[Amendment(s)]]</f>
        <v>380132</v>
      </c>
      <c r="I65" s="290">
        <f ca="1">SUMIFS(CostTrack[Value],CostTrack[Vendor - Contract],VendorList[[#This Row],[Vendor / Org. with Contract ID]],CostTrack[PA ID],VendorList[[#This Row],[PA ID]],CostTrack[Holdback (Y/N/R)],"&lt;&gt;Release",CostTrack[Status],"Approved")</f>
        <v>367461.28</v>
      </c>
      <c r="J65" s="741">
        <f ca="1">IF(VendorList[[#This Row],[Current Commitment]]=0,"-",VendorList[[#This Row],[Expenditures to Date]]/VendorList[[#This Row],[Current Commitment]])</f>
        <v>0.96666757863058106</v>
      </c>
      <c r="K65" s="292">
        <f ca="1">SUMIF(CostTrack[Vendor - Contract],VendorList[[#This Row],[Vendor / Org. with Contract ID]],CostTrack[Holdback Value])*-1</f>
        <v>0</v>
      </c>
      <c r="L65" s="292">
        <f ca="1">VendorList[[#This Row],[Current Commitment]]-VendorList[[#This Row],[Expenditures to Date]]</f>
        <v>12670.719999999972</v>
      </c>
      <c r="M65" s="127"/>
      <c r="N65" s="127">
        <v>46112</v>
      </c>
      <c r="O65" s="739" t="s">
        <v>452</v>
      </c>
      <c r="P65" s="742" t="str">
        <f ca="1">IFERROR(INDEX(BudgetTrack[Primary Category],MATCH(VendorList[[#This Row],[PA ID]],BudgetTrack[PA ID],0)),"")</f>
        <v>FE_IT</v>
      </c>
      <c r="Q65" s="742" t="str">
        <f ca="1">IFERROR(INDEX(BudgetTrack[Secondary Category],MATCH(VendorList[[#This Row],[PA ID]],BudgetTrack[PA ID],0)),"")</f>
        <v>Information Technology</v>
      </c>
      <c r="R65" s="743" t="str">
        <f ca="1">IFERROR(INDEX(BudgetTrack[Phase / Subproject],MATCH(VendorList[[#This Row],[PA ID]],BudgetTrack[PA ID],0)),"")</f>
        <v>--</v>
      </c>
      <c r="S65" s="744" t="str">
        <f ca="1">IFERROR(INDEX(BudgetTrack[Phase / Subproject 2],MATCH(VendorList[[#This Row],[PA ID]],BudgetTrack[PA ID],0)),"")</f>
        <v>--</v>
      </c>
      <c r="T65" s="743" t="str">
        <f ca="1">IFERROR(INDEX(BudgetTrack[Funding Source],MATCH(VendorList[[#This Row],[PA ID]],BudgetTrack[PA ID],0)),"")</f>
        <v>P-002360</v>
      </c>
      <c r="U65" s="745" t="str">
        <f t="shared" ca="1" si="3"/>
        <v>IUT-CTS Equipment-JSG-IUT</v>
      </c>
      <c r="V65" s="434" t="str">
        <f ca="1">IFERROR(INDEX($U$6:$U$109,_xlfn.AGGREGATE(15,6,(ROW($U$6:$U$109)-ROW($U$6)+1)/($U$6:$U$109&lt;&gt;""),ROWS(V$6:V65))),"")</f>
        <v/>
      </c>
      <c r="W65" s="1285">
        <f ca="1">IF(OR(VendorList[[#This Row],[Vendor / Org. with Contract ID]]="",VendorList[[#This Row],[Vendor / Org. with Contract ID]]="Future / Not Awarded"),"",IFERROR(INDEX(EAC[Estimate At Completion],MATCH(VendorList[[#This Row],[Vendor / Org. with Contract ID]],EAC[Vendor / Org. with Contract ID],0),1),"Does Not Exist"))</f>
        <v>380132</v>
      </c>
      <c r="Y65" s="922"/>
    </row>
    <row r="66" spans="2:25">
      <c r="B66" s="738" t="s">
        <v>470</v>
      </c>
      <c r="C66" s="123">
        <v>9000054326</v>
      </c>
      <c r="D66" s="77" t="str">
        <f ca="1">IF(VendorList[[#This Row],[Vendor / Org.]]="","",CONCATENATE(VendorList[[#This Row],[Vendor / Org.]],"-",VendorList[[#This Row],[Contract ID]]))</f>
        <v>Krug Boardroom Tables-9000054326</v>
      </c>
      <c r="E66" s="739" t="s">
        <v>80</v>
      </c>
      <c r="F66" s="740">
        <v>205685.74</v>
      </c>
      <c r="G66" s="286">
        <f ca="1">SUMIFS(ChangeTrack[Change Value],ChangeTrack[Vendor / Org.],VendorList[[#This Row],[Vendor / Org. with Contract ID]],ChangeTrack[Change Status],"Approved")</f>
        <v>0</v>
      </c>
      <c r="H66" s="286">
        <f ca="1">VendorList[[#This Row],[Original Contract Value]]+VendorList[[#This Row],[Amendment(s)]]</f>
        <v>205685.74</v>
      </c>
      <c r="I66" s="290">
        <f ca="1">SUMIFS(CostTrack[Value],CostTrack[Vendor - Contract],VendorList[[#This Row],[Vendor / Org. with Contract ID]],CostTrack[PA ID],VendorList[[#This Row],[PA ID]],CostTrack[Holdback (Y/N/R)],"&lt;&gt;Release",CostTrack[Status],"Approved")</f>
        <v>205685.74</v>
      </c>
      <c r="J66" s="741">
        <f ca="1">IF(VendorList[[#This Row],[Current Commitment]]=0,"-",VendorList[[#This Row],[Expenditures to Date]]/VendorList[[#This Row],[Current Commitment]])</f>
        <v>1</v>
      </c>
      <c r="K66" s="292">
        <f ca="1">SUMIF(CostTrack[Vendor - Contract],VendorList[[#This Row],[Vendor / Org. with Contract ID]],CostTrack[Holdback Value])*-1</f>
        <v>0</v>
      </c>
      <c r="L66" s="292">
        <f ca="1">VendorList[[#This Row],[Current Commitment]]-VendorList[[#This Row],[Expenditures to Date]]</f>
        <v>0</v>
      </c>
      <c r="M66" s="127"/>
      <c r="N66" s="127">
        <v>45657</v>
      </c>
      <c r="O66" s="739" t="s">
        <v>471</v>
      </c>
      <c r="P66" s="742" t="str">
        <f ca="1">IFERROR(INDEX(BudgetTrack[Primary Category],MATCH(VendorList[[#This Row],[PA ID]],BudgetTrack[PA ID],0)),"")</f>
        <v>FE_IT</v>
      </c>
      <c r="Q66" s="742" t="str">
        <f ca="1">IFERROR(INDEX(BudgetTrack[Secondary Category],MATCH(VendorList[[#This Row],[PA ID]],BudgetTrack[PA ID],0)),"")</f>
        <v>Furniture &amp; Equipment</v>
      </c>
      <c r="R66" s="743" t="str">
        <f ca="1">IFERROR(INDEX(BudgetTrack[Phase / Subproject],MATCH(VendorList[[#This Row],[PA ID]],BudgetTrack[PA ID],0)),"")</f>
        <v>--</v>
      </c>
      <c r="S66" s="744" t="str">
        <f ca="1">IFERROR(INDEX(BudgetTrack[Phase / Subproject 2],MATCH(VendorList[[#This Row],[PA ID]],BudgetTrack[PA ID],0)),"")</f>
        <v>--</v>
      </c>
      <c r="T66" s="743" t="str">
        <f ca="1">IFERROR(INDEX(BudgetTrack[Funding Source],MATCH(VendorList[[#This Row],[PA ID]],BudgetTrack[PA ID],0)),"")</f>
        <v>P-002360</v>
      </c>
      <c r="U66" s="745" t="str">
        <f t="shared" ca="1" si="3"/>
        <v/>
      </c>
      <c r="V66" s="434" t="str">
        <f ca="1">IFERROR(INDEX($U$6:$U$109,_xlfn.AGGREGATE(15,6,(ROW($U$6:$U$109)-ROW($U$6)+1)/($U$6:$U$109&lt;&gt;""),ROWS(V$6:V66))),"")</f>
        <v/>
      </c>
      <c r="W66" s="1285">
        <f ca="1">IF(OR(VendorList[[#This Row],[Vendor / Org. with Contract ID]]="",VendorList[[#This Row],[Vendor / Org. with Contract ID]]="Future / Not Awarded"),"",IFERROR(INDEX(EAC[Estimate At Completion],MATCH(VendorList[[#This Row],[Vendor / Org. with Contract ID]],EAC[Vendor / Org. with Contract ID],0),1),"Does Not Exist"))</f>
        <v>205685.74</v>
      </c>
      <c r="Y66" s="922"/>
    </row>
    <row r="67" spans="2:25">
      <c r="B67" s="738" t="s">
        <v>472</v>
      </c>
      <c r="C67" s="123" t="s">
        <v>409</v>
      </c>
      <c r="D67" s="77" t="str">
        <f ca="1">IF(VendorList[[#This Row],[Vendor / Org.]]="","",CONCATENATE(VendorList[[#This Row],[Vendor / Org.]],"-",VendorList[[#This Row],[Contract ID]]))</f>
        <v>Captain Courier Edmonton-Direct Pay</v>
      </c>
      <c r="E67" s="739" t="s">
        <v>80</v>
      </c>
      <c r="F67" s="740">
        <v>23.94</v>
      </c>
      <c r="G67" s="286">
        <f ca="1">SUMIFS(ChangeTrack[Change Value],ChangeTrack[Vendor / Org.],VendorList[[#This Row],[Vendor / Org. with Contract ID]],ChangeTrack[Change Status],"Approved")</f>
        <v>0</v>
      </c>
      <c r="H67" s="286">
        <f ca="1">VendorList[[#This Row],[Original Contract Value]]+VendorList[[#This Row],[Amendment(s)]]</f>
        <v>23.94</v>
      </c>
      <c r="I67" s="290">
        <f ca="1">SUMIFS(CostTrack[Value],CostTrack[Vendor - Contract],VendorList[[#This Row],[Vendor / Org. with Contract ID]],CostTrack[PA ID],VendorList[[#This Row],[PA ID]],CostTrack[Holdback (Y/N/R)],"&lt;&gt;Release",CostTrack[Status],"Approved")</f>
        <v>23.94</v>
      </c>
      <c r="J67" s="741">
        <f ca="1">IF(VendorList[[#This Row],[Current Commitment]]=0,"-",VendorList[[#This Row],[Expenditures to Date]]/VendorList[[#This Row],[Current Commitment]])</f>
        <v>1</v>
      </c>
      <c r="K67" s="292">
        <f ca="1">SUMIF(CostTrack[Vendor - Contract],VendorList[[#This Row],[Vendor / Org. with Contract ID]],CostTrack[Holdback Value])*-1</f>
        <v>0</v>
      </c>
      <c r="L67" s="292">
        <f ca="1">VendorList[[#This Row],[Current Commitment]]-VendorList[[#This Row],[Expenditures to Date]]</f>
        <v>0</v>
      </c>
      <c r="M67" s="127"/>
      <c r="N67" s="127"/>
      <c r="O67" s="739" t="s">
        <v>413</v>
      </c>
      <c r="P67" s="742" t="str">
        <f ca="1">IFERROR(INDEX(BudgetTrack[Primary Category],MATCH(VendorList[[#This Row],[PA ID]],BudgetTrack[PA ID],0)),"")</f>
        <v>Administration</v>
      </c>
      <c r="Q67" s="742" t="str">
        <f ca="1">IFERROR(INDEX(BudgetTrack[Secondary Category],MATCH(VendorList[[#This Row],[PA ID]],BudgetTrack[PA ID],0)),"")</f>
        <v>Other Administration</v>
      </c>
      <c r="R67" s="743" t="str">
        <f ca="1">IFERROR(INDEX(BudgetTrack[Phase / Subproject],MATCH(VendorList[[#This Row],[PA ID]],BudgetTrack[PA ID],0)),"")</f>
        <v>--</v>
      </c>
      <c r="S67" s="744" t="str">
        <f ca="1">IFERROR(INDEX(BudgetTrack[Phase / Subproject 2],MATCH(VendorList[[#This Row],[PA ID]],BudgetTrack[PA ID],0)),"")</f>
        <v>--</v>
      </c>
      <c r="T67" s="743" t="str">
        <f ca="1">IFERROR(INDEX(BudgetTrack[Funding Source],MATCH(VendorList[[#This Row],[PA ID]],BudgetTrack[PA ID],0)),"")</f>
        <v>P-002360</v>
      </c>
      <c r="U67" s="745" t="str">
        <f t="shared" ref="U67:U68" ca="1" si="4">IF((OR(E67="Open",E67="--")),D67,"")</f>
        <v/>
      </c>
      <c r="V67" s="434" t="str">
        <f ca="1">IFERROR(INDEX($U$6:$U$109,_xlfn.AGGREGATE(15,6,(ROW($U$6:$U$109)-ROW($U$6)+1)/($U$6:$U$109&lt;&gt;""),ROWS(V$6:V67))),"")</f>
        <v/>
      </c>
      <c r="W67" s="1285">
        <f ca="1">IF(OR(VendorList[[#This Row],[Vendor / Org. with Contract ID]]="",VendorList[[#This Row],[Vendor / Org. with Contract ID]]="Future / Not Awarded"),"",IFERROR(INDEX(EAC[Estimate At Completion],MATCH(VendorList[[#This Row],[Vendor / Org. with Contract ID]],EAC[Vendor / Org. with Contract ID],0),1),"Does Not Exist"))</f>
        <v>23.94</v>
      </c>
      <c r="Y67" s="922"/>
    </row>
    <row r="68" spans="2:25">
      <c r="B68" s="738" t="s">
        <v>473</v>
      </c>
      <c r="C68" s="123">
        <v>9000054828</v>
      </c>
      <c r="D68" s="77" t="str">
        <f ca="1">IF(VendorList[[#This Row],[Vendor / Org.]]="","",CONCATENATE(VendorList[[#This Row],[Vendor / Org.]],"-",VendorList[[#This Row],[Contract ID]]))</f>
        <v>Keverest-PDUs-9000054828</v>
      </c>
      <c r="E68" s="739" t="s">
        <v>80</v>
      </c>
      <c r="F68" s="740">
        <v>210540.7</v>
      </c>
      <c r="G68" s="286">
        <f ca="1">SUMIFS(ChangeTrack[Change Value],ChangeTrack[Vendor / Org.],VendorList[[#This Row],[Vendor / Org. with Contract ID]],ChangeTrack[Change Status],"Approved")</f>
        <v>0</v>
      </c>
      <c r="H68" s="286">
        <f ca="1">VendorList[[#This Row],[Original Contract Value]]+VendorList[[#This Row],[Amendment(s)]]</f>
        <v>210540.7</v>
      </c>
      <c r="I68" s="290">
        <f ca="1">SUMIFS(CostTrack[Value],CostTrack[Vendor - Contract],VendorList[[#This Row],[Vendor / Org. with Contract ID]],CostTrack[PA ID],VendorList[[#This Row],[PA ID]],CostTrack[Holdback (Y/N/R)],"&lt;&gt;Release",CostTrack[Status],"Approved")</f>
        <v>210540.7</v>
      </c>
      <c r="J68" s="741">
        <f ca="1">IF(VendorList[[#This Row],[Current Commitment]]=0,"-",VendorList[[#This Row],[Expenditures to Date]]/VendorList[[#This Row],[Current Commitment]])</f>
        <v>1</v>
      </c>
      <c r="K68" s="292">
        <f ca="1">SUMIF(CostTrack[Vendor - Contract],VendorList[[#This Row],[Vendor / Org. with Contract ID]],CostTrack[Holdback Value])*-1</f>
        <v>0</v>
      </c>
      <c r="L68" s="292">
        <f ca="1">VendorList[[#This Row],[Current Commitment]]-VendorList[[#This Row],[Expenditures to Date]]</f>
        <v>0</v>
      </c>
      <c r="M68" s="127"/>
      <c r="N68" s="127"/>
      <c r="O68" s="739" t="s">
        <v>452</v>
      </c>
      <c r="P68" s="742" t="str">
        <f ca="1">IFERROR(INDEX(BudgetTrack[Primary Category],MATCH(VendorList[[#This Row],[PA ID]],BudgetTrack[PA ID],0)),"")</f>
        <v>FE_IT</v>
      </c>
      <c r="Q68" s="742" t="str">
        <f ca="1">IFERROR(INDEX(BudgetTrack[Secondary Category],MATCH(VendorList[[#This Row],[PA ID]],BudgetTrack[PA ID],0)),"")</f>
        <v>Information Technology</v>
      </c>
      <c r="R68" s="743" t="str">
        <f ca="1">IFERROR(INDEX(BudgetTrack[Phase / Subproject],MATCH(VendorList[[#This Row],[PA ID]],BudgetTrack[PA ID],0)),"")</f>
        <v>--</v>
      </c>
      <c r="S68" s="744" t="str">
        <f ca="1">IFERROR(INDEX(BudgetTrack[Phase / Subproject 2],MATCH(VendorList[[#This Row],[PA ID]],BudgetTrack[PA ID],0)),"")</f>
        <v>--</v>
      </c>
      <c r="T68" s="743" t="str">
        <f ca="1">IFERROR(INDEX(BudgetTrack[Funding Source],MATCH(VendorList[[#This Row],[PA ID]],BudgetTrack[PA ID],0)),"")</f>
        <v>P-002360</v>
      </c>
      <c r="U68" s="745" t="str">
        <f t="shared" ca="1" si="4"/>
        <v/>
      </c>
      <c r="V68" s="434" t="str">
        <f ca="1">IFERROR(INDEX($U$6:$U$109,_xlfn.AGGREGATE(15,6,(ROW($U$6:$U$109)-ROW($U$6)+1)/($U$6:$U$109&lt;&gt;""),ROWS(V$6:V68))),"")</f>
        <v/>
      </c>
      <c r="W68" s="1285">
        <f ca="1">IF(OR(VendorList[[#This Row],[Vendor / Org. with Contract ID]]="",VendorList[[#This Row],[Vendor / Org. with Contract ID]]="Future / Not Awarded"),"",IFERROR(INDEX(EAC[Estimate At Completion],MATCH(VendorList[[#This Row],[Vendor / Org. with Contract ID]],EAC[Vendor / Org. with Contract ID],0),1),"Does Not Exist"))</f>
        <v>210540.7</v>
      </c>
      <c r="Y68" s="922"/>
    </row>
    <row r="69" spans="2:25" ht="27.95">
      <c r="B69" s="887" t="s">
        <v>474</v>
      </c>
      <c r="C69" s="123">
        <v>40381</v>
      </c>
      <c r="D69" s="77" t="str">
        <f ca="1">IF(VendorList[[#This Row],[Vendor / Org.]]="","",CONCATENATE(VendorList[[#This Row],[Vendor / Org.]],"-",VendorList[[#This Row],[Contract ID]]))</f>
        <v>MICROSERVE 
341234 B.C. LTD.-40381</v>
      </c>
      <c r="E69" s="739" t="s">
        <v>80</v>
      </c>
      <c r="F69" s="740">
        <v>46453.71</v>
      </c>
      <c r="G69" s="286">
        <f ca="1">SUMIFS(ChangeTrack[Change Value],ChangeTrack[Vendor / Org.],VendorList[[#This Row],[Vendor / Org. with Contract ID]],ChangeTrack[Change Status],"Approved")</f>
        <v>60727.409999999996</v>
      </c>
      <c r="H69" s="286">
        <f ca="1">VendorList[[#This Row],[Original Contract Value]]+VendorList[[#This Row],[Amendment(s)]]</f>
        <v>107181.12</v>
      </c>
      <c r="I69" s="290">
        <f ca="1">SUMIFS(CostTrack[Value],CostTrack[Vendor - Contract],VendorList[[#This Row],[Vendor / Org. with Contract ID]],CostTrack[PA ID],VendorList[[#This Row],[PA ID]],CostTrack[Holdback (Y/N/R)],"&lt;&gt;Release",CostTrack[Status],"Approved")</f>
        <v>107181.12</v>
      </c>
      <c r="J69" s="741">
        <f ca="1">IF(VendorList[[#This Row],[Current Commitment]]=0,"-",VendorList[[#This Row],[Expenditures to Date]]/VendorList[[#This Row],[Current Commitment]])</f>
        <v>1</v>
      </c>
      <c r="K69" s="292">
        <f ca="1">SUMIF(CostTrack[Vendor - Contract],VendorList[[#This Row],[Vendor / Org. with Contract ID]],CostTrack[Holdback Value])*-1</f>
        <v>0</v>
      </c>
      <c r="L69" s="292">
        <f ca="1">VendorList[[#This Row],[Current Commitment]]-VendorList[[#This Row],[Expenditures to Date]]</f>
        <v>0</v>
      </c>
      <c r="M69" s="127">
        <v>45063</v>
      </c>
      <c r="N69" s="127">
        <v>45869</v>
      </c>
      <c r="O69" s="739" t="s">
        <v>452</v>
      </c>
      <c r="P69" s="742" t="str">
        <f ca="1">IFERROR(INDEX(BudgetTrack[Primary Category],MATCH(VendorList[[#This Row],[PA ID]],BudgetTrack[PA ID],0)),"")</f>
        <v>FE_IT</v>
      </c>
      <c r="Q69" s="742" t="str">
        <f ca="1">IFERROR(INDEX(BudgetTrack[Secondary Category],MATCH(VendorList[[#This Row],[PA ID]],BudgetTrack[PA ID],0)),"")</f>
        <v>Information Technology</v>
      </c>
      <c r="R69" s="743" t="str">
        <f ca="1">IFERROR(INDEX(BudgetTrack[Phase / Subproject],MATCH(VendorList[[#This Row],[PA ID]],BudgetTrack[PA ID],0)),"")</f>
        <v>--</v>
      </c>
      <c r="S69" s="744" t="str">
        <f ca="1">IFERROR(INDEX(BudgetTrack[Phase / Subproject 2],MATCH(VendorList[[#This Row],[PA ID]],BudgetTrack[PA ID],0)),"")</f>
        <v>--</v>
      </c>
      <c r="T69" s="743" t="str">
        <f ca="1">IFERROR(INDEX(BudgetTrack[Funding Source],MATCH(VendorList[[#This Row],[PA ID]],BudgetTrack[PA ID],0)),"")</f>
        <v>P-002360</v>
      </c>
      <c r="U69" s="745" t="str">
        <f ca="1">IF((OR(E69="Open",E69="--")),D69,"")</f>
        <v/>
      </c>
      <c r="V69" s="434" t="str">
        <f ca="1">IFERROR(INDEX($U$6:$U$109,_xlfn.AGGREGATE(15,6,(ROW($U$6:$U$109)-ROW($U$6)+1)/($U$6:$U$109&lt;&gt;""),ROWS(V$6:V69))),"")</f>
        <v/>
      </c>
      <c r="W69" s="1285">
        <f ca="1">IF(OR(VendorList[[#This Row],[Vendor / Org. with Contract ID]]="",VendorList[[#This Row],[Vendor / Org. with Contract ID]]="Future / Not Awarded"),"",IFERROR(INDEX(EAC[Estimate At Completion],MATCH(VendorList[[#This Row],[Vendor / Org. with Contract ID]],EAC[Vendor / Org. with Contract ID],0),1),"Does Not Exist"))</f>
        <v>107181.12</v>
      </c>
      <c r="Y69" s="922"/>
    </row>
    <row r="70" spans="2:25">
      <c r="B70" s="738" t="s">
        <v>475</v>
      </c>
      <c r="C70" s="123" t="s">
        <v>409</v>
      </c>
      <c r="D70" s="77" t="str">
        <f ca="1">IF(VendorList[[#This Row],[Vendor / Org.]]="","",CONCATENATE(VendorList[[#This Row],[Vendor / Org.]],"-",VendorList[[#This Row],[Contract ID]]))</f>
        <v>Aurora Flags-Direct Pay</v>
      </c>
      <c r="E70" s="739" t="s">
        <v>80</v>
      </c>
      <c r="F70" s="740">
        <v>5614</v>
      </c>
      <c r="G70" s="286">
        <f ca="1">SUMIFS(ChangeTrack[Change Value],ChangeTrack[Vendor / Org.],VendorList[[#This Row],[Vendor / Org. with Contract ID]],ChangeTrack[Change Status],"Approved")</f>
        <v>440</v>
      </c>
      <c r="H70" s="286">
        <f ca="1">VendorList[[#This Row],[Original Contract Value]]+VendorList[[#This Row],[Amendment(s)]]</f>
        <v>6054</v>
      </c>
      <c r="I70" s="290">
        <f ca="1">SUMIFS(CostTrack[Value],CostTrack[Vendor - Contract],VendorList[[#This Row],[Vendor / Org. with Contract ID]],CostTrack[PA ID],VendorList[[#This Row],[PA ID]],CostTrack[Holdback (Y/N/R)],"&lt;&gt;Release",CostTrack[Status],"Approved")</f>
        <v>6054</v>
      </c>
      <c r="J70" s="741">
        <f ca="1">IF(VendorList[[#This Row],[Current Commitment]]=0,"-",VendorList[[#This Row],[Expenditures to Date]]/VendorList[[#This Row],[Current Commitment]])</f>
        <v>1</v>
      </c>
      <c r="K70" s="292">
        <f ca="1">SUMIF(CostTrack[Vendor - Contract],VendorList[[#This Row],[Vendor / Org. with Contract ID]],CostTrack[Holdback Value])*-1</f>
        <v>0</v>
      </c>
      <c r="L70" s="292">
        <f ca="1">VendorList[[#This Row],[Current Commitment]]-VendorList[[#This Row],[Expenditures to Date]]</f>
        <v>0</v>
      </c>
      <c r="M70" s="127">
        <v>45065</v>
      </c>
      <c r="N70" s="127">
        <v>45169</v>
      </c>
      <c r="O70" s="739" t="s">
        <v>471</v>
      </c>
      <c r="P70" s="742" t="str">
        <f ca="1">IFERROR(INDEX(BudgetTrack[Primary Category],MATCH(VendorList[[#This Row],[PA ID]],BudgetTrack[PA ID],0)),"")</f>
        <v>FE_IT</v>
      </c>
      <c r="Q70" s="742" t="str">
        <f ca="1">IFERROR(INDEX(BudgetTrack[Secondary Category],MATCH(VendorList[[#This Row],[PA ID]],BudgetTrack[PA ID],0)),"")</f>
        <v>Furniture &amp; Equipment</v>
      </c>
      <c r="R70" s="743" t="str">
        <f ca="1">IFERROR(INDEX(BudgetTrack[Phase / Subproject],MATCH(VendorList[[#This Row],[PA ID]],BudgetTrack[PA ID],0)),"")</f>
        <v>--</v>
      </c>
      <c r="S70" s="744" t="str">
        <f ca="1">IFERROR(INDEX(BudgetTrack[Phase / Subproject 2],MATCH(VendorList[[#This Row],[PA ID]],BudgetTrack[PA ID],0)),"")</f>
        <v>--</v>
      </c>
      <c r="T70" s="743" t="str">
        <f ca="1">IFERROR(INDEX(BudgetTrack[Funding Source],MATCH(VendorList[[#This Row],[PA ID]],BudgetTrack[PA ID],0)),"")</f>
        <v>P-002360</v>
      </c>
      <c r="U70" s="745" t="str">
        <f t="shared" ref="U70:U71" ca="1" si="5">IF((OR(E70="Open",E70="--")),D70,"")</f>
        <v/>
      </c>
      <c r="V70" s="434" t="str">
        <f ca="1">IFERROR(INDEX($U$6:$U$109,_xlfn.AGGREGATE(15,6,(ROW($U$6:$U$109)-ROW($U$6)+1)/($U$6:$U$109&lt;&gt;""),ROWS(V$6:V70))),"")</f>
        <v/>
      </c>
      <c r="W70" s="1285">
        <f ca="1">IF(OR(VendorList[[#This Row],[Vendor / Org. with Contract ID]]="",VendorList[[#This Row],[Vendor / Org. with Contract ID]]="Future / Not Awarded"),"",IFERROR(INDEX(EAC[Estimate At Completion],MATCH(VendorList[[#This Row],[Vendor / Org. with Contract ID]],EAC[Vendor / Org. with Contract ID],0),1),"Does Not Exist"))</f>
        <v>6054</v>
      </c>
      <c r="Y70" s="922"/>
    </row>
    <row r="71" spans="2:25">
      <c r="B71" s="738" t="s">
        <v>476</v>
      </c>
      <c r="C71" s="123">
        <v>40467</v>
      </c>
      <c r="D71" s="77" t="str">
        <f ca="1">IF(VendorList[[#This Row],[Vendor / Org.]]="","",CONCATENATE(VendorList[[#This Row],[Vendor / Org.]],"-",VendorList[[#This Row],[Contract ID]]))</f>
        <v>Impact Movers Ltd.- Misc Moves-40467</v>
      </c>
      <c r="E71" s="739" t="s">
        <v>80</v>
      </c>
      <c r="F71" s="740">
        <v>5530</v>
      </c>
      <c r="G71" s="286">
        <f ca="1">SUMIFS(ChangeTrack[Change Value],ChangeTrack[Vendor / Org.],VendorList[[#This Row],[Vendor / Org. with Contract ID]],ChangeTrack[Change Status],"Approved")</f>
        <v>4153</v>
      </c>
      <c r="H71" s="286">
        <f ca="1">VendorList[[#This Row],[Original Contract Value]]+VendorList[[#This Row],[Amendment(s)]]</f>
        <v>9683</v>
      </c>
      <c r="I71" s="290">
        <f ca="1">SUMIFS(CostTrack[Value],CostTrack[Vendor - Contract],VendorList[[#This Row],[Vendor / Org. with Contract ID]],CostTrack[PA ID],VendorList[[#This Row],[PA ID]],CostTrack[Holdback (Y/N/R)],"&lt;&gt;Release",CostTrack[Status],"Approved")</f>
        <v>9683</v>
      </c>
      <c r="J71" s="741">
        <f ca="1">IF(VendorList[[#This Row],[Current Commitment]]=0,"-",VendorList[[#This Row],[Expenditures to Date]]/VendorList[[#This Row],[Current Commitment]])</f>
        <v>1</v>
      </c>
      <c r="K71" s="292">
        <f ca="1">SUMIF(CostTrack[Vendor - Contract],VendorList[[#This Row],[Vendor / Org. with Contract ID]],CostTrack[Holdback Value])*-1</f>
        <v>0</v>
      </c>
      <c r="L71" s="292">
        <f ca="1">VendorList[[#This Row],[Current Commitment]]-VendorList[[#This Row],[Expenditures to Date]]</f>
        <v>0</v>
      </c>
      <c r="M71" s="127">
        <v>45097</v>
      </c>
      <c r="N71" s="127">
        <v>45534</v>
      </c>
      <c r="O71" s="739" t="s">
        <v>477</v>
      </c>
      <c r="P71" s="742" t="str">
        <f ca="1">IFERROR(INDEX(BudgetTrack[Primary Category],MATCH(VendorList[[#This Row],[PA ID]],BudgetTrack[PA ID],0)),"")</f>
        <v>FE_IT</v>
      </c>
      <c r="Q71" s="742" t="str">
        <f ca="1">IFERROR(INDEX(BudgetTrack[Secondary Category],MATCH(VendorList[[#This Row],[PA ID]],BudgetTrack[PA ID],0)),"")</f>
        <v>Movers</v>
      </c>
      <c r="R71" s="743" t="str">
        <f ca="1">IFERROR(INDEX(BudgetTrack[Phase / Subproject],MATCH(VendorList[[#This Row],[PA ID]],BudgetTrack[PA ID],0)),"")</f>
        <v>--</v>
      </c>
      <c r="S71" s="744" t="str">
        <f ca="1">IFERROR(INDEX(BudgetTrack[Phase / Subproject 2],MATCH(VendorList[[#This Row],[PA ID]],BudgetTrack[PA ID],0)),"")</f>
        <v>--</v>
      </c>
      <c r="T71" s="743" t="str">
        <f ca="1">IFERROR(INDEX(BudgetTrack[Funding Source],MATCH(VendorList[[#This Row],[PA ID]],BudgetTrack[PA ID],0)),"")</f>
        <v>P-002360</v>
      </c>
      <c r="U71" s="745" t="str">
        <f t="shared" ca="1" si="5"/>
        <v/>
      </c>
      <c r="V71" s="434" t="str">
        <f ca="1">IFERROR(INDEX($U$6:$U$109,_xlfn.AGGREGATE(15,6,(ROW($U$6:$U$109)-ROW($U$6)+1)/($U$6:$U$109&lt;&gt;""),ROWS(V$6:V71))),"")</f>
        <v/>
      </c>
      <c r="W71" s="1285">
        <f ca="1">IF(OR(VendorList[[#This Row],[Vendor / Org. with Contract ID]]="",VendorList[[#This Row],[Vendor / Org. with Contract ID]]="Future / Not Awarded"),"",IFERROR(INDEX(EAC[Estimate At Completion],MATCH(VendorList[[#This Row],[Vendor / Org. with Contract ID]],EAC[Vendor / Org. with Contract ID],0),1),"Does Not Exist"))</f>
        <v>9683</v>
      </c>
      <c r="Y71" s="922"/>
    </row>
    <row r="72" spans="2:25">
      <c r="B72" s="738" t="s">
        <v>478</v>
      </c>
      <c r="C72" s="123">
        <v>9000050226</v>
      </c>
      <c r="D72" s="77" t="str">
        <f ca="1">IF(VendorList[[#This Row],[Vendor / Org.]]="","",CONCATENATE(VendorList[[#This Row],[Vendor / Org.]],"-",VendorList[[#This Row],[Contract ID]]))</f>
        <v>Compugen - WAP brackets-9000050226</v>
      </c>
      <c r="E72" s="739" t="s">
        <v>80</v>
      </c>
      <c r="F72" s="740">
        <v>1881.6</v>
      </c>
      <c r="G72" s="286">
        <f ca="1">SUMIFS(ChangeTrack[Change Value],ChangeTrack[Vendor / Org.],VendorList[[#This Row],[Vendor / Org. with Contract ID]],ChangeTrack[Change Status],"Approved")</f>
        <v>0</v>
      </c>
      <c r="H72" s="286">
        <f ca="1">VendorList[[#This Row],[Original Contract Value]]+VendorList[[#This Row],[Amendment(s)]]</f>
        <v>1881.6</v>
      </c>
      <c r="I72" s="290">
        <f ca="1">SUMIFS(CostTrack[Value],CostTrack[Vendor - Contract],VendorList[[#This Row],[Vendor / Org. with Contract ID]],CostTrack[PA ID],VendorList[[#This Row],[PA ID]],CostTrack[Holdback (Y/N/R)],"&lt;&gt;Release",CostTrack[Status],"Approved")</f>
        <v>1881.6</v>
      </c>
      <c r="J72" s="741">
        <f ca="1">IF(VendorList[[#This Row],[Current Commitment]]=0,"-",VendorList[[#This Row],[Expenditures to Date]]/VendorList[[#This Row],[Current Commitment]])</f>
        <v>1</v>
      </c>
      <c r="K72" s="292">
        <f ca="1">SUMIF(CostTrack[Vendor - Contract],VendorList[[#This Row],[Vendor / Org. with Contract ID]],CostTrack[Holdback Value])*-1</f>
        <v>0</v>
      </c>
      <c r="L72" s="292">
        <f ca="1">VendorList[[#This Row],[Current Commitment]]-VendorList[[#This Row],[Expenditures to Date]]</f>
        <v>0</v>
      </c>
      <c r="M72" s="127"/>
      <c r="N72" s="127">
        <v>45657</v>
      </c>
      <c r="O72" s="739" t="s">
        <v>452</v>
      </c>
      <c r="P72" s="742" t="str">
        <f ca="1">IFERROR(INDEX(BudgetTrack[Primary Category],MATCH(VendorList[[#This Row],[PA ID]],BudgetTrack[PA ID],0)),"")</f>
        <v>FE_IT</v>
      </c>
      <c r="Q72" s="742" t="str">
        <f ca="1">IFERROR(INDEX(BudgetTrack[Secondary Category],MATCH(VendorList[[#This Row],[PA ID]],BudgetTrack[PA ID],0)),"")</f>
        <v>Information Technology</v>
      </c>
      <c r="R72" s="743" t="str">
        <f ca="1">IFERROR(INDEX(BudgetTrack[Phase / Subproject],MATCH(VendorList[[#This Row],[PA ID]],BudgetTrack[PA ID],0)),"")</f>
        <v>--</v>
      </c>
      <c r="S72" s="744" t="str">
        <f ca="1">IFERROR(INDEX(BudgetTrack[Phase / Subproject 2],MATCH(VendorList[[#This Row],[PA ID]],BudgetTrack[PA ID],0)),"")</f>
        <v>--</v>
      </c>
      <c r="T72" s="743" t="str">
        <f ca="1">IFERROR(INDEX(BudgetTrack[Funding Source],MATCH(VendorList[[#This Row],[PA ID]],BudgetTrack[PA ID],0)),"")</f>
        <v>P-002360</v>
      </c>
      <c r="U72" s="745" t="str">
        <f ca="1">IF((OR(E72="Open",E72="--")),D72,"")</f>
        <v/>
      </c>
      <c r="V72" s="434" t="str">
        <f ca="1">IFERROR(INDEX($U$6:$U$109,_xlfn.AGGREGATE(15,6,(ROW($U$6:$U$109)-ROW($U$6)+1)/($U$6:$U$109&lt;&gt;""),ROWS(V$6:V72))),"")</f>
        <v/>
      </c>
      <c r="W72" s="1285">
        <f ca="1">IF(OR(VendorList[[#This Row],[Vendor / Org. with Contract ID]]="",VendorList[[#This Row],[Vendor / Org. with Contract ID]]="Future / Not Awarded"),"",IFERROR(INDEX(EAC[Estimate At Completion],MATCH(VendorList[[#This Row],[Vendor / Org. with Contract ID]],EAC[Vendor / Org. with Contract ID],0),1),"Does Not Exist"))</f>
        <v>1881.6</v>
      </c>
      <c r="Y72" s="922"/>
    </row>
    <row r="73" spans="2:25">
      <c r="B73" s="738" t="s">
        <v>479</v>
      </c>
      <c r="C73" s="123" t="s">
        <v>480</v>
      </c>
      <c r="D73" s="77" t="str">
        <f ca="1">IF(VendorList[[#This Row],[Vendor / Org.]]="","",CONCATENATE(VendorList[[#This Row],[Vendor / Org.]],"-",VendorList[[#This Row],[Contract ID]]))</f>
        <v>HBI-Judicial Visiting Offices-C8903</v>
      </c>
      <c r="E73" s="739" t="s">
        <v>80</v>
      </c>
      <c r="F73" s="1286">
        <v>52739.54</v>
      </c>
      <c r="G73" s="1287">
        <f ca="1">SUMIFS(ChangeTrack[Change Value],ChangeTrack[Vendor / Org.],VendorList[[#This Row],[Vendor / Org. with Contract ID]],ChangeTrack[Change Status],"Approved")</f>
        <v>0</v>
      </c>
      <c r="H73" s="1287">
        <f ca="1">VendorList[[#This Row],[Original Contract Value]]+VendorList[[#This Row],[Amendment(s)]]</f>
        <v>52739.54</v>
      </c>
      <c r="I73" s="1288">
        <f ca="1">SUMIFS(CostTrack[Value],CostTrack[Vendor - Contract],VendorList[[#This Row],[Vendor / Org. with Contract ID]],CostTrack[PA ID],VendorList[[#This Row],[PA ID]],CostTrack[Holdback (Y/N/R)],"&lt;&gt;Release",CostTrack[Status],"Approved")</f>
        <v>52739.54</v>
      </c>
      <c r="J73" s="1289">
        <f ca="1">IF(VendorList[[#This Row],[Current Commitment]]=0,"-",VendorList[[#This Row],[Expenditures to Date]]/VendorList[[#This Row],[Current Commitment]])</f>
        <v>1</v>
      </c>
      <c r="K73" s="1290">
        <f ca="1">SUMIF(CostTrack[Vendor - Contract],VendorList[[#This Row],[Vendor / Org. with Contract ID]],CostTrack[Holdback Value])*-1</f>
        <v>0</v>
      </c>
      <c r="L73" s="1290">
        <f ca="1">VendorList[[#This Row],[Current Commitment]]-VendorList[[#This Row],[Expenditures to Date]]</f>
        <v>0</v>
      </c>
      <c r="M73" s="127"/>
      <c r="N73" s="127">
        <v>45657</v>
      </c>
      <c r="O73" s="739" t="s">
        <v>471</v>
      </c>
      <c r="P73" s="1291" t="str">
        <f ca="1">IFERROR(INDEX(BudgetTrack[Primary Category],MATCH(VendorList[[#This Row],[PA ID]],BudgetTrack[PA ID],0)),"")</f>
        <v>FE_IT</v>
      </c>
      <c r="Q73" s="1291" t="str">
        <f ca="1">IFERROR(INDEX(BudgetTrack[Secondary Category],MATCH(VendorList[[#This Row],[PA ID]],BudgetTrack[PA ID],0)),"")</f>
        <v>Furniture &amp; Equipment</v>
      </c>
      <c r="R73" s="1292" t="str">
        <f ca="1">IFERROR(INDEX(BudgetTrack[Phase / Subproject],MATCH(VendorList[[#This Row],[PA ID]],BudgetTrack[PA ID],0)),"")</f>
        <v>--</v>
      </c>
      <c r="S73" s="1293" t="str">
        <f ca="1">IFERROR(INDEX(BudgetTrack[Phase / Subproject 2],MATCH(VendorList[[#This Row],[PA ID]],BudgetTrack[PA ID],0)),"")</f>
        <v>--</v>
      </c>
      <c r="T73" s="1292" t="str">
        <f ca="1">IFERROR(INDEX(BudgetTrack[Funding Source],MATCH(VendorList[[#This Row],[PA ID]],BudgetTrack[PA ID],0)),"")</f>
        <v>P-002360</v>
      </c>
      <c r="U73" s="745" t="str">
        <f ca="1">IF((OR(E73="Open",E73="--")),D73,"")</f>
        <v/>
      </c>
      <c r="V73" s="80" t="str">
        <f ca="1">IFERROR(INDEX($U$6:$U$109,_xlfn.AGGREGATE(15,6,(ROW($U$6:$U$109)-ROW($U$6)+1)/($U$6:$U$109&lt;&gt;""),ROWS(V$6:V73))),"")</f>
        <v/>
      </c>
      <c r="W73" s="1285">
        <f ca="1">IF(OR(VendorList[[#This Row],[Vendor / Org. with Contract ID]]="",VendorList[[#This Row],[Vendor / Org. with Contract ID]]="Future / Not Awarded"),"",IFERROR(INDEX(EAC[Estimate At Completion],MATCH(VendorList[[#This Row],[Vendor / Org. with Contract ID]],EAC[Vendor / Org. with Contract ID],0),1),"Does Not Exist"))</f>
        <v>52739.54</v>
      </c>
      <c r="Y73" s="922"/>
    </row>
    <row r="74" spans="2:25">
      <c r="B74" s="442" t="s">
        <v>481</v>
      </c>
      <c r="C74" s="443" t="s">
        <v>482</v>
      </c>
      <c r="D74" s="444" t="str">
        <f ca="1">IF(VendorList[[#This Row],[Vendor / Org.]]="","",CONCATENATE(VendorList[[#This Row],[Vendor / Org.]],"-",VendorList[[#This Row],[Contract ID]]))</f>
        <v>Allwest Fursnishing Ltd.-Library Shelving-PR101095</v>
      </c>
      <c r="E74" s="906" t="s">
        <v>80</v>
      </c>
      <c r="F74" s="446">
        <v>140694.82</v>
      </c>
      <c r="G74" s="286">
        <f ca="1">SUMIFS(ChangeTrack[Change Value],ChangeTrack[Vendor / Org.],VendorList[[#This Row],[Vendor / Org. with Contract ID]],ChangeTrack[Change Status],"Approved")</f>
        <v>0</v>
      </c>
      <c r="H74" s="447">
        <f ca="1">VendorList[[#This Row],[Original Contract Value]]+VendorList[[#This Row],[Amendment(s)]]</f>
        <v>140694.82</v>
      </c>
      <c r="I74" s="448">
        <f ca="1">SUMIFS(CostTrack[Value],CostTrack[Vendor - Contract],VendorList[[#This Row],[Vendor / Org. with Contract ID]],CostTrack[PA ID],VendorList[[#This Row],[PA ID]],CostTrack[Holdback (Y/N/R)],"&lt;&gt;Release",CostTrack[Status],"Approved")</f>
        <v>140694.82</v>
      </c>
      <c r="J74" s="449">
        <f ca="1">IF(VendorList[[#This Row],[Current Commitment]]=0,"-",VendorList[[#This Row],[Expenditures to Date]]/VendorList[[#This Row],[Current Commitment]])</f>
        <v>1</v>
      </c>
      <c r="K74" s="450">
        <f ca="1">SUMIF(CostTrack[Vendor - Contract],VendorList[[#This Row],[Vendor / Org. with Contract ID]],CostTrack[Holdback Value])*-1</f>
        <v>0</v>
      </c>
      <c r="L74" s="450">
        <f ca="1">VendorList[[#This Row],[Current Commitment]]-VendorList[[#This Row],[Expenditures to Date]]</f>
        <v>0</v>
      </c>
      <c r="M74" s="445"/>
      <c r="N74" s="127">
        <v>45657</v>
      </c>
      <c r="O74" s="85" t="s">
        <v>471</v>
      </c>
      <c r="P74" s="177" t="str">
        <f ca="1">IFERROR(INDEX(BudgetTrack[Primary Category],MATCH(VendorList[[#This Row],[PA ID]],BudgetTrack[PA ID],0)),"")</f>
        <v>FE_IT</v>
      </c>
      <c r="Q74" s="451" t="str">
        <f ca="1">IFERROR(INDEX(BudgetTrack[Secondary Category],MATCH(VendorList[[#This Row],[PA ID]],BudgetTrack[PA ID],0)),"")</f>
        <v>Furniture &amp; Equipment</v>
      </c>
      <c r="R74" s="452" t="str">
        <f ca="1">IFERROR(INDEX(BudgetTrack[Phase / Subproject],MATCH(VendorList[[#This Row],[PA ID]],BudgetTrack[PA ID],0)),"")</f>
        <v>--</v>
      </c>
      <c r="S74" s="452" t="str">
        <f ca="1">IFERROR(INDEX(BudgetTrack[Phase / Subproject 2],MATCH(VendorList[[#This Row],[PA ID]],BudgetTrack[PA ID],0)),"")</f>
        <v>--</v>
      </c>
      <c r="T74" s="577" t="str">
        <f ca="1">IFERROR(INDEX(BudgetTrack[Funding Source],MATCH(VendorList[[#This Row],[PA ID]],BudgetTrack[PA ID],0)),"")</f>
        <v>P-002360</v>
      </c>
      <c r="U74" s="453" t="str">
        <f t="shared" ca="1" si="0"/>
        <v/>
      </c>
      <c r="V74" s="454" t="str">
        <f ca="1">IFERROR(INDEX($U$6:$U$109,_xlfn.AGGREGATE(15,6,(ROW($U$6:$U$109)-ROW($U$6)+1)/($U$6:$U$109&lt;&gt;""),ROWS(V$6:V109))),"")</f>
        <v/>
      </c>
      <c r="W74" s="1294">
        <f ca="1">IF(OR(VendorList[[#This Row],[Vendor / Org. with Contract ID]]="",VendorList[[#This Row],[Vendor / Org. with Contract ID]]="Future / Not Awarded"),"",IFERROR(INDEX(EAC[Estimate At Completion],MATCH(VendorList[[#This Row],[Vendor / Org. with Contract ID]],EAC[Vendor / Org. with Contract ID],0),1),"Does Not Exist"))</f>
        <v>140694.82</v>
      </c>
      <c r="Y74" s="922"/>
    </row>
    <row r="75" spans="2:25">
      <c r="B75" s="738" t="s">
        <v>483</v>
      </c>
      <c r="C75" s="123">
        <v>9000075816</v>
      </c>
      <c r="D75" s="77" t="str">
        <f ca="1">IF(VendorList[[#This Row],[Vendor / Org.]]="","",CONCATENATE(VendorList[[#This Row],[Vendor / Org.]],"-",VendorList[[#This Row],[Contract ID]]))</f>
        <v>Allwest Fursnishing Ltd.-Workstations-9000075816</v>
      </c>
      <c r="E75" s="739" t="s">
        <v>80</v>
      </c>
      <c r="F75" s="1286">
        <v>1012070.93</v>
      </c>
      <c r="G75" s="1287">
        <f ca="1">SUMIFS(ChangeTrack[Change Value],ChangeTrack[Vendor / Org.],VendorList[[#This Row],[Vendor / Org. with Contract ID]],ChangeTrack[Change Status],"Approved")</f>
        <v>0</v>
      </c>
      <c r="H75" s="1287">
        <f ca="1">VendorList[[#This Row],[Original Contract Value]]+VendorList[[#This Row],[Amendment(s)]]</f>
        <v>1012070.93</v>
      </c>
      <c r="I75" s="1288">
        <f ca="1">SUMIFS(CostTrack[Value],CostTrack[Vendor - Contract],VendorList[[#This Row],[Vendor / Org. with Contract ID]],CostTrack[PA ID],VendorList[[#This Row],[PA ID]],CostTrack[Holdback (Y/N/R)],"&lt;&gt;Release",CostTrack[Status],"Approved")</f>
        <v>1012070.93</v>
      </c>
      <c r="J75" s="1289">
        <f ca="1">IF(VendorList[[#This Row],[Current Commitment]]=0,"-",VendorList[[#This Row],[Expenditures to Date]]/VendorList[[#This Row],[Current Commitment]])</f>
        <v>1</v>
      </c>
      <c r="K75" s="1290">
        <f ca="1">SUMIF(CostTrack[Vendor - Contract],VendorList[[#This Row],[Vendor / Org. with Contract ID]],CostTrack[Holdback Value])*-1</f>
        <v>0</v>
      </c>
      <c r="L75" s="1290">
        <f ca="1">VendorList[[#This Row],[Current Commitment]]-VendorList[[#This Row],[Expenditures to Date]]</f>
        <v>0</v>
      </c>
      <c r="M75" s="127"/>
      <c r="N75" s="127">
        <v>45657</v>
      </c>
      <c r="O75" s="739" t="s">
        <v>471</v>
      </c>
      <c r="P75" s="1291" t="str">
        <f ca="1">IFERROR(INDEX(BudgetTrack[Primary Category],MATCH(VendorList[[#This Row],[PA ID]],BudgetTrack[PA ID],0)),"")</f>
        <v>FE_IT</v>
      </c>
      <c r="Q75" s="1291" t="str">
        <f ca="1">IFERROR(INDEX(BudgetTrack[Secondary Category],MATCH(VendorList[[#This Row],[PA ID]],BudgetTrack[PA ID],0)),"")</f>
        <v>Furniture &amp; Equipment</v>
      </c>
      <c r="R75" s="1292" t="str">
        <f ca="1">IFERROR(INDEX(BudgetTrack[Phase / Subproject],MATCH(VendorList[[#This Row],[PA ID]],BudgetTrack[PA ID],0)),"")</f>
        <v>--</v>
      </c>
      <c r="S75" s="1293" t="str">
        <f ca="1">IFERROR(INDEX(BudgetTrack[Phase / Subproject 2],MATCH(VendorList[[#This Row],[PA ID]],BudgetTrack[PA ID],0)),"")</f>
        <v>--</v>
      </c>
      <c r="T75" s="1292" t="str">
        <f ca="1">IFERROR(INDEX(BudgetTrack[Funding Source],MATCH(VendorList[[#This Row],[PA ID]],BudgetTrack[PA ID],0)),"")</f>
        <v>P-002360</v>
      </c>
      <c r="U75" s="745" t="str">
        <f ca="1">IF((OR(E75="Open",E75="--")),D75,"")</f>
        <v/>
      </c>
      <c r="V75" s="80" t="str">
        <f ca="1">IFERROR(INDEX($U$6:$U$109,_xlfn.AGGREGATE(15,6,(ROW($U$6:$U$109)-ROW($U$6)+1)/($U$6:$U$109&lt;&gt;""),ROWS(V$6:V75))),"")</f>
        <v/>
      </c>
      <c r="W75" s="1285">
        <f ca="1">IF(OR(VendorList[[#This Row],[Vendor / Org. with Contract ID]]="",VendorList[[#This Row],[Vendor / Org. with Contract ID]]="Future / Not Awarded"),"",IFERROR(INDEX(EAC[Estimate At Completion],MATCH(VendorList[[#This Row],[Vendor / Org. with Contract ID]],EAC[Vendor / Org. with Contract ID],0),1),"Does Not Exist"))</f>
        <v>1012070.93</v>
      </c>
      <c r="Y75" s="922"/>
    </row>
    <row r="76" spans="2:25">
      <c r="B76" s="738" t="s">
        <v>484</v>
      </c>
      <c r="C76" s="123">
        <v>9000069690</v>
      </c>
      <c r="D76" s="77" t="str">
        <f ca="1">IF(VendorList[[#This Row],[Vendor / Org.]]="","",CONCATENATE(VendorList[[#This Row],[Vendor / Org.]],"-",VendorList[[#This Row],[Contract ID]]))</f>
        <v>Krug Boardroom Tables- delivery-9000069690</v>
      </c>
      <c r="E76" s="739" t="s">
        <v>80</v>
      </c>
      <c r="F76" s="1286">
        <v>1900</v>
      </c>
      <c r="G76" s="1287">
        <f ca="1">SUMIFS(ChangeTrack[Change Value],ChangeTrack[Vendor / Org.],VendorList[[#This Row],[Vendor / Org. with Contract ID]],ChangeTrack[Change Status],"Approved")</f>
        <v>0</v>
      </c>
      <c r="H76" s="1287">
        <f ca="1">VendorList[[#This Row],[Original Contract Value]]+VendorList[[#This Row],[Amendment(s)]]</f>
        <v>1900</v>
      </c>
      <c r="I76" s="1288">
        <f ca="1">SUMIFS(CostTrack[Value],CostTrack[Vendor - Contract],VendorList[[#This Row],[Vendor / Org. with Contract ID]],CostTrack[PA ID],VendorList[[#This Row],[PA ID]],CostTrack[Holdback (Y/N/R)],"&lt;&gt;Release",CostTrack[Status],"Approved")</f>
        <v>1900</v>
      </c>
      <c r="J76" s="1289">
        <f ca="1">IF(VendorList[[#This Row],[Current Commitment]]=0,"-",VendorList[[#This Row],[Expenditures to Date]]/VendorList[[#This Row],[Current Commitment]])</f>
        <v>1</v>
      </c>
      <c r="K76" s="1290">
        <f ca="1">SUMIF(CostTrack[Vendor - Contract],VendorList[[#This Row],[Vendor / Org. with Contract ID]],CostTrack[Holdback Value])*-1</f>
        <v>0</v>
      </c>
      <c r="L76" s="1290">
        <f ca="1">VendorList[[#This Row],[Current Commitment]]-VendorList[[#This Row],[Expenditures to Date]]</f>
        <v>0</v>
      </c>
      <c r="M76" s="127"/>
      <c r="N76" s="127">
        <v>45657</v>
      </c>
      <c r="O76" s="739" t="s">
        <v>471</v>
      </c>
      <c r="P76" s="1291" t="str">
        <f ca="1">IFERROR(INDEX(BudgetTrack[Primary Category],MATCH(VendorList[[#This Row],[PA ID]],BudgetTrack[PA ID],0)),"")</f>
        <v>FE_IT</v>
      </c>
      <c r="Q76" s="1291" t="str">
        <f ca="1">IFERROR(INDEX(BudgetTrack[Secondary Category],MATCH(VendorList[[#This Row],[PA ID]],BudgetTrack[PA ID],0)),"")</f>
        <v>Furniture &amp; Equipment</v>
      </c>
      <c r="R76" s="1292" t="str">
        <f ca="1">IFERROR(INDEX(BudgetTrack[Phase / Subproject],MATCH(VendorList[[#This Row],[PA ID]],BudgetTrack[PA ID],0)),"")</f>
        <v>--</v>
      </c>
      <c r="S76" s="1293" t="str">
        <f ca="1">IFERROR(INDEX(BudgetTrack[Phase / Subproject 2],MATCH(VendorList[[#This Row],[PA ID]],BudgetTrack[PA ID],0)),"")</f>
        <v>--</v>
      </c>
      <c r="T76" s="1292" t="str">
        <f ca="1">IFERROR(INDEX(BudgetTrack[Funding Source],MATCH(VendorList[[#This Row],[PA ID]],BudgetTrack[PA ID],0)),"")</f>
        <v>P-002360</v>
      </c>
      <c r="U76" s="745" t="str">
        <f ca="1">IF((OR(E76="Open",E76="--")),D76,"")</f>
        <v/>
      </c>
      <c r="V76" s="80" t="str">
        <f ca="1">IFERROR(INDEX($U$6:$U$109,_xlfn.AGGREGATE(15,6,(ROW($U$6:$U$109)-ROW($U$6)+1)/($U$6:$U$109&lt;&gt;""),ROWS(V$6:V76))),"")</f>
        <v/>
      </c>
      <c r="W76" s="1285">
        <f ca="1">IF(OR(VendorList[[#This Row],[Vendor / Org. with Contract ID]]="",VendorList[[#This Row],[Vendor / Org. with Contract ID]]="Future / Not Awarded"),"",IFERROR(INDEX(EAC[Estimate At Completion],MATCH(VendorList[[#This Row],[Vendor / Org. with Contract ID]],EAC[Vendor / Org. with Contract ID],0),1),"Does Not Exist"))</f>
        <v>1900</v>
      </c>
      <c r="Y76" s="922"/>
    </row>
    <row r="77" spans="2:25">
      <c r="B77" s="738" t="s">
        <v>485</v>
      </c>
      <c r="C77" s="123">
        <v>90000069628</v>
      </c>
      <c r="D77" s="77" t="str">
        <f ca="1">IF(VendorList[[#This Row],[Vendor / Org.]]="","",CONCATENATE(VendorList[[#This Row],[Vendor / Org.]],"-",VendorList[[#This Row],[Contract ID]]))</f>
        <v>Looker Office furniture- lounge &amp;occasional tables-90000069628</v>
      </c>
      <c r="E77" s="739" t="s">
        <v>80</v>
      </c>
      <c r="F77" s="1286">
        <v>137870.5</v>
      </c>
      <c r="G77" s="1287">
        <f ca="1">SUMIFS(ChangeTrack[Change Value],ChangeTrack[Vendor / Org.],VendorList[[#This Row],[Vendor / Org. with Contract ID]],ChangeTrack[Change Status],"Approved")</f>
        <v>0</v>
      </c>
      <c r="H77" s="1287">
        <f ca="1">VendorList[[#This Row],[Original Contract Value]]+VendorList[[#This Row],[Amendment(s)]]</f>
        <v>137870.5</v>
      </c>
      <c r="I77" s="1288">
        <f ca="1">SUMIFS(CostTrack[Value],CostTrack[Vendor - Contract],VendorList[[#This Row],[Vendor / Org. with Contract ID]],CostTrack[PA ID],VendorList[[#This Row],[PA ID]],CostTrack[Holdback (Y/N/R)],"&lt;&gt;Release",CostTrack[Status],"Approved")</f>
        <v>137870.5</v>
      </c>
      <c r="J77" s="1289">
        <f ca="1">IF(VendorList[[#This Row],[Current Commitment]]=0,"-",VendorList[[#This Row],[Expenditures to Date]]/VendorList[[#This Row],[Current Commitment]])</f>
        <v>1</v>
      </c>
      <c r="K77" s="1290">
        <f ca="1">SUMIF(CostTrack[Vendor - Contract],VendorList[[#This Row],[Vendor / Org. with Contract ID]],CostTrack[Holdback Value])*-1</f>
        <v>0</v>
      </c>
      <c r="L77" s="1290">
        <f ca="1">VendorList[[#This Row],[Current Commitment]]-VendorList[[#This Row],[Expenditures to Date]]</f>
        <v>0</v>
      </c>
      <c r="M77" s="127"/>
      <c r="N77" s="127">
        <v>45657</v>
      </c>
      <c r="O77" s="739" t="s">
        <v>471</v>
      </c>
      <c r="P77" s="1291" t="str">
        <f ca="1">IFERROR(INDEX(BudgetTrack[Primary Category],MATCH(VendorList[[#This Row],[PA ID]],BudgetTrack[PA ID],0)),"")</f>
        <v>FE_IT</v>
      </c>
      <c r="Q77" s="1291" t="str">
        <f ca="1">IFERROR(INDEX(BudgetTrack[Secondary Category],MATCH(VendorList[[#This Row],[PA ID]],BudgetTrack[PA ID],0)),"")</f>
        <v>Furniture &amp; Equipment</v>
      </c>
      <c r="R77" s="1292" t="str">
        <f ca="1">IFERROR(INDEX(BudgetTrack[Phase / Subproject],MATCH(VendorList[[#This Row],[PA ID]],BudgetTrack[PA ID],0)),"")</f>
        <v>--</v>
      </c>
      <c r="S77" s="1293" t="str">
        <f ca="1">IFERROR(INDEX(BudgetTrack[Phase / Subproject 2],MATCH(VendorList[[#This Row],[PA ID]],BudgetTrack[PA ID],0)),"")</f>
        <v>--</v>
      </c>
      <c r="T77" s="1292" t="str">
        <f ca="1">IFERROR(INDEX(BudgetTrack[Funding Source],MATCH(VendorList[[#This Row],[PA ID]],BudgetTrack[PA ID],0)),"")</f>
        <v>P-002360</v>
      </c>
      <c r="U77" s="745" t="str">
        <f ca="1">IF((OR(E77="Open",E77="--")),D77,"")</f>
        <v/>
      </c>
      <c r="V77" s="80" t="str">
        <f ca="1">IFERROR(INDEX($U$6:$U$109,_xlfn.AGGREGATE(15,6,(ROW($U$6:$U$109)-ROW($U$6)+1)/($U$6:$U$109&lt;&gt;""),ROWS(V$6:V109))),"")</f>
        <v/>
      </c>
      <c r="W77" s="1285">
        <f ca="1">IF(OR(VendorList[[#This Row],[Vendor / Org. with Contract ID]]="",VendorList[[#This Row],[Vendor / Org. with Contract ID]]="Future / Not Awarded"),"",IFERROR(INDEX(EAC[Estimate At Completion],MATCH(VendorList[[#This Row],[Vendor / Org. with Contract ID]],EAC[Vendor / Org. with Contract ID],0),1),"Does Not Exist"))</f>
        <v>137870.5</v>
      </c>
      <c r="Y77" s="922"/>
    </row>
    <row r="78" spans="2:25">
      <c r="B78" s="738" t="s">
        <v>486</v>
      </c>
      <c r="C78" s="123">
        <v>9000072438</v>
      </c>
      <c r="D78" s="77" t="str">
        <f ca="1">IF(VendorList[[#This Row],[Vendor / Org.]]="","",CONCATENATE(VendorList[[#This Row],[Vendor / Org.]],"-",VendorList[[#This Row],[Contract ID]]))</f>
        <v>COI- Beam Seating-9000072438</v>
      </c>
      <c r="E78" s="739" t="s">
        <v>80</v>
      </c>
      <c r="F78" s="1286">
        <v>530330.59</v>
      </c>
      <c r="G78" s="1287">
        <f ca="1">SUMIFS(ChangeTrack[Change Value],ChangeTrack[Vendor / Org.],VendorList[[#This Row],[Vendor / Org. with Contract ID]],ChangeTrack[Change Status],"Approved")</f>
        <v>0</v>
      </c>
      <c r="H78" s="1287">
        <f ca="1">VendorList[[#This Row],[Original Contract Value]]+VendorList[[#This Row],[Amendment(s)]]</f>
        <v>530330.59</v>
      </c>
      <c r="I78" s="1288">
        <f ca="1">SUMIFS(CostTrack[Value],CostTrack[Vendor - Contract],VendorList[[#This Row],[Vendor / Org. with Contract ID]],CostTrack[PA ID],VendorList[[#This Row],[PA ID]],CostTrack[Holdback (Y/N/R)],"&lt;&gt;Release",CostTrack[Status],"Approved")</f>
        <v>530330.59</v>
      </c>
      <c r="J78" s="1289">
        <f ca="1">IF(VendorList[[#This Row],[Current Commitment]]=0,"-",VendorList[[#This Row],[Expenditures to Date]]/VendorList[[#This Row],[Current Commitment]])</f>
        <v>1</v>
      </c>
      <c r="K78" s="1290">
        <f ca="1">SUMIF(CostTrack[Vendor - Contract],VendorList[[#This Row],[Vendor / Org. with Contract ID]],CostTrack[Holdback Value])*-1</f>
        <v>0</v>
      </c>
      <c r="L78" s="1290">
        <f ca="1">VendorList[[#This Row],[Current Commitment]]-VendorList[[#This Row],[Expenditures to Date]]</f>
        <v>0</v>
      </c>
      <c r="M78" s="127"/>
      <c r="N78" s="127">
        <v>45657</v>
      </c>
      <c r="O78" s="739" t="s">
        <v>471</v>
      </c>
      <c r="P78" s="1291" t="str">
        <f ca="1">IFERROR(INDEX(BudgetTrack[Primary Category],MATCH(VendorList[[#This Row],[PA ID]],BudgetTrack[PA ID],0)),"")</f>
        <v>FE_IT</v>
      </c>
      <c r="Q78" s="1291" t="str">
        <f ca="1">IFERROR(INDEX(BudgetTrack[Secondary Category],MATCH(VendorList[[#This Row],[PA ID]],BudgetTrack[PA ID],0)),"")</f>
        <v>Furniture &amp; Equipment</v>
      </c>
      <c r="R78" s="1292" t="str">
        <f ca="1">IFERROR(INDEX(BudgetTrack[Phase / Subproject],MATCH(VendorList[[#This Row],[PA ID]],BudgetTrack[PA ID],0)),"")</f>
        <v>--</v>
      </c>
      <c r="S78" s="1293" t="str">
        <f ca="1">IFERROR(INDEX(BudgetTrack[Phase / Subproject 2],MATCH(VendorList[[#This Row],[PA ID]],BudgetTrack[PA ID],0)),"")</f>
        <v>--</v>
      </c>
      <c r="T78" s="1292" t="str">
        <f ca="1">IFERROR(INDEX(BudgetTrack[Funding Source],MATCH(VendorList[[#This Row],[PA ID]],BudgetTrack[PA ID],0)),"")</f>
        <v>P-002360</v>
      </c>
      <c r="U78" s="745" t="str">
        <f t="shared" ref="U78:U81" ca="1" si="6">IF((OR(E78="Open",E78="--")),D78,"")</f>
        <v/>
      </c>
      <c r="V78" s="80" t="str">
        <f ca="1">IFERROR(INDEX($U$6:$U$109,_xlfn.AGGREGATE(15,6,(ROW($U$6:$U$109)-ROW($U$6)+1)/($U$6:$U$109&lt;&gt;""),ROWS(V$6:V78))),"")</f>
        <v/>
      </c>
      <c r="W78" s="1285">
        <f ca="1">IF(OR(VendorList[[#This Row],[Vendor / Org. with Contract ID]]="",VendorList[[#This Row],[Vendor / Org. with Contract ID]]="Future / Not Awarded"),"",IFERROR(INDEX(EAC[Estimate At Completion],MATCH(VendorList[[#This Row],[Vendor / Org. with Contract ID]],EAC[Vendor / Org. with Contract ID],0),1),"Does Not Exist"))</f>
        <v>530330.59</v>
      </c>
      <c r="Y78" s="922"/>
    </row>
    <row r="79" spans="2:25">
      <c r="B79" s="738" t="s">
        <v>487</v>
      </c>
      <c r="C79" s="123">
        <v>9000081170</v>
      </c>
      <c r="D79" s="77" t="str">
        <f ca="1">IF(VendorList[[#This Row],[Vendor / Org.]]="","",CONCATENATE(VendorList[[#This Row],[Vendor / Org.]],"-",VendorList[[#This Row],[Contract ID]]))</f>
        <v>APA-Access Cards-9000081170</v>
      </c>
      <c r="E79" s="739" t="s">
        <v>80</v>
      </c>
      <c r="F79" s="1286">
        <v>1065</v>
      </c>
      <c r="G79" s="1287">
        <f ca="1">SUMIFS(ChangeTrack[Change Value],ChangeTrack[Vendor / Org.],VendorList[[#This Row],[Vendor / Org. with Contract ID]],ChangeTrack[Change Status],"Approved")</f>
        <v>0</v>
      </c>
      <c r="H79" s="1287">
        <f ca="1">VendorList[[#This Row],[Original Contract Value]]+VendorList[[#This Row],[Amendment(s)]]</f>
        <v>1065</v>
      </c>
      <c r="I79" s="1288">
        <f ca="1">SUMIFS(CostTrack[Value],CostTrack[Vendor - Contract],VendorList[[#This Row],[Vendor / Org. with Contract ID]],CostTrack[PA ID],VendorList[[#This Row],[PA ID]],CostTrack[Holdback (Y/N/R)],"&lt;&gt;Release",CostTrack[Status],"Approved")</f>
        <v>1065</v>
      </c>
      <c r="J79" s="1289">
        <f ca="1">IF(VendorList[[#This Row],[Current Commitment]]=0,"-",VendorList[[#This Row],[Expenditures to Date]]/VendorList[[#This Row],[Current Commitment]])</f>
        <v>1</v>
      </c>
      <c r="K79" s="1290">
        <f ca="1">SUMIF(CostTrack[Vendor - Contract],VendorList[[#This Row],[Vendor / Org. with Contract ID]],CostTrack[Holdback Value])*-1</f>
        <v>0</v>
      </c>
      <c r="L79" s="1290">
        <f ca="1">VendorList[[#This Row],[Current Commitment]]-VendorList[[#This Row],[Expenditures to Date]]</f>
        <v>0</v>
      </c>
      <c r="M79" s="127"/>
      <c r="N79" s="127">
        <v>45657</v>
      </c>
      <c r="O79" s="739" t="s">
        <v>471</v>
      </c>
      <c r="P79" s="1291" t="str">
        <f ca="1">IFERROR(INDEX(BudgetTrack[Primary Category],MATCH(VendorList[[#This Row],[PA ID]],BudgetTrack[PA ID],0)),"")</f>
        <v>FE_IT</v>
      </c>
      <c r="Q79" s="1291" t="str">
        <f ca="1">IFERROR(INDEX(BudgetTrack[Secondary Category],MATCH(VendorList[[#This Row],[PA ID]],BudgetTrack[PA ID],0)),"")</f>
        <v>Furniture &amp; Equipment</v>
      </c>
      <c r="R79" s="1292" t="str">
        <f ca="1">IFERROR(INDEX(BudgetTrack[Phase / Subproject],MATCH(VendorList[[#This Row],[PA ID]],BudgetTrack[PA ID],0)),"")</f>
        <v>--</v>
      </c>
      <c r="S79" s="1293" t="str">
        <f ca="1">IFERROR(INDEX(BudgetTrack[Phase / Subproject 2],MATCH(VendorList[[#This Row],[PA ID]],BudgetTrack[PA ID],0)),"")</f>
        <v>--</v>
      </c>
      <c r="T79" s="1292" t="str">
        <f ca="1">IFERROR(INDEX(BudgetTrack[Funding Source],MATCH(VendorList[[#This Row],[PA ID]],BudgetTrack[PA ID],0)),"")</f>
        <v>P-002360</v>
      </c>
      <c r="U79" s="745" t="str">
        <f t="shared" ca="1" si="6"/>
        <v/>
      </c>
      <c r="V79" s="80" t="str">
        <f ca="1">IFERROR(INDEX($U$6:$U$109,_xlfn.AGGREGATE(15,6,(ROW($U$6:$U$109)-ROW($U$6)+1)/($U$6:$U$109&lt;&gt;""),ROWS(V$6:V79))),"")</f>
        <v/>
      </c>
      <c r="W79" s="1285">
        <f ca="1">IF(OR(VendorList[[#This Row],[Vendor / Org. with Contract ID]]="",VendorList[[#This Row],[Vendor / Org. with Contract ID]]="Future / Not Awarded"),"",IFERROR(INDEX(EAC[Estimate At Completion],MATCH(VendorList[[#This Row],[Vendor / Org. with Contract ID]],EAC[Vendor / Org. with Contract ID],0),1),"Does Not Exist"))</f>
        <v>1065</v>
      </c>
      <c r="Y79" s="922"/>
    </row>
    <row r="80" spans="2:25">
      <c r="B80" s="738" t="s">
        <v>488</v>
      </c>
      <c r="C80" s="123">
        <v>900068755</v>
      </c>
      <c r="D80" s="77" t="str">
        <f ca="1">IF(VendorList[[#This Row],[Vendor / Org.]]="","",CONCATENATE(VendorList[[#This Row],[Vendor / Org.]],"-",VendorList[[#This Row],[Contract ID]]))</f>
        <v>Krug Boardroom tables-storage-900068755</v>
      </c>
      <c r="E80" s="739" t="s">
        <v>80</v>
      </c>
      <c r="F80" s="1286">
        <v>3285</v>
      </c>
      <c r="G80" s="1287">
        <f ca="1">SUMIFS(ChangeTrack[Change Value],ChangeTrack[Vendor / Org.],VendorList[[#This Row],[Vendor / Org. with Contract ID]],ChangeTrack[Change Status],"Approved")</f>
        <v>0</v>
      </c>
      <c r="H80" s="1287">
        <f ca="1">VendorList[[#This Row],[Original Contract Value]]+VendorList[[#This Row],[Amendment(s)]]</f>
        <v>3285</v>
      </c>
      <c r="I80" s="1288">
        <f ca="1">SUMIFS(CostTrack[Value],CostTrack[Vendor - Contract],VendorList[[#This Row],[Vendor / Org. with Contract ID]],CostTrack[PA ID],VendorList[[#This Row],[PA ID]],CostTrack[Holdback (Y/N/R)],"&lt;&gt;Release",CostTrack[Status],"Approved")</f>
        <v>3285</v>
      </c>
      <c r="J80" s="1289">
        <f ca="1">IF(VendorList[[#This Row],[Current Commitment]]=0,"-",VendorList[[#This Row],[Expenditures to Date]]/VendorList[[#This Row],[Current Commitment]])</f>
        <v>1</v>
      </c>
      <c r="K80" s="1290">
        <f ca="1">SUMIF(CostTrack[Vendor - Contract],VendorList[[#This Row],[Vendor / Org. with Contract ID]],CostTrack[Holdback Value])*-1</f>
        <v>0</v>
      </c>
      <c r="L80" s="1290">
        <f ca="1">VendorList[[#This Row],[Current Commitment]]-VendorList[[#This Row],[Expenditures to Date]]</f>
        <v>0</v>
      </c>
      <c r="M80" s="127"/>
      <c r="N80" s="127">
        <v>45657</v>
      </c>
      <c r="O80" s="739" t="s">
        <v>471</v>
      </c>
      <c r="P80" s="1291" t="str">
        <f ca="1">IFERROR(INDEX(BudgetTrack[Primary Category],MATCH(VendorList[[#This Row],[PA ID]],BudgetTrack[PA ID],0)),"")</f>
        <v>FE_IT</v>
      </c>
      <c r="Q80" s="1291" t="str">
        <f ca="1">IFERROR(INDEX(BudgetTrack[Secondary Category],MATCH(VendorList[[#This Row],[PA ID]],BudgetTrack[PA ID],0)),"")</f>
        <v>Furniture &amp; Equipment</v>
      </c>
      <c r="R80" s="1292" t="str">
        <f ca="1">IFERROR(INDEX(BudgetTrack[Phase / Subproject],MATCH(VendorList[[#This Row],[PA ID]],BudgetTrack[PA ID],0)),"")</f>
        <v>--</v>
      </c>
      <c r="S80" s="1293" t="str">
        <f ca="1">IFERROR(INDEX(BudgetTrack[Phase / Subproject 2],MATCH(VendorList[[#This Row],[PA ID]],BudgetTrack[PA ID],0)),"")</f>
        <v>--</v>
      </c>
      <c r="T80" s="1292" t="str">
        <f ca="1">IFERROR(INDEX(BudgetTrack[Funding Source],MATCH(VendorList[[#This Row],[PA ID]],BudgetTrack[PA ID],0)),"")</f>
        <v>P-002360</v>
      </c>
      <c r="U80" s="745" t="str">
        <f t="shared" ca="1" si="6"/>
        <v/>
      </c>
      <c r="V80" s="80" t="str">
        <f ca="1">IFERROR(INDEX($U$6:$U$109,_xlfn.AGGREGATE(15,6,(ROW($U$6:$U$109)-ROW($U$6)+1)/($U$6:$U$109&lt;&gt;""),ROWS(V$6:V80))),"")</f>
        <v/>
      </c>
      <c r="W80" s="1285">
        <f ca="1">IF(OR(VendorList[[#This Row],[Vendor / Org. with Contract ID]]="",VendorList[[#This Row],[Vendor / Org. with Contract ID]]="Future / Not Awarded"),"",IFERROR(INDEX(EAC[Estimate At Completion],MATCH(VendorList[[#This Row],[Vendor / Org. with Contract ID]],EAC[Vendor / Org. with Contract ID],0),1),"Does Not Exist"))</f>
        <v>3285</v>
      </c>
      <c r="Y80" s="922"/>
    </row>
    <row r="81" spans="2:25">
      <c r="B81" s="738" t="s">
        <v>489</v>
      </c>
      <c r="C81" s="123" t="s">
        <v>409</v>
      </c>
      <c r="D81" s="77" t="str">
        <f ca="1">IF(VendorList[[#This Row],[Vendor / Org.]]="","",CONCATENATE(VendorList[[#This Row],[Vendor / Org.]],"-",VendorList[[#This Row],[Contract ID]]))</f>
        <v>Realty in Red Deer Ltd-Cleaning Fees-Direct Pay</v>
      </c>
      <c r="E81" s="739" t="s">
        <v>80</v>
      </c>
      <c r="F81" s="1286">
        <v>800</v>
      </c>
      <c r="G81" s="1287">
        <f ca="1">SUMIFS(ChangeTrack[Change Value],ChangeTrack[Vendor / Org.],VendorList[[#This Row],[Vendor / Org. with Contract ID]],ChangeTrack[Change Status],"Approved")</f>
        <v>0</v>
      </c>
      <c r="H81" s="1287">
        <f ca="1">VendorList[[#This Row],[Original Contract Value]]+VendorList[[#This Row],[Amendment(s)]]</f>
        <v>800</v>
      </c>
      <c r="I81" s="1288">
        <f ca="1">SUMIFS(CostTrack[Value],CostTrack[Vendor - Contract],VendorList[[#This Row],[Vendor / Org. with Contract ID]],CostTrack[PA ID],VendorList[[#This Row],[PA ID]],CostTrack[Holdback (Y/N/R)],"&lt;&gt;Release",CostTrack[Status],"Approved")</f>
        <v>800</v>
      </c>
      <c r="J81" s="1289">
        <f ca="1">IF(VendorList[[#This Row],[Current Commitment]]=0,"-",VendorList[[#This Row],[Expenditures to Date]]/VendorList[[#This Row],[Current Commitment]])</f>
        <v>1</v>
      </c>
      <c r="K81" s="1290">
        <f ca="1">SUMIF(CostTrack[Vendor - Contract],VendorList[[#This Row],[Vendor / Org. with Contract ID]],CostTrack[Holdback Value])*-1</f>
        <v>0</v>
      </c>
      <c r="L81" s="1290">
        <f ca="1">VendorList[[#This Row],[Current Commitment]]-VendorList[[#This Row],[Expenditures to Date]]</f>
        <v>0</v>
      </c>
      <c r="M81" s="127"/>
      <c r="N81" s="127">
        <v>45657</v>
      </c>
      <c r="O81" s="739" t="s">
        <v>248</v>
      </c>
      <c r="P81" s="1291" t="str">
        <f ca="1">IFERROR(INDEX(BudgetTrack[Primary Category],MATCH(VendorList[[#This Row],[PA ID]],BudgetTrack[PA ID],0)),"")</f>
        <v>Construction</v>
      </c>
      <c r="Q81" s="1291" t="str">
        <f ca="1">IFERROR(INDEX(BudgetTrack[Secondary Category],MATCH(VendorList[[#This Row],[PA ID]],BudgetTrack[PA ID],0)),"")</f>
        <v>Other Contractor</v>
      </c>
      <c r="R81" s="1292" t="str">
        <f ca="1">IFERROR(INDEX(BudgetTrack[Phase / Subproject],MATCH(VendorList[[#This Row],[PA ID]],BudgetTrack[PA ID],0)),"")</f>
        <v>--</v>
      </c>
      <c r="S81" s="1293" t="str">
        <f ca="1">IFERROR(INDEX(BudgetTrack[Phase / Subproject 2],MATCH(VendorList[[#This Row],[PA ID]],BudgetTrack[PA ID],0)),"")</f>
        <v>--</v>
      </c>
      <c r="T81" s="1292" t="str">
        <f ca="1">IFERROR(INDEX(BudgetTrack[Funding Source],MATCH(VendorList[[#This Row],[PA ID]],BudgetTrack[PA ID],0)),"")</f>
        <v>P-002360</v>
      </c>
      <c r="U81" s="745" t="str">
        <f t="shared" ca="1" si="6"/>
        <v/>
      </c>
      <c r="V81" s="80" t="str">
        <f ca="1">IFERROR(INDEX($U$6:$U$109,_xlfn.AGGREGATE(15,6,(ROW($U$6:$U$109)-ROW($U$6)+1)/($U$6:$U$109&lt;&gt;""),ROWS(V$6:V81))),"")</f>
        <v/>
      </c>
      <c r="W81" s="1285">
        <f ca="1">IF(OR(VendorList[[#This Row],[Vendor / Org. with Contract ID]]="",VendorList[[#This Row],[Vendor / Org. with Contract ID]]="Future / Not Awarded"),"",IFERROR(INDEX(EAC[Estimate At Completion],MATCH(VendorList[[#This Row],[Vendor / Org. with Contract ID]],EAC[Vendor / Org. with Contract ID],0),1),"Does Not Exist"))</f>
        <v>800</v>
      </c>
      <c r="Y81" s="922"/>
    </row>
    <row r="82" spans="2:25">
      <c r="B82" s="738" t="s">
        <v>490</v>
      </c>
      <c r="C82" s="123">
        <v>9000075998</v>
      </c>
      <c r="D82" s="77" t="str">
        <f ca="1">IF(VendorList[[#This Row],[Vendor / Org.]]="","",CONCATENATE(VendorList[[#This Row],[Vendor / Org.]],"-",VendorList[[#This Row],[Contract ID]]))</f>
        <v>ALLWEST Furnishings- Pac poles-9000075998</v>
      </c>
      <c r="E82" s="739" t="s">
        <v>80</v>
      </c>
      <c r="F82" s="1286">
        <v>732</v>
      </c>
      <c r="G82" s="1287">
        <f ca="1">SUMIFS(ChangeTrack[Change Value],ChangeTrack[Vendor / Org.],VendorList[[#This Row],[Vendor / Org. with Contract ID]],ChangeTrack[Change Status],"Approved")</f>
        <v>0</v>
      </c>
      <c r="H82" s="1287">
        <f ca="1">VendorList[[#This Row],[Original Contract Value]]+VendorList[[#This Row],[Amendment(s)]]</f>
        <v>732</v>
      </c>
      <c r="I82" s="1288">
        <f ca="1">SUMIFS(CostTrack[Value],CostTrack[Vendor - Contract],VendorList[[#This Row],[Vendor / Org. with Contract ID]],CostTrack[PA ID],VendorList[[#This Row],[PA ID]],CostTrack[Holdback (Y/N/R)],"&lt;&gt;Release",CostTrack[Status],"Approved")</f>
        <v>732</v>
      </c>
      <c r="J82" s="1289">
        <f ca="1">IF(VendorList[[#This Row],[Current Commitment]]=0,"-",VendorList[[#This Row],[Expenditures to Date]]/VendorList[[#This Row],[Current Commitment]])</f>
        <v>1</v>
      </c>
      <c r="K82" s="1290">
        <f ca="1">SUMIF(CostTrack[Vendor - Contract],VendorList[[#This Row],[Vendor / Org. with Contract ID]],CostTrack[Holdback Value])*-1</f>
        <v>0</v>
      </c>
      <c r="L82" s="1290">
        <f ca="1">VendorList[[#This Row],[Current Commitment]]-VendorList[[#This Row],[Expenditures to Date]]</f>
        <v>0</v>
      </c>
      <c r="M82" s="127"/>
      <c r="N82" s="127">
        <v>45657</v>
      </c>
      <c r="O82" s="739" t="s">
        <v>471</v>
      </c>
      <c r="P82" s="1291" t="str">
        <f ca="1">IFERROR(INDEX(BudgetTrack[Primary Category],MATCH(VendorList[[#This Row],[PA ID]],BudgetTrack[PA ID],0)),"")</f>
        <v>FE_IT</v>
      </c>
      <c r="Q82" s="1291" t="str">
        <f ca="1">IFERROR(INDEX(BudgetTrack[Secondary Category],MATCH(VendorList[[#This Row],[PA ID]],BudgetTrack[PA ID],0)),"")</f>
        <v>Furniture &amp; Equipment</v>
      </c>
      <c r="R82" s="1292" t="str">
        <f ca="1">IFERROR(INDEX(BudgetTrack[Phase / Subproject],MATCH(VendorList[[#This Row],[PA ID]],BudgetTrack[PA ID],0)),"")</f>
        <v>--</v>
      </c>
      <c r="S82" s="1293" t="str">
        <f ca="1">IFERROR(INDEX(BudgetTrack[Phase / Subproject 2],MATCH(VendorList[[#This Row],[PA ID]],BudgetTrack[PA ID],0)),"")</f>
        <v>--</v>
      </c>
      <c r="T82" s="1292" t="str">
        <f ca="1">IFERROR(INDEX(BudgetTrack[Funding Source],MATCH(VendorList[[#This Row],[PA ID]],BudgetTrack[PA ID],0)),"")</f>
        <v>P-002360</v>
      </c>
      <c r="U82" s="745" t="str">
        <f t="shared" ref="U82:U83" ca="1" si="7">IF((OR(E82="Open",E82="--")),D82,"")</f>
        <v/>
      </c>
      <c r="V82" s="80" t="str">
        <f ca="1">IFERROR(INDEX($U$6:$U$109,_xlfn.AGGREGATE(15,6,(ROW($U$6:$U$109)-ROW($U$6)+1)/($U$6:$U$109&lt;&gt;""),ROWS(V$6:V82))),"")</f>
        <v/>
      </c>
      <c r="W82" s="1285">
        <f ca="1">IF(OR(VendorList[[#This Row],[Vendor / Org. with Contract ID]]="",VendorList[[#This Row],[Vendor / Org. with Contract ID]]="Future / Not Awarded"),"",IFERROR(INDEX(EAC[Estimate At Completion],MATCH(VendorList[[#This Row],[Vendor / Org. with Contract ID]],EAC[Vendor / Org. with Contract ID],0),1),"Does Not Exist"))</f>
        <v>732</v>
      </c>
      <c r="Y82" s="922"/>
    </row>
    <row r="83" spans="2:25">
      <c r="B83" s="738" t="s">
        <v>491</v>
      </c>
      <c r="C83" s="123">
        <v>9000077924</v>
      </c>
      <c r="D83" s="77" t="str">
        <f ca="1">IF(VendorList[[#This Row],[Vendor / Org.]]="","",CONCATENATE(VendorList[[#This Row],[Vendor / Org.]],"-",VendorList[[#This Row],[Contract ID]]))</f>
        <v>ALLWEST Furnishings-Add't Fees-9000077924</v>
      </c>
      <c r="E83" s="739" t="s">
        <v>80</v>
      </c>
      <c r="F83" s="994">
        <v>10335</v>
      </c>
      <c r="G83" s="1287">
        <f ca="1">SUMIFS(ChangeTrack[Change Value],ChangeTrack[Vendor / Org.],VendorList[[#This Row],[Vendor / Org. with Contract ID]],ChangeTrack[Change Status],"Approved")</f>
        <v>0</v>
      </c>
      <c r="H83" s="1287">
        <f ca="1">VendorList[[#This Row],[Original Contract Value]]+VendorList[[#This Row],[Amendment(s)]]</f>
        <v>10335</v>
      </c>
      <c r="I83" s="1288">
        <f ca="1">SUMIFS(CostTrack[Value],CostTrack[Vendor - Contract],VendorList[[#This Row],[Vendor / Org. with Contract ID]],CostTrack[PA ID],VendorList[[#This Row],[PA ID]],CostTrack[Holdback (Y/N/R)],"&lt;&gt;Release",CostTrack[Status],"Approved")</f>
        <v>10335</v>
      </c>
      <c r="J83" s="1289">
        <f ca="1">IF(VendorList[[#This Row],[Current Commitment]]=0,"-",VendorList[[#This Row],[Expenditures to Date]]/VendorList[[#This Row],[Current Commitment]])</f>
        <v>1</v>
      </c>
      <c r="K83" s="1290">
        <f ca="1">SUMIF(CostTrack[Vendor - Contract],VendorList[[#This Row],[Vendor / Org. with Contract ID]],CostTrack[Holdback Value])*-1</f>
        <v>0</v>
      </c>
      <c r="L83" s="1290">
        <f ca="1">VendorList[[#This Row],[Current Commitment]]-VendorList[[#This Row],[Expenditures to Date]]</f>
        <v>0</v>
      </c>
      <c r="M83" s="127"/>
      <c r="N83" s="127">
        <v>45657</v>
      </c>
      <c r="O83" s="739" t="s">
        <v>471</v>
      </c>
      <c r="P83" s="1291" t="str">
        <f ca="1">IFERROR(INDEX(BudgetTrack[Primary Category],MATCH(VendorList[[#This Row],[PA ID]],BudgetTrack[PA ID],0)),"")</f>
        <v>FE_IT</v>
      </c>
      <c r="Q83" s="1291" t="str">
        <f ca="1">IFERROR(INDEX(BudgetTrack[Secondary Category],MATCH(VendorList[[#This Row],[PA ID]],BudgetTrack[PA ID],0)),"")</f>
        <v>Furniture &amp; Equipment</v>
      </c>
      <c r="R83" s="1292" t="str">
        <f ca="1">IFERROR(INDEX(BudgetTrack[Phase / Subproject],MATCH(VendorList[[#This Row],[PA ID]],BudgetTrack[PA ID],0)),"")</f>
        <v>--</v>
      </c>
      <c r="S83" s="1293" t="str">
        <f ca="1">IFERROR(INDEX(BudgetTrack[Phase / Subproject 2],MATCH(VendorList[[#This Row],[PA ID]],BudgetTrack[PA ID],0)),"")</f>
        <v>--</v>
      </c>
      <c r="T83" s="1292" t="str">
        <f ca="1">IFERROR(INDEX(BudgetTrack[Funding Source],MATCH(VendorList[[#This Row],[PA ID]],BudgetTrack[PA ID],0)),"")</f>
        <v>P-002360</v>
      </c>
      <c r="U83" s="745" t="str">
        <f t="shared" ca="1" si="7"/>
        <v/>
      </c>
      <c r="V83" s="80" t="str">
        <f ca="1">IFERROR(INDEX($U$6:$U$109,_xlfn.AGGREGATE(15,6,(ROW($U$6:$U$109)-ROW($U$6)+1)/($U$6:$U$109&lt;&gt;""),ROWS(V$6:V83))),"")</f>
        <v/>
      </c>
      <c r="W83" s="1285">
        <f ca="1">IF(OR(VendorList[[#This Row],[Vendor / Org. with Contract ID]]="",VendorList[[#This Row],[Vendor / Org. with Contract ID]]="Future / Not Awarded"),"",IFERROR(INDEX(EAC[Estimate At Completion],MATCH(VendorList[[#This Row],[Vendor / Org. with Contract ID]],EAC[Vendor / Org. with Contract ID],0),1),"Does Not Exist"))</f>
        <v>10335</v>
      </c>
      <c r="Y83" s="922"/>
    </row>
    <row r="84" spans="2:25">
      <c r="B84" s="738" t="s">
        <v>492</v>
      </c>
      <c r="C84" s="123">
        <v>9000082427</v>
      </c>
      <c r="D84" s="77" t="str">
        <f ca="1">IF(VendorList[[#This Row],[Vendor / Org.]]="","",CONCATENATE(VendorList[[#This Row],[Vendor / Org.]],"-",VendorList[[#This Row],[Contract ID]]))</f>
        <v>Allwest- Lateral Top Cut down-9000082427</v>
      </c>
      <c r="E84" s="739" t="s">
        <v>80</v>
      </c>
      <c r="F84" s="1295">
        <v>1254</v>
      </c>
      <c r="G84" s="1287">
        <f ca="1">SUMIFS(ChangeTrack[Change Value],ChangeTrack[Vendor / Org.],VendorList[[#This Row],[Vendor / Org. with Contract ID]],ChangeTrack[Change Status],"Approved")</f>
        <v>0</v>
      </c>
      <c r="H84" s="1287">
        <f ca="1">VendorList[[#This Row],[Original Contract Value]]+VendorList[[#This Row],[Amendment(s)]]</f>
        <v>1254</v>
      </c>
      <c r="I84" s="1288">
        <f ca="1">SUMIFS(CostTrack[Value],CostTrack[Vendor - Contract],VendorList[[#This Row],[Vendor / Org. with Contract ID]],CostTrack[PA ID],VendorList[[#This Row],[PA ID]],CostTrack[Holdback (Y/N/R)],"&lt;&gt;Release",CostTrack[Status],"Approved")</f>
        <v>1254</v>
      </c>
      <c r="J84" s="1289">
        <f ca="1">IF(VendorList[[#This Row],[Current Commitment]]=0,"-",VendorList[[#This Row],[Expenditures to Date]]/VendorList[[#This Row],[Current Commitment]])</f>
        <v>1</v>
      </c>
      <c r="K84" s="1290">
        <f ca="1">SUMIF(CostTrack[Vendor - Contract],VendorList[[#This Row],[Vendor / Org. with Contract ID]],CostTrack[Holdback Value])*-1</f>
        <v>0</v>
      </c>
      <c r="L84" s="1290">
        <f ca="1">VendorList[[#This Row],[Current Commitment]]-VendorList[[#This Row],[Expenditures to Date]]</f>
        <v>0</v>
      </c>
      <c r="M84" s="127"/>
      <c r="N84" s="127">
        <v>45657</v>
      </c>
      <c r="O84" s="739" t="s">
        <v>471</v>
      </c>
      <c r="P84" s="1291" t="str">
        <f ca="1">IFERROR(INDEX(BudgetTrack[Primary Category],MATCH(VendorList[[#This Row],[PA ID]],BudgetTrack[PA ID],0)),"")</f>
        <v>FE_IT</v>
      </c>
      <c r="Q84" s="1291" t="str">
        <f ca="1">IFERROR(INDEX(BudgetTrack[Secondary Category],MATCH(VendorList[[#This Row],[PA ID]],BudgetTrack[PA ID],0)),"")</f>
        <v>Furniture &amp; Equipment</v>
      </c>
      <c r="R84" s="1292" t="str">
        <f ca="1">IFERROR(INDEX(BudgetTrack[Phase / Subproject],MATCH(VendorList[[#This Row],[PA ID]],BudgetTrack[PA ID],0)),"")</f>
        <v>--</v>
      </c>
      <c r="S84" s="1293" t="str">
        <f ca="1">IFERROR(INDEX(BudgetTrack[Phase / Subproject 2],MATCH(VendorList[[#This Row],[PA ID]],BudgetTrack[PA ID],0)),"")</f>
        <v>--</v>
      </c>
      <c r="T84" s="1292" t="str">
        <f ca="1">IFERROR(INDEX(BudgetTrack[Funding Source],MATCH(VendorList[[#This Row],[PA ID]],BudgetTrack[PA ID],0)),"")</f>
        <v>P-002360</v>
      </c>
      <c r="U84" s="745" t="str">
        <f t="shared" ref="U84:U85" ca="1" si="8">IF((OR(E84="Open",E84="--")),D84,"")</f>
        <v/>
      </c>
      <c r="V84" s="80" t="str">
        <f ca="1">IFERROR(INDEX($U$6:$U$109,_xlfn.AGGREGATE(15,6,(ROW($U$6:$U$109)-ROW($U$6)+1)/($U$6:$U$109&lt;&gt;""),ROWS(V$6:V84))),"")</f>
        <v/>
      </c>
      <c r="W84" s="1285">
        <f ca="1">IF(OR(VendorList[[#This Row],[Vendor / Org. with Contract ID]]="",VendorList[[#This Row],[Vendor / Org. with Contract ID]]="Future / Not Awarded"),"",IFERROR(INDEX(EAC[Estimate At Completion],MATCH(VendorList[[#This Row],[Vendor / Org. with Contract ID]],EAC[Vendor / Org. with Contract ID],0),1),"Does Not Exist"))</f>
        <v>1254</v>
      </c>
      <c r="Y84" s="922"/>
    </row>
    <row r="85" spans="2:25">
      <c r="B85" s="738" t="s">
        <v>493</v>
      </c>
      <c r="C85" s="123">
        <v>9000082421</v>
      </c>
      <c r="D85" s="77" t="str">
        <f ca="1">IF(VendorList[[#This Row],[Vendor / Org.]]="","",CONCATENATE(VendorList[[#This Row],[Vendor / Org.]],"-",VendorList[[#This Row],[Contract ID]]))</f>
        <v>Allwest- Additional System Power components -9000082421</v>
      </c>
      <c r="E85" s="739" t="s">
        <v>80</v>
      </c>
      <c r="F85" s="1295">
        <v>2449.5</v>
      </c>
      <c r="G85" s="1287">
        <f ca="1">SUMIFS(ChangeTrack[Change Value],ChangeTrack[Vendor / Org.],VendorList[[#This Row],[Vendor / Org. with Contract ID]],ChangeTrack[Change Status],"Approved")</f>
        <v>0</v>
      </c>
      <c r="H85" s="1287">
        <f ca="1">VendorList[[#This Row],[Original Contract Value]]+VendorList[[#This Row],[Amendment(s)]]</f>
        <v>2449.5</v>
      </c>
      <c r="I85" s="1288">
        <f ca="1">SUMIFS(CostTrack[Value],CostTrack[Vendor - Contract],VendorList[[#This Row],[Vendor / Org. with Contract ID]],CostTrack[PA ID],VendorList[[#This Row],[PA ID]],CostTrack[Holdback (Y/N/R)],"&lt;&gt;Release",CostTrack[Status],"Approved")</f>
        <v>2449.5</v>
      </c>
      <c r="J85" s="1289">
        <f ca="1">IF(VendorList[[#This Row],[Current Commitment]]=0,"-",VendorList[[#This Row],[Expenditures to Date]]/VendorList[[#This Row],[Current Commitment]])</f>
        <v>1</v>
      </c>
      <c r="K85" s="1290">
        <f ca="1">SUMIF(CostTrack[Vendor - Contract],VendorList[[#This Row],[Vendor / Org. with Contract ID]],CostTrack[Holdback Value])*-1</f>
        <v>0</v>
      </c>
      <c r="L85" s="1290">
        <f ca="1">VendorList[[#This Row],[Current Commitment]]-VendorList[[#This Row],[Expenditures to Date]]</f>
        <v>0</v>
      </c>
      <c r="M85" s="127"/>
      <c r="N85" s="127">
        <v>45657</v>
      </c>
      <c r="O85" s="739" t="s">
        <v>471</v>
      </c>
      <c r="P85" s="1291" t="str">
        <f ca="1">IFERROR(INDEX(BudgetTrack[Primary Category],MATCH(VendorList[[#This Row],[PA ID]],BudgetTrack[PA ID],0)),"")</f>
        <v>FE_IT</v>
      </c>
      <c r="Q85" s="1291" t="str">
        <f ca="1">IFERROR(INDEX(BudgetTrack[Secondary Category],MATCH(VendorList[[#This Row],[PA ID]],BudgetTrack[PA ID],0)),"")</f>
        <v>Furniture &amp; Equipment</v>
      </c>
      <c r="R85" s="1292" t="str">
        <f ca="1">IFERROR(INDEX(BudgetTrack[Phase / Subproject],MATCH(VendorList[[#This Row],[PA ID]],BudgetTrack[PA ID],0)),"")</f>
        <v>--</v>
      </c>
      <c r="S85" s="1293" t="str">
        <f ca="1">IFERROR(INDEX(BudgetTrack[Phase / Subproject 2],MATCH(VendorList[[#This Row],[PA ID]],BudgetTrack[PA ID],0)),"")</f>
        <v>--</v>
      </c>
      <c r="T85" s="1292" t="str">
        <f ca="1">IFERROR(INDEX(BudgetTrack[Funding Source],MATCH(VendorList[[#This Row],[PA ID]],BudgetTrack[PA ID],0)),"")</f>
        <v>P-002360</v>
      </c>
      <c r="U85" s="745" t="str">
        <f t="shared" ca="1" si="8"/>
        <v/>
      </c>
      <c r="V85" s="80" t="str">
        <f ca="1">IFERROR(INDEX($U$6:$U$109,_xlfn.AGGREGATE(15,6,(ROW($U$6:$U$109)-ROW($U$6)+1)/($U$6:$U$109&lt;&gt;""),ROWS(V$6:V85))),"")</f>
        <v/>
      </c>
      <c r="W85" s="1285">
        <f ca="1">IF(OR(VendorList[[#This Row],[Vendor / Org. with Contract ID]]="",VendorList[[#This Row],[Vendor / Org. with Contract ID]]="Future / Not Awarded"),"",IFERROR(INDEX(EAC[Estimate At Completion],MATCH(VendorList[[#This Row],[Vendor / Org. with Contract ID]],EAC[Vendor / Org. with Contract ID],0),1),"Does Not Exist"))</f>
        <v>2449.5</v>
      </c>
      <c r="Y85" s="922"/>
    </row>
    <row r="86" spans="2:25">
      <c r="B86" s="738" t="s">
        <v>494</v>
      </c>
      <c r="C86" s="123" t="s">
        <v>409</v>
      </c>
      <c r="D86" s="77" t="str">
        <f ca="1">IF(VendorList[[#This Row],[Vendor / Org.]]="","",CONCATENATE(VendorList[[#This Row],[Vendor / Org.]],"-",VendorList[[#This Row],[Contract ID]]))</f>
        <v>EDON- AC units-Direct Pay</v>
      </c>
      <c r="E86" s="739" t="s">
        <v>80</v>
      </c>
      <c r="F86" s="1295">
        <v>1058.57</v>
      </c>
      <c r="G86" s="1287">
        <f ca="1">SUMIFS(ChangeTrack[Change Value],ChangeTrack[Vendor / Org.],VendorList[[#This Row],[Vendor / Org. with Contract ID]],ChangeTrack[Change Status],"Approved")</f>
        <v>0</v>
      </c>
      <c r="H86" s="1287">
        <f ca="1">VendorList[[#This Row],[Original Contract Value]]+VendorList[[#This Row],[Amendment(s)]]</f>
        <v>1058.57</v>
      </c>
      <c r="I86" s="1288">
        <f ca="1">SUMIFS(CostTrack[Value],CostTrack[Vendor - Contract],VendorList[[#This Row],[Vendor / Org. with Contract ID]],CostTrack[PA ID],VendorList[[#This Row],[PA ID]],CostTrack[Holdback (Y/N/R)],"&lt;&gt;Release",CostTrack[Status],"Approved")</f>
        <v>1058.57</v>
      </c>
      <c r="J86" s="1289">
        <f ca="1">IF(VendorList[[#This Row],[Current Commitment]]=0,"-",VendorList[[#This Row],[Expenditures to Date]]/VendorList[[#This Row],[Current Commitment]])</f>
        <v>1</v>
      </c>
      <c r="K86" s="1290">
        <f ca="1">SUMIF(CostTrack[Vendor - Contract],VendorList[[#This Row],[Vendor / Org. with Contract ID]],CostTrack[Holdback Value])*-1</f>
        <v>0</v>
      </c>
      <c r="L86" s="1290">
        <f ca="1">VendorList[[#This Row],[Current Commitment]]-VendorList[[#This Row],[Expenditures to Date]]</f>
        <v>0</v>
      </c>
      <c r="M86" s="127"/>
      <c r="N86" s="127">
        <v>45657</v>
      </c>
      <c r="O86" s="739" t="s">
        <v>248</v>
      </c>
      <c r="P86" s="1291" t="str">
        <f ca="1">IFERROR(INDEX(BudgetTrack[Primary Category],MATCH(VendorList[[#This Row],[PA ID]],BudgetTrack[PA ID],0)),"")</f>
        <v>Construction</v>
      </c>
      <c r="Q86" s="1291" t="str">
        <f ca="1">IFERROR(INDEX(BudgetTrack[Secondary Category],MATCH(VendorList[[#This Row],[PA ID]],BudgetTrack[PA ID],0)),"")</f>
        <v>Other Contractor</v>
      </c>
      <c r="R86" s="1292" t="str">
        <f ca="1">IFERROR(INDEX(BudgetTrack[Phase / Subproject],MATCH(VendorList[[#This Row],[PA ID]],BudgetTrack[PA ID],0)),"")</f>
        <v>--</v>
      </c>
      <c r="S86" s="1293" t="str">
        <f ca="1">IFERROR(INDEX(BudgetTrack[Phase / Subproject 2],MATCH(VendorList[[#This Row],[PA ID]],BudgetTrack[PA ID],0)),"")</f>
        <v>--</v>
      </c>
      <c r="T86" s="1292" t="str">
        <f ca="1">IFERROR(INDEX(BudgetTrack[Funding Source],MATCH(VendorList[[#This Row],[PA ID]],BudgetTrack[PA ID],0)),"")</f>
        <v>P-002360</v>
      </c>
      <c r="U86" s="745" t="str">
        <f t="shared" ref="U86:U93" ca="1" si="9">IF((OR(E86="Open",E86="--")),D86,"")</f>
        <v/>
      </c>
      <c r="V86" s="80" t="str">
        <f ca="1">IFERROR(INDEX($U$6:$U$109,_xlfn.AGGREGATE(15,6,(ROW($U$6:$U$109)-ROW($U$6)+1)/($U$6:$U$109&lt;&gt;""),ROWS(V$6:V86))),"")</f>
        <v/>
      </c>
      <c r="W86" s="1285">
        <f ca="1">IF(OR(VendorList[[#This Row],[Vendor / Org. with Contract ID]]="",VendorList[[#This Row],[Vendor / Org. with Contract ID]]="Future / Not Awarded"),"",IFERROR(INDEX(EAC[Estimate At Completion],MATCH(VendorList[[#This Row],[Vendor / Org. with Contract ID]],EAC[Vendor / Org. with Contract ID],0),1),"Does Not Exist"))</f>
        <v>1058.57</v>
      </c>
      <c r="Y86" s="922"/>
    </row>
    <row r="87" spans="2:25">
      <c r="B87" s="738" t="s">
        <v>495</v>
      </c>
      <c r="C87" s="123">
        <v>9000082358</v>
      </c>
      <c r="D87" s="77" t="str">
        <f ca="1">IF(VendorList[[#This Row],[Vendor / Org.]]="","",CONCATENATE(VendorList[[#This Row],[Vendor / Org.]],"-",VendorList[[#This Row],[Contract ID]]))</f>
        <v>HBI-Credenzas-9000082358</v>
      </c>
      <c r="E87" s="739" t="s">
        <v>80</v>
      </c>
      <c r="F87" s="994">
        <v>14616.14</v>
      </c>
      <c r="G87" s="1287">
        <f ca="1">SUMIFS(ChangeTrack[Change Value],ChangeTrack[Vendor / Org.],VendorList[[#This Row],[Vendor / Org. with Contract ID]],ChangeTrack[Change Status],"Approved")</f>
        <v>0</v>
      </c>
      <c r="H87" s="1287">
        <f ca="1">VendorList[[#This Row],[Original Contract Value]]+VendorList[[#This Row],[Amendment(s)]]</f>
        <v>14616.14</v>
      </c>
      <c r="I87" s="1288">
        <f ca="1">SUMIFS(CostTrack[Value],CostTrack[Vendor - Contract],VendorList[[#This Row],[Vendor / Org. with Contract ID]],CostTrack[PA ID],VendorList[[#This Row],[PA ID]],CostTrack[Holdback (Y/N/R)],"&lt;&gt;Release",CostTrack[Status],"Approved")</f>
        <v>14616.14</v>
      </c>
      <c r="J87" s="1289">
        <f ca="1">IF(VendorList[[#This Row],[Current Commitment]]=0,"-",VendorList[[#This Row],[Expenditures to Date]]/VendorList[[#This Row],[Current Commitment]])</f>
        <v>1</v>
      </c>
      <c r="K87" s="1290">
        <f ca="1">SUMIF(CostTrack[Vendor - Contract],VendorList[[#This Row],[Vendor / Org. with Contract ID]],CostTrack[Holdback Value])*-1</f>
        <v>0</v>
      </c>
      <c r="L87" s="1290">
        <f ca="1">VendorList[[#This Row],[Current Commitment]]-VendorList[[#This Row],[Expenditures to Date]]</f>
        <v>0</v>
      </c>
      <c r="M87" s="127"/>
      <c r="N87" s="127">
        <v>45657</v>
      </c>
      <c r="O87" s="739" t="s">
        <v>471</v>
      </c>
      <c r="P87" s="1291" t="str">
        <f ca="1">IFERROR(INDEX(BudgetTrack[Primary Category],MATCH(VendorList[[#This Row],[PA ID]],BudgetTrack[PA ID],0)),"")</f>
        <v>FE_IT</v>
      </c>
      <c r="Q87" s="1291" t="str">
        <f ca="1">IFERROR(INDEX(BudgetTrack[Secondary Category],MATCH(VendorList[[#This Row],[PA ID]],BudgetTrack[PA ID],0)),"")</f>
        <v>Furniture &amp; Equipment</v>
      </c>
      <c r="R87" s="1292" t="str">
        <f ca="1">IFERROR(INDEX(BudgetTrack[Phase / Subproject],MATCH(VendorList[[#This Row],[PA ID]],BudgetTrack[PA ID],0)),"")</f>
        <v>--</v>
      </c>
      <c r="S87" s="1293" t="str">
        <f ca="1">IFERROR(INDEX(BudgetTrack[Phase / Subproject 2],MATCH(VendorList[[#This Row],[PA ID]],BudgetTrack[PA ID],0)),"")</f>
        <v>--</v>
      </c>
      <c r="T87" s="1292" t="str">
        <f ca="1">IFERROR(INDEX(BudgetTrack[Funding Source],MATCH(VendorList[[#This Row],[PA ID]],BudgetTrack[PA ID],0)),"")</f>
        <v>P-002360</v>
      </c>
      <c r="U87" s="745" t="str">
        <f t="shared" ca="1" si="9"/>
        <v/>
      </c>
      <c r="V87" s="80" t="str">
        <f ca="1">IFERROR(INDEX($U$6:$U$109,_xlfn.AGGREGATE(15,6,(ROW($U$6:$U$109)-ROW($U$6)+1)/($U$6:$U$109&lt;&gt;""),ROWS(V$6:V87))),"")</f>
        <v/>
      </c>
      <c r="W87" s="1285">
        <f ca="1">IF(OR(VendorList[[#This Row],[Vendor / Org. with Contract ID]]="",VendorList[[#This Row],[Vendor / Org. with Contract ID]]="Future / Not Awarded"),"",IFERROR(INDEX(EAC[Estimate At Completion],MATCH(VendorList[[#This Row],[Vendor / Org. with Contract ID]],EAC[Vendor / Org. with Contract ID],0),1),"Does Not Exist"))</f>
        <v>14616.14</v>
      </c>
      <c r="Y87" s="922"/>
    </row>
    <row r="88" spans="2:25">
      <c r="B88" s="738" t="s">
        <v>496</v>
      </c>
      <c r="C88" s="123" t="s">
        <v>409</v>
      </c>
      <c r="D88" s="77" t="str">
        <f ca="1">IF(VendorList[[#This Row],[Vendor / Org.]]="","",CONCATENATE(VendorList[[#This Row],[Vendor / Org.]],"-",VendorList[[#This Row],[Contract ID]]))</f>
        <v>HBI-Judicial Visiting Offices-Storage-Direct Pay</v>
      </c>
      <c r="E88" s="739" t="s">
        <v>80</v>
      </c>
      <c r="F88" s="1295">
        <v>1025</v>
      </c>
      <c r="G88" s="1287">
        <f ca="1">SUMIFS(ChangeTrack[Change Value],ChangeTrack[Vendor / Org.],VendorList[[#This Row],[Vendor / Org. with Contract ID]],ChangeTrack[Change Status],"Approved")</f>
        <v>0</v>
      </c>
      <c r="H88" s="1287">
        <f ca="1">VendorList[[#This Row],[Original Contract Value]]+VendorList[[#This Row],[Amendment(s)]]</f>
        <v>1025</v>
      </c>
      <c r="I88" s="1288">
        <f ca="1">SUMIFS(CostTrack[Value],CostTrack[Vendor - Contract],VendorList[[#This Row],[Vendor / Org. with Contract ID]],CostTrack[PA ID],VendorList[[#This Row],[PA ID]],CostTrack[Holdback (Y/N/R)],"&lt;&gt;Release",CostTrack[Status],"Approved")</f>
        <v>1025</v>
      </c>
      <c r="J88" s="1289">
        <f ca="1">IF(VendorList[[#This Row],[Current Commitment]]=0,"-",VendorList[[#This Row],[Expenditures to Date]]/VendorList[[#This Row],[Current Commitment]])</f>
        <v>1</v>
      </c>
      <c r="K88" s="1290">
        <f ca="1">SUMIF(CostTrack[Vendor - Contract],VendorList[[#This Row],[Vendor / Org. with Contract ID]],CostTrack[Holdback Value])*-1</f>
        <v>0</v>
      </c>
      <c r="L88" s="1290">
        <f ca="1">VendorList[[#This Row],[Current Commitment]]-VendorList[[#This Row],[Expenditures to Date]]</f>
        <v>0</v>
      </c>
      <c r="M88" s="127"/>
      <c r="N88" s="127">
        <v>45412</v>
      </c>
      <c r="O88" s="739" t="s">
        <v>471</v>
      </c>
      <c r="P88" s="1291" t="str">
        <f ca="1">IFERROR(INDEX(BudgetTrack[Primary Category],MATCH(VendorList[[#This Row],[PA ID]],BudgetTrack[PA ID],0)),"")</f>
        <v>FE_IT</v>
      </c>
      <c r="Q88" s="1291" t="str">
        <f ca="1">IFERROR(INDEX(BudgetTrack[Secondary Category],MATCH(VendorList[[#This Row],[PA ID]],BudgetTrack[PA ID],0)),"")</f>
        <v>Furniture &amp; Equipment</v>
      </c>
      <c r="R88" s="1292" t="str">
        <f ca="1">IFERROR(INDEX(BudgetTrack[Phase / Subproject],MATCH(VendorList[[#This Row],[PA ID]],BudgetTrack[PA ID],0)),"")</f>
        <v>--</v>
      </c>
      <c r="S88" s="1293" t="str">
        <f ca="1">IFERROR(INDEX(BudgetTrack[Phase / Subproject 2],MATCH(VendorList[[#This Row],[PA ID]],BudgetTrack[PA ID],0)),"")</f>
        <v>--</v>
      </c>
      <c r="T88" s="1292" t="str">
        <f ca="1">IFERROR(INDEX(BudgetTrack[Funding Source],MATCH(VendorList[[#This Row],[PA ID]],BudgetTrack[PA ID],0)),"")</f>
        <v>P-002360</v>
      </c>
      <c r="U88" s="745" t="str">
        <f t="shared" ca="1" si="9"/>
        <v/>
      </c>
      <c r="V88" s="80" t="str">
        <f ca="1">IFERROR(INDEX($U$6:$U$109,_xlfn.AGGREGATE(15,6,(ROW($U$6:$U$109)-ROW($U$6)+1)/($U$6:$U$109&lt;&gt;""),ROWS(V$6:V88))),"")</f>
        <v/>
      </c>
      <c r="W88" s="1285">
        <f ca="1">IF(OR(VendorList[[#This Row],[Vendor / Org. with Contract ID]]="",VendorList[[#This Row],[Vendor / Org. with Contract ID]]="Future / Not Awarded"),"",IFERROR(INDEX(EAC[Estimate At Completion],MATCH(VendorList[[#This Row],[Vendor / Org. with Contract ID]],EAC[Vendor / Org. with Contract ID],0),1),"Does Not Exist"))</f>
        <v>1025</v>
      </c>
      <c r="Y88" s="922"/>
    </row>
    <row r="89" spans="2:25">
      <c r="B89" s="738" t="s">
        <v>497</v>
      </c>
      <c r="C89" s="123" t="s">
        <v>409</v>
      </c>
      <c r="D89" s="77" t="str">
        <f ca="1">IF(VendorList[[#This Row],[Vendor / Org.]]="","",CONCATENATE(VendorList[[#This Row],[Vendor / Org.]],"-",VendorList[[#This Row],[Contract ID]]))</f>
        <v>Looker-office furniture- lounge &amp; occasional tables- Storage-Direct Pay</v>
      </c>
      <c r="E89" s="739" t="s">
        <v>80</v>
      </c>
      <c r="F89" s="1295">
        <v>570</v>
      </c>
      <c r="G89" s="1287">
        <f ca="1">SUMIFS(ChangeTrack[Change Value],ChangeTrack[Vendor / Org.],VendorList[[#This Row],[Vendor / Org. with Contract ID]],ChangeTrack[Change Status],"Approved")</f>
        <v>0</v>
      </c>
      <c r="H89" s="1287">
        <f ca="1">VendorList[[#This Row],[Original Contract Value]]+VendorList[[#This Row],[Amendment(s)]]</f>
        <v>570</v>
      </c>
      <c r="I89" s="1288">
        <f ca="1">SUMIFS(CostTrack[Value],CostTrack[Vendor - Contract],VendorList[[#This Row],[Vendor / Org. with Contract ID]],CostTrack[PA ID],VendorList[[#This Row],[PA ID]],CostTrack[Holdback (Y/N/R)],"&lt;&gt;Release",CostTrack[Status],"Approved")</f>
        <v>570</v>
      </c>
      <c r="J89" s="1289">
        <f ca="1">IF(VendorList[[#This Row],[Current Commitment]]=0,"-",VendorList[[#This Row],[Expenditures to Date]]/VendorList[[#This Row],[Current Commitment]])</f>
        <v>1</v>
      </c>
      <c r="K89" s="1290">
        <f ca="1">SUMIF(CostTrack[Vendor - Contract],VendorList[[#This Row],[Vendor / Org. with Contract ID]],CostTrack[Holdback Value])*-1</f>
        <v>0</v>
      </c>
      <c r="L89" s="1290">
        <f ca="1">VendorList[[#This Row],[Current Commitment]]-VendorList[[#This Row],[Expenditures to Date]]</f>
        <v>0</v>
      </c>
      <c r="M89" s="127"/>
      <c r="N89" s="127">
        <v>45412</v>
      </c>
      <c r="O89" s="739" t="s">
        <v>471</v>
      </c>
      <c r="P89" s="1291" t="str">
        <f ca="1">IFERROR(INDEX(BudgetTrack[Primary Category],MATCH(VendorList[[#This Row],[PA ID]],BudgetTrack[PA ID],0)),"")</f>
        <v>FE_IT</v>
      </c>
      <c r="Q89" s="1291" t="str">
        <f ca="1">IFERROR(INDEX(BudgetTrack[Secondary Category],MATCH(VendorList[[#This Row],[PA ID]],BudgetTrack[PA ID],0)),"")</f>
        <v>Furniture &amp; Equipment</v>
      </c>
      <c r="R89" s="1292" t="str">
        <f ca="1">IFERROR(INDEX(BudgetTrack[Phase / Subproject],MATCH(VendorList[[#This Row],[PA ID]],BudgetTrack[PA ID],0)),"")</f>
        <v>--</v>
      </c>
      <c r="S89" s="1293" t="str">
        <f ca="1">IFERROR(INDEX(BudgetTrack[Phase / Subproject 2],MATCH(VendorList[[#This Row],[PA ID]],BudgetTrack[PA ID],0)),"")</f>
        <v>--</v>
      </c>
      <c r="T89" s="1292" t="str">
        <f ca="1">IFERROR(INDEX(BudgetTrack[Funding Source],MATCH(VendorList[[#This Row],[PA ID]],BudgetTrack[PA ID],0)),"")</f>
        <v>P-002360</v>
      </c>
      <c r="U89" s="745" t="str">
        <f t="shared" ca="1" si="9"/>
        <v/>
      </c>
      <c r="V89" s="80" t="str">
        <f ca="1">IFERROR(INDEX($U$6:$U$109,_xlfn.AGGREGATE(15,6,(ROW($U$6:$U$109)-ROW($U$6)+1)/($U$6:$U$109&lt;&gt;""),ROWS(V$6:V89))),"")</f>
        <v/>
      </c>
      <c r="W89" s="1285">
        <f ca="1">IF(OR(VendorList[[#This Row],[Vendor / Org. with Contract ID]]="",VendorList[[#This Row],[Vendor / Org. with Contract ID]]="Future / Not Awarded"),"",IFERROR(INDEX(EAC[Estimate At Completion],MATCH(VendorList[[#This Row],[Vendor / Org. with Contract ID]],EAC[Vendor / Org. with Contract ID],0),1),"Does Not Exist"))</f>
        <v>570</v>
      </c>
      <c r="Y89" s="922"/>
    </row>
    <row r="90" spans="2:25">
      <c r="B90" s="738" t="s">
        <v>498</v>
      </c>
      <c r="C90" s="123">
        <v>9000085601</v>
      </c>
      <c r="D90" s="77" t="str">
        <f ca="1">IF(VendorList[[#This Row],[Vendor / Org.]]="","",CONCATENATE(VendorList[[#This Row],[Vendor / Org.]],"-",VendorList[[#This Row],[Contract ID]]))</f>
        <v>ALLWEST-TEKNION SEATING-9000085601</v>
      </c>
      <c r="E90" s="739" t="s">
        <v>80</v>
      </c>
      <c r="F90" s="1295">
        <v>328373.52</v>
      </c>
      <c r="G90" s="1287">
        <f ca="1">SUMIFS(ChangeTrack[Change Value],ChangeTrack[Vendor / Org.],VendorList[[#This Row],[Vendor / Org. with Contract ID]],ChangeTrack[Change Status],"Approved")</f>
        <v>0</v>
      </c>
      <c r="H90" s="1287">
        <f ca="1">VendorList[[#This Row],[Original Contract Value]]+VendorList[[#This Row],[Amendment(s)]]</f>
        <v>328373.52</v>
      </c>
      <c r="I90" s="1288">
        <f ca="1">SUMIFS(CostTrack[Value],CostTrack[Vendor - Contract],VendorList[[#This Row],[Vendor / Org. with Contract ID]],CostTrack[PA ID],VendorList[[#This Row],[PA ID]],CostTrack[Holdback (Y/N/R)],"&lt;&gt;Release",CostTrack[Status],"Approved")</f>
        <v>328373.52</v>
      </c>
      <c r="J90" s="1289">
        <f ca="1">IF(VendorList[[#This Row],[Current Commitment]]=0,"-",VendorList[[#This Row],[Expenditures to Date]]/VendorList[[#This Row],[Current Commitment]])</f>
        <v>1</v>
      </c>
      <c r="K90" s="1290">
        <f ca="1">SUMIF(CostTrack[Vendor - Contract],VendorList[[#This Row],[Vendor / Org. with Contract ID]],CostTrack[Holdback Value])*-1</f>
        <v>0</v>
      </c>
      <c r="L90" s="1290">
        <f ca="1">VendorList[[#This Row],[Current Commitment]]-VendorList[[#This Row],[Expenditures to Date]]</f>
        <v>0</v>
      </c>
      <c r="M90" s="127"/>
      <c r="N90" s="127">
        <v>45534</v>
      </c>
      <c r="O90" s="739" t="s">
        <v>471</v>
      </c>
      <c r="P90" s="1291" t="str">
        <f ca="1">IFERROR(INDEX(BudgetTrack[Primary Category],MATCH(VendorList[[#This Row],[PA ID]],BudgetTrack[PA ID],0)),"")</f>
        <v>FE_IT</v>
      </c>
      <c r="Q90" s="1291" t="str">
        <f ca="1">IFERROR(INDEX(BudgetTrack[Secondary Category],MATCH(VendorList[[#This Row],[PA ID]],BudgetTrack[PA ID],0)),"")</f>
        <v>Furniture &amp; Equipment</v>
      </c>
      <c r="R90" s="1292" t="str">
        <f ca="1">IFERROR(INDEX(BudgetTrack[Phase / Subproject],MATCH(VendorList[[#This Row],[PA ID]],BudgetTrack[PA ID],0)),"")</f>
        <v>--</v>
      </c>
      <c r="S90" s="1293" t="str">
        <f ca="1">IFERROR(INDEX(BudgetTrack[Phase / Subproject 2],MATCH(VendorList[[#This Row],[PA ID]],BudgetTrack[PA ID],0)),"")</f>
        <v>--</v>
      </c>
      <c r="T90" s="1292" t="str">
        <f ca="1">IFERROR(INDEX(BudgetTrack[Funding Source],MATCH(VendorList[[#This Row],[PA ID]],BudgetTrack[PA ID],0)),"")</f>
        <v>P-002360</v>
      </c>
      <c r="U90" s="745" t="str">
        <f t="shared" ca="1" si="9"/>
        <v/>
      </c>
      <c r="V90" s="80" t="str">
        <f ca="1">IFERROR(INDEX($U$6:$U$109,_xlfn.AGGREGATE(15,6,(ROW($U$6:$U$109)-ROW($U$6)+1)/($U$6:$U$109&lt;&gt;""),ROWS(V$6:V90))),"")</f>
        <v/>
      </c>
      <c r="W90" s="1285">
        <f ca="1">IF(OR(VendorList[[#This Row],[Vendor / Org. with Contract ID]]="",VendorList[[#This Row],[Vendor / Org. with Contract ID]]="Future / Not Awarded"),"",IFERROR(INDEX(EAC[Estimate At Completion],MATCH(VendorList[[#This Row],[Vendor / Org. with Contract ID]],EAC[Vendor / Org. with Contract ID],0),1),"Does Not Exist"))</f>
        <v>328373.52</v>
      </c>
      <c r="Y90" s="922"/>
    </row>
    <row r="91" spans="2:25">
      <c r="B91" s="738" t="s">
        <v>499</v>
      </c>
      <c r="C91" s="123">
        <v>9000084833</v>
      </c>
      <c r="D91" s="77" t="str">
        <f ca="1">IF(VendorList[[#This Row],[Vendor / Org.]]="","",CONCATENATE(VendorList[[#This Row],[Vendor / Org.]],"-",VendorList[[#This Row],[Contract ID]]))</f>
        <v>RGO-LEAP Chairs-9000084833</v>
      </c>
      <c r="E91" s="739" t="s">
        <v>80</v>
      </c>
      <c r="F91" s="1295">
        <v>20406.97</v>
      </c>
      <c r="G91" s="1287">
        <f ca="1">SUMIFS(ChangeTrack[Change Value],ChangeTrack[Vendor / Org.],VendorList[[#This Row],[Vendor / Org. with Contract ID]],ChangeTrack[Change Status],"Approved")</f>
        <v>0</v>
      </c>
      <c r="H91" s="1287">
        <f ca="1">VendorList[[#This Row],[Original Contract Value]]+VendorList[[#This Row],[Amendment(s)]]</f>
        <v>20406.97</v>
      </c>
      <c r="I91" s="1288">
        <f ca="1">SUMIFS(CostTrack[Value],CostTrack[Vendor - Contract],VendorList[[#This Row],[Vendor / Org. with Contract ID]],CostTrack[PA ID],VendorList[[#This Row],[PA ID]],CostTrack[Holdback (Y/N/R)],"&lt;&gt;Release",CostTrack[Status],"Approved")</f>
        <v>20406.97</v>
      </c>
      <c r="J91" s="1289">
        <f ca="1">IF(VendorList[[#This Row],[Current Commitment]]=0,"-",VendorList[[#This Row],[Expenditures to Date]]/VendorList[[#This Row],[Current Commitment]])</f>
        <v>1</v>
      </c>
      <c r="K91" s="1290">
        <f ca="1">SUMIF(CostTrack[Vendor - Contract],VendorList[[#This Row],[Vendor / Org. with Contract ID]],CostTrack[Holdback Value])*-1</f>
        <v>0</v>
      </c>
      <c r="L91" s="1290">
        <f ca="1">VendorList[[#This Row],[Current Commitment]]-VendorList[[#This Row],[Expenditures to Date]]</f>
        <v>0</v>
      </c>
      <c r="M91" s="127"/>
      <c r="N91" s="127">
        <v>45534</v>
      </c>
      <c r="O91" s="739" t="s">
        <v>471</v>
      </c>
      <c r="P91" s="1291" t="str">
        <f ca="1">IFERROR(INDEX(BudgetTrack[Primary Category],MATCH(VendorList[[#This Row],[PA ID]],BudgetTrack[PA ID],0)),"")</f>
        <v>FE_IT</v>
      </c>
      <c r="Q91" s="1291" t="str">
        <f ca="1">IFERROR(INDEX(BudgetTrack[Secondary Category],MATCH(VendorList[[#This Row],[PA ID]],BudgetTrack[PA ID],0)),"")</f>
        <v>Furniture &amp; Equipment</v>
      </c>
      <c r="R91" s="1292" t="str">
        <f ca="1">IFERROR(INDEX(BudgetTrack[Phase / Subproject],MATCH(VendorList[[#This Row],[PA ID]],BudgetTrack[PA ID],0)),"")</f>
        <v>--</v>
      </c>
      <c r="S91" s="1293" t="str">
        <f ca="1">IFERROR(INDEX(BudgetTrack[Phase / Subproject 2],MATCH(VendorList[[#This Row],[PA ID]],BudgetTrack[PA ID],0)),"")</f>
        <v>--</v>
      </c>
      <c r="T91" s="1292" t="str">
        <f ca="1">IFERROR(INDEX(BudgetTrack[Funding Source],MATCH(VendorList[[#This Row],[PA ID]],BudgetTrack[PA ID],0)),"")</f>
        <v>P-002360</v>
      </c>
      <c r="U91" s="745" t="str">
        <f t="shared" ca="1" si="9"/>
        <v/>
      </c>
      <c r="V91" s="80" t="str">
        <f ca="1">IFERROR(INDEX($U$6:$U$109,_xlfn.AGGREGATE(15,6,(ROW($U$6:$U$109)-ROW($U$6)+1)/($U$6:$U$109&lt;&gt;""),ROWS(V$6:V91))),"")</f>
        <v/>
      </c>
      <c r="W91" s="1285">
        <f ca="1">IF(OR(VendorList[[#This Row],[Vendor / Org. with Contract ID]]="",VendorList[[#This Row],[Vendor / Org. with Contract ID]]="Future / Not Awarded"),"",IFERROR(INDEX(EAC[Estimate At Completion],MATCH(VendorList[[#This Row],[Vendor / Org. with Contract ID]],EAC[Vendor / Org. with Contract ID],0),1),"Does Not Exist"))</f>
        <v>20406.97</v>
      </c>
      <c r="Y91" s="922"/>
    </row>
    <row r="92" spans="2:25">
      <c r="B92" s="738" t="s">
        <v>500</v>
      </c>
      <c r="C92" s="123">
        <v>9000084647</v>
      </c>
      <c r="D92" s="77" t="str">
        <f ca="1">IF(VendorList[[#This Row],[Vendor / Org.]]="","",CONCATENATE(VendorList[[#This Row],[Vendor / Org.]],"-",VendorList[[#This Row],[Contract ID]]))</f>
        <v>COI-Furniture Reuse-RSC-9000084647</v>
      </c>
      <c r="E92" s="739" t="s">
        <v>80</v>
      </c>
      <c r="F92" s="994">
        <v>11343.09</v>
      </c>
      <c r="G92" s="286">
        <f ca="1">SUMIFS(ChangeTrack[Change Value],ChangeTrack[Vendor / Org.],VendorList[[#This Row],[Vendor / Org. with Contract ID]],ChangeTrack[Change Status],"Approved")</f>
        <v>0</v>
      </c>
      <c r="H92" s="286">
        <f ca="1">VendorList[[#This Row],[Original Contract Value]]+VendorList[[#This Row],[Amendment(s)]]</f>
        <v>11343.09</v>
      </c>
      <c r="I92" s="290">
        <f ca="1">SUMIFS(CostTrack[Value],CostTrack[Vendor - Contract],VendorList[[#This Row],[Vendor / Org. with Contract ID]],CostTrack[PA ID],VendorList[[#This Row],[PA ID]],CostTrack[Holdback (Y/N/R)],"&lt;&gt;Release",CostTrack[Status],"Approved")</f>
        <v>11343.09</v>
      </c>
      <c r="J92" s="741">
        <f ca="1">IF(VendorList[[#This Row],[Current Commitment]]=0,"-",VendorList[[#This Row],[Expenditures to Date]]/VendorList[[#This Row],[Current Commitment]])</f>
        <v>1</v>
      </c>
      <c r="K92" s="292">
        <f ca="1">SUMIF(CostTrack[Vendor - Contract],VendorList[[#This Row],[Vendor / Org. with Contract ID]],CostTrack[Holdback Value])*-1</f>
        <v>0</v>
      </c>
      <c r="L92" s="292">
        <f ca="1">VendorList[[#This Row],[Current Commitment]]-VendorList[[#This Row],[Expenditures to Date]]</f>
        <v>0</v>
      </c>
      <c r="M92" s="127"/>
      <c r="N92" s="127">
        <v>45747</v>
      </c>
      <c r="O92" s="739" t="s">
        <v>471</v>
      </c>
      <c r="P92" s="742" t="str">
        <f ca="1">IFERROR(INDEX(BudgetTrack[Primary Category],MATCH(VendorList[[#This Row],[PA ID]],BudgetTrack[PA ID],0)),"")</f>
        <v>FE_IT</v>
      </c>
      <c r="Q92" s="742" t="str">
        <f ca="1">IFERROR(INDEX(BudgetTrack[Secondary Category],MATCH(VendorList[[#This Row],[PA ID]],BudgetTrack[PA ID],0)),"")</f>
        <v>Furniture &amp; Equipment</v>
      </c>
      <c r="R92" s="743" t="str">
        <f ca="1">IFERROR(INDEX(BudgetTrack[Phase / Subproject],MATCH(VendorList[[#This Row],[PA ID]],BudgetTrack[PA ID],0)),"")</f>
        <v>--</v>
      </c>
      <c r="S92" s="744" t="str">
        <f ca="1">IFERROR(INDEX(BudgetTrack[Phase / Subproject 2],MATCH(VendorList[[#This Row],[PA ID]],BudgetTrack[PA ID],0)),"")</f>
        <v>--</v>
      </c>
      <c r="T92" s="743" t="str">
        <f ca="1">IFERROR(INDEX(BudgetTrack[Funding Source],MATCH(VendorList[[#This Row],[PA ID]],BudgetTrack[PA ID],0)),"")</f>
        <v>P-002360</v>
      </c>
      <c r="U92" s="745" t="str">
        <f t="shared" ca="1" si="9"/>
        <v/>
      </c>
      <c r="V92" s="80" t="str">
        <f ca="1">IFERROR(INDEX($U$6:$U$109,_xlfn.AGGREGATE(15,6,(ROW($U$6:$U$109)-ROW($U$6)+1)/($U$6:$U$109&lt;&gt;""),ROWS(V$6:V92))),"")</f>
        <v/>
      </c>
      <c r="W92" s="1030">
        <f ca="1">IF(OR(VendorList[[#This Row],[Vendor / Org. with Contract ID]]="",VendorList[[#This Row],[Vendor / Org. with Contract ID]]="Future / Not Awarded"),"",IFERROR(INDEX(EAC[Estimate At Completion],MATCH(VendorList[[#This Row],[Vendor / Org. with Contract ID]],EAC[Vendor / Org. with Contract ID],0),1),"Does Not Exist"))</f>
        <v>11343.09</v>
      </c>
      <c r="Y92" s="922"/>
    </row>
    <row r="93" spans="2:25">
      <c r="B93" s="738" t="s">
        <v>501</v>
      </c>
      <c r="C93" s="123">
        <v>9000084417</v>
      </c>
      <c r="D93" s="77" t="str">
        <f ca="1">IF(VendorList[[#This Row],[Vendor / Org.]]="","",CONCATENATE(VendorList[[#This Row],[Vendor / Org.]],"-",VendorList[[#This Row],[Contract ID]]))</f>
        <v>Global-Saxon Chairs-9000084417</v>
      </c>
      <c r="E93" s="739" t="s">
        <v>80</v>
      </c>
      <c r="F93" s="994">
        <v>12646.6</v>
      </c>
      <c r="G93" s="286">
        <f ca="1">SUMIFS(ChangeTrack[Change Value],ChangeTrack[Vendor / Org.],VendorList[[#This Row],[Vendor / Org. with Contract ID]],ChangeTrack[Change Status],"Approved")</f>
        <v>0</v>
      </c>
      <c r="H93" s="286">
        <f ca="1">VendorList[[#This Row],[Original Contract Value]]+VendorList[[#This Row],[Amendment(s)]]</f>
        <v>12646.6</v>
      </c>
      <c r="I93" s="290">
        <f ca="1">SUMIFS(CostTrack[Value],CostTrack[Vendor - Contract],VendorList[[#This Row],[Vendor / Org. with Contract ID]],CostTrack[PA ID],VendorList[[#This Row],[PA ID]],CostTrack[Holdback (Y/N/R)],"&lt;&gt;Release",CostTrack[Status],"Approved")</f>
        <v>12646.6</v>
      </c>
      <c r="J93" s="741">
        <f ca="1">IF(VendorList[[#This Row],[Current Commitment]]=0,"-",VendorList[[#This Row],[Expenditures to Date]]/VendorList[[#This Row],[Current Commitment]])</f>
        <v>1</v>
      </c>
      <c r="K93" s="292">
        <f ca="1">SUMIF(CostTrack[Vendor - Contract],VendorList[[#This Row],[Vendor / Org. with Contract ID]],CostTrack[Holdback Value])*-1</f>
        <v>0</v>
      </c>
      <c r="L93" s="292">
        <f ca="1">VendorList[[#This Row],[Current Commitment]]-VendorList[[#This Row],[Expenditures to Date]]</f>
        <v>0</v>
      </c>
      <c r="M93" s="127"/>
      <c r="N93" s="127">
        <v>45534</v>
      </c>
      <c r="O93" s="739" t="s">
        <v>471</v>
      </c>
      <c r="P93" s="742" t="str">
        <f ca="1">IFERROR(INDEX(BudgetTrack[Primary Category],MATCH(VendorList[[#This Row],[PA ID]],BudgetTrack[PA ID],0)),"")</f>
        <v>FE_IT</v>
      </c>
      <c r="Q93" s="742" t="str">
        <f ca="1">IFERROR(INDEX(BudgetTrack[Secondary Category],MATCH(VendorList[[#This Row],[PA ID]],BudgetTrack[PA ID],0)),"")</f>
        <v>Furniture &amp; Equipment</v>
      </c>
      <c r="R93" s="743" t="str">
        <f ca="1">IFERROR(INDEX(BudgetTrack[Phase / Subproject],MATCH(VendorList[[#This Row],[PA ID]],BudgetTrack[PA ID],0)),"")</f>
        <v>--</v>
      </c>
      <c r="S93" s="744" t="str">
        <f ca="1">IFERROR(INDEX(BudgetTrack[Phase / Subproject 2],MATCH(VendorList[[#This Row],[PA ID]],BudgetTrack[PA ID],0)),"")</f>
        <v>--</v>
      </c>
      <c r="T93" s="743" t="str">
        <f ca="1">IFERROR(INDEX(BudgetTrack[Funding Source],MATCH(VendorList[[#This Row],[PA ID]],BudgetTrack[PA ID],0)),"")</f>
        <v>P-002360</v>
      </c>
      <c r="U93" s="745" t="str">
        <f t="shared" ca="1" si="9"/>
        <v/>
      </c>
      <c r="V93" s="80" t="str">
        <f ca="1">IFERROR(INDEX($U$6:$U$109,_xlfn.AGGREGATE(15,6,(ROW($U$6:$U$109)-ROW($U$6)+1)/($U$6:$U$109&lt;&gt;""),ROWS(V$6:V93))),"")</f>
        <v/>
      </c>
      <c r="W93" s="1030">
        <f ca="1">IF(OR(VendorList[[#This Row],[Vendor / Org. with Contract ID]]="",VendorList[[#This Row],[Vendor / Org. with Contract ID]]="Future / Not Awarded"),"",IFERROR(INDEX(EAC[Estimate At Completion],MATCH(VendorList[[#This Row],[Vendor / Org. with Contract ID]],EAC[Vendor / Org. with Contract ID],0),1),"Does Not Exist"))</f>
        <v>12646.6</v>
      </c>
      <c r="Y93" s="922"/>
    </row>
    <row r="94" spans="2:25">
      <c r="B94" s="738" t="s">
        <v>502</v>
      </c>
      <c r="C94" s="123">
        <v>9000087761</v>
      </c>
      <c r="D94" s="77" t="str">
        <f ca="1">IF(VendorList[[#This Row],[Vendor / Org.]]="","",CONCATENATE(VendorList[[#This Row],[Vendor / Org.]],"-",VendorList[[#This Row],[Contract ID]]))</f>
        <v>Uline storage cabinets-9000087761</v>
      </c>
      <c r="E94" s="739" t="s">
        <v>71</v>
      </c>
      <c r="F94" s="994">
        <v>8111.59</v>
      </c>
      <c r="G94" s="286">
        <f ca="1">SUMIFS(ChangeTrack[Change Value],ChangeTrack[Vendor / Org.],VendorList[[#This Row],[Vendor / Org. with Contract ID]],ChangeTrack[Change Status],"Approved")</f>
        <v>0</v>
      </c>
      <c r="H94" s="286">
        <f ca="1">VendorList[[#This Row],[Original Contract Value]]+VendorList[[#This Row],[Amendment(s)]]</f>
        <v>8111.59</v>
      </c>
      <c r="I94" s="290">
        <f ca="1">SUMIFS(CostTrack[Value],CostTrack[Vendor - Contract],VendorList[[#This Row],[Vendor / Org. with Contract ID]],CostTrack[PA ID],VendorList[[#This Row],[PA ID]],CostTrack[Holdback (Y/N/R)],"&lt;&gt;Release",CostTrack[Status],"Approved")</f>
        <v>8111.59</v>
      </c>
      <c r="J94" s="741">
        <f ca="1">IF(VendorList[[#This Row],[Current Commitment]]=0,"-",VendorList[[#This Row],[Expenditures to Date]]/VendorList[[#This Row],[Current Commitment]])</f>
        <v>1</v>
      </c>
      <c r="K94" s="292">
        <f ca="1">SUMIF(CostTrack[Vendor - Contract],VendorList[[#This Row],[Vendor / Org. with Contract ID]],CostTrack[Holdback Value])*-1</f>
        <v>0</v>
      </c>
      <c r="L94" s="292">
        <f ca="1">VendorList[[#This Row],[Current Commitment]]-VendorList[[#This Row],[Expenditures to Date]]</f>
        <v>0</v>
      </c>
      <c r="M94" s="127"/>
      <c r="N94" s="127"/>
      <c r="O94" s="739" t="s">
        <v>471</v>
      </c>
      <c r="P94" s="742" t="str">
        <f ca="1">IFERROR(INDEX(BudgetTrack[Primary Category],MATCH(VendorList[[#This Row],[PA ID]],BudgetTrack[PA ID],0)),"")</f>
        <v>FE_IT</v>
      </c>
      <c r="Q94" s="742" t="str">
        <f ca="1">IFERROR(INDEX(BudgetTrack[Secondary Category],MATCH(VendorList[[#This Row],[PA ID]],BudgetTrack[PA ID],0)),"")</f>
        <v>Furniture &amp; Equipment</v>
      </c>
      <c r="R94" s="743" t="str">
        <f ca="1">IFERROR(INDEX(BudgetTrack[Phase / Subproject],MATCH(VendorList[[#This Row],[PA ID]],BudgetTrack[PA ID],0)),"")</f>
        <v>--</v>
      </c>
      <c r="S94" s="744" t="str">
        <f ca="1">IFERROR(INDEX(BudgetTrack[Phase / Subproject 2],MATCH(VendorList[[#This Row],[PA ID]],BudgetTrack[PA ID],0)),"")</f>
        <v>--</v>
      </c>
      <c r="T94" s="743" t="str">
        <f ca="1">IFERROR(INDEX(BudgetTrack[Funding Source],MATCH(VendorList[[#This Row],[PA ID]],BudgetTrack[PA ID],0)),"")</f>
        <v>P-002360</v>
      </c>
      <c r="U94" s="745" t="str">
        <f ca="1">IF((OR(E94="Open",E94="--")),D94,"")</f>
        <v>Uline storage cabinets-9000087761</v>
      </c>
      <c r="V94" s="80" t="str">
        <f ca="1">IFERROR(INDEX($U$6:$U$109,_xlfn.AGGREGATE(15,6,(ROW($U$6:$U$109)-ROW($U$6)+1)/($U$6:$U$109&lt;&gt;""),ROWS(V$6:V94))),"")</f>
        <v/>
      </c>
      <c r="W94" s="1030">
        <f ca="1">IF(OR(VendorList[[#This Row],[Vendor / Org. with Contract ID]]="",VendorList[[#This Row],[Vendor / Org. with Contract ID]]="Future / Not Awarded"),"",IFERROR(INDEX(EAC[Estimate At Completion],MATCH(VendorList[[#This Row],[Vendor / Org. with Contract ID]],EAC[Vendor / Org. with Contract ID],0),1),"Does Not Exist"))</f>
        <v>8111.59</v>
      </c>
      <c r="Y94" s="922"/>
    </row>
    <row r="95" spans="2:25">
      <c r="B95" s="738" t="s">
        <v>503</v>
      </c>
      <c r="C95" s="123" t="s">
        <v>504</v>
      </c>
      <c r="D95" s="77" t="str">
        <f ca="1">IF(VendorList[[#This Row],[Vendor / Org.]]="","",CONCATENATE(VendorList[[#This Row],[Vendor / Org.]],"-",VendorList[[#This Row],[Contract ID]]))</f>
        <v>Chandos -041280</v>
      </c>
      <c r="E95" s="739" t="s">
        <v>71</v>
      </c>
      <c r="F95" s="1295">
        <v>153807</v>
      </c>
      <c r="G95" s="1287">
        <f ca="1">SUMIFS(ChangeTrack[Change Value],ChangeTrack[Vendor / Org.],VendorList[[#This Row],[Vendor / Org. with Contract ID]],ChangeTrack[Change Status],"Approved")</f>
        <v>51834.880000000005</v>
      </c>
      <c r="H95" s="1287">
        <f ca="1">VendorList[[#This Row],[Original Contract Value]]+VendorList[[#This Row],[Amendment(s)]]</f>
        <v>205641.88</v>
      </c>
      <c r="I95" s="1288">
        <f ca="1">SUMIFS(CostTrack[Value],CostTrack[Vendor - Contract],VendorList[[#This Row],[Vendor / Org. with Contract ID]],CostTrack[PA ID],VendorList[[#This Row],[PA ID]],CostTrack[Holdback (Y/N/R)],"&lt;&gt;Release",CostTrack[Status],"Approved")</f>
        <v>205641.88</v>
      </c>
      <c r="J95" s="1289">
        <f ca="1">IF(VendorList[[#This Row],[Current Commitment]]=0,"-",VendorList[[#This Row],[Expenditures to Date]]/VendorList[[#This Row],[Current Commitment]])</f>
        <v>1</v>
      </c>
      <c r="K95" s="1290">
        <f ca="1">SUMIF(CostTrack[Vendor - Contract],VendorList[[#This Row],[Vendor / Org. with Contract ID]],CostTrack[Holdback Value])*-1</f>
        <v>0</v>
      </c>
      <c r="L95" s="1290">
        <f ca="1">VendorList[[#This Row],[Current Commitment]]-VendorList[[#This Row],[Expenditures to Date]]</f>
        <v>0</v>
      </c>
      <c r="M95" s="127">
        <v>45421</v>
      </c>
      <c r="N95" s="127">
        <v>45899</v>
      </c>
      <c r="O95" s="739" t="s">
        <v>248</v>
      </c>
      <c r="P95" s="1291" t="str">
        <f ca="1">IFERROR(INDEX(BudgetTrack[Primary Category],MATCH(VendorList[[#This Row],[PA ID]],BudgetTrack[PA ID],0)),"")</f>
        <v>Construction</v>
      </c>
      <c r="Q95" s="1291" t="str">
        <f ca="1">IFERROR(INDEX(BudgetTrack[Secondary Category],MATCH(VendorList[[#This Row],[PA ID]],BudgetTrack[PA ID],0)),"")</f>
        <v>Other Contractor</v>
      </c>
      <c r="R95" s="1292" t="str">
        <f ca="1">IFERROR(INDEX(BudgetTrack[Phase / Subproject],MATCH(VendorList[[#This Row],[PA ID]],BudgetTrack[PA ID],0)),"")</f>
        <v>--</v>
      </c>
      <c r="S95" s="1293" t="str">
        <f ca="1">IFERROR(INDEX(BudgetTrack[Phase / Subproject 2],MATCH(VendorList[[#This Row],[PA ID]],BudgetTrack[PA ID],0)),"")</f>
        <v>--</v>
      </c>
      <c r="T95" s="1292" t="str">
        <f ca="1">IFERROR(INDEX(BudgetTrack[Funding Source],MATCH(VendorList[[#This Row],[PA ID]],BudgetTrack[PA ID],0)),"")</f>
        <v>P-002360</v>
      </c>
      <c r="U95" s="745" t="str">
        <f ca="1">IF((OR(E95="Open",E95="--")),D95,"")</f>
        <v>Chandos -041280</v>
      </c>
      <c r="V95" s="80" t="str">
        <f ca="1">IFERROR(INDEX($U$6:$U$109,_xlfn.AGGREGATE(15,6,(ROW($U$6:$U$109)-ROW($U$6)+1)/($U$6:$U$109&lt;&gt;""),ROWS(V$6:V95))),"")</f>
        <v/>
      </c>
      <c r="W95" s="1285">
        <f ca="1">IF(OR(VendorList[[#This Row],[Vendor / Org. with Contract ID]]="",VendorList[[#This Row],[Vendor / Org. with Contract ID]]="Future / Not Awarded"),"",IFERROR(INDEX(EAC[Estimate At Completion],MATCH(VendorList[[#This Row],[Vendor / Org. with Contract ID]],EAC[Vendor / Org. with Contract ID],0),1),"Does Not Exist"))</f>
        <v>205641.88</v>
      </c>
      <c r="Y95" s="922"/>
    </row>
    <row r="96" spans="2:25">
      <c r="B96" s="738" t="s">
        <v>505</v>
      </c>
      <c r="C96" s="123" t="s">
        <v>506</v>
      </c>
      <c r="D96" s="77" t="str">
        <f ca="1">IF(VendorList[[#This Row],[Vendor / Org.]]="","",CONCATENATE(VendorList[[#This Row],[Vendor / Org.]],"-",VendorList[[#This Row],[Contract ID]]))</f>
        <v>ACCRUAL WRITE-OFF-Clearing -Group2-034413</v>
      </c>
      <c r="E96" s="739" t="s">
        <v>80</v>
      </c>
      <c r="F96" s="1295">
        <v>4225</v>
      </c>
      <c r="G96" s="1287">
        <f ca="1">SUMIFS(ChangeTrack[Change Value],ChangeTrack[Vendor / Org.],VendorList[[#This Row],[Vendor / Org. with Contract ID]],ChangeTrack[Change Status],"Approved")</f>
        <v>0</v>
      </c>
      <c r="H96" s="1287">
        <f ca="1">VendorList[[#This Row],[Original Contract Value]]+VendorList[[#This Row],[Amendment(s)]]</f>
        <v>4225</v>
      </c>
      <c r="I96" s="1288">
        <f ca="1">SUMIFS(CostTrack[Value],CostTrack[Vendor - Contract],VendorList[[#This Row],[Vendor / Org. with Contract ID]],CostTrack[PA ID],VendorList[[#This Row],[PA ID]],CostTrack[Holdback (Y/N/R)],"&lt;&gt;Release",CostTrack[Status],"Approved")</f>
        <v>4225</v>
      </c>
      <c r="J96" s="1289">
        <f ca="1">IF(VendorList[[#This Row],[Current Commitment]]=0,"-",VendorList[[#This Row],[Expenditures to Date]]/VendorList[[#This Row],[Current Commitment]])</f>
        <v>1</v>
      </c>
      <c r="K96" s="1290">
        <f ca="1">SUMIF(CostTrack[Vendor - Contract],VendorList[[#This Row],[Vendor / Org. with Contract ID]],CostTrack[Holdback Value])*-1</f>
        <v>0</v>
      </c>
      <c r="L96" s="1290">
        <f ca="1">VendorList[[#This Row],[Current Commitment]]-VendorList[[#This Row],[Expenditures to Date]]</f>
        <v>0</v>
      </c>
      <c r="M96" s="127"/>
      <c r="N96" s="127">
        <v>45442</v>
      </c>
      <c r="O96" s="739" t="s">
        <v>445</v>
      </c>
      <c r="P96" s="1291" t="str">
        <f ca="1">IFERROR(INDEX(BudgetTrack[Primary Category],MATCH(VendorList[[#This Row],[PA ID]],BudgetTrack[PA ID],0)),"")</f>
        <v>Administration</v>
      </c>
      <c r="Q96" s="1291" t="str">
        <f ca="1">IFERROR(INDEX(BudgetTrack[Secondary Category],MATCH(VendorList[[#This Row],[PA ID]],BudgetTrack[PA ID],0)),"")</f>
        <v>Accrual Write Off</v>
      </c>
      <c r="R96" s="1292" t="str">
        <f ca="1">IFERROR(INDEX(BudgetTrack[Phase / Subproject],MATCH(VendorList[[#This Row],[PA ID]],BudgetTrack[PA ID],0)),"")</f>
        <v>--</v>
      </c>
      <c r="S96" s="1293" t="str">
        <f ca="1">IFERROR(INDEX(BudgetTrack[Phase / Subproject 2],MATCH(VendorList[[#This Row],[PA ID]],BudgetTrack[PA ID],0)),"")</f>
        <v>--</v>
      </c>
      <c r="T96" s="1292" t="str">
        <f ca="1">IFERROR(INDEX(BudgetTrack[Funding Source],MATCH(VendorList[[#This Row],[PA ID]],BudgetTrack[PA ID],0)),"")</f>
        <v>P-002360</v>
      </c>
      <c r="U96" s="745" t="str">
        <f ca="1">IF((OR(E96="Open",E96="--")),D96,"")</f>
        <v/>
      </c>
      <c r="V96" s="80" t="str">
        <f ca="1">IFERROR(INDEX($U$6:$U$109,_xlfn.AGGREGATE(15,6,(ROW($U$6:$U$109)-ROW($U$6)+1)/($U$6:$U$109&lt;&gt;""),ROWS(V$6:V96))),"")</f>
        <v/>
      </c>
      <c r="W96" s="1285">
        <f ca="1">IF(OR(VendorList[[#This Row],[Vendor / Org. with Contract ID]]="",VendorList[[#This Row],[Vendor / Org. with Contract ID]]="Future / Not Awarded"),"",IFERROR(INDEX(EAC[Estimate At Completion],MATCH(VendorList[[#This Row],[Vendor / Org. with Contract ID]],EAC[Vendor / Org. with Contract ID],0),1),"Does Not Exist"))</f>
        <v>4225</v>
      </c>
      <c r="Y96" s="922"/>
    </row>
    <row r="97" spans="2:25">
      <c r="B97" s="738" t="s">
        <v>507</v>
      </c>
      <c r="C97" s="123" t="s">
        <v>508</v>
      </c>
      <c r="D97" s="77" t="str">
        <f ca="1">IF(VendorList[[#This Row],[Vendor / Org.]]="","",CONCATENATE(VendorList[[#This Row],[Vendor / Org.]],"-",VendorList[[#This Row],[Contract ID]]))</f>
        <v>ACCRUAL WRITE-OFF-Clearing -Altus Group-039170</v>
      </c>
      <c r="E97" s="739" t="s">
        <v>80</v>
      </c>
      <c r="F97" s="1286">
        <v>1000</v>
      </c>
      <c r="G97" s="1287">
        <f ca="1">SUMIFS(ChangeTrack[Change Value],ChangeTrack[Vendor / Org.],VendorList[[#This Row],[Vendor / Org. with Contract ID]],ChangeTrack[Change Status],"Approved")</f>
        <v>0</v>
      </c>
      <c r="H97" s="1287">
        <f ca="1">VendorList[[#This Row],[Original Contract Value]]+VendorList[[#This Row],[Amendment(s)]]</f>
        <v>1000</v>
      </c>
      <c r="I97" s="1288">
        <f ca="1">SUMIFS(CostTrack[Value],CostTrack[Vendor - Contract],VendorList[[#This Row],[Vendor / Org. with Contract ID]],CostTrack[PA ID],VendorList[[#This Row],[PA ID]],CostTrack[Holdback (Y/N/R)],"&lt;&gt;Release",CostTrack[Status],"Approved")</f>
        <v>1000</v>
      </c>
      <c r="J97" s="1289">
        <f ca="1">IF(VendorList[[#This Row],[Current Commitment]]=0,"-",VendorList[[#This Row],[Expenditures to Date]]/VendorList[[#This Row],[Current Commitment]])</f>
        <v>1</v>
      </c>
      <c r="K97" s="1290">
        <f ca="1">SUMIF(CostTrack[Vendor - Contract],VendorList[[#This Row],[Vendor / Org. with Contract ID]],CostTrack[Holdback Value])*-1</f>
        <v>0</v>
      </c>
      <c r="L97" s="1290">
        <f ca="1">VendorList[[#This Row],[Current Commitment]]-VendorList[[#This Row],[Expenditures to Date]]</f>
        <v>0</v>
      </c>
      <c r="M97" s="127"/>
      <c r="N97" s="127">
        <v>45442</v>
      </c>
      <c r="O97" s="739" t="s">
        <v>445</v>
      </c>
      <c r="P97" s="1291" t="str">
        <f ca="1">IFERROR(INDEX(BudgetTrack[Primary Category],MATCH(VendorList[[#This Row],[PA ID]],BudgetTrack[PA ID],0)),"")</f>
        <v>Administration</v>
      </c>
      <c r="Q97" s="1291" t="str">
        <f ca="1">IFERROR(INDEX(BudgetTrack[Secondary Category],MATCH(VendorList[[#This Row],[PA ID]],BudgetTrack[PA ID],0)),"")</f>
        <v>Accrual Write Off</v>
      </c>
      <c r="R97" s="1292" t="str">
        <f ca="1">IFERROR(INDEX(BudgetTrack[Phase / Subproject],MATCH(VendorList[[#This Row],[PA ID]],BudgetTrack[PA ID],0)),"")</f>
        <v>--</v>
      </c>
      <c r="S97" s="1293" t="str">
        <f ca="1">IFERROR(INDEX(BudgetTrack[Phase / Subproject 2],MATCH(VendorList[[#This Row],[PA ID]],BudgetTrack[PA ID],0)),"")</f>
        <v>--</v>
      </c>
      <c r="T97" s="1292" t="str">
        <f ca="1">IFERROR(INDEX(BudgetTrack[Funding Source],MATCH(VendorList[[#This Row],[PA ID]],BudgetTrack[PA ID],0)),"")</f>
        <v>P-002360</v>
      </c>
      <c r="U97" s="745" t="str">
        <f ca="1">IF((OR(E97="Open",E97="--")),D97,"")</f>
        <v/>
      </c>
      <c r="V97" s="80" t="str">
        <f ca="1">IFERROR(INDEX($U$6:$U$109,_xlfn.AGGREGATE(15,6,(ROW($U$6:$U$109)-ROW($U$6)+1)/($U$6:$U$109&lt;&gt;""),ROWS(V$6:V109))),"")</f>
        <v/>
      </c>
      <c r="W97" s="1285">
        <f ca="1">IF(OR(VendorList[[#This Row],[Vendor / Org. with Contract ID]]="",VendorList[[#This Row],[Vendor / Org. with Contract ID]]="Future / Not Awarded"),"",IFERROR(INDEX(EAC[Estimate At Completion],MATCH(VendorList[[#This Row],[Vendor / Org. with Contract ID]],EAC[Vendor / Org. with Contract ID],0),1),"Does Not Exist"))</f>
        <v>1000</v>
      </c>
      <c r="Y97" s="922"/>
    </row>
    <row r="98" spans="2:25">
      <c r="B98" s="738" t="s">
        <v>509</v>
      </c>
      <c r="C98" s="123">
        <v>9000086396</v>
      </c>
      <c r="D98" s="77" t="str">
        <f ca="1">IF(VendorList[[#This Row],[Vendor / Org.]]="","",CONCATENATE(VendorList[[#This Row],[Vendor / Org.]],"-",VendorList[[#This Row],[Contract ID]]))</f>
        <v>Allwest- Nursing Chair-9000086396</v>
      </c>
      <c r="E98" s="739" t="s">
        <v>80</v>
      </c>
      <c r="F98" s="1295">
        <v>1361.49</v>
      </c>
      <c r="G98" s="1287">
        <f ca="1">SUMIFS(ChangeTrack[Change Value],ChangeTrack[Vendor / Org.],VendorList[[#This Row],[Vendor / Org. with Contract ID]],ChangeTrack[Change Status],"Approved")</f>
        <v>0</v>
      </c>
      <c r="H98" s="1287">
        <f ca="1">VendorList[[#This Row],[Original Contract Value]]+VendorList[[#This Row],[Amendment(s)]]</f>
        <v>1361.49</v>
      </c>
      <c r="I98" s="1288">
        <f ca="1">SUMIFS(CostTrack[Value],CostTrack[Vendor - Contract],VendorList[[#This Row],[Vendor / Org. with Contract ID]],CostTrack[PA ID],VendorList[[#This Row],[PA ID]],CostTrack[Holdback (Y/N/R)],"&lt;&gt;Release",CostTrack[Status],"Approved")</f>
        <v>1361.49</v>
      </c>
      <c r="J98" s="1289">
        <f ca="1">IF(VendorList[[#This Row],[Current Commitment]]=0,"-",VendorList[[#This Row],[Expenditures to Date]]/VendorList[[#This Row],[Current Commitment]])</f>
        <v>1</v>
      </c>
      <c r="K98" s="1290">
        <f ca="1">SUMIF(CostTrack[Vendor - Contract],VendorList[[#This Row],[Vendor / Org. with Contract ID]],CostTrack[Holdback Value])*-1</f>
        <v>0</v>
      </c>
      <c r="L98" s="1290">
        <f ca="1">VendorList[[#This Row],[Current Commitment]]-VendorList[[#This Row],[Expenditures to Date]]</f>
        <v>0</v>
      </c>
      <c r="M98" s="127"/>
      <c r="N98" s="127">
        <v>45747</v>
      </c>
      <c r="O98" s="739" t="s">
        <v>471</v>
      </c>
      <c r="P98" s="1291" t="str">
        <f ca="1">IFERROR(INDEX(BudgetTrack[Primary Category],MATCH(VendorList[[#This Row],[PA ID]],BudgetTrack[PA ID],0)),"")</f>
        <v>FE_IT</v>
      </c>
      <c r="Q98" s="1291" t="str">
        <f ca="1">IFERROR(INDEX(BudgetTrack[Secondary Category],MATCH(VendorList[[#This Row],[PA ID]],BudgetTrack[PA ID],0)),"")</f>
        <v>Furniture &amp; Equipment</v>
      </c>
      <c r="R98" s="1292" t="str">
        <f ca="1">IFERROR(INDEX(BudgetTrack[Phase / Subproject],MATCH(VendorList[[#This Row],[PA ID]],BudgetTrack[PA ID],0)),"")</f>
        <v>--</v>
      </c>
      <c r="S98" s="1293" t="str">
        <f ca="1">IFERROR(INDEX(BudgetTrack[Phase / Subproject 2],MATCH(VendorList[[#This Row],[PA ID]],BudgetTrack[PA ID],0)),"")</f>
        <v>--</v>
      </c>
      <c r="T98" s="1292" t="str">
        <f ca="1">IFERROR(INDEX(BudgetTrack[Funding Source],MATCH(VendorList[[#This Row],[PA ID]],BudgetTrack[PA ID],0)),"")</f>
        <v>P-002360</v>
      </c>
      <c r="U98" s="745" t="str">
        <f t="shared" ref="U98:U99" ca="1" si="10">IF((OR(E98="Open",E98="--")),D98,"")</f>
        <v/>
      </c>
      <c r="V98" s="80" t="str">
        <f ca="1">IFERROR(INDEX($U$6:$U$109,_xlfn.AGGREGATE(15,6,(ROW($U$6:$U$109)-ROW($U$6)+1)/($U$6:$U$109&lt;&gt;""),ROWS(V$6:V98))),"")</f>
        <v/>
      </c>
      <c r="W98" s="1285">
        <f ca="1">IF(OR(VendorList[[#This Row],[Vendor / Org. with Contract ID]]="",VendorList[[#This Row],[Vendor / Org. with Contract ID]]="Future / Not Awarded"),"",IFERROR(INDEX(EAC[Estimate At Completion],MATCH(VendorList[[#This Row],[Vendor / Org. with Contract ID]],EAC[Vendor / Org. with Contract ID],0),1),"Does Not Exist"))</f>
        <v>1361.49</v>
      </c>
      <c r="Y98" s="922"/>
    </row>
    <row r="99" spans="2:25">
      <c r="B99" s="738" t="s">
        <v>510</v>
      </c>
      <c r="C99" s="123">
        <v>9000088137</v>
      </c>
      <c r="D99" s="77" t="str">
        <f ca="1">IF(VendorList[[#This Row],[Vendor / Org.]]="","",CONCATENATE(VendorList[[#This Row],[Vendor / Org.]],"-",VendorList[[#This Row],[Contract ID]]))</f>
        <v>Uline Poster storage &amp; Mail sorter-9000088137</v>
      </c>
      <c r="E99" s="739" t="s">
        <v>80</v>
      </c>
      <c r="F99" s="1295">
        <v>3501.46</v>
      </c>
      <c r="G99" s="1287">
        <f ca="1">SUMIFS(ChangeTrack[Change Value],ChangeTrack[Vendor / Org.],VendorList[[#This Row],[Vendor / Org. with Contract ID]],ChangeTrack[Change Status],"Approved")</f>
        <v>0</v>
      </c>
      <c r="H99" s="1287">
        <f ca="1">VendorList[[#This Row],[Original Contract Value]]+VendorList[[#This Row],[Amendment(s)]]</f>
        <v>3501.46</v>
      </c>
      <c r="I99" s="1288">
        <f ca="1">SUMIFS(CostTrack[Value],CostTrack[Vendor - Contract],VendorList[[#This Row],[Vendor / Org. with Contract ID]],CostTrack[PA ID],VendorList[[#This Row],[PA ID]],CostTrack[Holdback (Y/N/R)],"&lt;&gt;Release",CostTrack[Status],"Approved")</f>
        <v>3501.46</v>
      </c>
      <c r="J99" s="1289">
        <f ca="1">IF(VendorList[[#This Row],[Current Commitment]]=0,"-",VendorList[[#This Row],[Expenditures to Date]]/VendorList[[#This Row],[Current Commitment]])</f>
        <v>1</v>
      </c>
      <c r="K99" s="1290">
        <f ca="1">SUMIF(CostTrack[Vendor - Contract],VendorList[[#This Row],[Vendor / Org. with Contract ID]],CostTrack[Holdback Value])*-1</f>
        <v>0</v>
      </c>
      <c r="L99" s="1290">
        <f ca="1">VendorList[[#This Row],[Current Commitment]]-VendorList[[#This Row],[Expenditures to Date]]</f>
        <v>0</v>
      </c>
      <c r="M99" s="127"/>
      <c r="N99" s="127">
        <v>45747</v>
      </c>
      <c r="O99" s="739" t="s">
        <v>471</v>
      </c>
      <c r="P99" s="1291" t="str">
        <f ca="1">IFERROR(INDEX(BudgetTrack[Primary Category],MATCH(VendorList[[#This Row],[PA ID]],BudgetTrack[PA ID],0)),"")</f>
        <v>FE_IT</v>
      </c>
      <c r="Q99" s="1291" t="str">
        <f ca="1">IFERROR(INDEX(BudgetTrack[Secondary Category],MATCH(VendorList[[#This Row],[PA ID]],BudgetTrack[PA ID],0)),"")</f>
        <v>Furniture &amp; Equipment</v>
      </c>
      <c r="R99" s="1292" t="str">
        <f ca="1">IFERROR(INDEX(BudgetTrack[Phase / Subproject],MATCH(VendorList[[#This Row],[PA ID]],BudgetTrack[PA ID],0)),"")</f>
        <v>--</v>
      </c>
      <c r="S99" s="1293" t="str">
        <f ca="1">IFERROR(INDEX(BudgetTrack[Phase / Subproject 2],MATCH(VendorList[[#This Row],[PA ID]],BudgetTrack[PA ID],0)),"")</f>
        <v>--</v>
      </c>
      <c r="T99" s="1292" t="str">
        <f ca="1">IFERROR(INDEX(BudgetTrack[Funding Source],MATCH(VendorList[[#This Row],[PA ID]],BudgetTrack[PA ID],0)),"")</f>
        <v>P-002360</v>
      </c>
      <c r="U99" s="745" t="str">
        <f t="shared" ca="1" si="10"/>
        <v/>
      </c>
      <c r="V99" s="80" t="str">
        <f ca="1">IFERROR(INDEX($U$6:$U$109,_xlfn.AGGREGATE(15,6,(ROW($U$6:$U$109)-ROW($U$6)+1)/($U$6:$U$109&lt;&gt;""),ROWS(V$6:V99))),"")</f>
        <v/>
      </c>
      <c r="W99" s="1285">
        <f ca="1">IF(OR(VendorList[[#This Row],[Vendor / Org. with Contract ID]]="",VendorList[[#This Row],[Vendor / Org. with Contract ID]]="Future / Not Awarded"),"",IFERROR(INDEX(EAC[Estimate At Completion],MATCH(VendorList[[#This Row],[Vendor / Org. with Contract ID]],EAC[Vendor / Org. with Contract ID],0),1),"Does Not Exist"))</f>
        <v>3501.46</v>
      </c>
      <c r="Y99" s="922"/>
    </row>
    <row r="100" spans="2:25">
      <c r="B100" s="738" t="s">
        <v>511</v>
      </c>
      <c r="C100" s="123">
        <v>9000087881</v>
      </c>
      <c r="D100" s="77" t="str">
        <f ca="1">IF(VendorList[[#This Row],[Vendor / Org.]]="","",CONCATENATE(VendorList[[#This Row],[Vendor / Org.]],"-",VendorList[[#This Row],[Contract ID]]))</f>
        <v>CDI Spaces- Keilhauer chairs-9000087881</v>
      </c>
      <c r="E100" s="739" t="s">
        <v>80</v>
      </c>
      <c r="F100" s="1295">
        <v>498248.28</v>
      </c>
      <c r="G100" s="1287">
        <f ca="1">SUMIFS(ChangeTrack[Change Value],ChangeTrack[Vendor / Org.],VendorList[[#This Row],[Vendor / Org. with Contract ID]],ChangeTrack[Change Status],"Approved")</f>
        <v>0</v>
      </c>
      <c r="H100" s="1287">
        <f ca="1">VendorList[[#This Row],[Original Contract Value]]+VendorList[[#This Row],[Amendment(s)]]</f>
        <v>498248.28</v>
      </c>
      <c r="I100" s="1288">
        <f ca="1">SUMIFS(CostTrack[Value],CostTrack[Vendor - Contract],VendorList[[#This Row],[Vendor / Org. with Contract ID]],CostTrack[PA ID],VendorList[[#This Row],[PA ID]],CostTrack[Holdback (Y/N/R)],"&lt;&gt;Release",CostTrack[Status],"Approved")</f>
        <v>498248.28</v>
      </c>
      <c r="J100" s="1289">
        <f ca="1">IF(VendorList[[#This Row],[Current Commitment]]=0,"-",VendorList[[#This Row],[Expenditures to Date]]/VendorList[[#This Row],[Current Commitment]])</f>
        <v>1</v>
      </c>
      <c r="K100" s="1290">
        <f ca="1">SUMIF(CostTrack[Vendor - Contract],VendorList[[#This Row],[Vendor / Org. with Contract ID]],CostTrack[Holdback Value])*-1</f>
        <v>0</v>
      </c>
      <c r="L100" s="1290">
        <f ca="1">VendorList[[#This Row],[Current Commitment]]-VendorList[[#This Row],[Expenditures to Date]]</f>
        <v>0</v>
      </c>
      <c r="M100" s="127"/>
      <c r="N100" s="127">
        <v>45747</v>
      </c>
      <c r="O100" s="739" t="s">
        <v>471</v>
      </c>
      <c r="P100" s="1291" t="str">
        <f ca="1">IFERROR(INDEX(BudgetTrack[Primary Category],MATCH(VendorList[[#This Row],[PA ID]],BudgetTrack[PA ID],0)),"")</f>
        <v>FE_IT</v>
      </c>
      <c r="Q100" s="1291" t="str">
        <f ca="1">IFERROR(INDEX(BudgetTrack[Secondary Category],MATCH(VendorList[[#This Row],[PA ID]],BudgetTrack[PA ID],0)),"")</f>
        <v>Furniture &amp; Equipment</v>
      </c>
      <c r="R100" s="1292" t="str">
        <f ca="1">IFERROR(INDEX(BudgetTrack[Phase / Subproject],MATCH(VendorList[[#This Row],[PA ID]],BudgetTrack[PA ID],0)),"")</f>
        <v>--</v>
      </c>
      <c r="S100" s="1293" t="str">
        <f ca="1">IFERROR(INDEX(BudgetTrack[Phase / Subproject 2],MATCH(VendorList[[#This Row],[PA ID]],BudgetTrack[PA ID],0)),"")</f>
        <v>--</v>
      </c>
      <c r="T100" s="1292" t="str">
        <f ca="1">IFERROR(INDEX(BudgetTrack[Funding Source],MATCH(VendorList[[#This Row],[PA ID]],BudgetTrack[PA ID],0)),"")</f>
        <v>P-002360</v>
      </c>
      <c r="U100" s="745" t="str">
        <f ca="1">IF((OR(E100="Open",E100="--")),D100,"")</f>
        <v/>
      </c>
      <c r="V100" s="80" t="str">
        <f ca="1">IFERROR(INDEX($U$6:$U$109,_xlfn.AGGREGATE(15,6,(ROW($U$6:$U$109)-ROW($U$6)+1)/($U$6:$U$109&lt;&gt;""),ROWS(V$6:V100))),"")</f>
        <v/>
      </c>
      <c r="W100" s="1285">
        <f ca="1">IF(OR(VendorList[[#This Row],[Vendor / Org. with Contract ID]]="",VendorList[[#This Row],[Vendor / Org. with Contract ID]]="Future / Not Awarded"),"",IFERROR(INDEX(EAC[Estimate At Completion],MATCH(VendorList[[#This Row],[Vendor / Org. with Contract ID]],EAC[Vendor / Org. with Contract ID],0),1),"Does Not Exist"))</f>
        <v>498248.28</v>
      </c>
      <c r="Y100" s="922"/>
    </row>
    <row r="101" spans="2:25">
      <c r="B101" s="738" t="s">
        <v>512</v>
      </c>
      <c r="C101" s="123" t="s">
        <v>513</v>
      </c>
      <c r="D101" s="77" t="str">
        <f ca="1">IF(VendorList[[#This Row],[Vendor / Org.]]="","",CONCATENATE(VendorList[[#This Row],[Vendor / Org.]],"-",VendorList[[#This Row],[Contract ID]]))</f>
        <v>Telus- Voip Phones-288PA-20046</v>
      </c>
      <c r="E101" s="739" t="s">
        <v>80</v>
      </c>
      <c r="F101" s="1295">
        <v>8612.08</v>
      </c>
      <c r="G101" s="1287">
        <f ca="1">SUMIFS(ChangeTrack[Change Value],ChangeTrack[Vendor / Org.],VendorList[[#This Row],[Vendor / Org. with Contract ID]],ChangeTrack[Change Status],"Approved")</f>
        <v>0</v>
      </c>
      <c r="H101" s="1287">
        <f ca="1">VendorList[[#This Row],[Original Contract Value]]+VendorList[[#This Row],[Amendment(s)]]</f>
        <v>8612.08</v>
      </c>
      <c r="I101" s="1288">
        <f ca="1">SUMIFS(CostTrack[Value],CostTrack[Vendor - Contract],VendorList[[#This Row],[Vendor / Org. with Contract ID]],CostTrack[PA ID],VendorList[[#This Row],[PA ID]],CostTrack[Holdback (Y/N/R)],"&lt;&gt;Release",CostTrack[Status],"Approved")</f>
        <v>8612.08</v>
      </c>
      <c r="J101" s="1289">
        <f ca="1">IF(VendorList[[#This Row],[Current Commitment]]=0,"-",VendorList[[#This Row],[Expenditures to Date]]/VendorList[[#This Row],[Current Commitment]])</f>
        <v>1</v>
      </c>
      <c r="K101" s="1290">
        <f ca="1">SUMIF(CostTrack[Vendor - Contract],VendorList[[#This Row],[Vendor / Org. with Contract ID]],CostTrack[Holdback Value])*-1</f>
        <v>0</v>
      </c>
      <c r="L101" s="1290">
        <f ca="1">VendorList[[#This Row],[Current Commitment]]-VendorList[[#This Row],[Expenditures to Date]]</f>
        <v>0</v>
      </c>
      <c r="M101" s="127"/>
      <c r="N101" s="127">
        <v>45747</v>
      </c>
      <c r="O101" s="739" t="s">
        <v>428</v>
      </c>
      <c r="P101" s="1291" t="str">
        <f ca="1">IFERROR(INDEX(BudgetTrack[Primary Category],MATCH(VendorList[[#This Row],[PA ID]],BudgetTrack[PA ID],0)),"")</f>
        <v>Construction</v>
      </c>
      <c r="Q101" s="1291" t="str">
        <f ca="1">IFERROR(INDEX(BudgetTrack[Secondary Category],MATCH(VendorList[[#This Row],[PA ID]],BudgetTrack[PA ID],0)),"")</f>
        <v>Utilities</v>
      </c>
      <c r="R101" s="1292" t="str">
        <f ca="1">IFERROR(INDEX(BudgetTrack[Phase / Subproject],MATCH(VendorList[[#This Row],[PA ID]],BudgetTrack[PA ID],0)),"")</f>
        <v>--</v>
      </c>
      <c r="S101" s="1293" t="str">
        <f ca="1">IFERROR(INDEX(BudgetTrack[Phase / Subproject 2],MATCH(VendorList[[#This Row],[PA ID]],BudgetTrack[PA ID],0)),"")</f>
        <v>--</v>
      </c>
      <c r="T101" s="1292" t="str">
        <f ca="1">IFERROR(INDEX(BudgetTrack[Funding Source],MATCH(VendorList[[#This Row],[PA ID]],BudgetTrack[PA ID],0)),"")</f>
        <v>P-002360</v>
      </c>
      <c r="U101" s="745" t="str">
        <f ca="1">IF((OR(E101="Open",E101="--")),D101,"")</f>
        <v/>
      </c>
      <c r="V101" s="80" t="str">
        <f ca="1">IFERROR(INDEX($U$6:$U$109,_xlfn.AGGREGATE(15,6,(ROW($U$6:$U$109)-ROW($U$6)+1)/($U$6:$U$109&lt;&gt;""),ROWS(V$6:V101))),"")</f>
        <v/>
      </c>
      <c r="W101" s="1285">
        <f ca="1">IF(OR(VendorList[[#This Row],[Vendor / Org. with Contract ID]]="",VendorList[[#This Row],[Vendor / Org. with Contract ID]]="Future / Not Awarded"),"",IFERROR(INDEX(EAC[Estimate At Completion],MATCH(VendorList[[#This Row],[Vendor / Org. with Contract ID]],EAC[Vendor / Org. with Contract ID],0),1),"Does Not Exist"))</f>
        <v>0</v>
      </c>
      <c r="Y101" s="922"/>
    </row>
    <row r="102" spans="2:25">
      <c r="B102" s="738" t="s">
        <v>514</v>
      </c>
      <c r="C102" s="123" t="s">
        <v>469</v>
      </c>
      <c r="D102" s="77" t="str">
        <f ca="1">IF(VendorList[[#This Row],[Vendor / Org.]]="","",CONCATENATE(VendorList[[#This Row],[Vendor / Org.]],"-",VendorList[[#This Row],[Contract ID]]))</f>
        <v>TFA-Staff Relocation to RDJC-IUT</v>
      </c>
      <c r="E102" s="739" t="s">
        <v>80</v>
      </c>
      <c r="F102" s="1295">
        <v>200000</v>
      </c>
      <c r="G102" s="1287">
        <f ca="1">SUMIFS(ChangeTrack[Change Value],ChangeTrack[Vendor / Org.],VendorList[[#This Row],[Vendor / Org. with Contract ID]],ChangeTrack[Change Status],"Approved")</f>
        <v>-33204.230000000003</v>
      </c>
      <c r="H102" s="1287">
        <f ca="1">VendorList[[#This Row],[Original Contract Value]]+VendorList[[#This Row],[Amendment(s)]]</f>
        <v>166795.76999999999</v>
      </c>
      <c r="I102" s="1288">
        <f ca="1">SUMIFS(CostTrack[Value],CostTrack[Vendor - Contract],VendorList[[#This Row],[Vendor / Org. with Contract ID]],CostTrack[PA ID],VendorList[[#This Row],[PA ID]],CostTrack[Holdback (Y/N/R)],"&lt;&gt;Release",CostTrack[Status],"Approved")</f>
        <v>166795.76999999999</v>
      </c>
      <c r="J102" s="1289">
        <f ca="1">IF(VendorList[[#This Row],[Current Commitment]]=0,"-",VendorList[[#This Row],[Expenditures to Date]]/VendorList[[#This Row],[Current Commitment]])</f>
        <v>1</v>
      </c>
      <c r="K102" s="1290">
        <f ca="1">SUMIF(CostTrack[Vendor - Contract],VendorList[[#This Row],[Vendor / Org. with Contract ID]],CostTrack[Holdback Value])*-1</f>
        <v>0</v>
      </c>
      <c r="L102" s="1290">
        <f ca="1">VendorList[[#This Row],[Current Commitment]]-VendorList[[#This Row],[Expenditures to Date]]</f>
        <v>0</v>
      </c>
      <c r="M102" s="127">
        <v>45411</v>
      </c>
      <c r="N102" s="127">
        <v>45747</v>
      </c>
      <c r="O102" s="739" t="s">
        <v>477</v>
      </c>
      <c r="P102" s="1291" t="str">
        <f ca="1">IFERROR(INDEX(BudgetTrack[Primary Category],MATCH(VendorList[[#This Row],[PA ID]],BudgetTrack[PA ID],0)),"")</f>
        <v>FE_IT</v>
      </c>
      <c r="Q102" s="1291" t="str">
        <f ca="1">IFERROR(INDEX(BudgetTrack[Secondary Category],MATCH(VendorList[[#This Row],[PA ID]],BudgetTrack[PA ID],0)),"")</f>
        <v>Movers</v>
      </c>
      <c r="R102" s="1292" t="str">
        <f ca="1">IFERROR(INDEX(BudgetTrack[Phase / Subproject],MATCH(VendorList[[#This Row],[PA ID]],BudgetTrack[PA ID],0)),"")</f>
        <v>--</v>
      </c>
      <c r="S102" s="1293" t="str">
        <f ca="1">IFERROR(INDEX(BudgetTrack[Phase / Subproject 2],MATCH(VendorList[[#This Row],[PA ID]],BudgetTrack[PA ID],0)),"")</f>
        <v>--</v>
      </c>
      <c r="T102" s="1292" t="str">
        <f ca="1">IFERROR(INDEX(BudgetTrack[Funding Source],MATCH(VendorList[[#This Row],[PA ID]],BudgetTrack[PA ID],0)),"")</f>
        <v>P-002360</v>
      </c>
      <c r="U102" s="745" t="str">
        <f t="shared" ref="U102:U109" ca="1" si="11">IF((OR(E102="Open",E102="--")),D102,"")</f>
        <v/>
      </c>
      <c r="V102" s="80" t="str">
        <f ca="1">IFERROR(INDEX($U$6:$U$109,_xlfn.AGGREGATE(15,6,(ROW($U$6:$U$109)-ROW($U$6)+1)/($U$6:$U$109&lt;&gt;""),ROWS(V$6:V102))),"")</f>
        <v/>
      </c>
      <c r="W102" s="1285">
        <f ca="1">IF(OR(VendorList[[#This Row],[Vendor / Org. with Contract ID]]="",VendorList[[#This Row],[Vendor / Org. with Contract ID]]="Future / Not Awarded"),"",IFERROR(INDEX(EAC[Estimate At Completion],MATCH(VendorList[[#This Row],[Vendor / Org. with Contract ID]],EAC[Vendor / Org. with Contract ID],0),1),"Does Not Exist"))</f>
        <v>166795.76999999999</v>
      </c>
      <c r="Y102" s="922"/>
    </row>
    <row r="103" spans="2:25">
      <c r="B103" s="738" t="s">
        <v>515</v>
      </c>
      <c r="C103" s="123" t="s">
        <v>409</v>
      </c>
      <c r="D103" s="77" t="str">
        <f ca="1">IF(VendorList[[#This Row],[Vendor / Org.]]="","",CONCATENATE(VendorList[[#This Row],[Vendor / Org.]],"-",VendorList[[#This Row],[Contract ID]]))</f>
        <v>Staples- Sheriif Chairs-Direct Pay</v>
      </c>
      <c r="E103" s="739" t="s">
        <v>80</v>
      </c>
      <c r="F103" s="1295">
        <v>18637.2</v>
      </c>
      <c r="G103" s="1287">
        <f ca="1">SUMIFS(ChangeTrack[Change Value],ChangeTrack[Vendor / Org.],VendorList[[#This Row],[Vendor / Org. with Contract ID]],ChangeTrack[Change Status],"Approved")</f>
        <v>0</v>
      </c>
      <c r="H103" s="1287">
        <f ca="1">VendorList[[#This Row],[Original Contract Value]]+VendorList[[#This Row],[Amendment(s)]]</f>
        <v>18637.2</v>
      </c>
      <c r="I103" s="1288">
        <f ca="1">SUMIFS(CostTrack[Value],CostTrack[Vendor - Contract],VendorList[[#This Row],[Vendor / Org. with Contract ID]],CostTrack[PA ID],VendorList[[#This Row],[PA ID]],CostTrack[Holdback (Y/N/R)],"&lt;&gt;Release",CostTrack[Status],"Approved")</f>
        <v>18637.2</v>
      </c>
      <c r="J103" s="1289">
        <f ca="1">IF(VendorList[[#This Row],[Current Commitment]]=0,"-",VendorList[[#This Row],[Expenditures to Date]]/VendorList[[#This Row],[Current Commitment]])</f>
        <v>1</v>
      </c>
      <c r="K103" s="1290">
        <f ca="1">SUMIF(CostTrack[Vendor - Contract],VendorList[[#This Row],[Vendor / Org. with Contract ID]],CostTrack[Holdback Value])*-1</f>
        <v>0</v>
      </c>
      <c r="L103" s="1290">
        <f ca="1">VendorList[[#This Row],[Current Commitment]]-VendorList[[#This Row],[Expenditures to Date]]</f>
        <v>0</v>
      </c>
      <c r="M103" s="127"/>
      <c r="N103" s="127">
        <v>45747</v>
      </c>
      <c r="O103" s="739" t="s">
        <v>471</v>
      </c>
      <c r="P103" s="1291" t="str">
        <f ca="1">IFERROR(INDEX(BudgetTrack[Primary Category],MATCH(VendorList[[#This Row],[PA ID]],BudgetTrack[PA ID],0)),"")</f>
        <v>FE_IT</v>
      </c>
      <c r="Q103" s="1291" t="str">
        <f ca="1">IFERROR(INDEX(BudgetTrack[Secondary Category],MATCH(VendorList[[#This Row],[PA ID]],BudgetTrack[PA ID],0)),"")</f>
        <v>Furniture &amp; Equipment</v>
      </c>
      <c r="R103" s="1292" t="str">
        <f ca="1">IFERROR(INDEX(BudgetTrack[Phase / Subproject],MATCH(VendorList[[#This Row],[PA ID]],BudgetTrack[PA ID],0)),"")</f>
        <v>--</v>
      </c>
      <c r="S103" s="1293" t="str">
        <f ca="1">IFERROR(INDEX(BudgetTrack[Phase / Subproject 2],MATCH(VendorList[[#This Row],[PA ID]],BudgetTrack[PA ID],0)),"")</f>
        <v>--</v>
      </c>
      <c r="T103" s="1292" t="str">
        <f ca="1">IFERROR(INDEX(BudgetTrack[Funding Source],MATCH(VendorList[[#This Row],[PA ID]],BudgetTrack[PA ID],0)),"")</f>
        <v>P-002360</v>
      </c>
      <c r="U103" s="745" t="str">
        <f t="shared" ca="1" si="11"/>
        <v/>
      </c>
      <c r="V103" s="80" t="str">
        <f ca="1">IFERROR(INDEX($U$6:$U$109,_xlfn.AGGREGATE(15,6,(ROW($U$6:$U$109)-ROW($U$6)+1)/($U$6:$U$109&lt;&gt;""),ROWS(V$6:V103))),"")</f>
        <v/>
      </c>
      <c r="W103" s="1285">
        <f ca="1">IF(OR(VendorList[[#This Row],[Vendor / Org. with Contract ID]]="",VendorList[[#This Row],[Vendor / Org. with Contract ID]]="Future / Not Awarded"),"",IFERROR(INDEX(EAC[Estimate At Completion],MATCH(VendorList[[#This Row],[Vendor / Org. with Contract ID]],EAC[Vendor / Org. with Contract ID],0),1),"Does Not Exist"))</f>
        <v>18637.2</v>
      </c>
      <c r="Y103" s="922"/>
    </row>
    <row r="104" spans="2:25">
      <c r="B104" s="738" t="s">
        <v>516</v>
      </c>
      <c r="C104" s="123">
        <v>41876</v>
      </c>
      <c r="D104" s="77" t="str">
        <f ca="1">IF(VendorList[[#This Row],[Vendor / Org.]]="","",CONCATENATE(VendorList[[#This Row],[Vendor / Org.]],"-",VendorList[[#This Row],[Contract ID]]))</f>
        <v>Gowling WLG -External Counsel-41876</v>
      </c>
      <c r="E104" s="739" t="s">
        <v>71</v>
      </c>
      <c r="F104" s="1295">
        <v>500000</v>
      </c>
      <c r="G104" s="1287">
        <f ca="1">SUMIFS(ChangeTrack[Change Value],ChangeTrack[Vendor / Org.],VendorList[[#This Row],[Vendor / Org. with Contract ID]],ChangeTrack[Change Status],"Approved")</f>
        <v>0</v>
      </c>
      <c r="H104" s="1287">
        <f ca="1">VendorList[[#This Row],[Original Contract Value]]+VendorList[[#This Row],[Amendment(s)]]</f>
        <v>500000</v>
      </c>
      <c r="I104" s="1288">
        <f ca="1">SUMIFS(CostTrack[Value],CostTrack[Vendor - Contract],VendorList[[#This Row],[Vendor / Org. with Contract ID]],CostTrack[PA ID],VendorList[[#This Row],[PA ID]],CostTrack[Holdback (Y/N/R)],"&lt;&gt;Release",CostTrack[Status],"Approved")</f>
        <v>215424.87999999998</v>
      </c>
      <c r="J104" s="1289">
        <f ca="1">IF(VendorList[[#This Row],[Current Commitment]]=0,"-",VendorList[[#This Row],[Expenditures to Date]]/VendorList[[#This Row],[Current Commitment]])</f>
        <v>0.43084975999999997</v>
      </c>
      <c r="K104" s="1290">
        <f ca="1">SUMIF(CostTrack[Vendor - Contract],VendorList[[#This Row],[Vendor / Org. with Contract ID]],CostTrack[Holdback Value])*-1</f>
        <v>0</v>
      </c>
      <c r="L104" s="1290">
        <f ca="1">VendorList[[#This Row],[Current Commitment]]-VendorList[[#This Row],[Expenditures to Date]]</f>
        <v>284575.12</v>
      </c>
      <c r="M104" s="127">
        <v>45565</v>
      </c>
      <c r="N104" s="127">
        <v>46477</v>
      </c>
      <c r="O104" s="739" t="s">
        <v>401</v>
      </c>
      <c r="P104" s="1291" t="str">
        <f ca="1">IFERROR(INDEX(BudgetTrack[Primary Category],MATCH(VendorList[[#This Row],[PA ID]],BudgetTrack[PA ID],0)),"")</f>
        <v>Professional Services</v>
      </c>
      <c r="Q104" s="1291" t="str">
        <f ca="1">IFERROR(INDEX(BudgetTrack[Secondary Category],MATCH(VendorList[[#This Row],[PA ID]],BudgetTrack[PA ID],0)),"")</f>
        <v>Other Professional Services</v>
      </c>
      <c r="R104" s="1292" t="str">
        <f ca="1">IFERROR(INDEX(BudgetTrack[Phase / Subproject],MATCH(VendorList[[#This Row],[PA ID]],BudgetTrack[PA ID],0)),"")</f>
        <v>--</v>
      </c>
      <c r="S104" s="1293" t="str">
        <f ca="1">IFERROR(INDEX(BudgetTrack[Phase / Subproject 2],MATCH(VendorList[[#This Row],[PA ID]],BudgetTrack[PA ID],0)),"")</f>
        <v>--</v>
      </c>
      <c r="T104" s="1292" t="str">
        <f ca="1">IFERROR(INDEX(BudgetTrack[Funding Source],MATCH(VendorList[[#This Row],[PA ID]],BudgetTrack[PA ID],0)),"")</f>
        <v>P-002360</v>
      </c>
      <c r="U104" s="745" t="str">
        <f t="shared" ca="1" si="11"/>
        <v>Gowling WLG -External Counsel-41876</v>
      </c>
      <c r="V104" s="80" t="str">
        <f ca="1">IFERROR(INDEX($U$6:$U$109,_xlfn.AGGREGATE(15,6,(ROW($U$6:$U$109)-ROW($U$6)+1)/($U$6:$U$109&lt;&gt;""),ROWS(V$6:V104))),"")</f>
        <v/>
      </c>
      <c r="W104" s="1285">
        <f ca="1">IF(OR(VendorList[[#This Row],[Vendor / Org. with Contract ID]]="",VendorList[[#This Row],[Vendor / Org. with Contract ID]]="Future / Not Awarded"),"",IFERROR(INDEX(EAC[Estimate At Completion],MATCH(VendorList[[#This Row],[Vendor / Org. with Contract ID]],EAC[Vendor / Org. with Contract ID],0),1),"Does Not Exist"))</f>
        <v>649875</v>
      </c>
      <c r="Y104" s="922"/>
    </row>
    <row r="105" spans="2:25">
      <c r="B105" s="738" t="s">
        <v>517</v>
      </c>
      <c r="C105" s="123" t="s">
        <v>518</v>
      </c>
      <c r="D105" s="77" t="str">
        <f ca="1">IF(VendorList[[#This Row],[Vendor / Org.]]="","",CONCATENATE(VendorList[[#This Row],[Vendor / Org.]],"-",VendorList[[#This Row],[Contract ID]]))</f>
        <v>Behrends-Plaque-9000113355/9000113879</v>
      </c>
      <c r="E105" s="739" t="s">
        <v>80</v>
      </c>
      <c r="F105" s="1295">
        <f ca="1">9545.89+1366.14</f>
        <v>10912.029999999999</v>
      </c>
      <c r="G105" s="1287">
        <f ca="1">SUMIFS(ChangeTrack[Change Value],ChangeTrack[Vendor / Org.],VendorList[[#This Row],[Vendor / Org. with Contract ID]],ChangeTrack[Change Status],"Approved")</f>
        <v>0</v>
      </c>
      <c r="H105" s="1287">
        <f ca="1">VendorList[[#This Row],[Original Contract Value]]+VendorList[[#This Row],[Amendment(s)]]</f>
        <v>10912.029999999999</v>
      </c>
      <c r="I105" s="1288">
        <f ca="1">SUMIFS(CostTrack[Value],CostTrack[Vendor - Contract],VendorList[[#This Row],[Vendor / Org. with Contract ID]],CostTrack[PA ID],VendorList[[#This Row],[PA ID]],CostTrack[Holdback (Y/N/R)],"&lt;&gt;Release",CostTrack[Status],"Approved")</f>
        <v>10912.029999999999</v>
      </c>
      <c r="J105" s="1289">
        <f ca="1">IF(VendorList[[#This Row],[Current Commitment]]=0,"-",VendorList[[#This Row],[Expenditures to Date]]/VendorList[[#This Row],[Current Commitment]])</f>
        <v>1</v>
      </c>
      <c r="K105" s="1290">
        <f ca="1">SUMIF(CostTrack[Vendor - Contract],VendorList[[#This Row],[Vendor / Org. with Contract ID]],CostTrack[Holdback Value])*-1</f>
        <v>0</v>
      </c>
      <c r="L105" s="1290">
        <f ca="1">VendorList[[#This Row],[Current Commitment]]-VendorList[[#This Row],[Expenditures to Date]]</f>
        <v>0</v>
      </c>
      <c r="M105" s="127">
        <v>45730</v>
      </c>
      <c r="N105" s="127">
        <v>45808</v>
      </c>
      <c r="O105" s="739" t="s">
        <v>471</v>
      </c>
      <c r="P105" s="1291" t="str">
        <f ca="1">IFERROR(INDEX(BudgetTrack[Primary Category],MATCH(VendorList[[#This Row],[PA ID]],BudgetTrack[PA ID],0)),"")</f>
        <v>FE_IT</v>
      </c>
      <c r="Q105" s="1291" t="str">
        <f ca="1">IFERROR(INDEX(BudgetTrack[Secondary Category],MATCH(VendorList[[#This Row],[PA ID]],BudgetTrack[PA ID],0)),"")</f>
        <v>Furniture &amp; Equipment</v>
      </c>
      <c r="R105" s="1292" t="str">
        <f ca="1">IFERROR(INDEX(BudgetTrack[Phase / Subproject],MATCH(VendorList[[#This Row],[PA ID]],BudgetTrack[PA ID],0)),"")</f>
        <v>--</v>
      </c>
      <c r="S105" s="1293" t="str">
        <f ca="1">IFERROR(INDEX(BudgetTrack[Phase / Subproject 2],MATCH(VendorList[[#This Row],[PA ID]],BudgetTrack[PA ID],0)),"")</f>
        <v>--</v>
      </c>
      <c r="T105" s="1292" t="str">
        <f ca="1">IFERROR(INDEX(BudgetTrack[Funding Source],MATCH(VendorList[[#This Row],[PA ID]],BudgetTrack[PA ID],0)),"")</f>
        <v>P-002360</v>
      </c>
      <c r="U105" s="745" t="str">
        <f t="shared" ca="1" si="11"/>
        <v/>
      </c>
      <c r="V105" s="80" t="str">
        <f ca="1">IFERROR(INDEX($U$6:$U$109,_xlfn.AGGREGATE(15,6,(ROW($U$6:$U$109)-ROW($U$6)+1)/($U$6:$U$109&lt;&gt;""),ROWS(V$6:V105))),"")</f>
        <v/>
      </c>
      <c r="W105" s="1285">
        <f ca="1">IF(OR(VendorList[[#This Row],[Vendor / Org. with Contract ID]]="",VendorList[[#This Row],[Vendor / Org. with Contract ID]]="Future / Not Awarded"),"",IFERROR(INDEX(EAC[Estimate At Completion],MATCH(VendorList[[#This Row],[Vendor / Org. with Contract ID]],EAC[Vendor / Org. with Contract ID],0),1),"Does Not Exist"))</f>
        <v>10912.029999999999</v>
      </c>
      <c r="Y105" s="922"/>
    </row>
    <row r="106" spans="2:25">
      <c r="B106" s="738" t="s">
        <v>519</v>
      </c>
      <c r="C106" s="123" t="s">
        <v>469</v>
      </c>
      <c r="D106" s="77" t="str">
        <f ca="1">IF(VendorList[[#This Row],[Vendor / Org.]]="","",CONCATENATE(VendorList[[#This Row],[Vendor / Org.]],"-",VendorList[[#This Row],[Contract ID]]))</f>
        <v>IUT Out - CTS Operational Support-IUT</v>
      </c>
      <c r="E106" s="739" t="s">
        <v>71</v>
      </c>
      <c r="F106" s="1295">
        <v>-44276.34</v>
      </c>
      <c r="G106" s="1287">
        <f ca="1">SUMIFS(ChangeTrack[Change Value],ChangeTrack[Vendor / Org.],VendorList[[#This Row],[Vendor / Org. with Contract ID]],ChangeTrack[Change Status],"Approved")</f>
        <v>0</v>
      </c>
      <c r="H106" s="1287">
        <f ca="1">VendorList[[#This Row],[Original Contract Value]]+VendorList[[#This Row],[Amendment(s)]]</f>
        <v>-44276.34</v>
      </c>
      <c r="I106" s="1288">
        <f ca="1">SUMIFS(CostTrack[Value],CostTrack[Vendor - Contract],VendorList[[#This Row],[Vendor / Org. with Contract ID]],CostTrack[PA ID],VendorList[[#This Row],[PA ID]],CostTrack[Holdback (Y/N/R)],"&lt;&gt;Release",CostTrack[Status],"Approved")</f>
        <v>0</v>
      </c>
      <c r="J106" s="1289">
        <f ca="1">IF(VendorList[[#This Row],[Current Commitment]]=0,"-",VendorList[[#This Row],[Expenditures to Date]]/VendorList[[#This Row],[Current Commitment]])</f>
        <v>0</v>
      </c>
      <c r="K106" s="1290">
        <f ca="1">SUMIF(CostTrack[Vendor - Contract],VendorList[[#This Row],[Vendor / Org. with Contract ID]],CostTrack[Holdback Value])*-1</f>
        <v>0</v>
      </c>
      <c r="L106" s="1290">
        <f ca="1">VendorList[[#This Row],[Current Commitment]]-VendorList[[#This Row],[Expenditures to Date]]</f>
        <v>-44276.34</v>
      </c>
      <c r="M106" s="127">
        <v>45729</v>
      </c>
      <c r="N106" s="127">
        <v>46173</v>
      </c>
      <c r="O106" s="739" t="s">
        <v>452</v>
      </c>
      <c r="P106" s="1291" t="str">
        <f ca="1">IFERROR(INDEX(BudgetTrack[Primary Category],MATCH(VendorList[[#This Row],[PA ID]],BudgetTrack[PA ID],0)),"")</f>
        <v>FE_IT</v>
      </c>
      <c r="Q106" s="1291" t="str">
        <f ca="1">IFERROR(INDEX(BudgetTrack[Secondary Category],MATCH(VendorList[[#This Row],[PA ID]],BudgetTrack[PA ID],0)),"")</f>
        <v>Information Technology</v>
      </c>
      <c r="R106" s="1292" t="str">
        <f ca="1">IFERROR(INDEX(BudgetTrack[Phase / Subproject],MATCH(VendorList[[#This Row],[PA ID]],BudgetTrack[PA ID],0)),"")</f>
        <v>--</v>
      </c>
      <c r="S106" s="1293" t="str">
        <f ca="1">IFERROR(INDEX(BudgetTrack[Phase / Subproject 2],MATCH(VendorList[[#This Row],[PA ID]],BudgetTrack[PA ID],0)),"")</f>
        <v>--</v>
      </c>
      <c r="T106" s="1292" t="str">
        <f ca="1">IFERROR(INDEX(BudgetTrack[Funding Source],MATCH(VendorList[[#This Row],[PA ID]],BudgetTrack[PA ID],0)),"")</f>
        <v>P-002360</v>
      </c>
      <c r="U106" s="745" t="str">
        <f t="shared" ca="1" si="11"/>
        <v>IUT Out - CTS Operational Support-IUT</v>
      </c>
      <c r="V106" s="80" t="str">
        <f ca="1">IFERROR(INDEX($U$6:$U$109,_xlfn.AGGREGATE(15,6,(ROW($U$6:$U$109)-ROW($U$6)+1)/($U$6:$U$109&lt;&gt;""),ROWS(V$6:V106))),"")</f>
        <v/>
      </c>
      <c r="W106" s="1285">
        <f ca="1">IF(OR(VendorList[[#This Row],[Vendor / Org. with Contract ID]]="",VendorList[[#This Row],[Vendor / Org. with Contract ID]]="Future / Not Awarded"),"",IFERROR(INDEX(EAC[Estimate At Completion],MATCH(VendorList[[#This Row],[Vendor / Org. with Contract ID]],EAC[Vendor / Org. with Contract ID],0),1),"Does Not Exist"))</f>
        <v>-44276.34</v>
      </c>
      <c r="Y106" s="922"/>
    </row>
    <row r="107" spans="2:25">
      <c r="B107" s="738" t="s">
        <v>520</v>
      </c>
      <c r="C107" s="123" t="s">
        <v>469</v>
      </c>
      <c r="D107" s="77" t="str">
        <f ca="1">IF(VendorList[[#This Row],[Vendor / Org.]]="","",CONCATENATE(VendorList[[#This Row],[Vendor / Org.]],"-",VendorList[[#This Row],[Contract ID]]))</f>
        <v>IUT IN- CTS WAPS-IUT</v>
      </c>
      <c r="E107" s="739" t="s">
        <v>71</v>
      </c>
      <c r="F107" s="1295">
        <v>500000</v>
      </c>
      <c r="G107" s="1287">
        <f ca="1">SUMIFS(ChangeTrack[Change Value],ChangeTrack[Vendor / Org.],VendorList[[#This Row],[Vendor / Org. with Contract ID]],ChangeTrack[Change Status],"Approved")</f>
        <v>0</v>
      </c>
      <c r="H107" s="1287">
        <f ca="1">VendorList[[#This Row],[Original Contract Value]]+VendorList[[#This Row],[Amendment(s)]]</f>
        <v>500000</v>
      </c>
      <c r="I107" s="1288">
        <f ca="1">SUMIFS(CostTrack[Value],CostTrack[Vendor - Contract],VendorList[[#This Row],[Vendor / Org. with Contract ID]],CostTrack[PA ID],VendorList[[#This Row],[PA ID]],CostTrack[Holdback (Y/N/R)],"&lt;&gt;Release",CostTrack[Status],"Approved")</f>
        <v>0</v>
      </c>
      <c r="J107" s="1289">
        <f ca="1">IF(VendorList[[#This Row],[Current Commitment]]=0,"-",VendorList[[#This Row],[Expenditures to Date]]/VendorList[[#This Row],[Current Commitment]])</f>
        <v>0</v>
      </c>
      <c r="K107" s="1290">
        <f ca="1">SUMIF(CostTrack[Vendor - Contract],VendorList[[#This Row],[Vendor / Org. with Contract ID]],CostTrack[Holdback Value])*-1</f>
        <v>0</v>
      </c>
      <c r="L107" s="1290">
        <f ca="1">VendorList[[#This Row],[Current Commitment]]-VendorList[[#This Row],[Expenditures to Date]]</f>
        <v>500000</v>
      </c>
      <c r="M107" s="127"/>
      <c r="N107" s="127"/>
      <c r="O107" s="739" t="s">
        <v>452</v>
      </c>
      <c r="P107" s="1291" t="str">
        <f ca="1">IFERROR(INDEX(BudgetTrack[Primary Category],MATCH(VendorList[[#This Row],[PA ID]],BudgetTrack[PA ID],0)),"")</f>
        <v>FE_IT</v>
      </c>
      <c r="Q107" s="1291" t="str">
        <f ca="1">IFERROR(INDEX(BudgetTrack[Secondary Category],MATCH(VendorList[[#This Row],[PA ID]],BudgetTrack[PA ID],0)),"")</f>
        <v>Information Technology</v>
      </c>
      <c r="R107" s="1292" t="str">
        <f ca="1">IFERROR(INDEX(BudgetTrack[Phase / Subproject],MATCH(VendorList[[#This Row],[PA ID]],BudgetTrack[PA ID],0)),"")</f>
        <v>--</v>
      </c>
      <c r="S107" s="1293" t="str">
        <f ca="1">IFERROR(INDEX(BudgetTrack[Phase / Subproject 2],MATCH(VendorList[[#This Row],[PA ID]],BudgetTrack[PA ID],0)),"")</f>
        <v>--</v>
      </c>
      <c r="T107" s="1292" t="str">
        <f ca="1">IFERROR(INDEX(BudgetTrack[Funding Source],MATCH(VendorList[[#This Row],[PA ID]],BudgetTrack[PA ID],0)),"")</f>
        <v>P-002360</v>
      </c>
      <c r="U107" s="745" t="str">
        <f ca="1">IF((OR(E107="Open",E107="--")),D107,"")</f>
        <v>IUT IN- CTS WAPS-IUT</v>
      </c>
      <c r="V107" s="80" t="str">
        <f ca="1">IFERROR(INDEX($U$6:$U$109,_xlfn.AGGREGATE(15,6,(ROW($U$6:$U$109)-ROW($U$6)+1)/($U$6:$U$109&lt;&gt;""),ROWS(V$6:V107))),"")</f>
        <v/>
      </c>
      <c r="W107" s="1285">
        <f ca="1">IF(OR(VendorList[[#This Row],[Vendor / Org. with Contract ID]]="",VendorList[[#This Row],[Vendor / Org. with Contract ID]]="Future / Not Awarded"),"",IFERROR(INDEX(EAC[Estimate At Completion],MATCH(VendorList[[#This Row],[Vendor / Org. with Contract ID]],EAC[Vendor / Org. with Contract ID],0),1),"Does Not Exist"))</f>
        <v>500000</v>
      </c>
      <c r="Y107" s="922"/>
    </row>
    <row r="108" spans="2:25">
      <c r="B108" s="738" t="s">
        <v>521</v>
      </c>
      <c r="C108" s="123"/>
      <c r="D108" s="77" t="str">
        <f ca="1">IF(VendorList[[#This Row],[Vendor / Org.]]="","",CONCATENATE(VendorList[[#This Row],[Vendor / Org.]],"-",VendorList[[#This Row],[Contract ID]]))</f>
        <v>Facilities-</v>
      </c>
      <c r="E108" s="739" t="s">
        <v>71</v>
      </c>
      <c r="F108" s="1295">
        <v>500000</v>
      </c>
      <c r="G108" s="1287">
        <f ca="1">SUMIFS(ChangeTrack[Change Value],ChangeTrack[Vendor / Org.],VendorList[[#This Row],[Vendor / Org. with Contract ID]],ChangeTrack[Change Status],"Approved")</f>
        <v>0</v>
      </c>
      <c r="H108" s="1287">
        <f ca="1">VendorList[[#This Row],[Original Contract Value]]+VendorList[[#This Row],[Amendment(s)]]</f>
        <v>500000</v>
      </c>
      <c r="I108" s="1288">
        <f ca="1">SUMIFS(CostTrack[Value],CostTrack[Vendor - Contract],VendorList[[#This Row],[Vendor / Org. with Contract ID]],CostTrack[PA ID],VendorList[[#This Row],[PA ID]],CostTrack[Holdback (Y/N/R)],"&lt;&gt;Release",CostTrack[Status],"Approved")</f>
        <v>0</v>
      </c>
      <c r="J108" s="1289">
        <f ca="1">IF(VendorList[[#This Row],[Current Commitment]]=0,"-",VendorList[[#This Row],[Expenditures to Date]]/VendorList[[#This Row],[Current Commitment]])</f>
        <v>0</v>
      </c>
      <c r="K108" s="1290">
        <f ca="1">SUMIF(CostTrack[Vendor - Contract],VendorList[[#This Row],[Vendor / Org. with Contract ID]],CostTrack[Holdback Value])*-1</f>
        <v>0</v>
      </c>
      <c r="L108" s="1290">
        <f ca="1">VendorList[[#This Row],[Current Commitment]]-VendorList[[#This Row],[Expenditures to Date]]</f>
        <v>500000</v>
      </c>
      <c r="M108" s="127"/>
      <c r="N108" s="127"/>
      <c r="O108" s="739" t="s">
        <v>248</v>
      </c>
      <c r="P108" s="1291" t="str">
        <f ca="1">IFERROR(INDEX(BudgetTrack[Primary Category],MATCH(VendorList[[#This Row],[PA ID]],BudgetTrack[PA ID],0)),"")</f>
        <v>Construction</v>
      </c>
      <c r="Q108" s="1291" t="str">
        <f ca="1">IFERROR(INDEX(BudgetTrack[Secondary Category],MATCH(VendorList[[#This Row],[PA ID]],BudgetTrack[PA ID],0)),"")</f>
        <v>Other Contractor</v>
      </c>
      <c r="R108" s="1292" t="str">
        <f ca="1">IFERROR(INDEX(BudgetTrack[Phase / Subproject],MATCH(VendorList[[#This Row],[PA ID]],BudgetTrack[PA ID],0)),"")</f>
        <v>--</v>
      </c>
      <c r="S108" s="1293" t="str">
        <f ca="1">IFERROR(INDEX(BudgetTrack[Phase / Subproject 2],MATCH(VendorList[[#This Row],[PA ID]],BudgetTrack[PA ID],0)),"")</f>
        <v>--</v>
      </c>
      <c r="T108" s="1292" t="str">
        <f ca="1">IFERROR(INDEX(BudgetTrack[Funding Source],MATCH(VendorList[[#This Row],[PA ID]],BudgetTrack[PA ID],0)),"")</f>
        <v>P-002360</v>
      </c>
      <c r="U108" s="745" t="str">
        <f ca="1">IF((OR(E108="Open",E108="--")),D108,"")</f>
        <v>Facilities-</v>
      </c>
      <c r="V108" s="80" t="str">
        <f ca="1">IFERROR(INDEX($U$6:$U$109,_xlfn.AGGREGATE(15,6,(ROW($U$6:$U$109)-ROW($U$6)+1)/($U$6:$U$109&lt;&gt;""),ROWS(V$6:V108))),"")</f>
        <v/>
      </c>
      <c r="W108" s="1285">
        <f ca="1">IF(OR(VendorList[[#This Row],[Vendor / Org. with Contract ID]]="",VendorList[[#This Row],[Vendor / Org. with Contract ID]]="Future / Not Awarded"),"",IFERROR(INDEX(EAC[Estimate At Completion],MATCH(VendorList[[#This Row],[Vendor / Org. with Contract ID]],EAC[Vendor / Org. with Contract ID],0),1),"Does Not Exist"))</f>
        <v>500000</v>
      </c>
      <c r="Y108" s="922"/>
    </row>
    <row r="109" spans="2:25">
      <c r="B109" s="738"/>
      <c r="C109" s="123"/>
      <c r="D109" s="77" t="str">
        <f ca="1">IF(VendorList[[#This Row],[Vendor / Org.]]="","",CONCATENATE(VendorList[[#This Row],[Vendor / Org.]],"-",VendorList[[#This Row],[Contract ID]]))</f>
        <v/>
      </c>
      <c r="E109" s="739"/>
      <c r="F109" s="1295"/>
      <c r="G109" s="1287">
        <f ca="1">SUMIFS(ChangeTrack[Change Value],ChangeTrack[Vendor / Org.],VendorList[[#This Row],[Vendor / Org. with Contract ID]],ChangeTrack[Change Status],"Approved")</f>
        <v>0</v>
      </c>
      <c r="H109" s="1287">
        <f ca="1">VendorList[[#This Row],[Original Contract Value]]+VendorList[[#This Row],[Amendment(s)]]</f>
        <v>0</v>
      </c>
      <c r="I109" s="1288">
        <f ca="1">SUMIFS(CostTrack[Value],CostTrack[Vendor - Contract],VendorList[[#This Row],[Vendor / Org. with Contract ID]],CostTrack[PA ID],VendorList[[#This Row],[PA ID]],CostTrack[Holdback (Y/N/R)],"&lt;&gt;Release",CostTrack[Status],"Approved")</f>
        <v>0</v>
      </c>
      <c r="J109" s="1289" t="str">
        <f ca="1">IF(VendorList[[#This Row],[Current Commitment]]=0,"-",VendorList[[#This Row],[Expenditures to Date]]/VendorList[[#This Row],[Current Commitment]])</f>
        <v>-</v>
      </c>
      <c r="K109" s="1290">
        <f ca="1">SUMIF(CostTrack[Vendor - Contract],VendorList[[#This Row],[Vendor / Org. with Contract ID]],CostTrack[Holdback Value])*-1</f>
        <v>0</v>
      </c>
      <c r="L109" s="1290">
        <f ca="1">VendorList[[#This Row],[Current Commitment]]-VendorList[[#This Row],[Expenditures to Date]]</f>
        <v>0</v>
      </c>
      <c r="M109" s="127"/>
      <c r="N109" s="127"/>
      <c r="O109" s="739"/>
      <c r="P109" s="1291" t="str">
        <f ca="1">IFERROR(INDEX(BudgetTrack[Primary Category],MATCH(VendorList[[#This Row],[PA ID]],BudgetTrack[PA ID],0)),"")</f>
        <v/>
      </c>
      <c r="Q109" s="1291" t="str">
        <f ca="1">IFERROR(INDEX(BudgetTrack[Secondary Category],MATCH(VendorList[[#This Row],[PA ID]],BudgetTrack[PA ID],0)),"")</f>
        <v/>
      </c>
      <c r="R109" s="1292" t="str">
        <f ca="1">IFERROR(INDEX(BudgetTrack[Phase / Subproject],MATCH(VendorList[[#This Row],[PA ID]],BudgetTrack[PA ID],0)),"")</f>
        <v/>
      </c>
      <c r="S109" s="1293" t="str">
        <f ca="1">IFERROR(INDEX(BudgetTrack[Phase / Subproject 2],MATCH(VendorList[[#This Row],[PA ID]],BudgetTrack[PA ID],0)),"")</f>
        <v/>
      </c>
      <c r="T109" s="1292" t="str">
        <f ca="1">IFERROR(INDEX(BudgetTrack[Funding Source],MATCH(VendorList[[#This Row],[PA ID]],BudgetTrack[PA ID],0)),"")</f>
        <v/>
      </c>
      <c r="U109" s="745" t="str">
        <f t="shared" ca="1" si="11"/>
        <v/>
      </c>
      <c r="V109" s="80" t="str">
        <f ca="1">IFERROR(INDEX($U$6:$U$109,_xlfn.AGGREGATE(15,6,(ROW($U$6:$U$109)-ROW($U$6)+1)/($U$6:$U$109&lt;&gt;""),ROWS(V$6:V109))),"")</f>
        <v/>
      </c>
      <c r="W109" s="1285" t="str">
        <f ca="1">IF(OR(VendorList[[#This Row],[Vendor / Org. with Contract ID]]="",VendorList[[#This Row],[Vendor / Org. with Contract ID]]="Future / Not Awarded"),"",IFERROR(INDEX(EAC[Estimate At Completion],MATCH(VendorList[[#This Row],[Vendor / Org. with Contract ID]],EAC[Vendor / Org. with Contract ID],0),1),"Does Not Exist"))</f>
        <v/>
      </c>
      <c r="Y109" s="922"/>
    </row>
    <row r="110" spans="2:25">
      <c r="B110" s="272"/>
      <c r="C110" s="273"/>
      <c r="D110" s="273"/>
      <c r="E110" s="455" t="s">
        <v>362</v>
      </c>
      <c r="F110" s="1045">
        <f ca="1">SUBTOTAL(109,VendorList[Original Contract Value])</f>
        <v>166040872.24000001</v>
      </c>
      <c r="G110" s="1045">
        <f ca="1">SUBTOTAL(109,VendorList[Amendment(s)])</f>
        <v>19550029.640000004</v>
      </c>
      <c r="H110" s="1045">
        <f ca="1">SUBTOTAL(109,VendorList[Current Commitment])</f>
        <v>185590901.88000005</v>
      </c>
      <c r="I110" s="1045">
        <f ca="1">SUBTOTAL(109,VendorList[Expenditures to Date])</f>
        <v>182727345.40000004</v>
      </c>
      <c r="J110" s="1046">
        <f ca="1">IF(VendorList[[#Totals],[Current Commitment]]=0,"-",VendorList[[#Totals],[Expenditures to Date]]/VendorList[[#Totals],[Current Commitment]])</f>
        <v>0.98457059882250286</v>
      </c>
      <c r="K110" s="1045">
        <f ca="1">SUBTOTAL(109,VendorList[Holdback])</f>
        <v>9.9999990779906511E-3</v>
      </c>
      <c r="L110" s="1045">
        <f ca="1">SUBTOTAL(109,VendorList[Open Commitment])</f>
        <v>2863556.4800000135</v>
      </c>
      <c r="M110" s="272"/>
      <c r="N110" s="273"/>
      <c r="O110" s="273"/>
      <c r="P110" s="273"/>
      <c r="Q110" s="273"/>
      <c r="R110" s="273"/>
      <c r="S110" s="273"/>
      <c r="T110" s="273"/>
      <c r="U110" s="273"/>
      <c r="V110" s="273"/>
      <c r="W110" s="1047">
        <f ca="1">SUBTOTAL(109,VendorList[EAC])</f>
        <v>185732164.80000004</v>
      </c>
      <c r="Y110" s="922"/>
    </row>
    <row r="111" spans="2:25">
      <c r="B111" s="272"/>
      <c r="C111" s="273"/>
      <c r="D111" s="273"/>
      <c r="E111" s="455" t="s">
        <v>274</v>
      </c>
      <c r="F111" s="456">
        <f ca="1">ROUND(SUM(VendorList[Original Contract Value]),2)</f>
        <v>166040872.24000001</v>
      </c>
      <c r="G111" s="456">
        <f ca="1">ROUND(SUM(VendorList[Amendment(s)]),2)</f>
        <v>19550029.640000001</v>
      </c>
      <c r="H111" s="456">
        <f ca="1">ROUND(SUM(VendorList[Current Commitment]),2)</f>
        <v>185590901.88</v>
      </c>
      <c r="I111" s="456">
        <f ca="1">ROUND(SUM(VendorList[Expenditures to Date]),2)</f>
        <v>182727345.40000001</v>
      </c>
      <c r="J111" s="570">
        <f ca="1">IF(H111=0,"-",I111/H111)</f>
        <v>0.98457059882250308</v>
      </c>
      <c r="K111" s="456">
        <f ca="1">ROUND(SUM(VendorList[Holdback]),2)</f>
        <v>0.01</v>
      </c>
      <c r="L111" s="456">
        <f ca="1">ROUND(SUM(VendorList[Open Commitment]),2)</f>
        <v>2863556.48</v>
      </c>
      <c r="M111" s="272"/>
      <c r="N111" s="273"/>
      <c r="O111" s="273"/>
      <c r="P111" s="273"/>
      <c r="Q111" s="273"/>
      <c r="R111" s="273"/>
      <c r="S111" s="273"/>
      <c r="T111" s="273"/>
      <c r="U111" s="273"/>
      <c r="V111" s="273"/>
      <c r="W111" s="923"/>
    </row>
    <row r="112" spans="2:25">
      <c r="B112" s="24"/>
      <c r="C112" s="24"/>
      <c r="D112" s="3"/>
      <c r="E112" s="25"/>
      <c r="F112" s="25"/>
      <c r="G112" s="25"/>
      <c r="H112" s="25"/>
      <c r="I112" s="25"/>
      <c r="J112" s="24"/>
      <c r="K112" s="24"/>
      <c r="L112" s="25"/>
      <c r="M112" s="24"/>
      <c r="N112" s="24"/>
      <c r="O112" s="24"/>
      <c r="P112" s="24"/>
      <c r="Q112" s="24"/>
      <c r="R112" s="25"/>
      <c r="S112" s="25"/>
      <c r="T112" s="25"/>
      <c r="U112" s="25"/>
      <c r="V112" s="25"/>
    </row>
    <row r="113" spans="2:22">
      <c r="B113" s="1136" t="s">
        <v>522</v>
      </c>
      <c r="C113" s="1136"/>
      <c r="D113" s="1136"/>
      <c r="E113" s="1136"/>
      <c r="F113" s="1136"/>
      <c r="G113" s="1136"/>
      <c r="H113" s="1136"/>
      <c r="I113" s="1136"/>
      <c r="J113" s="1136"/>
      <c r="K113" s="1136"/>
      <c r="L113" s="1136"/>
      <c r="M113" s="1136"/>
      <c r="N113" s="1136"/>
      <c r="O113" s="1136"/>
      <c r="P113" s="1136"/>
      <c r="Q113" s="1136"/>
      <c r="R113" s="1136"/>
      <c r="S113" s="1136"/>
      <c r="T113" s="1136"/>
      <c r="U113" s="246"/>
      <c r="V113" s="246"/>
    </row>
    <row r="115" spans="2:22">
      <c r="B115" s="38"/>
    </row>
    <row r="116" spans="2:22">
      <c r="B116" s="38"/>
    </row>
  </sheetData>
  <dataConsolidate topLabels="1" link="1">
    <dataRefs count="2">
      <dataRef ref="C6:C9" sheet="PA Matrix"/>
      <dataRef ref="E6:E13" sheet="PA Matrix"/>
    </dataRefs>
  </dataConsolidate>
  <mergeCells count="3">
    <mergeCell ref="B113:T113"/>
    <mergeCell ref="O4:T4"/>
    <mergeCell ref="U4:V4"/>
  </mergeCells>
  <conditionalFormatting sqref="J7:J96 J98:J109">
    <cfRule type="expression" dxfId="571" priority="5">
      <formula>AND(J7&gt;1,J7&lt;&gt;"-")</formula>
    </cfRule>
  </conditionalFormatting>
  <conditionalFormatting sqref="N7:N15 N98:N109 N19:N96">
    <cfRule type="expression" dxfId="570" priority="3">
      <formula>AND(E7="Open",(TODAY()-N7)*-1&lt;90,C7&lt;&gt;"Direct")</formula>
    </cfRule>
    <cfRule type="expression" dxfId="569" priority="4">
      <formula>AND(E7="Open",(TODAY()-N7)*-1&lt;180,C7&lt;&gt;"Direct")</formula>
    </cfRule>
  </conditionalFormatting>
  <conditionalFormatting sqref="W6:W109">
    <cfRule type="containsText" dxfId="568" priority="6" stopIfTrue="1" operator="containsText" text="Does Not Exist">
      <formula>NOT(ISERROR(SEARCH("Does Not Exist",W6)))</formula>
    </cfRule>
  </conditionalFormatting>
  <dataValidations count="2">
    <dataValidation type="list" allowBlank="1" showInputMessage="1" showErrorMessage="1" sqref="O7:O109" xr:uid="{00000000-0002-0000-0300-000000000000}">
      <formula1>BudgetTrackPA_ID</formula1>
    </dataValidation>
    <dataValidation type="date" operator="greaterThanOrEqual" allowBlank="1" showInputMessage="1" showErrorMessage="1" error="Please enter a valid date." sqref="M98:N109 M7:N96" xr:uid="{00000000-0002-0000-0300-000001000000}">
      <formula1>1</formula1>
    </dataValidation>
  </dataValidations>
  <pageMargins left="0.23622047244094491" right="0.23622047244094491" top="0.74803149606299213" bottom="0.74803149606299213" header="0.31496062992125984" footer="0.31496062992125984"/>
  <pageSetup paperSize="17" scale="52" fitToHeight="6" orientation="landscape" r:id="rId1"/>
  <headerFooter>
    <oddFooter>&amp;L&amp;1#&amp;"Calibri"&amp;11&amp;K000000Classification: Protected A</oddFooter>
  </headerFooter>
  <ignoredErrors>
    <ignoredError sqref="P6:T6 D6" calculatedColumn="1"/>
  </ignoredErrors>
  <drawing r:id="rId2"/>
  <legacyDrawing r:id="rId3"/>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2000000}">
          <x14:formula1>
            <xm:f>'Budget Tracking'!$B$7:$B$66</xm:f>
          </x14:formula1>
          <xm:sqref>O6</xm:sqref>
        </x14:dataValidation>
        <x14:dataValidation type="list" allowBlank="1" showInputMessage="1" showErrorMessage="1" xr:uid="{00000000-0002-0000-0300-000003000000}">
          <x14:formula1>
            <xm:f>Validations!$D$20:$D$23</xm:f>
          </x14:formula1>
          <xm:sqref>E6:E109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theme="2" tint="-0.499984740745262"/>
    <pageSetUpPr fitToPage="1"/>
  </sheetPr>
  <dimension ref="B1:P167"/>
  <sheetViews>
    <sheetView topLeftCell="A130" zoomScale="75" zoomScaleNormal="75" workbookViewId="0">
      <selection activeCell="I168" sqref="I168"/>
    </sheetView>
  </sheetViews>
  <sheetFormatPr defaultColWidth="9.42578125" defaultRowHeight="14.1"/>
  <cols>
    <col min="1" max="1" width="2.42578125" style="37" customWidth="1"/>
    <col min="2" max="2" width="53.7109375" style="37" customWidth="1"/>
    <col min="3" max="3" width="15.7109375" style="36" bestFit="1" customWidth="1"/>
    <col min="4" max="4" width="17" style="37" customWidth="1"/>
    <col min="5" max="5" width="20.28515625" style="36" customWidth="1"/>
    <col min="6" max="6" width="16.42578125" style="37" customWidth="1"/>
    <col min="7" max="7" width="21.42578125" style="36" customWidth="1"/>
    <col min="8" max="8" width="25.42578125" style="37" customWidth="1"/>
    <col min="9" max="9" width="50.42578125" style="140" customWidth="1"/>
    <col min="10" max="10" width="46.28515625" style="37" customWidth="1"/>
    <col min="11" max="11" width="10.7109375" style="37" hidden="1" customWidth="1"/>
    <col min="12" max="12" width="3.42578125" style="37" customWidth="1"/>
    <col min="13" max="13" width="12.42578125" style="37" bestFit="1" customWidth="1"/>
    <col min="14" max="14" width="13.42578125" style="37" customWidth="1"/>
    <col min="15" max="15" width="17.7109375" style="37" bestFit="1" customWidth="1"/>
    <col min="16" max="16" width="20.42578125" style="37" customWidth="1"/>
    <col min="17" max="16384" width="9.42578125" style="37"/>
  </cols>
  <sheetData>
    <row r="1" spans="2:16" s="25" customFormat="1" ht="9" customHeight="1">
      <c r="C1" s="24"/>
      <c r="E1" s="24"/>
      <c r="G1" s="24"/>
      <c r="I1" s="31"/>
    </row>
    <row r="2" spans="2:16" s="1" customFormat="1" ht="23.65">
      <c r="B2" s="896" t="s">
        <v>523</v>
      </c>
      <c r="C2" s="16"/>
      <c r="G2" s="19" t="str">
        <f>Validations!$C$6</f>
        <v>Justice Centre</v>
      </c>
      <c r="I2" s="100"/>
    </row>
    <row r="3" spans="2:16" s="1" customFormat="1" ht="9" customHeight="1">
      <c r="B3" s="897"/>
      <c r="C3" s="148"/>
      <c r="D3" s="2"/>
      <c r="E3" s="2"/>
      <c r="G3" s="2"/>
      <c r="I3" s="100"/>
    </row>
    <row r="4" spans="2:16" s="1" customFormat="1" ht="15.6">
      <c r="B4" s="45" t="s">
        <v>524</v>
      </c>
      <c r="C4" s="148"/>
      <c r="D4" s="2"/>
      <c r="E4" s="2"/>
      <c r="G4" s="2"/>
      <c r="H4" s="180"/>
      <c r="I4" s="100"/>
    </row>
    <row r="5" spans="2:16" s="25" customFormat="1" ht="27.95">
      <c r="B5" s="898" t="s">
        <v>383</v>
      </c>
      <c r="C5" s="191" t="s">
        <v>384</v>
      </c>
      <c r="D5" s="389" t="s">
        <v>130</v>
      </c>
      <c r="E5" s="380" t="s">
        <v>525</v>
      </c>
      <c r="F5" s="390" t="s">
        <v>526</v>
      </c>
      <c r="G5" s="6"/>
      <c r="H5" s="6"/>
      <c r="I5" s="141"/>
      <c r="J5" s="6"/>
      <c r="K5" s="6"/>
    </row>
    <row r="6" spans="2:16" s="25" customFormat="1">
      <c r="B6" s="899" t="s">
        <v>527</v>
      </c>
      <c r="C6" s="241">
        <f ca="1">IFERROR(INDEX(VendorList[Contract ID],MATCH(KeyVendorChange[[#This Row],[Vendor / Org.]],VendorList[Vendor / Org. with Contract ID],0)),"")</f>
        <v>34413</v>
      </c>
      <c r="D6" s="129" t="s">
        <v>106</v>
      </c>
      <c r="E6" s="181">
        <f ca="1">COUNTIFS(ChangeTrack[Vendor / Org.],KeyVendorChange[[#This Row],[Vendor / Org.]],ChangeTrack[Contract ID],KeyVendorChange[[#This Row],[Contract ID]],ChangeTrack[Change Status],KeyVendorChange[[#This Row],[Change Status]])</f>
        <v>41</v>
      </c>
      <c r="F6" s="387">
        <f ca="1">SUMIFS(ChangeTrack[Change Value],ChangeTrack[Vendor / Org.],KeyVendorChange[[#This Row],[Vendor / Org.]],ChangeTrack[Contract ID],KeyVendorChange[[#This Row],[Contract ID]],ChangeTrack[Change Status],KeyVendorChange[[#This Row],[Change Status]])</f>
        <v>1799688.82</v>
      </c>
      <c r="G6" s="6"/>
      <c r="H6" s="6"/>
      <c r="I6" s="141"/>
      <c r="J6" s="6"/>
      <c r="K6" s="6"/>
    </row>
    <row r="7" spans="2:16" s="25" customFormat="1">
      <c r="B7" s="899" t="s">
        <v>528</v>
      </c>
      <c r="C7" s="241">
        <f ca="1">IFERROR(INDEX(VendorList[Contract ID],MATCH(KeyVendorChange[[#This Row],[Vendor / Org.]],VendorList[Vendor / Org. with Contract ID],0)),"")</f>
        <v>36168</v>
      </c>
      <c r="D7" s="129" t="s">
        <v>106</v>
      </c>
      <c r="E7" s="181">
        <f ca="1">COUNTIFS(ChangeTrack[Vendor / Org.],KeyVendorChange[[#This Row],[Vendor / Org.]],ChangeTrack[Contract ID],KeyVendorChange[[#This Row],[Contract ID]],ChangeTrack[Change Status],KeyVendorChange[[#This Row],[Change Status]])</f>
        <v>11</v>
      </c>
      <c r="F7" s="387">
        <f ca="1">SUMIFS(ChangeTrack[Change Value],ChangeTrack[Vendor / Org.],KeyVendorChange[[#This Row],[Vendor / Org.]],ChangeTrack[Contract ID],KeyVendorChange[[#This Row],[Contract ID]],ChangeTrack[Change Status],KeyVendorChange[[#This Row],[Change Status]])</f>
        <v>76102.25</v>
      </c>
      <c r="G7" s="6"/>
      <c r="H7" s="6"/>
      <c r="I7" s="141"/>
      <c r="J7" s="6"/>
      <c r="K7" s="6"/>
    </row>
    <row r="8" spans="2:16" s="25" customFormat="1">
      <c r="B8" s="900" t="s">
        <v>529</v>
      </c>
      <c r="C8" s="391">
        <f ca="1">IFERROR(INDEX(VendorList[Contract ID],MATCH(KeyVendorChange[[#This Row],[Vendor / Org.]],VendorList[Vendor / Org. with Contract ID],0)),"")</f>
        <v>37987</v>
      </c>
      <c r="D8" s="392" t="s">
        <v>106</v>
      </c>
      <c r="E8" s="393">
        <f ca="1">COUNTIFS(ChangeTrack[Vendor / Org.],KeyVendorChange[[#This Row],[Vendor / Org.]],ChangeTrack[Contract ID],KeyVendorChange[[#This Row],[Contract ID]],ChangeTrack[Change Status],KeyVendorChange[[#This Row],[Change Status]])</f>
        <v>1</v>
      </c>
      <c r="F8" s="394">
        <f ca="1">SUMIFS(ChangeTrack[Change Value],ChangeTrack[Vendor / Org.],KeyVendorChange[[#This Row],[Vendor / Org.]],ChangeTrack[Contract ID],KeyVendorChange[[#This Row],[Contract ID]],ChangeTrack[Change Status],KeyVendorChange[[#This Row],[Change Status]])</f>
        <v>14745298.420000009</v>
      </c>
      <c r="G8" s="6"/>
      <c r="H8" s="6"/>
      <c r="I8" s="141"/>
      <c r="J8" s="6"/>
      <c r="K8" s="6"/>
      <c r="M8" s="1139" t="s">
        <v>164</v>
      </c>
      <c r="N8" s="1139"/>
      <c r="O8" s="1139"/>
      <c r="P8" s="1139"/>
    </row>
    <row r="9" spans="2:16" s="1" customFormat="1" ht="15.6">
      <c r="B9" s="901" t="s">
        <v>376</v>
      </c>
      <c r="C9" s="148"/>
      <c r="D9" s="2"/>
      <c r="E9" s="2"/>
      <c r="G9" s="2"/>
      <c r="I9" s="100"/>
      <c r="M9" s="1139"/>
      <c r="N9" s="1139"/>
      <c r="O9" s="1139"/>
      <c r="P9" s="1139"/>
    </row>
    <row r="10" spans="2:16" s="21" customFormat="1" ht="21" customHeight="1">
      <c r="B10" s="250" t="s">
        <v>383</v>
      </c>
      <c r="C10" s="171" t="s">
        <v>384</v>
      </c>
      <c r="D10" s="377" t="s">
        <v>130</v>
      </c>
      <c r="E10" s="375" t="s">
        <v>530</v>
      </c>
      <c r="F10" s="376" t="s">
        <v>531</v>
      </c>
      <c r="G10" s="145" t="s">
        <v>532</v>
      </c>
      <c r="H10" s="145" t="s">
        <v>533</v>
      </c>
      <c r="I10" s="145" t="s">
        <v>534</v>
      </c>
      <c r="J10" s="145" t="s">
        <v>267</v>
      </c>
      <c r="K10" s="145" t="s">
        <v>338</v>
      </c>
      <c r="L10" s="398" t="s">
        <v>535</v>
      </c>
      <c r="M10" s="20" t="s">
        <v>536</v>
      </c>
      <c r="N10" s="20" t="s">
        <v>282</v>
      </c>
      <c r="O10" s="20" t="s">
        <v>537</v>
      </c>
      <c r="P10" s="147" t="s">
        <v>538</v>
      </c>
    </row>
    <row r="11" spans="2:16" s="132" customFormat="1" ht="80.650000000000006">
      <c r="B11" s="902" t="str">
        <f ca="1">IF(DeliveryMethod&lt;&gt;"Construction Management",IF(PrimContID[Contract ID]="","",INDEX(VendorList[Vendor / Org. with Contract ID],MATCH('PA Matrix'!$G$7,VendorList[Secondary Category],0),1)),"")</f>
        <v>Clark Builders-37987</v>
      </c>
      <c r="C11" s="542">
        <f ca="1">IFERROR(INDEX(VendorList[Contract ID],MATCH(ChangeTrack[[#This Row],[Vendor / Org.]],VendorList[Vendor / Org. with Contract ID],0)),"")</f>
        <v>37987</v>
      </c>
      <c r="D11" s="543" t="s">
        <v>106</v>
      </c>
      <c r="E11" s="544" t="s">
        <v>539</v>
      </c>
      <c r="F11" s="545">
        <f ca="1">IF(ChangeTrack[[#This Row],[Vendor / Org.]]&lt;&gt;"",SUMIF(CAStatus,Validations!$D$29,CAApprVal),"")</f>
        <v>14745298.420000009</v>
      </c>
      <c r="G11" s="546">
        <f ca="1">IF(ChangeTrack[[#This Row],[Vendor / Org.]]&lt;&gt;"",MAX(CAApprRef),"")</f>
        <v>0</v>
      </c>
      <c r="H11" s="560" t="s">
        <v>540</v>
      </c>
      <c r="I11" s="562" t="s">
        <v>541</v>
      </c>
      <c r="J11" s="561" t="s">
        <v>542</v>
      </c>
      <c r="K11" s="241" t="str">
        <f ca="1">_xlfn.IFNA(INDEX(VendorList[PA ID],MATCH(ChangeTrack[[#This Row],[Contract ID]],VendorList[Contract ID],0)),"")</f>
        <v>300.030.F1</v>
      </c>
      <c r="M11" s="342"/>
      <c r="N11" s="211"/>
      <c r="O11" s="295"/>
      <c r="P11" s="396"/>
    </row>
    <row r="12" spans="2:16" s="132" customFormat="1">
      <c r="B12" s="899" t="s">
        <v>543</v>
      </c>
      <c r="C12" s="241">
        <f ca="1">IFERROR(INDEX(VendorList[Contract ID],MATCH(ChangeTrack[[#This Row],[Vendor / Org.]],VendorList[Vendor / Org. with Contract ID],0)),"")</f>
        <v>33849</v>
      </c>
      <c r="D12" s="129" t="s">
        <v>106</v>
      </c>
      <c r="E12" s="130">
        <v>43217</v>
      </c>
      <c r="F12" s="295">
        <v>650</v>
      </c>
      <c r="G12" s="78" t="s">
        <v>544</v>
      </c>
      <c r="H12" s="131" t="s">
        <v>74</v>
      </c>
      <c r="I12" s="563" t="s">
        <v>545</v>
      </c>
      <c r="J12" s="564"/>
      <c r="K12" s="241" t="str">
        <f ca="1">_xlfn.IFNA(INDEX(VendorList[PA ID],MATCH(ChangeTrack[[#This Row],[Contract ID]],VendorList[Contract ID],0)),"")</f>
        <v>200.050.F1</v>
      </c>
      <c r="M12" s="342"/>
      <c r="N12" s="211"/>
      <c r="O12" s="295"/>
      <c r="P12" s="396"/>
    </row>
    <row r="13" spans="2:16" s="132" customFormat="1">
      <c r="B13" s="899" t="s">
        <v>543</v>
      </c>
      <c r="C13" s="241">
        <f ca="1">IFERROR(INDEX(VendorList[Contract ID],MATCH(ChangeTrack[[#This Row],[Vendor / Org.]],VendorList[Vendor / Org. with Contract ID],0)),"")</f>
        <v>33849</v>
      </c>
      <c r="D13" s="129" t="s">
        <v>106</v>
      </c>
      <c r="E13" s="130">
        <v>43279</v>
      </c>
      <c r="F13" s="295">
        <v>3390</v>
      </c>
      <c r="G13" s="78" t="s">
        <v>546</v>
      </c>
      <c r="H13" s="131" t="s">
        <v>74</v>
      </c>
      <c r="I13" s="563" t="s">
        <v>547</v>
      </c>
      <c r="J13" s="564"/>
      <c r="K13" s="241" t="str">
        <f ca="1">_xlfn.IFNA(INDEX(VendorList[PA ID],MATCH(ChangeTrack[[#This Row],[Contract ID]],VendorList[Contract ID],0)),"")</f>
        <v>200.050.F1</v>
      </c>
      <c r="M13" s="342"/>
      <c r="N13" s="211"/>
      <c r="O13" s="295"/>
      <c r="P13" s="396"/>
    </row>
    <row r="14" spans="2:16" s="132" customFormat="1">
      <c r="B14" s="899" t="s">
        <v>548</v>
      </c>
      <c r="C14" s="241">
        <f ca="1">IFERROR(INDEX(VendorList[Contract ID],MATCH(ChangeTrack[[#This Row],[Vendor / Org.]],VendorList[Vendor / Org. with Contract ID],0)),"")</f>
        <v>33079</v>
      </c>
      <c r="D14" s="129" t="s">
        <v>106</v>
      </c>
      <c r="E14" s="130">
        <v>43368</v>
      </c>
      <c r="F14" s="295">
        <v>1950</v>
      </c>
      <c r="G14" s="78" t="s">
        <v>544</v>
      </c>
      <c r="H14" s="131" t="s">
        <v>74</v>
      </c>
      <c r="I14" s="563" t="s">
        <v>549</v>
      </c>
      <c r="J14" s="564"/>
      <c r="K14" s="241" t="str">
        <f ca="1">_xlfn.IFNA(INDEX(VendorList[PA ID],MATCH(ChangeTrack[[#This Row],[Contract ID]],VendorList[Contract ID],0)),"")</f>
        <v>200.050.F1</v>
      </c>
      <c r="M14" s="342"/>
      <c r="N14" s="211"/>
      <c r="O14" s="295"/>
      <c r="P14" s="396"/>
    </row>
    <row r="15" spans="2:16" s="132" customFormat="1">
      <c r="B15" s="899" t="s">
        <v>548</v>
      </c>
      <c r="C15" s="241">
        <f ca="1">IFERROR(INDEX(VendorList[Contract ID],MATCH(ChangeTrack[[#This Row],[Vendor / Org.]],VendorList[Vendor / Org. with Contract ID],0)),"")</f>
        <v>33079</v>
      </c>
      <c r="D15" s="129" t="s">
        <v>106</v>
      </c>
      <c r="E15" s="130">
        <v>43032</v>
      </c>
      <c r="F15" s="296">
        <v>4850</v>
      </c>
      <c r="G15" s="134" t="s">
        <v>550</v>
      </c>
      <c r="H15" s="131" t="s">
        <v>74</v>
      </c>
      <c r="I15" s="563" t="s">
        <v>551</v>
      </c>
      <c r="J15" s="564"/>
      <c r="K15" s="241" t="str">
        <f ca="1">_xlfn.IFNA(INDEX(VendorList[PA ID],MATCH(ChangeTrack[[#This Row],[Contract ID]],VendorList[Contract ID],0)),"")</f>
        <v>200.050.F1</v>
      </c>
      <c r="M15" s="342"/>
      <c r="N15" s="211"/>
      <c r="O15" s="295"/>
      <c r="P15" s="396"/>
    </row>
    <row r="16" spans="2:16" s="132" customFormat="1">
      <c r="B16" s="899" t="s">
        <v>548</v>
      </c>
      <c r="C16" s="241">
        <f ca="1">IFERROR(INDEX(VendorList[Contract ID],MATCH(ChangeTrack[[#This Row],[Vendor / Org.]],VendorList[Vendor / Org. with Contract ID],0)),"")</f>
        <v>33079</v>
      </c>
      <c r="D16" s="129" t="s">
        <v>106</v>
      </c>
      <c r="E16" s="130">
        <v>43088</v>
      </c>
      <c r="F16" s="296">
        <v>19000</v>
      </c>
      <c r="G16" s="134" t="s">
        <v>552</v>
      </c>
      <c r="H16" s="131" t="s">
        <v>74</v>
      </c>
      <c r="I16" s="563" t="s">
        <v>553</v>
      </c>
      <c r="J16" s="564"/>
      <c r="K16" s="241" t="str">
        <f ca="1">_xlfn.IFNA(INDEX(VendorList[PA ID],MATCH(ChangeTrack[[#This Row],[Contract ID]],VendorList[Contract ID],0)),"")</f>
        <v>200.050.F1</v>
      </c>
      <c r="M16" s="342"/>
      <c r="N16" s="211"/>
      <c r="O16" s="295"/>
      <c r="P16" s="396"/>
    </row>
    <row r="17" spans="2:16" s="132" customFormat="1">
      <c r="B17" s="899" t="s">
        <v>548</v>
      </c>
      <c r="C17" s="241">
        <f ca="1">IFERROR(INDEX(VendorList[Contract ID],MATCH(ChangeTrack[[#This Row],[Vendor / Org.]],VendorList[Vendor / Org. with Contract ID],0)),"")</f>
        <v>33079</v>
      </c>
      <c r="D17" s="129" t="s">
        <v>106</v>
      </c>
      <c r="E17" s="130">
        <v>43220</v>
      </c>
      <c r="F17" s="296">
        <v>1860</v>
      </c>
      <c r="G17" s="134" t="s">
        <v>554</v>
      </c>
      <c r="H17" s="131" t="s">
        <v>74</v>
      </c>
      <c r="I17" s="563" t="s">
        <v>555</v>
      </c>
      <c r="J17" s="564"/>
      <c r="K17" s="241" t="str">
        <f ca="1">_xlfn.IFNA(INDEX(VendorList[PA ID],MATCH(ChangeTrack[[#This Row],[Contract ID]],VendorList[Contract ID],0)),"")</f>
        <v>200.050.F1</v>
      </c>
      <c r="M17" s="342"/>
      <c r="N17" s="211"/>
      <c r="O17" s="295"/>
      <c r="P17" s="396"/>
    </row>
    <row r="18" spans="2:16" s="132" customFormat="1" ht="27.95">
      <c r="B18" s="899" t="s">
        <v>556</v>
      </c>
      <c r="C18" s="241">
        <f ca="1">IFERROR(INDEX(VendorList[Contract ID],MATCH(ChangeTrack[[#This Row],[Vendor / Org.]],VendorList[Vendor / Org. with Contract ID],0)),"")</f>
        <v>32924</v>
      </c>
      <c r="D18" s="129" t="s">
        <v>106</v>
      </c>
      <c r="E18" s="130">
        <v>43424</v>
      </c>
      <c r="F18" s="296">
        <v>14470</v>
      </c>
      <c r="G18" s="134" t="s">
        <v>557</v>
      </c>
      <c r="H18" s="131" t="s">
        <v>74</v>
      </c>
      <c r="I18" s="563" t="s">
        <v>558</v>
      </c>
      <c r="J18" s="564"/>
      <c r="K18" s="241" t="str">
        <f ca="1">_xlfn.IFNA(INDEX(VendorList[PA ID],MATCH(ChangeTrack[[#This Row],[Contract ID]],VendorList[Contract ID],0)),"")</f>
        <v>200.050.F1</v>
      </c>
      <c r="M18" s="342"/>
      <c r="N18" s="211"/>
      <c r="O18" s="295"/>
      <c r="P18" s="396"/>
    </row>
    <row r="19" spans="2:16" s="132" customFormat="1">
      <c r="B19" s="899" t="s">
        <v>543</v>
      </c>
      <c r="C19" s="241">
        <f ca="1">IFERROR(INDEX(VendorList[Contract ID],MATCH(ChangeTrack[[#This Row],[Vendor / Org.]],VendorList[Vendor / Org. with Contract ID],0)),"")</f>
        <v>33849</v>
      </c>
      <c r="D19" s="129" t="s">
        <v>106</v>
      </c>
      <c r="E19" s="130"/>
      <c r="F19" s="296" t="s">
        <v>268</v>
      </c>
      <c r="G19" s="134" t="s">
        <v>559</v>
      </c>
      <c r="H19" s="131" t="s">
        <v>70</v>
      </c>
      <c r="I19" s="563" t="s">
        <v>560</v>
      </c>
      <c r="J19" s="564"/>
      <c r="K19" s="241" t="str">
        <f ca="1">_xlfn.IFNA(INDEX(VendorList[PA ID],MATCH(ChangeTrack[[#This Row],[Contract ID]],VendorList[Contract ID],0)),"")</f>
        <v>200.050.F1</v>
      </c>
      <c r="M19" s="342"/>
      <c r="N19" s="211"/>
      <c r="O19" s="295"/>
      <c r="P19" s="396"/>
    </row>
    <row r="20" spans="2:16" s="132" customFormat="1">
      <c r="B20" s="899" t="s">
        <v>561</v>
      </c>
      <c r="C20" s="241">
        <f ca="1">IFERROR(INDEX(VendorList[Contract ID],MATCH(ChangeTrack[[#This Row],[Vendor / Org.]],VendorList[Vendor / Org. with Contract ID],0)),"")</f>
        <v>34790</v>
      </c>
      <c r="D20" s="129" t="s">
        <v>106</v>
      </c>
      <c r="E20" s="130">
        <v>43388</v>
      </c>
      <c r="F20" s="296">
        <v>13665.3</v>
      </c>
      <c r="G20" s="134" t="s">
        <v>562</v>
      </c>
      <c r="H20" s="131" t="s">
        <v>79</v>
      </c>
      <c r="I20" s="563" t="s">
        <v>563</v>
      </c>
      <c r="J20" s="564"/>
      <c r="K20" s="241" t="str">
        <f ca="1">_xlfn.IFNA(INDEX(VendorList[PA ID],MATCH(ChangeTrack[[#This Row],[Contract ID]],VendorList[Contract ID],0)),"")</f>
        <v>300.090.F1</v>
      </c>
      <c r="M20" s="342"/>
      <c r="N20" s="211"/>
      <c r="O20" s="295"/>
      <c r="P20" s="396"/>
    </row>
    <row r="21" spans="2:16" s="132" customFormat="1">
      <c r="B21" s="899" t="s">
        <v>564</v>
      </c>
      <c r="C21" s="241" t="str">
        <f ca="1">IFERROR(INDEX(VendorList[Contract ID],MATCH(ChangeTrack[[#This Row],[Vendor / Org.]],VendorList[Vendor / Org. with Contract ID],0)),"")</f>
        <v>Direct Pay</v>
      </c>
      <c r="D21" s="129" t="s">
        <v>106</v>
      </c>
      <c r="E21" s="130" t="s">
        <v>268</v>
      </c>
      <c r="F21" s="296">
        <v>60000</v>
      </c>
      <c r="G21" s="134" t="s">
        <v>565</v>
      </c>
      <c r="H21" s="131" t="s">
        <v>79</v>
      </c>
      <c r="I21" s="563" t="s">
        <v>566</v>
      </c>
      <c r="J21" s="564"/>
      <c r="K21" s="241" t="str">
        <f ca="1">_xlfn.IFNA(INDEX(VendorList[PA ID],MATCH(ChangeTrack[[#This Row],[Contract ID]],VendorList[Contract ID],0)),"")</f>
        <v>500.010.F1</v>
      </c>
      <c r="M21" s="342"/>
      <c r="N21" s="211"/>
      <c r="O21" s="295"/>
      <c r="P21" s="396"/>
    </row>
    <row r="22" spans="2:16" s="132" customFormat="1">
      <c r="B22" s="899" t="s">
        <v>527</v>
      </c>
      <c r="C22" s="241">
        <f ca="1">IFERROR(INDEX(VendorList[Contract ID],MATCH(ChangeTrack[[#This Row],[Vendor / Org.]],VendorList[Vendor / Org. with Contract ID],0)),"")</f>
        <v>34413</v>
      </c>
      <c r="D22" s="129" t="s">
        <v>106</v>
      </c>
      <c r="E22" s="130">
        <v>43475</v>
      </c>
      <c r="F22" s="296">
        <v>6999</v>
      </c>
      <c r="G22" s="134" t="s">
        <v>544</v>
      </c>
      <c r="H22" s="131" t="s">
        <v>74</v>
      </c>
      <c r="I22" s="563" t="s">
        <v>567</v>
      </c>
      <c r="J22" s="564"/>
      <c r="K22" s="241" t="str">
        <f ca="1">_xlfn.IFNA(INDEX(VendorList[PA ID],MATCH(ChangeTrack[[#This Row],[Contract ID]],VendorList[Contract ID],0)),"")</f>
        <v>200.010.F1</v>
      </c>
      <c r="M22" s="342"/>
      <c r="N22" s="211"/>
      <c r="O22" s="295"/>
      <c r="P22" s="396"/>
    </row>
    <row r="23" spans="2:16" s="132" customFormat="1">
      <c r="B23" s="899" t="s">
        <v>543</v>
      </c>
      <c r="C23" s="241">
        <f ca="1">IFERROR(INDEX(VendorList[Contract ID],MATCH(ChangeTrack[[#This Row],[Vendor / Org.]],VendorList[Vendor / Org. with Contract ID],0)),"")</f>
        <v>33849</v>
      </c>
      <c r="D23" s="129" t="s">
        <v>106</v>
      </c>
      <c r="E23" s="130">
        <v>43497</v>
      </c>
      <c r="F23" s="296">
        <v>-13780</v>
      </c>
      <c r="G23" s="134" t="s">
        <v>268</v>
      </c>
      <c r="H23" s="131" t="s">
        <v>66</v>
      </c>
      <c r="I23" s="563" t="s">
        <v>568</v>
      </c>
      <c r="J23" s="564"/>
      <c r="K23" s="241" t="str">
        <f ca="1">_xlfn.IFNA(INDEX(VendorList[PA ID],MATCH(ChangeTrack[[#This Row],[Contract ID]],VendorList[Contract ID],0)),"")</f>
        <v>200.050.F1</v>
      </c>
      <c r="M23" s="342"/>
      <c r="N23" s="211"/>
      <c r="O23" s="295"/>
      <c r="P23" s="396"/>
    </row>
    <row r="24" spans="2:16" s="132" customFormat="1">
      <c r="B24" s="899" t="s">
        <v>569</v>
      </c>
      <c r="C24" s="241">
        <f ca="1">IFERROR(INDEX(VendorList[Contract ID],MATCH(ChangeTrack[[#This Row],[Vendor / Org.]],VendorList[Vendor / Org. with Contract ID],0)),"")</f>
        <v>36068</v>
      </c>
      <c r="D24" s="129" t="s">
        <v>106</v>
      </c>
      <c r="E24" s="130">
        <v>43600</v>
      </c>
      <c r="F24" s="296">
        <v>198.38</v>
      </c>
      <c r="G24" s="134" t="s">
        <v>562</v>
      </c>
      <c r="H24" s="131" t="s">
        <v>74</v>
      </c>
      <c r="I24" s="563" t="s">
        <v>570</v>
      </c>
      <c r="J24" s="564"/>
      <c r="K24" s="241" t="str">
        <f ca="1">_xlfn.IFNA(INDEX(VendorList[PA ID],MATCH(ChangeTrack[[#This Row],[Contract ID]],VendorList[Contract ID],0)),"")</f>
        <v>300.100.F1</v>
      </c>
      <c r="M24" s="342"/>
      <c r="N24" s="211"/>
      <c r="O24" s="295"/>
      <c r="P24" s="396"/>
    </row>
    <row r="25" spans="2:16" s="132" customFormat="1">
      <c r="B25" s="899" t="s">
        <v>569</v>
      </c>
      <c r="C25" s="241">
        <f ca="1">IFERROR(INDEX(VendorList[Contract ID],MATCH(ChangeTrack[[#This Row],[Vendor / Org.]],VendorList[Vendor / Org. with Contract ID],0)),"")</f>
        <v>36068</v>
      </c>
      <c r="D25" s="129" t="s">
        <v>106</v>
      </c>
      <c r="E25" s="130">
        <v>43600</v>
      </c>
      <c r="F25" s="296">
        <v>0</v>
      </c>
      <c r="G25" s="134" t="s">
        <v>571</v>
      </c>
      <c r="H25" s="131" t="s">
        <v>70</v>
      </c>
      <c r="I25" s="563" t="s">
        <v>572</v>
      </c>
      <c r="J25" s="564"/>
      <c r="K25" s="241" t="str">
        <f ca="1">_xlfn.IFNA(INDEX(VendorList[PA ID],MATCH(ChangeTrack[[#This Row],[Contract ID]],VendorList[Contract ID],0)),"")</f>
        <v>300.100.F1</v>
      </c>
      <c r="M25" s="342"/>
      <c r="N25" s="211"/>
      <c r="O25" s="295"/>
      <c r="P25" s="396"/>
    </row>
    <row r="26" spans="2:16" s="132" customFormat="1">
      <c r="B26" s="899" t="s">
        <v>573</v>
      </c>
      <c r="C26" s="241">
        <f ca="1">IFERROR(INDEX(VendorList[Contract ID],MATCH(ChangeTrack[[#This Row],[Vendor / Org.]],VendorList[Vendor / Org. with Contract ID],0)),"")</f>
        <v>36059</v>
      </c>
      <c r="D26" s="129" t="s">
        <v>106</v>
      </c>
      <c r="E26" s="130">
        <v>43517</v>
      </c>
      <c r="F26" s="296">
        <v>2475</v>
      </c>
      <c r="G26" s="134" t="s">
        <v>544</v>
      </c>
      <c r="H26" s="131" t="s">
        <v>74</v>
      </c>
      <c r="I26" s="563" t="s">
        <v>574</v>
      </c>
      <c r="J26" s="564"/>
      <c r="K26" s="241" t="str">
        <f ca="1">_xlfn.IFNA(INDEX(VendorList[PA ID],MATCH(ChangeTrack[[#This Row],[Contract ID]],VendorList[Contract ID],0)),"")</f>
        <v>200.050.F1</v>
      </c>
      <c r="M26" s="342"/>
      <c r="N26" s="211"/>
      <c r="O26" s="295"/>
      <c r="P26" s="396"/>
    </row>
    <row r="27" spans="2:16" s="132" customFormat="1">
      <c r="B27" s="899" t="s">
        <v>573</v>
      </c>
      <c r="C27" s="241">
        <f ca="1">IFERROR(INDEX(VendorList[Contract ID],MATCH(ChangeTrack[[#This Row],[Vendor / Org.]],VendorList[Vendor / Org. with Contract ID],0)),"")</f>
        <v>36059</v>
      </c>
      <c r="D27" s="129" t="s">
        <v>106</v>
      </c>
      <c r="E27" s="130">
        <v>43614</v>
      </c>
      <c r="F27" s="296">
        <v>0</v>
      </c>
      <c r="G27" s="134" t="s">
        <v>550</v>
      </c>
      <c r="H27" s="131" t="s">
        <v>70</v>
      </c>
      <c r="I27" s="563" t="s">
        <v>575</v>
      </c>
      <c r="J27" s="564"/>
      <c r="K27" s="241" t="str">
        <f ca="1">_xlfn.IFNA(INDEX(VendorList[PA ID],MATCH(ChangeTrack[[#This Row],[Contract ID]],VendorList[Contract ID],0)),"")</f>
        <v>200.050.F1</v>
      </c>
      <c r="M27" s="342"/>
      <c r="N27" s="211"/>
      <c r="O27" s="295"/>
      <c r="P27" s="396"/>
    </row>
    <row r="28" spans="2:16" s="132" customFormat="1">
      <c r="B28" s="899" t="s">
        <v>573</v>
      </c>
      <c r="C28" s="241">
        <f ca="1">IFERROR(INDEX(VendorList[Contract ID],MATCH(ChangeTrack[[#This Row],[Vendor / Org.]],VendorList[Vendor / Org. with Contract ID],0)),"")</f>
        <v>36059</v>
      </c>
      <c r="D28" s="129" t="s">
        <v>106</v>
      </c>
      <c r="E28" s="130">
        <v>43665</v>
      </c>
      <c r="F28" s="296">
        <v>0</v>
      </c>
      <c r="G28" s="134" t="s">
        <v>552</v>
      </c>
      <c r="H28" s="131" t="s">
        <v>70</v>
      </c>
      <c r="I28" s="563" t="s">
        <v>576</v>
      </c>
      <c r="J28" s="564"/>
      <c r="K28" s="241" t="str">
        <f ca="1">_xlfn.IFNA(INDEX(VendorList[PA ID],MATCH(ChangeTrack[[#This Row],[Contract ID]],VendorList[Contract ID],0)),"")</f>
        <v>200.050.F1</v>
      </c>
      <c r="M28" s="342"/>
      <c r="N28" s="211"/>
      <c r="O28" s="295"/>
      <c r="P28" s="396"/>
    </row>
    <row r="29" spans="2:16" s="132" customFormat="1">
      <c r="B29" s="899" t="s">
        <v>577</v>
      </c>
      <c r="C29" s="241" t="str">
        <f ca="1">IFERROR(INDEX(VendorList[Contract ID],MATCH(ChangeTrack[[#This Row],[Vendor / Org.]],VendorList[Vendor / Org. with Contract ID],0)),"")</f>
        <v>Direct Pay</v>
      </c>
      <c r="D29" s="129" t="s">
        <v>106</v>
      </c>
      <c r="E29" s="130">
        <v>43768</v>
      </c>
      <c r="F29" s="296">
        <v>2279</v>
      </c>
      <c r="G29" s="134" t="s">
        <v>557</v>
      </c>
      <c r="H29" s="131" t="s">
        <v>79</v>
      </c>
      <c r="I29" s="563" t="s">
        <v>578</v>
      </c>
      <c r="J29" s="564"/>
      <c r="K29" s="241" t="str">
        <f ca="1">_xlfn.IFNA(INDEX(VendorList[PA ID],MATCH(ChangeTrack[[#This Row],[Contract ID]],VendorList[Contract ID],0)),"")</f>
        <v>500.010.F1</v>
      </c>
      <c r="M29" s="342"/>
      <c r="N29" s="211"/>
      <c r="O29" s="295"/>
      <c r="P29" s="396"/>
    </row>
    <row r="30" spans="2:16" s="132" customFormat="1">
      <c r="B30" s="899" t="s">
        <v>573</v>
      </c>
      <c r="C30" s="241">
        <f ca="1">IFERROR(INDEX(VendorList[Contract ID],MATCH(ChangeTrack[[#This Row],[Vendor / Org.]],VendorList[Vendor / Org. with Contract ID],0)),"")</f>
        <v>36059</v>
      </c>
      <c r="D30" s="129" t="s">
        <v>106</v>
      </c>
      <c r="E30" s="130">
        <v>43766</v>
      </c>
      <c r="F30" s="296">
        <v>-2870</v>
      </c>
      <c r="G30" s="134" t="s">
        <v>268</v>
      </c>
      <c r="H30" s="131" t="s">
        <v>66</v>
      </c>
      <c r="I30" s="563" t="s">
        <v>579</v>
      </c>
      <c r="J30" s="564"/>
      <c r="K30" s="241" t="str">
        <f ca="1">_xlfn.IFNA(INDEX(VendorList[PA ID],MATCH(ChangeTrack[[#This Row],[Contract ID]],VendorList[Contract ID],0)),"")</f>
        <v>200.050.F1</v>
      </c>
      <c r="M30" s="342"/>
      <c r="N30" s="211"/>
      <c r="O30" s="295"/>
      <c r="P30" s="396"/>
    </row>
    <row r="31" spans="2:16" s="132" customFormat="1">
      <c r="B31" s="899" t="s">
        <v>527</v>
      </c>
      <c r="C31" s="241">
        <f ca="1">IFERROR(INDEX(VendorList[Contract ID],MATCH(ChangeTrack[[#This Row],[Vendor / Org.]],VendorList[Vendor / Org. with Contract ID],0)),"")</f>
        <v>34413</v>
      </c>
      <c r="D31" s="129" t="s">
        <v>106</v>
      </c>
      <c r="E31" s="130">
        <v>43763</v>
      </c>
      <c r="F31" s="297">
        <v>70145</v>
      </c>
      <c r="G31" s="134" t="s">
        <v>550</v>
      </c>
      <c r="H31" s="131" t="s">
        <v>79</v>
      </c>
      <c r="I31" s="563" t="s">
        <v>580</v>
      </c>
      <c r="J31" s="565"/>
      <c r="K31" s="241" t="str">
        <f ca="1">_xlfn.IFNA(INDEX(VendorList[PA ID],MATCH(ChangeTrack[[#This Row],[Contract ID]],VendorList[Contract ID],0)),"")</f>
        <v>200.010.F1</v>
      </c>
      <c r="M31" s="342"/>
      <c r="N31" s="211"/>
      <c r="O31" s="295"/>
      <c r="P31" s="396"/>
    </row>
    <row r="32" spans="2:16" s="132" customFormat="1" ht="27.95">
      <c r="B32" s="899" t="s">
        <v>528</v>
      </c>
      <c r="C32" s="241">
        <f ca="1">IFERROR(INDEX(VendorList[Contract ID],MATCH(ChangeTrack[[#This Row],[Vendor / Org.]],VendorList[Vendor / Org. with Contract ID],0)),"")</f>
        <v>36168</v>
      </c>
      <c r="D32" s="129" t="s">
        <v>106</v>
      </c>
      <c r="E32" s="130">
        <v>43783</v>
      </c>
      <c r="F32" s="297">
        <v>8704</v>
      </c>
      <c r="G32" s="134" t="s">
        <v>557</v>
      </c>
      <c r="H32" s="131" t="s">
        <v>79</v>
      </c>
      <c r="I32" s="563" t="s">
        <v>581</v>
      </c>
      <c r="J32" s="565"/>
      <c r="K32" s="241" t="str">
        <f ca="1">_xlfn.IFNA(INDEX(VendorList[PA ID],MATCH(ChangeTrack[[#This Row],[Contract ID]],VendorList[Contract ID],0)),"")</f>
        <v>200.050.F1</v>
      </c>
      <c r="M32" s="342"/>
      <c r="N32" s="211"/>
      <c r="O32" s="295"/>
      <c r="P32" s="396"/>
    </row>
    <row r="33" spans="2:16" s="132" customFormat="1">
      <c r="B33" s="903" t="s">
        <v>582</v>
      </c>
      <c r="C33" s="241" t="str">
        <f ca="1">IFERROR(INDEX(VendorList[Contract ID],MATCH(ChangeTrack[[#This Row],[Vendor / Org.]],VendorList[Vendor / Org. with Contract ID],0)),"")</f>
        <v>Direct Pay</v>
      </c>
      <c r="D33" s="134" t="s">
        <v>106</v>
      </c>
      <c r="E33" s="130">
        <v>43781</v>
      </c>
      <c r="F33" s="297">
        <v>1109966.2</v>
      </c>
      <c r="G33" s="134" t="s">
        <v>557</v>
      </c>
      <c r="H33" s="131" t="s">
        <v>79</v>
      </c>
      <c r="I33" s="563" t="s">
        <v>583</v>
      </c>
      <c r="J33" s="565"/>
      <c r="K33" s="241" t="str">
        <f ca="1">_xlfn.IFNA(INDEX(VendorList[PA ID],MATCH(ChangeTrack[[#This Row],[Contract ID]],VendorList[Contract ID],0)),"")</f>
        <v>500.010.F1</v>
      </c>
      <c r="M33" s="342"/>
      <c r="N33" s="211"/>
      <c r="O33" s="295"/>
      <c r="P33" s="396"/>
    </row>
    <row r="34" spans="2:16" s="132" customFormat="1">
      <c r="B34" s="903" t="s">
        <v>582</v>
      </c>
      <c r="C34" s="241" t="str">
        <f ca="1">IFERROR(INDEX(VendorList[Contract ID],MATCH(ChangeTrack[[#This Row],[Vendor / Org.]],VendorList[Vendor / Org. with Contract ID],0)),"")</f>
        <v>Direct Pay</v>
      </c>
      <c r="D34" s="134" t="s">
        <v>106</v>
      </c>
      <c r="E34" s="130">
        <v>43773</v>
      </c>
      <c r="F34" s="297">
        <v>120</v>
      </c>
      <c r="G34" s="134" t="s">
        <v>550</v>
      </c>
      <c r="H34" s="131" t="s">
        <v>79</v>
      </c>
      <c r="I34" s="563" t="s">
        <v>584</v>
      </c>
      <c r="J34" s="565"/>
      <c r="K34" s="241" t="str">
        <f ca="1">_xlfn.IFNA(INDEX(VendorList[PA ID],MATCH(ChangeTrack[[#This Row],[Contract ID]],VendorList[Contract ID],0)),"")</f>
        <v>500.010.F1</v>
      </c>
      <c r="M34" s="342"/>
      <c r="N34" s="211"/>
      <c r="O34" s="295"/>
      <c r="P34" s="396"/>
    </row>
    <row r="35" spans="2:16" s="132" customFormat="1">
      <c r="B35" s="903" t="s">
        <v>585</v>
      </c>
      <c r="C35" s="241">
        <f ca="1">IFERROR(INDEX(VendorList[Contract ID],MATCH(ChangeTrack[[#This Row],[Vendor / Org.]],VendorList[Vendor / Org. with Contract ID],0)),"")</f>
        <v>37137</v>
      </c>
      <c r="D35" s="134" t="s">
        <v>106</v>
      </c>
      <c r="E35" s="130">
        <v>43817</v>
      </c>
      <c r="F35" s="297">
        <v>1100</v>
      </c>
      <c r="G35" s="134" t="s">
        <v>557</v>
      </c>
      <c r="H35" s="131" t="s">
        <v>79</v>
      </c>
      <c r="I35" s="563" t="s">
        <v>586</v>
      </c>
      <c r="J35" s="565"/>
      <c r="K35" s="241" t="str">
        <f ca="1">_xlfn.IFNA(INDEX(VendorList[PA ID],MATCH(ChangeTrack[[#This Row],[Contract ID]],VendorList[Contract ID],0)),"")</f>
        <v>200.050.F1</v>
      </c>
      <c r="M35" s="342"/>
      <c r="N35" s="211"/>
      <c r="O35" s="295"/>
      <c r="P35" s="396"/>
    </row>
    <row r="36" spans="2:16" s="132" customFormat="1">
      <c r="B36" s="899" t="s">
        <v>569</v>
      </c>
      <c r="C36" s="241">
        <f ca="1">IFERROR(INDEX(VendorList[Contract ID],MATCH(ChangeTrack[[#This Row],[Vendor / Org.]],VendorList[Vendor / Org. with Contract ID],0)),"")</f>
        <v>36068</v>
      </c>
      <c r="D36" s="134" t="s">
        <v>106</v>
      </c>
      <c r="E36" s="130">
        <v>43811</v>
      </c>
      <c r="F36" s="297">
        <v>-2310</v>
      </c>
      <c r="G36" s="134" t="s">
        <v>552</v>
      </c>
      <c r="H36" s="131" t="s">
        <v>79</v>
      </c>
      <c r="I36" s="563" t="s">
        <v>587</v>
      </c>
      <c r="J36" s="565"/>
      <c r="K36" s="241" t="str">
        <f ca="1">_xlfn.IFNA(INDEX(VendorList[PA ID],MATCH(ChangeTrack[[#This Row],[Contract ID]],VendorList[Contract ID],0)),"")</f>
        <v>300.100.F1</v>
      </c>
      <c r="M36" s="342"/>
      <c r="N36" s="211"/>
      <c r="O36" s="295"/>
      <c r="P36" s="396"/>
    </row>
    <row r="37" spans="2:16" s="132" customFormat="1">
      <c r="B37" s="903" t="s">
        <v>585</v>
      </c>
      <c r="C37" s="241">
        <f ca="1">IFERROR(INDEX(VendorList[Contract ID],MATCH(ChangeTrack[[#This Row],[Vendor / Org.]],VendorList[Vendor / Org. with Contract ID],0)),"")</f>
        <v>37137</v>
      </c>
      <c r="D37" s="129" t="s">
        <v>106</v>
      </c>
      <c r="E37" s="130">
        <v>43872</v>
      </c>
      <c r="F37" s="296">
        <v>300</v>
      </c>
      <c r="G37" s="134" t="s">
        <v>550</v>
      </c>
      <c r="H37" s="131" t="s">
        <v>79</v>
      </c>
      <c r="I37" s="563" t="s">
        <v>588</v>
      </c>
      <c r="J37" s="564"/>
      <c r="K37" s="241" t="str">
        <f ca="1">_xlfn.IFNA(INDEX(VendorList[PA ID],MATCH(ChangeTrack[[#This Row],[Contract ID]],VendorList[Contract ID],0)),"")</f>
        <v>200.050.F1</v>
      </c>
      <c r="M37" s="342"/>
      <c r="N37" s="211"/>
      <c r="O37" s="295"/>
      <c r="P37" s="396"/>
    </row>
    <row r="38" spans="2:16" s="132" customFormat="1">
      <c r="B38" s="899" t="s">
        <v>527</v>
      </c>
      <c r="C38" s="241">
        <f ca="1">IFERROR(INDEX(VendorList[Contract ID],MATCH(ChangeTrack[[#This Row],[Vendor / Org.]],VendorList[Vendor / Org. with Contract ID],0)),"")</f>
        <v>34413</v>
      </c>
      <c r="D38" s="134" t="s">
        <v>106</v>
      </c>
      <c r="E38" s="130">
        <v>43899</v>
      </c>
      <c r="F38" s="297">
        <v>99265</v>
      </c>
      <c r="G38" s="134" t="s">
        <v>552</v>
      </c>
      <c r="H38" s="131" t="s">
        <v>79</v>
      </c>
      <c r="I38" s="563" t="s">
        <v>589</v>
      </c>
      <c r="J38" s="565"/>
      <c r="K38" s="241" t="str">
        <f ca="1">_xlfn.IFNA(INDEX(VendorList[PA ID],MATCH(ChangeTrack[[#This Row],[Contract ID]],VendorList[Contract ID],0)),"")</f>
        <v>200.010.F1</v>
      </c>
      <c r="M38" s="342"/>
      <c r="N38" s="211"/>
      <c r="O38" s="295"/>
      <c r="P38" s="396"/>
    </row>
    <row r="39" spans="2:16" s="132" customFormat="1">
      <c r="B39" s="899" t="s">
        <v>527</v>
      </c>
      <c r="C39" s="241">
        <f ca="1">IFERROR(INDEX(VendorList[Contract ID],MATCH(ChangeTrack[[#This Row],[Vendor / Org.]],VendorList[Vendor / Org. with Contract ID],0)),"")</f>
        <v>34413</v>
      </c>
      <c r="D39" s="134" t="s">
        <v>106</v>
      </c>
      <c r="E39" s="130">
        <v>43917</v>
      </c>
      <c r="F39" s="297">
        <v>13150</v>
      </c>
      <c r="G39" s="134" t="s">
        <v>554</v>
      </c>
      <c r="H39" s="131" t="s">
        <v>79</v>
      </c>
      <c r="I39" s="563" t="s">
        <v>590</v>
      </c>
      <c r="J39" s="565"/>
      <c r="K39" s="241" t="str">
        <f ca="1">_xlfn.IFNA(INDEX(VendorList[PA ID],MATCH(ChangeTrack[[#This Row],[Contract ID]],VendorList[Contract ID],0)),"")</f>
        <v>200.010.F1</v>
      </c>
      <c r="M39" s="342"/>
      <c r="N39" s="211"/>
      <c r="O39" s="295"/>
      <c r="P39" s="396"/>
    </row>
    <row r="40" spans="2:16" s="132" customFormat="1">
      <c r="B40" s="903" t="s">
        <v>585</v>
      </c>
      <c r="C40" s="241">
        <f ca="1">IFERROR(INDEX(VendorList[Contract ID],MATCH(ChangeTrack[[#This Row],[Vendor / Org.]],VendorList[Vendor / Org. with Contract ID],0)),"")</f>
        <v>37137</v>
      </c>
      <c r="D40" s="134" t="s">
        <v>106</v>
      </c>
      <c r="E40" s="130">
        <v>43920</v>
      </c>
      <c r="F40" s="297">
        <v>0</v>
      </c>
      <c r="G40" s="134" t="s">
        <v>552</v>
      </c>
      <c r="H40" s="131" t="s">
        <v>70</v>
      </c>
      <c r="I40" s="563" t="s">
        <v>591</v>
      </c>
      <c r="J40" s="565"/>
      <c r="K40" s="241" t="str">
        <f ca="1">_xlfn.IFNA(INDEX(VendorList[PA ID],MATCH(ChangeTrack[[#This Row],[Contract ID]],VendorList[Contract ID],0)),"")</f>
        <v>200.050.F1</v>
      </c>
      <c r="M40" s="342"/>
      <c r="N40" s="211"/>
      <c r="O40" s="295"/>
      <c r="P40" s="396"/>
    </row>
    <row r="41" spans="2:16" s="132" customFormat="1">
      <c r="B41" s="899" t="s">
        <v>527</v>
      </c>
      <c r="C41" s="241">
        <f ca="1">IFERROR(INDEX(VendorList[Contract ID],MATCH(ChangeTrack[[#This Row],[Vendor / Org.]],VendorList[Vendor / Org. with Contract ID],0)),"")</f>
        <v>34413</v>
      </c>
      <c r="D41" s="134" t="s">
        <v>106</v>
      </c>
      <c r="E41" s="130">
        <v>43965</v>
      </c>
      <c r="F41" s="297">
        <v>16350</v>
      </c>
      <c r="G41" s="134" t="s">
        <v>592</v>
      </c>
      <c r="H41" s="131" t="s">
        <v>79</v>
      </c>
      <c r="I41" s="563" t="s">
        <v>593</v>
      </c>
      <c r="J41" s="565"/>
      <c r="K41" s="241" t="str">
        <f ca="1">_xlfn.IFNA(INDEX(VendorList[PA ID],MATCH(ChangeTrack[[#This Row],[Contract ID]],VendorList[Contract ID],0)),"")</f>
        <v>200.010.F1</v>
      </c>
      <c r="M41" s="342"/>
      <c r="N41" s="211"/>
      <c r="O41" s="295"/>
      <c r="P41" s="396"/>
    </row>
    <row r="42" spans="2:16" s="132" customFormat="1">
      <c r="B42" s="903" t="s">
        <v>585</v>
      </c>
      <c r="C42" s="241">
        <f ca="1">IFERROR(INDEX(VendorList[Contract ID],MATCH(ChangeTrack[[#This Row],[Vendor / Org.]],VendorList[Vendor / Org. with Contract ID],0)),"")</f>
        <v>37137</v>
      </c>
      <c r="D42" s="134" t="s">
        <v>106</v>
      </c>
      <c r="E42" s="130">
        <v>44098</v>
      </c>
      <c r="F42" s="297">
        <v>5710</v>
      </c>
      <c r="G42" s="134" t="s">
        <v>554</v>
      </c>
      <c r="H42" s="131" t="s">
        <v>79</v>
      </c>
      <c r="I42" s="563" t="s">
        <v>594</v>
      </c>
      <c r="J42" s="565"/>
      <c r="K42" s="241" t="str">
        <f ca="1">_xlfn.IFNA(INDEX(VendorList[PA ID],MATCH(ChangeTrack[[#This Row],[Contract ID]],VendorList[Contract ID],0)),"")</f>
        <v>200.050.F1</v>
      </c>
      <c r="M42" s="342"/>
      <c r="N42" s="211"/>
      <c r="O42" s="295"/>
      <c r="P42" s="396"/>
    </row>
    <row r="43" spans="2:16" s="132" customFormat="1">
      <c r="B43" s="899" t="s">
        <v>527</v>
      </c>
      <c r="C43" s="241">
        <f ca="1">IFERROR(INDEX(VendorList[Contract ID],MATCH(ChangeTrack[[#This Row],[Vendor / Org.]],VendorList[Vendor / Org. with Contract ID],0)),"")</f>
        <v>34413</v>
      </c>
      <c r="D43" s="134" t="s">
        <v>106</v>
      </c>
      <c r="E43" s="130"/>
      <c r="F43" s="297">
        <v>2980</v>
      </c>
      <c r="G43" s="134" t="s">
        <v>595</v>
      </c>
      <c r="H43" s="131" t="s">
        <v>79</v>
      </c>
      <c r="I43" s="563" t="s">
        <v>596</v>
      </c>
      <c r="J43" s="565"/>
      <c r="K43" s="241" t="str">
        <f ca="1">_xlfn.IFNA(INDEX(VendorList[PA ID],MATCH(ChangeTrack[[#This Row],[Contract ID]],VendorList[Contract ID],0)),"")</f>
        <v>200.010.F1</v>
      </c>
      <c r="M43" s="342"/>
      <c r="N43" s="211"/>
      <c r="O43" s="295"/>
      <c r="P43" s="396"/>
    </row>
    <row r="44" spans="2:16" s="132" customFormat="1">
      <c r="B44" s="899" t="s">
        <v>597</v>
      </c>
      <c r="C44" s="241">
        <f ca="1">IFERROR(INDEX(VendorList[Contract ID],MATCH(ChangeTrack[[#This Row],[Vendor / Org.]],VendorList[Vendor / Org. with Contract ID],0)),"")</f>
        <v>38249</v>
      </c>
      <c r="D44" s="134" t="s">
        <v>106</v>
      </c>
      <c r="E44" s="130"/>
      <c r="F44" s="297">
        <v>0</v>
      </c>
      <c r="G44" s="134" t="s">
        <v>544</v>
      </c>
      <c r="H44" s="131" t="s">
        <v>79</v>
      </c>
      <c r="I44" s="563" t="s">
        <v>598</v>
      </c>
      <c r="J44" s="565"/>
      <c r="K44" s="241" t="str">
        <f ca="1">_xlfn.IFNA(INDEX(VendorList[PA ID],MATCH(ChangeTrack[[#This Row],[Contract ID]],VendorList[Contract ID],0)),"")</f>
        <v>300.040.F1</v>
      </c>
      <c r="M44" s="342"/>
      <c r="N44" s="211"/>
      <c r="O44" s="295"/>
      <c r="P44" s="396"/>
    </row>
    <row r="45" spans="2:16" s="132" customFormat="1">
      <c r="B45" s="899" t="s">
        <v>597</v>
      </c>
      <c r="C45" s="241">
        <f ca="1">IFERROR(INDEX(VendorList[Contract ID],MATCH(ChangeTrack[[#This Row],[Vendor / Org.]],VendorList[Vendor / Org. with Contract ID],0)),"")</f>
        <v>38249</v>
      </c>
      <c r="D45" s="134" t="s">
        <v>106</v>
      </c>
      <c r="E45" s="130"/>
      <c r="F45" s="297">
        <v>0</v>
      </c>
      <c r="G45" s="134" t="s">
        <v>546</v>
      </c>
      <c r="H45" s="131" t="s">
        <v>79</v>
      </c>
      <c r="I45" s="563" t="s">
        <v>599</v>
      </c>
      <c r="J45" s="565"/>
      <c r="K45" s="241" t="str">
        <f ca="1">_xlfn.IFNA(INDEX(VendorList[PA ID],MATCH(ChangeTrack[[#This Row],[Contract ID]],VendorList[Contract ID],0)),"")</f>
        <v>300.040.F1</v>
      </c>
      <c r="M45" s="342"/>
      <c r="N45" s="211"/>
      <c r="O45" s="295"/>
      <c r="P45" s="396"/>
    </row>
    <row r="46" spans="2:16" s="132" customFormat="1">
      <c r="B46" s="899" t="s">
        <v>597</v>
      </c>
      <c r="C46" s="241">
        <f ca="1">IFERROR(INDEX(VendorList[Contract ID],MATCH(ChangeTrack[[#This Row],[Vendor / Org.]],VendorList[Vendor / Org. with Contract ID],0)),"")</f>
        <v>38249</v>
      </c>
      <c r="D46" s="134" t="s">
        <v>106</v>
      </c>
      <c r="E46" s="130"/>
      <c r="F46" s="297">
        <v>0</v>
      </c>
      <c r="G46" s="134" t="s">
        <v>559</v>
      </c>
      <c r="H46" s="131" t="s">
        <v>79</v>
      </c>
      <c r="I46" s="563" t="s">
        <v>600</v>
      </c>
      <c r="J46" s="565"/>
      <c r="K46" s="241" t="str">
        <f ca="1">_xlfn.IFNA(INDEX(VendorList[PA ID],MATCH(ChangeTrack[[#This Row],[Contract ID]],VendorList[Contract ID],0)),"")</f>
        <v>300.040.F1</v>
      </c>
      <c r="M46" s="342"/>
      <c r="N46" s="211"/>
      <c r="O46" s="295"/>
      <c r="P46" s="396"/>
    </row>
    <row r="47" spans="2:16" s="132" customFormat="1">
      <c r="B47" s="903" t="s">
        <v>601</v>
      </c>
      <c r="C47" s="241" t="str">
        <f ca="1">IFERROR(INDEX(VendorList[Contract ID],MATCH(ChangeTrack[[#This Row],[Vendor / Org.]],VendorList[Vendor / Org. with Contract ID],0)),"")</f>
        <v>Direct Pay</v>
      </c>
      <c r="D47" s="134" t="s">
        <v>106</v>
      </c>
      <c r="E47" s="130"/>
      <c r="F47" s="297">
        <v>1000</v>
      </c>
      <c r="G47" s="134" t="s">
        <v>268</v>
      </c>
      <c r="H47" s="133" t="s">
        <v>74</v>
      </c>
      <c r="I47" s="563"/>
      <c r="J47" s="565"/>
      <c r="K47" s="241" t="str">
        <f ca="1">_xlfn.IFNA(INDEX(VendorList[PA ID],MATCH(ChangeTrack[[#This Row],[Contract ID]],VendorList[Contract ID],0)),"")</f>
        <v>500.010.F1</v>
      </c>
      <c r="M47" s="342"/>
      <c r="N47" s="211"/>
      <c r="O47" s="295"/>
      <c r="P47" s="396"/>
    </row>
    <row r="48" spans="2:16" s="132" customFormat="1" ht="27.95">
      <c r="B48" s="904" t="s">
        <v>527</v>
      </c>
      <c r="C48" s="241">
        <f ca="1">IFERROR(INDEX(VendorList[Contract ID],MATCH(ChangeTrack[[#This Row],[Vendor / Org.]],VendorList[Vendor / Org. with Contract ID],0)),"")</f>
        <v>34413</v>
      </c>
      <c r="D48" s="134" t="s">
        <v>106</v>
      </c>
      <c r="E48" s="130">
        <v>44138</v>
      </c>
      <c r="F48" s="1296">
        <v>1785</v>
      </c>
      <c r="G48" s="78" t="s">
        <v>602</v>
      </c>
      <c r="H48" s="133" t="s">
        <v>79</v>
      </c>
      <c r="I48" s="563" t="s">
        <v>603</v>
      </c>
      <c r="J48" s="645"/>
      <c r="K48" s="241" t="str">
        <f ca="1">_xlfn.IFNA(INDEX(VendorList[PA ID],MATCH(ChangeTrack[[#This Row],[Contract ID]],VendorList[Contract ID],0)),"")</f>
        <v>200.010.F1</v>
      </c>
      <c r="M48" s="1297"/>
      <c r="N48" s="1298"/>
      <c r="O48" s="1299"/>
      <c r="P48" s="646"/>
    </row>
    <row r="49" spans="2:16" s="132" customFormat="1">
      <c r="B49" s="904" t="s">
        <v>527</v>
      </c>
      <c r="C49" s="241">
        <f ca="1">IFERROR(INDEX(VendorList[Contract ID],MATCH(ChangeTrack[[#This Row],[Vendor / Org.]],VendorList[Vendor / Org. with Contract ID],0)),"")</f>
        <v>34413</v>
      </c>
      <c r="D49" s="134" t="s">
        <v>106</v>
      </c>
      <c r="E49" s="130">
        <v>44141</v>
      </c>
      <c r="F49" s="1296">
        <v>8930</v>
      </c>
      <c r="G49" s="78" t="s">
        <v>604</v>
      </c>
      <c r="H49" s="133" t="s">
        <v>79</v>
      </c>
      <c r="I49" s="563" t="s">
        <v>605</v>
      </c>
      <c r="J49" s="645"/>
      <c r="K49" s="241" t="str">
        <f ca="1">_xlfn.IFNA(INDEX(VendorList[PA ID],MATCH(ChangeTrack[[#This Row],[Contract ID]],VendorList[Contract ID],0)),"")</f>
        <v>200.010.F1</v>
      </c>
      <c r="M49" s="1297"/>
      <c r="N49" s="1298"/>
      <c r="O49" s="1299"/>
      <c r="P49" s="646"/>
    </row>
    <row r="50" spans="2:16" s="132" customFormat="1">
      <c r="B50" s="904" t="s">
        <v>528</v>
      </c>
      <c r="C50" s="241">
        <f ca="1">IFERROR(INDEX(VendorList[Contract ID],MATCH(ChangeTrack[[#This Row],[Vendor / Org.]],VendorList[Vendor / Org. with Contract ID],0)),"")</f>
        <v>36168</v>
      </c>
      <c r="D50" s="134" t="s">
        <v>106</v>
      </c>
      <c r="E50" s="130">
        <v>44141</v>
      </c>
      <c r="F50" s="1296">
        <v>3409</v>
      </c>
      <c r="G50" s="78" t="s">
        <v>546</v>
      </c>
      <c r="H50" s="133" t="s">
        <v>79</v>
      </c>
      <c r="I50" s="563" t="s">
        <v>606</v>
      </c>
      <c r="J50" s="645"/>
      <c r="K50" s="241" t="str">
        <f ca="1">_xlfn.IFNA(INDEX(VendorList[PA ID],MATCH(ChangeTrack[[#This Row],[Contract ID]],VendorList[Contract ID],0)),"")</f>
        <v>200.050.F1</v>
      </c>
      <c r="M50" s="1297"/>
      <c r="N50" s="1298"/>
      <c r="O50" s="1299"/>
      <c r="P50" s="646"/>
    </row>
    <row r="51" spans="2:16" s="132" customFormat="1">
      <c r="B51" s="904" t="s">
        <v>528</v>
      </c>
      <c r="C51" s="241">
        <f ca="1">IFERROR(INDEX(VendorList[Contract ID],MATCH(ChangeTrack[[#This Row],[Vendor / Org.]],VendorList[Vendor / Org. with Contract ID],0)),"")</f>
        <v>36168</v>
      </c>
      <c r="D51" s="134" t="s">
        <v>106</v>
      </c>
      <c r="E51" s="130">
        <v>44183</v>
      </c>
      <c r="F51" s="1296">
        <v>0</v>
      </c>
      <c r="G51" s="78" t="s">
        <v>559</v>
      </c>
      <c r="H51" s="133" t="s">
        <v>70</v>
      </c>
      <c r="I51" s="563" t="s">
        <v>607</v>
      </c>
      <c r="J51" s="645"/>
      <c r="K51" s="241" t="str">
        <f ca="1">_xlfn.IFNA(INDEX(VendorList[PA ID],MATCH(ChangeTrack[[#This Row],[Contract ID]],VendorList[Contract ID],0)),"")</f>
        <v>200.050.F1</v>
      </c>
      <c r="M51" s="1297"/>
      <c r="N51" s="1298"/>
      <c r="O51" s="1299"/>
      <c r="P51" s="646"/>
    </row>
    <row r="52" spans="2:16" s="132" customFormat="1">
      <c r="B52" s="904" t="s">
        <v>527</v>
      </c>
      <c r="C52" s="241">
        <f ca="1">IFERROR(INDEX(VendorList[Contract ID],MATCH(ChangeTrack[[#This Row],[Vendor / Org.]],VendorList[Vendor / Org. with Contract ID],0)),"")</f>
        <v>34413</v>
      </c>
      <c r="D52" s="134" t="s">
        <v>106</v>
      </c>
      <c r="E52" s="130">
        <v>44221</v>
      </c>
      <c r="F52" s="1296">
        <v>15470</v>
      </c>
      <c r="G52" s="78" t="s">
        <v>608</v>
      </c>
      <c r="H52" s="133" t="s">
        <v>79</v>
      </c>
      <c r="I52" s="563" t="s">
        <v>609</v>
      </c>
      <c r="J52" s="645"/>
      <c r="K52" s="241" t="str">
        <f ca="1">_xlfn.IFNA(INDEX(VendorList[PA ID],MATCH(ChangeTrack[[#This Row],[Contract ID]],VendorList[Contract ID],0)),"")</f>
        <v>200.010.F1</v>
      </c>
      <c r="M52" s="1297"/>
      <c r="N52" s="1298"/>
      <c r="O52" s="1299"/>
      <c r="P52" s="646"/>
    </row>
    <row r="53" spans="2:16" s="132" customFormat="1">
      <c r="B53" s="904" t="s">
        <v>527</v>
      </c>
      <c r="C53" s="241">
        <f ca="1">IFERROR(INDEX(VendorList[Contract ID],MATCH(ChangeTrack[[#This Row],[Vendor / Org.]],VendorList[Vendor / Org. with Contract ID],0)),"")</f>
        <v>34413</v>
      </c>
      <c r="D53" s="134" t="s">
        <v>106</v>
      </c>
      <c r="E53" s="130"/>
      <c r="F53" s="1296">
        <v>105000</v>
      </c>
      <c r="G53" s="78" t="s">
        <v>610</v>
      </c>
      <c r="H53" s="133" t="s">
        <v>79</v>
      </c>
      <c r="I53" s="563" t="s">
        <v>611</v>
      </c>
      <c r="J53" s="645"/>
      <c r="K53" s="241" t="str">
        <f ca="1">_xlfn.IFNA(INDEX(VendorList[PA ID],MATCH(ChangeTrack[[#This Row],[Contract ID]],VendorList[Contract ID],0)),"")</f>
        <v>200.010.F1</v>
      </c>
      <c r="M53" s="1297"/>
      <c r="N53" s="1298"/>
      <c r="O53" s="1299"/>
      <c r="P53" s="646"/>
    </row>
    <row r="54" spans="2:16" s="132" customFormat="1">
      <c r="B54" s="904" t="s">
        <v>528</v>
      </c>
      <c r="C54" s="241">
        <f ca="1">IFERROR(INDEX(VendorList[Contract ID],MATCH(ChangeTrack[[#This Row],[Vendor / Org.]],VendorList[Vendor / Org. with Contract ID],0)),"")</f>
        <v>36168</v>
      </c>
      <c r="D54" s="134" t="s">
        <v>106</v>
      </c>
      <c r="E54" s="130">
        <v>44235</v>
      </c>
      <c r="F54" s="1296">
        <v>31554</v>
      </c>
      <c r="G54" s="78" t="s">
        <v>612</v>
      </c>
      <c r="H54" s="133" t="s">
        <v>79</v>
      </c>
      <c r="I54" s="563" t="s">
        <v>613</v>
      </c>
      <c r="J54" s="645"/>
      <c r="K54" s="241" t="str">
        <f ca="1">_xlfn.IFNA(INDEX(VendorList[PA ID],MATCH(ChangeTrack[[#This Row],[Contract ID]],VendorList[Contract ID],0)),"")</f>
        <v>200.050.F1</v>
      </c>
      <c r="M54" s="1297"/>
      <c r="N54" s="1298"/>
      <c r="O54" s="1299"/>
      <c r="P54" s="646"/>
    </row>
    <row r="55" spans="2:16" s="132" customFormat="1">
      <c r="B55" s="904" t="s">
        <v>527</v>
      </c>
      <c r="C55" s="241">
        <f ca="1">IFERROR(INDEX(VendorList[Contract ID],MATCH(ChangeTrack[[#This Row],[Vendor / Org.]],VendorList[Vendor / Org. with Contract ID],0)),"")</f>
        <v>34413</v>
      </c>
      <c r="D55" s="134" t="s">
        <v>106</v>
      </c>
      <c r="E55" s="130">
        <v>44279</v>
      </c>
      <c r="F55" s="1296">
        <v>3250</v>
      </c>
      <c r="G55" s="78" t="s">
        <v>614</v>
      </c>
      <c r="H55" s="133" t="s">
        <v>79</v>
      </c>
      <c r="I55" s="563" t="s">
        <v>615</v>
      </c>
      <c r="J55" s="645"/>
      <c r="K55" s="241" t="str">
        <f ca="1">_xlfn.IFNA(INDEX(VendorList[PA ID],MATCH(ChangeTrack[[#This Row],[Contract ID]],VendorList[Contract ID],0)),"")</f>
        <v>200.010.F1</v>
      </c>
      <c r="M55" s="1297"/>
      <c r="N55" s="1298"/>
      <c r="O55" s="1299"/>
      <c r="P55" s="646"/>
    </row>
    <row r="56" spans="2:16" s="132" customFormat="1">
      <c r="B56" s="904" t="s">
        <v>527</v>
      </c>
      <c r="C56" s="241">
        <f ca="1">IFERROR(INDEX(VendorList[Contract ID],MATCH(ChangeTrack[[#This Row],[Vendor / Org.]],VendorList[Vendor / Org. with Contract ID],0)),"")</f>
        <v>34413</v>
      </c>
      <c r="D56" s="134" t="s">
        <v>106</v>
      </c>
      <c r="E56" s="130">
        <v>44300</v>
      </c>
      <c r="F56" s="1296">
        <v>98045</v>
      </c>
      <c r="G56" s="78" t="s">
        <v>616</v>
      </c>
      <c r="H56" s="133" t="s">
        <v>79</v>
      </c>
      <c r="I56" s="563" t="s">
        <v>617</v>
      </c>
      <c r="J56" s="645"/>
      <c r="K56" s="241" t="str">
        <f ca="1">_xlfn.IFNA(INDEX(VendorList[PA ID],MATCH(ChangeTrack[[#This Row],[Contract ID]],VendorList[Contract ID],0)),"")</f>
        <v>200.010.F1</v>
      </c>
      <c r="M56" s="1297"/>
      <c r="N56" s="1298"/>
      <c r="O56" s="1299"/>
      <c r="P56" s="646"/>
    </row>
    <row r="57" spans="2:16" s="132" customFormat="1">
      <c r="B57" s="904" t="s">
        <v>527</v>
      </c>
      <c r="C57" s="241">
        <f ca="1">IFERROR(INDEX(VendorList[Contract ID],MATCH(ChangeTrack[[#This Row],[Vendor / Org.]],VendorList[Vendor / Org. with Contract ID],0)),"")</f>
        <v>34413</v>
      </c>
      <c r="D57" s="134" t="s">
        <v>106</v>
      </c>
      <c r="E57" s="130"/>
      <c r="F57" s="1296">
        <v>2250</v>
      </c>
      <c r="G57" s="78" t="s">
        <v>618</v>
      </c>
      <c r="H57" s="133" t="s">
        <v>79</v>
      </c>
      <c r="I57" s="563" t="s">
        <v>619</v>
      </c>
      <c r="J57" s="645"/>
      <c r="K57" s="241" t="str">
        <f ca="1">_xlfn.IFNA(INDEX(VendorList[PA ID],MATCH(ChangeTrack[[#This Row],[Contract ID]],VendorList[Contract ID],0)),"")</f>
        <v>200.010.F1</v>
      </c>
      <c r="M57" s="1297"/>
      <c r="N57" s="1298"/>
      <c r="O57" s="1299"/>
      <c r="P57" s="646"/>
    </row>
    <row r="58" spans="2:16" s="132" customFormat="1">
      <c r="B58" s="904" t="s">
        <v>528</v>
      </c>
      <c r="C58" s="241">
        <f ca="1">IFERROR(INDEX(VendorList[Contract ID],MATCH(ChangeTrack[[#This Row],[Vendor / Org.]],VendorList[Vendor / Org. with Contract ID],0)),"")</f>
        <v>36168</v>
      </c>
      <c r="D58" s="134" t="s">
        <v>106</v>
      </c>
      <c r="E58" s="130">
        <v>44302</v>
      </c>
      <c r="F58" s="1296">
        <v>18895</v>
      </c>
      <c r="G58" s="78" t="s">
        <v>620</v>
      </c>
      <c r="H58" s="133" t="s">
        <v>79</v>
      </c>
      <c r="I58" s="563" t="s">
        <v>621</v>
      </c>
      <c r="J58" s="645"/>
      <c r="K58" s="241" t="str">
        <f ca="1">_xlfn.IFNA(INDEX(VendorList[PA ID],MATCH(ChangeTrack[[#This Row],[Contract ID]],VendorList[Contract ID],0)),"")</f>
        <v>200.050.F1</v>
      </c>
      <c r="M58" s="1297"/>
      <c r="N58" s="1298"/>
      <c r="O58" s="1299"/>
      <c r="P58" s="646"/>
    </row>
    <row r="59" spans="2:16" s="132" customFormat="1">
      <c r="B59" s="904" t="s">
        <v>527</v>
      </c>
      <c r="C59" s="241">
        <f ca="1">IFERROR(INDEX(VendorList[Contract ID],MATCH(ChangeTrack[[#This Row],[Vendor / Org.]],VendorList[Vendor / Org. with Contract ID],0)),"")</f>
        <v>34413</v>
      </c>
      <c r="D59" s="134" t="s">
        <v>106</v>
      </c>
      <c r="E59" s="130">
        <v>44326</v>
      </c>
      <c r="F59" s="1296">
        <v>139172</v>
      </c>
      <c r="G59" s="78" t="s">
        <v>622</v>
      </c>
      <c r="H59" s="133" t="s">
        <v>79</v>
      </c>
      <c r="I59" s="563" t="s">
        <v>623</v>
      </c>
      <c r="J59" s="645"/>
      <c r="K59" s="241" t="str">
        <f ca="1">_xlfn.IFNA(INDEX(VendorList[PA ID],MATCH(ChangeTrack[[#This Row],[Contract ID]],VendorList[Contract ID],0)),"")</f>
        <v>200.010.F1</v>
      </c>
      <c r="M59" s="1297"/>
      <c r="N59" s="1298"/>
      <c r="O59" s="1299"/>
      <c r="P59" s="646"/>
    </row>
    <row r="60" spans="2:16" s="132" customFormat="1">
      <c r="B60" s="904" t="s">
        <v>624</v>
      </c>
      <c r="C60" s="241">
        <f ca="1">IFERROR(INDEX(VendorList[Contract ID],MATCH(ChangeTrack[[#This Row],[Vendor / Org.]],VendorList[Vendor / Org. with Contract ID],0)),"")</f>
        <v>34489</v>
      </c>
      <c r="D60" s="134" t="s">
        <v>106</v>
      </c>
      <c r="E60" s="130">
        <v>44377</v>
      </c>
      <c r="F60" s="1296">
        <v>28676</v>
      </c>
      <c r="G60" s="78" t="s">
        <v>625</v>
      </c>
      <c r="H60" s="133" t="s">
        <v>79</v>
      </c>
      <c r="I60" s="563" t="s">
        <v>626</v>
      </c>
      <c r="J60" s="645"/>
      <c r="K60" s="241" t="str">
        <f ca="1">_xlfn.IFNA(INDEX(VendorList[PA ID],MATCH(ChangeTrack[[#This Row],[Contract ID]],VendorList[Contract ID],0)),"")</f>
        <v>200.040.F1</v>
      </c>
      <c r="M60" s="1297"/>
      <c r="N60" s="1298"/>
      <c r="O60" s="1299"/>
      <c r="P60" s="646"/>
    </row>
    <row r="61" spans="2:16" s="132" customFormat="1">
      <c r="B61" s="904" t="s">
        <v>624</v>
      </c>
      <c r="C61" s="241">
        <f ca="1">IFERROR(INDEX(VendorList[Contract ID],MATCH(ChangeTrack[[#This Row],[Vendor / Org.]],VendorList[Vendor / Org. with Contract ID],0)),"")</f>
        <v>34489</v>
      </c>
      <c r="D61" s="134" t="s">
        <v>106</v>
      </c>
      <c r="E61" s="130">
        <v>44392</v>
      </c>
      <c r="F61" s="1296">
        <v>2675</v>
      </c>
      <c r="G61" s="78" t="s">
        <v>627</v>
      </c>
      <c r="H61" s="133" t="s">
        <v>79</v>
      </c>
      <c r="I61" s="563" t="s">
        <v>628</v>
      </c>
      <c r="J61" s="645"/>
      <c r="K61" s="241" t="str">
        <f ca="1">_xlfn.IFNA(INDEX(VendorList[PA ID],MATCH(ChangeTrack[[#This Row],[Contract ID]],VendorList[Contract ID],0)),"")</f>
        <v>200.040.F1</v>
      </c>
      <c r="M61" s="1297"/>
      <c r="N61" s="1298"/>
      <c r="O61" s="1299"/>
      <c r="P61" s="646"/>
    </row>
    <row r="62" spans="2:16" s="132" customFormat="1">
      <c r="B62" s="904" t="s">
        <v>624</v>
      </c>
      <c r="C62" s="241">
        <f ca="1">IFERROR(INDEX(VendorList[Contract ID],MATCH(ChangeTrack[[#This Row],[Vendor / Org.]],VendorList[Vendor / Org. with Contract ID],0)),"")</f>
        <v>34489</v>
      </c>
      <c r="D62" s="134" t="s">
        <v>106</v>
      </c>
      <c r="E62" s="130"/>
      <c r="F62" s="1296">
        <v>7918</v>
      </c>
      <c r="G62" s="78" t="s">
        <v>629</v>
      </c>
      <c r="H62" s="133" t="s">
        <v>79</v>
      </c>
      <c r="I62" s="563" t="s">
        <v>630</v>
      </c>
      <c r="J62" s="645"/>
      <c r="K62" s="241" t="str">
        <f ca="1">_xlfn.IFNA(INDEX(VendorList[PA ID],MATCH(ChangeTrack[[#This Row],[Contract ID]],VendorList[Contract ID],0)),"")</f>
        <v>200.040.F1</v>
      </c>
      <c r="M62" s="1297"/>
      <c r="N62" s="1298"/>
      <c r="O62" s="1299"/>
      <c r="P62" s="646"/>
    </row>
    <row r="63" spans="2:16" s="132" customFormat="1">
      <c r="B63" s="904" t="s">
        <v>527</v>
      </c>
      <c r="C63" s="241">
        <f ca="1">IFERROR(INDEX(VendorList[Contract ID],MATCH(ChangeTrack[[#This Row],[Vendor / Org.]],VendorList[Vendor / Org. with Contract ID],0)),"")</f>
        <v>34413</v>
      </c>
      <c r="D63" s="134" t="s">
        <v>106</v>
      </c>
      <c r="E63" s="130">
        <v>44460</v>
      </c>
      <c r="F63" s="1296">
        <v>9000</v>
      </c>
      <c r="G63" s="78" t="s">
        <v>631</v>
      </c>
      <c r="H63" s="133" t="s">
        <v>79</v>
      </c>
      <c r="I63" s="563" t="s">
        <v>632</v>
      </c>
      <c r="J63" s="645"/>
      <c r="K63" s="241" t="str">
        <f ca="1">_xlfn.IFNA(INDEX(VendorList[PA ID],MATCH(ChangeTrack[[#This Row],[Contract ID]],VendorList[Contract ID],0)),"")</f>
        <v>200.010.F1</v>
      </c>
      <c r="M63" s="1297"/>
      <c r="N63" s="1298"/>
      <c r="O63" s="1299"/>
      <c r="P63" s="646"/>
    </row>
    <row r="64" spans="2:16" s="132" customFormat="1">
      <c r="B64" s="904" t="s">
        <v>527</v>
      </c>
      <c r="C64" s="241">
        <f ca="1">IFERROR(INDEX(VendorList[Contract ID],MATCH(ChangeTrack[[#This Row],[Vendor / Org.]],VendorList[Vendor / Org. with Contract ID],0)),"")</f>
        <v>34413</v>
      </c>
      <c r="D64" s="134" t="s">
        <v>106</v>
      </c>
      <c r="E64" s="130">
        <v>44466</v>
      </c>
      <c r="F64" s="1296">
        <v>2775</v>
      </c>
      <c r="G64" s="78" t="s">
        <v>633</v>
      </c>
      <c r="H64" s="133" t="s">
        <v>79</v>
      </c>
      <c r="I64" s="563" t="s">
        <v>634</v>
      </c>
      <c r="J64" s="645"/>
      <c r="K64" s="241" t="str">
        <f ca="1">_xlfn.IFNA(INDEX(VendorList[PA ID],MATCH(ChangeTrack[[#This Row],[Contract ID]],VendorList[Contract ID],0)),"")</f>
        <v>200.010.F1</v>
      </c>
      <c r="M64" s="1297"/>
      <c r="N64" s="1298"/>
      <c r="O64" s="1299"/>
      <c r="P64" s="646"/>
    </row>
    <row r="65" spans="2:16" s="132" customFormat="1">
      <c r="B65" s="904" t="s">
        <v>527</v>
      </c>
      <c r="C65" s="241">
        <f ca="1">IFERROR(INDEX(VendorList[Contract ID],MATCH(ChangeTrack[[#This Row],[Vendor / Org.]],VendorList[Vendor / Org. with Contract ID],0)),"")</f>
        <v>34413</v>
      </c>
      <c r="D65" s="134" t="s">
        <v>106</v>
      </c>
      <c r="E65" s="130">
        <v>44474</v>
      </c>
      <c r="F65" s="1296">
        <v>1830</v>
      </c>
      <c r="G65" s="78" t="s">
        <v>635</v>
      </c>
      <c r="H65" s="133" t="s">
        <v>79</v>
      </c>
      <c r="I65" s="563" t="s">
        <v>636</v>
      </c>
      <c r="J65" s="645"/>
      <c r="K65" s="241" t="str">
        <f ca="1">_xlfn.IFNA(INDEX(VendorList[PA ID],MATCH(ChangeTrack[[#This Row],[Contract ID]],VendorList[Contract ID],0)),"")</f>
        <v>200.010.F1</v>
      </c>
      <c r="M65" s="1297"/>
      <c r="N65" s="1298"/>
      <c r="O65" s="1299"/>
      <c r="P65" s="646"/>
    </row>
    <row r="66" spans="2:16" s="132" customFormat="1">
      <c r="B66" s="904" t="s">
        <v>527</v>
      </c>
      <c r="C66" s="241">
        <f ca="1">IFERROR(INDEX(VendorList[Contract ID],MATCH(ChangeTrack[[#This Row],[Vendor / Org.]],VendorList[Vendor / Org. with Contract ID],0)),"")</f>
        <v>34413</v>
      </c>
      <c r="D66" s="134" t="s">
        <v>106</v>
      </c>
      <c r="E66" s="130">
        <v>44490</v>
      </c>
      <c r="F66" s="1296">
        <v>5300</v>
      </c>
      <c r="G66" s="78" t="s">
        <v>637</v>
      </c>
      <c r="H66" s="133" t="s">
        <v>79</v>
      </c>
      <c r="I66" s="563" t="s">
        <v>638</v>
      </c>
      <c r="J66" s="645"/>
      <c r="K66" s="241" t="str">
        <f ca="1">_xlfn.IFNA(INDEX(VendorList[PA ID],MATCH(ChangeTrack[[#This Row],[Contract ID]],VendorList[Contract ID],0)),"")</f>
        <v>200.010.F1</v>
      </c>
      <c r="M66" s="1297"/>
      <c r="N66" s="1298"/>
      <c r="O66" s="1299"/>
      <c r="P66" s="646"/>
    </row>
    <row r="67" spans="2:16" s="132" customFormat="1">
      <c r="B67" s="904" t="s">
        <v>528</v>
      </c>
      <c r="C67" s="241">
        <f ca="1">IFERROR(INDEX(VendorList[Contract ID],MATCH(ChangeTrack[[#This Row],[Vendor / Org.]],VendorList[Vendor / Org. with Contract ID],0)),"")</f>
        <v>36168</v>
      </c>
      <c r="D67" s="134" t="s">
        <v>106</v>
      </c>
      <c r="E67" s="130">
        <v>44404</v>
      </c>
      <c r="F67" s="1296">
        <v>2672</v>
      </c>
      <c r="G67" s="78" t="s">
        <v>639</v>
      </c>
      <c r="H67" s="133" t="s">
        <v>79</v>
      </c>
      <c r="I67" s="563" t="s">
        <v>640</v>
      </c>
      <c r="J67" s="645"/>
      <c r="K67" s="241" t="str">
        <f ca="1">_xlfn.IFNA(INDEX(VendorList[PA ID],MATCH(ChangeTrack[[#This Row],[Contract ID]],VendorList[Contract ID],0)),"")</f>
        <v>200.050.F1</v>
      </c>
      <c r="M67" s="1297"/>
      <c r="N67" s="1298"/>
      <c r="O67" s="1299"/>
      <c r="P67" s="646"/>
    </row>
    <row r="68" spans="2:16" s="132" customFormat="1">
      <c r="B68" s="904" t="s">
        <v>528</v>
      </c>
      <c r="C68" s="241">
        <f ca="1">IFERROR(INDEX(VendorList[Contract ID],MATCH(ChangeTrack[[#This Row],[Vendor / Org.]],VendorList[Vendor / Org. with Contract ID],0)),"")</f>
        <v>36168</v>
      </c>
      <c r="D68" s="134" t="s">
        <v>106</v>
      </c>
      <c r="E68" s="130">
        <v>44543</v>
      </c>
      <c r="F68" s="1296">
        <v>28157.25</v>
      </c>
      <c r="G68" s="78" t="s">
        <v>602</v>
      </c>
      <c r="H68" s="133" t="s">
        <v>79</v>
      </c>
      <c r="I68" s="563" t="s">
        <v>641</v>
      </c>
      <c r="J68" s="645"/>
      <c r="K68" s="241" t="str">
        <f ca="1">_xlfn.IFNA(INDEX(VendorList[PA ID],MATCH(ChangeTrack[[#This Row],[Contract ID]],VendorList[Contract ID],0)),"")</f>
        <v>200.050.F1</v>
      </c>
      <c r="M68" s="1297"/>
      <c r="N68" s="1298"/>
      <c r="O68" s="1299"/>
      <c r="P68" s="646"/>
    </row>
    <row r="69" spans="2:16" s="132" customFormat="1">
      <c r="B69" s="904" t="s">
        <v>527</v>
      </c>
      <c r="C69" s="241">
        <f ca="1">IFERROR(INDEX(VendorList[Contract ID],MATCH(ChangeTrack[[#This Row],[Vendor / Org.]],VendorList[Vendor / Org. with Contract ID],0)),"")</f>
        <v>34413</v>
      </c>
      <c r="D69" s="134" t="s">
        <v>106</v>
      </c>
      <c r="E69" s="130">
        <v>44524</v>
      </c>
      <c r="F69" s="1296">
        <v>104500</v>
      </c>
      <c r="G69" s="78" t="s">
        <v>642</v>
      </c>
      <c r="H69" s="133" t="s">
        <v>79</v>
      </c>
      <c r="I69" s="563" t="s">
        <v>643</v>
      </c>
      <c r="J69" s="645"/>
      <c r="K69" s="241" t="str">
        <f ca="1">_xlfn.IFNA(INDEX(VendorList[PA ID],MATCH(ChangeTrack[[#This Row],[Contract ID]],VendorList[Contract ID],0)),"")</f>
        <v>200.010.F1</v>
      </c>
      <c r="M69" s="1297"/>
      <c r="N69" s="1298"/>
      <c r="O69" s="1299"/>
      <c r="P69" s="646"/>
    </row>
    <row r="70" spans="2:16" s="132" customFormat="1">
      <c r="B70" s="904" t="s">
        <v>527</v>
      </c>
      <c r="C70" s="241">
        <f ca="1">IFERROR(INDEX(VendorList[Contract ID],MATCH(ChangeTrack[[#This Row],[Vendor / Org.]],VendorList[Vendor / Org. with Contract ID],0)),"")</f>
        <v>34413</v>
      </c>
      <c r="D70" s="134" t="s">
        <v>106</v>
      </c>
      <c r="E70" s="130">
        <v>44539</v>
      </c>
      <c r="F70" s="1296">
        <v>8150</v>
      </c>
      <c r="G70" s="78" t="s">
        <v>644</v>
      </c>
      <c r="H70" s="133" t="s">
        <v>79</v>
      </c>
      <c r="I70" s="563" t="s">
        <v>645</v>
      </c>
      <c r="J70" s="645"/>
      <c r="K70" s="241" t="str">
        <f ca="1">_xlfn.IFNA(INDEX(VendorList[PA ID],MATCH(ChangeTrack[[#This Row],[Contract ID]],VendorList[Contract ID],0)),"")</f>
        <v>200.010.F1</v>
      </c>
      <c r="M70" s="1297"/>
      <c r="N70" s="1298"/>
      <c r="O70" s="1299"/>
      <c r="P70" s="646"/>
    </row>
    <row r="71" spans="2:16" s="132" customFormat="1">
      <c r="B71" s="904" t="s">
        <v>528</v>
      </c>
      <c r="C71" s="241">
        <f ca="1">IFERROR(INDEX(VendorList[Contract ID],MATCH(ChangeTrack[[#This Row],[Vendor / Org.]],VendorList[Vendor / Org. with Contract ID],0)),"")</f>
        <v>36168</v>
      </c>
      <c r="D71" s="134" t="s">
        <v>106</v>
      </c>
      <c r="E71" s="130">
        <v>44222</v>
      </c>
      <c r="F71" s="1296">
        <v>10400</v>
      </c>
      <c r="G71" s="78" t="s">
        <v>604</v>
      </c>
      <c r="H71" s="133" t="s">
        <v>79</v>
      </c>
      <c r="I71" s="563" t="s">
        <v>646</v>
      </c>
      <c r="J71" s="645"/>
      <c r="K71" s="241" t="str">
        <f ca="1">_xlfn.IFNA(INDEX(VendorList[PA ID],MATCH(ChangeTrack[[#This Row],[Contract ID]],VendorList[Contract ID],0)),"")</f>
        <v>200.050.F1</v>
      </c>
      <c r="M71" s="1297"/>
      <c r="N71" s="1298"/>
      <c r="O71" s="1299"/>
      <c r="P71" s="646"/>
    </row>
    <row r="72" spans="2:16" s="132" customFormat="1">
      <c r="B72" s="904" t="s">
        <v>527</v>
      </c>
      <c r="C72" s="241">
        <f ca="1">IFERROR(INDEX(VendorList[Contract ID],MATCH(ChangeTrack[[#This Row],[Vendor / Org.]],VendorList[Vendor / Org. with Contract ID],0)),"")</f>
        <v>34413</v>
      </c>
      <c r="D72" s="134" t="s">
        <v>106</v>
      </c>
      <c r="E72" s="130">
        <v>44589</v>
      </c>
      <c r="F72" s="1296">
        <v>6800</v>
      </c>
      <c r="G72" s="78" t="s">
        <v>647</v>
      </c>
      <c r="H72" s="133" t="s">
        <v>79</v>
      </c>
      <c r="I72" s="563" t="s">
        <v>648</v>
      </c>
      <c r="J72" s="645"/>
      <c r="K72" s="241" t="str">
        <f ca="1">_xlfn.IFNA(INDEX(VendorList[PA ID],MATCH(ChangeTrack[[#This Row],[Contract ID]],VendorList[Contract ID],0)),"")</f>
        <v>200.010.F1</v>
      </c>
      <c r="M72" s="1297"/>
      <c r="N72" s="1298"/>
      <c r="O72" s="1299"/>
      <c r="P72" s="646"/>
    </row>
    <row r="73" spans="2:16" s="132" customFormat="1">
      <c r="B73" s="904" t="s">
        <v>527</v>
      </c>
      <c r="C73" s="241">
        <f ca="1">IFERROR(INDEX(VendorList[Contract ID],MATCH(ChangeTrack[[#This Row],[Vendor / Org.]],VendorList[Vendor / Org. with Contract ID],0)),"")</f>
        <v>34413</v>
      </c>
      <c r="D73" s="134" t="s">
        <v>106</v>
      </c>
      <c r="E73" s="130">
        <v>44620</v>
      </c>
      <c r="F73" s="1296">
        <v>5500</v>
      </c>
      <c r="G73" s="78" t="s">
        <v>649</v>
      </c>
      <c r="H73" s="133" t="s">
        <v>79</v>
      </c>
      <c r="I73" s="563" t="s">
        <v>650</v>
      </c>
      <c r="J73" s="645"/>
      <c r="K73" s="241" t="str">
        <f ca="1">_xlfn.IFNA(INDEX(VendorList[PA ID],MATCH(ChangeTrack[[#This Row],[Contract ID]],VendorList[Contract ID],0)),"")</f>
        <v>200.010.F1</v>
      </c>
      <c r="M73" s="1297"/>
      <c r="N73" s="1298"/>
      <c r="O73" s="1299"/>
      <c r="P73" s="646"/>
    </row>
    <row r="74" spans="2:16" s="132" customFormat="1">
      <c r="B74" s="904" t="s">
        <v>527</v>
      </c>
      <c r="C74" s="241">
        <f ca="1">IFERROR(INDEX(VendorList[Contract ID],MATCH(ChangeTrack[[#This Row],[Vendor / Org.]],VendorList[Vendor / Org. with Contract ID],0)),"")</f>
        <v>34413</v>
      </c>
      <c r="D74" s="134" t="s">
        <v>106</v>
      </c>
      <c r="E74" s="130">
        <v>44634</v>
      </c>
      <c r="F74" s="1296">
        <v>310757.82</v>
      </c>
      <c r="G74" s="78" t="s">
        <v>651</v>
      </c>
      <c r="H74" s="133" t="s">
        <v>79</v>
      </c>
      <c r="I74" s="563" t="s">
        <v>652</v>
      </c>
      <c r="J74" s="645"/>
      <c r="K74" s="241" t="str">
        <f ca="1">_xlfn.IFNA(INDEX(VendorList[PA ID],MATCH(ChangeTrack[[#This Row],[Contract ID]],VendorList[Contract ID],0)),"")</f>
        <v>200.010.F1</v>
      </c>
      <c r="M74" s="1297"/>
      <c r="N74" s="1298"/>
      <c r="O74" s="1299"/>
      <c r="P74" s="646"/>
    </row>
    <row r="75" spans="2:16" s="132" customFormat="1">
      <c r="B75" s="904" t="s">
        <v>527</v>
      </c>
      <c r="C75" s="241">
        <f ca="1">IFERROR(INDEX(VendorList[Contract ID],MATCH(ChangeTrack[[#This Row],[Vendor / Org.]],VendorList[Vendor / Org. with Contract ID],0)),"")</f>
        <v>34413</v>
      </c>
      <c r="D75" s="134" t="s">
        <v>106</v>
      </c>
      <c r="E75" s="130"/>
      <c r="F75" s="1296">
        <v>180995</v>
      </c>
      <c r="G75" s="78" t="s">
        <v>653</v>
      </c>
      <c r="H75" s="133" t="s">
        <v>79</v>
      </c>
      <c r="I75" s="563" t="s">
        <v>654</v>
      </c>
      <c r="J75" s="645"/>
      <c r="K75" s="241" t="str">
        <f ca="1">_xlfn.IFNA(INDEX(VendorList[PA ID],MATCH(ChangeTrack[[#This Row],[Contract ID]],VendorList[Contract ID],0)),"")</f>
        <v>200.010.F1</v>
      </c>
      <c r="M75" s="1297"/>
      <c r="N75" s="1298"/>
      <c r="O75" s="1299"/>
      <c r="P75" s="646"/>
    </row>
    <row r="76" spans="2:16" s="132" customFormat="1">
      <c r="B76" s="904" t="s">
        <v>655</v>
      </c>
      <c r="C76" s="241">
        <f ca="1">IFERROR(INDEX(VendorList[Contract ID],MATCH(ChangeTrack[[#This Row],[Vendor / Org.]],VendorList[Vendor / Org. with Contract ID],0)),"")</f>
        <v>37915</v>
      </c>
      <c r="D76" s="134" t="s">
        <v>106</v>
      </c>
      <c r="E76" s="130"/>
      <c r="F76" s="1296">
        <v>5088</v>
      </c>
      <c r="G76" s="78" t="s">
        <v>625</v>
      </c>
      <c r="H76" s="133" t="s">
        <v>79</v>
      </c>
      <c r="I76" s="563" t="s">
        <v>656</v>
      </c>
      <c r="J76" s="645"/>
      <c r="K76" s="241" t="str">
        <f ca="1">_xlfn.IFNA(INDEX(VendorList[PA ID],MATCH(ChangeTrack[[#This Row],[Contract ID]],VendorList[Contract ID],0)),"")</f>
        <v>200.050.F1</v>
      </c>
      <c r="M76" s="1297"/>
      <c r="N76" s="1298"/>
      <c r="O76" s="1299"/>
      <c r="P76" s="646"/>
    </row>
    <row r="77" spans="2:16" s="132" customFormat="1">
      <c r="B77" s="904" t="s">
        <v>624</v>
      </c>
      <c r="C77" s="241">
        <f ca="1">IFERROR(INDEX(VendorList[Contract ID],MATCH(ChangeTrack[[#This Row],[Vendor / Org.]],VendorList[Vendor / Org. with Contract ID],0)),"")</f>
        <v>34489</v>
      </c>
      <c r="D77" s="134" t="s">
        <v>106</v>
      </c>
      <c r="E77" s="130">
        <v>44644</v>
      </c>
      <c r="F77" s="1296">
        <v>7545</v>
      </c>
      <c r="G77" s="78" t="s">
        <v>657</v>
      </c>
      <c r="H77" s="133" t="s">
        <v>79</v>
      </c>
      <c r="I77" s="563" t="s">
        <v>658</v>
      </c>
      <c r="J77" s="645"/>
      <c r="K77" s="241" t="str">
        <f ca="1">_xlfn.IFNA(INDEX(VendorList[PA ID],MATCH(ChangeTrack[[#This Row],[Contract ID]],VendorList[Contract ID],0)),"")</f>
        <v>200.040.F1</v>
      </c>
      <c r="M77" s="1297"/>
      <c r="N77" s="1298"/>
      <c r="O77" s="1299"/>
      <c r="P77" s="646"/>
    </row>
    <row r="78" spans="2:16" s="132" customFormat="1">
      <c r="B78" s="904" t="s">
        <v>527</v>
      </c>
      <c r="C78" s="241">
        <f ca="1">IFERROR(INDEX(VendorList[Contract ID],MATCH(ChangeTrack[[#This Row],[Vendor / Org.]],VendorList[Vendor / Org. with Contract ID],0)),"")</f>
        <v>34413</v>
      </c>
      <c r="D78" s="134" t="s">
        <v>106</v>
      </c>
      <c r="E78" s="130">
        <v>44673</v>
      </c>
      <c r="F78" s="1296">
        <v>5745</v>
      </c>
      <c r="G78" s="78" t="s">
        <v>659</v>
      </c>
      <c r="H78" s="133" t="s">
        <v>79</v>
      </c>
      <c r="I78" s="563" t="s">
        <v>660</v>
      </c>
      <c r="J78" s="645"/>
      <c r="K78" s="241" t="str">
        <f ca="1">_xlfn.IFNA(INDEX(VendorList[PA ID],MATCH(ChangeTrack[[#This Row],[Contract ID]],VendorList[Contract ID],0)),"")</f>
        <v>200.010.F1</v>
      </c>
      <c r="M78" s="1297"/>
      <c r="N78" s="1298"/>
      <c r="O78" s="1299"/>
      <c r="P78" s="646"/>
    </row>
    <row r="79" spans="2:16" s="132" customFormat="1">
      <c r="B79" s="904" t="s">
        <v>585</v>
      </c>
      <c r="C79" s="241">
        <f ca="1">IFERROR(INDEX(VendorList[Contract ID],MATCH(ChangeTrack[[#This Row],[Vendor / Org.]],VendorList[Vendor / Org. with Contract ID],0)),"")</f>
        <v>37137</v>
      </c>
      <c r="D79" s="134" t="s">
        <v>106</v>
      </c>
      <c r="E79" s="130">
        <v>44741</v>
      </c>
      <c r="F79" s="1296">
        <v>-1840.5</v>
      </c>
      <c r="G79" s="78"/>
      <c r="H79" s="133" t="s">
        <v>66</v>
      </c>
      <c r="I79" s="563" t="s">
        <v>661</v>
      </c>
      <c r="J79" s="645"/>
      <c r="K79" s="241" t="str">
        <f ca="1">_xlfn.IFNA(INDEX(VendorList[PA ID],MATCH(ChangeTrack[[#This Row],[Contract ID]],VendorList[Contract ID],0)),"")</f>
        <v>200.050.F1</v>
      </c>
      <c r="M79" s="1297"/>
      <c r="N79" s="1298"/>
      <c r="O79" s="1299"/>
      <c r="P79" s="646"/>
    </row>
    <row r="80" spans="2:16" s="132" customFormat="1">
      <c r="B80" s="904" t="s">
        <v>662</v>
      </c>
      <c r="C80" s="241">
        <f ca="1">IFERROR(INDEX(VendorList[Contract ID],MATCH(ChangeTrack[[#This Row],[Vendor / Org.]],VendorList[Vendor / Org. with Contract ID],0)),"")</f>
        <v>38384</v>
      </c>
      <c r="D80" s="134" t="s">
        <v>106</v>
      </c>
      <c r="E80" s="130">
        <v>44693</v>
      </c>
      <c r="F80" s="1296">
        <v>9939</v>
      </c>
      <c r="G80" s="78" t="s">
        <v>625</v>
      </c>
      <c r="H80" s="133" t="s">
        <v>79</v>
      </c>
      <c r="I80" s="563" t="s">
        <v>663</v>
      </c>
      <c r="J80" s="645"/>
      <c r="K80" s="241" t="str">
        <f ca="1">_xlfn.IFNA(INDEX(VendorList[PA ID],MATCH(ChangeTrack[[#This Row],[Contract ID]],VendorList[Contract ID],0)),"")</f>
        <v>200.050.F1</v>
      </c>
      <c r="M80" s="1297"/>
      <c r="N80" s="1298"/>
      <c r="O80" s="1299"/>
      <c r="P80" s="646"/>
    </row>
    <row r="81" spans="2:16" s="132" customFormat="1">
      <c r="B81" s="904" t="s">
        <v>527</v>
      </c>
      <c r="C81" s="241">
        <f ca="1">IFERROR(INDEX(VendorList[Contract ID],MATCH(ChangeTrack[[#This Row],[Vendor / Org.]],VendorList[Vendor / Org. with Contract ID],0)),"")</f>
        <v>34413</v>
      </c>
      <c r="D81" s="134" t="s">
        <v>106</v>
      </c>
      <c r="E81" s="130">
        <v>44683</v>
      </c>
      <c r="F81" s="1296">
        <v>10000</v>
      </c>
      <c r="G81" s="78" t="s">
        <v>664</v>
      </c>
      <c r="H81" s="133" t="s">
        <v>79</v>
      </c>
      <c r="I81" s="563" t="s">
        <v>665</v>
      </c>
      <c r="J81" s="645"/>
      <c r="K81" s="241" t="str">
        <f ca="1">_xlfn.IFNA(INDEX(VendorList[PA ID],MATCH(ChangeTrack[[#This Row],[Contract ID]],VendorList[Contract ID],0)),"")</f>
        <v>200.010.F1</v>
      </c>
      <c r="M81" s="1297"/>
      <c r="N81" s="1298"/>
      <c r="O81" s="1299"/>
      <c r="P81" s="646"/>
    </row>
    <row r="82" spans="2:16" s="132" customFormat="1">
      <c r="B82" s="904" t="s">
        <v>666</v>
      </c>
      <c r="C82" s="241">
        <f ca="1">IFERROR(INDEX(VendorList[Contract ID],MATCH(ChangeTrack[[#This Row],[Vendor / Org.]],VendorList[Vendor / Org. with Contract ID],0)),"")</f>
        <v>39170</v>
      </c>
      <c r="D82" s="134" t="s">
        <v>106</v>
      </c>
      <c r="E82" s="130">
        <v>44721</v>
      </c>
      <c r="F82" s="1296">
        <f ca="1">150425.5-74885.5</f>
        <v>75540</v>
      </c>
      <c r="G82" s="78" t="s">
        <v>625</v>
      </c>
      <c r="H82" s="133" t="s">
        <v>79</v>
      </c>
      <c r="I82" s="563" t="s">
        <v>667</v>
      </c>
      <c r="J82" s="645"/>
      <c r="K82" s="241" t="str">
        <f ca="1">_xlfn.IFNA(INDEX(VendorList[PA ID],MATCH(ChangeTrack[[#This Row],[Contract ID]],VendorList[Contract ID],0)),"")</f>
        <v>200.050.F1</v>
      </c>
      <c r="M82" s="1297"/>
      <c r="N82" s="1298"/>
      <c r="O82" s="1299"/>
      <c r="P82" s="646"/>
    </row>
    <row r="83" spans="2:16" s="132" customFormat="1">
      <c r="B83" s="904" t="s">
        <v>527</v>
      </c>
      <c r="C83" s="241">
        <f ca="1">IFERROR(INDEX(VendorList[Contract ID],MATCH(ChangeTrack[[#This Row],[Vendor / Org.]],VendorList[Vendor / Org. with Contract ID],0)),"")</f>
        <v>34413</v>
      </c>
      <c r="D83" s="134" t="s">
        <v>106</v>
      </c>
      <c r="E83" s="130">
        <v>44846</v>
      </c>
      <c r="F83" s="1296">
        <v>10000</v>
      </c>
      <c r="G83" s="78" t="s">
        <v>668</v>
      </c>
      <c r="H83" s="133" t="s">
        <v>79</v>
      </c>
      <c r="I83" s="563" t="s">
        <v>669</v>
      </c>
      <c r="J83" s="645"/>
      <c r="K83" s="241" t="str">
        <f ca="1">_xlfn.IFNA(INDEX(VendorList[PA ID],MATCH(ChangeTrack[[#This Row],[Contract ID]],VendorList[Contract ID],0)),"")</f>
        <v>200.010.F1</v>
      </c>
      <c r="M83" s="1297"/>
      <c r="N83" s="1298"/>
      <c r="O83" s="1299"/>
      <c r="P83" s="646"/>
    </row>
    <row r="84" spans="2:16" s="132" customFormat="1">
      <c r="B84" s="904" t="s">
        <v>527</v>
      </c>
      <c r="C84" s="241">
        <f ca="1">IFERROR(INDEX(VendorList[Contract ID],MATCH(ChangeTrack[[#This Row],[Vendor / Org.]],VendorList[Vendor / Org. with Contract ID],0)),"")</f>
        <v>34413</v>
      </c>
      <c r="D84" s="134" t="s">
        <v>106</v>
      </c>
      <c r="E84" s="130">
        <v>44799</v>
      </c>
      <c r="F84" s="1296">
        <v>26920</v>
      </c>
      <c r="G84" s="78" t="s">
        <v>670</v>
      </c>
      <c r="H84" s="133" t="s">
        <v>79</v>
      </c>
      <c r="I84" s="563" t="s">
        <v>671</v>
      </c>
      <c r="J84" s="645"/>
      <c r="K84" s="241" t="str">
        <f ca="1">_xlfn.IFNA(INDEX(VendorList[PA ID],MATCH(ChangeTrack[[#This Row],[Contract ID]],VendorList[Contract ID],0)),"")</f>
        <v>200.010.F1</v>
      </c>
      <c r="M84" s="1297"/>
      <c r="N84" s="1298"/>
      <c r="O84" s="1299"/>
      <c r="P84" s="646"/>
    </row>
    <row r="85" spans="2:16" s="132" customFormat="1">
      <c r="B85" s="904" t="s">
        <v>662</v>
      </c>
      <c r="C85" s="241">
        <f ca="1">IFERROR(INDEX(VendorList[Contract ID],MATCH(ChangeTrack[[#This Row],[Vendor / Org.]],VendorList[Vendor / Org. with Contract ID],0)),"")</f>
        <v>38384</v>
      </c>
      <c r="D85" s="134" t="s">
        <v>106</v>
      </c>
      <c r="E85" s="130">
        <v>44883</v>
      </c>
      <c r="F85" s="1296">
        <v>15940</v>
      </c>
      <c r="G85" s="78" t="s">
        <v>629</v>
      </c>
      <c r="H85" s="133" t="s">
        <v>79</v>
      </c>
      <c r="I85" s="563" t="s">
        <v>672</v>
      </c>
      <c r="J85" s="645"/>
      <c r="K85" s="241" t="str">
        <f ca="1">_xlfn.IFNA(INDEX(VendorList[PA ID],MATCH(ChangeTrack[[#This Row],[Contract ID]],VendorList[Contract ID],0)),"")</f>
        <v>200.050.F1</v>
      </c>
      <c r="M85" s="1297"/>
      <c r="N85" s="1298"/>
      <c r="O85" s="1299"/>
      <c r="P85" s="646"/>
    </row>
    <row r="86" spans="2:16" s="132" customFormat="1">
      <c r="B86" s="904" t="s">
        <v>662</v>
      </c>
      <c r="C86" s="241">
        <f ca="1">IFERROR(INDEX(VendorList[Contract ID],MATCH(ChangeTrack[[#This Row],[Vendor / Org.]],VendorList[Vendor / Org. with Contract ID],0)),"")</f>
        <v>38384</v>
      </c>
      <c r="D86" s="134" t="s">
        <v>106</v>
      </c>
      <c r="E86" s="130">
        <v>44796</v>
      </c>
      <c r="F86" s="1296">
        <v>0</v>
      </c>
      <c r="G86" s="78" t="s">
        <v>627</v>
      </c>
      <c r="H86" s="133" t="s">
        <v>70</v>
      </c>
      <c r="I86" s="563" t="s">
        <v>673</v>
      </c>
      <c r="J86" s="645"/>
      <c r="K86" s="241" t="str">
        <f ca="1">_xlfn.IFNA(INDEX(VendorList[PA ID],MATCH(ChangeTrack[[#This Row],[Contract ID]],VendorList[Contract ID],0)),"")</f>
        <v>200.050.F1</v>
      </c>
      <c r="M86" s="1297"/>
      <c r="N86" s="1298"/>
      <c r="O86" s="1299"/>
      <c r="P86" s="646"/>
    </row>
    <row r="87" spans="2:16" s="132" customFormat="1">
      <c r="B87" s="904" t="s">
        <v>528</v>
      </c>
      <c r="C87" s="241">
        <f ca="1">IFERROR(INDEX(VendorList[Contract ID],MATCH(ChangeTrack[[#This Row],[Vendor / Org.]],VendorList[Vendor / Org. with Contract ID],0)),"")</f>
        <v>36168</v>
      </c>
      <c r="D87" s="134" t="s">
        <v>106</v>
      </c>
      <c r="E87" s="130"/>
      <c r="F87" s="1296">
        <v>0</v>
      </c>
      <c r="G87" s="78" t="s">
        <v>674</v>
      </c>
      <c r="H87" s="133" t="s">
        <v>74</v>
      </c>
      <c r="I87" s="563" t="s">
        <v>675</v>
      </c>
      <c r="J87" s="645"/>
      <c r="K87" s="241" t="str">
        <f ca="1">_xlfn.IFNA(INDEX(VendorList[PA ID],MATCH(ChangeTrack[[#This Row],[Contract ID]],VendorList[Contract ID],0)),"")</f>
        <v>200.050.F1</v>
      </c>
      <c r="M87" s="1297"/>
      <c r="N87" s="1298"/>
      <c r="O87" s="1299"/>
      <c r="P87" s="646"/>
    </row>
    <row r="88" spans="2:16" s="132" customFormat="1">
      <c r="B88" s="904" t="s">
        <v>666</v>
      </c>
      <c r="C88" s="241">
        <f ca="1">IFERROR(INDEX(VendorList[Contract ID],MATCH(ChangeTrack[[#This Row],[Vendor / Org.]],VendorList[Vendor / Org. with Contract ID],0)),"")</f>
        <v>39170</v>
      </c>
      <c r="D88" s="134" t="s">
        <v>106</v>
      </c>
      <c r="E88" s="130">
        <v>44970</v>
      </c>
      <c r="F88" s="1296">
        <f ca="1">-155425.5+164299.5</f>
        <v>8874</v>
      </c>
      <c r="G88" s="78" t="s">
        <v>629</v>
      </c>
      <c r="H88" s="133" t="s">
        <v>79</v>
      </c>
      <c r="I88" s="563" t="s">
        <v>676</v>
      </c>
      <c r="J88" s="645"/>
      <c r="K88" s="241" t="str">
        <f ca="1">_xlfn.IFNA(INDEX(VendorList[PA ID],MATCH(ChangeTrack[[#This Row],[Contract ID]],VendorList[Contract ID],0)),"")</f>
        <v>200.050.F1</v>
      </c>
      <c r="M88" s="1297"/>
      <c r="N88" s="1298"/>
      <c r="O88" s="1299"/>
      <c r="P88" s="646"/>
    </row>
    <row r="89" spans="2:16" s="132" customFormat="1">
      <c r="B89" s="905" t="s">
        <v>666</v>
      </c>
      <c r="C89" s="241">
        <f ca="1">IFERROR(INDEX(VendorList[Contract ID],MATCH(ChangeTrack[[#This Row],[Vendor / Org.]],VendorList[Vendor / Org. with Contract ID],0)),"")</f>
        <v>39170</v>
      </c>
      <c r="D89" s="129" t="s">
        <v>106</v>
      </c>
      <c r="E89" s="130">
        <v>44889</v>
      </c>
      <c r="F89" s="298">
        <v>5000</v>
      </c>
      <c r="G89" s="82" t="s">
        <v>627</v>
      </c>
      <c r="H89" s="135" t="s">
        <v>79</v>
      </c>
      <c r="I89" s="566" t="s">
        <v>677</v>
      </c>
      <c r="J89" s="564"/>
      <c r="K89" s="241" t="str">
        <f ca="1">_xlfn.IFNA(INDEX(VendorList[PA ID],MATCH(ChangeTrack[[#This Row],[Contract ID]],VendorList[Contract ID],0)),"")</f>
        <v>200.050.F1</v>
      </c>
      <c r="M89" s="342"/>
      <c r="N89" s="211"/>
      <c r="O89" s="295"/>
      <c r="P89" s="396"/>
    </row>
    <row r="90" spans="2:16" s="132" customFormat="1" ht="27.95">
      <c r="B90" s="904" t="s">
        <v>597</v>
      </c>
      <c r="C90" s="241">
        <f ca="1">IFERROR(INDEX(VendorList[Contract ID],MATCH(ChangeTrack[[#This Row],[Vendor / Org.]],VendorList[Vendor / Org. with Contract ID],0)),"")</f>
        <v>38249</v>
      </c>
      <c r="D90" s="134" t="s">
        <v>106</v>
      </c>
      <c r="E90" s="130"/>
      <c r="F90" s="890">
        <v>100397.31</v>
      </c>
      <c r="G90" s="134" t="s">
        <v>612</v>
      </c>
      <c r="H90" s="133" t="s">
        <v>79</v>
      </c>
      <c r="I90" s="563" t="s">
        <v>678</v>
      </c>
      <c r="J90" s="645"/>
      <c r="K90" s="241" t="str">
        <f ca="1">_xlfn.IFNA(INDEX(VendorList[PA ID],MATCH(ChangeTrack[[#This Row],[Contract ID]],VendorList[Contract ID],0)),"")</f>
        <v>300.040.F1</v>
      </c>
      <c r="M90" s="342"/>
      <c r="N90" s="211"/>
      <c r="O90" s="891"/>
      <c r="P90" s="646"/>
    </row>
    <row r="91" spans="2:16" s="132" customFormat="1">
      <c r="B91" s="904" t="s">
        <v>679</v>
      </c>
      <c r="C91" s="241" t="str">
        <f ca="1">IFERROR(INDEX(VendorList[Contract ID],MATCH(ChangeTrack[[#This Row],[Vendor / Org.]],VendorList[Vendor / Org. with Contract ID],0)),"")</f>
        <v>IUT</v>
      </c>
      <c r="D91" s="134" t="s">
        <v>106</v>
      </c>
      <c r="E91" s="130">
        <v>45044</v>
      </c>
      <c r="F91" s="890">
        <v>26981</v>
      </c>
      <c r="G91" s="78" t="s">
        <v>544</v>
      </c>
      <c r="H91" s="133" t="s">
        <v>79</v>
      </c>
      <c r="I91" s="563" t="s">
        <v>680</v>
      </c>
      <c r="J91" s="645"/>
      <c r="K91" s="241" t="str">
        <f ca="1">_xlfn.IFNA(INDEX(VendorList[PA ID],MATCH(ChangeTrack[[#This Row],[Contract ID]],VendorList[Contract ID],0)),"")</f>
        <v>400.020.F1</v>
      </c>
      <c r="M91" s="342"/>
      <c r="N91" s="211"/>
      <c r="O91" s="891"/>
      <c r="P91" s="646"/>
    </row>
    <row r="92" spans="2:16" s="132" customFormat="1">
      <c r="B92" s="904" t="s">
        <v>666</v>
      </c>
      <c r="C92" s="241">
        <f ca="1">IFERROR(INDEX(VendorList[Contract ID],MATCH(ChangeTrack[[#This Row],[Vendor / Org.]],VendorList[Vendor / Org. with Contract ID],0)),"")</f>
        <v>39170</v>
      </c>
      <c r="D92" s="134" t="s">
        <v>106</v>
      </c>
      <c r="E92" s="130">
        <v>45055</v>
      </c>
      <c r="F92" s="1296">
        <v>41750</v>
      </c>
      <c r="G92" s="78" t="s">
        <v>612</v>
      </c>
      <c r="H92" s="133" t="s">
        <v>79</v>
      </c>
      <c r="I92" s="563" t="s">
        <v>681</v>
      </c>
      <c r="J92" s="645"/>
      <c r="K92" s="241" t="str">
        <f ca="1">_xlfn.IFNA(INDEX(VendorList[PA ID],MATCH(ChangeTrack[[#This Row],[Contract ID]],VendorList[Contract ID],0)),"")</f>
        <v>200.050.F1</v>
      </c>
      <c r="M92" s="1297"/>
      <c r="N92" s="1298"/>
      <c r="O92" s="1299"/>
      <c r="P92" s="646"/>
    </row>
    <row r="93" spans="2:16" s="132" customFormat="1">
      <c r="B93" s="904" t="s">
        <v>666</v>
      </c>
      <c r="C93" s="241">
        <f ca="1">IFERROR(INDEX(VendorList[Contract ID],MATCH(ChangeTrack[[#This Row],[Vendor / Org.]],VendorList[Vendor / Org. with Contract ID],0)),"")</f>
        <v>39170</v>
      </c>
      <c r="D93" s="134" t="s">
        <v>106</v>
      </c>
      <c r="E93" s="130">
        <v>45061</v>
      </c>
      <c r="F93" s="1296">
        <v>0</v>
      </c>
      <c r="G93" s="78" t="s">
        <v>620</v>
      </c>
      <c r="H93" s="133" t="s">
        <v>70</v>
      </c>
      <c r="I93" s="563" t="s">
        <v>682</v>
      </c>
      <c r="J93" s="645"/>
      <c r="K93" s="241" t="str">
        <f ca="1">_xlfn.IFNA(INDEX(VendorList[PA ID],MATCH(ChangeTrack[[#This Row],[Contract ID]],VendorList[Contract ID],0)),"")</f>
        <v>200.050.F1</v>
      </c>
      <c r="M93" s="1297"/>
      <c r="N93" s="1298"/>
      <c r="O93" s="1299"/>
      <c r="P93" s="646"/>
    </row>
    <row r="94" spans="2:16" s="132" customFormat="1">
      <c r="B94" s="904" t="s">
        <v>683</v>
      </c>
      <c r="C94" s="241">
        <f ca="1">IFERROR(INDEX(VendorList[Contract ID],MATCH(ChangeTrack[[#This Row],[Vendor / Org.]],VendorList[Vendor / Org. with Contract ID],0)),"")</f>
        <v>40381</v>
      </c>
      <c r="D94" s="134" t="s">
        <v>106</v>
      </c>
      <c r="E94" s="130">
        <v>45107</v>
      </c>
      <c r="F94" s="1296">
        <v>7271.1</v>
      </c>
      <c r="G94" s="78" t="s">
        <v>557</v>
      </c>
      <c r="H94" s="133" t="s">
        <v>79</v>
      </c>
      <c r="I94" s="563" t="s">
        <v>684</v>
      </c>
      <c r="J94" s="645"/>
      <c r="K94" s="241" t="str">
        <f ca="1">_xlfn.IFNA(INDEX(VendorList[PA ID],MATCH(ChangeTrack[[#This Row],[Contract ID]],VendorList[Contract ID],0)),"")</f>
        <v>400.020.F1</v>
      </c>
      <c r="M94" s="1297"/>
      <c r="N94" s="1298"/>
      <c r="O94" s="1299"/>
      <c r="P94" s="646"/>
    </row>
    <row r="95" spans="2:16" s="132" customFormat="1">
      <c r="B95" s="904" t="s">
        <v>683</v>
      </c>
      <c r="C95" s="241">
        <f ca="1">IFERROR(INDEX(VendorList[Contract ID],MATCH(ChangeTrack[[#This Row],[Vendor / Org.]],VendorList[Vendor / Org. with Contract ID],0)),"")</f>
        <v>40381</v>
      </c>
      <c r="D95" s="134" t="s">
        <v>106</v>
      </c>
      <c r="E95" s="130">
        <v>45183</v>
      </c>
      <c r="F95" s="1296">
        <v>3022.92</v>
      </c>
      <c r="G95" s="78" t="s">
        <v>550</v>
      </c>
      <c r="H95" s="133" t="s">
        <v>79</v>
      </c>
      <c r="I95" s="563" t="s">
        <v>685</v>
      </c>
      <c r="J95" s="645"/>
      <c r="K95" s="241" t="str">
        <f ca="1">_xlfn.IFNA(INDEX(VendorList[PA ID],MATCH(ChangeTrack[[#This Row],[Contract ID]],VendorList[Contract ID],0)),"")</f>
        <v>400.020.F1</v>
      </c>
      <c r="M95" s="1297"/>
      <c r="N95" s="1298"/>
      <c r="O95" s="1299"/>
      <c r="P95" s="646"/>
    </row>
    <row r="96" spans="2:16" s="132" customFormat="1">
      <c r="B96" s="904" t="s">
        <v>679</v>
      </c>
      <c r="C96" s="241" t="str">
        <f ca="1">IFERROR(INDEX(VendorList[Contract ID],MATCH(ChangeTrack[[#This Row],[Vendor / Org.]],VendorList[Vendor / Org. with Contract ID],0)),"")</f>
        <v>IUT</v>
      </c>
      <c r="D96" s="134" t="s">
        <v>106</v>
      </c>
      <c r="E96" s="130">
        <v>45188</v>
      </c>
      <c r="F96" s="1296">
        <v>110282</v>
      </c>
      <c r="G96" s="78" t="s">
        <v>546</v>
      </c>
      <c r="H96" s="133" t="s">
        <v>79</v>
      </c>
      <c r="I96" s="563" t="s">
        <v>686</v>
      </c>
      <c r="J96" s="645"/>
      <c r="K96" s="241" t="str">
        <f ca="1">_xlfn.IFNA(INDEX(VendorList[PA ID],MATCH(ChangeTrack[[#This Row],[Contract ID]],VendorList[Contract ID],0)),"")</f>
        <v>400.020.F1</v>
      </c>
      <c r="M96" s="1297"/>
      <c r="N96" s="1298"/>
      <c r="O96" s="1299"/>
      <c r="P96" s="646"/>
    </row>
    <row r="97" spans="2:16" s="132" customFormat="1">
      <c r="B97" s="904" t="s">
        <v>527</v>
      </c>
      <c r="C97" s="241">
        <f ca="1">IFERROR(INDEX(VendorList[Contract ID],MATCH(ChangeTrack[[#This Row],[Vendor / Org.]],VendorList[Vendor / Org. with Contract ID],0)),"")</f>
        <v>34413</v>
      </c>
      <c r="D97" s="134" t="s">
        <v>106</v>
      </c>
      <c r="E97" s="130">
        <v>45158</v>
      </c>
      <c r="F97" s="1296">
        <v>104020</v>
      </c>
      <c r="G97" s="78" t="s">
        <v>687</v>
      </c>
      <c r="H97" s="133" t="s">
        <v>79</v>
      </c>
      <c r="I97" s="563" t="s">
        <v>688</v>
      </c>
      <c r="J97" s="645"/>
      <c r="K97" s="241" t="str">
        <f ca="1">_xlfn.IFNA(INDEX(VendorList[PA ID],MATCH(ChangeTrack[[#This Row],[Contract ID]],VendorList[Contract ID],0)),"")</f>
        <v>200.010.F1</v>
      </c>
      <c r="M97" s="1297"/>
      <c r="N97" s="1298"/>
      <c r="O97" s="1299"/>
      <c r="P97" s="646"/>
    </row>
    <row r="98" spans="2:16" s="132" customFormat="1">
      <c r="B98" s="904" t="s">
        <v>527</v>
      </c>
      <c r="C98" s="241">
        <f ca="1">IFERROR(INDEX(VendorList[Contract ID],MATCH(ChangeTrack[[#This Row],[Vendor / Org.]],VendorList[Vendor / Org. with Contract ID],0)),"")</f>
        <v>34413</v>
      </c>
      <c r="D98" s="134" t="s">
        <v>106</v>
      </c>
      <c r="E98" s="130">
        <v>45180</v>
      </c>
      <c r="F98" s="1296">
        <v>82800</v>
      </c>
      <c r="G98" s="78" t="s">
        <v>689</v>
      </c>
      <c r="H98" s="133" t="s">
        <v>79</v>
      </c>
      <c r="I98" s="563" t="s">
        <v>690</v>
      </c>
      <c r="J98" s="645"/>
      <c r="K98" s="241" t="str">
        <f ca="1">_xlfn.IFNA(INDEX(VendorList[PA ID],MATCH(ChangeTrack[[#This Row],[Contract ID]],VendorList[Contract ID],0)),"")</f>
        <v>200.010.F1</v>
      </c>
      <c r="M98" s="1297"/>
      <c r="N98" s="1298"/>
      <c r="O98" s="1299"/>
      <c r="P98" s="646"/>
    </row>
    <row r="99" spans="2:16" s="132" customFormat="1">
      <c r="B99" s="904" t="s">
        <v>527</v>
      </c>
      <c r="C99" s="241">
        <f ca="1">IFERROR(INDEX(VendorList[Contract ID],MATCH(ChangeTrack[[#This Row],[Vendor / Org.]],VendorList[Vendor / Org. with Contract ID],0)),"")</f>
        <v>34413</v>
      </c>
      <c r="D99" s="134" t="s">
        <v>106</v>
      </c>
      <c r="E99" s="130">
        <v>45187</v>
      </c>
      <c r="F99" s="1296">
        <v>41975</v>
      </c>
      <c r="G99" s="78" t="s">
        <v>691</v>
      </c>
      <c r="H99" s="133" t="s">
        <v>79</v>
      </c>
      <c r="I99" s="563" t="s">
        <v>692</v>
      </c>
      <c r="J99" s="645"/>
      <c r="K99" s="241" t="str">
        <f ca="1">_xlfn.IFNA(INDEX(VendorList[PA ID],MATCH(ChangeTrack[[#This Row],[Contract ID]],VendorList[Contract ID],0)),"")</f>
        <v>200.010.F1</v>
      </c>
      <c r="M99" s="1297"/>
      <c r="N99" s="1298"/>
      <c r="O99" s="1299"/>
      <c r="P99" s="646"/>
    </row>
    <row r="100" spans="2:16" s="132" customFormat="1">
      <c r="B100" s="963" t="s">
        <v>693</v>
      </c>
      <c r="C100" s="391"/>
      <c r="D100" s="964" t="s">
        <v>110</v>
      </c>
      <c r="E100" s="965">
        <v>45190</v>
      </c>
      <c r="F100" s="966"/>
      <c r="G100" s="967" t="s">
        <v>694</v>
      </c>
      <c r="H100" s="968"/>
      <c r="I100" s="969"/>
      <c r="J100" s="970"/>
      <c r="K100" s="391" t="str">
        <f ca="1">_xlfn.IFNA(INDEX(VendorList[PA ID],MATCH(ChangeTrack[[#This Row],[Contract ID]],VendorList[Contract ID],0)),"")</f>
        <v/>
      </c>
      <c r="M100" s="971"/>
      <c r="N100" s="972"/>
      <c r="O100" s="973"/>
      <c r="P100" s="974"/>
    </row>
    <row r="101" spans="2:16" s="979" customFormat="1">
      <c r="B101" s="980" t="s">
        <v>527</v>
      </c>
      <c r="C101" s="241">
        <f ca="1">IFERROR(INDEX(VendorList[Contract ID],MATCH(ChangeTrack[[#This Row],[Vendor / Org.]],VendorList[Vendor / Org. with Contract ID],0)),"")</f>
        <v>34413</v>
      </c>
      <c r="D101" s="134" t="s">
        <v>106</v>
      </c>
      <c r="E101" s="130">
        <v>45217</v>
      </c>
      <c r="F101" s="1296">
        <v>0</v>
      </c>
      <c r="G101" s="78" t="s">
        <v>695</v>
      </c>
      <c r="H101" s="133"/>
      <c r="I101" s="563" t="s">
        <v>696</v>
      </c>
      <c r="J101" s="645"/>
      <c r="K101" s="241" t="str">
        <f ca="1">_xlfn.IFNA(INDEX(VendorList[PA ID],MATCH(ChangeTrack[[#This Row],[Contract ID]],VendorList[Contract ID],0)),"")</f>
        <v>200.010.F1</v>
      </c>
      <c r="M101" s="1297"/>
      <c r="N101" s="1298"/>
      <c r="O101" s="1299"/>
      <c r="P101" s="981"/>
    </row>
    <row r="102" spans="2:16" s="979" customFormat="1">
      <c r="B102" s="980" t="s">
        <v>528</v>
      </c>
      <c r="C102" s="241">
        <f ca="1">IFERROR(INDEX(VendorList[Contract ID],MATCH(ChangeTrack[[#This Row],[Vendor / Org.]],VendorList[Vendor / Org. with Contract ID],0)),"")</f>
        <v>36168</v>
      </c>
      <c r="D102" s="134" t="s">
        <v>106</v>
      </c>
      <c r="E102" s="130">
        <v>45218</v>
      </c>
      <c r="F102" s="1296">
        <v>0</v>
      </c>
      <c r="G102" s="78" t="s">
        <v>697</v>
      </c>
      <c r="H102" s="133" t="s">
        <v>74</v>
      </c>
      <c r="I102" s="563" t="s">
        <v>675</v>
      </c>
      <c r="J102" s="645"/>
      <c r="K102" s="241" t="str">
        <f ca="1">_xlfn.IFNA(INDEX(VendorList[PA ID],MATCH(ChangeTrack[[#This Row],[Contract ID]],VendorList[Contract ID],0)),"")</f>
        <v>200.050.F1</v>
      </c>
      <c r="M102" s="1297"/>
      <c r="N102" s="1298"/>
      <c r="O102" s="1299"/>
      <c r="P102" s="981"/>
    </row>
    <row r="103" spans="2:16" s="979" customFormat="1">
      <c r="B103" s="980" t="s">
        <v>693</v>
      </c>
      <c r="C103" s="241" t="str">
        <f ca="1">IFERROR(INDEX(VendorList[Contract ID],MATCH(ChangeTrack[[#This Row],[Vendor / Org.]],VendorList[Vendor / Org. with Contract ID],0)),"")</f>
        <v>Direct Pay</v>
      </c>
      <c r="D103" s="134" t="s">
        <v>110</v>
      </c>
      <c r="E103" s="130">
        <v>45199</v>
      </c>
      <c r="F103" s="1296"/>
      <c r="G103" s="78"/>
      <c r="H103" s="133"/>
      <c r="I103" s="563"/>
      <c r="J103" s="645"/>
      <c r="K103" s="241" t="str">
        <f ca="1">_xlfn.IFNA(INDEX(VendorList[PA ID],MATCH(ChangeTrack[[#This Row],[Contract ID]],VendorList[Contract ID],0)),"")</f>
        <v>500.010.F1</v>
      </c>
      <c r="M103" s="1297"/>
      <c r="N103" s="1298"/>
      <c r="O103" s="1299"/>
      <c r="P103" s="981"/>
    </row>
    <row r="104" spans="2:16" s="979" customFormat="1">
      <c r="B104" s="980" t="s">
        <v>698</v>
      </c>
      <c r="C104" s="241">
        <f ca="1">IFERROR(INDEX(VendorList[Contract ID],MATCH(ChangeTrack[[#This Row],[Vendor / Org.]],VendorList[Vendor / Org. with Contract ID],0)),"")</f>
        <v>40467</v>
      </c>
      <c r="D104" s="134" t="s">
        <v>106</v>
      </c>
      <c r="E104" s="130">
        <v>45217</v>
      </c>
      <c r="F104" s="1296">
        <v>620</v>
      </c>
      <c r="G104" s="78" t="s">
        <v>699</v>
      </c>
      <c r="H104" s="133" t="s">
        <v>74</v>
      </c>
      <c r="I104" s="563" t="s">
        <v>700</v>
      </c>
      <c r="J104" s="645"/>
      <c r="K104" s="241" t="str">
        <f ca="1">_xlfn.IFNA(INDEX(VendorList[PA ID],MATCH(ChangeTrack[[#This Row],[Contract ID]],VendorList[Contract ID],0)),"")</f>
        <v>400.030.F1</v>
      </c>
      <c r="M104" s="1297"/>
      <c r="N104" s="1298"/>
      <c r="O104" s="1299"/>
      <c r="P104" s="981"/>
    </row>
    <row r="105" spans="2:16" s="979" customFormat="1">
      <c r="B105" s="980" t="s">
        <v>698</v>
      </c>
      <c r="C105" s="241">
        <f ca="1">IFERROR(INDEX(VendorList[Contract ID],MATCH(ChangeTrack[[#This Row],[Vendor / Org.]],VendorList[Vendor / Org. with Contract ID],0)),"")</f>
        <v>40467</v>
      </c>
      <c r="D105" s="134" t="s">
        <v>106</v>
      </c>
      <c r="E105" s="130">
        <v>45222</v>
      </c>
      <c r="F105" s="1296">
        <v>1968</v>
      </c>
      <c r="G105" s="78" t="s">
        <v>701</v>
      </c>
      <c r="H105" s="133" t="s">
        <v>74</v>
      </c>
      <c r="I105" s="563" t="s">
        <v>702</v>
      </c>
      <c r="J105" s="645"/>
      <c r="K105" s="241" t="str">
        <f ca="1">_xlfn.IFNA(INDEX(VendorList[PA ID],MATCH(ChangeTrack[[#This Row],[Contract ID]],VendorList[Contract ID],0)),"")</f>
        <v>400.030.F1</v>
      </c>
      <c r="M105" s="1297"/>
      <c r="N105" s="1298"/>
      <c r="O105" s="1299"/>
      <c r="P105" s="981"/>
    </row>
    <row r="106" spans="2:16" s="979" customFormat="1">
      <c r="B106" s="980" t="s">
        <v>683</v>
      </c>
      <c r="C106" s="241">
        <f ca="1">IFERROR(INDEX(VendorList[Contract ID],MATCH(ChangeTrack[[#This Row],[Vendor / Org.]],VendorList[Vendor / Org. with Contract ID],0)),"")</f>
        <v>40381</v>
      </c>
      <c r="D106" s="134" t="s">
        <v>106</v>
      </c>
      <c r="E106" s="130">
        <v>45230</v>
      </c>
      <c r="F106" s="1296">
        <v>812.6</v>
      </c>
      <c r="G106" s="78" t="s">
        <v>703</v>
      </c>
      <c r="H106" s="133" t="s">
        <v>74</v>
      </c>
      <c r="I106" s="563" t="s">
        <v>704</v>
      </c>
      <c r="J106" s="645"/>
      <c r="K106" s="241" t="str">
        <f ca="1">_xlfn.IFNA(INDEX(VendorList[PA ID],MATCH(ChangeTrack[[#This Row],[Contract ID]],VendorList[Contract ID],0)),"")</f>
        <v>400.020.F1</v>
      </c>
      <c r="M106" s="1297"/>
      <c r="N106" s="1298"/>
      <c r="O106" s="1299"/>
      <c r="P106" s="646"/>
    </row>
    <row r="107" spans="2:16" s="979" customFormat="1">
      <c r="B107" s="980" t="s">
        <v>666</v>
      </c>
      <c r="C107" s="241">
        <f ca="1">IFERROR(INDEX(VendorList[Contract ID],MATCH(ChangeTrack[[#This Row],[Vendor / Org.]],VendorList[Vendor / Org. with Contract ID],0)),"")</f>
        <v>39170</v>
      </c>
      <c r="D107" s="134" t="s">
        <v>106</v>
      </c>
      <c r="E107" s="130">
        <v>45189</v>
      </c>
      <c r="F107" s="1296">
        <v>27500</v>
      </c>
      <c r="G107" s="78" t="s">
        <v>705</v>
      </c>
      <c r="H107" s="133" t="s">
        <v>74</v>
      </c>
      <c r="I107" s="563"/>
      <c r="J107" s="645"/>
      <c r="K107" s="241" t="str">
        <f ca="1">_xlfn.IFNA(INDEX(VendorList[PA ID],MATCH(ChangeTrack[[#This Row],[Contract ID]],VendorList[Contract ID],0)),"")</f>
        <v>200.050.F1</v>
      </c>
      <c r="M107" s="1297"/>
      <c r="N107" s="1298"/>
      <c r="O107" s="1299"/>
      <c r="P107" s="646"/>
    </row>
    <row r="108" spans="2:16" s="979" customFormat="1" ht="27.95">
      <c r="B108" s="986" t="s">
        <v>683</v>
      </c>
      <c r="C108" s="241">
        <f ca="1">IFERROR(INDEX(VendorList[Contract ID],MATCH(ChangeTrack[[#This Row],[Vendor / Org.]],VendorList[Vendor / Org. with Contract ID],0)),"")</f>
        <v>40381</v>
      </c>
      <c r="D108" s="134" t="s">
        <v>106</v>
      </c>
      <c r="E108" s="130">
        <v>45254</v>
      </c>
      <c r="F108" s="1296">
        <v>1951.26</v>
      </c>
      <c r="G108" s="78" t="s">
        <v>706</v>
      </c>
      <c r="H108" s="133" t="s">
        <v>79</v>
      </c>
      <c r="I108" s="563" t="s">
        <v>707</v>
      </c>
      <c r="J108" s="645"/>
      <c r="K108" s="241" t="str">
        <f ca="1">_xlfn.IFNA(INDEX(VendorList[PA ID],MATCH(ChangeTrack[[#This Row],[Contract ID]],VendorList[Contract ID],0)),"")</f>
        <v>400.020.F1</v>
      </c>
      <c r="M108" s="1297"/>
      <c r="N108" s="1298"/>
      <c r="O108" s="1299"/>
      <c r="P108" s="646"/>
    </row>
    <row r="109" spans="2:16" s="979" customFormat="1">
      <c r="B109" s="986" t="s">
        <v>666</v>
      </c>
      <c r="C109" s="241">
        <f ca="1">IFERROR(INDEX(VendorList[Contract ID],MATCH(ChangeTrack[[#This Row],[Vendor / Org.]],VendorList[Vendor / Org. with Contract ID],0)),"")</f>
        <v>39170</v>
      </c>
      <c r="D109" s="134" t="s">
        <v>106</v>
      </c>
      <c r="E109" s="130">
        <v>45253</v>
      </c>
      <c r="F109" s="1296">
        <v>12485.7</v>
      </c>
      <c r="G109" s="78" t="s">
        <v>708</v>
      </c>
      <c r="H109" s="133" t="s">
        <v>79</v>
      </c>
      <c r="I109" s="563" t="s">
        <v>709</v>
      </c>
      <c r="J109" s="645"/>
      <c r="K109" s="241" t="str">
        <f ca="1">_xlfn.IFNA(INDEX(VendorList[PA ID],MATCH(ChangeTrack[[#This Row],[Contract ID]],VendorList[Contract ID],0)),"")</f>
        <v>200.050.F1</v>
      </c>
      <c r="M109" s="1297"/>
      <c r="N109" s="1298"/>
      <c r="O109" s="1299"/>
      <c r="P109" s="646"/>
    </row>
    <row r="110" spans="2:16" s="979" customFormat="1">
      <c r="B110" s="986" t="s">
        <v>710</v>
      </c>
      <c r="C110" s="241" t="str">
        <f ca="1">IFERROR(INDEX(VendorList[Contract ID],MATCH(ChangeTrack[[#This Row],[Vendor / Org.]],VendorList[Vendor / Org. with Contract ID],0)),"")</f>
        <v>Direct Pay</v>
      </c>
      <c r="D110" s="134" t="s">
        <v>106</v>
      </c>
      <c r="E110" s="130">
        <v>45320</v>
      </c>
      <c r="F110" s="1296">
        <v>681.4</v>
      </c>
      <c r="G110" s="78"/>
      <c r="H110" s="133" t="s">
        <v>66</v>
      </c>
      <c r="I110" s="563"/>
      <c r="J110" s="645"/>
      <c r="K110" s="241" t="str">
        <f ca="1">_xlfn.IFNA(INDEX(VendorList[PA ID],MATCH(ChangeTrack[[#This Row],[Contract ID]],VendorList[Contract ID],0)),"")</f>
        <v>500.010.F1</v>
      </c>
      <c r="M110" s="1297"/>
      <c r="N110" s="1298"/>
      <c r="O110" s="1299"/>
      <c r="P110" s="646"/>
    </row>
    <row r="111" spans="2:16" s="979" customFormat="1">
      <c r="B111" s="986" t="s">
        <v>711</v>
      </c>
      <c r="C111" s="241" t="str">
        <f ca="1">IFERROR(INDEX(VendorList[Contract ID],MATCH(ChangeTrack[[#This Row],[Vendor / Org.]],VendorList[Vendor / Org. with Contract ID],0)),"")</f>
        <v>Direct Pay</v>
      </c>
      <c r="D111" s="134" t="s">
        <v>106</v>
      </c>
      <c r="E111" s="130">
        <v>45321</v>
      </c>
      <c r="F111" s="1296">
        <v>-2087.2600000000002</v>
      </c>
      <c r="G111" s="78"/>
      <c r="H111" s="133" t="s">
        <v>66</v>
      </c>
      <c r="I111" s="563"/>
      <c r="J111" s="645"/>
      <c r="K111" s="241" t="str">
        <f ca="1">_xlfn.IFNA(INDEX(VendorList[PA ID],MATCH(ChangeTrack[[#This Row],[Contract ID]],VendorList[Contract ID],0)),"")</f>
        <v>500.010.F1</v>
      </c>
      <c r="M111" s="1297"/>
      <c r="N111" s="1298"/>
      <c r="O111" s="1299"/>
      <c r="P111" s="646"/>
    </row>
    <row r="112" spans="2:16" s="979" customFormat="1" ht="27.95">
      <c r="B112" s="986" t="s">
        <v>683</v>
      </c>
      <c r="C112" s="241">
        <f ca="1">IFERROR(INDEX(VendorList[Contract ID],MATCH(ChangeTrack[[#This Row],[Vendor / Org.]],VendorList[Vendor / Org. with Contract ID],0)),"")</f>
        <v>40381</v>
      </c>
      <c r="D112" s="134" t="s">
        <v>106</v>
      </c>
      <c r="E112" s="130">
        <v>45266</v>
      </c>
      <c r="F112" s="1296">
        <v>26861.8</v>
      </c>
      <c r="G112" s="78" t="s">
        <v>712</v>
      </c>
      <c r="H112" s="133" t="s">
        <v>79</v>
      </c>
      <c r="I112" s="563" t="s">
        <v>713</v>
      </c>
      <c r="J112" s="645"/>
      <c r="K112" s="241" t="str">
        <f ca="1">_xlfn.IFNA(INDEX(VendorList[PA ID],MATCH(ChangeTrack[[#This Row],[Contract ID]],VendorList[Contract ID],0)),"")</f>
        <v>400.020.F1</v>
      </c>
      <c r="M112" s="1297"/>
      <c r="N112" s="1298"/>
      <c r="O112" s="1299"/>
      <c r="P112" s="646"/>
    </row>
    <row r="113" spans="2:16" s="979" customFormat="1">
      <c r="B113" s="986" t="s">
        <v>679</v>
      </c>
      <c r="C113" s="241" t="str">
        <f ca="1">IFERROR(INDEX(VendorList[Contract ID],MATCH(ChangeTrack[[#This Row],[Vendor / Org.]],VendorList[Vendor / Org. with Contract ID],0)),"")</f>
        <v>IUT</v>
      </c>
      <c r="D113" s="134" t="s">
        <v>106</v>
      </c>
      <c r="E113" s="130">
        <v>45271</v>
      </c>
      <c r="F113" s="1296">
        <v>6969</v>
      </c>
      <c r="G113" s="78" t="s">
        <v>554</v>
      </c>
      <c r="H113" s="133" t="s">
        <v>79</v>
      </c>
      <c r="I113" s="563" t="s">
        <v>714</v>
      </c>
      <c r="J113" s="645"/>
      <c r="K113" s="241" t="str">
        <f ca="1">_xlfn.IFNA(INDEX(VendorList[PA ID],MATCH(ChangeTrack[[#This Row],[Contract ID]],VendorList[Contract ID],0)),"")</f>
        <v>400.020.F1</v>
      </c>
      <c r="M113" s="1297"/>
      <c r="N113" s="1298"/>
      <c r="O113" s="1299"/>
      <c r="P113" s="646"/>
    </row>
    <row r="114" spans="2:16" s="979" customFormat="1">
      <c r="B114" s="986" t="s">
        <v>527</v>
      </c>
      <c r="C114" s="241">
        <f ca="1">IFERROR(INDEX(VendorList[Contract ID],MATCH(ChangeTrack[[#This Row],[Vendor / Org.]],VendorList[Vendor / Org. with Contract ID],0)),"")</f>
        <v>34413</v>
      </c>
      <c r="D114" s="134" t="s">
        <v>106</v>
      </c>
      <c r="E114" s="130">
        <v>45329</v>
      </c>
      <c r="F114" s="1296">
        <f ca="1">27650+16900+11580</f>
        <v>56130</v>
      </c>
      <c r="G114" s="78" t="s">
        <v>715</v>
      </c>
      <c r="H114" s="133" t="s">
        <v>79</v>
      </c>
      <c r="I114" s="979" t="s">
        <v>716</v>
      </c>
      <c r="J114" s="645"/>
      <c r="K114" s="241" t="str">
        <f ca="1">_xlfn.IFNA(INDEX(VendorList[PA ID],MATCH(ChangeTrack[[#This Row],[Contract ID]],VendorList[Contract ID],0)),"")</f>
        <v>200.010.F1</v>
      </c>
      <c r="M114" s="1297"/>
      <c r="N114" s="1298"/>
      <c r="O114" s="1299"/>
      <c r="P114" s="646"/>
    </row>
    <row r="115" spans="2:16" s="979" customFormat="1">
      <c r="B115" s="986" t="s">
        <v>624</v>
      </c>
      <c r="C115" s="241">
        <f ca="1">IFERROR(INDEX(VendorList[Contract ID],MATCH(ChangeTrack[[#This Row],[Vendor / Org.]],VendorList[Vendor / Org. with Contract ID],0)),"")</f>
        <v>34489</v>
      </c>
      <c r="D115" s="134" t="s">
        <v>106</v>
      </c>
      <c r="E115" s="130">
        <v>45168</v>
      </c>
      <c r="F115" s="1296">
        <v>32742</v>
      </c>
      <c r="G115" s="78" t="s">
        <v>595</v>
      </c>
      <c r="H115" s="133" t="s">
        <v>79</v>
      </c>
      <c r="I115" s="563" t="s">
        <v>717</v>
      </c>
      <c r="J115" s="645"/>
      <c r="K115" s="241" t="str">
        <f ca="1">_xlfn.IFNA(INDEX(VendorList[PA ID],MATCH(ChangeTrack[[#This Row],[Contract ID]],VendorList[Contract ID],0)),"")</f>
        <v>200.040.F1</v>
      </c>
      <c r="M115" s="1297"/>
      <c r="N115" s="1298"/>
      <c r="O115" s="1299"/>
      <c r="P115" s="646"/>
    </row>
    <row r="116" spans="2:16" s="979" customFormat="1">
      <c r="B116" s="986" t="s">
        <v>718</v>
      </c>
      <c r="C116" s="241" t="str">
        <f ca="1">IFERROR(INDEX(VendorList[Contract ID],MATCH(ChangeTrack[[#This Row],[Vendor / Org.]],VendorList[Vendor / Org. with Contract ID],0)),"")</f>
        <v>Direct Pay</v>
      </c>
      <c r="D116" s="134" t="s">
        <v>106</v>
      </c>
      <c r="E116" s="130">
        <v>45329</v>
      </c>
      <c r="F116" s="1296">
        <v>620</v>
      </c>
      <c r="G116" s="78" t="s">
        <v>719</v>
      </c>
      <c r="H116" s="133" t="s">
        <v>79</v>
      </c>
      <c r="I116" s="563" t="s">
        <v>720</v>
      </c>
      <c r="J116" s="645"/>
      <c r="K116" s="241" t="str">
        <f ca="1">_xlfn.IFNA(INDEX(VendorList[PA ID],MATCH(ChangeTrack[[#This Row],[Contract ID]],VendorList[Contract ID],0)),"")</f>
        <v>500.010.F1</v>
      </c>
      <c r="M116" s="1297"/>
      <c r="N116" s="1298"/>
      <c r="O116" s="1299"/>
      <c r="P116" s="646"/>
    </row>
    <row r="117" spans="2:16" s="979" customFormat="1">
      <c r="B117" s="986" t="s">
        <v>666</v>
      </c>
      <c r="C117" s="241">
        <f ca="1">IFERROR(INDEX(VendorList[Contract ID],MATCH(ChangeTrack[[#This Row],[Vendor / Org.]],VendorList[Vendor / Org. with Contract ID],0)),"")</f>
        <v>39170</v>
      </c>
      <c r="D117" s="134" t="s">
        <v>106</v>
      </c>
      <c r="E117" s="130">
        <v>45314</v>
      </c>
      <c r="F117" s="1296">
        <v>7500</v>
      </c>
      <c r="G117" s="78" t="s">
        <v>721</v>
      </c>
      <c r="H117" s="133" t="s">
        <v>79</v>
      </c>
      <c r="I117" s="563" t="s">
        <v>722</v>
      </c>
      <c r="J117" s="645"/>
      <c r="K117" s="241" t="str">
        <f ca="1">_xlfn.IFNA(INDEX(VendorList[PA ID],MATCH(ChangeTrack[[#This Row],[Contract ID]],VendorList[Contract ID],0)),"")</f>
        <v>200.050.F1</v>
      </c>
      <c r="M117" s="1297"/>
      <c r="N117" s="1298"/>
      <c r="O117" s="1299"/>
      <c r="P117" s="646"/>
    </row>
    <row r="118" spans="2:16" s="979" customFormat="1">
      <c r="B118" s="986" t="s">
        <v>528</v>
      </c>
      <c r="C118" s="241">
        <f ca="1">IFERROR(INDEX(VendorList[Contract ID],MATCH(ChangeTrack[[#This Row],[Vendor / Org.]],VendorList[Vendor / Org. with Contract ID],0)),"")</f>
        <v>36168</v>
      </c>
      <c r="D118" s="134" t="s">
        <v>106</v>
      </c>
      <c r="E118" s="130">
        <v>45330</v>
      </c>
      <c r="F118" s="1049">
        <v>-27689</v>
      </c>
      <c r="G118" s="78" t="s">
        <v>723</v>
      </c>
      <c r="H118" s="133" t="s">
        <v>66</v>
      </c>
      <c r="I118" s="563" t="s">
        <v>724</v>
      </c>
      <c r="J118" s="645"/>
      <c r="K118" s="241" t="str">
        <f ca="1">_xlfn.IFNA(INDEX(VendorList[PA ID],MATCH(ChangeTrack[[#This Row],[Contract ID]],VendorList[Contract ID],0)),"")</f>
        <v>200.050.F1</v>
      </c>
      <c r="M118" s="1297"/>
      <c r="N118" s="1298"/>
      <c r="O118" s="1299"/>
      <c r="P118" s="646"/>
    </row>
    <row r="119" spans="2:16" s="979" customFormat="1">
      <c r="B119" s="986" t="s">
        <v>597</v>
      </c>
      <c r="C119" s="241">
        <f ca="1">IFERROR(INDEX(VendorList[Contract ID],MATCH(ChangeTrack[[#This Row],[Vendor / Org.]],VendorList[Vendor / Org. with Contract ID],0)),"")</f>
        <v>38249</v>
      </c>
      <c r="D119" s="134" t="s">
        <v>106</v>
      </c>
      <c r="E119" s="130">
        <v>45337</v>
      </c>
      <c r="F119" s="1296">
        <v>296543</v>
      </c>
      <c r="G119" s="78" t="s">
        <v>620</v>
      </c>
      <c r="H119" s="133" t="s">
        <v>79</v>
      </c>
      <c r="I119" s="563" t="s">
        <v>725</v>
      </c>
      <c r="J119" s="645"/>
      <c r="K119" s="241" t="str">
        <f ca="1">_xlfn.IFNA(INDEX(VendorList[PA ID],MATCH(ChangeTrack[[#This Row],[Contract ID]],VendorList[Contract ID],0)),"")</f>
        <v>300.040.F1</v>
      </c>
      <c r="M119" s="1297"/>
      <c r="N119" s="1298"/>
      <c r="O119" s="1299"/>
      <c r="P119" s="646"/>
    </row>
    <row r="120" spans="2:16" s="979" customFormat="1">
      <c r="B120" s="986" t="s">
        <v>698</v>
      </c>
      <c r="C120" s="241">
        <f ca="1">IFERROR(INDEX(VendorList[Contract ID],MATCH(ChangeTrack[[#This Row],[Vendor / Org.]],VendorList[Vendor / Org. with Contract ID],0)),"")</f>
        <v>40467</v>
      </c>
      <c r="D120" s="134" t="s">
        <v>106</v>
      </c>
      <c r="E120" s="130">
        <v>45369</v>
      </c>
      <c r="F120" s="1296">
        <v>1250</v>
      </c>
      <c r="G120" s="78">
        <v>3</v>
      </c>
      <c r="H120" s="133" t="s">
        <v>74</v>
      </c>
      <c r="I120" s="563" t="s">
        <v>726</v>
      </c>
      <c r="J120" s="645"/>
      <c r="K120" s="241" t="str">
        <f ca="1">_xlfn.IFNA(INDEX(VendorList[PA ID],MATCH(ChangeTrack[[#This Row],[Contract ID]],VendorList[Contract ID],0)),"")</f>
        <v>400.030.F1</v>
      </c>
      <c r="M120" s="1297"/>
      <c r="N120" s="1298"/>
      <c r="O120" s="1299"/>
      <c r="P120" s="646"/>
    </row>
    <row r="121" spans="2:16" s="979" customFormat="1">
      <c r="B121" s="986" t="s">
        <v>679</v>
      </c>
      <c r="C121" s="241" t="str">
        <f ca="1">IFERROR(INDEX(VendorList[Contract ID],MATCH(ChangeTrack[[#This Row],[Vendor / Org.]],VendorList[Vendor / Org. with Contract ID],0)),"")</f>
        <v>IUT</v>
      </c>
      <c r="D121" s="134" t="s">
        <v>106</v>
      </c>
      <c r="E121" s="130">
        <v>45443</v>
      </c>
      <c r="F121" s="1296">
        <v>88135</v>
      </c>
      <c r="G121" s="78">
        <v>2</v>
      </c>
      <c r="H121" s="133" t="s">
        <v>79</v>
      </c>
      <c r="I121" s="563" t="s">
        <v>727</v>
      </c>
      <c r="J121" s="645"/>
      <c r="K121" s="241" t="str">
        <f ca="1">_xlfn.IFNA(INDEX(VendorList[PA ID],MATCH(ChangeTrack[[#This Row],[Contract ID]],VendorList[Contract ID],0)),"")</f>
        <v>400.020.F1</v>
      </c>
      <c r="M121" s="1297"/>
      <c r="N121" s="1298"/>
      <c r="O121" s="1299"/>
      <c r="P121" s="646"/>
    </row>
    <row r="122" spans="2:16" s="979" customFormat="1">
      <c r="B122" s="986" t="s">
        <v>666</v>
      </c>
      <c r="C122" s="241">
        <f ca="1">IFERROR(INDEX(VendorList[Contract ID],MATCH(ChangeTrack[[#This Row],[Vendor / Org.]],VendorList[Vendor / Org. with Contract ID],0)),"")</f>
        <v>39170</v>
      </c>
      <c r="D122" s="134" t="s">
        <v>106</v>
      </c>
      <c r="E122" s="130">
        <v>45355</v>
      </c>
      <c r="F122" s="1296">
        <v>0</v>
      </c>
      <c r="G122" s="78" t="s">
        <v>728</v>
      </c>
      <c r="H122" s="133" t="s">
        <v>79</v>
      </c>
      <c r="I122" s="563"/>
      <c r="J122" s="645"/>
      <c r="K122" s="241" t="str">
        <f ca="1">_xlfn.IFNA(INDEX(VendorList[PA ID],MATCH(ChangeTrack[[#This Row],[Contract ID]],VendorList[Contract ID],0)),"")</f>
        <v>200.050.F1</v>
      </c>
      <c r="M122" s="1297"/>
      <c r="N122" s="1298"/>
      <c r="O122" s="1299"/>
      <c r="P122" s="646"/>
    </row>
    <row r="123" spans="2:16" s="979" customFormat="1" ht="27.95">
      <c r="B123" s="986" t="s">
        <v>683</v>
      </c>
      <c r="C123" s="241">
        <f ca="1">IFERROR(INDEX(VendorList[Contract ID],MATCH(ChangeTrack[[#This Row],[Vendor / Org.]],VendorList[Vendor / Org. with Contract ID],0)),"")</f>
        <v>40381</v>
      </c>
      <c r="D123" s="134" t="s">
        <v>106</v>
      </c>
      <c r="E123" s="130">
        <v>45371</v>
      </c>
      <c r="F123" s="1296">
        <v>20670.3</v>
      </c>
      <c r="G123" s="78"/>
      <c r="H123" s="133"/>
      <c r="I123" s="563"/>
      <c r="J123" s="645"/>
      <c r="K123" s="241" t="str">
        <f ca="1">_xlfn.IFNA(INDEX(VendorList[PA ID],MATCH(ChangeTrack[[#This Row],[Contract ID]],VendorList[Contract ID],0)),"")</f>
        <v>400.020.F1</v>
      </c>
      <c r="M123" s="1297"/>
      <c r="N123" s="1298"/>
      <c r="O123" s="1299"/>
      <c r="P123" s="646"/>
    </row>
    <row r="124" spans="2:16" s="979" customFormat="1">
      <c r="B124" s="986" t="s">
        <v>729</v>
      </c>
      <c r="C124" s="241" t="str">
        <f ca="1">IFERROR(INDEX(VendorList[Contract ID],MATCH(ChangeTrack[[#This Row],[Vendor / Org.]],VendorList[Vendor / Org. with Contract ID],0)),"")</f>
        <v>Direct Pay</v>
      </c>
      <c r="D124" s="134" t="s">
        <v>106</v>
      </c>
      <c r="E124" s="130">
        <v>45401</v>
      </c>
      <c r="F124" s="1296">
        <v>440</v>
      </c>
      <c r="G124" s="78">
        <v>1</v>
      </c>
      <c r="H124" s="133" t="s">
        <v>79</v>
      </c>
      <c r="I124" s="563" t="s">
        <v>730</v>
      </c>
      <c r="J124" s="645"/>
      <c r="K124" s="241" t="str">
        <f ca="1">_xlfn.IFNA(INDEX(VendorList[PA ID],MATCH(ChangeTrack[[#This Row],[Contract ID]],VendorList[Contract ID],0)),"")</f>
        <v>500.010.F1</v>
      </c>
      <c r="M124" s="1297"/>
      <c r="N124" s="1298"/>
      <c r="O124" s="1299"/>
      <c r="P124" s="646"/>
    </row>
    <row r="125" spans="2:16" s="979" customFormat="1">
      <c r="B125" s="986" t="s">
        <v>731</v>
      </c>
      <c r="C125" s="241" t="str">
        <f ca="1">IFERROR(INDEX(VendorList[Contract ID],MATCH(ChangeTrack[[#This Row],[Vendor / Org.]],VendorList[Vendor / Org. with Contract ID],0)),"")</f>
        <v>Direct Pay</v>
      </c>
      <c r="D125" s="134" t="s">
        <v>106</v>
      </c>
      <c r="E125" s="130">
        <v>45444</v>
      </c>
      <c r="F125" s="1296">
        <v>1000</v>
      </c>
      <c r="G125" s="78"/>
      <c r="H125" s="133" t="s">
        <v>66</v>
      </c>
      <c r="I125" s="563"/>
      <c r="J125" s="645"/>
      <c r="K125" s="241" t="str">
        <f ca="1">_xlfn.IFNA(INDEX(VendorList[PA ID],MATCH(ChangeTrack[[#This Row],[Contract ID]],VendorList[Contract ID],0)),"")</f>
        <v>500.010.F1</v>
      </c>
      <c r="M125" s="1297"/>
      <c r="N125" s="1298"/>
      <c r="O125" s="1299"/>
      <c r="P125" s="646"/>
    </row>
    <row r="126" spans="2:16" s="979" customFormat="1">
      <c r="B126" s="986" t="s">
        <v>662</v>
      </c>
      <c r="C126" s="241">
        <f ca="1">IFERROR(INDEX(VendorList[Contract ID],MATCH(ChangeTrack[[#This Row],[Vendor / Org.]],VendorList[Vendor / Org. with Contract ID],0)),"")</f>
        <v>38384</v>
      </c>
      <c r="D126" s="134" t="s">
        <v>106</v>
      </c>
      <c r="E126" s="130">
        <v>45489</v>
      </c>
      <c r="F126" s="1049">
        <v>-3828</v>
      </c>
      <c r="G126" s="78" t="s">
        <v>732</v>
      </c>
      <c r="H126" s="133" t="s">
        <v>66</v>
      </c>
      <c r="I126" s="563" t="s">
        <v>733</v>
      </c>
      <c r="J126" s="645"/>
      <c r="K126" s="241" t="str">
        <f ca="1">_xlfn.IFNA(INDEX(VendorList[PA ID],MATCH(ChangeTrack[[#This Row],[Contract ID]],VendorList[Contract ID],0)),"")</f>
        <v>200.050.F1</v>
      </c>
      <c r="M126" s="1297"/>
      <c r="N126" s="1298"/>
      <c r="O126" s="1299"/>
      <c r="P126" s="646"/>
    </row>
    <row r="127" spans="2:16" s="979" customFormat="1">
      <c r="B127" s="986" t="s">
        <v>734</v>
      </c>
      <c r="C127" s="241">
        <f ca="1">IFERROR(INDEX(VendorList[Contract ID],MATCH(ChangeTrack[[#This Row],[Vendor / Org.]],VendorList[Vendor / Org. with Contract ID],0)),"")</f>
        <v>39222</v>
      </c>
      <c r="D127" s="134" t="s">
        <v>106</v>
      </c>
      <c r="E127" s="130">
        <v>45129</v>
      </c>
      <c r="F127" s="1049">
        <v>-565.4</v>
      </c>
      <c r="G127" s="78" t="s">
        <v>735</v>
      </c>
      <c r="H127" s="133" t="s">
        <v>66</v>
      </c>
      <c r="I127" s="563" t="s">
        <v>733</v>
      </c>
      <c r="J127" s="645"/>
      <c r="K127" s="241" t="str">
        <f ca="1">_xlfn.IFNA(INDEX(VendorList[PA ID],MATCH(ChangeTrack[[#This Row],[Contract ID]],VendorList[Contract ID],0)),"")</f>
        <v>200.050.F1</v>
      </c>
      <c r="M127" s="1297"/>
      <c r="N127" s="1298"/>
      <c r="O127" s="1299"/>
      <c r="P127" s="646"/>
    </row>
    <row r="128" spans="2:16" s="979" customFormat="1">
      <c r="B128" s="986" t="s">
        <v>736</v>
      </c>
      <c r="C128" s="241">
        <f ca="1">IFERROR(INDEX(VendorList[Contract ID],MATCH(ChangeTrack[[#This Row],[Vendor / Org.]],VendorList[Vendor / Org. with Contract ID],0)),"")</f>
        <v>34830</v>
      </c>
      <c r="D128" s="134" t="s">
        <v>106</v>
      </c>
      <c r="E128" s="130">
        <v>45483</v>
      </c>
      <c r="F128" s="890">
        <v>602739</v>
      </c>
      <c r="G128" s="78" t="s">
        <v>737</v>
      </c>
      <c r="H128" s="133" t="s">
        <v>70</v>
      </c>
      <c r="I128" s="563"/>
      <c r="J128" s="645"/>
      <c r="K128" s="241" t="str">
        <f ca="1">_xlfn.IFNA(INDEX(VendorList[PA ID],MATCH(ChangeTrack[[#This Row],[Contract ID]],VendorList[Contract ID],0)),"")</f>
        <v>100.010.F1</v>
      </c>
      <c r="M128" s="342"/>
      <c r="N128" s="211"/>
      <c r="O128" s="891"/>
      <c r="P128" s="646"/>
    </row>
    <row r="129" spans="2:16" s="979" customFormat="1">
      <c r="B129" s="986" t="s">
        <v>738</v>
      </c>
      <c r="C129" s="241" t="str">
        <f ca="1">IFERROR(INDEX(VendorList[Contract ID],MATCH(ChangeTrack[[#This Row],[Vendor / Org.]],VendorList[Vendor / Org. with Contract ID],0)),"")</f>
        <v>041280</v>
      </c>
      <c r="D129" s="134" t="s">
        <v>106</v>
      </c>
      <c r="E129" s="130">
        <v>45456</v>
      </c>
      <c r="F129" s="1296">
        <v>20841</v>
      </c>
      <c r="G129" s="78" t="s">
        <v>739</v>
      </c>
      <c r="H129" s="133" t="s">
        <v>79</v>
      </c>
      <c r="I129" s="563" t="s">
        <v>740</v>
      </c>
      <c r="J129" s="645"/>
      <c r="K129" s="241" t="str">
        <f ca="1">_xlfn.IFNA(INDEX(VendorList[PA ID],MATCH(ChangeTrack[[#This Row],[Contract ID]],VendorList[Contract ID],0)),"")</f>
        <v>300.040.F1</v>
      </c>
      <c r="M129" s="1297"/>
      <c r="N129" s="1298"/>
      <c r="O129" s="1299"/>
      <c r="P129" s="646"/>
    </row>
    <row r="130" spans="2:16" s="979" customFormat="1">
      <c r="B130" s="986" t="s">
        <v>527</v>
      </c>
      <c r="C130" s="241">
        <f ca="1">IFERROR(INDEX(VendorList[Contract ID],MATCH(ChangeTrack[[#This Row],[Vendor / Org.]],VendorList[Vendor / Org. with Contract ID],0)),"")</f>
        <v>34413</v>
      </c>
      <c r="D130" s="134" t="s">
        <v>106</v>
      </c>
      <c r="E130" s="130">
        <v>45350</v>
      </c>
      <c r="F130" s="1296">
        <v>16100</v>
      </c>
      <c r="G130" s="78" t="s">
        <v>741</v>
      </c>
      <c r="H130" s="133" t="s">
        <v>79</v>
      </c>
      <c r="I130" s="563" t="s">
        <v>742</v>
      </c>
      <c r="J130" s="645"/>
      <c r="K130" s="241" t="str">
        <f ca="1">_xlfn.IFNA(INDEX(VendorList[PA ID],MATCH(ChangeTrack[[#This Row],[Contract ID]],VendorList[Contract ID],0)),"")</f>
        <v>200.010.F1</v>
      </c>
      <c r="M130" s="1297"/>
      <c r="N130" s="1298"/>
      <c r="O130" s="1299"/>
      <c r="P130" s="646"/>
    </row>
    <row r="131" spans="2:16" s="979" customFormat="1">
      <c r="B131" s="986" t="s">
        <v>527</v>
      </c>
      <c r="C131" s="241">
        <f ca="1">IFERROR(INDEX(VendorList[Contract ID],MATCH(ChangeTrack[[#This Row],[Vendor / Org.]],VendorList[Vendor / Org. with Contract ID],0)),"")</f>
        <v>34413</v>
      </c>
      <c r="D131" s="134" t="s">
        <v>106</v>
      </c>
      <c r="E131" s="130">
        <v>45499</v>
      </c>
      <c r="F131" s="1296">
        <v>19750</v>
      </c>
      <c r="G131" s="78" t="s">
        <v>743</v>
      </c>
      <c r="H131" s="133" t="s">
        <v>79</v>
      </c>
      <c r="I131" s="563" t="s">
        <v>744</v>
      </c>
      <c r="J131" s="645"/>
      <c r="K131" s="241" t="str">
        <f ca="1">_xlfn.IFNA(INDEX(VendorList[PA ID],MATCH(ChangeTrack[[#This Row],[Contract ID]],VendorList[Contract ID],0)),"")</f>
        <v>200.010.F1</v>
      </c>
      <c r="M131" s="1297"/>
      <c r="N131" s="1298"/>
      <c r="O131" s="1299"/>
      <c r="P131" s="646"/>
    </row>
    <row r="132" spans="2:16" s="979" customFormat="1">
      <c r="B132" s="986" t="s">
        <v>666</v>
      </c>
      <c r="C132" s="241">
        <f ca="1">IFERROR(INDEX(VendorList[Contract ID],MATCH(ChangeTrack[[#This Row],[Vendor / Org.]],VendorList[Vendor / Org. with Contract ID],0)),"")</f>
        <v>39170</v>
      </c>
      <c r="D132" s="134" t="s">
        <v>106</v>
      </c>
      <c r="E132" s="130">
        <v>45421</v>
      </c>
      <c r="F132" s="1296">
        <v>5000</v>
      </c>
      <c r="G132" s="78" t="s">
        <v>610</v>
      </c>
      <c r="H132" s="133" t="s">
        <v>79</v>
      </c>
      <c r="I132" s="563" t="s">
        <v>745</v>
      </c>
      <c r="J132" s="645"/>
      <c r="K132" s="241" t="str">
        <f ca="1">_xlfn.IFNA(INDEX(VendorList[PA ID],MATCH(ChangeTrack[[#This Row],[Contract ID]],VendorList[Contract ID],0)),"")</f>
        <v>200.050.F1</v>
      </c>
      <c r="M132" s="1297"/>
      <c r="N132" s="1298"/>
      <c r="O132" s="1299"/>
      <c r="P132" s="646"/>
    </row>
    <row r="133" spans="2:16" s="979" customFormat="1">
      <c r="B133" s="986" t="s">
        <v>666</v>
      </c>
      <c r="C133" s="241">
        <f ca="1">IFERROR(INDEX(VendorList[Contract ID],MATCH(ChangeTrack[[#This Row],[Vendor / Org.]],VendorList[Vendor / Org. with Contract ID],0)),"")</f>
        <v>39170</v>
      </c>
      <c r="D133" s="134" t="s">
        <v>106</v>
      </c>
      <c r="E133" s="130">
        <v>45503</v>
      </c>
      <c r="F133" s="1296">
        <v>0</v>
      </c>
      <c r="G133" s="78" t="s">
        <v>746</v>
      </c>
      <c r="H133" s="133" t="s">
        <v>70</v>
      </c>
      <c r="I133" s="563" t="s">
        <v>747</v>
      </c>
      <c r="J133" s="645"/>
      <c r="K133" s="241" t="str">
        <f ca="1">_xlfn.IFNA(INDEX(VendorList[PA ID],MATCH(ChangeTrack[[#This Row],[Contract ID]],VendorList[Contract ID],0)),"")</f>
        <v>200.050.F1</v>
      </c>
      <c r="M133" s="1297"/>
      <c r="N133" s="1298"/>
      <c r="O133" s="1299"/>
      <c r="P133" s="646"/>
    </row>
    <row r="134" spans="2:16" s="979" customFormat="1">
      <c r="B134" s="986" t="s">
        <v>698</v>
      </c>
      <c r="C134" s="241">
        <f ca="1">IFERROR(INDEX(VendorList[Contract ID],MATCH(ChangeTrack[[#This Row],[Vendor / Org.]],VendorList[Vendor / Org. with Contract ID],0)),"")</f>
        <v>40467</v>
      </c>
      <c r="D134" s="134" t="s">
        <v>106</v>
      </c>
      <c r="E134" s="130">
        <v>45518</v>
      </c>
      <c r="F134" s="1296">
        <v>695</v>
      </c>
      <c r="G134" s="78" t="s">
        <v>748</v>
      </c>
      <c r="H134" s="133" t="s">
        <v>74</v>
      </c>
      <c r="I134" s="563" t="s">
        <v>749</v>
      </c>
      <c r="J134" s="645"/>
      <c r="K134" s="241" t="str">
        <f ca="1">_xlfn.IFNA(INDEX(VendorList[PA ID],MATCH(ChangeTrack[[#This Row],[Contract ID]],VendorList[Contract ID],0)),"")</f>
        <v>400.030.F1</v>
      </c>
      <c r="M134" s="1297"/>
      <c r="N134" s="1298"/>
      <c r="O134" s="1299"/>
      <c r="P134" s="646"/>
    </row>
    <row r="135" spans="2:16" s="979" customFormat="1">
      <c r="B135" s="986" t="s">
        <v>750</v>
      </c>
      <c r="C135" s="241">
        <f ca="1">IFERROR(INDEX(VendorList[Contract ID],MATCH(ChangeTrack[[#This Row],[Vendor / Org.]],VendorList[Vendor / Org. with Contract ID],0)),"")</f>
        <v>37614</v>
      </c>
      <c r="D135" s="134" t="s">
        <v>106</v>
      </c>
      <c r="E135" s="130">
        <v>45526</v>
      </c>
      <c r="F135" s="1049">
        <v>-16884</v>
      </c>
      <c r="G135" s="78" t="s">
        <v>751</v>
      </c>
      <c r="H135" s="133" t="s">
        <v>66</v>
      </c>
      <c r="I135" s="563" t="s">
        <v>733</v>
      </c>
      <c r="J135" s="645"/>
      <c r="K135" s="241" t="str">
        <f ca="1">_xlfn.IFNA(INDEX(VendorList[PA ID],MATCH(ChangeTrack[[#This Row],[Contract ID]],VendorList[Contract ID],0)),"")</f>
        <v>200.050.F1</v>
      </c>
      <c r="M135" s="1297"/>
      <c r="N135" s="1298"/>
      <c r="O135" s="1299"/>
      <c r="P135" s="646"/>
    </row>
    <row r="136" spans="2:16" s="979" customFormat="1">
      <c r="B136" s="986" t="s">
        <v>679</v>
      </c>
      <c r="C136" s="241" t="str">
        <f ca="1">IFERROR(INDEX(VendorList[Contract ID],MATCH(ChangeTrack[[#This Row],[Vendor / Org.]],VendorList[Vendor / Org. with Contract ID],0)),"")</f>
        <v>IUT</v>
      </c>
      <c r="D136" s="134" t="s">
        <v>106</v>
      </c>
      <c r="E136" s="130">
        <v>45511</v>
      </c>
      <c r="F136" s="1296">
        <v>59741</v>
      </c>
      <c r="G136" s="78"/>
      <c r="H136" s="133"/>
      <c r="I136" s="563"/>
      <c r="J136" s="645"/>
      <c r="K136" s="241" t="str">
        <f ca="1">_xlfn.IFNA(INDEX(VendorList[PA ID],MATCH(ChangeTrack[[#This Row],[Contract ID]],VendorList[Contract ID],0)),"")</f>
        <v>400.020.F1</v>
      </c>
      <c r="M136" s="1297"/>
      <c r="N136" s="1298"/>
      <c r="O136" s="1299"/>
      <c r="P136" s="646"/>
    </row>
    <row r="137" spans="2:16" s="979" customFormat="1" ht="27.95">
      <c r="B137" s="986" t="s">
        <v>683</v>
      </c>
      <c r="C137" s="241">
        <f ca="1">IFERROR(INDEX(VendorList[Contract ID],MATCH(ChangeTrack[[#This Row],[Vendor / Org.]],VendorList[Vendor / Org. with Contract ID],0)),"")</f>
        <v>40381</v>
      </c>
      <c r="D137" s="134" t="s">
        <v>106</v>
      </c>
      <c r="E137" s="130">
        <v>45477</v>
      </c>
      <c r="F137" s="1296">
        <v>137.43</v>
      </c>
      <c r="G137" s="78"/>
      <c r="H137" s="133" t="s">
        <v>79</v>
      </c>
      <c r="I137" s="563"/>
      <c r="J137" s="645"/>
      <c r="K137" s="241" t="str">
        <f ca="1">_xlfn.IFNA(INDEX(VendorList[PA ID],MATCH(ChangeTrack[[#This Row],[Contract ID]],VendorList[Contract ID],0)),"")</f>
        <v>400.020.F1</v>
      </c>
      <c r="M137" s="1297"/>
      <c r="N137" s="1298"/>
      <c r="O137" s="1299"/>
      <c r="P137" s="646"/>
    </row>
    <row r="138" spans="2:16" s="979" customFormat="1">
      <c r="B138" s="986" t="s">
        <v>527</v>
      </c>
      <c r="C138" s="241">
        <f ca="1">IFERROR(INDEX(VendorList[Contract ID],MATCH(ChangeTrack[[#This Row],[Vendor / Org.]],VendorList[Vendor / Org. with Contract ID],0)),"")</f>
        <v>34413</v>
      </c>
      <c r="D138" s="134" t="s">
        <v>106</v>
      </c>
      <c r="E138" s="130">
        <v>45555</v>
      </c>
      <c r="F138" s="1296">
        <v>28750</v>
      </c>
      <c r="G138" s="78" t="s">
        <v>752</v>
      </c>
      <c r="H138" s="133" t="s">
        <v>79</v>
      </c>
      <c r="I138" s="563" t="s">
        <v>753</v>
      </c>
      <c r="J138" s="645"/>
      <c r="K138" s="241" t="str">
        <f ca="1">_xlfn.IFNA(INDEX(VendorList[PA ID],MATCH(ChangeTrack[[#This Row],[Contract ID]],VendorList[Contract ID],0)),"")</f>
        <v>200.010.F1</v>
      </c>
      <c r="M138" s="1297"/>
      <c r="N138" s="1298"/>
      <c r="O138" s="1299"/>
      <c r="P138" s="646"/>
    </row>
    <row r="139" spans="2:16" s="979" customFormat="1">
      <c r="B139" s="986" t="s">
        <v>754</v>
      </c>
      <c r="C139" s="241" t="str">
        <f ca="1">IFERROR(INDEX(VendorList[Contract ID],MATCH(ChangeTrack[[#This Row],[Vendor / Org.]],VendorList[Vendor / Org. with Contract ID],0)),"")</f>
        <v>Direct Pay</v>
      </c>
      <c r="D139" s="134" t="s">
        <v>106</v>
      </c>
      <c r="E139" s="130">
        <v>45561</v>
      </c>
      <c r="F139" s="1296">
        <v>-1320</v>
      </c>
      <c r="G139" s="78"/>
      <c r="H139" s="133"/>
      <c r="I139" s="563"/>
      <c r="J139" s="645"/>
      <c r="K139" s="241" t="str">
        <f ca="1">_xlfn.IFNA(INDEX(VendorList[PA ID],MATCH(ChangeTrack[[#This Row],[Contract ID]],VendorList[Contract ID],0)),"")</f>
        <v>500.010.F1</v>
      </c>
      <c r="M139" s="1297"/>
      <c r="N139" s="1298"/>
      <c r="O139" s="1299"/>
      <c r="P139" s="646"/>
    </row>
    <row r="140" spans="2:16" s="979" customFormat="1">
      <c r="B140" s="986" t="s">
        <v>601</v>
      </c>
      <c r="C140" s="241" t="str">
        <f ca="1">IFERROR(INDEX(VendorList[Contract ID],MATCH(ChangeTrack[[#This Row],[Vendor / Org.]],VendorList[Vendor / Org. with Contract ID],0)),"")</f>
        <v>Direct Pay</v>
      </c>
      <c r="D140" s="134" t="s">
        <v>106</v>
      </c>
      <c r="E140" s="130">
        <v>45562</v>
      </c>
      <c r="F140" s="1296">
        <v>-950</v>
      </c>
      <c r="G140" s="78"/>
      <c r="H140" s="133"/>
      <c r="I140" s="563"/>
      <c r="J140" s="645"/>
      <c r="K140" s="241" t="str">
        <f ca="1">_xlfn.IFNA(INDEX(VendorList[PA ID],MATCH(ChangeTrack[[#This Row],[Contract ID]],VendorList[Contract ID],0)),"")</f>
        <v>500.010.F1</v>
      </c>
      <c r="M140" s="1297"/>
      <c r="N140" s="1298"/>
      <c r="O140" s="1299"/>
      <c r="P140" s="646"/>
    </row>
    <row r="141" spans="2:16" s="979" customFormat="1">
      <c r="B141" s="986" t="s">
        <v>731</v>
      </c>
      <c r="C141" s="241" t="str">
        <f ca="1">IFERROR(INDEX(VendorList[Contract ID],MATCH(ChangeTrack[[#This Row],[Vendor / Org.]],VendorList[Vendor / Org. with Contract ID],0)),"")</f>
        <v>Direct Pay</v>
      </c>
      <c r="D141" s="134" t="s">
        <v>106</v>
      </c>
      <c r="E141" s="130">
        <v>45562</v>
      </c>
      <c r="F141" s="1296">
        <v>-100</v>
      </c>
      <c r="G141" s="78"/>
      <c r="H141" s="133"/>
      <c r="I141" s="563"/>
      <c r="J141" s="645"/>
      <c r="K141" s="241" t="str">
        <f ca="1">_xlfn.IFNA(INDEX(VendorList[PA ID],MATCH(ChangeTrack[[#This Row],[Contract ID]],VendorList[Contract ID],0)),"")</f>
        <v>500.010.F1</v>
      </c>
      <c r="M141" s="1297"/>
      <c r="N141" s="1298"/>
      <c r="O141" s="1299"/>
      <c r="P141" s="646"/>
    </row>
    <row r="142" spans="2:16" s="979" customFormat="1">
      <c r="B142" s="986" t="s">
        <v>755</v>
      </c>
      <c r="C142" s="241" t="str">
        <f ca="1">IFERROR(INDEX(VendorList[Contract ID],MATCH(ChangeTrack[[#This Row],[Vendor / Org.]],VendorList[Vendor / Org. with Contract ID],0)),"")</f>
        <v>Direct Pay</v>
      </c>
      <c r="D142" s="134" t="s">
        <v>106</v>
      </c>
      <c r="E142" s="130">
        <v>45562</v>
      </c>
      <c r="F142" s="1296">
        <v>-400</v>
      </c>
      <c r="G142" s="78"/>
      <c r="H142" s="133"/>
      <c r="I142" s="563"/>
      <c r="J142" s="645"/>
      <c r="K142" s="241" t="str">
        <f ca="1">_xlfn.IFNA(INDEX(VendorList[PA ID],MATCH(ChangeTrack[[#This Row],[Contract ID]],VendorList[Contract ID],0)),"")</f>
        <v>500.010.F1</v>
      </c>
      <c r="M142" s="1297"/>
      <c r="N142" s="1298"/>
      <c r="O142" s="1299"/>
      <c r="P142" s="646"/>
    </row>
    <row r="143" spans="2:16" s="979" customFormat="1">
      <c r="B143" s="986" t="s">
        <v>527</v>
      </c>
      <c r="C143" s="241">
        <f ca="1">IFERROR(INDEX(VendorList[Contract ID],MATCH(ChangeTrack[[#This Row],[Vendor / Org.]],VendorList[Vendor / Org. with Contract ID],0)),"")</f>
        <v>34413</v>
      </c>
      <c r="D143" s="134" t="s">
        <v>106</v>
      </c>
      <c r="E143" s="130">
        <v>45573</v>
      </c>
      <c r="F143" s="1296">
        <v>36230</v>
      </c>
      <c r="G143" s="78" t="s">
        <v>756</v>
      </c>
      <c r="H143" s="133" t="s">
        <v>79</v>
      </c>
      <c r="I143" s="563" t="s">
        <v>757</v>
      </c>
      <c r="J143" s="645"/>
      <c r="K143" s="241" t="str">
        <f ca="1">_xlfn.IFNA(INDEX(VendorList[PA ID],MATCH(ChangeTrack[[#This Row],[Contract ID]],VendorList[Contract ID],0)),"")</f>
        <v>200.010.F1</v>
      </c>
      <c r="M143" s="1297"/>
      <c r="N143" s="1298"/>
      <c r="O143" s="1299"/>
      <c r="P143" s="646"/>
    </row>
    <row r="144" spans="2:16" s="979" customFormat="1">
      <c r="B144" s="986" t="s">
        <v>698</v>
      </c>
      <c r="C144" s="241">
        <f ca="1">IFERROR(INDEX(VendorList[Contract ID],MATCH(ChangeTrack[[#This Row],[Vendor / Org.]],VendorList[Vendor / Org. with Contract ID],0)),"")</f>
        <v>40467</v>
      </c>
      <c r="D144" s="134" t="s">
        <v>106</v>
      </c>
      <c r="E144" s="130">
        <v>45586</v>
      </c>
      <c r="F144" s="1049">
        <v>-380</v>
      </c>
      <c r="G144" s="78" t="s">
        <v>758</v>
      </c>
      <c r="H144" s="133" t="s">
        <v>66</v>
      </c>
      <c r="I144" s="563" t="s">
        <v>733</v>
      </c>
      <c r="J144" s="645"/>
      <c r="K144" s="241" t="str">
        <f ca="1">_xlfn.IFNA(INDEX(VendorList[PA ID],MATCH(ChangeTrack[[#This Row],[Contract ID]],VendorList[Contract ID],0)),"")</f>
        <v>400.030.F1</v>
      </c>
      <c r="M144" s="1297"/>
      <c r="N144" s="1298"/>
      <c r="O144" s="1299"/>
      <c r="P144" s="646"/>
    </row>
    <row r="145" spans="2:16" s="979" customFormat="1">
      <c r="B145" s="986" t="s">
        <v>738</v>
      </c>
      <c r="C145" s="241" t="str">
        <f ca="1">IFERROR(INDEX(VendorList[Contract ID],MATCH(ChangeTrack[[#This Row],[Vendor / Org.]],VendorList[Vendor / Org. with Contract ID],0)),"")</f>
        <v>041280</v>
      </c>
      <c r="D145" s="134" t="s">
        <v>106</v>
      </c>
      <c r="E145" s="130">
        <v>45587</v>
      </c>
      <c r="F145" s="1296">
        <v>2368.88</v>
      </c>
      <c r="G145" s="78" t="s">
        <v>759</v>
      </c>
      <c r="H145" s="133" t="s">
        <v>79</v>
      </c>
      <c r="I145" s="563"/>
      <c r="J145" s="645"/>
      <c r="K145" s="241" t="str">
        <f ca="1">_xlfn.IFNA(INDEX(VendorList[PA ID],MATCH(ChangeTrack[[#This Row],[Contract ID]],VendorList[Contract ID],0)),"")</f>
        <v>300.040.F1</v>
      </c>
      <c r="M145" s="1297"/>
      <c r="N145" s="1298"/>
      <c r="O145" s="1299"/>
      <c r="P145" s="646"/>
    </row>
    <row r="146" spans="2:16" s="979" customFormat="1">
      <c r="B146" s="986" t="s">
        <v>527</v>
      </c>
      <c r="C146" s="241">
        <f ca="1">IFERROR(INDEX(VendorList[Contract ID],MATCH(ChangeTrack[[#This Row],[Vendor / Org.]],VendorList[Vendor / Org. with Contract ID],0)),"")</f>
        <v>34413</v>
      </c>
      <c r="D146" s="134" t="s">
        <v>106</v>
      </c>
      <c r="E146" s="130">
        <v>45577</v>
      </c>
      <c r="F146" s="1296">
        <v>74400</v>
      </c>
      <c r="G146" s="78" t="s">
        <v>760</v>
      </c>
      <c r="H146" s="133" t="s">
        <v>79</v>
      </c>
      <c r="I146" s="563" t="s">
        <v>761</v>
      </c>
      <c r="J146" s="645"/>
      <c r="K146" s="241" t="str">
        <f ca="1">_xlfn.IFNA(INDEX(VendorList[PA ID],MATCH(ChangeTrack[[#This Row],[Contract ID]],VendorList[Contract ID],0)),"")</f>
        <v>200.010.F1</v>
      </c>
      <c r="M146" s="1297"/>
      <c r="N146" s="1298"/>
      <c r="O146" s="1299"/>
      <c r="P146" s="646"/>
    </row>
    <row r="147" spans="2:16" s="979" customFormat="1">
      <c r="B147" s="986" t="s">
        <v>738</v>
      </c>
      <c r="C147" s="241" t="str">
        <f ca="1">IFERROR(INDEX(VendorList[Contract ID],MATCH(ChangeTrack[[#This Row],[Vendor / Org.]],VendorList[Vendor / Org. with Contract ID],0)),"")</f>
        <v>041280</v>
      </c>
      <c r="D147" s="134" t="s">
        <v>106</v>
      </c>
      <c r="E147" s="130">
        <v>45624</v>
      </c>
      <c r="F147" s="1296">
        <v>28625</v>
      </c>
      <c r="G147" s="78" t="s">
        <v>762</v>
      </c>
      <c r="H147" s="133" t="s">
        <v>79</v>
      </c>
      <c r="I147" s="563" t="s">
        <v>763</v>
      </c>
      <c r="J147" s="645"/>
      <c r="K147" s="241" t="str">
        <f ca="1">_xlfn.IFNA(INDEX(VendorList[PA ID],MATCH(ChangeTrack[[#This Row],[Contract ID]],VendorList[Contract ID],0)),"")</f>
        <v>300.040.F1</v>
      </c>
      <c r="M147" s="1297"/>
      <c r="N147" s="1298"/>
      <c r="O147" s="1299"/>
      <c r="P147" s="646"/>
    </row>
    <row r="148" spans="2:16" s="979" customFormat="1">
      <c r="B148" s="986" t="s">
        <v>527</v>
      </c>
      <c r="C148" s="241">
        <f ca="1">IFERROR(INDEX(VendorList[Contract ID],MATCH(ChangeTrack[[#This Row],[Vendor / Org.]],VendorList[Vendor / Org. with Contract ID],0)),"")</f>
        <v>34413</v>
      </c>
      <c r="D148" s="134" t="s">
        <v>106</v>
      </c>
      <c r="E148" s="130">
        <v>45684</v>
      </c>
      <c r="F148" s="1296">
        <v>36070</v>
      </c>
      <c r="G148" s="1086" t="s">
        <v>764</v>
      </c>
      <c r="H148" s="1087" t="s">
        <v>79</v>
      </c>
      <c r="I148" s="1088" t="s">
        <v>765</v>
      </c>
      <c r="J148" s="645"/>
      <c r="K148" s="241" t="str">
        <f ca="1">_xlfn.IFNA(INDEX(VendorList[PA ID],MATCH(ChangeTrack[[#This Row],[Contract ID]],VendorList[Contract ID],0)),"")</f>
        <v>200.010.F1</v>
      </c>
      <c r="M148" s="1297"/>
      <c r="N148" s="1298"/>
      <c r="O148" s="1299"/>
      <c r="P148" s="646"/>
    </row>
    <row r="149" spans="2:16" s="979" customFormat="1">
      <c r="B149" s="986" t="s">
        <v>597</v>
      </c>
      <c r="C149" s="241">
        <f ca="1">IFERROR(INDEX(VendorList[Contract ID],MATCH(ChangeTrack[[#This Row],[Vendor / Org.]],VendorList[Vendor / Org. with Contract ID],0)),"")</f>
        <v>38249</v>
      </c>
      <c r="D149" s="134" t="s">
        <v>106</v>
      </c>
      <c r="E149" s="130">
        <v>45685</v>
      </c>
      <c r="F149" s="1296">
        <v>-49874.34</v>
      </c>
      <c r="G149" s="78"/>
      <c r="H149" s="133" t="s">
        <v>66</v>
      </c>
      <c r="I149" s="563" t="s">
        <v>766</v>
      </c>
      <c r="J149" s="645"/>
      <c r="K149" s="241" t="str">
        <f ca="1">_xlfn.IFNA(INDEX(VendorList[PA ID],MATCH(ChangeTrack[[#This Row],[Contract ID]],VendorList[Contract ID],0)),"")</f>
        <v>300.040.F1</v>
      </c>
      <c r="M149" s="1297"/>
      <c r="N149" s="1298"/>
      <c r="O149" s="1299"/>
      <c r="P149" s="646"/>
    </row>
    <row r="150" spans="2:16" s="979" customFormat="1">
      <c r="B150" s="986" t="s">
        <v>666</v>
      </c>
      <c r="C150" s="241">
        <f ca="1">IFERROR(INDEX(VendorList[Contract ID],MATCH(ChangeTrack[[#This Row],[Vendor / Org.]],VendorList[Vendor / Org. with Contract ID],0)),"")</f>
        <v>39170</v>
      </c>
      <c r="D150" s="134" t="s">
        <v>106</v>
      </c>
      <c r="E150" s="130">
        <v>45679</v>
      </c>
      <c r="F150" s="1049">
        <v>-8329.48</v>
      </c>
      <c r="G150" s="78" t="s">
        <v>767</v>
      </c>
      <c r="H150" s="133" t="s">
        <v>66</v>
      </c>
      <c r="I150" s="563" t="s">
        <v>733</v>
      </c>
      <c r="J150" s="645"/>
      <c r="K150" s="241" t="str">
        <f ca="1">_xlfn.IFNA(INDEX(VendorList[PA ID],MATCH(ChangeTrack[[#This Row],[Contract ID]],VendorList[Contract ID],0)),"")</f>
        <v>200.050.F1</v>
      </c>
      <c r="M150" s="342"/>
      <c r="N150" s="211"/>
      <c r="O150" s="891"/>
      <c r="P150" s="646"/>
    </row>
    <row r="151" spans="2:16" s="979" customFormat="1">
      <c r="B151" s="986" t="s">
        <v>527</v>
      </c>
      <c r="C151" s="241">
        <f ca="1">IFERROR(INDEX(VendorList[Contract ID],MATCH(ChangeTrack[[#This Row],[Vendor / Org.]],VendorList[Vendor / Org. with Contract ID],0)),"")</f>
        <v>34413</v>
      </c>
      <c r="D151" s="134" t="s">
        <v>106</v>
      </c>
      <c r="E151" s="130">
        <v>45708</v>
      </c>
      <c r="F151" s="1296">
        <v>10025</v>
      </c>
      <c r="G151" s="78" t="s">
        <v>768</v>
      </c>
      <c r="H151" s="133" t="s">
        <v>79</v>
      </c>
      <c r="I151" s="563" t="s">
        <v>769</v>
      </c>
      <c r="J151" s="645"/>
      <c r="K151" s="241" t="str">
        <f ca="1">_xlfn.IFNA(INDEX(VendorList[PA ID],MATCH(ChangeTrack[[#This Row],[Contract ID]],VendorList[Contract ID],0)),"")</f>
        <v>200.010.F1</v>
      </c>
      <c r="M151" s="1297"/>
      <c r="N151" s="1298"/>
      <c r="O151" s="1299"/>
      <c r="P151" s="646"/>
    </row>
    <row r="152" spans="2:16" s="979" customFormat="1">
      <c r="B152" s="986" t="s">
        <v>527</v>
      </c>
      <c r="C152" s="241">
        <f ca="1">IFERROR(INDEX(VendorList[Contract ID],MATCH(ChangeTrack[[#This Row],[Vendor / Org.]],VendorList[Vendor / Org. with Contract ID],0)),"")</f>
        <v>34413</v>
      </c>
      <c r="D152" s="134" t="s">
        <v>106</v>
      </c>
      <c r="E152" s="130">
        <v>45709</v>
      </c>
      <c r="F152" s="1296">
        <v>22375</v>
      </c>
      <c r="G152" s="1086" t="s">
        <v>770</v>
      </c>
      <c r="H152" s="1087" t="s">
        <v>79</v>
      </c>
      <c r="I152" s="1088" t="s">
        <v>771</v>
      </c>
      <c r="J152" s="645" t="s">
        <v>772</v>
      </c>
      <c r="K152" s="241" t="str">
        <f ca="1">_xlfn.IFNA(INDEX(VendorList[PA ID],MATCH(ChangeTrack[[#This Row],[Contract ID]],VendorList[Contract ID],0)),"")</f>
        <v>200.010.F1</v>
      </c>
      <c r="M152" s="1297"/>
      <c r="N152" s="1298"/>
      <c r="O152" s="1299"/>
      <c r="P152" s="646"/>
    </row>
    <row r="153" spans="2:16" s="979" customFormat="1">
      <c r="B153" s="986" t="s">
        <v>624</v>
      </c>
      <c r="C153" s="241">
        <f ca="1">IFERROR(INDEX(VendorList[Contract ID],MATCH(ChangeTrack[[#This Row],[Vendor / Org.]],VendorList[Vendor / Org. with Contract ID],0)),"")</f>
        <v>34489</v>
      </c>
      <c r="D153" s="134" t="s">
        <v>106</v>
      </c>
      <c r="E153" s="130"/>
      <c r="F153" s="1296">
        <v>106060.79</v>
      </c>
      <c r="G153" s="78" t="s">
        <v>773</v>
      </c>
      <c r="H153" s="133" t="s">
        <v>79</v>
      </c>
      <c r="I153" s="563" t="s">
        <v>774</v>
      </c>
      <c r="J153" s="645"/>
      <c r="K153" s="241" t="str">
        <f ca="1">_xlfn.IFNA(INDEX(VendorList[PA ID],MATCH(ChangeTrack[[#This Row],[Contract ID]],VendorList[Contract ID],0)),"")</f>
        <v>200.040.F1</v>
      </c>
      <c r="M153" s="1297"/>
      <c r="N153" s="1298"/>
      <c r="O153" s="1299"/>
      <c r="P153" s="646"/>
    </row>
    <row r="154" spans="2:16" s="979" customFormat="1">
      <c r="B154" s="986" t="s">
        <v>754</v>
      </c>
      <c r="C154" s="241" t="str">
        <f ca="1">IFERROR(INDEX(VendorList[Contract ID],MATCH(ChangeTrack[[#This Row],[Vendor / Org.]],VendorList[Vendor / Org. with Contract ID],0)),"")</f>
        <v>Direct Pay</v>
      </c>
      <c r="D154" s="134" t="s">
        <v>106</v>
      </c>
      <c r="E154" s="130"/>
      <c r="F154" s="1296">
        <v>65</v>
      </c>
      <c r="G154" s="78"/>
      <c r="H154" s="133"/>
      <c r="I154" s="563"/>
      <c r="J154" s="645"/>
      <c r="K154" s="241" t="str">
        <f ca="1">_xlfn.IFNA(INDEX(VendorList[PA ID],MATCH(ChangeTrack[[#This Row],[Contract ID]],VendorList[Contract ID],0)),"")</f>
        <v>500.010.F1</v>
      </c>
      <c r="M154" s="1297"/>
      <c r="N154" s="1298"/>
      <c r="O154" s="1299"/>
      <c r="P154" s="646"/>
    </row>
    <row r="155" spans="2:16" s="979" customFormat="1">
      <c r="B155" s="986" t="s">
        <v>679</v>
      </c>
      <c r="C155" s="241" t="str">
        <f ca="1">IFERROR(INDEX(VendorList[Contract ID],MATCH(ChangeTrack[[#This Row],[Vendor / Org.]],VendorList[Vendor / Org. with Contract ID],0)),"")</f>
        <v>IUT</v>
      </c>
      <c r="D155" s="134" t="s">
        <v>106</v>
      </c>
      <c r="E155" s="130"/>
      <c r="F155" s="1296">
        <v>12671</v>
      </c>
      <c r="G155" s="78"/>
      <c r="H155" s="133"/>
      <c r="I155" s="563"/>
      <c r="J155" s="645"/>
      <c r="K155" s="241" t="str">
        <f ca="1">_xlfn.IFNA(INDEX(VendorList[PA ID],MATCH(ChangeTrack[[#This Row],[Contract ID]],VendorList[Contract ID],0)),"")</f>
        <v>400.020.F1</v>
      </c>
      <c r="M155" s="1297"/>
      <c r="N155" s="1298"/>
      <c r="O155" s="1299"/>
      <c r="P155" s="646"/>
    </row>
    <row r="156" spans="2:16" s="979" customFormat="1">
      <c r="B156" s="986" t="s">
        <v>775</v>
      </c>
      <c r="C156" s="241" t="str">
        <f ca="1">IFERROR(INDEX(VendorList[Contract ID],MATCH(ChangeTrack[[#This Row],[Vendor / Org.]],VendorList[Vendor / Org. with Contract ID],0)),"")</f>
        <v>IUT</v>
      </c>
      <c r="D156" s="134" t="s">
        <v>106</v>
      </c>
      <c r="E156" s="130"/>
      <c r="F156" s="1296">
        <v>-33204.230000000003</v>
      </c>
      <c r="G156" s="78"/>
      <c r="H156" s="133"/>
      <c r="I156" s="563"/>
      <c r="J156" s="645"/>
      <c r="K156" s="241" t="str">
        <f ca="1">_xlfn.IFNA(INDEX(VendorList[PA ID],MATCH(ChangeTrack[[#This Row],[Contract ID]],VendorList[Contract ID],0)),"")</f>
        <v>400.020.F1</v>
      </c>
      <c r="M156" s="1297"/>
      <c r="N156" s="1298"/>
      <c r="O156" s="1299"/>
      <c r="P156" s="646"/>
    </row>
    <row r="157" spans="2:16" s="979" customFormat="1">
      <c r="B157" s="986" t="s">
        <v>731</v>
      </c>
      <c r="C157" s="241" t="str">
        <f ca="1">IFERROR(INDEX(VendorList[Contract ID],MATCH(ChangeTrack[[#This Row],[Vendor / Org.]],VendorList[Vendor / Org. with Contract ID],0)),"")</f>
        <v>Direct Pay</v>
      </c>
      <c r="D157" s="134" t="s">
        <v>106</v>
      </c>
      <c r="E157" s="130"/>
      <c r="F157" s="1300">
        <v>85.99</v>
      </c>
      <c r="G157" s="78"/>
      <c r="H157" s="133"/>
      <c r="I157" s="563"/>
      <c r="J157" s="645"/>
      <c r="K157" s="241" t="str">
        <f ca="1">_xlfn.IFNA(INDEX(VendorList[PA ID],MATCH(ChangeTrack[[#This Row],[Contract ID]],VendorList[Contract ID],0)),"")</f>
        <v>500.010.F1</v>
      </c>
      <c r="M157" s="1301"/>
      <c r="N157" s="1302"/>
      <c r="O157" s="1303"/>
      <c r="P157" s="646"/>
    </row>
    <row r="158" spans="2:16" s="982" customFormat="1">
      <c r="C158" s="983"/>
      <c r="E158" s="983"/>
      <c r="G158" s="983"/>
      <c r="I158" s="693"/>
    </row>
    <row r="159" spans="2:16" s="25" customFormat="1">
      <c r="B159" s="975"/>
      <c r="C159" s="976"/>
      <c r="D159" s="977"/>
      <c r="E159" s="1079" t="s">
        <v>362</v>
      </c>
      <c r="F159" s="1080">
        <f ca="1">SUBTOTAL(109,ChangeTrack[Change Value])</f>
        <v>19550029.640000012</v>
      </c>
      <c r="G159" s="977"/>
      <c r="H159" s="977"/>
      <c r="I159" s="978"/>
      <c r="J159" s="1081"/>
      <c r="K159" s="1082"/>
      <c r="L159" s="397"/>
      <c r="M159" s="1083"/>
      <c r="N159" s="1084" t="s">
        <v>362</v>
      </c>
      <c r="O159" s="1083">
        <f ca="1">SUBTOTAL(109,ChangeTrack[Amount])</f>
        <v>0</v>
      </c>
      <c r="P159" s="1083"/>
    </row>
    <row r="160" spans="2:16" s="179" customFormat="1">
      <c r="B160" s="272"/>
      <c r="C160" s="273"/>
      <c r="D160" s="273"/>
      <c r="E160" s="399" t="s">
        <v>274</v>
      </c>
      <c r="F160" s="280">
        <f ca="1">ROUND(SUM(ChangeTrack[Change Value]),2)</f>
        <v>19550029.640000001</v>
      </c>
      <c r="G160" s="273"/>
      <c r="H160" s="273"/>
      <c r="I160" s="273"/>
      <c r="J160" s="274"/>
      <c r="K160" s="274"/>
      <c r="L160" s="25"/>
      <c r="M160" s="291"/>
      <c r="N160" s="346" t="s">
        <v>274</v>
      </c>
      <c r="O160" s="291">
        <f>ROUND(SUM(O11:O100),2)</f>
        <v>0</v>
      </c>
      <c r="P160" s="291"/>
    </row>
    <row r="161" spans="2:11" s="179" customFormat="1" ht="12.4">
      <c r="C161" s="178"/>
      <c r="E161" s="178"/>
      <c r="F161" s="13"/>
      <c r="G161" s="178"/>
      <c r="H161" s="13"/>
      <c r="I161" s="182"/>
      <c r="J161" s="13"/>
      <c r="K161" s="13"/>
    </row>
    <row r="163" spans="2:11">
      <c r="B163" s="1138"/>
      <c r="C163" s="1138"/>
      <c r="D163" s="1138"/>
      <c r="E163" s="1138"/>
      <c r="F163" s="1138"/>
      <c r="G163" s="1138"/>
      <c r="H163" s="1138"/>
      <c r="I163" s="1138"/>
      <c r="J163" s="1138"/>
      <c r="K163" s="350"/>
    </row>
    <row r="167" spans="2:11">
      <c r="G167" s="36" t="s">
        <v>776</v>
      </c>
    </row>
  </sheetData>
  <sheetProtection insertRows="0" autoFilter="0"/>
  <dataConsolidate topLabels="1" link="1">
    <dataRefs count="2">
      <dataRef ref="C6:C9" sheet="PA Matrix"/>
      <dataRef ref="E6:E13" sheet="PA Matrix"/>
    </dataRefs>
  </dataConsolidate>
  <mergeCells count="2">
    <mergeCell ref="B163:J163"/>
    <mergeCell ref="M8:P9"/>
  </mergeCells>
  <phoneticPr fontId="76" type="noConversion"/>
  <dataValidations count="4">
    <dataValidation type="list" allowBlank="1" showInputMessage="1" showErrorMessage="1" sqref="B6:B8" xr:uid="{00000000-0002-0000-0500-000000000000}">
      <formula1>VendorListFullname</formula1>
    </dataValidation>
    <dataValidation type="list" allowBlank="1" showInputMessage="1" showErrorMessage="1" sqref="B12:B157" xr:uid="{00000000-0002-0000-0500-000001000000}">
      <formula1>OpenVendorList</formula1>
    </dataValidation>
    <dataValidation type="date" operator="greaterThanOrEqual" allowBlank="1" showInputMessage="1" showErrorMessage="1" sqref="P11:P157" xr:uid="{00000000-0002-0000-0500-000002000000}">
      <formula1>1</formula1>
    </dataValidation>
    <dataValidation type="date" operator="greaterThanOrEqual" allowBlank="1" showInputMessage="1" showErrorMessage="1" error="Please enter a valid date." sqref="E12:E157" xr:uid="{00000000-0002-0000-0500-000003000000}">
      <formula1>1</formula1>
    </dataValidation>
  </dataValidations>
  <pageMargins left="0.23622047244094491" right="0.23622047244094491" top="0.74803149606299213" bottom="0.74803149606299213" header="0.31496062992125984" footer="0.31496062992125984"/>
  <pageSetup paperSize="17" scale="84" fitToHeight="6" orientation="landscape" r:id="rId1"/>
  <headerFooter>
    <oddFooter>&amp;L&amp;1#&amp;"Calibri"&amp;11&amp;K000000Classification: Protected A</oddFooter>
  </headerFooter>
  <drawing r:id="rId2"/>
  <legacyDrawing r:id="rId3"/>
  <tableParts count="2">
    <tablePart r:id="rId4"/>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4000000}">
          <x14:formula1>
            <xm:f>Validations!$B$40:$B$43</xm:f>
          </x14:formula1>
          <xm:sqref>D6:D8 D11:D157</xm:sqref>
        </x14:dataValidation>
        <x14:dataValidation type="list" allowBlank="1" showInputMessage="1" showErrorMessage="1" xr:uid="{00000000-0002-0000-0500-000005000000}">
          <x14:formula1>
            <xm:f>Validations!$C$20:$C$23</xm:f>
          </x14:formula1>
          <xm:sqref>H12:H157</xm:sqref>
        </x14:dataValidation>
        <x14:dataValidation type="list" allowBlank="1" showInputMessage="1" showErrorMessage="1" xr:uid="{00000000-0002-0000-0500-000006000000}">
          <x14:formula1>
            <xm:f>Validations!$D$54:$D$57</xm:f>
          </x14:formula1>
          <xm:sqref>N11:N157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theme="2" tint="-0.499984740745262"/>
    <pageSetUpPr fitToPage="1"/>
  </sheetPr>
  <dimension ref="A2:AE843"/>
  <sheetViews>
    <sheetView showGridLines="0" zoomScale="70" zoomScaleNormal="70" workbookViewId="0">
      <pane xSplit="5" ySplit="12" topLeftCell="Q820" activePane="bottomRight" state="frozen"/>
      <selection pane="bottomRight" activeCell="E824" sqref="E824"/>
      <selection pane="bottomLeft" activeCell="A13" sqref="A13"/>
      <selection pane="topRight" activeCell="F1" sqref="F1"/>
    </sheetView>
  </sheetViews>
  <sheetFormatPr defaultColWidth="9.42578125" defaultRowHeight="14.1" outlineLevelCol="1"/>
  <cols>
    <col min="1" max="1" width="2.42578125" style="1" customWidth="1"/>
    <col min="2" max="2" width="47.42578125" style="3" customWidth="1"/>
    <col min="3" max="3" width="28.7109375" style="1" customWidth="1"/>
    <col min="4" max="4" width="21.42578125" style="1" bestFit="1" customWidth="1"/>
    <col min="5" max="5" width="23.7109375" style="1" customWidth="1"/>
    <col min="6" max="6" width="15" style="2" customWidth="1"/>
    <col min="7" max="7" width="19.7109375" style="2" customWidth="1"/>
    <col min="8" max="8" width="22.28515625" style="2" customWidth="1"/>
    <col min="9" max="9" width="16.7109375" style="1" customWidth="1"/>
    <col min="10" max="10" width="20.7109375" style="1" customWidth="1"/>
    <col min="11" max="11" width="16.28515625" style="1" customWidth="1"/>
    <col min="12" max="14" width="20" style="1" customWidth="1"/>
    <col min="15" max="15" width="15.42578125" style="1" bestFit="1" customWidth="1"/>
    <col min="16" max="16" width="21" style="2" customWidth="1" outlineLevel="1"/>
    <col min="17" max="17" width="26.42578125" style="3" customWidth="1" outlineLevel="1"/>
    <col min="18" max="18" width="20.7109375" style="3" customWidth="1" outlineLevel="1"/>
    <col min="19" max="19" width="17.42578125" style="3" customWidth="1" outlineLevel="1"/>
    <col min="20" max="20" width="14.42578125" style="3" customWidth="1" outlineLevel="1"/>
    <col min="21" max="21" width="17.42578125" style="1" bestFit="1" customWidth="1"/>
    <col min="22" max="22" width="12" style="1" customWidth="1"/>
    <col min="23" max="23" width="15.28515625" style="1" customWidth="1"/>
    <col min="24" max="24" width="28.42578125" style="1" customWidth="1"/>
    <col min="25" max="25" width="13.42578125" style="1" bestFit="1" customWidth="1"/>
    <col min="26" max="26" width="26" style="1" customWidth="1"/>
    <col min="27" max="27" width="15" style="1" customWidth="1"/>
    <col min="28" max="28" width="23.28515625" style="1" customWidth="1"/>
    <col min="29" max="32" width="20" style="1" customWidth="1"/>
    <col min="33" max="16384" width="9.42578125" style="1"/>
  </cols>
  <sheetData>
    <row r="2" spans="2:31" ht="23.65">
      <c r="B2" s="183" t="s">
        <v>777</v>
      </c>
      <c r="G2" s="19" t="str">
        <f>Validations!$C$6</f>
        <v>Justice Centre</v>
      </c>
      <c r="R2" s="100"/>
      <c r="S2" s="100"/>
      <c r="T2" s="100"/>
    </row>
    <row r="3" spans="2:31" s="41" customFormat="1">
      <c r="B3" s="50"/>
      <c r="F3" s="6"/>
      <c r="G3" s="6"/>
      <c r="H3" s="6"/>
      <c r="P3" s="43"/>
      <c r="R3" s="100"/>
      <c r="S3" s="100"/>
      <c r="T3" s="100"/>
    </row>
    <row r="4" spans="2:31" s="41" customFormat="1">
      <c r="B4" s="126" t="s">
        <v>524</v>
      </c>
      <c r="F4" s="6"/>
      <c r="G4" s="6"/>
      <c r="H4" s="6"/>
      <c r="I4" s="1140" t="s">
        <v>778</v>
      </c>
      <c r="J4" s="1140"/>
      <c r="P4" s="43"/>
      <c r="R4" s="100"/>
      <c r="S4" s="100"/>
      <c r="T4" s="100"/>
    </row>
    <row r="5" spans="2:31" s="2" customFormat="1">
      <c r="B5" s="412" t="s">
        <v>383</v>
      </c>
      <c r="C5" s="404" t="s">
        <v>388</v>
      </c>
      <c r="D5" s="404" t="s">
        <v>779</v>
      </c>
      <c r="E5" s="404" t="s">
        <v>390</v>
      </c>
      <c r="F5" s="404" t="s">
        <v>88</v>
      </c>
      <c r="G5" s="405" t="s">
        <v>780</v>
      </c>
      <c r="I5" s="424" t="s">
        <v>781</v>
      </c>
      <c r="J5" s="418" t="s">
        <v>782</v>
      </c>
      <c r="K5" s="425" t="s">
        <v>783</v>
      </c>
      <c r="L5" s="425" t="s">
        <v>784</v>
      </c>
      <c r="M5" s="420"/>
      <c r="N5" s="421"/>
      <c r="O5" s="420"/>
      <c r="P5" s="3"/>
      <c r="R5" s="100"/>
      <c r="S5" s="100"/>
      <c r="T5" s="100"/>
      <c r="U5" s="3"/>
      <c r="V5" s="3"/>
      <c r="W5" s="3"/>
      <c r="X5" s="3"/>
      <c r="Y5" s="3"/>
      <c r="Z5" s="3"/>
      <c r="AA5" s="3"/>
      <c r="AB5" s="3"/>
    </row>
    <row r="6" spans="2:31">
      <c r="B6" s="410" t="s">
        <v>527</v>
      </c>
      <c r="C6" s="184">
        <f ca="1">SUMIF(VendorList[Vendor / Org. with Contract ID],KeyVendorCost[[#This Row],[Vendor / Org.]],VendorList[Current Commitment])</f>
        <v>9743665.8200000003</v>
      </c>
      <c r="D6" s="184">
        <f ca="1">SUMIFS(CostTrack[Value],CostTrack[Vendor - Contract],KeyVendorCost[[#This Row],[Vendor / Org.]],CostTrack[Holdback (Y/N/R)],"&lt;&gt;Release")</f>
        <v>9659288.0199999921</v>
      </c>
      <c r="E6" s="185">
        <f ca="1">IFERROR(KeyVendorCost[[#This Row],[Billed to Date]]/KeyVendorCost[[#This Row],[Current Commitment]],"")</f>
        <v>0.99134024077192662</v>
      </c>
      <c r="F6" s="184">
        <f ca="1">SUMIF(CostTrack[Vendor - Contract],KeyVendorCost[[#This Row],[Vendor / Org.]],CostTrack[Holdback Value])*-1</f>
        <v>0</v>
      </c>
      <c r="G6" s="411">
        <f t="array" aca="1" ref="G6" ca="1">MAX(IF(CostTrack[Vendor - Contract]=KeyVendorCost[[#This Row],[Vendor / Org.]],CostTrack[Invoice Date]))</f>
        <v>45777</v>
      </c>
      <c r="I6" s="426">
        <f ca="1">SUMIFS(CostTrack[Value],CostTrack[Flag],"",CostTrack[Holdback (Y/N/R)],"&lt;&gt;Release")</f>
        <v>182727345.40000013</v>
      </c>
      <c r="J6" s="680">
        <f>SUM(J7:J8)</f>
        <v>182520917.70000002</v>
      </c>
      <c r="K6" s="427">
        <f>SUM(K8)</f>
        <v>45789</v>
      </c>
      <c r="L6" s="428">
        <f ca="1">CMSRec[Cashflow Total]-CMS_Value</f>
        <v>206427.70000010729</v>
      </c>
      <c r="M6" s="422"/>
      <c r="N6"/>
      <c r="O6" s="423"/>
      <c r="P6" s="1"/>
      <c r="R6" s="100"/>
      <c r="S6" s="100"/>
      <c r="T6" s="100"/>
    </row>
    <row r="7" spans="2:31">
      <c r="B7" s="410" t="s">
        <v>624</v>
      </c>
      <c r="C7" s="184">
        <f ca="1">SUMIF(VendorList[Vendor / Org. with Contract ID],KeyVendorCost[[#This Row],[Vendor / Org.]],VendorList[Current Commitment])</f>
        <v>518581.79</v>
      </c>
      <c r="D7" s="184">
        <f ca="1">SUMIFS(CostTrack[Value],CostTrack[Vendor - Contract],KeyVendorCost[[#This Row],[Vendor / Org.]],CostTrack[Holdback (Y/N/R)],"&lt;&gt;Release")</f>
        <v>517954.04</v>
      </c>
      <c r="E7" s="185">
        <f ca="1">IFERROR(KeyVendorCost[[#This Row],[Billed to Date]]/KeyVendorCost[[#This Row],[Current Commitment]],"")</f>
        <v>0.99878948699683423</v>
      </c>
      <c r="F7" s="184">
        <f ca="1">SUMIF(CostTrack[Vendor - Contract],KeyVendorCost[[#This Row],[Vendor / Org.]],CostTrack[Holdback Value])*-1</f>
        <v>0</v>
      </c>
      <c r="G7" s="411">
        <f t="array" aca="1" ref="G7" ca="1">MAX(IF(CostTrack[Vendor - Contract]=KeyVendorCost[[#This Row],[Vendor / Org.]],CostTrack[Invoice Date]))</f>
        <v>45782</v>
      </c>
      <c r="I7" s="675" t="s">
        <v>785</v>
      </c>
      <c r="J7" s="678">
        <v>19721670.18</v>
      </c>
      <c r="K7" s="679">
        <v>44530</v>
      </c>
      <c r="L7" s="677"/>
      <c r="M7"/>
      <c r="N7" s="419"/>
      <c r="O7"/>
      <c r="P7" s="1"/>
      <c r="R7" s="100"/>
      <c r="S7" s="100"/>
      <c r="T7" s="791"/>
    </row>
    <row r="8" spans="2:31" ht="16.5" customHeight="1">
      <c r="B8" s="584" t="s">
        <v>736</v>
      </c>
      <c r="C8" s="1304">
        <f ca="1">SUMIF(VendorList[Vendor / Org. with Contract ID],KeyVendorCost[[#This Row],[Vendor / Org.]],VendorList[Current Commitment])</f>
        <v>3577739</v>
      </c>
      <c r="D8" s="1304">
        <f ca="1">SUMIFS(CostTrack[Value],CostTrack[Vendor - Contract],KeyVendorCost[[#This Row],[Vendor / Org.]],CostTrack[Holdback (Y/N/R)],"&lt;&gt;Release")</f>
        <v>3303972.9300000006</v>
      </c>
      <c r="E8" s="1305">
        <f ca="1">IFERROR(KeyVendorCost[[#This Row],[Billed to Date]]/KeyVendorCost[[#This Row],[Current Commitment]],"")</f>
        <v>0.92348070387470993</v>
      </c>
      <c r="F8" s="1304">
        <f ca="1">SUMIF(CostTrack[Vendor - Contract],KeyVendorCost[[#This Row],[Vendor / Org.]],CostTrack[Holdback Value])*-1</f>
        <v>0</v>
      </c>
      <c r="G8" s="411">
        <f t="array" aca="1" ref="G8" ca="1">MAX(IF(CostTrack[Vendor - Contract]=KeyVendorCost[[#This Row],[Vendor / Org.]],CostTrack[Invoice Date]))</f>
        <v>45747</v>
      </c>
      <c r="I8" s="675" t="s">
        <v>786</v>
      </c>
      <c r="J8" s="1050">
        <v>162799247.52000001</v>
      </c>
      <c r="K8" s="1051">
        <v>45789</v>
      </c>
      <c r="L8" s="677"/>
      <c r="M8"/>
      <c r="N8" s="419"/>
      <c r="O8"/>
      <c r="P8" s="1"/>
      <c r="R8" s="100"/>
      <c r="S8" s="100"/>
      <c r="T8" s="100"/>
    </row>
    <row r="9" spans="2:31" ht="79.150000000000006" customHeight="1">
      <c r="B9" s="413" t="s">
        <v>529</v>
      </c>
      <c r="C9" s="414">
        <f ca="1">SUMIF(VendorList[Vendor / Org. with Contract ID],KeyVendorCost[[#This Row],[Vendor / Org.]],VendorList[Current Commitment])</f>
        <v>154314591.42000002</v>
      </c>
      <c r="D9" s="414">
        <f ca="1">SUMIFS(CostTrack[Value],CostTrack[Vendor - Contract],KeyVendorCost[[#This Row],[Vendor / Org.]],CostTrack[Holdback (Y/N/R)],"&lt;&gt;Release")</f>
        <v>153062832.02000001</v>
      </c>
      <c r="E9" s="415">
        <f ca="1">IFERROR(KeyVendorCost[[#This Row],[Billed to Date]]/KeyVendorCost[[#This Row],[Current Commitment]],"")</f>
        <v>0.99188826287597731</v>
      </c>
      <c r="F9" s="414">
        <f ca="1">SUMIF(CostTrack[Vendor - Contract],KeyVendorCost[[#This Row],[Vendor / Org.]],CostTrack[Holdback Value])*-1</f>
        <v>9.9999990779906511E-3</v>
      </c>
      <c r="G9" s="416">
        <f t="array" aca="1" ref="G9" ca="1">MAX(IF(CostTrack[Vendor - Contract]=KeyVendorCost[[#This Row],[Vendor / Org.]],CostTrack[Invoice Date]))</f>
        <v>45740</v>
      </c>
      <c r="I9" s="675" t="s">
        <v>787</v>
      </c>
      <c r="J9" s="1143" t="s">
        <v>788</v>
      </c>
      <c r="K9" s="1144"/>
      <c r="L9" s="1145"/>
      <c r="M9"/>
      <c r="N9"/>
      <c r="O9"/>
      <c r="P9" s="1"/>
      <c r="Q9" s="1"/>
      <c r="R9" s="1"/>
      <c r="S9" s="1"/>
      <c r="T9" s="1"/>
    </row>
    <row r="10" spans="2:31" s="41" customFormat="1">
      <c r="B10" s="285" t="s">
        <v>376</v>
      </c>
      <c r="F10" s="6"/>
      <c r="G10" s="6"/>
      <c r="H10" s="6"/>
      <c r="I10" s="3"/>
      <c r="J10" s="1"/>
      <c r="K10" s="1"/>
      <c r="L10" s="1"/>
      <c r="M10" s="1"/>
      <c r="P10" s="43"/>
      <c r="Q10" s="50"/>
      <c r="R10" s="50"/>
      <c r="S10" s="50"/>
      <c r="T10" s="50"/>
    </row>
    <row r="11" spans="2:31" s="41" customFormat="1">
      <c r="B11" s="126" t="s">
        <v>789</v>
      </c>
      <c r="E11" s="6" t="s">
        <v>321</v>
      </c>
      <c r="F11" s="6"/>
      <c r="G11" s="6" t="s">
        <v>377</v>
      </c>
      <c r="H11" s="6" t="s">
        <v>790</v>
      </c>
      <c r="R11" s="43"/>
      <c r="S11" s="50"/>
      <c r="T11" s="50"/>
      <c r="U11" s="50"/>
      <c r="V11" s="50"/>
      <c r="W11"/>
      <c r="AB11" s="1141" t="s">
        <v>791</v>
      </c>
      <c r="AC11" s="1141"/>
      <c r="AD11" s="1142"/>
    </row>
    <row r="12" spans="2:31" s="2" customFormat="1" ht="27.95">
      <c r="B12" s="403" t="s">
        <v>792</v>
      </c>
      <c r="C12" s="404" t="s">
        <v>793</v>
      </c>
      <c r="D12" s="404" t="s">
        <v>794</v>
      </c>
      <c r="E12" s="404" t="s">
        <v>795</v>
      </c>
      <c r="F12" s="404" t="s">
        <v>796</v>
      </c>
      <c r="G12" s="404" t="s">
        <v>797</v>
      </c>
      <c r="H12" s="404" t="s">
        <v>798</v>
      </c>
      <c r="I12" s="404" t="s">
        <v>799</v>
      </c>
      <c r="J12" s="404" t="s">
        <v>9</v>
      </c>
      <c r="K12" s="404" t="s">
        <v>800</v>
      </c>
      <c r="L12" s="404" t="s">
        <v>801</v>
      </c>
      <c r="M12" s="404" t="s">
        <v>802</v>
      </c>
      <c r="N12" s="404" t="s">
        <v>803</v>
      </c>
      <c r="O12" s="404" t="s">
        <v>282</v>
      </c>
      <c r="P12" s="404" t="s">
        <v>804</v>
      </c>
      <c r="Q12" s="404" t="s">
        <v>338</v>
      </c>
      <c r="R12" s="404" t="s">
        <v>7</v>
      </c>
      <c r="S12" s="404" t="s">
        <v>339</v>
      </c>
      <c r="T12" s="404" t="s">
        <v>340</v>
      </c>
      <c r="U12" s="404" t="s">
        <v>341</v>
      </c>
      <c r="V12" s="404" t="s">
        <v>13</v>
      </c>
      <c r="W12" s="404" t="s">
        <v>805</v>
      </c>
      <c r="X12" s="404" t="s">
        <v>806</v>
      </c>
      <c r="Y12" s="404" t="s">
        <v>807</v>
      </c>
      <c r="Z12" s="404" t="s">
        <v>267</v>
      </c>
      <c r="AA12" s="389" t="s">
        <v>808</v>
      </c>
      <c r="AB12" s="404" t="s">
        <v>809</v>
      </c>
      <c r="AC12" s="404" t="s">
        <v>810</v>
      </c>
      <c r="AD12" s="405" t="s">
        <v>811</v>
      </c>
      <c r="AE12" s="892" t="s">
        <v>812</v>
      </c>
    </row>
    <row r="13" spans="2:31">
      <c r="B13" s="400" t="s">
        <v>527</v>
      </c>
      <c r="C13" s="258" t="s">
        <v>813</v>
      </c>
      <c r="D13" s="260">
        <v>43251</v>
      </c>
      <c r="E13" s="282">
        <v>406894.95</v>
      </c>
      <c r="F13" s="263" t="s">
        <v>69</v>
      </c>
      <c r="G13" s="406">
        <f ca="1">ROUND(IF(CostTrack[[#This Row],[Holdback (Y/N/R)]]="Yes",CostTrack[[#This Row],[Value]]*-0.1,IF(CostTrack[[#This Row],[Holdback (Y/N/R)]]="Release",CostTrack[[#This Row],[Value]],0)),2)</f>
        <v>0</v>
      </c>
      <c r="H13" s="407">
        <f ca="1">IF(CostTrack[[#This Row],[Holdback (Y/N/R)]]="Release",CostTrack[[#This Row],[Value]],CostTrack[[#This Row],[Value]]+CostTrack[[#This Row],[Holdback Value]])</f>
        <v>406894.95</v>
      </c>
      <c r="I13" s="258">
        <v>1</v>
      </c>
      <c r="J13" s="258" t="s">
        <v>22</v>
      </c>
      <c r="K13" s="275" t="s">
        <v>814</v>
      </c>
      <c r="L13" s="260">
        <v>43252</v>
      </c>
      <c r="M13" s="260"/>
      <c r="N13" s="258"/>
      <c r="O13" s="260" t="s">
        <v>106</v>
      </c>
      <c r="P13" s="260">
        <v>43262</v>
      </c>
      <c r="Q13" s="243" t="str">
        <f ca="1">IF(CostTrack[[#This Row],[Vendor - Contract]]="","",INDEX(VendorList[PA ID],MATCH(CostTrack[[#This Row],[Vendor - Contract]],VendorList[Vendor / Org. with Contract ID],0)))</f>
        <v>200.010.F1</v>
      </c>
      <c r="R13" s="243" t="str">
        <f ca="1">IF(CostTrack[[#This Row],[Vendor - Contract]]="","",INDEX(VendorList[Primary Category],MATCH(CostTrack[[#This Row],[Vendor - Contract]],VendorList[Vendor / Org. with Contract ID],0)))</f>
        <v>Professional Services</v>
      </c>
      <c r="S13" s="243" t="str">
        <f ca="1">IF(CostTrack[[#This Row],[Vendor - Contract]]="","",INDEX(VendorList[Secondary Category],MATCH(CostTrack[[#This Row],[Vendor - Contract]],VendorList[Vendor / Org. with Contract ID],0)))</f>
        <v>Prime Consultant</v>
      </c>
      <c r="T13" s="243" t="str">
        <f ca="1">IF(CostTrack[[#This Row],[Vendor - Contract]]="","",INDEX(VendorList[Phase / Subproject],MATCH(CostTrack[[#This Row],[Vendor - Contract]],VendorList[Vendor / Org. with Contract ID],0)))</f>
        <v>--</v>
      </c>
      <c r="U13" s="243" t="str">
        <f ca="1">IF(CostTrack[[#This Row],[Vendor - Contract]]="","",INDEX(VendorList[Phase / Subproject 2],MATCH(CostTrack[[#This Row],[Vendor - Contract]],VendorList[Vendor / Org. with Contract ID],0)))</f>
        <v>--</v>
      </c>
      <c r="V13" s="243" t="str">
        <f ca="1">IF(CostTrack[[#This Row],[Vendor - Contract]]="","",INDEX(VendorList[Funding Source],MATCH(CostTrack[[#This Row],[Vendor - Contract]],VendorList[Vendor / Org. with Contract ID],0)))</f>
        <v>P-002360</v>
      </c>
      <c r="W13" s="260">
        <v>43265</v>
      </c>
      <c r="X13" s="251" t="str">
        <f ca="1">IF(CostTrack[[#This Row],[Release Date (CMS)]]="","*","")</f>
        <v/>
      </c>
      <c r="Y13" s="267" t="s">
        <v>34</v>
      </c>
      <c r="Z13" s="270"/>
      <c r="AA13" s="245">
        <f ca="1">IF(OR(CostTrack[[#This Row],[Release Date (CMS)]]&gt;=DATE(VALUE(REPLACE(CostTrack[[#This Row],[Fiscal Period]],3,3,"")),3,1),CostTrack[[#This Row],[Release Date (CMS)]]&lt;DATE(VALUE(LEFT(CostTrack[[#This Row],[Fiscal Period]],4)),4,1)),1,0)</f>
        <v>0</v>
      </c>
      <c r="AB13" s="294">
        <v>406894.95</v>
      </c>
      <c r="AC13" s="260">
        <v>44224</v>
      </c>
      <c r="AD13" s="402" t="str">
        <f ca="1">IF(CostTrack[[#This Row],[Reconciled Amount]]="","",IF(CostTrack[[#This Row],[Value]]&lt;&gt;CostTrack[[#This Row],[Reconciled Amount]],"Yes","No"))</f>
        <v>No</v>
      </c>
    </row>
    <row r="14" spans="2:31">
      <c r="B14" s="400" t="s">
        <v>548</v>
      </c>
      <c r="C14" s="258">
        <v>900244737</v>
      </c>
      <c r="D14" s="260">
        <v>43073</v>
      </c>
      <c r="E14" s="282">
        <v>44804</v>
      </c>
      <c r="F14" s="263" t="s">
        <v>69</v>
      </c>
      <c r="G14" s="406">
        <f ca="1">ROUND(IF(CostTrack[[#This Row],[Holdback (Y/N/R)]]="Yes",CostTrack[[#This Row],[Value]]*-0.1,IF(CostTrack[[#This Row],[Holdback (Y/N/R)]]="Release",CostTrack[[#This Row],[Value]],0)),2)</f>
        <v>0</v>
      </c>
      <c r="H14" s="407">
        <f ca="1">IF(CostTrack[[#This Row],[Holdback (Y/N/R)]]="Release",CostTrack[[#This Row],[Value]],CostTrack[[#This Row],[Value]]+CostTrack[[#This Row],[Holdback Value]])</f>
        <v>44804</v>
      </c>
      <c r="I14" s="258">
        <v>1</v>
      </c>
      <c r="J14" s="258" t="s">
        <v>22</v>
      </c>
      <c r="K14" s="275" t="s">
        <v>268</v>
      </c>
      <c r="L14" s="260" t="s">
        <v>815</v>
      </c>
      <c r="M14" s="260"/>
      <c r="N14" s="258"/>
      <c r="O14" s="260" t="s">
        <v>106</v>
      </c>
      <c r="P14" s="260">
        <v>43075</v>
      </c>
      <c r="Q14" s="243" t="str">
        <f ca="1">IF(CostTrack[[#This Row],[Vendor - Contract]]="","",INDEX(VendorList[PA ID],MATCH(CostTrack[[#This Row],[Vendor - Contract]],VendorList[Vendor / Org. with Contract ID],0)))</f>
        <v>200.050.F1</v>
      </c>
      <c r="R14" s="243" t="str">
        <f ca="1">IF(CostTrack[[#This Row],[Vendor - Contract]]="","",INDEX(VendorList[Primary Category],MATCH(CostTrack[[#This Row],[Vendor - Contract]],VendorList[Vendor / Org. with Contract ID],0)))</f>
        <v>Professional Services</v>
      </c>
      <c r="S14" s="243" t="str">
        <f ca="1">IF(CostTrack[[#This Row],[Vendor - Contract]]="","",INDEX(VendorList[Secondary Category],MATCH(CostTrack[[#This Row],[Vendor - Contract]],VendorList[Vendor / Org. with Contract ID],0)))</f>
        <v>Other Professional Services</v>
      </c>
      <c r="T14" s="243" t="str">
        <f ca="1">IF(CostTrack[[#This Row],[Vendor - Contract]]="","",INDEX(VendorList[Phase / Subproject],MATCH(CostTrack[[#This Row],[Vendor - Contract]],VendorList[Vendor / Org. with Contract ID],0)))</f>
        <v>--</v>
      </c>
      <c r="U14" s="243" t="str">
        <f ca="1">IF(CostTrack[[#This Row],[Vendor - Contract]]="","",INDEX(VendorList[Phase / Subproject 2],MATCH(CostTrack[[#This Row],[Vendor - Contract]],VendorList[Vendor / Org. with Contract ID],0)))</f>
        <v>--</v>
      </c>
      <c r="V14" s="243" t="str">
        <f ca="1">IF(CostTrack[[#This Row],[Vendor - Contract]]="","",INDEX(VendorList[Funding Source],MATCH(CostTrack[[#This Row],[Vendor - Contract]],VendorList[Vendor / Org. with Contract ID],0)))</f>
        <v>P-002360</v>
      </c>
      <c r="W14" s="260">
        <v>43077</v>
      </c>
      <c r="X14" s="251" t="str">
        <f ca="1">IF(CostTrack[[#This Row],[Release Date (CMS)]]="","*","")</f>
        <v/>
      </c>
      <c r="Y14" s="267" t="s">
        <v>28</v>
      </c>
      <c r="Z14" s="270"/>
      <c r="AA14" s="245">
        <f ca="1">IF(OR(CostTrack[[#This Row],[Release Date (CMS)]]&gt;=DATE(VALUE(REPLACE(CostTrack[[#This Row],[Fiscal Period]],3,3,"")),3,1),CostTrack[[#This Row],[Release Date (CMS)]]&lt;DATE(VALUE(LEFT(CostTrack[[#This Row],[Fiscal Period]],4)),4,1)),1,0)</f>
        <v>0</v>
      </c>
      <c r="AB14" s="294">
        <v>44804</v>
      </c>
      <c r="AC14" s="260">
        <v>44224</v>
      </c>
      <c r="AD14" s="402" t="str">
        <f ca="1">IF(CostTrack[[#This Row],[Reconciled Amount]]="","",IF(CostTrack[[#This Row],[Value]]&lt;&gt;CostTrack[[#This Row],[Reconciled Amount]],"Yes","No"))</f>
        <v>No</v>
      </c>
    </row>
    <row r="15" spans="2:31">
      <c r="B15" s="400" t="s">
        <v>548</v>
      </c>
      <c r="C15" s="258">
        <v>900247404</v>
      </c>
      <c r="D15" s="260">
        <v>43091</v>
      </c>
      <c r="E15" s="282">
        <v>9596</v>
      </c>
      <c r="F15" s="263" t="s">
        <v>69</v>
      </c>
      <c r="G15" s="406">
        <f ca="1">ROUND(IF(CostTrack[[#This Row],[Holdback (Y/N/R)]]="Yes",CostTrack[[#This Row],[Value]]*-0.1,IF(CostTrack[[#This Row],[Holdback (Y/N/R)]]="Release",CostTrack[[#This Row],[Value]],0)),2)</f>
        <v>0</v>
      </c>
      <c r="H15" s="407">
        <f ca="1">IF(CostTrack[[#This Row],[Holdback (Y/N/R)]]="Release",CostTrack[[#This Row],[Value]],CostTrack[[#This Row],[Value]]+CostTrack[[#This Row],[Holdback Value]])</f>
        <v>9596</v>
      </c>
      <c r="I15" s="258">
        <v>2</v>
      </c>
      <c r="J15" s="258" t="s">
        <v>22</v>
      </c>
      <c r="K15" s="275" t="s">
        <v>268</v>
      </c>
      <c r="L15" s="260" t="s">
        <v>815</v>
      </c>
      <c r="M15" s="260"/>
      <c r="N15" s="258"/>
      <c r="O15" s="260" t="s">
        <v>106</v>
      </c>
      <c r="P15" s="260">
        <v>43103</v>
      </c>
      <c r="Q15" s="243" t="str">
        <f ca="1">IF(CostTrack[[#This Row],[Vendor - Contract]]="","",INDEX(VendorList[PA ID],MATCH(CostTrack[[#This Row],[Vendor - Contract]],VendorList[Vendor / Org. with Contract ID],0)))</f>
        <v>200.050.F1</v>
      </c>
      <c r="R15" s="243" t="str">
        <f ca="1">IF(CostTrack[[#This Row],[Vendor - Contract]]="","",INDEX(VendorList[Primary Category],MATCH(CostTrack[[#This Row],[Vendor - Contract]],VendorList[Vendor / Org. with Contract ID],0)))</f>
        <v>Professional Services</v>
      </c>
      <c r="S15" s="243" t="str">
        <f ca="1">IF(CostTrack[[#This Row],[Vendor - Contract]]="","",INDEX(VendorList[Secondary Category],MATCH(CostTrack[[#This Row],[Vendor - Contract]],VendorList[Vendor / Org. with Contract ID],0)))</f>
        <v>Other Professional Services</v>
      </c>
      <c r="T15" s="243" t="str">
        <f ca="1">IF(CostTrack[[#This Row],[Vendor - Contract]]="","",INDEX(VendorList[Phase / Subproject],MATCH(CostTrack[[#This Row],[Vendor - Contract]],VendorList[Vendor / Org. with Contract ID],0)))</f>
        <v>--</v>
      </c>
      <c r="U15" s="243" t="str">
        <f ca="1">IF(CostTrack[[#This Row],[Vendor - Contract]]="","",INDEX(VendorList[Phase / Subproject 2],MATCH(CostTrack[[#This Row],[Vendor - Contract]],VendorList[Vendor / Org. with Contract ID],0)))</f>
        <v>--</v>
      </c>
      <c r="V15" s="243" t="str">
        <f ca="1">IF(CostTrack[[#This Row],[Vendor - Contract]]="","",INDEX(VendorList[Funding Source],MATCH(CostTrack[[#This Row],[Vendor - Contract]],VendorList[Vendor / Org. with Contract ID],0)))</f>
        <v>P-002360</v>
      </c>
      <c r="W15" s="260">
        <v>43105</v>
      </c>
      <c r="X15" s="251" t="str">
        <f ca="1">IF(CostTrack[[#This Row],[Release Date (CMS)]]="","*","")</f>
        <v/>
      </c>
      <c r="Y15" s="267" t="s">
        <v>28</v>
      </c>
      <c r="Z15" s="270"/>
      <c r="AA15" s="245">
        <f ca="1">IF(OR(CostTrack[[#This Row],[Release Date (CMS)]]&gt;=DATE(VALUE(REPLACE(CostTrack[[#This Row],[Fiscal Period]],3,3,"")),3,1),CostTrack[[#This Row],[Release Date (CMS)]]&lt;DATE(VALUE(LEFT(CostTrack[[#This Row],[Fiscal Period]],4)),4,1)),1,0)</f>
        <v>0</v>
      </c>
      <c r="AB15" s="294">
        <v>9596</v>
      </c>
      <c r="AC15" s="260">
        <v>44224</v>
      </c>
      <c r="AD15" s="402" t="str">
        <f ca="1">IF(CostTrack[[#This Row],[Reconciled Amount]]="","",IF(CostTrack[[#This Row],[Value]]&lt;&gt;CostTrack[[#This Row],[Reconciled Amount]],"Yes","No"))</f>
        <v>No</v>
      </c>
    </row>
    <row r="16" spans="2:31">
      <c r="B16" s="400" t="s">
        <v>548</v>
      </c>
      <c r="C16" s="258">
        <v>900252783</v>
      </c>
      <c r="D16" s="260">
        <v>43160</v>
      </c>
      <c r="E16" s="282">
        <v>15200</v>
      </c>
      <c r="F16" s="263" t="s">
        <v>69</v>
      </c>
      <c r="G16" s="406">
        <f ca="1">ROUND(IF(CostTrack[[#This Row],[Holdback (Y/N/R)]]="Yes",CostTrack[[#This Row],[Value]]*-0.1,IF(CostTrack[[#This Row],[Holdback (Y/N/R)]]="Release",CostTrack[[#This Row],[Value]],0)),2)</f>
        <v>0</v>
      </c>
      <c r="H16" s="407">
        <f ca="1">IF(CostTrack[[#This Row],[Holdback (Y/N/R)]]="Release",CostTrack[[#This Row],[Value]],CostTrack[[#This Row],[Value]]+CostTrack[[#This Row],[Holdback Value]])</f>
        <v>15200</v>
      </c>
      <c r="I16" s="258">
        <v>3</v>
      </c>
      <c r="J16" s="258" t="s">
        <v>22</v>
      </c>
      <c r="K16" s="275" t="s">
        <v>268</v>
      </c>
      <c r="L16" s="260" t="s">
        <v>815</v>
      </c>
      <c r="M16" s="260"/>
      <c r="N16" s="258"/>
      <c r="O16" s="260" t="s">
        <v>106</v>
      </c>
      <c r="P16" s="260">
        <v>43194</v>
      </c>
      <c r="Q16" s="243" t="str">
        <f ca="1">IF(CostTrack[[#This Row],[Vendor - Contract]]="","",INDEX(VendorList[PA ID],MATCH(CostTrack[[#This Row],[Vendor - Contract]],VendorList[Vendor / Org. with Contract ID],0)))</f>
        <v>200.050.F1</v>
      </c>
      <c r="R16" s="243" t="str">
        <f ca="1">IF(CostTrack[[#This Row],[Vendor - Contract]]="","",INDEX(VendorList[Primary Category],MATCH(CostTrack[[#This Row],[Vendor - Contract]],VendorList[Vendor / Org. with Contract ID],0)))</f>
        <v>Professional Services</v>
      </c>
      <c r="S16" s="243" t="str">
        <f ca="1">IF(CostTrack[[#This Row],[Vendor - Contract]]="","",INDEX(VendorList[Secondary Category],MATCH(CostTrack[[#This Row],[Vendor - Contract]],VendorList[Vendor / Org. with Contract ID],0)))</f>
        <v>Other Professional Services</v>
      </c>
      <c r="T16" s="243" t="str">
        <f ca="1">IF(CostTrack[[#This Row],[Vendor - Contract]]="","",INDEX(VendorList[Phase / Subproject],MATCH(CostTrack[[#This Row],[Vendor - Contract]],VendorList[Vendor / Org. with Contract ID],0)))</f>
        <v>--</v>
      </c>
      <c r="U16" s="243" t="str">
        <f ca="1">IF(CostTrack[[#This Row],[Vendor - Contract]]="","",INDEX(VendorList[Phase / Subproject 2],MATCH(CostTrack[[#This Row],[Vendor - Contract]],VendorList[Vendor / Org. with Contract ID],0)))</f>
        <v>--</v>
      </c>
      <c r="V16" s="243" t="str">
        <f ca="1">IF(CostTrack[[#This Row],[Vendor - Contract]]="","",INDEX(VendorList[Funding Source],MATCH(CostTrack[[#This Row],[Vendor - Contract]],VendorList[Vendor / Org. with Contract ID],0)))</f>
        <v>P-002360</v>
      </c>
      <c r="W16" s="260">
        <v>43165</v>
      </c>
      <c r="X16" s="251" t="str">
        <f ca="1">IF(CostTrack[[#This Row],[Release Date (CMS)]]="","*","")</f>
        <v/>
      </c>
      <c r="Y16" s="267" t="s">
        <v>28</v>
      </c>
      <c r="Z16" s="270"/>
      <c r="AA16" s="245">
        <f ca="1">IF(OR(CostTrack[[#This Row],[Release Date (CMS)]]&gt;=DATE(VALUE(REPLACE(CostTrack[[#This Row],[Fiscal Period]],3,3,"")),3,1),CostTrack[[#This Row],[Release Date (CMS)]]&lt;DATE(VALUE(LEFT(CostTrack[[#This Row],[Fiscal Period]],4)),4,1)),1,0)</f>
        <v>1</v>
      </c>
      <c r="AB16" s="294">
        <v>15200</v>
      </c>
      <c r="AC16" s="260">
        <v>44224</v>
      </c>
      <c r="AD16" s="402" t="str">
        <f ca="1">IF(CostTrack[[#This Row],[Reconciled Amount]]="","",IF(CostTrack[[#This Row],[Value]]&lt;&gt;CostTrack[[#This Row],[Reconciled Amount]],"Yes","No"))</f>
        <v>No</v>
      </c>
    </row>
    <row r="17" spans="2:30">
      <c r="B17" s="400" t="s">
        <v>548</v>
      </c>
      <c r="C17" s="258">
        <v>900254848</v>
      </c>
      <c r="D17" s="260">
        <v>43187</v>
      </c>
      <c r="E17" s="282">
        <v>3800</v>
      </c>
      <c r="F17" s="263" t="s">
        <v>69</v>
      </c>
      <c r="G17" s="406">
        <f ca="1">ROUND(IF(CostTrack[[#This Row],[Holdback (Y/N/R)]]="Yes",CostTrack[[#This Row],[Value]]*-0.1,IF(CostTrack[[#This Row],[Holdback (Y/N/R)]]="Release",CostTrack[[#This Row],[Value]],0)),2)</f>
        <v>0</v>
      </c>
      <c r="H17" s="407">
        <f ca="1">IF(CostTrack[[#This Row],[Holdback (Y/N/R)]]="Release",CostTrack[[#This Row],[Value]],CostTrack[[#This Row],[Value]]+CostTrack[[#This Row],[Holdback Value]])</f>
        <v>3800</v>
      </c>
      <c r="I17" s="258">
        <v>4</v>
      </c>
      <c r="J17" s="258" t="s">
        <v>22</v>
      </c>
      <c r="K17" s="275" t="s">
        <v>268</v>
      </c>
      <c r="L17" s="260" t="s">
        <v>815</v>
      </c>
      <c r="M17" s="260"/>
      <c r="N17" s="258"/>
      <c r="O17" s="260" t="s">
        <v>106</v>
      </c>
      <c r="P17" s="260">
        <v>43200</v>
      </c>
      <c r="Q17" s="243" t="str">
        <f ca="1">IF(CostTrack[[#This Row],[Vendor - Contract]]="","",INDEX(VendorList[PA ID],MATCH(CostTrack[[#This Row],[Vendor - Contract]],VendorList[Vendor / Org. with Contract ID],0)))</f>
        <v>200.050.F1</v>
      </c>
      <c r="R17" s="243" t="str">
        <f ca="1">IF(CostTrack[[#This Row],[Vendor - Contract]]="","",INDEX(VendorList[Primary Category],MATCH(CostTrack[[#This Row],[Vendor - Contract]],VendorList[Vendor / Org. with Contract ID],0)))</f>
        <v>Professional Services</v>
      </c>
      <c r="S17" s="243" t="str">
        <f ca="1">IF(CostTrack[[#This Row],[Vendor - Contract]]="","",INDEX(VendorList[Secondary Category],MATCH(CostTrack[[#This Row],[Vendor - Contract]],VendorList[Vendor / Org. with Contract ID],0)))</f>
        <v>Other Professional Services</v>
      </c>
      <c r="T17" s="243" t="str">
        <f ca="1">IF(CostTrack[[#This Row],[Vendor - Contract]]="","",INDEX(VendorList[Phase / Subproject],MATCH(CostTrack[[#This Row],[Vendor - Contract]],VendorList[Vendor / Org. with Contract ID],0)))</f>
        <v>--</v>
      </c>
      <c r="U17" s="243" t="str">
        <f ca="1">IF(CostTrack[[#This Row],[Vendor - Contract]]="","",INDEX(VendorList[Phase / Subproject 2],MATCH(CostTrack[[#This Row],[Vendor - Contract]],VendorList[Vendor / Org. with Contract ID],0)))</f>
        <v>--</v>
      </c>
      <c r="V17" s="243" t="str">
        <f ca="1">IF(CostTrack[[#This Row],[Vendor - Contract]]="","",INDEX(VendorList[Funding Source],MATCH(CostTrack[[#This Row],[Vendor - Contract]],VendorList[Vendor / Org. with Contract ID],0)))</f>
        <v>P-002360</v>
      </c>
      <c r="W17" s="260">
        <v>43201</v>
      </c>
      <c r="X17" s="251" t="str">
        <f ca="1">IF(CostTrack[[#This Row],[Release Date (CMS)]]="","*","")</f>
        <v/>
      </c>
      <c r="Y17" s="267" t="s">
        <v>28</v>
      </c>
      <c r="Z17" s="270"/>
      <c r="AA17" s="245">
        <f ca="1">IF(OR(CostTrack[[#This Row],[Release Date (CMS)]]&gt;=DATE(VALUE(REPLACE(CostTrack[[#This Row],[Fiscal Period]],3,3,"")),3,1),CostTrack[[#This Row],[Release Date (CMS)]]&lt;DATE(VALUE(LEFT(CostTrack[[#This Row],[Fiscal Period]],4)),4,1)),1,0)</f>
        <v>1</v>
      </c>
      <c r="AB17" s="294">
        <v>3800</v>
      </c>
      <c r="AC17" s="260">
        <v>44224</v>
      </c>
      <c r="AD17" s="402" t="str">
        <f ca="1">IF(CostTrack[[#This Row],[Reconciled Amount]]="","",IF(CostTrack[[#This Row],[Value]]&lt;&gt;CostTrack[[#This Row],[Reconciled Amount]],"Yes","No"))</f>
        <v>No</v>
      </c>
    </row>
    <row r="18" spans="2:30">
      <c r="B18" s="400" t="s">
        <v>548</v>
      </c>
      <c r="C18" s="258">
        <v>900257504</v>
      </c>
      <c r="D18" s="260">
        <v>43220</v>
      </c>
      <c r="E18" s="282">
        <v>1860</v>
      </c>
      <c r="F18" s="263" t="s">
        <v>69</v>
      </c>
      <c r="G18" s="406">
        <f ca="1">ROUND(IF(CostTrack[[#This Row],[Holdback (Y/N/R)]]="Yes",CostTrack[[#This Row],[Value]]*-0.1,IF(CostTrack[[#This Row],[Holdback (Y/N/R)]]="Release",CostTrack[[#This Row],[Value]],0)),2)</f>
        <v>0</v>
      </c>
      <c r="H18" s="407">
        <f ca="1">IF(CostTrack[[#This Row],[Holdback (Y/N/R)]]="Release",CostTrack[[#This Row],[Value]],CostTrack[[#This Row],[Value]]+CostTrack[[#This Row],[Holdback Value]])</f>
        <v>1860</v>
      </c>
      <c r="I18" s="258">
        <v>5</v>
      </c>
      <c r="J18" s="258" t="s">
        <v>22</v>
      </c>
      <c r="K18" s="275" t="s">
        <v>268</v>
      </c>
      <c r="L18" s="260" t="s">
        <v>815</v>
      </c>
      <c r="M18" s="260"/>
      <c r="N18" s="258"/>
      <c r="O18" s="260" t="s">
        <v>106</v>
      </c>
      <c r="P18" s="260">
        <v>43228</v>
      </c>
      <c r="Q18" s="243" t="str">
        <f ca="1">IF(CostTrack[[#This Row],[Vendor - Contract]]="","",INDEX(VendorList[PA ID],MATCH(CostTrack[[#This Row],[Vendor - Contract]],VendorList[Vendor / Org. with Contract ID],0)))</f>
        <v>200.050.F1</v>
      </c>
      <c r="R18" s="243" t="str">
        <f ca="1">IF(CostTrack[[#This Row],[Vendor - Contract]]="","",INDEX(VendorList[Primary Category],MATCH(CostTrack[[#This Row],[Vendor - Contract]],VendorList[Vendor / Org. with Contract ID],0)))</f>
        <v>Professional Services</v>
      </c>
      <c r="S18" s="243" t="str">
        <f ca="1">IF(CostTrack[[#This Row],[Vendor - Contract]]="","",INDEX(VendorList[Secondary Category],MATCH(CostTrack[[#This Row],[Vendor - Contract]],VendorList[Vendor / Org. with Contract ID],0)))</f>
        <v>Other Professional Services</v>
      </c>
      <c r="T18" s="243" t="str">
        <f ca="1">IF(CostTrack[[#This Row],[Vendor - Contract]]="","",INDEX(VendorList[Phase / Subproject],MATCH(CostTrack[[#This Row],[Vendor - Contract]],VendorList[Vendor / Org. with Contract ID],0)))</f>
        <v>--</v>
      </c>
      <c r="U18" s="243" t="str">
        <f ca="1">IF(CostTrack[[#This Row],[Vendor - Contract]]="","",INDEX(VendorList[Phase / Subproject 2],MATCH(CostTrack[[#This Row],[Vendor - Contract]],VendorList[Vendor / Org. with Contract ID],0)))</f>
        <v>--</v>
      </c>
      <c r="V18" s="243" t="str">
        <f ca="1">IF(CostTrack[[#This Row],[Vendor - Contract]]="","",INDEX(VendorList[Funding Source],MATCH(CostTrack[[#This Row],[Vendor - Contract]],VendorList[Vendor / Org. with Contract ID],0)))</f>
        <v>P-002360</v>
      </c>
      <c r="W18" s="260">
        <v>43231</v>
      </c>
      <c r="X18" s="251" t="str">
        <f ca="1">IF(CostTrack[[#This Row],[Release Date (CMS)]]="","*","")</f>
        <v/>
      </c>
      <c r="Y18" s="267" t="s">
        <v>34</v>
      </c>
      <c r="Z18" s="270"/>
      <c r="AA18" s="245">
        <f ca="1">IF(OR(CostTrack[[#This Row],[Release Date (CMS)]]&gt;=DATE(VALUE(REPLACE(CostTrack[[#This Row],[Fiscal Period]],3,3,"")),3,1),CostTrack[[#This Row],[Release Date (CMS)]]&lt;DATE(VALUE(LEFT(CostTrack[[#This Row],[Fiscal Period]],4)),4,1)),1,0)</f>
        <v>0</v>
      </c>
      <c r="AB18" s="294">
        <v>1860</v>
      </c>
      <c r="AC18" s="260">
        <v>44224</v>
      </c>
      <c r="AD18" s="402" t="str">
        <f ca="1">IF(CostTrack[[#This Row],[Reconciled Amount]]="","",IF(CostTrack[[#This Row],[Value]]&lt;&gt;CostTrack[[#This Row],[Reconciled Amount]],"Yes","No"))</f>
        <v>No</v>
      </c>
    </row>
    <row r="19" spans="2:30">
      <c r="B19" s="400" t="s">
        <v>816</v>
      </c>
      <c r="C19" s="258">
        <v>1414259</v>
      </c>
      <c r="D19" s="260">
        <v>43025</v>
      </c>
      <c r="E19" s="282">
        <v>2080</v>
      </c>
      <c r="F19" s="263" t="s">
        <v>69</v>
      </c>
      <c r="G19" s="406">
        <f ca="1">ROUND(IF(CostTrack[[#This Row],[Holdback (Y/N/R)]]="Yes",CostTrack[[#This Row],[Value]]*-0.1,IF(CostTrack[[#This Row],[Holdback (Y/N/R)]]="Release",CostTrack[[#This Row],[Value]],0)),2)</f>
        <v>0</v>
      </c>
      <c r="H19" s="407">
        <f ca="1">IF(CostTrack[[#This Row],[Holdback (Y/N/R)]]="Release",CostTrack[[#This Row],[Value]],CostTrack[[#This Row],[Value]]+CostTrack[[#This Row],[Holdback Value]])</f>
        <v>2080</v>
      </c>
      <c r="I19" s="258">
        <v>1</v>
      </c>
      <c r="J19" s="258" t="s">
        <v>22</v>
      </c>
      <c r="K19" s="275" t="s">
        <v>268</v>
      </c>
      <c r="L19" s="260" t="s">
        <v>815</v>
      </c>
      <c r="M19" s="260"/>
      <c r="N19" s="258"/>
      <c r="O19" s="260" t="s">
        <v>106</v>
      </c>
      <c r="P19" s="260">
        <v>43059</v>
      </c>
      <c r="Q19" s="243" t="str">
        <f ca="1">IF(CostTrack[[#This Row],[Vendor - Contract]]="","",INDEX(VendorList[PA ID],MATCH(CostTrack[[#This Row],[Vendor - Contract]],VendorList[Vendor / Org. with Contract ID],0)))</f>
        <v>200.050.F1</v>
      </c>
      <c r="R19" s="243" t="str">
        <f ca="1">IF(CostTrack[[#This Row],[Vendor - Contract]]="","",INDEX(VendorList[Primary Category],MATCH(CostTrack[[#This Row],[Vendor - Contract]],VendorList[Vendor / Org. with Contract ID],0)))</f>
        <v>Professional Services</v>
      </c>
      <c r="S19" s="243" t="str">
        <f ca="1">IF(CostTrack[[#This Row],[Vendor - Contract]]="","",INDEX(VendorList[Secondary Category],MATCH(CostTrack[[#This Row],[Vendor - Contract]],VendorList[Vendor / Org. with Contract ID],0)))</f>
        <v>Other Professional Services</v>
      </c>
      <c r="T19" s="243" t="str">
        <f ca="1">IF(CostTrack[[#This Row],[Vendor - Contract]]="","",INDEX(VendorList[Phase / Subproject],MATCH(CostTrack[[#This Row],[Vendor - Contract]],VendorList[Vendor / Org. with Contract ID],0)))</f>
        <v>--</v>
      </c>
      <c r="U19" s="243" t="str">
        <f ca="1">IF(CostTrack[[#This Row],[Vendor - Contract]]="","",INDEX(VendorList[Phase / Subproject 2],MATCH(CostTrack[[#This Row],[Vendor - Contract]],VendorList[Vendor / Org. with Contract ID],0)))</f>
        <v>--</v>
      </c>
      <c r="V19" s="243" t="str">
        <f ca="1">IF(CostTrack[[#This Row],[Vendor - Contract]]="","",INDEX(VendorList[Funding Source],MATCH(CostTrack[[#This Row],[Vendor - Contract]],VendorList[Vendor / Org. with Contract ID],0)))</f>
        <v>P-002360</v>
      </c>
      <c r="W19" s="260">
        <v>43062</v>
      </c>
      <c r="X19" s="251" t="str">
        <f ca="1">IF(CostTrack[[#This Row],[Release Date (CMS)]]="","*","")</f>
        <v/>
      </c>
      <c r="Y19" s="267" t="s">
        <v>28</v>
      </c>
      <c r="Z19" s="270"/>
      <c r="AA19" s="245">
        <f ca="1">IF(OR(CostTrack[[#This Row],[Release Date (CMS)]]&gt;=DATE(VALUE(REPLACE(CostTrack[[#This Row],[Fiscal Period]],3,3,"")),3,1),CostTrack[[#This Row],[Release Date (CMS)]]&lt;DATE(VALUE(LEFT(CostTrack[[#This Row],[Fiscal Period]],4)),4,1)),1,0)</f>
        <v>0</v>
      </c>
      <c r="AB19" s="294">
        <v>2080</v>
      </c>
      <c r="AC19" s="260">
        <v>44224</v>
      </c>
      <c r="AD19" s="402" t="str">
        <f ca="1">IF(CostTrack[[#This Row],[Reconciled Amount]]="","",IF(CostTrack[[#This Row],[Value]]&lt;&gt;CostTrack[[#This Row],[Reconciled Amount]],"Yes","No"))</f>
        <v>No</v>
      </c>
    </row>
    <row r="20" spans="2:30">
      <c r="B20" s="400" t="s">
        <v>556</v>
      </c>
      <c r="C20" s="258">
        <v>17301.099999999999</v>
      </c>
      <c r="D20" s="260">
        <v>42978</v>
      </c>
      <c r="E20" s="282">
        <v>30500</v>
      </c>
      <c r="F20" s="263" t="s">
        <v>69</v>
      </c>
      <c r="G20" s="406">
        <f ca="1">ROUND(IF(CostTrack[[#This Row],[Holdback (Y/N/R)]]="Yes",CostTrack[[#This Row],[Value]]*-0.1,IF(CostTrack[[#This Row],[Holdback (Y/N/R)]]="Release",CostTrack[[#This Row],[Value]],0)),2)</f>
        <v>0</v>
      </c>
      <c r="H20" s="407">
        <f ca="1">IF(CostTrack[[#This Row],[Holdback (Y/N/R)]]="Release",CostTrack[[#This Row],[Value]],CostTrack[[#This Row],[Value]]+CostTrack[[#This Row],[Holdback Value]])</f>
        <v>30500</v>
      </c>
      <c r="I20" s="258">
        <v>1</v>
      </c>
      <c r="J20" s="258" t="s">
        <v>22</v>
      </c>
      <c r="K20" s="275" t="s">
        <v>268</v>
      </c>
      <c r="L20" s="260" t="s">
        <v>815</v>
      </c>
      <c r="M20" s="260"/>
      <c r="N20" s="258"/>
      <c r="O20" s="260" t="s">
        <v>106</v>
      </c>
      <c r="P20" s="260">
        <v>42986</v>
      </c>
      <c r="Q20" s="243" t="str">
        <f ca="1">IF(CostTrack[[#This Row],[Vendor - Contract]]="","",INDEX(VendorList[PA ID],MATCH(CostTrack[[#This Row],[Vendor - Contract]],VendorList[Vendor / Org. with Contract ID],0)))</f>
        <v>200.050.F1</v>
      </c>
      <c r="R20" s="243" t="str">
        <f ca="1">IF(CostTrack[[#This Row],[Vendor - Contract]]="","",INDEX(VendorList[Primary Category],MATCH(CostTrack[[#This Row],[Vendor - Contract]],VendorList[Vendor / Org. with Contract ID],0)))</f>
        <v>Professional Services</v>
      </c>
      <c r="S20" s="243" t="str">
        <f ca="1">IF(CostTrack[[#This Row],[Vendor - Contract]]="","",INDEX(VendorList[Secondary Category],MATCH(CostTrack[[#This Row],[Vendor - Contract]],VendorList[Vendor / Org. with Contract ID],0)))</f>
        <v>Other Professional Services</v>
      </c>
      <c r="T20" s="243" t="str">
        <f ca="1">IF(CostTrack[[#This Row],[Vendor - Contract]]="","",INDEX(VendorList[Phase / Subproject],MATCH(CostTrack[[#This Row],[Vendor - Contract]],VendorList[Vendor / Org. with Contract ID],0)))</f>
        <v>--</v>
      </c>
      <c r="U20" s="243" t="str">
        <f ca="1">IF(CostTrack[[#This Row],[Vendor - Contract]]="","",INDEX(VendorList[Phase / Subproject 2],MATCH(CostTrack[[#This Row],[Vendor - Contract]],VendorList[Vendor / Org. with Contract ID],0)))</f>
        <v>--</v>
      </c>
      <c r="V20" s="243" t="str">
        <f ca="1">IF(CostTrack[[#This Row],[Vendor - Contract]]="","",INDEX(VendorList[Funding Source],MATCH(CostTrack[[#This Row],[Vendor - Contract]],VendorList[Vendor / Org. with Contract ID],0)))</f>
        <v>P-002360</v>
      </c>
      <c r="W20" s="260">
        <v>42989</v>
      </c>
      <c r="X20" s="251" t="str">
        <f ca="1">IF(CostTrack[[#This Row],[Release Date (CMS)]]="","*","")</f>
        <v/>
      </c>
      <c r="Y20" s="267" t="s">
        <v>28</v>
      </c>
      <c r="Z20" s="270"/>
      <c r="AA20" s="245">
        <f ca="1">IF(OR(CostTrack[[#This Row],[Release Date (CMS)]]&gt;=DATE(VALUE(REPLACE(CostTrack[[#This Row],[Fiscal Period]],3,3,"")),3,1),CostTrack[[#This Row],[Release Date (CMS)]]&lt;DATE(VALUE(LEFT(CostTrack[[#This Row],[Fiscal Period]],4)),4,1)),1,0)</f>
        <v>0</v>
      </c>
      <c r="AB20" s="294">
        <v>30500</v>
      </c>
      <c r="AC20" s="260">
        <v>44224</v>
      </c>
      <c r="AD20" s="402" t="str">
        <f ca="1">IF(CostTrack[[#This Row],[Reconciled Amount]]="","",IF(CostTrack[[#This Row],[Value]]&lt;&gt;CostTrack[[#This Row],[Reconciled Amount]],"Yes","No"))</f>
        <v>No</v>
      </c>
    </row>
    <row r="21" spans="2:30">
      <c r="B21" s="400" t="s">
        <v>556</v>
      </c>
      <c r="C21" s="258">
        <v>17301.2</v>
      </c>
      <c r="D21" s="260">
        <v>43012</v>
      </c>
      <c r="E21" s="282">
        <v>50000</v>
      </c>
      <c r="F21" s="263" t="s">
        <v>69</v>
      </c>
      <c r="G21" s="406">
        <f ca="1">ROUND(IF(CostTrack[[#This Row],[Holdback (Y/N/R)]]="Yes",CostTrack[[#This Row],[Value]]*-0.1,IF(CostTrack[[#This Row],[Holdback (Y/N/R)]]="Release",CostTrack[[#This Row],[Value]],0)),2)</f>
        <v>0</v>
      </c>
      <c r="H21" s="407">
        <f ca="1">IF(CostTrack[[#This Row],[Holdback (Y/N/R)]]="Release",CostTrack[[#This Row],[Value]],CostTrack[[#This Row],[Value]]+CostTrack[[#This Row],[Holdback Value]])</f>
        <v>50000</v>
      </c>
      <c r="I21" s="258">
        <v>2</v>
      </c>
      <c r="J21" s="258" t="s">
        <v>22</v>
      </c>
      <c r="K21" s="275" t="s">
        <v>268</v>
      </c>
      <c r="L21" s="260" t="s">
        <v>815</v>
      </c>
      <c r="M21" s="260"/>
      <c r="N21" s="258"/>
      <c r="O21" s="260" t="s">
        <v>106</v>
      </c>
      <c r="P21" s="260">
        <v>43012</v>
      </c>
      <c r="Q21" s="243" t="str">
        <f ca="1">IF(CostTrack[[#This Row],[Vendor - Contract]]="","",INDEX(VendorList[PA ID],MATCH(CostTrack[[#This Row],[Vendor - Contract]],VendorList[Vendor / Org. with Contract ID],0)))</f>
        <v>200.050.F1</v>
      </c>
      <c r="R21" s="243" t="str">
        <f ca="1">IF(CostTrack[[#This Row],[Vendor - Contract]]="","",INDEX(VendorList[Primary Category],MATCH(CostTrack[[#This Row],[Vendor - Contract]],VendorList[Vendor / Org. with Contract ID],0)))</f>
        <v>Professional Services</v>
      </c>
      <c r="S21" s="243" t="str">
        <f ca="1">IF(CostTrack[[#This Row],[Vendor - Contract]]="","",INDEX(VendorList[Secondary Category],MATCH(CostTrack[[#This Row],[Vendor - Contract]],VendorList[Vendor / Org. with Contract ID],0)))</f>
        <v>Other Professional Services</v>
      </c>
      <c r="T21" s="243" t="str">
        <f ca="1">IF(CostTrack[[#This Row],[Vendor - Contract]]="","",INDEX(VendorList[Phase / Subproject],MATCH(CostTrack[[#This Row],[Vendor - Contract]],VendorList[Vendor / Org. with Contract ID],0)))</f>
        <v>--</v>
      </c>
      <c r="U21" s="243" t="str">
        <f ca="1">IF(CostTrack[[#This Row],[Vendor - Contract]]="","",INDEX(VendorList[Phase / Subproject 2],MATCH(CostTrack[[#This Row],[Vendor - Contract]],VendorList[Vendor / Org. with Contract ID],0)))</f>
        <v>--</v>
      </c>
      <c r="V21" s="243" t="str">
        <f ca="1">IF(CostTrack[[#This Row],[Vendor - Contract]]="","",INDEX(VendorList[Funding Source],MATCH(CostTrack[[#This Row],[Vendor - Contract]],VendorList[Vendor / Org. with Contract ID],0)))</f>
        <v>P-002360</v>
      </c>
      <c r="W21" s="260">
        <v>43018</v>
      </c>
      <c r="X21" s="251" t="str">
        <f ca="1">IF(CostTrack[[#This Row],[Release Date (CMS)]]="","*","")</f>
        <v/>
      </c>
      <c r="Y21" s="267" t="s">
        <v>28</v>
      </c>
      <c r="Z21" s="270"/>
      <c r="AA21" s="245">
        <f ca="1">IF(OR(CostTrack[[#This Row],[Release Date (CMS)]]&gt;=DATE(VALUE(REPLACE(CostTrack[[#This Row],[Fiscal Period]],3,3,"")),3,1),CostTrack[[#This Row],[Release Date (CMS)]]&lt;DATE(VALUE(LEFT(CostTrack[[#This Row],[Fiscal Period]],4)),4,1)),1,0)</f>
        <v>0</v>
      </c>
      <c r="AB21" s="294">
        <v>50000</v>
      </c>
      <c r="AC21" s="260">
        <v>44224</v>
      </c>
      <c r="AD21" s="402" t="str">
        <f ca="1">IF(CostTrack[[#This Row],[Reconciled Amount]]="","",IF(CostTrack[[#This Row],[Value]]&lt;&gt;CostTrack[[#This Row],[Reconciled Amount]],"Yes","No"))</f>
        <v>No</v>
      </c>
    </row>
    <row r="22" spans="2:30">
      <c r="B22" s="400" t="s">
        <v>556</v>
      </c>
      <c r="C22" s="258">
        <v>17301.3</v>
      </c>
      <c r="D22" s="260">
        <v>43041</v>
      </c>
      <c r="E22" s="282">
        <v>53610</v>
      </c>
      <c r="F22" s="263" t="s">
        <v>69</v>
      </c>
      <c r="G22" s="406">
        <f ca="1">ROUND(IF(CostTrack[[#This Row],[Holdback (Y/N/R)]]="Yes",CostTrack[[#This Row],[Value]]*-0.1,IF(CostTrack[[#This Row],[Holdback (Y/N/R)]]="Release",CostTrack[[#This Row],[Value]],0)),2)</f>
        <v>0</v>
      </c>
      <c r="H22" s="407">
        <f ca="1">IF(CostTrack[[#This Row],[Holdback (Y/N/R)]]="Release",CostTrack[[#This Row],[Value]],CostTrack[[#This Row],[Value]]+CostTrack[[#This Row],[Holdback Value]])</f>
        <v>53610</v>
      </c>
      <c r="I22" s="258">
        <v>3</v>
      </c>
      <c r="J22" s="258" t="s">
        <v>22</v>
      </c>
      <c r="K22" s="275" t="s">
        <v>268</v>
      </c>
      <c r="L22" s="260" t="s">
        <v>815</v>
      </c>
      <c r="M22" s="260"/>
      <c r="N22" s="258"/>
      <c r="O22" s="260" t="s">
        <v>106</v>
      </c>
      <c r="P22" s="260">
        <v>43045</v>
      </c>
      <c r="Q22" s="243" t="str">
        <f ca="1">IF(CostTrack[[#This Row],[Vendor - Contract]]="","",INDEX(VendorList[PA ID],MATCH(CostTrack[[#This Row],[Vendor - Contract]],VendorList[Vendor / Org. with Contract ID],0)))</f>
        <v>200.050.F1</v>
      </c>
      <c r="R22" s="243" t="str">
        <f ca="1">IF(CostTrack[[#This Row],[Vendor - Contract]]="","",INDEX(VendorList[Primary Category],MATCH(CostTrack[[#This Row],[Vendor - Contract]],VendorList[Vendor / Org. with Contract ID],0)))</f>
        <v>Professional Services</v>
      </c>
      <c r="S22" s="243" t="str">
        <f ca="1">IF(CostTrack[[#This Row],[Vendor - Contract]]="","",INDEX(VendorList[Secondary Category],MATCH(CostTrack[[#This Row],[Vendor - Contract]],VendorList[Vendor / Org. with Contract ID],0)))</f>
        <v>Other Professional Services</v>
      </c>
      <c r="T22" s="243" t="str">
        <f ca="1">IF(CostTrack[[#This Row],[Vendor - Contract]]="","",INDEX(VendorList[Phase / Subproject],MATCH(CostTrack[[#This Row],[Vendor - Contract]],VendorList[Vendor / Org. with Contract ID],0)))</f>
        <v>--</v>
      </c>
      <c r="U22" s="243" t="str">
        <f ca="1">IF(CostTrack[[#This Row],[Vendor - Contract]]="","",INDEX(VendorList[Phase / Subproject 2],MATCH(CostTrack[[#This Row],[Vendor - Contract]],VendorList[Vendor / Org. with Contract ID],0)))</f>
        <v>--</v>
      </c>
      <c r="V22" s="243" t="str">
        <f ca="1">IF(CostTrack[[#This Row],[Vendor - Contract]]="","",INDEX(VendorList[Funding Source],MATCH(CostTrack[[#This Row],[Vendor - Contract]],VendorList[Vendor / Org. with Contract ID],0)))</f>
        <v>P-002360</v>
      </c>
      <c r="W22" s="260">
        <v>43047</v>
      </c>
      <c r="X22" s="251" t="str">
        <f ca="1">IF(CostTrack[[#This Row],[Release Date (CMS)]]="","*","")</f>
        <v/>
      </c>
      <c r="Y22" s="267" t="s">
        <v>28</v>
      </c>
      <c r="Z22" s="270"/>
      <c r="AA22" s="245">
        <f ca="1">IF(OR(CostTrack[[#This Row],[Release Date (CMS)]]&gt;=DATE(VALUE(REPLACE(CostTrack[[#This Row],[Fiscal Period]],3,3,"")),3,1),CostTrack[[#This Row],[Release Date (CMS)]]&lt;DATE(VALUE(LEFT(CostTrack[[#This Row],[Fiscal Period]],4)),4,1)),1,0)</f>
        <v>0</v>
      </c>
      <c r="AB22" s="294">
        <v>53610</v>
      </c>
      <c r="AC22" s="260">
        <v>44224</v>
      </c>
      <c r="AD22" s="402" t="str">
        <f ca="1">IF(CostTrack[[#This Row],[Reconciled Amount]]="","",IF(CostTrack[[#This Row],[Value]]&lt;&gt;CostTrack[[#This Row],[Reconciled Amount]],"Yes","No"))</f>
        <v>No</v>
      </c>
    </row>
    <row r="23" spans="2:30">
      <c r="B23" s="400" t="s">
        <v>556</v>
      </c>
      <c r="C23" s="258">
        <v>17301.400000000001</v>
      </c>
      <c r="D23" s="260">
        <v>43070</v>
      </c>
      <c r="E23" s="282">
        <v>53820</v>
      </c>
      <c r="F23" s="263" t="s">
        <v>69</v>
      </c>
      <c r="G23" s="406">
        <f ca="1">ROUND(IF(CostTrack[[#This Row],[Holdback (Y/N/R)]]="Yes",CostTrack[[#This Row],[Value]]*-0.1,IF(CostTrack[[#This Row],[Holdback (Y/N/R)]]="Release",CostTrack[[#This Row],[Value]],0)),2)</f>
        <v>0</v>
      </c>
      <c r="H23" s="407">
        <f ca="1">IF(CostTrack[[#This Row],[Holdback (Y/N/R)]]="Release",CostTrack[[#This Row],[Value]],CostTrack[[#This Row],[Value]]+CostTrack[[#This Row],[Holdback Value]])</f>
        <v>53820</v>
      </c>
      <c r="I23" s="258">
        <v>4</v>
      </c>
      <c r="J23" s="258" t="s">
        <v>22</v>
      </c>
      <c r="K23" s="275" t="s">
        <v>268</v>
      </c>
      <c r="L23" s="260" t="s">
        <v>815</v>
      </c>
      <c r="M23" s="260"/>
      <c r="N23" s="258"/>
      <c r="O23" s="260" t="s">
        <v>106</v>
      </c>
      <c r="P23" s="260">
        <v>43075</v>
      </c>
      <c r="Q23" s="243" t="str">
        <f ca="1">IF(CostTrack[[#This Row],[Vendor - Contract]]="","",INDEX(VendorList[PA ID],MATCH(CostTrack[[#This Row],[Vendor - Contract]],VendorList[Vendor / Org. with Contract ID],0)))</f>
        <v>200.050.F1</v>
      </c>
      <c r="R23" s="243" t="str">
        <f ca="1">IF(CostTrack[[#This Row],[Vendor - Contract]]="","",INDEX(VendorList[Primary Category],MATCH(CostTrack[[#This Row],[Vendor - Contract]],VendorList[Vendor / Org. with Contract ID],0)))</f>
        <v>Professional Services</v>
      </c>
      <c r="S23" s="243" t="str">
        <f ca="1">IF(CostTrack[[#This Row],[Vendor - Contract]]="","",INDEX(VendorList[Secondary Category],MATCH(CostTrack[[#This Row],[Vendor - Contract]],VendorList[Vendor / Org. with Contract ID],0)))</f>
        <v>Other Professional Services</v>
      </c>
      <c r="T23" s="243" t="str">
        <f ca="1">IF(CostTrack[[#This Row],[Vendor - Contract]]="","",INDEX(VendorList[Phase / Subproject],MATCH(CostTrack[[#This Row],[Vendor - Contract]],VendorList[Vendor / Org. with Contract ID],0)))</f>
        <v>--</v>
      </c>
      <c r="U23" s="243" t="str">
        <f ca="1">IF(CostTrack[[#This Row],[Vendor - Contract]]="","",INDEX(VendorList[Phase / Subproject 2],MATCH(CostTrack[[#This Row],[Vendor - Contract]],VendorList[Vendor / Org. with Contract ID],0)))</f>
        <v>--</v>
      </c>
      <c r="V23" s="243" t="str">
        <f ca="1">IF(CostTrack[[#This Row],[Vendor - Contract]]="","",INDEX(VendorList[Funding Source],MATCH(CostTrack[[#This Row],[Vendor - Contract]],VendorList[Vendor / Org. with Contract ID],0)))</f>
        <v>P-002360</v>
      </c>
      <c r="W23" s="260">
        <v>43080</v>
      </c>
      <c r="X23" s="251" t="str">
        <f ca="1">IF(CostTrack[[#This Row],[Release Date (CMS)]]="","*","")</f>
        <v/>
      </c>
      <c r="Y23" s="267" t="s">
        <v>28</v>
      </c>
      <c r="Z23" s="270"/>
      <c r="AA23" s="245">
        <f ca="1">IF(OR(CostTrack[[#This Row],[Release Date (CMS)]]&gt;=DATE(VALUE(REPLACE(CostTrack[[#This Row],[Fiscal Period]],3,3,"")),3,1),CostTrack[[#This Row],[Release Date (CMS)]]&lt;DATE(VALUE(LEFT(CostTrack[[#This Row],[Fiscal Period]],4)),4,1)),1,0)</f>
        <v>0</v>
      </c>
      <c r="AB23" s="294">
        <v>53820</v>
      </c>
      <c r="AC23" s="260">
        <v>44224</v>
      </c>
      <c r="AD23" s="402" t="str">
        <f ca="1">IF(CostTrack[[#This Row],[Reconciled Amount]]="","",IF(CostTrack[[#This Row],[Value]]&lt;&gt;CostTrack[[#This Row],[Reconciled Amount]],"Yes","No"))</f>
        <v>No</v>
      </c>
    </row>
    <row r="24" spans="2:30">
      <c r="B24" s="400" t="s">
        <v>556</v>
      </c>
      <c r="C24" s="258">
        <v>17301.5</v>
      </c>
      <c r="D24" s="260">
        <v>43102</v>
      </c>
      <c r="E24" s="282">
        <v>21283</v>
      </c>
      <c r="F24" s="263" t="s">
        <v>69</v>
      </c>
      <c r="G24" s="406">
        <f ca="1">ROUND(IF(CostTrack[[#This Row],[Holdback (Y/N/R)]]="Yes",CostTrack[[#This Row],[Value]]*-0.1,IF(CostTrack[[#This Row],[Holdback (Y/N/R)]]="Release",CostTrack[[#This Row],[Value]],0)),2)</f>
        <v>0</v>
      </c>
      <c r="H24" s="407">
        <f ca="1">IF(CostTrack[[#This Row],[Holdback (Y/N/R)]]="Release",CostTrack[[#This Row],[Value]],CostTrack[[#This Row],[Value]]+CostTrack[[#This Row],[Holdback Value]])</f>
        <v>21283</v>
      </c>
      <c r="I24" s="258">
        <v>5</v>
      </c>
      <c r="J24" s="258" t="s">
        <v>22</v>
      </c>
      <c r="K24" s="275" t="s">
        <v>268</v>
      </c>
      <c r="L24" s="260" t="s">
        <v>815</v>
      </c>
      <c r="M24" s="260"/>
      <c r="N24" s="258"/>
      <c r="O24" s="260" t="s">
        <v>106</v>
      </c>
      <c r="P24" s="260">
        <v>43103</v>
      </c>
      <c r="Q24" s="243" t="str">
        <f ca="1">IF(CostTrack[[#This Row],[Vendor - Contract]]="","",INDEX(VendorList[PA ID],MATCH(CostTrack[[#This Row],[Vendor - Contract]],VendorList[Vendor / Org. with Contract ID],0)))</f>
        <v>200.050.F1</v>
      </c>
      <c r="R24" s="243" t="str">
        <f ca="1">IF(CostTrack[[#This Row],[Vendor - Contract]]="","",INDEX(VendorList[Primary Category],MATCH(CostTrack[[#This Row],[Vendor - Contract]],VendorList[Vendor / Org. with Contract ID],0)))</f>
        <v>Professional Services</v>
      </c>
      <c r="S24" s="243" t="str">
        <f ca="1">IF(CostTrack[[#This Row],[Vendor - Contract]]="","",INDEX(VendorList[Secondary Category],MATCH(CostTrack[[#This Row],[Vendor - Contract]],VendorList[Vendor / Org. with Contract ID],0)))</f>
        <v>Other Professional Services</v>
      </c>
      <c r="T24" s="243" t="str">
        <f ca="1">IF(CostTrack[[#This Row],[Vendor - Contract]]="","",INDEX(VendorList[Phase / Subproject],MATCH(CostTrack[[#This Row],[Vendor - Contract]],VendorList[Vendor / Org. with Contract ID],0)))</f>
        <v>--</v>
      </c>
      <c r="U24" s="243" t="str">
        <f ca="1">IF(CostTrack[[#This Row],[Vendor - Contract]]="","",INDEX(VendorList[Phase / Subproject 2],MATCH(CostTrack[[#This Row],[Vendor - Contract]],VendorList[Vendor / Org. with Contract ID],0)))</f>
        <v>--</v>
      </c>
      <c r="V24" s="243" t="str">
        <f ca="1">IF(CostTrack[[#This Row],[Vendor - Contract]]="","",INDEX(VendorList[Funding Source],MATCH(CostTrack[[#This Row],[Vendor - Contract]],VendorList[Vendor / Org. with Contract ID],0)))</f>
        <v>P-002360</v>
      </c>
      <c r="W24" s="260">
        <v>43105</v>
      </c>
      <c r="X24" s="251" t="str">
        <f ca="1">IF(CostTrack[[#This Row],[Release Date (CMS)]]="","*","")</f>
        <v/>
      </c>
      <c r="Y24" s="267" t="s">
        <v>28</v>
      </c>
      <c r="Z24" s="270"/>
      <c r="AA24" s="245">
        <f ca="1">IF(OR(CostTrack[[#This Row],[Release Date (CMS)]]&gt;=DATE(VALUE(REPLACE(CostTrack[[#This Row],[Fiscal Period]],3,3,"")),3,1),CostTrack[[#This Row],[Release Date (CMS)]]&lt;DATE(VALUE(LEFT(CostTrack[[#This Row],[Fiscal Period]],4)),4,1)),1,0)</f>
        <v>0</v>
      </c>
      <c r="AB24" s="294">
        <v>21283</v>
      </c>
      <c r="AC24" s="260">
        <v>44224</v>
      </c>
      <c r="AD24" s="402" t="str">
        <f ca="1">IF(CostTrack[[#This Row],[Reconciled Amount]]="","",IF(CostTrack[[#This Row],[Value]]&lt;&gt;CostTrack[[#This Row],[Reconciled Amount]],"Yes","No"))</f>
        <v>No</v>
      </c>
    </row>
    <row r="25" spans="2:30">
      <c r="B25" s="400" t="s">
        <v>556</v>
      </c>
      <c r="C25" s="258">
        <v>17301.599999999999</v>
      </c>
      <c r="D25" s="260">
        <v>43131</v>
      </c>
      <c r="E25" s="282">
        <v>20057</v>
      </c>
      <c r="F25" s="263" t="s">
        <v>69</v>
      </c>
      <c r="G25" s="406">
        <f ca="1">ROUND(IF(CostTrack[[#This Row],[Holdback (Y/N/R)]]="Yes",CostTrack[[#This Row],[Value]]*-0.1,IF(CostTrack[[#This Row],[Holdback (Y/N/R)]]="Release",CostTrack[[#This Row],[Value]],0)),2)</f>
        <v>0</v>
      </c>
      <c r="H25" s="407">
        <f ca="1">IF(CostTrack[[#This Row],[Holdback (Y/N/R)]]="Release",CostTrack[[#This Row],[Value]],CostTrack[[#This Row],[Value]]+CostTrack[[#This Row],[Holdback Value]])</f>
        <v>20057</v>
      </c>
      <c r="I25" s="258">
        <v>6</v>
      </c>
      <c r="J25" s="258" t="s">
        <v>22</v>
      </c>
      <c r="K25" s="275" t="s">
        <v>268</v>
      </c>
      <c r="L25" s="260" t="s">
        <v>815</v>
      </c>
      <c r="M25" s="260"/>
      <c r="N25" s="258"/>
      <c r="O25" s="260" t="s">
        <v>106</v>
      </c>
      <c r="P25" s="260">
        <v>43133</v>
      </c>
      <c r="Q25" s="243" t="str">
        <f ca="1">IF(CostTrack[[#This Row],[Vendor - Contract]]="","",INDEX(VendorList[PA ID],MATCH(CostTrack[[#This Row],[Vendor - Contract]],VendorList[Vendor / Org. with Contract ID],0)))</f>
        <v>200.050.F1</v>
      </c>
      <c r="R25" s="243" t="str">
        <f ca="1">IF(CostTrack[[#This Row],[Vendor - Contract]]="","",INDEX(VendorList[Primary Category],MATCH(CostTrack[[#This Row],[Vendor - Contract]],VendorList[Vendor / Org. with Contract ID],0)))</f>
        <v>Professional Services</v>
      </c>
      <c r="S25" s="243" t="str">
        <f ca="1">IF(CostTrack[[#This Row],[Vendor - Contract]]="","",INDEX(VendorList[Secondary Category],MATCH(CostTrack[[#This Row],[Vendor - Contract]],VendorList[Vendor / Org. with Contract ID],0)))</f>
        <v>Other Professional Services</v>
      </c>
      <c r="T25" s="243" t="str">
        <f ca="1">IF(CostTrack[[#This Row],[Vendor - Contract]]="","",INDEX(VendorList[Phase / Subproject],MATCH(CostTrack[[#This Row],[Vendor - Contract]],VendorList[Vendor / Org. with Contract ID],0)))</f>
        <v>--</v>
      </c>
      <c r="U25" s="243" t="str">
        <f ca="1">IF(CostTrack[[#This Row],[Vendor - Contract]]="","",INDEX(VendorList[Phase / Subproject 2],MATCH(CostTrack[[#This Row],[Vendor - Contract]],VendorList[Vendor / Org. with Contract ID],0)))</f>
        <v>--</v>
      </c>
      <c r="V25" s="243" t="str">
        <f ca="1">IF(CostTrack[[#This Row],[Vendor - Contract]]="","",INDEX(VendorList[Funding Source],MATCH(CostTrack[[#This Row],[Vendor - Contract]],VendorList[Vendor / Org. with Contract ID],0)))</f>
        <v>P-002360</v>
      </c>
      <c r="W25" s="260">
        <v>43133</v>
      </c>
      <c r="X25" s="251" t="str">
        <f ca="1">IF(CostTrack[[#This Row],[Release Date (CMS)]]="","*","")</f>
        <v/>
      </c>
      <c r="Y25" s="267" t="s">
        <v>28</v>
      </c>
      <c r="Z25" s="270"/>
      <c r="AA25" s="245">
        <f ca="1">IF(OR(CostTrack[[#This Row],[Release Date (CMS)]]&gt;=DATE(VALUE(REPLACE(CostTrack[[#This Row],[Fiscal Period]],3,3,"")),3,1),CostTrack[[#This Row],[Release Date (CMS)]]&lt;DATE(VALUE(LEFT(CostTrack[[#This Row],[Fiscal Period]],4)),4,1)),1,0)</f>
        <v>0</v>
      </c>
      <c r="AB25" s="294">
        <v>20057</v>
      </c>
      <c r="AC25" s="260">
        <v>44224</v>
      </c>
      <c r="AD25" s="402" t="str">
        <f ca="1">IF(CostTrack[[#This Row],[Reconciled Amount]]="","",IF(CostTrack[[#This Row],[Value]]&lt;&gt;CostTrack[[#This Row],[Reconciled Amount]],"Yes","No"))</f>
        <v>No</v>
      </c>
    </row>
    <row r="26" spans="2:30">
      <c r="B26" s="400" t="s">
        <v>564</v>
      </c>
      <c r="C26" s="258" t="s">
        <v>817</v>
      </c>
      <c r="D26" s="260">
        <v>43172</v>
      </c>
      <c r="E26" s="282">
        <v>3319089</v>
      </c>
      <c r="F26" s="263" t="s">
        <v>69</v>
      </c>
      <c r="G26" s="406">
        <f ca="1">ROUND(IF(CostTrack[[#This Row],[Holdback (Y/N/R)]]="Yes",CostTrack[[#This Row],[Value]]*-0.1,IF(CostTrack[[#This Row],[Holdback (Y/N/R)]]="Release",CostTrack[[#This Row],[Value]],0)),2)</f>
        <v>0</v>
      </c>
      <c r="H26" s="407">
        <f ca="1">IF(CostTrack[[#This Row],[Holdback (Y/N/R)]]="Release",CostTrack[[#This Row],[Value]],CostTrack[[#This Row],[Value]]+CostTrack[[#This Row],[Holdback Value]])</f>
        <v>3319089</v>
      </c>
      <c r="I26" s="258">
        <v>1</v>
      </c>
      <c r="J26" s="258" t="s">
        <v>22</v>
      </c>
      <c r="K26" s="275" t="s">
        <v>268</v>
      </c>
      <c r="L26" s="260" t="s">
        <v>815</v>
      </c>
      <c r="M26" s="260"/>
      <c r="N26" s="258"/>
      <c r="O26" s="260" t="s">
        <v>106</v>
      </c>
      <c r="P26" s="260">
        <v>43179</v>
      </c>
      <c r="Q26" s="243" t="str">
        <f ca="1">IF(CostTrack[[#This Row],[Vendor - Contract]]="","",INDEX(VendorList[PA ID],MATCH(CostTrack[[#This Row],[Vendor - Contract]],VendorList[Vendor / Org. with Contract ID],0)))</f>
        <v>500.010.F1</v>
      </c>
      <c r="R26" s="243" t="str">
        <f ca="1">IF(CostTrack[[#This Row],[Vendor - Contract]]="","",INDEX(VendorList[Primary Category],MATCH(CostTrack[[#This Row],[Vendor - Contract]],VendorList[Vendor / Org. with Contract ID],0)))</f>
        <v>Land</v>
      </c>
      <c r="S26" s="243" t="str">
        <f ca="1">IF(CostTrack[[#This Row],[Vendor - Contract]]="","",INDEX(VendorList[Secondary Category],MATCH(CostTrack[[#This Row],[Vendor - Contract]],VendorList[Vendor / Org. with Contract ID],0)))</f>
        <v>Land Purchase</v>
      </c>
      <c r="T26" s="243" t="str">
        <f ca="1">IF(CostTrack[[#This Row],[Vendor - Contract]]="","",INDEX(VendorList[Phase / Subproject],MATCH(CostTrack[[#This Row],[Vendor - Contract]],VendorList[Vendor / Org. with Contract ID],0)))</f>
        <v>--</v>
      </c>
      <c r="U26" s="243" t="str">
        <f ca="1">IF(CostTrack[[#This Row],[Vendor - Contract]]="","",INDEX(VendorList[Phase / Subproject 2],MATCH(CostTrack[[#This Row],[Vendor - Contract]],VendorList[Vendor / Org. with Contract ID],0)))</f>
        <v>--</v>
      </c>
      <c r="V26" s="243" t="str">
        <f ca="1">IF(CostTrack[[#This Row],[Vendor - Contract]]="","",INDEX(VendorList[Funding Source],MATCH(CostTrack[[#This Row],[Vendor - Contract]],VendorList[Vendor / Org. with Contract ID],0)))</f>
        <v>P-002360</v>
      </c>
      <c r="W26" s="260">
        <v>43126</v>
      </c>
      <c r="X26" s="251" t="str">
        <f ca="1">IF(CostTrack[[#This Row],[Release Date (CMS)]]="","*","")</f>
        <v/>
      </c>
      <c r="Y26" s="267" t="s">
        <v>28</v>
      </c>
      <c r="Z26" s="270"/>
      <c r="AA26" s="245">
        <f ca="1">IF(OR(CostTrack[[#This Row],[Release Date (CMS)]]&gt;=DATE(VALUE(REPLACE(CostTrack[[#This Row],[Fiscal Period]],3,3,"")),3,1),CostTrack[[#This Row],[Release Date (CMS)]]&lt;DATE(VALUE(LEFT(CostTrack[[#This Row],[Fiscal Period]],4)),4,1)),1,0)</f>
        <v>0</v>
      </c>
      <c r="AB26" s="294">
        <v>3319089</v>
      </c>
      <c r="AC26" s="260">
        <v>44224</v>
      </c>
      <c r="AD26" s="402" t="str">
        <f ca="1">IF(CostTrack[[#This Row],[Reconciled Amount]]="","",IF(CostTrack[[#This Row],[Value]]&lt;&gt;CostTrack[[#This Row],[Reconciled Amount]],"Yes","No"))</f>
        <v>No</v>
      </c>
    </row>
    <row r="27" spans="2:30">
      <c r="B27" s="400" t="s">
        <v>818</v>
      </c>
      <c r="C27" s="258" t="s">
        <v>819</v>
      </c>
      <c r="D27" s="260">
        <v>42958</v>
      </c>
      <c r="E27" s="282">
        <v>606.47</v>
      </c>
      <c r="F27" s="263" t="s">
        <v>69</v>
      </c>
      <c r="G27" s="406">
        <f ca="1">ROUND(IF(CostTrack[[#This Row],[Holdback (Y/N/R)]]="Yes",CostTrack[[#This Row],[Value]]*-0.1,IF(CostTrack[[#This Row],[Holdback (Y/N/R)]]="Release",CostTrack[[#This Row],[Value]],0)),2)</f>
        <v>0</v>
      </c>
      <c r="H27" s="407">
        <f ca="1">IF(CostTrack[[#This Row],[Holdback (Y/N/R)]]="Release",CostTrack[[#This Row],[Value]],CostTrack[[#This Row],[Value]]+CostTrack[[#This Row],[Holdback Value]])</f>
        <v>606.47</v>
      </c>
      <c r="I27" s="258">
        <v>1</v>
      </c>
      <c r="J27" s="258" t="s">
        <v>22</v>
      </c>
      <c r="K27" s="275" t="s">
        <v>268</v>
      </c>
      <c r="L27" s="260" t="s">
        <v>815</v>
      </c>
      <c r="M27" s="260"/>
      <c r="N27" s="258"/>
      <c r="O27" s="260" t="s">
        <v>106</v>
      </c>
      <c r="P27" s="260">
        <v>42958</v>
      </c>
      <c r="Q27" s="243" t="str">
        <f ca="1">IF(CostTrack[[#This Row],[Vendor - Contract]]="","",INDEX(VendorList[PA ID],MATCH(CostTrack[[#This Row],[Vendor - Contract]],VendorList[Vendor / Org. with Contract ID],0)))</f>
        <v>200.050.F1</v>
      </c>
      <c r="R27" s="243" t="str">
        <f ca="1">IF(CostTrack[[#This Row],[Vendor - Contract]]="","",INDEX(VendorList[Primary Category],MATCH(CostTrack[[#This Row],[Vendor - Contract]],VendorList[Vendor / Org. with Contract ID],0)))</f>
        <v>Professional Services</v>
      </c>
      <c r="S27" s="243" t="str">
        <f ca="1">IF(CostTrack[[#This Row],[Vendor - Contract]]="","",INDEX(VendorList[Secondary Category],MATCH(CostTrack[[#This Row],[Vendor - Contract]],VendorList[Vendor / Org. with Contract ID],0)))</f>
        <v>Other Professional Services</v>
      </c>
      <c r="T27" s="243" t="str">
        <f ca="1">IF(CostTrack[[#This Row],[Vendor - Contract]]="","",INDEX(VendorList[Phase / Subproject],MATCH(CostTrack[[#This Row],[Vendor - Contract]],VendorList[Vendor / Org. with Contract ID],0)))</f>
        <v>--</v>
      </c>
      <c r="U27" s="243" t="str">
        <f ca="1">IF(CostTrack[[#This Row],[Vendor - Contract]]="","",INDEX(VendorList[Phase / Subproject 2],MATCH(CostTrack[[#This Row],[Vendor - Contract]],VendorList[Vendor / Org. with Contract ID],0)))</f>
        <v>--</v>
      </c>
      <c r="V27" s="243" t="str">
        <f ca="1">IF(CostTrack[[#This Row],[Vendor - Contract]]="","",INDEX(VendorList[Funding Source],MATCH(CostTrack[[#This Row],[Vendor - Contract]],VendorList[Vendor / Org. with Contract ID],0)))</f>
        <v>P-002360</v>
      </c>
      <c r="W27" s="260">
        <v>43003</v>
      </c>
      <c r="X27" s="251" t="str">
        <f ca="1">IF(CostTrack[[#This Row],[Release Date (CMS)]]="","*","")</f>
        <v/>
      </c>
      <c r="Y27" s="267" t="s">
        <v>28</v>
      </c>
      <c r="Z27" s="270"/>
      <c r="AA27" s="245">
        <f ca="1">IF(OR(CostTrack[[#This Row],[Release Date (CMS)]]&gt;=DATE(VALUE(REPLACE(CostTrack[[#This Row],[Fiscal Period]],3,3,"")),3,1),CostTrack[[#This Row],[Release Date (CMS)]]&lt;DATE(VALUE(LEFT(CostTrack[[#This Row],[Fiscal Period]],4)),4,1)),1,0)</f>
        <v>0</v>
      </c>
      <c r="AB27" s="294">
        <v>606.47</v>
      </c>
      <c r="AC27" s="260">
        <v>44224</v>
      </c>
      <c r="AD27" s="402" t="str">
        <f ca="1">IF(CostTrack[[#This Row],[Reconciled Amount]]="","",IF(CostTrack[[#This Row],[Value]]&lt;&gt;CostTrack[[#This Row],[Reconciled Amount]],"Yes","No"))</f>
        <v>No</v>
      </c>
    </row>
    <row r="28" spans="2:30">
      <c r="B28" s="400" t="s">
        <v>818</v>
      </c>
      <c r="C28" s="258" t="s">
        <v>820</v>
      </c>
      <c r="D28" s="260">
        <v>42958</v>
      </c>
      <c r="E28" s="282">
        <v>661.26</v>
      </c>
      <c r="F28" s="263" t="s">
        <v>69</v>
      </c>
      <c r="G28" s="406">
        <f ca="1">ROUND(IF(CostTrack[[#This Row],[Holdback (Y/N/R)]]="Yes",CostTrack[[#This Row],[Value]]*-0.1,IF(CostTrack[[#This Row],[Holdback (Y/N/R)]]="Release",CostTrack[[#This Row],[Value]],0)),2)</f>
        <v>0</v>
      </c>
      <c r="H28" s="407">
        <f ca="1">IF(CostTrack[[#This Row],[Holdback (Y/N/R)]]="Release",CostTrack[[#This Row],[Value]],CostTrack[[#This Row],[Value]]+CostTrack[[#This Row],[Holdback Value]])</f>
        <v>661.26</v>
      </c>
      <c r="I28" s="258">
        <v>2</v>
      </c>
      <c r="J28" s="258" t="s">
        <v>22</v>
      </c>
      <c r="K28" s="275" t="s">
        <v>268</v>
      </c>
      <c r="L28" s="260" t="s">
        <v>815</v>
      </c>
      <c r="M28" s="260"/>
      <c r="N28" s="258"/>
      <c r="O28" s="260" t="s">
        <v>106</v>
      </c>
      <c r="P28" s="260">
        <v>42958</v>
      </c>
      <c r="Q28" s="243" t="str">
        <f ca="1">IF(CostTrack[[#This Row],[Vendor - Contract]]="","",INDEX(VendorList[PA ID],MATCH(CostTrack[[#This Row],[Vendor - Contract]],VendorList[Vendor / Org. with Contract ID],0)))</f>
        <v>200.050.F1</v>
      </c>
      <c r="R28" s="243" t="str">
        <f ca="1">IF(CostTrack[[#This Row],[Vendor - Contract]]="","",INDEX(VendorList[Primary Category],MATCH(CostTrack[[#This Row],[Vendor - Contract]],VendorList[Vendor / Org. with Contract ID],0)))</f>
        <v>Professional Services</v>
      </c>
      <c r="S28" s="243" t="str">
        <f ca="1">IF(CostTrack[[#This Row],[Vendor - Contract]]="","",INDEX(VendorList[Secondary Category],MATCH(CostTrack[[#This Row],[Vendor - Contract]],VendorList[Vendor / Org. with Contract ID],0)))</f>
        <v>Other Professional Services</v>
      </c>
      <c r="T28" s="243" t="str">
        <f ca="1">IF(CostTrack[[#This Row],[Vendor - Contract]]="","",INDEX(VendorList[Phase / Subproject],MATCH(CostTrack[[#This Row],[Vendor - Contract]],VendorList[Vendor / Org. with Contract ID],0)))</f>
        <v>--</v>
      </c>
      <c r="U28" s="243" t="str">
        <f ca="1">IF(CostTrack[[#This Row],[Vendor - Contract]]="","",INDEX(VendorList[Phase / Subproject 2],MATCH(CostTrack[[#This Row],[Vendor - Contract]],VendorList[Vendor / Org. with Contract ID],0)))</f>
        <v>--</v>
      </c>
      <c r="V28" s="243" t="str">
        <f ca="1">IF(CostTrack[[#This Row],[Vendor - Contract]]="","",INDEX(VendorList[Funding Source],MATCH(CostTrack[[#This Row],[Vendor - Contract]],VendorList[Vendor / Org. with Contract ID],0)))</f>
        <v>P-002360</v>
      </c>
      <c r="W28" s="260">
        <v>43003</v>
      </c>
      <c r="X28" s="251" t="str">
        <f ca="1">IF(CostTrack[[#This Row],[Release Date (CMS)]]="","*","")</f>
        <v/>
      </c>
      <c r="Y28" s="267" t="s">
        <v>28</v>
      </c>
      <c r="Z28" s="270"/>
      <c r="AA28" s="245">
        <f ca="1">IF(OR(CostTrack[[#This Row],[Release Date (CMS)]]&gt;=DATE(VALUE(REPLACE(CostTrack[[#This Row],[Fiscal Period]],3,3,"")),3,1),CostTrack[[#This Row],[Release Date (CMS)]]&lt;DATE(VALUE(LEFT(CostTrack[[#This Row],[Fiscal Period]],4)),4,1)),1,0)</f>
        <v>0</v>
      </c>
      <c r="AB28" s="294">
        <v>661.26</v>
      </c>
      <c r="AC28" s="260">
        <v>44224</v>
      </c>
      <c r="AD28" s="402" t="str">
        <f ca="1">IF(CostTrack[[#This Row],[Reconciled Amount]]="","",IF(CostTrack[[#This Row],[Value]]&lt;&gt;CostTrack[[#This Row],[Reconciled Amount]],"Yes","No"))</f>
        <v>No</v>
      </c>
    </row>
    <row r="29" spans="2:30">
      <c r="B29" s="400" t="s">
        <v>821</v>
      </c>
      <c r="C29" s="258" t="s">
        <v>822</v>
      </c>
      <c r="D29" s="260">
        <v>43171</v>
      </c>
      <c r="E29" s="282">
        <v>166.55</v>
      </c>
      <c r="F29" s="263" t="s">
        <v>69</v>
      </c>
      <c r="G29" s="406">
        <f ca="1">ROUND(IF(CostTrack[[#This Row],[Holdback (Y/N/R)]]="Yes",CostTrack[[#This Row],[Value]]*-0.1,IF(CostTrack[[#This Row],[Holdback (Y/N/R)]]="Release",CostTrack[[#This Row],[Value]],0)),2)</f>
        <v>0</v>
      </c>
      <c r="H29" s="407">
        <f ca="1">IF(CostTrack[[#This Row],[Holdback (Y/N/R)]]="Release",CostTrack[[#This Row],[Value]],CostTrack[[#This Row],[Value]]+CostTrack[[#This Row],[Holdback Value]])</f>
        <v>166.55</v>
      </c>
      <c r="I29" s="258">
        <v>1</v>
      </c>
      <c r="J29" s="258" t="s">
        <v>22</v>
      </c>
      <c r="K29" s="275" t="s">
        <v>268</v>
      </c>
      <c r="L29" s="260" t="s">
        <v>815</v>
      </c>
      <c r="M29" s="260"/>
      <c r="N29" s="258"/>
      <c r="O29" s="260" t="s">
        <v>106</v>
      </c>
      <c r="P29" s="260">
        <v>43171</v>
      </c>
      <c r="Q29" s="243" t="str">
        <f ca="1">IF(CostTrack[[#This Row],[Vendor - Contract]]="","",INDEX(VendorList[PA ID],MATCH(CostTrack[[#This Row],[Vendor - Contract]],VendorList[Vendor / Org. with Contract ID],0)))</f>
        <v>100.050.F1</v>
      </c>
      <c r="R29" s="243" t="str">
        <f ca="1">IF(CostTrack[[#This Row],[Vendor - Contract]]="","",INDEX(VendorList[Primary Category],MATCH(CostTrack[[#This Row],[Vendor - Contract]],VendorList[Vendor / Org. with Contract ID],0)))</f>
        <v>Administration</v>
      </c>
      <c r="S29" s="243" t="str">
        <f ca="1">IF(CostTrack[[#This Row],[Vendor - Contract]]="","",INDEX(VendorList[Secondary Category],MATCH(CostTrack[[#This Row],[Vendor - Contract]],VendorList[Vendor / Org. with Contract ID],0)))</f>
        <v>Other Administration</v>
      </c>
      <c r="T29" s="243" t="str">
        <f ca="1">IF(CostTrack[[#This Row],[Vendor - Contract]]="","",INDEX(VendorList[Phase / Subproject],MATCH(CostTrack[[#This Row],[Vendor - Contract]],VendorList[Vendor / Org. with Contract ID],0)))</f>
        <v>--</v>
      </c>
      <c r="U29" s="243" t="str">
        <f ca="1">IF(CostTrack[[#This Row],[Vendor - Contract]]="","",INDEX(VendorList[Phase / Subproject 2],MATCH(CostTrack[[#This Row],[Vendor - Contract]],VendorList[Vendor / Org. with Contract ID],0)))</f>
        <v>--</v>
      </c>
      <c r="V29" s="243" t="str">
        <f ca="1">IF(CostTrack[[#This Row],[Vendor - Contract]]="","",INDEX(VendorList[Funding Source],MATCH(CostTrack[[#This Row],[Vendor - Contract]],VendorList[Vendor / Org. with Contract ID],0)))</f>
        <v>P-002360</v>
      </c>
      <c r="W29" s="260">
        <v>43184</v>
      </c>
      <c r="X29" s="251" t="str">
        <f ca="1">IF(CostTrack[[#This Row],[Release Date (CMS)]]="","*","")</f>
        <v/>
      </c>
      <c r="Y29" s="267" t="s">
        <v>28</v>
      </c>
      <c r="Z29" s="270"/>
      <c r="AA29" s="245">
        <f ca="1">IF(OR(CostTrack[[#This Row],[Release Date (CMS)]]&gt;=DATE(VALUE(REPLACE(CostTrack[[#This Row],[Fiscal Period]],3,3,"")),3,1),CostTrack[[#This Row],[Release Date (CMS)]]&lt;DATE(VALUE(LEFT(CostTrack[[#This Row],[Fiscal Period]],4)),4,1)),1,0)</f>
        <v>1</v>
      </c>
      <c r="AB29" s="294">
        <v>166.55</v>
      </c>
      <c r="AC29" s="260">
        <v>44224</v>
      </c>
      <c r="AD29" s="402" t="str">
        <f ca="1">IF(CostTrack[[#This Row],[Reconciled Amount]]="","",IF(CostTrack[[#This Row],[Value]]&lt;&gt;CostTrack[[#This Row],[Reconciled Amount]],"Yes","No"))</f>
        <v>No</v>
      </c>
    </row>
    <row r="30" spans="2:30">
      <c r="B30" s="400" t="s">
        <v>823</v>
      </c>
      <c r="C30" s="258">
        <v>33451</v>
      </c>
      <c r="D30" s="260">
        <v>43172</v>
      </c>
      <c r="E30" s="282">
        <v>5985</v>
      </c>
      <c r="F30" s="263" t="s">
        <v>69</v>
      </c>
      <c r="G30" s="406">
        <f ca="1">ROUND(IF(CostTrack[[#This Row],[Holdback (Y/N/R)]]="Yes",CostTrack[[#This Row],[Value]]*-0.1,IF(CostTrack[[#This Row],[Holdback (Y/N/R)]]="Release",CostTrack[[#This Row],[Value]],0)),2)</f>
        <v>0</v>
      </c>
      <c r="H30" s="407">
        <f ca="1">IF(CostTrack[[#This Row],[Holdback (Y/N/R)]]="Release",CostTrack[[#This Row],[Value]],CostTrack[[#This Row],[Value]]+CostTrack[[#This Row],[Holdback Value]])</f>
        <v>5985</v>
      </c>
      <c r="I30" s="258">
        <v>1</v>
      </c>
      <c r="J30" s="258" t="s">
        <v>22</v>
      </c>
      <c r="K30" s="275" t="s">
        <v>268</v>
      </c>
      <c r="L30" s="260" t="s">
        <v>815</v>
      </c>
      <c r="M30" s="260"/>
      <c r="N30" s="258"/>
      <c r="O30" s="260" t="s">
        <v>106</v>
      </c>
      <c r="P30" s="260">
        <v>43172</v>
      </c>
      <c r="Q30" s="243" t="str">
        <f ca="1">IF(CostTrack[[#This Row],[Vendor - Contract]]="","",INDEX(VendorList[PA ID],MATCH(CostTrack[[#This Row],[Vendor - Contract]],VendorList[Vendor / Org. with Contract ID],0)))</f>
        <v>100.050.F1</v>
      </c>
      <c r="R30" s="243" t="str">
        <f ca="1">IF(CostTrack[[#This Row],[Vendor - Contract]]="","",INDEX(VendorList[Primary Category],MATCH(CostTrack[[#This Row],[Vendor - Contract]],VendorList[Vendor / Org. with Contract ID],0)))</f>
        <v>Administration</v>
      </c>
      <c r="S30" s="243" t="str">
        <f ca="1">IF(CostTrack[[#This Row],[Vendor - Contract]]="","",INDEX(VendorList[Secondary Category],MATCH(CostTrack[[#This Row],[Vendor - Contract]],VendorList[Vendor / Org. with Contract ID],0)))</f>
        <v>Other Administration</v>
      </c>
      <c r="T30" s="243" t="str">
        <f ca="1">IF(CostTrack[[#This Row],[Vendor - Contract]]="","",INDEX(VendorList[Phase / Subproject],MATCH(CostTrack[[#This Row],[Vendor - Contract]],VendorList[Vendor / Org. with Contract ID],0)))</f>
        <v>--</v>
      </c>
      <c r="U30" s="243" t="str">
        <f ca="1">IF(CostTrack[[#This Row],[Vendor - Contract]]="","",INDEX(VendorList[Phase / Subproject 2],MATCH(CostTrack[[#This Row],[Vendor - Contract]],VendorList[Vendor / Org. with Contract ID],0)))</f>
        <v>--</v>
      </c>
      <c r="V30" s="243" t="str">
        <f ca="1">IF(CostTrack[[#This Row],[Vendor - Contract]]="","",INDEX(VendorList[Funding Source],MATCH(CostTrack[[#This Row],[Vendor - Contract]],VendorList[Vendor / Org. with Contract ID],0)))</f>
        <v>P-002360</v>
      </c>
      <c r="W30" s="260">
        <v>43190</v>
      </c>
      <c r="X30" s="251" t="str">
        <f ca="1">IF(CostTrack[[#This Row],[Release Date (CMS)]]="","*","")</f>
        <v/>
      </c>
      <c r="Y30" s="267" t="s">
        <v>28</v>
      </c>
      <c r="Z30" s="270"/>
      <c r="AA30" s="245">
        <f ca="1">IF(OR(CostTrack[[#This Row],[Release Date (CMS)]]&gt;=DATE(VALUE(REPLACE(CostTrack[[#This Row],[Fiscal Period]],3,3,"")),3,1),CostTrack[[#This Row],[Release Date (CMS)]]&lt;DATE(VALUE(LEFT(CostTrack[[#This Row],[Fiscal Period]],4)),4,1)),1,0)</f>
        <v>1</v>
      </c>
      <c r="AB30" s="294">
        <v>5985</v>
      </c>
      <c r="AC30" s="260">
        <v>44224</v>
      </c>
      <c r="AD30" s="402" t="str">
        <f ca="1">IF(CostTrack[[#This Row],[Reconciled Amount]]="","",IF(CostTrack[[#This Row],[Value]]&lt;&gt;CostTrack[[#This Row],[Reconciled Amount]],"Yes","No"))</f>
        <v>No</v>
      </c>
    </row>
    <row r="31" spans="2:30">
      <c r="B31" s="400" t="s">
        <v>564</v>
      </c>
      <c r="C31" s="258" t="s">
        <v>824</v>
      </c>
      <c r="D31" s="260">
        <v>43238</v>
      </c>
      <c r="E31" s="282">
        <v>304170</v>
      </c>
      <c r="F31" s="263" t="s">
        <v>69</v>
      </c>
      <c r="G31" s="406">
        <f ca="1">ROUND(IF(CostTrack[[#This Row],[Holdback (Y/N/R)]]="Yes",CostTrack[[#This Row],[Value]]*-0.1,IF(CostTrack[[#This Row],[Holdback (Y/N/R)]]="Release",CostTrack[[#This Row],[Value]],0)),2)</f>
        <v>0</v>
      </c>
      <c r="H31" s="407">
        <f ca="1">IF(CostTrack[[#This Row],[Holdback (Y/N/R)]]="Release",CostTrack[[#This Row],[Value]],CostTrack[[#This Row],[Value]]+CostTrack[[#This Row],[Holdback Value]])</f>
        <v>304170</v>
      </c>
      <c r="I31" s="258">
        <v>2</v>
      </c>
      <c r="J31" s="258" t="s">
        <v>22</v>
      </c>
      <c r="K31" s="275" t="s">
        <v>268</v>
      </c>
      <c r="L31" s="260" t="s">
        <v>815</v>
      </c>
      <c r="M31" s="260"/>
      <c r="N31" s="258"/>
      <c r="O31" s="260" t="s">
        <v>106</v>
      </c>
      <c r="P31" s="260">
        <v>43242</v>
      </c>
      <c r="Q31" s="243" t="str">
        <f ca="1">IF(CostTrack[[#This Row],[Vendor - Contract]]="","",INDEX(VendorList[PA ID],MATCH(CostTrack[[#This Row],[Vendor - Contract]],VendorList[Vendor / Org. with Contract ID],0)))</f>
        <v>500.010.F1</v>
      </c>
      <c r="R31" s="243" t="str">
        <f ca="1">IF(CostTrack[[#This Row],[Vendor - Contract]]="","",INDEX(VendorList[Primary Category],MATCH(CostTrack[[#This Row],[Vendor - Contract]],VendorList[Vendor / Org. with Contract ID],0)))</f>
        <v>Land</v>
      </c>
      <c r="S31" s="243" t="str">
        <f ca="1">IF(CostTrack[[#This Row],[Vendor - Contract]]="","",INDEX(VendorList[Secondary Category],MATCH(CostTrack[[#This Row],[Vendor - Contract]],VendorList[Vendor / Org. with Contract ID],0)))</f>
        <v>Land Purchase</v>
      </c>
      <c r="T31" s="243" t="str">
        <f ca="1">IF(CostTrack[[#This Row],[Vendor - Contract]]="","",INDEX(VendorList[Phase / Subproject],MATCH(CostTrack[[#This Row],[Vendor - Contract]],VendorList[Vendor / Org. with Contract ID],0)))</f>
        <v>--</v>
      </c>
      <c r="U31" s="243" t="str">
        <f ca="1">IF(CostTrack[[#This Row],[Vendor - Contract]]="","",INDEX(VendorList[Phase / Subproject 2],MATCH(CostTrack[[#This Row],[Vendor - Contract]],VendorList[Vendor / Org. with Contract ID],0)))</f>
        <v>--</v>
      </c>
      <c r="V31" s="243" t="str">
        <f ca="1">IF(CostTrack[[#This Row],[Vendor - Contract]]="","",INDEX(VendorList[Funding Source],MATCH(CostTrack[[#This Row],[Vendor - Contract]],VendorList[Vendor / Org. with Contract ID],0)))</f>
        <v>P-002360</v>
      </c>
      <c r="W31" s="260">
        <v>43242</v>
      </c>
      <c r="X31" s="251" t="str">
        <f ca="1">IF(CostTrack[[#This Row],[Release Date (CMS)]]="","*","")</f>
        <v/>
      </c>
      <c r="Y31" s="267" t="s">
        <v>34</v>
      </c>
      <c r="Z31" s="270"/>
      <c r="AA31" s="245">
        <f ca="1">IF(OR(CostTrack[[#This Row],[Release Date (CMS)]]&gt;=DATE(VALUE(REPLACE(CostTrack[[#This Row],[Fiscal Period]],3,3,"")),3,1),CostTrack[[#This Row],[Release Date (CMS)]]&lt;DATE(VALUE(LEFT(CostTrack[[#This Row],[Fiscal Period]],4)),4,1)),1,0)</f>
        <v>0</v>
      </c>
      <c r="AB31" s="294">
        <v>304170</v>
      </c>
      <c r="AC31" s="260">
        <v>44224</v>
      </c>
      <c r="AD31" s="402" t="str">
        <f ca="1">IF(CostTrack[[#This Row],[Reconciled Amount]]="","",IF(CostTrack[[#This Row],[Value]]&lt;&gt;CostTrack[[#This Row],[Reconciled Amount]],"Yes","No"))</f>
        <v>No</v>
      </c>
    </row>
    <row r="32" spans="2:30">
      <c r="B32" s="400" t="s">
        <v>825</v>
      </c>
      <c r="C32" s="258" t="s">
        <v>826</v>
      </c>
      <c r="D32" s="260">
        <v>43262</v>
      </c>
      <c r="E32" s="282">
        <v>1005352.97</v>
      </c>
      <c r="F32" s="263" t="s">
        <v>69</v>
      </c>
      <c r="G32" s="406">
        <f ca="1">ROUND(IF(CostTrack[[#This Row],[Holdback (Y/N/R)]]="Yes",CostTrack[[#This Row],[Value]]*-0.1,IF(CostTrack[[#This Row],[Holdback (Y/N/R)]]="Release",CostTrack[[#This Row],[Value]],0)),2)</f>
        <v>0</v>
      </c>
      <c r="H32" s="407">
        <f ca="1">IF(CostTrack[[#This Row],[Holdback (Y/N/R)]]="Release",CostTrack[[#This Row],[Value]],CostTrack[[#This Row],[Value]]+CostTrack[[#This Row],[Holdback Value]])</f>
        <v>1005352.97</v>
      </c>
      <c r="I32" s="258">
        <v>1</v>
      </c>
      <c r="J32" s="258" t="s">
        <v>22</v>
      </c>
      <c r="K32" s="275" t="s">
        <v>268</v>
      </c>
      <c r="L32" s="260" t="s">
        <v>815</v>
      </c>
      <c r="M32" s="260"/>
      <c r="N32" s="258"/>
      <c r="O32" s="260" t="s">
        <v>106</v>
      </c>
      <c r="P32" s="260">
        <v>43273</v>
      </c>
      <c r="Q32" s="243" t="str">
        <f ca="1">IF(CostTrack[[#This Row],[Vendor - Contract]]="","",INDEX(VendorList[PA ID],MATCH(CostTrack[[#This Row],[Vendor - Contract]],VendorList[Vendor / Org. with Contract ID],0)))</f>
        <v>500.010.F1</v>
      </c>
      <c r="R32" s="243" t="str">
        <f ca="1">IF(CostTrack[[#This Row],[Vendor - Contract]]="","",INDEX(VendorList[Primary Category],MATCH(CostTrack[[#This Row],[Vendor - Contract]],VendorList[Vendor / Org. with Contract ID],0)))</f>
        <v>Land</v>
      </c>
      <c r="S32" s="243" t="str">
        <f ca="1">IF(CostTrack[[#This Row],[Vendor - Contract]]="","",INDEX(VendorList[Secondary Category],MATCH(CostTrack[[#This Row],[Vendor - Contract]],VendorList[Vendor / Org. with Contract ID],0)))</f>
        <v>Land Purchase</v>
      </c>
      <c r="T32" s="243" t="str">
        <f ca="1">IF(CostTrack[[#This Row],[Vendor - Contract]]="","",INDEX(VendorList[Phase / Subproject],MATCH(CostTrack[[#This Row],[Vendor - Contract]],VendorList[Vendor / Org. with Contract ID],0)))</f>
        <v>--</v>
      </c>
      <c r="U32" s="243" t="str">
        <f ca="1">IF(CostTrack[[#This Row],[Vendor - Contract]]="","",INDEX(VendorList[Phase / Subproject 2],MATCH(CostTrack[[#This Row],[Vendor - Contract]],VendorList[Vendor / Org. with Contract ID],0)))</f>
        <v>--</v>
      </c>
      <c r="V32" s="243" t="str">
        <f ca="1">IF(CostTrack[[#This Row],[Vendor - Contract]]="","",INDEX(VendorList[Funding Source],MATCH(CostTrack[[#This Row],[Vendor - Contract]],VendorList[Vendor / Org. with Contract ID],0)))</f>
        <v>P-002360</v>
      </c>
      <c r="W32" s="260">
        <v>43273</v>
      </c>
      <c r="X32" s="251" t="str">
        <f ca="1">IF(CostTrack[[#This Row],[Release Date (CMS)]]="","*","")</f>
        <v/>
      </c>
      <c r="Y32" s="267" t="s">
        <v>34</v>
      </c>
      <c r="Z32" s="270"/>
      <c r="AA32" s="245">
        <f ca="1">IF(OR(CostTrack[[#This Row],[Release Date (CMS)]]&gt;=DATE(VALUE(REPLACE(CostTrack[[#This Row],[Fiscal Period]],3,3,"")),3,1),CostTrack[[#This Row],[Release Date (CMS)]]&lt;DATE(VALUE(LEFT(CostTrack[[#This Row],[Fiscal Period]],4)),4,1)),1,0)</f>
        <v>0</v>
      </c>
      <c r="AB32" s="294">
        <v>1005352.97</v>
      </c>
      <c r="AC32" s="260">
        <v>44224</v>
      </c>
      <c r="AD32" s="402" t="str">
        <f ca="1">IF(CostTrack[[#This Row],[Reconciled Amount]]="","",IF(CostTrack[[#This Row],[Value]]&lt;&gt;CostTrack[[#This Row],[Reconciled Amount]],"Yes","No"))</f>
        <v>No</v>
      </c>
    </row>
    <row r="33" spans="2:30">
      <c r="B33" s="400" t="s">
        <v>527</v>
      </c>
      <c r="C33" s="259" t="s">
        <v>827</v>
      </c>
      <c r="D33" s="260">
        <v>43281</v>
      </c>
      <c r="E33" s="282">
        <v>406894.95</v>
      </c>
      <c r="F33" s="263" t="s">
        <v>69</v>
      </c>
      <c r="G33" s="406">
        <f ca="1">ROUND(IF(CostTrack[[#This Row],[Holdback (Y/N/R)]]="Yes",CostTrack[[#This Row],[Value]]*-0.1,IF(CostTrack[[#This Row],[Holdback (Y/N/R)]]="Release",CostTrack[[#This Row],[Value]],0)),2)</f>
        <v>0</v>
      </c>
      <c r="H33" s="407">
        <f ca="1">IF(CostTrack[[#This Row],[Holdback (Y/N/R)]]="Release",CostTrack[[#This Row],[Value]],CostTrack[[#This Row],[Value]]+CostTrack[[#This Row],[Holdback Value]])</f>
        <v>406894.95</v>
      </c>
      <c r="I33" s="258">
        <v>2</v>
      </c>
      <c r="J33" s="258" t="s">
        <v>22</v>
      </c>
      <c r="K33" s="275" t="s">
        <v>828</v>
      </c>
      <c r="L33" s="260">
        <v>43291</v>
      </c>
      <c r="M33" s="260"/>
      <c r="N33" s="258"/>
      <c r="O33" s="260" t="s">
        <v>106</v>
      </c>
      <c r="P33" s="260">
        <v>43294</v>
      </c>
      <c r="Q33" s="243" t="str">
        <f ca="1">IF(CostTrack[[#This Row],[Vendor - Contract]]="","",INDEX(VendorList[PA ID],MATCH(CostTrack[[#This Row],[Vendor - Contract]],VendorList[Vendor / Org. with Contract ID],0)))</f>
        <v>200.010.F1</v>
      </c>
      <c r="R33" s="243" t="str">
        <f ca="1">IF(CostTrack[[#This Row],[Vendor - Contract]]="","",INDEX(VendorList[Primary Category],MATCH(CostTrack[[#This Row],[Vendor - Contract]],VendorList[Vendor / Org. with Contract ID],0)))</f>
        <v>Professional Services</v>
      </c>
      <c r="S33" s="243" t="str">
        <f ca="1">IF(CostTrack[[#This Row],[Vendor - Contract]]="","",INDEX(VendorList[Secondary Category],MATCH(CostTrack[[#This Row],[Vendor - Contract]],VendorList[Vendor / Org. with Contract ID],0)))</f>
        <v>Prime Consultant</v>
      </c>
      <c r="T33" s="243" t="str">
        <f ca="1">IF(CostTrack[[#This Row],[Vendor - Contract]]="","",INDEX(VendorList[Phase / Subproject],MATCH(CostTrack[[#This Row],[Vendor - Contract]],VendorList[Vendor / Org. with Contract ID],0)))</f>
        <v>--</v>
      </c>
      <c r="U33" s="243" t="str">
        <f ca="1">IF(CostTrack[[#This Row],[Vendor - Contract]]="","",INDEX(VendorList[Phase / Subproject 2],MATCH(CostTrack[[#This Row],[Vendor - Contract]],VendorList[Vendor / Org. with Contract ID],0)))</f>
        <v>--</v>
      </c>
      <c r="V33" s="243" t="str">
        <f ca="1">IF(CostTrack[[#This Row],[Vendor - Contract]]="","",INDEX(VendorList[Funding Source],MATCH(CostTrack[[#This Row],[Vendor - Contract]],VendorList[Vendor / Org. with Contract ID],0)))</f>
        <v>P-002360</v>
      </c>
      <c r="W33" s="260">
        <v>43297</v>
      </c>
      <c r="X33" s="251" t="str">
        <f ca="1">IF(CostTrack[[#This Row],[Release Date (CMS)]]="","*","")</f>
        <v/>
      </c>
      <c r="Y33" s="267" t="s">
        <v>34</v>
      </c>
      <c r="Z33" s="270"/>
      <c r="AA33" s="245">
        <f ca="1">IF(OR(CostTrack[[#This Row],[Release Date (CMS)]]&gt;=DATE(VALUE(REPLACE(CostTrack[[#This Row],[Fiscal Period]],3,3,"")),3,1),CostTrack[[#This Row],[Release Date (CMS)]]&lt;DATE(VALUE(LEFT(CostTrack[[#This Row],[Fiscal Period]],4)),4,1)),1,0)</f>
        <v>0</v>
      </c>
      <c r="AB33" s="294">
        <v>406894.95</v>
      </c>
      <c r="AC33" s="260">
        <v>44224</v>
      </c>
      <c r="AD33" s="402" t="str">
        <f ca="1">IF(CostTrack[[#This Row],[Reconciled Amount]]="","",IF(CostTrack[[#This Row],[Value]]&lt;&gt;CostTrack[[#This Row],[Reconciled Amount]],"Yes","No"))</f>
        <v>No</v>
      </c>
    </row>
    <row r="34" spans="2:30">
      <c r="B34" s="400" t="s">
        <v>527</v>
      </c>
      <c r="C34" s="259" t="s">
        <v>829</v>
      </c>
      <c r="D34" s="260">
        <v>43312</v>
      </c>
      <c r="E34" s="282">
        <v>358447.1</v>
      </c>
      <c r="F34" s="263" t="s">
        <v>69</v>
      </c>
      <c r="G34" s="406">
        <f ca="1">ROUND(IF(CostTrack[[#This Row],[Holdback (Y/N/R)]]="Yes",CostTrack[[#This Row],[Value]]*-0.1,IF(CostTrack[[#This Row],[Holdback (Y/N/R)]]="Release",CostTrack[[#This Row],[Value]],0)),2)</f>
        <v>0</v>
      </c>
      <c r="H34" s="407">
        <f ca="1">IF(CostTrack[[#This Row],[Holdback (Y/N/R)]]="Release",CostTrack[[#This Row],[Value]],CostTrack[[#This Row],[Value]]+CostTrack[[#This Row],[Holdback Value]])</f>
        <v>358447.1</v>
      </c>
      <c r="I34" s="258">
        <v>3</v>
      </c>
      <c r="J34" s="258" t="s">
        <v>22</v>
      </c>
      <c r="K34" s="275" t="s">
        <v>830</v>
      </c>
      <c r="L34" s="260">
        <v>43314</v>
      </c>
      <c r="M34" s="260"/>
      <c r="N34" s="258"/>
      <c r="O34" s="260" t="s">
        <v>106</v>
      </c>
      <c r="P34" s="260">
        <v>43325</v>
      </c>
      <c r="Q34" s="243" t="str">
        <f ca="1">IF(CostTrack[[#This Row],[Vendor - Contract]]="","",INDEX(VendorList[PA ID],MATCH(CostTrack[[#This Row],[Vendor - Contract]],VendorList[Vendor / Org. with Contract ID],0)))</f>
        <v>200.010.F1</v>
      </c>
      <c r="R34" s="243" t="str">
        <f ca="1">IF(CostTrack[[#This Row],[Vendor - Contract]]="","",INDEX(VendorList[Primary Category],MATCH(CostTrack[[#This Row],[Vendor - Contract]],VendorList[Vendor / Org. with Contract ID],0)))</f>
        <v>Professional Services</v>
      </c>
      <c r="S34" s="243" t="str">
        <f ca="1">IF(CostTrack[[#This Row],[Vendor - Contract]]="","",INDEX(VendorList[Secondary Category],MATCH(CostTrack[[#This Row],[Vendor - Contract]],VendorList[Vendor / Org. with Contract ID],0)))</f>
        <v>Prime Consultant</v>
      </c>
      <c r="T34" s="243" t="str">
        <f ca="1">IF(CostTrack[[#This Row],[Vendor - Contract]]="","",INDEX(VendorList[Phase / Subproject],MATCH(CostTrack[[#This Row],[Vendor - Contract]],VendorList[Vendor / Org. with Contract ID],0)))</f>
        <v>--</v>
      </c>
      <c r="U34" s="243" t="str">
        <f ca="1">IF(CostTrack[[#This Row],[Vendor - Contract]]="","",INDEX(VendorList[Phase / Subproject 2],MATCH(CostTrack[[#This Row],[Vendor - Contract]],VendorList[Vendor / Org. with Contract ID],0)))</f>
        <v>--</v>
      </c>
      <c r="V34" s="243" t="str">
        <f ca="1">IF(CostTrack[[#This Row],[Vendor - Contract]]="","",INDEX(VendorList[Funding Source],MATCH(CostTrack[[#This Row],[Vendor - Contract]],VendorList[Vendor / Org. with Contract ID],0)))</f>
        <v>P-002360</v>
      </c>
      <c r="W34" s="260">
        <v>43327</v>
      </c>
      <c r="X34" s="251" t="str">
        <f ca="1">IF(CostTrack[[#This Row],[Release Date (CMS)]]="","*","")</f>
        <v/>
      </c>
      <c r="Y34" s="267" t="s">
        <v>34</v>
      </c>
      <c r="Z34" s="270"/>
      <c r="AA34" s="245">
        <f ca="1">IF(OR(CostTrack[[#This Row],[Release Date (CMS)]]&gt;=DATE(VALUE(REPLACE(CostTrack[[#This Row],[Fiscal Period]],3,3,"")),3,1),CostTrack[[#This Row],[Release Date (CMS)]]&lt;DATE(VALUE(LEFT(CostTrack[[#This Row],[Fiscal Period]],4)),4,1)),1,0)</f>
        <v>0</v>
      </c>
      <c r="AB34" s="294">
        <v>358447.1</v>
      </c>
      <c r="AC34" s="260">
        <v>44224</v>
      </c>
      <c r="AD34" s="402" t="str">
        <f ca="1">IF(CostTrack[[#This Row],[Reconciled Amount]]="","",IF(CostTrack[[#This Row],[Value]]&lt;&gt;CostTrack[[#This Row],[Reconciled Amount]],"Yes","No"))</f>
        <v>No</v>
      </c>
    </row>
    <row r="35" spans="2:30">
      <c r="B35" s="400" t="s">
        <v>543</v>
      </c>
      <c r="C35" s="259">
        <v>1441357</v>
      </c>
      <c r="D35" s="260">
        <v>43333</v>
      </c>
      <c r="E35" s="282">
        <v>2320</v>
      </c>
      <c r="F35" s="263" t="s">
        <v>69</v>
      </c>
      <c r="G35" s="406">
        <f ca="1">ROUND(IF(CostTrack[[#This Row],[Holdback (Y/N/R)]]="Yes",CostTrack[[#This Row],[Value]]*-0.1,IF(CostTrack[[#This Row],[Holdback (Y/N/R)]]="Release",CostTrack[[#This Row],[Value]],0)),2)</f>
        <v>0</v>
      </c>
      <c r="H35" s="407">
        <f ca="1">IF(CostTrack[[#This Row],[Holdback (Y/N/R)]]="Release",CostTrack[[#This Row],[Value]],CostTrack[[#This Row],[Value]]+CostTrack[[#This Row],[Holdback Value]])</f>
        <v>2320</v>
      </c>
      <c r="I35" s="258">
        <v>2</v>
      </c>
      <c r="J35" s="258" t="s">
        <v>22</v>
      </c>
      <c r="K35" s="275" t="s">
        <v>268</v>
      </c>
      <c r="L35" s="260">
        <v>43333</v>
      </c>
      <c r="M35" s="260"/>
      <c r="N35" s="258"/>
      <c r="O35" s="260" t="s">
        <v>106</v>
      </c>
      <c r="P35" s="260">
        <v>43348</v>
      </c>
      <c r="Q35" s="243" t="str">
        <f ca="1">IF(CostTrack[[#This Row],[Vendor - Contract]]="","",INDEX(VendorList[PA ID],MATCH(CostTrack[[#This Row],[Vendor - Contract]],VendorList[Vendor / Org. with Contract ID],0)))</f>
        <v>200.050.F1</v>
      </c>
      <c r="R35" s="243" t="str">
        <f ca="1">IF(CostTrack[[#This Row],[Vendor - Contract]]="","",INDEX(VendorList[Primary Category],MATCH(CostTrack[[#This Row],[Vendor - Contract]],VendorList[Vendor / Org. with Contract ID],0)))</f>
        <v>Professional Services</v>
      </c>
      <c r="S35" s="243" t="str">
        <f ca="1">IF(CostTrack[[#This Row],[Vendor - Contract]]="","",INDEX(VendorList[Secondary Category],MATCH(CostTrack[[#This Row],[Vendor - Contract]],VendorList[Vendor / Org. with Contract ID],0)))</f>
        <v>Other Professional Services</v>
      </c>
      <c r="T35" s="243" t="str">
        <f ca="1">IF(CostTrack[[#This Row],[Vendor - Contract]]="","",INDEX(VendorList[Phase / Subproject],MATCH(CostTrack[[#This Row],[Vendor - Contract]],VendorList[Vendor / Org. with Contract ID],0)))</f>
        <v>--</v>
      </c>
      <c r="U35" s="243" t="str">
        <f ca="1">IF(CostTrack[[#This Row],[Vendor - Contract]]="","",INDEX(VendorList[Phase / Subproject 2],MATCH(CostTrack[[#This Row],[Vendor - Contract]],VendorList[Vendor / Org. with Contract ID],0)))</f>
        <v>--</v>
      </c>
      <c r="V35" s="243" t="str">
        <f ca="1">IF(CostTrack[[#This Row],[Vendor - Contract]]="","",INDEX(VendorList[Funding Source],MATCH(CostTrack[[#This Row],[Vendor - Contract]],VendorList[Vendor / Org. with Contract ID],0)))</f>
        <v>P-002360</v>
      </c>
      <c r="W35" s="260">
        <v>43350</v>
      </c>
      <c r="X35" s="251" t="str">
        <f ca="1">IF(CostTrack[[#This Row],[Release Date (CMS)]]="","*","")</f>
        <v/>
      </c>
      <c r="Y35" s="267" t="s">
        <v>34</v>
      </c>
      <c r="Z35" s="270"/>
      <c r="AA35" s="245">
        <f ca="1">IF(OR(CostTrack[[#This Row],[Release Date (CMS)]]&gt;=DATE(VALUE(REPLACE(CostTrack[[#This Row],[Fiscal Period]],3,3,"")),3,1),CostTrack[[#This Row],[Release Date (CMS)]]&lt;DATE(VALUE(LEFT(CostTrack[[#This Row],[Fiscal Period]],4)),4,1)),1,0)</f>
        <v>0</v>
      </c>
      <c r="AB35" s="294">
        <v>2320</v>
      </c>
      <c r="AC35" s="260">
        <v>44224</v>
      </c>
      <c r="AD35" s="402" t="str">
        <f ca="1">IF(CostTrack[[#This Row],[Reconciled Amount]]="","",IF(CostTrack[[#This Row],[Value]]&lt;&gt;CostTrack[[#This Row],[Reconciled Amount]],"Yes","No"))</f>
        <v>No</v>
      </c>
    </row>
    <row r="36" spans="2:30">
      <c r="B36" s="400" t="s">
        <v>624</v>
      </c>
      <c r="C36" s="259">
        <v>1299467</v>
      </c>
      <c r="D36" s="260">
        <v>43315</v>
      </c>
      <c r="E36" s="282">
        <v>2000</v>
      </c>
      <c r="F36" s="263" t="s">
        <v>69</v>
      </c>
      <c r="G36" s="406">
        <f ca="1">ROUND(IF(CostTrack[[#This Row],[Holdback (Y/N/R)]]="Yes",CostTrack[[#This Row],[Value]]*-0.1,IF(CostTrack[[#This Row],[Holdback (Y/N/R)]]="Release",CostTrack[[#This Row],[Value]],0)),2)</f>
        <v>0</v>
      </c>
      <c r="H36" s="407">
        <f ca="1">IF(CostTrack[[#This Row],[Holdback (Y/N/R)]]="Release",CostTrack[[#This Row],[Value]],CostTrack[[#This Row],[Value]]+CostTrack[[#This Row],[Holdback Value]])</f>
        <v>2000</v>
      </c>
      <c r="I36" s="258">
        <v>1</v>
      </c>
      <c r="J36" s="258" t="s">
        <v>22</v>
      </c>
      <c r="K36" s="275" t="s">
        <v>831</v>
      </c>
      <c r="L36" s="260">
        <v>43329</v>
      </c>
      <c r="M36" s="260"/>
      <c r="N36" s="258"/>
      <c r="O36" s="260" t="s">
        <v>106</v>
      </c>
      <c r="P36" s="260">
        <v>43348</v>
      </c>
      <c r="Q36" s="243" t="str">
        <f ca="1">IF(CostTrack[[#This Row],[Vendor - Contract]]="","",INDEX(VendorList[PA ID],MATCH(CostTrack[[#This Row],[Vendor - Contract]],VendorList[Vendor / Org. with Contract ID],0)))</f>
        <v>200.040.F1</v>
      </c>
      <c r="R36" s="243" t="str">
        <f ca="1">IF(CostTrack[[#This Row],[Vendor - Contract]]="","",INDEX(VendorList[Primary Category],MATCH(CostTrack[[#This Row],[Vendor - Contract]],VendorList[Vendor / Org. with Contract ID],0)))</f>
        <v>Professional Services</v>
      </c>
      <c r="S36" s="243" t="str">
        <f ca="1">IF(CostTrack[[#This Row],[Vendor - Contract]]="","",INDEX(VendorList[Secondary Category],MATCH(CostTrack[[#This Row],[Vendor - Contract]],VendorList[Vendor / Org. with Contract ID],0)))</f>
        <v>Commissioning</v>
      </c>
      <c r="T36" s="243" t="str">
        <f ca="1">IF(CostTrack[[#This Row],[Vendor - Contract]]="","",INDEX(VendorList[Phase / Subproject],MATCH(CostTrack[[#This Row],[Vendor - Contract]],VendorList[Vendor / Org. with Contract ID],0)))</f>
        <v>--</v>
      </c>
      <c r="U36" s="243" t="str">
        <f ca="1">IF(CostTrack[[#This Row],[Vendor - Contract]]="","",INDEX(VendorList[Phase / Subproject 2],MATCH(CostTrack[[#This Row],[Vendor - Contract]],VendorList[Vendor / Org. with Contract ID],0)))</f>
        <v>--</v>
      </c>
      <c r="V36" s="243" t="str">
        <f ca="1">IF(CostTrack[[#This Row],[Vendor - Contract]]="","",INDEX(VendorList[Funding Source],MATCH(CostTrack[[#This Row],[Vendor - Contract]],VendorList[Vendor / Org. with Contract ID],0)))</f>
        <v>P-002360</v>
      </c>
      <c r="W36" s="260">
        <v>43350</v>
      </c>
      <c r="X36" s="251" t="str">
        <f ca="1">IF(CostTrack[[#This Row],[Release Date (CMS)]]="","*","")</f>
        <v/>
      </c>
      <c r="Y36" s="267" t="s">
        <v>34</v>
      </c>
      <c r="Z36" s="270"/>
      <c r="AA36" s="245">
        <f ca="1">IF(OR(CostTrack[[#This Row],[Release Date (CMS)]]&gt;=DATE(VALUE(REPLACE(CostTrack[[#This Row],[Fiscal Period]],3,3,"")),3,1),CostTrack[[#This Row],[Release Date (CMS)]]&lt;DATE(VALUE(LEFT(CostTrack[[#This Row],[Fiscal Period]],4)),4,1)),1,0)</f>
        <v>0</v>
      </c>
      <c r="AB36" s="294">
        <v>2000</v>
      </c>
      <c r="AC36" s="260">
        <v>44224</v>
      </c>
      <c r="AD36" s="402" t="str">
        <f ca="1">IF(CostTrack[[#This Row],[Reconciled Amount]]="","",IF(CostTrack[[#This Row],[Value]]&lt;&gt;CostTrack[[#This Row],[Reconciled Amount]],"Yes","No"))</f>
        <v>No</v>
      </c>
    </row>
    <row r="37" spans="2:30">
      <c r="B37" s="1306" t="s">
        <v>543</v>
      </c>
      <c r="C37" s="1307" t="s">
        <v>832</v>
      </c>
      <c r="D37" s="1308">
        <v>43190</v>
      </c>
      <c r="E37" s="658">
        <v>1050</v>
      </c>
      <c r="F37" s="1309" t="s">
        <v>69</v>
      </c>
      <c r="G37" s="1310">
        <f ca="1">ROUND(IF(CostTrack[[#This Row],[Holdback (Y/N/R)]]="Yes",CostTrack[[#This Row],[Value]]*-0.1,IF(CostTrack[[#This Row],[Holdback (Y/N/R)]]="Release",CostTrack[[#This Row],[Value]],0)),2)</f>
        <v>0</v>
      </c>
      <c r="H37" s="1311">
        <f ca="1">IF(CostTrack[[#This Row],[Holdback (Y/N/R)]]="Release",CostTrack[[#This Row],[Value]],CostTrack[[#This Row],[Value]]+CostTrack[[#This Row],[Holdback Value]])</f>
        <v>1050</v>
      </c>
      <c r="I37" s="1312"/>
      <c r="J37" s="1312"/>
      <c r="K37" s="1313"/>
      <c r="L37" s="1308">
        <v>43190</v>
      </c>
      <c r="M37" s="1308"/>
      <c r="N37" s="1312"/>
      <c r="O37" s="1308" t="s">
        <v>106</v>
      </c>
      <c r="P37" s="1308">
        <v>43190</v>
      </c>
      <c r="Q37" s="1314" t="str">
        <f ca="1">IF(CostTrack[[#This Row],[Vendor - Contract]]="","",INDEX(VendorList[PA ID],MATCH(CostTrack[[#This Row],[Vendor - Contract]],VendorList[Vendor / Org. with Contract ID],0)))</f>
        <v>200.050.F1</v>
      </c>
      <c r="R37" s="1314" t="str">
        <f ca="1">IF(CostTrack[[#This Row],[Vendor - Contract]]="","",INDEX(VendorList[Primary Category],MATCH(CostTrack[[#This Row],[Vendor - Contract]],VendorList[Vendor / Org. with Contract ID],0)))</f>
        <v>Professional Services</v>
      </c>
      <c r="S37" s="1314" t="str">
        <f ca="1">IF(CostTrack[[#This Row],[Vendor - Contract]]="","",INDEX(VendorList[Secondary Category],MATCH(CostTrack[[#This Row],[Vendor - Contract]],VendorList[Vendor / Org. with Contract ID],0)))</f>
        <v>Other Professional Services</v>
      </c>
      <c r="T37" s="1314" t="str">
        <f ca="1">IF(CostTrack[[#This Row],[Vendor - Contract]]="","",INDEX(VendorList[Phase / Subproject],MATCH(CostTrack[[#This Row],[Vendor - Contract]],VendorList[Vendor / Org. with Contract ID],0)))</f>
        <v>--</v>
      </c>
      <c r="U37" s="1314" t="str">
        <f ca="1">IF(CostTrack[[#This Row],[Vendor - Contract]]="","",INDEX(VendorList[Phase / Subproject 2],MATCH(CostTrack[[#This Row],[Vendor - Contract]],VendorList[Vendor / Org. with Contract ID],0)))</f>
        <v>--</v>
      </c>
      <c r="V37" s="1314" t="str">
        <f ca="1">IF(CostTrack[[#This Row],[Vendor - Contract]]="","",INDEX(VendorList[Funding Source],MATCH(CostTrack[[#This Row],[Vendor - Contract]],VendorList[Vendor / Org. with Contract ID],0)))</f>
        <v>P-002360</v>
      </c>
      <c r="W37" s="1308">
        <v>43190</v>
      </c>
      <c r="X37" s="1315" t="str">
        <f ca="1">IF(CostTrack[[#This Row],[Release Date (CMS)]]="","*","")</f>
        <v/>
      </c>
      <c r="Y37" s="1308" t="s">
        <v>28</v>
      </c>
      <c r="Z37" s="713"/>
      <c r="AA37" s="1316">
        <f ca="1">IF(OR(CostTrack[[#This Row],[Release Date (CMS)]]&gt;=DATE(VALUE(REPLACE(CostTrack[[#This Row],[Fiscal Period]],3,3,"")),3,1),CostTrack[[#This Row],[Release Date (CMS)]]&lt;DATE(VALUE(LEFT(CostTrack[[#This Row],[Fiscal Period]],4)),4,1)),1,0)</f>
        <v>1</v>
      </c>
      <c r="AB37" s="1317">
        <v>1050</v>
      </c>
      <c r="AC37" s="260">
        <v>44224</v>
      </c>
      <c r="AD37" s="402" t="str">
        <f ca="1">IF(CostTrack[[#This Row],[Reconciled Amount]]="","",IF(CostTrack[[#This Row],[Value]]&lt;&gt;CostTrack[[#This Row],[Reconciled Amount]],"Yes","No"))</f>
        <v>No</v>
      </c>
    </row>
    <row r="38" spans="2:30">
      <c r="B38" s="1306" t="s">
        <v>543</v>
      </c>
      <c r="C38" s="1307" t="s">
        <v>832</v>
      </c>
      <c r="D38" s="1308">
        <v>43190</v>
      </c>
      <c r="E38" s="658">
        <v>-1050</v>
      </c>
      <c r="F38" s="1309" t="s">
        <v>69</v>
      </c>
      <c r="G38" s="1310">
        <f ca="1">ROUND(IF(CostTrack[[#This Row],[Holdback (Y/N/R)]]="Yes",CostTrack[[#This Row],[Value]]*-0.1,IF(CostTrack[[#This Row],[Holdback (Y/N/R)]]="Release",CostTrack[[#This Row],[Value]],0)),2)</f>
        <v>0</v>
      </c>
      <c r="H38" s="1311">
        <f ca="1">IF(CostTrack[[#This Row],[Holdback (Y/N/R)]]="Release",CostTrack[[#This Row],[Value]],CostTrack[[#This Row],[Value]]+CostTrack[[#This Row],[Holdback Value]])</f>
        <v>-1050</v>
      </c>
      <c r="I38" s="1312"/>
      <c r="J38" s="1312"/>
      <c r="K38" s="1313"/>
      <c r="L38" s="1308">
        <v>43190</v>
      </c>
      <c r="M38" s="1308"/>
      <c r="N38" s="1312"/>
      <c r="O38" s="1308" t="s">
        <v>106</v>
      </c>
      <c r="P38" s="1308">
        <v>43190</v>
      </c>
      <c r="Q38" s="1314" t="str">
        <f ca="1">IF(CostTrack[[#This Row],[Vendor - Contract]]="","",INDEX(VendorList[PA ID],MATCH(CostTrack[[#This Row],[Vendor - Contract]],VendorList[Vendor / Org. with Contract ID],0)))</f>
        <v>200.050.F1</v>
      </c>
      <c r="R38" s="1314" t="str">
        <f ca="1">IF(CostTrack[[#This Row],[Vendor - Contract]]="","",INDEX(VendorList[Primary Category],MATCH(CostTrack[[#This Row],[Vendor - Contract]],VendorList[Vendor / Org. with Contract ID],0)))</f>
        <v>Professional Services</v>
      </c>
      <c r="S38" s="1314" t="str">
        <f ca="1">IF(CostTrack[[#This Row],[Vendor - Contract]]="","",INDEX(VendorList[Secondary Category],MATCH(CostTrack[[#This Row],[Vendor - Contract]],VendorList[Vendor / Org. with Contract ID],0)))</f>
        <v>Other Professional Services</v>
      </c>
      <c r="T38" s="1314" t="str">
        <f ca="1">IF(CostTrack[[#This Row],[Vendor - Contract]]="","",INDEX(VendorList[Phase / Subproject],MATCH(CostTrack[[#This Row],[Vendor - Contract]],VendorList[Vendor / Org. with Contract ID],0)))</f>
        <v>--</v>
      </c>
      <c r="U38" s="1314" t="str">
        <f ca="1">IF(CostTrack[[#This Row],[Vendor - Contract]]="","",INDEX(VendorList[Phase / Subproject 2],MATCH(CostTrack[[#This Row],[Vendor - Contract]],VendorList[Vendor / Org. with Contract ID],0)))</f>
        <v>--</v>
      </c>
      <c r="V38" s="1314" t="str">
        <f ca="1">IF(CostTrack[[#This Row],[Vendor - Contract]]="","",INDEX(VendorList[Funding Source],MATCH(CostTrack[[#This Row],[Vendor - Contract]],VendorList[Vendor / Org. with Contract ID],0)))</f>
        <v>P-002360</v>
      </c>
      <c r="W38" s="1308">
        <v>43190</v>
      </c>
      <c r="X38" s="1315" t="str">
        <f ca="1">IF(CostTrack[[#This Row],[Release Date (CMS)]]="","*","")</f>
        <v/>
      </c>
      <c r="Y38" s="1308" t="s">
        <v>34</v>
      </c>
      <c r="Z38" s="713"/>
      <c r="AA38" s="1316">
        <f ca="1">IF(OR(CostTrack[[#This Row],[Release Date (CMS)]]&gt;=DATE(VALUE(REPLACE(CostTrack[[#This Row],[Fiscal Period]],3,3,"")),3,1),CostTrack[[#This Row],[Release Date (CMS)]]&lt;DATE(VALUE(LEFT(CostTrack[[#This Row],[Fiscal Period]],4)),4,1)),1,0)</f>
        <v>1</v>
      </c>
      <c r="AB38" s="658">
        <v>-1050</v>
      </c>
      <c r="AC38" s="260">
        <v>44224</v>
      </c>
      <c r="AD38" s="402" t="str">
        <f ca="1">IF(CostTrack[[#This Row],[Reconciled Amount]]="","",IF(CostTrack[[#This Row],[Value]]&lt;&gt;CostTrack[[#This Row],[Reconciled Amount]],"Yes","No"))</f>
        <v>No</v>
      </c>
    </row>
    <row r="39" spans="2:30">
      <c r="B39" s="400" t="s">
        <v>543</v>
      </c>
      <c r="C39" s="259">
        <v>1431083</v>
      </c>
      <c r="D39" s="260">
        <v>43215</v>
      </c>
      <c r="E39" s="282">
        <v>1050</v>
      </c>
      <c r="F39" s="263" t="s">
        <v>69</v>
      </c>
      <c r="G39" s="406">
        <f ca="1">ROUND(IF(CostTrack[[#This Row],[Holdback (Y/N/R)]]="Yes",CostTrack[[#This Row],[Value]]*-0.1,IF(CostTrack[[#This Row],[Holdback (Y/N/R)]]="Release",CostTrack[[#This Row],[Value]],0)),2)</f>
        <v>0</v>
      </c>
      <c r="H39" s="407">
        <f ca="1">IF(CostTrack[[#This Row],[Holdback (Y/N/R)]]="Release",CostTrack[[#This Row],[Value]],CostTrack[[#This Row],[Value]]+CostTrack[[#This Row],[Holdback Value]])</f>
        <v>1050</v>
      </c>
      <c r="I39" s="258">
        <v>2</v>
      </c>
      <c r="J39" s="258" t="s">
        <v>22</v>
      </c>
      <c r="K39" s="275" t="s">
        <v>268</v>
      </c>
      <c r="L39" s="260">
        <v>43248</v>
      </c>
      <c r="M39" s="260"/>
      <c r="N39" s="258"/>
      <c r="O39" s="260" t="s">
        <v>106</v>
      </c>
      <c r="P39" s="260">
        <v>43251</v>
      </c>
      <c r="Q39" s="243" t="str">
        <f ca="1">IF(CostTrack[[#This Row],[Vendor - Contract]]="","",INDEX(VendorList[PA ID],MATCH(CostTrack[[#This Row],[Vendor - Contract]],VendorList[Vendor / Org. with Contract ID],0)))</f>
        <v>200.050.F1</v>
      </c>
      <c r="R39" s="243" t="str">
        <f ca="1">IF(CostTrack[[#This Row],[Vendor - Contract]]="","",INDEX(VendorList[Primary Category],MATCH(CostTrack[[#This Row],[Vendor - Contract]],VendorList[Vendor / Org. with Contract ID],0)))</f>
        <v>Professional Services</v>
      </c>
      <c r="S39" s="243" t="str">
        <f ca="1">IF(CostTrack[[#This Row],[Vendor - Contract]]="","",INDEX(VendorList[Secondary Category],MATCH(CostTrack[[#This Row],[Vendor - Contract]],VendorList[Vendor / Org. with Contract ID],0)))</f>
        <v>Other Professional Services</v>
      </c>
      <c r="T39" s="243" t="str">
        <f ca="1">IF(CostTrack[[#This Row],[Vendor - Contract]]="","",INDEX(VendorList[Phase / Subproject],MATCH(CostTrack[[#This Row],[Vendor - Contract]],VendorList[Vendor / Org. with Contract ID],0)))</f>
        <v>--</v>
      </c>
      <c r="U39" s="243" t="str">
        <f ca="1">IF(CostTrack[[#This Row],[Vendor - Contract]]="","",INDEX(VendorList[Phase / Subproject 2],MATCH(CostTrack[[#This Row],[Vendor - Contract]],VendorList[Vendor / Org. with Contract ID],0)))</f>
        <v>--</v>
      </c>
      <c r="V39" s="243" t="str">
        <f ca="1">IF(CostTrack[[#This Row],[Vendor - Contract]]="","",INDEX(VendorList[Funding Source],MATCH(CostTrack[[#This Row],[Vendor - Contract]],VendorList[Vendor / Org. with Contract ID],0)))</f>
        <v>P-002360</v>
      </c>
      <c r="W39" s="260">
        <v>43252</v>
      </c>
      <c r="X39" s="251" t="str">
        <f ca="1">IF(CostTrack[[#This Row],[Release Date (CMS)]]="","*","")</f>
        <v/>
      </c>
      <c r="Y39" s="267" t="s">
        <v>34</v>
      </c>
      <c r="Z39" s="270"/>
      <c r="AA39" s="245">
        <f ca="1">IF(OR(CostTrack[[#This Row],[Release Date (CMS)]]&gt;=DATE(VALUE(REPLACE(CostTrack[[#This Row],[Fiscal Period]],3,3,"")),3,1),CostTrack[[#This Row],[Release Date (CMS)]]&lt;DATE(VALUE(LEFT(CostTrack[[#This Row],[Fiscal Period]],4)),4,1)),1,0)</f>
        <v>0</v>
      </c>
      <c r="AB39" s="282">
        <v>1050</v>
      </c>
      <c r="AC39" s="260">
        <v>44224</v>
      </c>
      <c r="AD39" s="402" t="str">
        <f ca="1">IF(CostTrack[[#This Row],[Reconciled Amount]]="","",IF(CostTrack[[#This Row],[Value]]&lt;&gt;CostTrack[[#This Row],[Reconciled Amount]],"Yes","No"))</f>
        <v>No</v>
      </c>
    </row>
    <row r="40" spans="2:30">
      <c r="B40" s="400" t="s">
        <v>527</v>
      </c>
      <c r="C40" s="259" t="s">
        <v>833</v>
      </c>
      <c r="D40" s="260">
        <v>43343</v>
      </c>
      <c r="E40" s="282">
        <v>315823</v>
      </c>
      <c r="F40" s="263" t="s">
        <v>69</v>
      </c>
      <c r="G40" s="406">
        <f ca="1">ROUND(IF(CostTrack[[#This Row],[Holdback (Y/N/R)]]="Yes",CostTrack[[#This Row],[Value]]*-0.1,IF(CostTrack[[#This Row],[Holdback (Y/N/R)]]="Release",CostTrack[[#This Row],[Value]],0)),2)</f>
        <v>0</v>
      </c>
      <c r="H40" s="407">
        <f ca="1">IF(CostTrack[[#This Row],[Holdback (Y/N/R)]]="Release",CostTrack[[#This Row],[Value]],CostTrack[[#This Row],[Value]]+CostTrack[[#This Row],[Holdback Value]])</f>
        <v>315823</v>
      </c>
      <c r="I40" s="258">
        <v>4</v>
      </c>
      <c r="J40" s="258" t="s">
        <v>22</v>
      </c>
      <c r="K40" s="275" t="s">
        <v>834</v>
      </c>
      <c r="L40" s="260">
        <v>43353</v>
      </c>
      <c r="M40" s="260"/>
      <c r="N40" s="258"/>
      <c r="O40" s="260" t="s">
        <v>106</v>
      </c>
      <c r="P40" s="260">
        <v>43354</v>
      </c>
      <c r="Q40" s="243" t="str">
        <f ca="1">IF(CostTrack[[#This Row],[Vendor - Contract]]="","",INDEX(VendorList[PA ID],MATCH(CostTrack[[#This Row],[Vendor - Contract]],VendorList[Vendor / Org. with Contract ID],0)))</f>
        <v>200.010.F1</v>
      </c>
      <c r="R40" s="243" t="str">
        <f ca="1">IF(CostTrack[[#This Row],[Vendor - Contract]]="","",INDEX(VendorList[Primary Category],MATCH(CostTrack[[#This Row],[Vendor - Contract]],VendorList[Vendor / Org. with Contract ID],0)))</f>
        <v>Professional Services</v>
      </c>
      <c r="S40" s="243" t="str">
        <f ca="1">IF(CostTrack[[#This Row],[Vendor - Contract]]="","",INDEX(VendorList[Secondary Category],MATCH(CostTrack[[#This Row],[Vendor - Contract]],VendorList[Vendor / Org. with Contract ID],0)))</f>
        <v>Prime Consultant</v>
      </c>
      <c r="T40" s="243" t="str">
        <f ca="1">IF(CostTrack[[#This Row],[Vendor - Contract]]="","",INDEX(VendorList[Phase / Subproject],MATCH(CostTrack[[#This Row],[Vendor - Contract]],VendorList[Vendor / Org. with Contract ID],0)))</f>
        <v>--</v>
      </c>
      <c r="U40" s="243" t="str">
        <f ca="1">IF(CostTrack[[#This Row],[Vendor - Contract]]="","",INDEX(VendorList[Phase / Subproject 2],MATCH(CostTrack[[#This Row],[Vendor - Contract]],VendorList[Vendor / Org. with Contract ID],0)))</f>
        <v>--</v>
      </c>
      <c r="V40" s="243" t="str">
        <f ca="1">IF(CostTrack[[#This Row],[Vendor - Contract]]="","",INDEX(VendorList[Funding Source],MATCH(CostTrack[[#This Row],[Vendor - Contract]],VendorList[Vendor / Org. with Contract ID],0)))</f>
        <v>P-002360</v>
      </c>
      <c r="W40" s="260">
        <v>43355</v>
      </c>
      <c r="X40" s="251" t="str">
        <f ca="1">IF(CostTrack[[#This Row],[Release Date (CMS)]]="","*","")</f>
        <v/>
      </c>
      <c r="Y40" s="267" t="s">
        <v>34</v>
      </c>
      <c r="Z40" s="270"/>
      <c r="AA40" s="245">
        <f ca="1">IF(OR(CostTrack[[#This Row],[Release Date (CMS)]]&gt;=DATE(VALUE(REPLACE(CostTrack[[#This Row],[Fiscal Period]],3,3,"")),3,1),CostTrack[[#This Row],[Release Date (CMS)]]&lt;DATE(VALUE(LEFT(CostTrack[[#This Row],[Fiscal Period]],4)),4,1)),1,0)</f>
        <v>0</v>
      </c>
      <c r="AB40" s="294">
        <v>315823</v>
      </c>
      <c r="AC40" s="260">
        <v>44224</v>
      </c>
      <c r="AD40" s="402" t="str">
        <f ca="1">IF(CostTrack[[#This Row],[Reconciled Amount]]="","",IF(CostTrack[[#This Row],[Value]]&lt;&gt;CostTrack[[#This Row],[Reconciled Amount]],"Yes","No"))</f>
        <v>No</v>
      </c>
    </row>
    <row r="41" spans="2:30">
      <c r="B41" s="400" t="s">
        <v>527</v>
      </c>
      <c r="C41" s="258" t="s">
        <v>835</v>
      </c>
      <c r="D41" s="260">
        <v>43373</v>
      </c>
      <c r="E41" s="282">
        <v>311951</v>
      </c>
      <c r="F41" s="263" t="s">
        <v>69</v>
      </c>
      <c r="G41" s="406">
        <f ca="1">ROUND(IF(CostTrack[[#This Row],[Holdback (Y/N/R)]]="Yes",CostTrack[[#This Row],[Value]]*-0.1,IF(CostTrack[[#This Row],[Holdback (Y/N/R)]]="Release",CostTrack[[#This Row],[Value]],0)),2)</f>
        <v>0</v>
      </c>
      <c r="H41" s="407">
        <f ca="1">IF(CostTrack[[#This Row],[Holdback (Y/N/R)]]="Release",CostTrack[[#This Row],[Value]],CostTrack[[#This Row],[Value]]+CostTrack[[#This Row],[Holdback Value]])</f>
        <v>311951</v>
      </c>
      <c r="I41" s="258">
        <v>5</v>
      </c>
      <c r="J41" s="258" t="s">
        <v>22</v>
      </c>
      <c r="K41" s="275" t="s">
        <v>836</v>
      </c>
      <c r="L41" s="260">
        <v>43383</v>
      </c>
      <c r="M41" s="260"/>
      <c r="N41" s="258"/>
      <c r="O41" s="260" t="s">
        <v>106</v>
      </c>
      <c r="P41" s="260">
        <v>43385</v>
      </c>
      <c r="Q41" s="243" t="str">
        <f ca="1">IF(CostTrack[[#This Row],[Vendor - Contract]]="","",INDEX(VendorList[PA ID],MATCH(CostTrack[[#This Row],[Vendor - Contract]],VendorList[Vendor / Org. with Contract ID],0)))</f>
        <v>200.010.F1</v>
      </c>
      <c r="R41" s="243" t="str">
        <f ca="1">IF(CostTrack[[#This Row],[Vendor - Contract]]="","",INDEX(VendorList[Primary Category],MATCH(CostTrack[[#This Row],[Vendor - Contract]],VendorList[Vendor / Org. with Contract ID],0)))</f>
        <v>Professional Services</v>
      </c>
      <c r="S41" s="243" t="str">
        <f ca="1">IF(CostTrack[[#This Row],[Vendor - Contract]]="","",INDEX(VendorList[Secondary Category],MATCH(CostTrack[[#This Row],[Vendor - Contract]],VendorList[Vendor / Org. with Contract ID],0)))</f>
        <v>Prime Consultant</v>
      </c>
      <c r="T41" s="243" t="str">
        <f ca="1">IF(CostTrack[[#This Row],[Vendor - Contract]]="","",INDEX(VendorList[Phase / Subproject],MATCH(CostTrack[[#This Row],[Vendor - Contract]],VendorList[Vendor / Org. with Contract ID],0)))</f>
        <v>--</v>
      </c>
      <c r="U41" s="243" t="str">
        <f ca="1">IF(CostTrack[[#This Row],[Vendor - Contract]]="","",INDEX(VendorList[Phase / Subproject 2],MATCH(CostTrack[[#This Row],[Vendor - Contract]],VendorList[Vendor / Org. with Contract ID],0)))</f>
        <v>--</v>
      </c>
      <c r="V41" s="243" t="str">
        <f ca="1">IF(CostTrack[[#This Row],[Vendor - Contract]]="","",INDEX(VendorList[Funding Source],MATCH(CostTrack[[#This Row],[Vendor - Contract]],VendorList[Vendor / Org. with Contract ID],0)))</f>
        <v>P-002360</v>
      </c>
      <c r="W41" s="260">
        <v>43388</v>
      </c>
      <c r="X41" s="251" t="str">
        <f ca="1">IF(CostTrack[[#This Row],[Release Date (CMS)]]="","*","")</f>
        <v/>
      </c>
      <c r="Y41" s="267" t="s">
        <v>34</v>
      </c>
      <c r="Z41" s="270"/>
      <c r="AA41" s="245">
        <f ca="1">IF(OR(CostTrack[[#This Row],[Release Date (CMS)]]&gt;=DATE(VALUE(REPLACE(CostTrack[[#This Row],[Fiscal Period]],3,3,"")),3,1),CostTrack[[#This Row],[Release Date (CMS)]]&lt;DATE(VALUE(LEFT(CostTrack[[#This Row],[Fiscal Period]],4)),4,1)),1,0)</f>
        <v>0</v>
      </c>
      <c r="AB41" s="294">
        <v>311951</v>
      </c>
      <c r="AC41" s="260">
        <v>44224</v>
      </c>
      <c r="AD41" s="402" t="str">
        <f ca="1">IF(CostTrack[[#This Row],[Reconciled Amount]]="","",IF(CostTrack[[#This Row],[Value]]&lt;&gt;CostTrack[[#This Row],[Reconciled Amount]],"Yes","No"))</f>
        <v>No</v>
      </c>
    </row>
    <row r="42" spans="2:30">
      <c r="B42" s="400" t="s">
        <v>543</v>
      </c>
      <c r="C42" s="258">
        <v>1444351</v>
      </c>
      <c r="D42" s="260">
        <v>43363</v>
      </c>
      <c r="E42" s="282">
        <v>8715</v>
      </c>
      <c r="F42" s="263" t="s">
        <v>69</v>
      </c>
      <c r="G42" s="406">
        <f ca="1">ROUND(IF(CostTrack[[#This Row],[Holdback (Y/N/R)]]="Yes",CostTrack[[#This Row],[Value]]*-0.1,IF(CostTrack[[#This Row],[Holdback (Y/N/R)]]="Release",CostTrack[[#This Row],[Value]],0)),2)</f>
        <v>0</v>
      </c>
      <c r="H42" s="407">
        <f ca="1">IF(CostTrack[[#This Row],[Holdback (Y/N/R)]]="Release",CostTrack[[#This Row],[Value]],CostTrack[[#This Row],[Value]]+CostTrack[[#This Row],[Holdback Value]])</f>
        <v>8715</v>
      </c>
      <c r="I42" s="258">
        <v>3</v>
      </c>
      <c r="J42" s="258" t="s">
        <v>22</v>
      </c>
      <c r="K42" s="275" t="s">
        <v>268</v>
      </c>
      <c r="L42" s="260">
        <v>43363</v>
      </c>
      <c r="M42" s="260"/>
      <c r="N42" s="258"/>
      <c r="O42" s="260" t="s">
        <v>106</v>
      </c>
      <c r="P42" s="260">
        <v>43389</v>
      </c>
      <c r="Q42" s="243" t="str">
        <f ca="1">IF(CostTrack[[#This Row],[Vendor - Contract]]="","",INDEX(VendorList[PA ID],MATCH(CostTrack[[#This Row],[Vendor - Contract]],VendorList[Vendor / Org. with Contract ID],0)))</f>
        <v>200.050.F1</v>
      </c>
      <c r="R42" s="243" t="str">
        <f ca="1">IF(CostTrack[[#This Row],[Vendor - Contract]]="","",INDEX(VendorList[Primary Category],MATCH(CostTrack[[#This Row],[Vendor - Contract]],VendorList[Vendor / Org. with Contract ID],0)))</f>
        <v>Professional Services</v>
      </c>
      <c r="S42" s="243" t="str">
        <f ca="1">IF(CostTrack[[#This Row],[Vendor - Contract]]="","",INDEX(VendorList[Secondary Category],MATCH(CostTrack[[#This Row],[Vendor - Contract]],VendorList[Vendor / Org. with Contract ID],0)))</f>
        <v>Other Professional Services</v>
      </c>
      <c r="T42" s="243" t="str">
        <f ca="1">IF(CostTrack[[#This Row],[Vendor - Contract]]="","",INDEX(VendorList[Phase / Subproject],MATCH(CostTrack[[#This Row],[Vendor - Contract]],VendorList[Vendor / Org. with Contract ID],0)))</f>
        <v>--</v>
      </c>
      <c r="U42" s="243" t="str">
        <f ca="1">IF(CostTrack[[#This Row],[Vendor - Contract]]="","",INDEX(VendorList[Phase / Subproject 2],MATCH(CostTrack[[#This Row],[Vendor - Contract]],VendorList[Vendor / Org. with Contract ID],0)))</f>
        <v>--</v>
      </c>
      <c r="V42" s="243" t="str">
        <f ca="1">IF(CostTrack[[#This Row],[Vendor - Contract]]="","",INDEX(VendorList[Funding Source],MATCH(CostTrack[[#This Row],[Vendor - Contract]],VendorList[Vendor / Org. with Contract ID],0)))</f>
        <v>P-002360</v>
      </c>
      <c r="W42" s="260">
        <v>43391</v>
      </c>
      <c r="X42" s="251" t="str">
        <f ca="1">IF(CostTrack[[#This Row],[Release Date (CMS)]]="","*","")</f>
        <v/>
      </c>
      <c r="Y42" s="267" t="s">
        <v>34</v>
      </c>
      <c r="Z42" s="270"/>
      <c r="AA42" s="245">
        <f ca="1">IF(OR(CostTrack[[#This Row],[Release Date (CMS)]]&gt;=DATE(VALUE(REPLACE(CostTrack[[#This Row],[Fiscal Period]],3,3,"")),3,1),CostTrack[[#This Row],[Release Date (CMS)]]&lt;DATE(VALUE(LEFT(CostTrack[[#This Row],[Fiscal Period]],4)),4,1)),1,0)</f>
        <v>0</v>
      </c>
      <c r="AB42" s="294">
        <v>8715</v>
      </c>
      <c r="AC42" s="260">
        <v>44224</v>
      </c>
      <c r="AD42" s="402" t="str">
        <f ca="1">IF(CostTrack[[#This Row],[Reconciled Amount]]="","",IF(CostTrack[[#This Row],[Value]]&lt;&gt;CostTrack[[#This Row],[Reconciled Amount]],"Yes","No"))</f>
        <v>No</v>
      </c>
    </row>
    <row r="43" spans="2:30">
      <c r="B43" s="400" t="s">
        <v>561</v>
      </c>
      <c r="C43" s="258">
        <v>80471</v>
      </c>
      <c r="D43" s="260">
        <v>43368</v>
      </c>
      <c r="E43" s="282">
        <v>96165.3</v>
      </c>
      <c r="F43" s="263" t="s">
        <v>69</v>
      </c>
      <c r="G43" s="406">
        <f ca="1">ROUND(IF(CostTrack[[#This Row],[Holdback (Y/N/R)]]="Yes",CostTrack[[#This Row],[Value]]*-0.1,IF(CostTrack[[#This Row],[Holdback (Y/N/R)]]="Release",CostTrack[[#This Row],[Value]],0)),2)</f>
        <v>0</v>
      </c>
      <c r="H43" s="407">
        <f ca="1">IF(CostTrack[[#This Row],[Holdback (Y/N/R)]]="Release",CostTrack[[#This Row],[Value]],CostTrack[[#This Row],[Value]]+CostTrack[[#This Row],[Holdback Value]])</f>
        <v>96165.3</v>
      </c>
      <c r="I43" s="258">
        <v>1</v>
      </c>
      <c r="J43" s="258" t="s">
        <v>22</v>
      </c>
      <c r="K43" s="275" t="s">
        <v>268</v>
      </c>
      <c r="L43" s="260">
        <v>43399</v>
      </c>
      <c r="M43" s="260"/>
      <c r="N43" s="258"/>
      <c r="O43" s="260" t="s">
        <v>106</v>
      </c>
      <c r="P43" s="260">
        <v>43410</v>
      </c>
      <c r="Q43" s="243" t="str">
        <f ca="1">IF(CostTrack[[#This Row],[Vendor - Contract]]="","",INDEX(VendorList[PA ID],MATCH(CostTrack[[#This Row],[Vendor - Contract]],VendorList[Vendor / Org. with Contract ID],0)))</f>
        <v>300.090.F1</v>
      </c>
      <c r="R43" s="243" t="str">
        <f ca="1">IF(CostTrack[[#This Row],[Vendor - Contract]]="","",INDEX(VendorList[Primary Category],MATCH(CostTrack[[#This Row],[Vendor - Contract]],VendorList[Vendor / Org. with Contract ID],0)))</f>
        <v>Construction</v>
      </c>
      <c r="S43" s="243" t="str">
        <f ca="1">IF(CostTrack[[#This Row],[Vendor - Contract]]="","",INDEX(VendorList[Secondary Category],MATCH(CostTrack[[#This Row],[Vendor - Contract]],VendorList[Vendor / Org. with Contract ID],0)))</f>
        <v>Hazmat - Contractor</v>
      </c>
      <c r="T43" s="243" t="str">
        <f ca="1">IF(CostTrack[[#This Row],[Vendor - Contract]]="","",INDEX(VendorList[Phase / Subproject],MATCH(CostTrack[[#This Row],[Vendor - Contract]],VendorList[Vendor / Org. with Contract ID],0)))</f>
        <v>--</v>
      </c>
      <c r="U43" s="243" t="str">
        <f ca="1">IF(CostTrack[[#This Row],[Vendor - Contract]]="","",INDEX(VendorList[Phase / Subproject 2],MATCH(CostTrack[[#This Row],[Vendor - Contract]],VendorList[Vendor / Org. with Contract ID],0)))</f>
        <v>--</v>
      </c>
      <c r="V43" s="243" t="str">
        <f ca="1">IF(CostTrack[[#This Row],[Vendor - Contract]]="","",INDEX(VendorList[Funding Source],MATCH(CostTrack[[#This Row],[Vendor - Contract]],VendorList[Vendor / Org. with Contract ID],0)))</f>
        <v>P-002360</v>
      </c>
      <c r="W43" s="260">
        <v>43411</v>
      </c>
      <c r="X43" s="251" t="str">
        <f ca="1">IF(CostTrack[[#This Row],[Release Date (CMS)]]="","*","")</f>
        <v/>
      </c>
      <c r="Y43" s="267" t="s">
        <v>34</v>
      </c>
      <c r="Z43" s="270"/>
      <c r="AA43" s="245">
        <f ca="1">IF(OR(CostTrack[[#This Row],[Release Date (CMS)]]&gt;=DATE(VALUE(REPLACE(CostTrack[[#This Row],[Fiscal Period]],3,3,"")),3,1),CostTrack[[#This Row],[Release Date (CMS)]]&lt;DATE(VALUE(LEFT(CostTrack[[#This Row],[Fiscal Period]],4)),4,1)),1,0)</f>
        <v>0</v>
      </c>
      <c r="AB43" s="294">
        <v>96165.3</v>
      </c>
      <c r="AC43" s="260">
        <v>44224</v>
      </c>
      <c r="AD43" s="402" t="str">
        <f ca="1">IF(CostTrack[[#This Row],[Reconciled Amount]]="","",IF(CostTrack[[#This Row],[Value]]&lt;&gt;CostTrack[[#This Row],[Reconciled Amount]],"Yes","No"))</f>
        <v>No</v>
      </c>
    </row>
    <row r="44" spans="2:30">
      <c r="B44" s="400" t="s">
        <v>527</v>
      </c>
      <c r="C44" s="258" t="s">
        <v>837</v>
      </c>
      <c r="D44" s="260">
        <v>43404</v>
      </c>
      <c r="E44" s="282">
        <v>234447.25</v>
      </c>
      <c r="F44" s="263" t="s">
        <v>69</v>
      </c>
      <c r="G44" s="406">
        <f ca="1">ROUND(IF(CostTrack[[#This Row],[Holdback (Y/N/R)]]="Yes",CostTrack[[#This Row],[Value]]*-0.1,IF(CostTrack[[#This Row],[Holdback (Y/N/R)]]="Release",CostTrack[[#This Row],[Value]],0)),2)</f>
        <v>0</v>
      </c>
      <c r="H44" s="407">
        <f ca="1">IF(CostTrack[[#This Row],[Holdback (Y/N/R)]]="Release",CostTrack[[#This Row],[Value]],CostTrack[[#This Row],[Value]]+CostTrack[[#This Row],[Holdback Value]])</f>
        <v>234447.25</v>
      </c>
      <c r="I44" s="258">
        <v>6</v>
      </c>
      <c r="J44" s="258" t="s">
        <v>22</v>
      </c>
      <c r="K44" s="275" t="s">
        <v>838</v>
      </c>
      <c r="L44" s="260">
        <v>43423</v>
      </c>
      <c r="M44" s="260"/>
      <c r="N44" s="258"/>
      <c r="O44" s="260" t="s">
        <v>106</v>
      </c>
      <c r="P44" s="260">
        <v>43426</v>
      </c>
      <c r="Q44" s="243" t="str">
        <f ca="1">IF(CostTrack[[#This Row],[Vendor - Contract]]="","",INDEX(VendorList[PA ID],MATCH(CostTrack[[#This Row],[Vendor - Contract]],VendorList[Vendor / Org. with Contract ID],0)))</f>
        <v>200.010.F1</v>
      </c>
      <c r="R44" s="243" t="str">
        <f ca="1">IF(CostTrack[[#This Row],[Vendor - Contract]]="","",INDEX(VendorList[Primary Category],MATCH(CostTrack[[#This Row],[Vendor - Contract]],VendorList[Vendor / Org. with Contract ID],0)))</f>
        <v>Professional Services</v>
      </c>
      <c r="S44" s="243" t="str">
        <f ca="1">IF(CostTrack[[#This Row],[Vendor - Contract]]="","",INDEX(VendorList[Secondary Category],MATCH(CostTrack[[#This Row],[Vendor - Contract]],VendorList[Vendor / Org. with Contract ID],0)))</f>
        <v>Prime Consultant</v>
      </c>
      <c r="T44" s="243" t="str">
        <f ca="1">IF(CostTrack[[#This Row],[Vendor - Contract]]="","",INDEX(VendorList[Phase / Subproject],MATCH(CostTrack[[#This Row],[Vendor - Contract]],VendorList[Vendor / Org. with Contract ID],0)))</f>
        <v>--</v>
      </c>
      <c r="U44" s="243" t="str">
        <f ca="1">IF(CostTrack[[#This Row],[Vendor - Contract]]="","",INDEX(VendorList[Phase / Subproject 2],MATCH(CostTrack[[#This Row],[Vendor - Contract]],VendorList[Vendor / Org. with Contract ID],0)))</f>
        <v>--</v>
      </c>
      <c r="V44" s="243" t="str">
        <f ca="1">IF(CostTrack[[#This Row],[Vendor - Contract]]="","",INDEX(VendorList[Funding Source],MATCH(CostTrack[[#This Row],[Vendor - Contract]],VendorList[Vendor / Org. with Contract ID],0)))</f>
        <v>P-002360</v>
      </c>
      <c r="W44" s="260">
        <v>43426</v>
      </c>
      <c r="X44" s="251" t="str">
        <f ca="1">IF(CostTrack[[#This Row],[Release Date (CMS)]]="","*","")</f>
        <v/>
      </c>
      <c r="Y44" s="267" t="s">
        <v>34</v>
      </c>
      <c r="Z44" s="270"/>
      <c r="AA44" s="245">
        <f ca="1">IF(OR(CostTrack[[#This Row],[Release Date (CMS)]]&gt;=DATE(VALUE(REPLACE(CostTrack[[#This Row],[Fiscal Period]],3,3,"")),3,1),CostTrack[[#This Row],[Release Date (CMS)]]&lt;DATE(VALUE(LEFT(CostTrack[[#This Row],[Fiscal Period]],4)),4,1)),1,0)</f>
        <v>0</v>
      </c>
      <c r="AB44" s="294">
        <v>234447.25</v>
      </c>
      <c r="AC44" s="260">
        <v>44224</v>
      </c>
      <c r="AD44" s="402" t="str">
        <f ca="1">IF(CostTrack[[#This Row],[Reconciled Amount]]="","",IF(CostTrack[[#This Row],[Value]]&lt;&gt;CostTrack[[#This Row],[Reconciled Amount]],"Yes","No"))</f>
        <v>No</v>
      </c>
    </row>
    <row r="45" spans="2:30">
      <c r="B45" s="400" t="s">
        <v>624</v>
      </c>
      <c r="C45" s="258">
        <v>1334955</v>
      </c>
      <c r="D45" s="260">
        <v>43434</v>
      </c>
      <c r="E45" s="282">
        <v>2500</v>
      </c>
      <c r="F45" s="263" t="s">
        <v>69</v>
      </c>
      <c r="G45" s="406">
        <f ca="1">ROUND(IF(CostTrack[[#This Row],[Holdback (Y/N/R)]]="Yes",CostTrack[[#This Row],[Value]]*-0.1,IF(CostTrack[[#This Row],[Holdback (Y/N/R)]]="Release",CostTrack[[#This Row],[Value]],0)),2)</f>
        <v>0</v>
      </c>
      <c r="H45" s="407">
        <f ca="1">IF(CostTrack[[#This Row],[Holdback (Y/N/R)]]="Release",CostTrack[[#This Row],[Value]],CostTrack[[#This Row],[Value]]+CostTrack[[#This Row],[Holdback Value]])</f>
        <v>2500</v>
      </c>
      <c r="I45" s="258">
        <v>2</v>
      </c>
      <c r="J45" s="258" t="s">
        <v>22</v>
      </c>
      <c r="K45" s="275" t="s">
        <v>839</v>
      </c>
      <c r="L45" s="260">
        <v>43441</v>
      </c>
      <c r="M45" s="260"/>
      <c r="N45" s="258"/>
      <c r="O45" s="260" t="s">
        <v>106</v>
      </c>
      <c r="P45" s="260">
        <v>43451</v>
      </c>
      <c r="Q45" s="243" t="str">
        <f ca="1">IF(CostTrack[[#This Row],[Vendor - Contract]]="","",INDEX(VendorList[PA ID],MATCH(CostTrack[[#This Row],[Vendor - Contract]],VendorList[Vendor / Org. with Contract ID],0)))</f>
        <v>200.040.F1</v>
      </c>
      <c r="R45" s="243" t="str">
        <f ca="1">IF(CostTrack[[#This Row],[Vendor - Contract]]="","",INDEX(VendorList[Primary Category],MATCH(CostTrack[[#This Row],[Vendor - Contract]],VendorList[Vendor / Org. with Contract ID],0)))</f>
        <v>Professional Services</v>
      </c>
      <c r="S45" s="243" t="str">
        <f ca="1">IF(CostTrack[[#This Row],[Vendor - Contract]]="","",INDEX(VendorList[Secondary Category],MATCH(CostTrack[[#This Row],[Vendor - Contract]],VendorList[Vendor / Org. with Contract ID],0)))</f>
        <v>Commissioning</v>
      </c>
      <c r="T45" s="243" t="str">
        <f ca="1">IF(CostTrack[[#This Row],[Vendor - Contract]]="","",INDEX(VendorList[Phase / Subproject],MATCH(CostTrack[[#This Row],[Vendor - Contract]],VendorList[Vendor / Org. with Contract ID],0)))</f>
        <v>--</v>
      </c>
      <c r="U45" s="243" t="str">
        <f ca="1">IF(CostTrack[[#This Row],[Vendor - Contract]]="","",INDEX(VendorList[Phase / Subproject 2],MATCH(CostTrack[[#This Row],[Vendor - Contract]],VendorList[Vendor / Org. with Contract ID],0)))</f>
        <v>--</v>
      </c>
      <c r="V45" s="243" t="str">
        <f ca="1">IF(CostTrack[[#This Row],[Vendor - Contract]]="","",INDEX(VendorList[Funding Source],MATCH(CostTrack[[#This Row],[Vendor - Contract]],VendorList[Vendor / Org. with Contract ID],0)))</f>
        <v>P-002360</v>
      </c>
      <c r="W45" s="260">
        <v>43452</v>
      </c>
      <c r="X45" s="251" t="str">
        <f ca="1">IF(CostTrack[[#This Row],[Release Date (CMS)]]="","*","")</f>
        <v/>
      </c>
      <c r="Y45" s="267" t="s">
        <v>34</v>
      </c>
      <c r="Z45" s="270"/>
      <c r="AA45" s="245">
        <f ca="1">IF(OR(CostTrack[[#This Row],[Release Date (CMS)]]&gt;=DATE(VALUE(REPLACE(CostTrack[[#This Row],[Fiscal Period]],3,3,"")),3,1),CostTrack[[#This Row],[Release Date (CMS)]]&lt;DATE(VALUE(LEFT(CostTrack[[#This Row],[Fiscal Period]],4)),4,1)),1,0)</f>
        <v>0</v>
      </c>
      <c r="AB45" s="294">
        <v>2500</v>
      </c>
      <c r="AC45" s="260">
        <v>44224</v>
      </c>
      <c r="AD45" s="402" t="str">
        <f ca="1">IF(CostTrack[[#This Row],[Reconciled Amount]]="","",IF(CostTrack[[#This Row],[Value]]&lt;&gt;CostTrack[[#This Row],[Reconciled Amount]],"Yes","No"))</f>
        <v>No</v>
      </c>
    </row>
    <row r="46" spans="2:30">
      <c r="B46" s="400" t="s">
        <v>527</v>
      </c>
      <c r="C46" s="258" t="s">
        <v>840</v>
      </c>
      <c r="D46" s="260">
        <v>43434</v>
      </c>
      <c r="E46" s="282">
        <v>232511.25</v>
      </c>
      <c r="F46" s="263" t="s">
        <v>69</v>
      </c>
      <c r="G46" s="406">
        <f ca="1">ROUND(IF(CostTrack[[#This Row],[Holdback (Y/N/R)]]="Yes",CostTrack[[#This Row],[Value]]*-0.1,IF(CostTrack[[#This Row],[Holdback (Y/N/R)]]="Release",CostTrack[[#This Row],[Value]],0)),2)</f>
        <v>0</v>
      </c>
      <c r="H46" s="407">
        <f ca="1">IF(CostTrack[[#This Row],[Holdback (Y/N/R)]]="Release",CostTrack[[#This Row],[Value]],CostTrack[[#This Row],[Value]]+CostTrack[[#This Row],[Holdback Value]])</f>
        <v>232511.25</v>
      </c>
      <c r="I46" s="258">
        <v>7</v>
      </c>
      <c r="J46" s="258" t="s">
        <v>22</v>
      </c>
      <c r="K46" s="275" t="s">
        <v>839</v>
      </c>
      <c r="L46" s="260">
        <v>43445</v>
      </c>
      <c r="M46" s="260"/>
      <c r="N46" s="258"/>
      <c r="O46" s="260" t="s">
        <v>106</v>
      </c>
      <c r="P46" s="260">
        <v>43451</v>
      </c>
      <c r="Q46" s="243" t="str">
        <f ca="1">IF(CostTrack[[#This Row],[Vendor - Contract]]="","",INDEX(VendorList[PA ID],MATCH(CostTrack[[#This Row],[Vendor - Contract]],VendorList[Vendor / Org. with Contract ID],0)))</f>
        <v>200.010.F1</v>
      </c>
      <c r="R46" s="243" t="str">
        <f ca="1">IF(CostTrack[[#This Row],[Vendor - Contract]]="","",INDEX(VendorList[Primary Category],MATCH(CostTrack[[#This Row],[Vendor - Contract]],VendorList[Vendor / Org. with Contract ID],0)))</f>
        <v>Professional Services</v>
      </c>
      <c r="S46" s="243" t="str">
        <f ca="1">IF(CostTrack[[#This Row],[Vendor - Contract]]="","",INDEX(VendorList[Secondary Category],MATCH(CostTrack[[#This Row],[Vendor - Contract]],VendorList[Vendor / Org. with Contract ID],0)))</f>
        <v>Prime Consultant</v>
      </c>
      <c r="T46" s="243" t="str">
        <f ca="1">IF(CostTrack[[#This Row],[Vendor - Contract]]="","",INDEX(VendorList[Phase / Subproject],MATCH(CostTrack[[#This Row],[Vendor - Contract]],VendorList[Vendor / Org. with Contract ID],0)))</f>
        <v>--</v>
      </c>
      <c r="U46" s="243" t="str">
        <f ca="1">IF(CostTrack[[#This Row],[Vendor - Contract]]="","",INDEX(VendorList[Phase / Subproject 2],MATCH(CostTrack[[#This Row],[Vendor - Contract]],VendorList[Vendor / Org. with Contract ID],0)))</f>
        <v>--</v>
      </c>
      <c r="V46" s="243" t="str">
        <f ca="1">IF(CostTrack[[#This Row],[Vendor - Contract]]="","",INDEX(VendorList[Funding Source],MATCH(CostTrack[[#This Row],[Vendor - Contract]],VendorList[Vendor / Org. with Contract ID],0)))</f>
        <v>P-002360</v>
      </c>
      <c r="W46" s="260">
        <v>43454</v>
      </c>
      <c r="X46" s="251" t="str">
        <f ca="1">IF(CostTrack[[#This Row],[Release Date (CMS)]]="","*","")</f>
        <v/>
      </c>
      <c r="Y46" s="267" t="s">
        <v>34</v>
      </c>
      <c r="Z46" s="270"/>
      <c r="AA46" s="245">
        <f ca="1">IF(OR(CostTrack[[#This Row],[Release Date (CMS)]]&gt;=DATE(VALUE(REPLACE(CostTrack[[#This Row],[Fiscal Period]],3,3,"")),3,1),CostTrack[[#This Row],[Release Date (CMS)]]&lt;DATE(VALUE(LEFT(CostTrack[[#This Row],[Fiscal Period]],4)),4,1)),1,0)</f>
        <v>0</v>
      </c>
      <c r="AB46" s="294">
        <v>232511.25</v>
      </c>
      <c r="AC46" s="260">
        <v>44224</v>
      </c>
      <c r="AD46" s="402" t="str">
        <f ca="1">IF(CostTrack[[#This Row],[Reconciled Amount]]="","",IF(CostTrack[[#This Row],[Value]]&lt;&gt;CostTrack[[#This Row],[Reconciled Amount]],"Yes","No"))</f>
        <v>No</v>
      </c>
    </row>
    <row r="47" spans="2:30">
      <c r="B47" s="400" t="s">
        <v>736</v>
      </c>
      <c r="C47" s="258">
        <v>42948</v>
      </c>
      <c r="D47" s="260">
        <v>42978</v>
      </c>
      <c r="E47" s="282">
        <v>70549.600000000006</v>
      </c>
      <c r="F47" s="263" t="s">
        <v>69</v>
      </c>
      <c r="G47" s="406">
        <f ca="1">ROUND(IF(CostTrack[[#This Row],[Holdback (Y/N/R)]]="Yes",CostTrack[[#This Row],[Value]]*-0.1,IF(CostTrack[[#This Row],[Holdback (Y/N/R)]]="Release",CostTrack[[#This Row],[Value]],0)),2)</f>
        <v>0</v>
      </c>
      <c r="H47" s="407">
        <f ca="1">IF(CostTrack[[#This Row],[Holdback (Y/N/R)]]="Release",CostTrack[[#This Row],[Value]],CostTrack[[#This Row],[Value]]+CostTrack[[#This Row],[Holdback Value]])</f>
        <v>70549.600000000006</v>
      </c>
      <c r="I47" s="258">
        <v>1</v>
      </c>
      <c r="J47" s="258" t="s">
        <v>22</v>
      </c>
      <c r="K47" s="275" t="s">
        <v>268</v>
      </c>
      <c r="L47" s="260" t="s">
        <v>268</v>
      </c>
      <c r="M47" s="260"/>
      <c r="N47" s="258"/>
      <c r="O47" s="260" t="s">
        <v>106</v>
      </c>
      <c r="P47" s="260" t="s">
        <v>268</v>
      </c>
      <c r="Q47" s="243" t="str">
        <f ca="1">IF(CostTrack[[#This Row],[Vendor - Contract]]="","",INDEX(VendorList[PA ID],MATCH(CostTrack[[#This Row],[Vendor - Contract]],VendorList[Vendor / Org. with Contract ID],0)))</f>
        <v>100.010.F1</v>
      </c>
      <c r="R47" s="243" t="str">
        <f ca="1">IF(CostTrack[[#This Row],[Vendor - Contract]]="","",INDEX(VendorList[Primary Category],MATCH(CostTrack[[#This Row],[Vendor - Contract]],VendorList[Vendor / Org. with Contract ID],0)))</f>
        <v>Administration</v>
      </c>
      <c r="S47" s="243" t="str">
        <f ca="1">IF(CostTrack[[#This Row],[Vendor - Contract]]="","",INDEX(VendorList[Secondary Category],MATCH(CostTrack[[#This Row],[Vendor - Contract]],VendorList[Vendor / Org. with Contract ID],0)))</f>
        <v>Staff Capitalization - INFRA</v>
      </c>
      <c r="T47" s="243" t="str">
        <f ca="1">IF(CostTrack[[#This Row],[Vendor - Contract]]="","",INDEX(VendorList[Phase / Subproject],MATCH(CostTrack[[#This Row],[Vendor - Contract]],VendorList[Vendor / Org. with Contract ID],0)))</f>
        <v>--</v>
      </c>
      <c r="U47" s="243" t="str">
        <f ca="1">IF(CostTrack[[#This Row],[Vendor - Contract]]="","",INDEX(VendorList[Phase / Subproject 2],MATCH(CostTrack[[#This Row],[Vendor - Contract]],VendorList[Vendor / Org. with Contract ID],0)))</f>
        <v>--</v>
      </c>
      <c r="V47" s="243" t="str">
        <f ca="1">IF(CostTrack[[#This Row],[Vendor - Contract]]="","",INDEX(VendorList[Funding Source],MATCH(CostTrack[[#This Row],[Vendor - Contract]],VendorList[Vendor / Org. with Contract ID],0)))</f>
        <v>P-002360</v>
      </c>
      <c r="W47" s="260">
        <v>42978</v>
      </c>
      <c r="X47" s="251" t="str">
        <f ca="1">IF(CostTrack[[#This Row],[Release Date (CMS)]]="","*","")</f>
        <v/>
      </c>
      <c r="Y47" s="267" t="s">
        <v>28</v>
      </c>
      <c r="Z47" s="270"/>
      <c r="AA47" s="245">
        <f ca="1">IF(OR(CostTrack[[#This Row],[Release Date (CMS)]]&gt;=DATE(VALUE(REPLACE(CostTrack[[#This Row],[Fiscal Period]],3,3,"")),3,1),CostTrack[[#This Row],[Release Date (CMS)]]&lt;DATE(VALUE(LEFT(CostTrack[[#This Row],[Fiscal Period]],4)),4,1)),1,0)</f>
        <v>0</v>
      </c>
      <c r="AB47" s="294">
        <v>70549.600000000006</v>
      </c>
      <c r="AC47" s="260">
        <v>44224</v>
      </c>
      <c r="AD47" s="402" t="str">
        <f ca="1">IF(CostTrack[[#This Row],[Reconciled Amount]]="","",IF(CostTrack[[#This Row],[Value]]&lt;&gt;CostTrack[[#This Row],[Reconciled Amount]],"Yes","No"))</f>
        <v>No</v>
      </c>
    </row>
    <row r="48" spans="2:30">
      <c r="B48" s="400" t="s">
        <v>736</v>
      </c>
      <c r="C48" s="258">
        <v>42979</v>
      </c>
      <c r="D48" s="260">
        <v>43008</v>
      </c>
      <c r="E48" s="282">
        <v>13692.26</v>
      </c>
      <c r="F48" s="263" t="s">
        <v>69</v>
      </c>
      <c r="G48" s="406">
        <f ca="1">ROUND(IF(CostTrack[[#This Row],[Holdback (Y/N/R)]]="Yes",CostTrack[[#This Row],[Value]]*-0.1,IF(CostTrack[[#This Row],[Holdback (Y/N/R)]]="Release",CostTrack[[#This Row],[Value]],0)),2)</f>
        <v>0</v>
      </c>
      <c r="H48" s="407">
        <f ca="1">IF(CostTrack[[#This Row],[Holdback (Y/N/R)]]="Release",CostTrack[[#This Row],[Value]],CostTrack[[#This Row],[Value]]+CostTrack[[#This Row],[Holdback Value]])</f>
        <v>13692.26</v>
      </c>
      <c r="I48" s="258">
        <v>2</v>
      </c>
      <c r="J48" s="258" t="s">
        <v>22</v>
      </c>
      <c r="K48" s="275" t="s">
        <v>268</v>
      </c>
      <c r="L48" s="260" t="s">
        <v>268</v>
      </c>
      <c r="M48" s="260"/>
      <c r="N48" s="258"/>
      <c r="O48" s="260" t="s">
        <v>106</v>
      </c>
      <c r="P48" s="260" t="s">
        <v>268</v>
      </c>
      <c r="Q48" s="243" t="str">
        <f ca="1">IF(CostTrack[[#This Row],[Vendor - Contract]]="","",INDEX(VendorList[PA ID],MATCH(CostTrack[[#This Row],[Vendor - Contract]],VendorList[Vendor / Org. with Contract ID],0)))</f>
        <v>100.010.F1</v>
      </c>
      <c r="R48" s="243" t="str">
        <f ca="1">IF(CostTrack[[#This Row],[Vendor - Contract]]="","",INDEX(VendorList[Primary Category],MATCH(CostTrack[[#This Row],[Vendor - Contract]],VendorList[Vendor / Org. with Contract ID],0)))</f>
        <v>Administration</v>
      </c>
      <c r="S48" s="243" t="str">
        <f ca="1">IF(CostTrack[[#This Row],[Vendor - Contract]]="","",INDEX(VendorList[Secondary Category],MATCH(CostTrack[[#This Row],[Vendor - Contract]],VendorList[Vendor / Org. with Contract ID],0)))</f>
        <v>Staff Capitalization - INFRA</v>
      </c>
      <c r="T48" s="243" t="str">
        <f ca="1">IF(CostTrack[[#This Row],[Vendor - Contract]]="","",INDEX(VendorList[Phase / Subproject],MATCH(CostTrack[[#This Row],[Vendor - Contract]],VendorList[Vendor / Org. with Contract ID],0)))</f>
        <v>--</v>
      </c>
      <c r="U48" s="243" t="str">
        <f ca="1">IF(CostTrack[[#This Row],[Vendor - Contract]]="","",INDEX(VendorList[Phase / Subproject 2],MATCH(CostTrack[[#This Row],[Vendor - Contract]],VendorList[Vendor / Org. with Contract ID],0)))</f>
        <v>--</v>
      </c>
      <c r="V48" s="243" t="str">
        <f ca="1">IF(CostTrack[[#This Row],[Vendor - Contract]]="","",INDEX(VendorList[Funding Source],MATCH(CostTrack[[#This Row],[Vendor - Contract]],VendorList[Vendor / Org. with Contract ID],0)))</f>
        <v>P-002360</v>
      </c>
      <c r="W48" s="260">
        <v>43008</v>
      </c>
      <c r="X48" s="251" t="str">
        <f ca="1">IF(CostTrack[[#This Row],[Release Date (CMS)]]="","*","")</f>
        <v/>
      </c>
      <c r="Y48" s="267" t="s">
        <v>28</v>
      </c>
      <c r="Z48" s="270"/>
      <c r="AA48" s="245">
        <f ca="1">IF(OR(CostTrack[[#This Row],[Release Date (CMS)]]&gt;=DATE(VALUE(REPLACE(CostTrack[[#This Row],[Fiscal Period]],3,3,"")),3,1),CostTrack[[#This Row],[Release Date (CMS)]]&lt;DATE(VALUE(LEFT(CostTrack[[#This Row],[Fiscal Period]],4)),4,1)),1,0)</f>
        <v>0</v>
      </c>
      <c r="AB48" s="294">
        <v>13692.26</v>
      </c>
      <c r="AC48" s="260">
        <v>44224</v>
      </c>
      <c r="AD48" s="402" t="str">
        <f ca="1">IF(CostTrack[[#This Row],[Reconciled Amount]]="","",IF(CostTrack[[#This Row],[Value]]&lt;&gt;CostTrack[[#This Row],[Reconciled Amount]],"Yes","No"))</f>
        <v>No</v>
      </c>
    </row>
    <row r="49" spans="2:30">
      <c r="B49" s="400" t="s">
        <v>736</v>
      </c>
      <c r="C49" s="258">
        <v>43009</v>
      </c>
      <c r="D49" s="260">
        <v>43039</v>
      </c>
      <c r="E49" s="282">
        <v>14270.92</v>
      </c>
      <c r="F49" s="263" t="s">
        <v>69</v>
      </c>
      <c r="G49" s="406">
        <f ca="1">ROUND(IF(CostTrack[[#This Row],[Holdback (Y/N/R)]]="Yes",CostTrack[[#This Row],[Value]]*-0.1,IF(CostTrack[[#This Row],[Holdback (Y/N/R)]]="Release",CostTrack[[#This Row],[Value]],0)),2)</f>
        <v>0</v>
      </c>
      <c r="H49" s="407">
        <f ca="1">IF(CostTrack[[#This Row],[Holdback (Y/N/R)]]="Release",CostTrack[[#This Row],[Value]],CostTrack[[#This Row],[Value]]+CostTrack[[#This Row],[Holdback Value]])</f>
        <v>14270.92</v>
      </c>
      <c r="I49" s="258">
        <v>3</v>
      </c>
      <c r="J49" s="258" t="s">
        <v>22</v>
      </c>
      <c r="K49" s="275" t="s">
        <v>268</v>
      </c>
      <c r="L49" s="260" t="s">
        <v>268</v>
      </c>
      <c r="M49" s="260"/>
      <c r="N49" s="258"/>
      <c r="O49" s="260" t="s">
        <v>106</v>
      </c>
      <c r="P49" s="260" t="s">
        <v>268</v>
      </c>
      <c r="Q49" s="243" t="str">
        <f ca="1">IF(CostTrack[[#This Row],[Vendor - Contract]]="","",INDEX(VendorList[PA ID],MATCH(CostTrack[[#This Row],[Vendor - Contract]],VendorList[Vendor / Org. with Contract ID],0)))</f>
        <v>100.010.F1</v>
      </c>
      <c r="R49" s="243" t="str">
        <f ca="1">IF(CostTrack[[#This Row],[Vendor - Contract]]="","",INDEX(VendorList[Primary Category],MATCH(CostTrack[[#This Row],[Vendor - Contract]],VendorList[Vendor / Org. with Contract ID],0)))</f>
        <v>Administration</v>
      </c>
      <c r="S49" s="243" t="str">
        <f ca="1">IF(CostTrack[[#This Row],[Vendor - Contract]]="","",INDEX(VendorList[Secondary Category],MATCH(CostTrack[[#This Row],[Vendor - Contract]],VendorList[Vendor / Org. with Contract ID],0)))</f>
        <v>Staff Capitalization - INFRA</v>
      </c>
      <c r="T49" s="243" t="str">
        <f ca="1">IF(CostTrack[[#This Row],[Vendor - Contract]]="","",INDEX(VendorList[Phase / Subproject],MATCH(CostTrack[[#This Row],[Vendor - Contract]],VendorList[Vendor / Org. with Contract ID],0)))</f>
        <v>--</v>
      </c>
      <c r="U49" s="243" t="str">
        <f ca="1">IF(CostTrack[[#This Row],[Vendor - Contract]]="","",INDEX(VendorList[Phase / Subproject 2],MATCH(CostTrack[[#This Row],[Vendor - Contract]],VendorList[Vendor / Org. with Contract ID],0)))</f>
        <v>--</v>
      </c>
      <c r="V49" s="243" t="str">
        <f ca="1">IF(CostTrack[[#This Row],[Vendor - Contract]]="","",INDEX(VendorList[Funding Source],MATCH(CostTrack[[#This Row],[Vendor - Contract]],VendorList[Vendor / Org. with Contract ID],0)))</f>
        <v>P-002360</v>
      </c>
      <c r="W49" s="260">
        <v>43039</v>
      </c>
      <c r="X49" s="251" t="str">
        <f ca="1">IF(CostTrack[[#This Row],[Release Date (CMS)]]="","*","")</f>
        <v/>
      </c>
      <c r="Y49" s="267" t="s">
        <v>28</v>
      </c>
      <c r="Z49" s="270"/>
      <c r="AA49" s="245">
        <f ca="1">IF(OR(CostTrack[[#This Row],[Release Date (CMS)]]&gt;=DATE(VALUE(REPLACE(CostTrack[[#This Row],[Fiscal Period]],3,3,"")),3,1),CostTrack[[#This Row],[Release Date (CMS)]]&lt;DATE(VALUE(LEFT(CostTrack[[#This Row],[Fiscal Period]],4)),4,1)),1,0)</f>
        <v>0</v>
      </c>
      <c r="AB49" s="294">
        <v>14270.92</v>
      </c>
      <c r="AC49" s="260">
        <v>44224</v>
      </c>
      <c r="AD49" s="402" t="str">
        <f ca="1">IF(CostTrack[[#This Row],[Reconciled Amount]]="","",IF(CostTrack[[#This Row],[Value]]&lt;&gt;CostTrack[[#This Row],[Reconciled Amount]],"Yes","No"))</f>
        <v>No</v>
      </c>
    </row>
    <row r="50" spans="2:30">
      <c r="B50" s="400" t="s">
        <v>736</v>
      </c>
      <c r="C50" s="258">
        <v>43040</v>
      </c>
      <c r="D50" s="260">
        <v>43069</v>
      </c>
      <c r="E50" s="282">
        <v>14601.48</v>
      </c>
      <c r="F50" s="263" t="s">
        <v>69</v>
      </c>
      <c r="G50" s="406">
        <f ca="1">ROUND(IF(CostTrack[[#This Row],[Holdback (Y/N/R)]]="Yes",CostTrack[[#This Row],[Value]]*-0.1,IF(CostTrack[[#This Row],[Holdback (Y/N/R)]]="Release",CostTrack[[#This Row],[Value]],0)),2)</f>
        <v>0</v>
      </c>
      <c r="H50" s="407">
        <f ca="1">IF(CostTrack[[#This Row],[Holdback (Y/N/R)]]="Release",CostTrack[[#This Row],[Value]],CostTrack[[#This Row],[Value]]+CostTrack[[#This Row],[Holdback Value]])</f>
        <v>14601.48</v>
      </c>
      <c r="I50" s="258">
        <v>4</v>
      </c>
      <c r="J50" s="258" t="s">
        <v>22</v>
      </c>
      <c r="K50" s="275" t="s">
        <v>268</v>
      </c>
      <c r="L50" s="260" t="s">
        <v>268</v>
      </c>
      <c r="M50" s="260"/>
      <c r="N50" s="258"/>
      <c r="O50" s="260" t="s">
        <v>106</v>
      </c>
      <c r="P50" s="260" t="s">
        <v>268</v>
      </c>
      <c r="Q50" s="243" t="str">
        <f ca="1">IF(CostTrack[[#This Row],[Vendor - Contract]]="","",INDEX(VendorList[PA ID],MATCH(CostTrack[[#This Row],[Vendor - Contract]],VendorList[Vendor / Org. with Contract ID],0)))</f>
        <v>100.010.F1</v>
      </c>
      <c r="R50" s="243" t="str">
        <f ca="1">IF(CostTrack[[#This Row],[Vendor - Contract]]="","",INDEX(VendorList[Primary Category],MATCH(CostTrack[[#This Row],[Vendor - Contract]],VendorList[Vendor / Org. with Contract ID],0)))</f>
        <v>Administration</v>
      </c>
      <c r="S50" s="243" t="str">
        <f ca="1">IF(CostTrack[[#This Row],[Vendor - Contract]]="","",INDEX(VendorList[Secondary Category],MATCH(CostTrack[[#This Row],[Vendor - Contract]],VendorList[Vendor / Org. with Contract ID],0)))</f>
        <v>Staff Capitalization - INFRA</v>
      </c>
      <c r="T50" s="243" t="str">
        <f ca="1">IF(CostTrack[[#This Row],[Vendor - Contract]]="","",INDEX(VendorList[Phase / Subproject],MATCH(CostTrack[[#This Row],[Vendor - Contract]],VendorList[Vendor / Org. with Contract ID],0)))</f>
        <v>--</v>
      </c>
      <c r="U50" s="243" t="str">
        <f ca="1">IF(CostTrack[[#This Row],[Vendor - Contract]]="","",INDEX(VendorList[Phase / Subproject 2],MATCH(CostTrack[[#This Row],[Vendor - Contract]],VendorList[Vendor / Org. with Contract ID],0)))</f>
        <v>--</v>
      </c>
      <c r="V50" s="243" t="str">
        <f ca="1">IF(CostTrack[[#This Row],[Vendor - Contract]]="","",INDEX(VendorList[Funding Source],MATCH(CostTrack[[#This Row],[Vendor - Contract]],VendorList[Vendor / Org. with Contract ID],0)))</f>
        <v>P-002360</v>
      </c>
      <c r="W50" s="260">
        <v>43069</v>
      </c>
      <c r="X50" s="251" t="str">
        <f ca="1">IF(CostTrack[[#This Row],[Release Date (CMS)]]="","*","")</f>
        <v/>
      </c>
      <c r="Y50" s="267" t="s">
        <v>28</v>
      </c>
      <c r="Z50" s="270"/>
      <c r="AA50" s="245">
        <f ca="1">IF(OR(CostTrack[[#This Row],[Release Date (CMS)]]&gt;=DATE(VALUE(REPLACE(CostTrack[[#This Row],[Fiscal Period]],3,3,"")),3,1),CostTrack[[#This Row],[Release Date (CMS)]]&lt;DATE(VALUE(LEFT(CostTrack[[#This Row],[Fiscal Period]],4)),4,1)),1,0)</f>
        <v>0</v>
      </c>
      <c r="AB50" s="294">
        <v>14601.48</v>
      </c>
      <c r="AC50" s="260">
        <v>44224</v>
      </c>
      <c r="AD50" s="402" t="str">
        <f ca="1">IF(CostTrack[[#This Row],[Reconciled Amount]]="","",IF(CostTrack[[#This Row],[Value]]&lt;&gt;CostTrack[[#This Row],[Reconciled Amount]],"Yes","No"))</f>
        <v>No</v>
      </c>
    </row>
    <row r="51" spans="2:30">
      <c r="B51" s="400" t="s">
        <v>736</v>
      </c>
      <c r="C51" s="258">
        <v>43070</v>
      </c>
      <c r="D51" s="260">
        <v>43100</v>
      </c>
      <c r="E51" s="282">
        <v>15130.36</v>
      </c>
      <c r="F51" s="263" t="s">
        <v>69</v>
      </c>
      <c r="G51" s="406">
        <f ca="1">ROUND(IF(CostTrack[[#This Row],[Holdback (Y/N/R)]]="Yes",CostTrack[[#This Row],[Value]]*-0.1,IF(CostTrack[[#This Row],[Holdback (Y/N/R)]]="Release",CostTrack[[#This Row],[Value]],0)),2)</f>
        <v>0</v>
      </c>
      <c r="H51" s="407">
        <f ca="1">IF(CostTrack[[#This Row],[Holdback (Y/N/R)]]="Release",CostTrack[[#This Row],[Value]],CostTrack[[#This Row],[Value]]+CostTrack[[#This Row],[Holdback Value]])</f>
        <v>15130.36</v>
      </c>
      <c r="I51" s="258">
        <v>5</v>
      </c>
      <c r="J51" s="258" t="s">
        <v>22</v>
      </c>
      <c r="K51" s="275" t="s">
        <v>268</v>
      </c>
      <c r="L51" s="260" t="s">
        <v>268</v>
      </c>
      <c r="M51" s="260"/>
      <c r="N51" s="258"/>
      <c r="O51" s="260" t="s">
        <v>106</v>
      </c>
      <c r="P51" s="260" t="s">
        <v>268</v>
      </c>
      <c r="Q51" s="243" t="str">
        <f ca="1">IF(CostTrack[[#This Row],[Vendor - Contract]]="","",INDEX(VendorList[PA ID],MATCH(CostTrack[[#This Row],[Vendor - Contract]],VendorList[Vendor / Org. with Contract ID],0)))</f>
        <v>100.010.F1</v>
      </c>
      <c r="R51" s="243" t="str">
        <f ca="1">IF(CostTrack[[#This Row],[Vendor - Contract]]="","",INDEX(VendorList[Primary Category],MATCH(CostTrack[[#This Row],[Vendor - Contract]],VendorList[Vendor / Org. with Contract ID],0)))</f>
        <v>Administration</v>
      </c>
      <c r="S51" s="243" t="str">
        <f ca="1">IF(CostTrack[[#This Row],[Vendor - Contract]]="","",INDEX(VendorList[Secondary Category],MATCH(CostTrack[[#This Row],[Vendor - Contract]],VendorList[Vendor / Org. with Contract ID],0)))</f>
        <v>Staff Capitalization - INFRA</v>
      </c>
      <c r="T51" s="243" t="str">
        <f ca="1">IF(CostTrack[[#This Row],[Vendor - Contract]]="","",INDEX(VendorList[Phase / Subproject],MATCH(CostTrack[[#This Row],[Vendor - Contract]],VendorList[Vendor / Org. with Contract ID],0)))</f>
        <v>--</v>
      </c>
      <c r="U51" s="243" t="str">
        <f ca="1">IF(CostTrack[[#This Row],[Vendor - Contract]]="","",INDEX(VendorList[Phase / Subproject 2],MATCH(CostTrack[[#This Row],[Vendor - Contract]],VendorList[Vendor / Org. with Contract ID],0)))</f>
        <v>--</v>
      </c>
      <c r="V51" s="243" t="str">
        <f ca="1">IF(CostTrack[[#This Row],[Vendor - Contract]]="","",INDEX(VendorList[Funding Source],MATCH(CostTrack[[#This Row],[Vendor - Contract]],VendorList[Vendor / Org. with Contract ID],0)))</f>
        <v>P-002360</v>
      </c>
      <c r="W51" s="260">
        <v>43100</v>
      </c>
      <c r="X51" s="251" t="str">
        <f ca="1">IF(CostTrack[[#This Row],[Release Date (CMS)]]="","*","")</f>
        <v/>
      </c>
      <c r="Y51" s="267" t="s">
        <v>28</v>
      </c>
      <c r="Z51" s="270"/>
      <c r="AA51" s="245">
        <f ca="1">IF(OR(CostTrack[[#This Row],[Release Date (CMS)]]&gt;=DATE(VALUE(REPLACE(CostTrack[[#This Row],[Fiscal Period]],3,3,"")),3,1),CostTrack[[#This Row],[Release Date (CMS)]]&lt;DATE(VALUE(LEFT(CostTrack[[#This Row],[Fiscal Period]],4)),4,1)),1,0)</f>
        <v>0</v>
      </c>
      <c r="AB51" s="294">
        <v>15130.36</v>
      </c>
      <c r="AC51" s="260">
        <v>44224</v>
      </c>
      <c r="AD51" s="402" t="str">
        <f ca="1">IF(CostTrack[[#This Row],[Reconciled Amount]]="","",IF(CostTrack[[#This Row],[Value]]&lt;&gt;CostTrack[[#This Row],[Reconciled Amount]],"Yes","No"))</f>
        <v>No</v>
      </c>
    </row>
    <row r="52" spans="2:30">
      <c r="B52" s="400" t="s">
        <v>736</v>
      </c>
      <c r="C52" s="258">
        <v>43101</v>
      </c>
      <c r="D52" s="260">
        <v>43130</v>
      </c>
      <c r="E52" s="282">
        <v>16327.18</v>
      </c>
      <c r="F52" s="263" t="s">
        <v>69</v>
      </c>
      <c r="G52" s="406">
        <f ca="1">ROUND(IF(CostTrack[[#This Row],[Holdback (Y/N/R)]]="Yes",CostTrack[[#This Row],[Value]]*-0.1,IF(CostTrack[[#This Row],[Holdback (Y/N/R)]]="Release",CostTrack[[#This Row],[Value]],0)),2)</f>
        <v>0</v>
      </c>
      <c r="H52" s="407">
        <f ca="1">IF(CostTrack[[#This Row],[Holdback (Y/N/R)]]="Release",CostTrack[[#This Row],[Value]],CostTrack[[#This Row],[Value]]+CostTrack[[#This Row],[Holdback Value]])</f>
        <v>16327.18</v>
      </c>
      <c r="I52" s="258">
        <v>6</v>
      </c>
      <c r="J52" s="258" t="s">
        <v>22</v>
      </c>
      <c r="K52" s="275" t="s">
        <v>268</v>
      </c>
      <c r="L52" s="260" t="s">
        <v>268</v>
      </c>
      <c r="M52" s="260"/>
      <c r="N52" s="258"/>
      <c r="O52" s="260" t="s">
        <v>106</v>
      </c>
      <c r="P52" s="260" t="s">
        <v>268</v>
      </c>
      <c r="Q52" s="243" t="str">
        <f ca="1">IF(CostTrack[[#This Row],[Vendor - Contract]]="","",INDEX(VendorList[PA ID],MATCH(CostTrack[[#This Row],[Vendor - Contract]],VendorList[Vendor / Org. with Contract ID],0)))</f>
        <v>100.010.F1</v>
      </c>
      <c r="R52" s="243" t="str">
        <f ca="1">IF(CostTrack[[#This Row],[Vendor - Contract]]="","",INDEX(VendorList[Primary Category],MATCH(CostTrack[[#This Row],[Vendor - Contract]],VendorList[Vendor / Org. with Contract ID],0)))</f>
        <v>Administration</v>
      </c>
      <c r="S52" s="243" t="str">
        <f ca="1">IF(CostTrack[[#This Row],[Vendor - Contract]]="","",INDEX(VendorList[Secondary Category],MATCH(CostTrack[[#This Row],[Vendor - Contract]],VendorList[Vendor / Org. with Contract ID],0)))</f>
        <v>Staff Capitalization - INFRA</v>
      </c>
      <c r="T52" s="243" t="str">
        <f ca="1">IF(CostTrack[[#This Row],[Vendor - Contract]]="","",INDEX(VendorList[Phase / Subproject],MATCH(CostTrack[[#This Row],[Vendor - Contract]],VendorList[Vendor / Org. with Contract ID],0)))</f>
        <v>--</v>
      </c>
      <c r="U52" s="243" t="str">
        <f ca="1">IF(CostTrack[[#This Row],[Vendor - Contract]]="","",INDEX(VendorList[Phase / Subproject 2],MATCH(CostTrack[[#This Row],[Vendor - Contract]],VendorList[Vendor / Org. with Contract ID],0)))</f>
        <v>--</v>
      </c>
      <c r="V52" s="243" t="str">
        <f ca="1">IF(CostTrack[[#This Row],[Vendor - Contract]]="","",INDEX(VendorList[Funding Source],MATCH(CostTrack[[#This Row],[Vendor - Contract]],VendorList[Vendor / Org. with Contract ID],0)))</f>
        <v>P-002360</v>
      </c>
      <c r="W52" s="260">
        <v>43130</v>
      </c>
      <c r="X52" s="251" t="str">
        <f ca="1">IF(CostTrack[[#This Row],[Release Date (CMS)]]="","*","")</f>
        <v/>
      </c>
      <c r="Y52" s="267" t="s">
        <v>28</v>
      </c>
      <c r="Z52" s="270"/>
      <c r="AA52" s="245">
        <f ca="1">IF(OR(CostTrack[[#This Row],[Release Date (CMS)]]&gt;=DATE(VALUE(REPLACE(CostTrack[[#This Row],[Fiscal Period]],3,3,"")),3,1),CostTrack[[#This Row],[Release Date (CMS)]]&lt;DATE(VALUE(LEFT(CostTrack[[#This Row],[Fiscal Period]],4)),4,1)),1,0)</f>
        <v>0</v>
      </c>
      <c r="AB52" s="294">
        <v>16327.18</v>
      </c>
      <c r="AC52" s="260">
        <v>44224</v>
      </c>
      <c r="AD52" s="402" t="str">
        <f ca="1">IF(CostTrack[[#This Row],[Reconciled Amount]]="","",IF(CostTrack[[#This Row],[Value]]&lt;&gt;CostTrack[[#This Row],[Reconciled Amount]],"Yes","No"))</f>
        <v>No</v>
      </c>
    </row>
    <row r="53" spans="2:30">
      <c r="B53" s="400" t="s">
        <v>736</v>
      </c>
      <c r="C53" s="258">
        <v>43132</v>
      </c>
      <c r="D53" s="260">
        <v>43159</v>
      </c>
      <c r="E53" s="282">
        <v>13569.18</v>
      </c>
      <c r="F53" s="263" t="s">
        <v>69</v>
      </c>
      <c r="G53" s="406">
        <f ca="1">ROUND(IF(CostTrack[[#This Row],[Holdback (Y/N/R)]]="Yes",CostTrack[[#This Row],[Value]]*-0.1,IF(CostTrack[[#This Row],[Holdback (Y/N/R)]]="Release",CostTrack[[#This Row],[Value]],0)),2)</f>
        <v>0</v>
      </c>
      <c r="H53" s="407">
        <f ca="1">IF(CostTrack[[#This Row],[Holdback (Y/N/R)]]="Release",CostTrack[[#This Row],[Value]],CostTrack[[#This Row],[Value]]+CostTrack[[#This Row],[Holdback Value]])</f>
        <v>13569.18</v>
      </c>
      <c r="I53" s="258">
        <v>7</v>
      </c>
      <c r="J53" s="258" t="s">
        <v>22</v>
      </c>
      <c r="K53" s="275" t="s">
        <v>268</v>
      </c>
      <c r="L53" s="260" t="s">
        <v>268</v>
      </c>
      <c r="M53" s="260"/>
      <c r="N53" s="258"/>
      <c r="O53" s="260" t="s">
        <v>106</v>
      </c>
      <c r="P53" s="260" t="s">
        <v>268</v>
      </c>
      <c r="Q53" s="243" t="str">
        <f ca="1">IF(CostTrack[[#This Row],[Vendor - Contract]]="","",INDEX(VendorList[PA ID],MATCH(CostTrack[[#This Row],[Vendor - Contract]],VendorList[Vendor / Org. with Contract ID],0)))</f>
        <v>100.010.F1</v>
      </c>
      <c r="R53" s="243" t="str">
        <f ca="1">IF(CostTrack[[#This Row],[Vendor - Contract]]="","",INDEX(VendorList[Primary Category],MATCH(CostTrack[[#This Row],[Vendor - Contract]],VendorList[Vendor / Org. with Contract ID],0)))</f>
        <v>Administration</v>
      </c>
      <c r="S53" s="243" t="str">
        <f ca="1">IF(CostTrack[[#This Row],[Vendor - Contract]]="","",INDEX(VendorList[Secondary Category],MATCH(CostTrack[[#This Row],[Vendor - Contract]],VendorList[Vendor / Org. with Contract ID],0)))</f>
        <v>Staff Capitalization - INFRA</v>
      </c>
      <c r="T53" s="243" t="str">
        <f ca="1">IF(CostTrack[[#This Row],[Vendor - Contract]]="","",INDEX(VendorList[Phase / Subproject],MATCH(CostTrack[[#This Row],[Vendor - Contract]],VendorList[Vendor / Org. with Contract ID],0)))</f>
        <v>--</v>
      </c>
      <c r="U53" s="243" t="str">
        <f ca="1">IF(CostTrack[[#This Row],[Vendor - Contract]]="","",INDEX(VendorList[Phase / Subproject 2],MATCH(CostTrack[[#This Row],[Vendor - Contract]],VendorList[Vendor / Org. with Contract ID],0)))</f>
        <v>--</v>
      </c>
      <c r="V53" s="243" t="str">
        <f ca="1">IF(CostTrack[[#This Row],[Vendor - Contract]]="","",INDEX(VendorList[Funding Source],MATCH(CostTrack[[#This Row],[Vendor - Contract]],VendorList[Vendor / Org. with Contract ID],0)))</f>
        <v>P-002360</v>
      </c>
      <c r="W53" s="260">
        <v>43159</v>
      </c>
      <c r="X53" s="251" t="str">
        <f ca="1">IF(CostTrack[[#This Row],[Release Date (CMS)]]="","*","")</f>
        <v/>
      </c>
      <c r="Y53" s="267" t="s">
        <v>28</v>
      </c>
      <c r="Z53" s="270"/>
      <c r="AA53" s="245">
        <f ca="1">IF(OR(CostTrack[[#This Row],[Release Date (CMS)]]&gt;=DATE(VALUE(REPLACE(CostTrack[[#This Row],[Fiscal Period]],3,3,"")),3,1),CostTrack[[#This Row],[Release Date (CMS)]]&lt;DATE(VALUE(LEFT(CostTrack[[#This Row],[Fiscal Period]],4)),4,1)),1,0)</f>
        <v>0</v>
      </c>
      <c r="AB53" s="294">
        <v>13569.18</v>
      </c>
      <c r="AC53" s="260">
        <v>44224</v>
      </c>
      <c r="AD53" s="402" t="str">
        <f ca="1">IF(CostTrack[[#This Row],[Reconciled Amount]]="","",IF(CostTrack[[#This Row],[Value]]&lt;&gt;CostTrack[[#This Row],[Reconciled Amount]],"Yes","No"))</f>
        <v>No</v>
      </c>
    </row>
    <row r="54" spans="2:30">
      <c r="B54" s="400" t="s">
        <v>736</v>
      </c>
      <c r="C54" s="259">
        <v>43177</v>
      </c>
      <c r="D54" s="260">
        <v>43190</v>
      </c>
      <c r="E54" s="282">
        <v>14624.86</v>
      </c>
      <c r="F54" s="263" t="s">
        <v>69</v>
      </c>
      <c r="G54" s="406">
        <f ca="1">ROUND(IF(CostTrack[[#This Row],[Holdback (Y/N/R)]]="Yes",CostTrack[[#This Row],[Value]]*-0.1,IF(CostTrack[[#This Row],[Holdback (Y/N/R)]]="Release",CostTrack[[#This Row],[Value]],0)),2)</f>
        <v>0</v>
      </c>
      <c r="H54" s="407">
        <f ca="1">IF(CostTrack[[#This Row],[Holdback (Y/N/R)]]="Release",CostTrack[[#This Row],[Value]],CostTrack[[#This Row],[Value]]+CostTrack[[#This Row],[Holdback Value]])</f>
        <v>14624.86</v>
      </c>
      <c r="I54" s="258">
        <v>8</v>
      </c>
      <c r="J54" s="258" t="s">
        <v>22</v>
      </c>
      <c r="K54" s="275" t="s">
        <v>268</v>
      </c>
      <c r="L54" s="260" t="s">
        <v>268</v>
      </c>
      <c r="M54" s="260"/>
      <c r="N54" s="258"/>
      <c r="O54" s="260" t="s">
        <v>106</v>
      </c>
      <c r="P54" s="260" t="s">
        <v>268</v>
      </c>
      <c r="Q54" s="243" t="str">
        <f ca="1">IF(CostTrack[[#This Row],[Vendor - Contract]]="","",INDEX(VendorList[PA ID],MATCH(CostTrack[[#This Row],[Vendor - Contract]],VendorList[Vendor / Org. with Contract ID],0)))</f>
        <v>100.010.F1</v>
      </c>
      <c r="R54" s="243" t="str">
        <f ca="1">IF(CostTrack[[#This Row],[Vendor - Contract]]="","",INDEX(VendorList[Primary Category],MATCH(CostTrack[[#This Row],[Vendor - Contract]],VendorList[Vendor / Org. with Contract ID],0)))</f>
        <v>Administration</v>
      </c>
      <c r="S54" s="243" t="str">
        <f ca="1">IF(CostTrack[[#This Row],[Vendor - Contract]]="","",INDEX(VendorList[Secondary Category],MATCH(CostTrack[[#This Row],[Vendor - Contract]],VendorList[Vendor / Org. with Contract ID],0)))</f>
        <v>Staff Capitalization - INFRA</v>
      </c>
      <c r="T54" s="243" t="str">
        <f ca="1">IF(CostTrack[[#This Row],[Vendor - Contract]]="","",INDEX(VendorList[Phase / Subproject],MATCH(CostTrack[[#This Row],[Vendor - Contract]],VendorList[Vendor / Org. with Contract ID],0)))</f>
        <v>--</v>
      </c>
      <c r="U54" s="243" t="str">
        <f ca="1">IF(CostTrack[[#This Row],[Vendor - Contract]]="","",INDEX(VendorList[Phase / Subproject 2],MATCH(CostTrack[[#This Row],[Vendor - Contract]],VendorList[Vendor / Org. with Contract ID],0)))</f>
        <v>--</v>
      </c>
      <c r="V54" s="243" t="str">
        <f ca="1">IF(CostTrack[[#This Row],[Vendor - Contract]]="","",INDEX(VendorList[Funding Source],MATCH(CostTrack[[#This Row],[Vendor - Contract]],VendorList[Vendor / Org. with Contract ID],0)))</f>
        <v>P-002360</v>
      </c>
      <c r="W54" s="260">
        <v>43190</v>
      </c>
      <c r="X54" s="251" t="str">
        <f ca="1">IF(CostTrack[[#This Row],[Release Date (CMS)]]="","*","")</f>
        <v/>
      </c>
      <c r="Y54" s="267" t="s">
        <v>28</v>
      </c>
      <c r="Z54" s="270"/>
      <c r="AA54" s="245">
        <f ca="1">IF(OR(CostTrack[[#This Row],[Release Date (CMS)]]&gt;=DATE(VALUE(REPLACE(CostTrack[[#This Row],[Fiscal Period]],3,3,"")),3,1),CostTrack[[#This Row],[Release Date (CMS)]]&lt;DATE(VALUE(LEFT(CostTrack[[#This Row],[Fiscal Period]],4)),4,1)),1,0)</f>
        <v>1</v>
      </c>
      <c r="AB54" s="294">
        <v>14624.86</v>
      </c>
      <c r="AC54" s="260">
        <v>44224</v>
      </c>
      <c r="AD54" s="402" t="str">
        <f ca="1">IF(CostTrack[[#This Row],[Reconciled Amount]]="","",IF(CostTrack[[#This Row],[Value]]&lt;&gt;CostTrack[[#This Row],[Reconciled Amount]],"Yes","No"))</f>
        <v>No</v>
      </c>
    </row>
    <row r="55" spans="2:30">
      <c r="B55" s="400" t="s">
        <v>736</v>
      </c>
      <c r="C55" s="259">
        <v>43269</v>
      </c>
      <c r="D55" s="260">
        <v>43281</v>
      </c>
      <c r="E55" s="282">
        <v>68749.25</v>
      </c>
      <c r="F55" s="263" t="s">
        <v>69</v>
      </c>
      <c r="G55" s="406">
        <f ca="1">ROUND(IF(CostTrack[[#This Row],[Holdback (Y/N/R)]]="Yes",CostTrack[[#This Row],[Value]]*-0.1,IF(CostTrack[[#This Row],[Holdback (Y/N/R)]]="Release",CostTrack[[#This Row],[Value]],0)),2)</f>
        <v>0</v>
      </c>
      <c r="H55" s="407">
        <f ca="1">IF(CostTrack[[#This Row],[Holdback (Y/N/R)]]="Release",CostTrack[[#This Row],[Value]],CostTrack[[#This Row],[Value]]+CostTrack[[#This Row],[Holdback Value]])</f>
        <v>68749.25</v>
      </c>
      <c r="I55" s="258">
        <v>11</v>
      </c>
      <c r="J55" s="258" t="s">
        <v>22</v>
      </c>
      <c r="K55" s="275" t="s">
        <v>841</v>
      </c>
      <c r="L55" s="260" t="s">
        <v>268</v>
      </c>
      <c r="M55" s="260"/>
      <c r="N55" s="258"/>
      <c r="O55" s="260" t="s">
        <v>106</v>
      </c>
      <c r="P55" s="260" t="s">
        <v>268</v>
      </c>
      <c r="Q55" s="243" t="str">
        <f ca="1">IF(CostTrack[[#This Row],[Vendor - Contract]]="","",INDEX(VendorList[PA ID],MATCH(CostTrack[[#This Row],[Vendor - Contract]],VendorList[Vendor / Org. with Contract ID],0)))</f>
        <v>100.010.F1</v>
      </c>
      <c r="R55" s="243" t="str">
        <f ca="1">IF(CostTrack[[#This Row],[Vendor - Contract]]="","",INDEX(VendorList[Primary Category],MATCH(CostTrack[[#This Row],[Vendor - Contract]],VendorList[Vendor / Org. with Contract ID],0)))</f>
        <v>Administration</v>
      </c>
      <c r="S55" s="243" t="str">
        <f ca="1">IF(CostTrack[[#This Row],[Vendor - Contract]]="","",INDEX(VendorList[Secondary Category],MATCH(CostTrack[[#This Row],[Vendor - Contract]],VendorList[Vendor / Org. with Contract ID],0)))</f>
        <v>Staff Capitalization - INFRA</v>
      </c>
      <c r="T55" s="243" t="str">
        <f ca="1">IF(CostTrack[[#This Row],[Vendor - Contract]]="","",INDEX(VendorList[Phase / Subproject],MATCH(CostTrack[[#This Row],[Vendor - Contract]],VendorList[Vendor / Org. with Contract ID],0)))</f>
        <v>--</v>
      </c>
      <c r="U55" s="243" t="str">
        <f ca="1">IF(CostTrack[[#This Row],[Vendor - Contract]]="","",INDEX(VendorList[Phase / Subproject 2],MATCH(CostTrack[[#This Row],[Vendor - Contract]],VendorList[Vendor / Org. with Contract ID],0)))</f>
        <v>--</v>
      </c>
      <c r="V55" s="243" t="str">
        <f ca="1">IF(CostTrack[[#This Row],[Vendor - Contract]]="","",INDEX(VendorList[Funding Source],MATCH(CostTrack[[#This Row],[Vendor - Contract]],VendorList[Vendor / Org. with Contract ID],0)))</f>
        <v>P-002360</v>
      </c>
      <c r="W55" s="260">
        <v>43281</v>
      </c>
      <c r="X55" s="251" t="str">
        <f ca="1">IF(CostTrack[[#This Row],[Release Date (CMS)]]="","*","")</f>
        <v/>
      </c>
      <c r="Y55" s="267" t="s">
        <v>34</v>
      </c>
      <c r="Z55" s="270"/>
      <c r="AA55" s="245">
        <f ca="1">IF(OR(CostTrack[[#This Row],[Release Date (CMS)]]&gt;=DATE(VALUE(REPLACE(CostTrack[[#This Row],[Fiscal Period]],3,3,"")),3,1),CostTrack[[#This Row],[Release Date (CMS)]]&lt;DATE(VALUE(LEFT(CostTrack[[#This Row],[Fiscal Period]],4)),4,1)),1,0)</f>
        <v>0</v>
      </c>
      <c r="AB55" s="294">
        <v>68749.25</v>
      </c>
      <c r="AC55" s="260">
        <v>44225</v>
      </c>
      <c r="AD55" s="402" t="str">
        <f ca="1">IF(CostTrack[[#This Row],[Reconciled Amount]]="","",IF(CostTrack[[#This Row],[Value]]&lt;&gt;CostTrack[[#This Row],[Reconciled Amount]],"Yes","No"))</f>
        <v>No</v>
      </c>
    </row>
    <row r="56" spans="2:30">
      <c r="B56" s="400" t="s">
        <v>736</v>
      </c>
      <c r="C56" s="259">
        <v>43299</v>
      </c>
      <c r="D56" s="260">
        <v>43312</v>
      </c>
      <c r="E56" s="282">
        <v>18686.34</v>
      </c>
      <c r="F56" s="263" t="s">
        <v>69</v>
      </c>
      <c r="G56" s="406">
        <f ca="1">ROUND(IF(CostTrack[[#This Row],[Holdback (Y/N/R)]]="Yes",CostTrack[[#This Row],[Value]]*-0.1,IF(CostTrack[[#This Row],[Holdback (Y/N/R)]]="Release",CostTrack[[#This Row],[Value]],0)),2)</f>
        <v>0</v>
      </c>
      <c r="H56" s="407">
        <f ca="1">IF(CostTrack[[#This Row],[Holdback (Y/N/R)]]="Release",CostTrack[[#This Row],[Value]],CostTrack[[#This Row],[Value]]+CostTrack[[#This Row],[Holdback Value]])</f>
        <v>18686.34</v>
      </c>
      <c r="I56" s="258">
        <v>12</v>
      </c>
      <c r="J56" s="258" t="s">
        <v>22</v>
      </c>
      <c r="K56" s="275" t="s">
        <v>268</v>
      </c>
      <c r="L56" s="260" t="s">
        <v>268</v>
      </c>
      <c r="M56" s="260"/>
      <c r="N56" s="258"/>
      <c r="O56" s="260" t="s">
        <v>106</v>
      </c>
      <c r="P56" s="260" t="s">
        <v>268</v>
      </c>
      <c r="Q56" s="243" t="str">
        <f ca="1">IF(CostTrack[[#This Row],[Vendor - Contract]]="","",INDEX(VendorList[PA ID],MATCH(CostTrack[[#This Row],[Vendor - Contract]],VendorList[Vendor / Org. with Contract ID],0)))</f>
        <v>100.010.F1</v>
      </c>
      <c r="R56" s="243" t="str">
        <f ca="1">IF(CostTrack[[#This Row],[Vendor - Contract]]="","",INDEX(VendorList[Primary Category],MATCH(CostTrack[[#This Row],[Vendor - Contract]],VendorList[Vendor / Org. with Contract ID],0)))</f>
        <v>Administration</v>
      </c>
      <c r="S56" s="243" t="str">
        <f ca="1">IF(CostTrack[[#This Row],[Vendor - Contract]]="","",INDEX(VendorList[Secondary Category],MATCH(CostTrack[[#This Row],[Vendor - Contract]],VendorList[Vendor / Org. with Contract ID],0)))</f>
        <v>Staff Capitalization - INFRA</v>
      </c>
      <c r="T56" s="243" t="str">
        <f ca="1">IF(CostTrack[[#This Row],[Vendor - Contract]]="","",INDEX(VendorList[Phase / Subproject],MATCH(CostTrack[[#This Row],[Vendor - Contract]],VendorList[Vendor / Org. with Contract ID],0)))</f>
        <v>--</v>
      </c>
      <c r="U56" s="243" t="str">
        <f ca="1">IF(CostTrack[[#This Row],[Vendor - Contract]]="","",INDEX(VendorList[Phase / Subproject 2],MATCH(CostTrack[[#This Row],[Vendor - Contract]],VendorList[Vendor / Org. with Contract ID],0)))</f>
        <v>--</v>
      </c>
      <c r="V56" s="243" t="str">
        <f ca="1">IF(CostTrack[[#This Row],[Vendor - Contract]]="","",INDEX(VendorList[Funding Source],MATCH(CostTrack[[#This Row],[Vendor - Contract]],VendorList[Vendor / Org. with Contract ID],0)))</f>
        <v>P-002360</v>
      </c>
      <c r="W56" s="260">
        <v>43312</v>
      </c>
      <c r="X56" s="251" t="str">
        <f ca="1">IF(CostTrack[[#This Row],[Release Date (CMS)]]="","*","")</f>
        <v/>
      </c>
      <c r="Y56" s="267" t="s">
        <v>34</v>
      </c>
      <c r="Z56" s="270"/>
      <c r="AA56" s="245">
        <f ca="1">IF(OR(CostTrack[[#This Row],[Release Date (CMS)]]&gt;=DATE(VALUE(REPLACE(CostTrack[[#This Row],[Fiscal Period]],3,3,"")),3,1),CostTrack[[#This Row],[Release Date (CMS)]]&lt;DATE(VALUE(LEFT(CostTrack[[#This Row],[Fiscal Period]],4)),4,1)),1,0)</f>
        <v>0</v>
      </c>
      <c r="AB56" s="294">
        <v>18686.34</v>
      </c>
      <c r="AC56" s="260">
        <v>44225</v>
      </c>
      <c r="AD56" s="402" t="str">
        <f ca="1">IF(CostTrack[[#This Row],[Reconciled Amount]]="","",IF(CostTrack[[#This Row],[Value]]&lt;&gt;CostTrack[[#This Row],[Reconciled Amount]],"Yes","No"))</f>
        <v>No</v>
      </c>
    </row>
    <row r="57" spans="2:30">
      <c r="B57" s="400" t="s">
        <v>736</v>
      </c>
      <c r="C57" s="258">
        <v>43330</v>
      </c>
      <c r="D57" s="260">
        <v>43343</v>
      </c>
      <c r="E57" s="282">
        <v>24758.05</v>
      </c>
      <c r="F57" s="263" t="s">
        <v>69</v>
      </c>
      <c r="G57" s="406">
        <f ca="1">ROUND(IF(CostTrack[[#This Row],[Holdback (Y/N/R)]]="Yes",CostTrack[[#This Row],[Value]]*-0.1,IF(CostTrack[[#This Row],[Holdback (Y/N/R)]]="Release",CostTrack[[#This Row],[Value]],0)),2)</f>
        <v>0</v>
      </c>
      <c r="H57" s="407">
        <f ca="1">IF(CostTrack[[#This Row],[Holdback (Y/N/R)]]="Release",CostTrack[[#This Row],[Value]],CostTrack[[#This Row],[Value]]+CostTrack[[#This Row],[Holdback Value]])</f>
        <v>24758.05</v>
      </c>
      <c r="I57" s="258">
        <v>13</v>
      </c>
      <c r="J57" s="258" t="s">
        <v>22</v>
      </c>
      <c r="K57" s="275" t="s">
        <v>268</v>
      </c>
      <c r="L57" s="260" t="s">
        <v>268</v>
      </c>
      <c r="M57" s="260"/>
      <c r="N57" s="258"/>
      <c r="O57" s="260" t="s">
        <v>106</v>
      </c>
      <c r="P57" s="260" t="s">
        <v>268</v>
      </c>
      <c r="Q57" s="243" t="str">
        <f ca="1">IF(CostTrack[[#This Row],[Vendor - Contract]]="","",INDEX(VendorList[PA ID],MATCH(CostTrack[[#This Row],[Vendor - Contract]],VendorList[Vendor / Org. with Contract ID],0)))</f>
        <v>100.010.F1</v>
      </c>
      <c r="R57" s="243" t="str">
        <f ca="1">IF(CostTrack[[#This Row],[Vendor - Contract]]="","",INDEX(VendorList[Primary Category],MATCH(CostTrack[[#This Row],[Vendor - Contract]],VendorList[Vendor / Org. with Contract ID],0)))</f>
        <v>Administration</v>
      </c>
      <c r="S57" s="243" t="str">
        <f ca="1">IF(CostTrack[[#This Row],[Vendor - Contract]]="","",INDEX(VendorList[Secondary Category],MATCH(CostTrack[[#This Row],[Vendor - Contract]],VendorList[Vendor / Org. with Contract ID],0)))</f>
        <v>Staff Capitalization - INFRA</v>
      </c>
      <c r="T57" s="243" t="str">
        <f ca="1">IF(CostTrack[[#This Row],[Vendor - Contract]]="","",INDEX(VendorList[Phase / Subproject],MATCH(CostTrack[[#This Row],[Vendor - Contract]],VendorList[Vendor / Org. with Contract ID],0)))</f>
        <v>--</v>
      </c>
      <c r="U57" s="243" t="str">
        <f ca="1">IF(CostTrack[[#This Row],[Vendor - Contract]]="","",INDEX(VendorList[Phase / Subproject 2],MATCH(CostTrack[[#This Row],[Vendor - Contract]],VendorList[Vendor / Org. with Contract ID],0)))</f>
        <v>--</v>
      </c>
      <c r="V57" s="243" t="str">
        <f ca="1">IF(CostTrack[[#This Row],[Vendor - Contract]]="","",INDEX(VendorList[Funding Source],MATCH(CostTrack[[#This Row],[Vendor - Contract]],VendorList[Vendor / Org. with Contract ID],0)))</f>
        <v>P-002360</v>
      </c>
      <c r="W57" s="260">
        <v>43343</v>
      </c>
      <c r="X57" s="251" t="str">
        <f ca="1">IF(CostTrack[[#This Row],[Release Date (CMS)]]="","*","")</f>
        <v/>
      </c>
      <c r="Y57" s="267" t="s">
        <v>34</v>
      </c>
      <c r="Z57" s="270"/>
      <c r="AA57" s="245">
        <f ca="1">IF(OR(CostTrack[[#This Row],[Release Date (CMS)]]&gt;=DATE(VALUE(REPLACE(CostTrack[[#This Row],[Fiscal Period]],3,3,"")),3,1),CostTrack[[#This Row],[Release Date (CMS)]]&lt;DATE(VALUE(LEFT(CostTrack[[#This Row],[Fiscal Period]],4)),4,1)),1,0)</f>
        <v>0</v>
      </c>
      <c r="AB57" s="294">
        <v>24758.05</v>
      </c>
      <c r="AC57" s="260">
        <v>44225</v>
      </c>
      <c r="AD57" s="402" t="str">
        <f ca="1">IF(CostTrack[[#This Row],[Reconciled Amount]]="","",IF(CostTrack[[#This Row],[Value]]&lt;&gt;CostTrack[[#This Row],[Reconciled Amount]],"Yes","No"))</f>
        <v>No</v>
      </c>
    </row>
    <row r="58" spans="2:30">
      <c r="B58" s="400" t="s">
        <v>736</v>
      </c>
      <c r="C58" s="258">
        <v>43361</v>
      </c>
      <c r="D58" s="260">
        <v>43373</v>
      </c>
      <c r="E58" s="282">
        <v>21378.97</v>
      </c>
      <c r="F58" s="263" t="s">
        <v>69</v>
      </c>
      <c r="G58" s="406">
        <f ca="1">ROUND(IF(CostTrack[[#This Row],[Holdback (Y/N/R)]]="Yes",CostTrack[[#This Row],[Value]]*-0.1,IF(CostTrack[[#This Row],[Holdback (Y/N/R)]]="Release",CostTrack[[#This Row],[Value]],0)),2)</f>
        <v>0</v>
      </c>
      <c r="H58" s="407">
        <f ca="1">IF(CostTrack[[#This Row],[Holdback (Y/N/R)]]="Release",CostTrack[[#This Row],[Value]],CostTrack[[#This Row],[Value]]+CostTrack[[#This Row],[Holdback Value]])</f>
        <v>21378.97</v>
      </c>
      <c r="I58" s="258">
        <v>14</v>
      </c>
      <c r="J58" s="258" t="s">
        <v>22</v>
      </c>
      <c r="K58" s="275" t="s">
        <v>268</v>
      </c>
      <c r="L58" s="260" t="s">
        <v>268</v>
      </c>
      <c r="M58" s="260"/>
      <c r="N58" s="258"/>
      <c r="O58" s="260" t="s">
        <v>106</v>
      </c>
      <c r="P58" s="260" t="s">
        <v>268</v>
      </c>
      <c r="Q58" s="243" t="str">
        <f ca="1">IF(CostTrack[[#This Row],[Vendor - Contract]]="","",INDEX(VendorList[PA ID],MATCH(CostTrack[[#This Row],[Vendor - Contract]],VendorList[Vendor / Org. with Contract ID],0)))</f>
        <v>100.010.F1</v>
      </c>
      <c r="R58" s="243" t="str">
        <f ca="1">IF(CostTrack[[#This Row],[Vendor - Contract]]="","",INDEX(VendorList[Primary Category],MATCH(CostTrack[[#This Row],[Vendor - Contract]],VendorList[Vendor / Org. with Contract ID],0)))</f>
        <v>Administration</v>
      </c>
      <c r="S58" s="243" t="str">
        <f ca="1">IF(CostTrack[[#This Row],[Vendor - Contract]]="","",INDEX(VendorList[Secondary Category],MATCH(CostTrack[[#This Row],[Vendor - Contract]],VendorList[Vendor / Org. with Contract ID],0)))</f>
        <v>Staff Capitalization - INFRA</v>
      </c>
      <c r="T58" s="243" t="str">
        <f ca="1">IF(CostTrack[[#This Row],[Vendor - Contract]]="","",INDEX(VendorList[Phase / Subproject],MATCH(CostTrack[[#This Row],[Vendor - Contract]],VendorList[Vendor / Org. with Contract ID],0)))</f>
        <v>--</v>
      </c>
      <c r="U58" s="243" t="str">
        <f ca="1">IF(CostTrack[[#This Row],[Vendor - Contract]]="","",INDEX(VendorList[Phase / Subproject 2],MATCH(CostTrack[[#This Row],[Vendor - Contract]],VendorList[Vendor / Org. with Contract ID],0)))</f>
        <v>--</v>
      </c>
      <c r="V58" s="243" t="str">
        <f ca="1">IF(CostTrack[[#This Row],[Vendor - Contract]]="","",INDEX(VendorList[Funding Source],MATCH(CostTrack[[#This Row],[Vendor - Contract]],VendorList[Vendor / Org. with Contract ID],0)))</f>
        <v>P-002360</v>
      </c>
      <c r="W58" s="260">
        <v>43373</v>
      </c>
      <c r="X58" s="251" t="str">
        <f ca="1">IF(CostTrack[[#This Row],[Release Date (CMS)]]="","*","")</f>
        <v/>
      </c>
      <c r="Y58" s="267" t="s">
        <v>34</v>
      </c>
      <c r="Z58" s="270"/>
      <c r="AA58" s="245">
        <f ca="1">IF(OR(CostTrack[[#This Row],[Release Date (CMS)]]&gt;=DATE(VALUE(REPLACE(CostTrack[[#This Row],[Fiscal Period]],3,3,"")),3,1),CostTrack[[#This Row],[Release Date (CMS)]]&lt;DATE(VALUE(LEFT(CostTrack[[#This Row],[Fiscal Period]],4)),4,1)),1,0)</f>
        <v>0</v>
      </c>
      <c r="AB58" s="294">
        <v>21378.97</v>
      </c>
      <c r="AC58" s="260">
        <v>44225</v>
      </c>
      <c r="AD58" s="402" t="str">
        <f ca="1">IF(CostTrack[[#This Row],[Reconciled Amount]]="","",IF(CostTrack[[#This Row],[Value]]&lt;&gt;CostTrack[[#This Row],[Reconciled Amount]],"Yes","No"))</f>
        <v>No</v>
      </c>
    </row>
    <row r="59" spans="2:30">
      <c r="B59" s="400" t="s">
        <v>736</v>
      </c>
      <c r="C59" s="258">
        <v>43391</v>
      </c>
      <c r="D59" s="260">
        <v>43404</v>
      </c>
      <c r="E59" s="282">
        <v>24704.03</v>
      </c>
      <c r="F59" s="263" t="s">
        <v>69</v>
      </c>
      <c r="G59" s="406">
        <f ca="1">ROUND(IF(CostTrack[[#This Row],[Holdback (Y/N/R)]]="Yes",CostTrack[[#This Row],[Value]]*-0.1,IF(CostTrack[[#This Row],[Holdback (Y/N/R)]]="Release",CostTrack[[#This Row],[Value]],0)),2)</f>
        <v>0</v>
      </c>
      <c r="H59" s="407">
        <f ca="1">IF(CostTrack[[#This Row],[Holdback (Y/N/R)]]="Release",CostTrack[[#This Row],[Value]],CostTrack[[#This Row],[Value]]+CostTrack[[#This Row],[Holdback Value]])</f>
        <v>24704.03</v>
      </c>
      <c r="I59" s="258">
        <v>15</v>
      </c>
      <c r="J59" s="258" t="s">
        <v>22</v>
      </c>
      <c r="K59" s="275" t="s">
        <v>268</v>
      </c>
      <c r="L59" s="260" t="s">
        <v>268</v>
      </c>
      <c r="M59" s="260"/>
      <c r="N59" s="258"/>
      <c r="O59" s="260" t="s">
        <v>106</v>
      </c>
      <c r="P59" s="260" t="s">
        <v>268</v>
      </c>
      <c r="Q59" s="243" t="str">
        <f ca="1">IF(CostTrack[[#This Row],[Vendor - Contract]]="","",INDEX(VendorList[PA ID],MATCH(CostTrack[[#This Row],[Vendor - Contract]],VendorList[Vendor / Org. with Contract ID],0)))</f>
        <v>100.010.F1</v>
      </c>
      <c r="R59" s="243" t="str">
        <f ca="1">IF(CostTrack[[#This Row],[Vendor - Contract]]="","",INDEX(VendorList[Primary Category],MATCH(CostTrack[[#This Row],[Vendor - Contract]],VendorList[Vendor / Org. with Contract ID],0)))</f>
        <v>Administration</v>
      </c>
      <c r="S59" s="243" t="str">
        <f ca="1">IF(CostTrack[[#This Row],[Vendor - Contract]]="","",INDEX(VendorList[Secondary Category],MATCH(CostTrack[[#This Row],[Vendor - Contract]],VendorList[Vendor / Org. with Contract ID],0)))</f>
        <v>Staff Capitalization - INFRA</v>
      </c>
      <c r="T59" s="243" t="str">
        <f ca="1">IF(CostTrack[[#This Row],[Vendor - Contract]]="","",INDEX(VendorList[Phase / Subproject],MATCH(CostTrack[[#This Row],[Vendor - Contract]],VendorList[Vendor / Org. with Contract ID],0)))</f>
        <v>--</v>
      </c>
      <c r="U59" s="243" t="str">
        <f ca="1">IF(CostTrack[[#This Row],[Vendor - Contract]]="","",INDEX(VendorList[Phase / Subproject 2],MATCH(CostTrack[[#This Row],[Vendor - Contract]],VendorList[Vendor / Org. with Contract ID],0)))</f>
        <v>--</v>
      </c>
      <c r="V59" s="243" t="str">
        <f ca="1">IF(CostTrack[[#This Row],[Vendor - Contract]]="","",INDEX(VendorList[Funding Source],MATCH(CostTrack[[#This Row],[Vendor - Contract]],VendorList[Vendor / Org. with Contract ID],0)))</f>
        <v>P-002360</v>
      </c>
      <c r="W59" s="260">
        <v>43404</v>
      </c>
      <c r="X59" s="251" t="str">
        <f ca="1">IF(CostTrack[[#This Row],[Release Date (CMS)]]="","*","")</f>
        <v/>
      </c>
      <c r="Y59" s="267" t="s">
        <v>34</v>
      </c>
      <c r="Z59" s="270"/>
      <c r="AA59" s="245">
        <f ca="1">IF(OR(CostTrack[[#This Row],[Release Date (CMS)]]&gt;=DATE(VALUE(REPLACE(CostTrack[[#This Row],[Fiscal Period]],3,3,"")),3,1),CostTrack[[#This Row],[Release Date (CMS)]]&lt;DATE(VALUE(LEFT(CostTrack[[#This Row],[Fiscal Period]],4)),4,1)),1,0)</f>
        <v>0</v>
      </c>
      <c r="AB59" s="294">
        <v>24704.03</v>
      </c>
      <c r="AC59" s="260">
        <v>44225</v>
      </c>
      <c r="AD59" s="402" t="str">
        <f ca="1">IF(CostTrack[[#This Row],[Reconciled Amount]]="","",IF(CostTrack[[#This Row],[Value]]&lt;&gt;CostTrack[[#This Row],[Reconciled Amount]],"Yes","No"))</f>
        <v>No</v>
      </c>
    </row>
    <row r="60" spans="2:30">
      <c r="B60" s="400" t="s">
        <v>736</v>
      </c>
      <c r="C60" s="258">
        <v>43422</v>
      </c>
      <c r="D60" s="260">
        <v>43434</v>
      </c>
      <c r="E60" s="282">
        <v>23424.46</v>
      </c>
      <c r="F60" s="263" t="s">
        <v>69</v>
      </c>
      <c r="G60" s="406">
        <f ca="1">ROUND(IF(CostTrack[[#This Row],[Holdback (Y/N/R)]]="Yes",CostTrack[[#This Row],[Value]]*-0.1,IF(CostTrack[[#This Row],[Holdback (Y/N/R)]]="Release",CostTrack[[#This Row],[Value]],0)),2)</f>
        <v>0</v>
      </c>
      <c r="H60" s="407">
        <f ca="1">IF(CostTrack[[#This Row],[Holdback (Y/N/R)]]="Release",CostTrack[[#This Row],[Value]],CostTrack[[#This Row],[Value]]+CostTrack[[#This Row],[Holdback Value]])</f>
        <v>23424.46</v>
      </c>
      <c r="I60" s="258">
        <v>16</v>
      </c>
      <c r="J60" s="258" t="s">
        <v>22</v>
      </c>
      <c r="K60" s="275" t="s">
        <v>268</v>
      </c>
      <c r="L60" s="260" t="s">
        <v>268</v>
      </c>
      <c r="M60" s="260"/>
      <c r="N60" s="258"/>
      <c r="O60" s="260" t="s">
        <v>106</v>
      </c>
      <c r="P60" s="260" t="s">
        <v>268</v>
      </c>
      <c r="Q60" s="243" t="str">
        <f ca="1">IF(CostTrack[[#This Row],[Vendor - Contract]]="","",INDEX(VendorList[PA ID],MATCH(CostTrack[[#This Row],[Vendor - Contract]],VendorList[Vendor / Org. with Contract ID],0)))</f>
        <v>100.010.F1</v>
      </c>
      <c r="R60" s="243" t="str">
        <f ca="1">IF(CostTrack[[#This Row],[Vendor - Contract]]="","",INDEX(VendorList[Primary Category],MATCH(CostTrack[[#This Row],[Vendor - Contract]],VendorList[Vendor / Org. with Contract ID],0)))</f>
        <v>Administration</v>
      </c>
      <c r="S60" s="243" t="str">
        <f ca="1">IF(CostTrack[[#This Row],[Vendor - Contract]]="","",INDEX(VendorList[Secondary Category],MATCH(CostTrack[[#This Row],[Vendor - Contract]],VendorList[Vendor / Org. with Contract ID],0)))</f>
        <v>Staff Capitalization - INFRA</v>
      </c>
      <c r="T60" s="243" t="str">
        <f ca="1">IF(CostTrack[[#This Row],[Vendor - Contract]]="","",INDEX(VendorList[Phase / Subproject],MATCH(CostTrack[[#This Row],[Vendor - Contract]],VendorList[Vendor / Org. with Contract ID],0)))</f>
        <v>--</v>
      </c>
      <c r="U60" s="243" t="str">
        <f ca="1">IF(CostTrack[[#This Row],[Vendor - Contract]]="","",INDEX(VendorList[Phase / Subproject 2],MATCH(CostTrack[[#This Row],[Vendor - Contract]],VendorList[Vendor / Org. with Contract ID],0)))</f>
        <v>--</v>
      </c>
      <c r="V60" s="243" t="str">
        <f ca="1">IF(CostTrack[[#This Row],[Vendor - Contract]]="","",INDEX(VendorList[Funding Source],MATCH(CostTrack[[#This Row],[Vendor - Contract]],VendorList[Vendor / Org. with Contract ID],0)))</f>
        <v>P-002360</v>
      </c>
      <c r="W60" s="260">
        <v>43434</v>
      </c>
      <c r="X60" s="251" t="str">
        <f ca="1">IF(CostTrack[[#This Row],[Release Date (CMS)]]="","*","")</f>
        <v/>
      </c>
      <c r="Y60" s="267" t="s">
        <v>34</v>
      </c>
      <c r="Z60" s="270"/>
      <c r="AA60" s="245">
        <f ca="1">IF(OR(CostTrack[[#This Row],[Release Date (CMS)]]&gt;=DATE(VALUE(REPLACE(CostTrack[[#This Row],[Fiscal Period]],3,3,"")),3,1),CostTrack[[#This Row],[Release Date (CMS)]]&lt;DATE(VALUE(LEFT(CostTrack[[#This Row],[Fiscal Period]],4)),4,1)),1,0)</f>
        <v>0</v>
      </c>
      <c r="AB60" s="294">
        <v>23424.46</v>
      </c>
      <c r="AC60" s="260">
        <v>44225</v>
      </c>
      <c r="AD60" s="402" t="str">
        <f ca="1">IF(CostTrack[[#This Row],[Reconciled Amount]]="","",IF(CostTrack[[#This Row],[Value]]&lt;&gt;CostTrack[[#This Row],[Reconciled Amount]],"Yes","No"))</f>
        <v>No</v>
      </c>
    </row>
    <row r="61" spans="2:30">
      <c r="B61" s="400" t="s">
        <v>527</v>
      </c>
      <c r="C61" s="258" t="s">
        <v>842</v>
      </c>
      <c r="D61" s="260">
        <v>43465</v>
      </c>
      <c r="E61" s="282">
        <v>232511.25</v>
      </c>
      <c r="F61" s="263" t="s">
        <v>69</v>
      </c>
      <c r="G61" s="406">
        <f ca="1">ROUND(IF(CostTrack[[#This Row],[Holdback (Y/N/R)]]="Yes",CostTrack[[#This Row],[Value]]*-0.1,IF(CostTrack[[#This Row],[Holdback (Y/N/R)]]="Release",CostTrack[[#This Row],[Value]],0)),2)</f>
        <v>0</v>
      </c>
      <c r="H61" s="407">
        <f ca="1">IF(CostTrack[[#This Row],[Holdback (Y/N/R)]]="Release",CostTrack[[#This Row],[Value]],CostTrack[[#This Row],[Value]]+CostTrack[[#This Row],[Holdback Value]])</f>
        <v>232511.25</v>
      </c>
      <c r="I61" s="258">
        <v>8</v>
      </c>
      <c r="J61" s="258" t="s">
        <v>22</v>
      </c>
      <c r="K61" s="275" t="s">
        <v>843</v>
      </c>
      <c r="L61" s="260">
        <v>43481</v>
      </c>
      <c r="M61" s="260"/>
      <c r="N61" s="258"/>
      <c r="O61" s="260" t="s">
        <v>106</v>
      </c>
      <c r="P61" s="260">
        <v>43487</v>
      </c>
      <c r="Q61" s="243" t="str">
        <f ca="1">IF(CostTrack[[#This Row],[Vendor - Contract]]="","",INDEX(VendorList[PA ID],MATCH(CostTrack[[#This Row],[Vendor - Contract]],VendorList[Vendor / Org. with Contract ID],0)))</f>
        <v>200.010.F1</v>
      </c>
      <c r="R61" s="243" t="str">
        <f ca="1">IF(CostTrack[[#This Row],[Vendor - Contract]]="","",INDEX(VendorList[Primary Category],MATCH(CostTrack[[#This Row],[Vendor - Contract]],VendorList[Vendor / Org. with Contract ID],0)))</f>
        <v>Professional Services</v>
      </c>
      <c r="S61" s="243" t="str">
        <f ca="1">IF(CostTrack[[#This Row],[Vendor - Contract]]="","",INDEX(VendorList[Secondary Category],MATCH(CostTrack[[#This Row],[Vendor - Contract]],VendorList[Vendor / Org. with Contract ID],0)))</f>
        <v>Prime Consultant</v>
      </c>
      <c r="T61" s="243" t="str">
        <f ca="1">IF(CostTrack[[#This Row],[Vendor - Contract]]="","",INDEX(VendorList[Phase / Subproject],MATCH(CostTrack[[#This Row],[Vendor - Contract]],VendorList[Vendor / Org. with Contract ID],0)))</f>
        <v>--</v>
      </c>
      <c r="U61" s="243" t="str">
        <f ca="1">IF(CostTrack[[#This Row],[Vendor - Contract]]="","",INDEX(VendorList[Phase / Subproject 2],MATCH(CostTrack[[#This Row],[Vendor - Contract]],VendorList[Vendor / Org. with Contract ID],0)))</f>
        <v>--</v>
      </c>
      <c r="V61" s="243" t="str">
        <f ca="1">IF(CostTrack[[#This Row],[Vendor - Contract]]="","",INDEX(VendorList[Funding Source],MATCH(CostTrack[[#This Row],[Vendor - Contract]],VendorList[Vendor / Org. with Contract ID],0)))</f>
        <v>P-002360</v>
      </c>
      <c r="W61" s="260">
        <v>43487</v>
      </c>
      <c r="X61" s="251" t="str">
        <f ca="1">IF(CostTrack[[#This Row],[Release Date (CMS)]]="","*","")</f>
        <v/>
      </c>
      <c r="Y61" s="267" t="s">
        <v>34</v>
      </c>
      <c r="Z61" s="270"/>
      <c r="AA61" s="245">
        <f ca="1">IF(OR(CostTrack[[#This Row],[Release Date (CMS)]]&gt;=DATE(VALUE(REPLACE(CostTrack[[#This Row],[Fiscal Period]],3,3,"")),3,1),CostTrack[[#This Row],[Release Date (CMS)]]&lt;DATE(VALUE(LEFT(CostTrack[[#This Row],[Fiscal Period]],4)),4,1)),1,0)</f>
        <v>0</v>
      </c>
      <c r="AB61" s="294">
        <v>232511.25</v>
      </c>
      <c r="AC61" s="260">
        <v>44224</v>
      </c>
      <c r="AD61" s="402" t="str">
        <f ca="1">IF(CostTrack[[#This Row],[Reconciled Amount]]="","",IF(CostTrack[[#This Row],[Value]]&lt;&gt;CostTrack[[#This Row],[Reconciled Amount]],"Yes","No"))</f>
        <v>No</v>
      </c>
    </row>
    <row r="62" spans="2:30">
      <c r="B62" s="400" t="s">
        <v>527</v>
      </c>
      <c r="C62" s="258" t="s">
        <v>844</v>
      </c>
      <c r="D62" s="260">
        <v>43448</v>
      </c>
      <c r="E62" s="282">
        <v>6999</v>
      </c>
      <c r="F62" s="263" t="s">
        <v>69</v>
      </c>
      <c r="G62" s="406">
        <f ca="1">ROUND(IF(CostTrack[[#This Row],[Holdback (Y/N/R)]]="Yes",CostTrack[[#This Row],[Value]]*-0.1,IF(CostTrack[[#This Row],[Holdback (Y/N/R)]]="Release",CostTrack[[#This Row],[Value]],0)),2)</f>
        <v>0</v>
      </c>
      <c r="H62" s="407">
        <f ca="1">IF(CostTrack[[#This Row],[Holdback (Y/N/R)]]="Release",CostTrack[[#This Row],[Value]],CostTrack[[#This Row],[Value]]+CostTrack[[#This Row],[Holdback Value]])</f>
        <v>6999</v>
      </c>
      <c r="I62" s="258">
        <v>9</v>
      </c>
      <c r="J62" s="258" t="s">
        <v>22</v>
      </c>
      <c r="K62" s="275" t="s">
        <v>845</v>
      </c>
      <c r="L62" s="260">
        <v>43480</v>
      </c>
      <c r="M62" s="260"/>
      <c r="N62" s="258"/>
      <c r="O62" s="260" t="s">
        <v>106</v>
      </c>
      <c r="P62" s="260">
        <v>43489</v>
      </c>
      <c r="Q62" s="243" t="str">
        <f ca="1">IF(CostTrack[[#This Row],[Vendor - Contract]]="","",INDEX(VendorList[PA ID],MATCH(CostTrack[[#This Row],[Vendor - Contract]],VendorList[Vendor / Org. with Contract ID],0)))</f>
        <v>200.010.F1</v>
      </c>
      <c r="R62" s="243" t="str">
        <f ca="1">IF(CostTrack[[#This Row],[Vendor - Contract]]="","",INDEX(VendorList[Primary Category],MATCH(CostTrack[[#This Row],[Vendor - Contract]],VendorList[Vendor / Org. with Contract ID],0)))</f>
        <v>Professional Services</v>
      </c>
      <c r="S62" s="243" t="str">
        <f ca="1">IF(CostTrack[[#This Row],[Vendor - Contract]]="","",INDEX(VendorList[Secondary Category],MATCH(CostTrack[[#This Row],[Vendor - Contract]],VendorList[Vendor / Org. with Contract ID],0)))</f>
        <v>Prime Consultant</v>
      </c>
      <c r="T62" s="243" t="str">
        <f ca="1">IF(CostTrack[[#This Row],[Vendor - Contract]]="","",INDEX(VendorList[Phase / Subproject],MATCH(CostTrack[[#This Row],[Vendor - Contract]],VendorList[Vendor / Org. with Contract ID],0)))</f>
        <v>--</v>
      </c>
      <c r="U62" s="243" t="str">
        <f ca="1">IF(CostTrack[[#This Row],[Vendor - Contract]]="","",INDEX(VendorList[Phase / Subproject 2],MATCH(CostTrack[[#This Row],[Vendor - Contract]],VendorList[Vendor / Org. with Contract ID],0)))</f>
        <v>--</v>
      </c>
      <c r="V62" s="243" t="str">
        <f ca="1">IF(CostTrack[[#This Row],[Vendor - Contract]]="","",INDEX(VendorList[Funding Source],MATCH(CostTrack[[#This Row],[Vendor - Contract]],VendorList[Vendor / Org. with Contract ID],0)))</f>
        <v>P-002360</v>
      </c>
      <c r="W62" s="260">
        <v>43489</v>
      </c>
      <c r="X62" s="251" t="str">
        <f ca="1">IF(CostTrack[[#This Row],[Release Date (CMS)]]="","*","")</f>
        <v/>
      </c>
      <c r="Y62" s="267" t="s">
        <v>34</v>
      </c>
      <c r="Z62" s="270"/>
      <c r="AA62" s="245">
        <f ca="1">IF(OR(CostTrack[[#This Row],[Release Date (CMS)]]&gt;=DATE(VALUE(REPLACE(CostTrack[[#This Row],[Fiscal Period]],3,3,"")),3,1),CostTrack[[#This Row],[Release Date (CMS)]]&lt;DATE(VALUE(LEFT(CostTrack[[#This Row],[Fiscal Period]],4)),4,1)),1,0)</f>
        <v>0</v>
      </c>
      <c r="AB62" s="294">
        <v>6999</v>
      </c>
      <c r="AC62" s="260">
        <v>44224</v>
      </c>
      <c r="AD62" s="402" t="str">
        <f ca="1">IF(CostTrack[[#This Row],[Reconciled Amount]]="","",IF(CostTrack[[#This Row],[Value]]&lt;&gt;CostTrack[[#This Row],[Reconciled Amount]],"Yes","No"))</f>
        <v>No</v>
      </c>
    </row>
    <row r="63" spans="2:30">
      <c r="B63" s="400" t="s">
        <v>736</v>
      </c>
      <c r="C63" s="258">
        <v>43435</v>
      </c>
      <c r="D63" s="260">
        <v>43465</v>
      </c>
      <c r="E63" s="282">
        <v>22471.37</v>
      </c>
      <c r="F63" s="263" t="s">
        <v>69</v>
      </c>
      <c r="G63" s="406">
        <f ca="1">ROUND(IF(CostTrack[[#This Row],[Holdback (Y/N/R)]]="Yes",CostTrack[[#This Row],[Value]]*-0.1,IF(CostTrack[[#This Row],[Holdback (Y/N/R)]]="Release",CostTrack[[#This Row],[Value]],0)),2)</f>
        <v>0</v>
      </c>
      <c r="H63" s="407">
        <f ca="1">IF(CostTrack[[#This Row],[Holdback (Y/N/R)]]="Release",CostTrack[[#This Row],[Value]],CostTrack[[#This Row],[Value]]+CostTrack[[#This Row],[Holdback Value]])</f>
        <v>22471.37</v>
      </c>
      <c r="I63" s="258">
        <v>17</v>
      </c>
      <c r="J63" s="258" t="s">
        <v>22</v>
      </c>
      <c r="K63" s="275" t="s">
        <v>268</v>
      </c>
      <c r="L63" s="260" t="s">
        <v>268</v>
      </c>
      <c r="M63" s="260"/>
      <c r="N63" s="258"/>
      <c r="O63" s="260" t="s">
        <v>106</v>
      </c>
      <c r="P63" s="260" t="s">
        <v>268</v>
      </c>
      <c r="Q63" s="243" t="str">
        <f ca="1">IF(CostTrack[[#This Row],[Vendor - Contract]]="","",INDEX(VendorList[PA ID],MATCH(CostTrack[[#This Row],[Vendor - Contract]],VendorList[Vendor / Org. with Contract ID],0)))</f>
        <v>100.010.F1</v>
      </c>
      <c r="R63" s="243" t="str">
        <f ca="1">IF(CostTrack[[#This Row],[Vendor - Contract]]="","",INDEX(VendorList[Primary Category],MATCH(CostTrack[[#This Row],[Vendor - Contract]],VendorList[Vendor / Org. with Contract ID],0)))</f>
        <v>Administration</v>
      </c>
      <c r="S63" s="243" t="str">
        <f ca="1">IF(CostTrack[[#This Row],[Vendor - Contract]]="","",INDEX(VendorList[Secondary Category],MATCH(CostTrack[[#This Row],[Vendor - Contract]],VendorList[Vendor / Org. with Contract ID],0)))</f>
        <v>Staff Capitalization - INFRA</v>
      </c>
      <c r="T63" s="243" t="str">
        <f ca="1">IF(CostTrack[[#This Row],[Vendor - Contract]]="","",INDEX(VendorList[Phase / Subproject],MATCH(CostTrack[[#This Row],[Vendor - Contract]],VendorList[Vendor / Org. with Contract ID],0)))</f>
        <v>--</v>
      </c>
      <c r="U63" s="243" t="str">
        <f ca="1">IF(CostTrack[[#This Row],[Vendor - Contract]]="","",INDEX(VendorList[Phase / Subproject 2],MATCH(CostTrack[[#This Row],[Vendor - Contract]],VendorList[Vendor / Org. with Contract ID],0)))</f>
        <v>--</v>
      </c>
      <c r="V63" s="243" t="str">
        <f ca="1">IF(CostTrack[[#This Row],[Vendor - Contract]]="","",INDEX(VendorList[Funding Source],MATCH(CostTrack[[#This Row],[Vendor - Contract]],VendorList[Vendor / Org. with Contract ID],0)))</f>
        <v>P-002360</v>
      </c>
      <c r="W63" s="260">
        <v>43465</v>
      </c>
      <c r="X63" s="251" t="str">
        <f ca="1">IF(CostTrack[[#This Row],[Release Date (CMS)]]="","*","")</f>
        <v/>
      </c>
      <c r="Y63" s="267" t="s">
        <v>34</v>
      </c>
      <c r="Z63" s="270"/>
      <c r="AA63" s="245">
        <f ca="1">IF(OR(CostTrack[[#This Row],[Release Date (CMS)]]&gt;=DATE(VALUE(REPLACE(CostTrack[[#This Row],[Fiscal Period]],3,3,"")),3,1),CostTrack[[#This Row],[Release Date (CMS)]]&lt;DATE(VALUE(LEFT(CostTrack[[#This Row],[Fiscal Period]],4)),4,1)),1,0)</f>
        <v>0</v>
      </c>
      <c r="AB63" s="294">
        <v>22471.37</v>
      </c>
      <c r="AC63" s="260">
        <v>44225</v>
      </c>
      <c r="AD63" s="402" t="str">
        <f ca="1">IF(CostTrack[[#This Row],[Reconciled Amount]]="","",IF(CostTrack[[#This Row],[Value]]&lt;&gt;CostTrack[[#This Row],[Reconciled Amount]],"Yes","No"))</f>
        <v>No</v>
      </c>
    </row>
    <row r="64" spans="2:30">
      <c r="B64" s="400" t="s">
        <v>527</v>
      </c>
      <c r="C64" s="258" t="s">
        <v>846</v>
      </c>
      <c r="D64" s="260">
        <v>43496</v>
      </c>
      <c r="E64" s="282">
        <v>175584.75</v>
      </c>
      <c r="F64" s="263" t="s">
        <v>69</v>
      </c>
      <c r="G64" s="406">
        <f ca="1">ROUND(IF(CostTrack[[#This Row],[Holdback (Y/N/R)]]="Yes",CostTrack[[#This Row],[Value]]*-0.1,IF(CostTrack[[#This Row],[Holdback (Y/N/R)]]="Release",CostTrack[[#This Row],[Value]],0)),2)</f>
        <v>0</v>
      </c>
      <c r="H64" s="407">
        <f ca="1">IF(CostTrack[[#This Row],[Holdback (Y/N/R)]]="Release",CostTrack[[#This Row],[Value]],CostTrack[[#This Row],[Value]]+CostTrack[[#This Row],[Holdback Value]])</f>
        <v>175584.75</v>
      </c>
      <c r="I64" s="258">
        <v>10</v>
      </c>
      <c r="J64" s="258" t="s">
        <v>22</v>
      </c>
      <c r="K64" s="275" t="s">
        <v>847</v>
      </c>
      <c r="L64" s="260">
        <v>43510</v>
      </c>
      <c r="M64" s="260"/>
      <c r="N64" s="258"/>
      <c r="O64" s="260" t="s">
        <v>106</v>
      </c>
      <c r="P64" s="260">
        <v>43517</v>
      </c>
      <c r="Q64" s="243" t="str">
        <f ca="1">IF(CostTrack[[#This Row],[Vendor - Contract]]="","",INDEX(VendorList[PA ID],MATCH(CostTrack[[#This Row],[Vendor - Contract]],VendorList[Vendor / Org. with Contract ID],0)))</f>
        <v>200.010.F1</v>
      </c>
      <c r="R64" s="243" t="str">
        <f ca="1">IF(CostTrack[[#This Row],[Vendor - Contract]]="","",INDEX(VendorList[Primary Category],MATCH(CostTrack[[#This Row],[Vendor - Contract]],VendorList[Vendor / Org. with Contract ID],0)))</f>
        <v>Professional Services</v>
      </c>
      <c r="S64" s="243" t="str">
        <f ca="1">IF(CostTrack[[#This Row],[Vendor - Contract]]="","",INDEX(VendorList[Secondary Category],MATCH(CostTrack[[#This Row],[Vendor - Contract]],VendorList[Vendor / Org. with Contract ID],0)))</f>
        <v>Prime Consultant</v>
      </c>
      <c r="T64" s="243" t="str">
        <f ca="1">IF(CostTrack[[#This Row],[Vendor - Contract]]="","",INDEX(VendorList[Phase / Subproject],MATCH(CostTrack[[#This Row],[Vendor - Contract]],VendorList[Vendor / Org. with Contract ID],0)))</f>
        <v>--</v>
      </c>
      <c r="U64" s="243" t="str">
        <f ca="1">IF(CostTrack[[#This Row],[Vendor - Contract]]="","",INDEX(VendorList[Phase / Subproject 2],MATCH(CostTrack[[#This Row],[Vendor - Contract]],VendorList[Vendor / Org. with Contract ID],0)))</f>
        <v>--</v>
      </c>
      <c r="V64" s="243" t="str">
        <f ca="1">IF(CostTrack[[#This Row],[Vendor - Contract]]="","",INDEX(VendorList[Funding Source],MATCH(CostTrack[[#This Row],[Vendor - Contract]],VendorList[Vendor / Org. with Contract ID],0)))</f>
        <v>P-002360</v>
      </c>
      <c r="W64" s="260">
        <v>43518</v>
      </c>
      <c r="X64" s="251" t="str">
        <f ca="1">IF(CostTrack[[#This Row],[Release Date (CMS)]]="","*","")</f>
        <v/>
      </c>
      <c r="Y64" s="267" t="s">
        <v>34</v>
      </c>
      <c r="Z64" s="270"/>
      <c r="AA64" s="245">
        <f ca="1">IF(OR(CostTrack[[#This Row],[Release Date (CMS)]]&gt;=DATE(VALUE(REPLACE(CostTrack[[#This Row],[Fiscal Period]],3,3,"")),3,1),CostTrack[[#This Row],[Release Date (CMS)]]&lt;DATE(VALUE(LEFT(CostTrack[[#This Row],[Fiscal Period]],4)),4,1)),1,0)</f>
        <v>0</v>
      </c>
      <c r="AB64" s="294">
        <v>175584.75</v>
      </c>
      <c r="AC64" s="260">
        <v>44224</v>
      </c>
      <c r="AD64" s="402" t="str">
        <f ca="1">IF(CostTrack[[#This Row],[Reconciled Amount]]="","",IF(CostTrack[[#This Row],[Value]]&lt;&gt;CostTrack[[#This Row],[Reconciled Amount]],"Yes","No"))</f>
        <v>No</v>
      </c>
    </row>
    <row r="65" spans="2:30">
      <c r="B65" s="400" t="s">
        <v>736</v>
      </c>
      <c r="C65" s="258">
        <v>43466</v>
      </c>
      <c r="D65" s="260">
        <v>43496</v>
      </c>
      <c r="E65" s="282">
        <v>26487.82</v>
      </c>
      <c r="F65" s="263" t="s">
        <v>69</v>
      </c>
      <c r="G65" s="406">
        <f ca="1">ROUND(IF(CostTrack[[#This Row],[Holdback (Y/N/R)]]="Yes",CostTrack[[#This Row],[Value]]*-0.1,IF(CostTrack[[#This Row],[Holdback (Y/N/R)]]="Release",CostTrack[[#This Row],[Value]],0)),2)</f>
        <v>0</v>
      </c>
      <c r="H65" s="407">
        <f ca="1">IF(CostTrack[[#This Row],[Holdback (Y/N/R)]]="Release",CostTrack[[#This Row],[Value]],CostTrack[[#This Row],[Value]]+CostTrack[[#This Row],[Holdback Value]])</f>
        <v>26487.82</v>
      </c>
      <c r="I65" s="258">
        <v>18</v>
      </c>
      <c r="J65" s="258" t="s">
        <v>22</v>
      </c>
      <c r="K65" s="275" t="s">
        <v>268</v>
      </c>
      <c r="L65" s="260" t="s">
        <v>268</v>
      </c>
      <c r="M65" s="260"/>
      <c r="N65" s="258"/>
      <c r="O65" s="260" t="s">
        <v>106</v>
      </c>
      <c r="P65" s="260" t="s">
        <v>268</v>
      </c>
      <c r="Q65" s="243" t="str">
        <f ca="1">IF(CostTrack[[#This Row],[Vendor - Contract]]="","",INDEX(VendorList[PA ID],MATCH(CostTrack[[#This Row],[Vendor - Contract]],VendorList[Vendor / Org. with Contract ID],0)))</f>
        <v>100.010.F1</v>
      </c>
      <c r="R65" s="243" t="str">
        <f ca="1">IF(CostTrack[[#This Row],[Vendor - Contract]]="","",INDEX(VendorList[Primary Category],MATCH(CostTrack[[#This Row],[Vendor - Contract]],VendorList[Vendor / Org. with Contract ID],0)))</f>
        <v>Administration</v>
      </c>
      <c r="S65" s="243" t="str">
        <f ca="1">IF(CostTrack[[#This Row],[Vendor - Contract]]="","",INDEX(VendorList[Secondary Category],MATCH(CostTrack[[#This Row],[Vendor - Contract]],VendorList[Vendor / Org. with Contract ID],0)))</f>
        <v>Staff Capitalization - INFRA</v>
      </c>
      <c r="T65" s="243" t="str">
        <f ca="1">IF(CostTrack[[#This Row],[Vendor - Contract]]="","",INDEX(VendorList[Phase / Subproject],MATCH(CostTrack[[#This Row],[Vendor - Contract]],VendorList[Vendor / Org. with Contract ID],0)))</f>
        <v>--</v>
      </c>
      <c r="U65" s="243" t="str">
        <f ca="1">IF(CostTrack[[#This Row],[Vendor - Contract]]="","",INDEX(VendorList[Phase / Subproject 2],MATCH(CostTrack[[#This Row],[Vendor - Contract]],VendorList[Vendor / Org. with Contract ID],0)))</f>
        <v>--</v>
      </c>
      <c r="V65" s="243" t="str">
        <f ca="1">IF(CostTrack[[#This Row],[Vendor - Contract]]="","",INDEX(VendorList[Funding Source],MATCH(CostTrack[[#This Row],[Vendor - Contract]],VendorList[Vendor / Org. with Contract ID],0)))</f>
        <v>P-002360</v>
      </c>
      <c r="W65" s="260">
        <v>43496</v>
      </c>
      <c r="X65" s="251" t="str">
        <f ca="1">IF(CostTrack[[#This Row],[Release Date (CMS)]]="","*","")</f>
        <v/>
      </c>
      <c r="Y65" s="267" t="s">
        <v>34</v>
      </c>
      <c r="Z65" s="270"/>
      <c r="AA65" s="245">
        <f ca="1">IF(OR(CostTrack[[#This Row],[Release Date (CMS)]]&gt;=DATE(VALUE(REPLACE(CostTrack[[#This Row],[Fiscal Period]],3,3,"")),3,1),CostTrack[[#This Row],[Release Date (CMS)]]&lt;DATE(VALUE(LEFT(CostTrack[[#This Row],[Fiscal Period]],4)),4,1)),1,0)</f>
        <v>0</v>
      </c>
      <c r="AB65" s="294">
        <v>26487.82</v>
      </c>
      <c r="AC65" s="260">
        <v>44225</v>
      </c>
      <c r="AD65" s="402" t="str">
        <f ca="1">IF(CostTrack[[#This Row],[Reconciled Amount]]="","",IF(CostTrack[[#This Row],[Value]]&lt;&gt;CostTrack[[#This Row],[Reconciled Amount]],"Yes","No"))</f>
        <v>No</v>
      </c>
    </row>
    <row r="66" spans="2:30">
      <c r="B66" s="400" t="s">
        <v>564</v>
      </c>
      <c r="C66" s="258" t="s">
        <v>848</v>
      </c>
      <c r="D66" s="260">
        <v>43509</v>
      </c>
      <c r="E66" s="282">
        <v>60000</v>
      </c>
      <c r="F66" s="263" t="s">
        <v>69</v>
      </c>
      <c r="G66" s="406">
        <f ca="1">ROUND(IF(CostTrack[[#This Row],[Holdback (Y/N/R)]]="Yes",CostTrack[[#This Row],[Value]]*-0.1,IF(CostTrack[[#This Row],[Holdback (Y/N/R)]]="Release",CostTrack[[#This Row],[Value]],0)),2)</f>
        <v>0</v>
      </c>
      <c r="H66" s="407">
        <f ca="1">IF(CostTrack[[#This Row],[Holdback (Y/N/R)]]="Release",CostTrack[[#This Row],[Value]],CostTrack[[#This Row],[Value]]+CostTrack[[#This Row],[Holdback Value]])</f>
        <v>60000</v>
      </c>
      <c r="I66" s="258">
        <v>3</v>
      </c>
      <c r="J66" s="258" t="s">
        <v>22</v>
      </c>
      <c r="K66" s="275" t="s">
        <v>268</v>
      </c>
      <c r="L66" s="260" t="s">
        <v>268</v>
      </c>
      <c r="M66" s="260"/>
      <c r="N66" s="258"/>
      <c r="O66" s="260" t="s">
        <v>106</v>
      </c>
      <c r="P66" s="260" t="s">
        <v>268</v>
      </c>
      <c r="Q66" s="243" t="str">
        <f ca="1">IF(CostTrack[[#This Row],[Vendor - Contract]]="","",INDEX(VendorList[PA ID],MATCH(CostTrack[[#This Row],[Vendor - Contract]],VendorList[Vendor / Org. with Contract ID],0)))</f>
        <v>500.010.F1</v>
      </c>
      <c r="R66" s="243" t="str">
        <f ca="1">IF(CostTrack[[#This Row],[Vendor - Contract]]="","",INDEX(VendorList[Primary Category],MATCH(CostTrack[[#This Row],[Vendor - Contract]],VendorList[Vendor / Org. with Contract ID],0)))</f>
        <v>Land</v>
      </c>
      <c r="S66" s="243" t="str">
        <f ca="1">IF(CostTrack[[#This Row],[Vendor - Contract]]="","",INDEX(VendorList[Secondary Category],MATCH(CostTrack[[#This Row],[Vendor - Contract]],VendorList[Vendor / Org. with Contract ID],0)))</f>
        <v>Land Purchase</v>
      </c>
      <c r="T66" s="243" t="str">
        <f ca="1">IF(CostTrack[[#This Row],[Vendor - Contract]]="","",INDEX(VendorList[Phase / Subproject],MATCH(CostTrack[[#This Row],[Vendor - Contract]],VendorList[Vendor / Org. with Contract ID],0)))</f>
        <v>--</v>
      </c>
      <c r="U66" s="243" t="str">
        <f ca="1">IF(CostTrack[[#This Row],[Vendor - Contract]]="","",INDEX(VendorList[Phase / Subproject 2],MATCH(CostTrack[[#This Row],[Vendor - Contract]],VendorList[Vendor / Org. with Contract ID],0)))</f>
        <v>--</v>
      </c>
      <c r="V66" s="243" t="str">
        <f ca="1">IF(CostTrack[[#This Row],[Vendor - Contract]]="","",INDEX(VendorList[Funding Source],MATCH(CostTrack[[#This Row],[Vendor - Contract]],VendorList[Vendor / Org. with Contract ID],0)))</f>
        <v>P-002360</v>
      </c>
      <c r="W66" s="260">
        <v>43497</v>
      </c>
      <c r="X66" s="251" t="str">
        <f ca="1">IF(CostTrack[[#This Row],[Release Date (CMS)]]="","*","")</f>
        <v/>
      </c>
      <c r="Y66" s="267" t="s">
        <v>34</v>
      </c>
      <c r="Z66" s="270"/>
      <c r="AA66" s="245">
        <f ca="1">IF(OR(CostTrack[[#This Row],[Release Date (CMS)]]&gt;=DATE(VALUE(REPLACE(CostTrack[[#This Row],[Fiscal Period]],3,3,"")),3,1),CostTrack[[#This Row],[Release Date (CMS)]]&lt;DATE(VALUE(LEFT(CostTrack[[#This Row],[Fiscal Period]],4)),4,1)),1,0)</f>
        <v>0</v>
      </c>
      <c r="AB66" s="294">
        <v>60000</v>
      </c>
      <c r="AC66" s="260">
        <v>44224</v>
      </c>
      <c r="AD66" s="402" t="str">
        <f ca="1">IF(CostTrack[[#This Row],[Reconciled Amount]]="","",IF(CostTrack[[#This Row],[Value]]&lt;&gt;CostTrack[[#This Row],[Reconciled Amount]],"Yes","No"))</f>
        <v>No</v>
      </c>
    </row>
    <row r="67" spans="2:30">
      <c r="B67" s="400" t="s">
        <v>527</v>
      </c>
      <c r="C67" s="258" t="s">
        <v>849</v>
      </c>
      <c r="D67" s="260">
        <v>43524</v>
      </c>
      <c r="E67" s="282">
        <v>169617</v>
      </c>
      <c r="F67" s="263" t="s">
        <v>69</v>
      </c>
      <c r="G67" s="406">
        <f ca="1">ROUND(IF(CostTrack[[#This Row],[Holdback (Y/N/R)]]="Yes",CostTrack[[#This Row],[Value]]*-0.1,IF(CostTrack[[#This Row],[Holdback (Y/N/R)]]="Release",CostTrack[[#This Row],[Value]],0)),2)</f>
        <v>0</v>
      </c>
      <c r="H67" s="407">
        <f ca="1">IF(CostTrack[[#This Row],[Holdback (Y/N/R)]]="Release",CostTrack[[#This Row],[Value]],CostTrack[[#This Row],[Value]]+CostTrack[[#This Row],[Holdback Value]])</f>
        <v>169617</v>
      </c>
      <c r="I67" s="258">
        <v>11</v>
      </c>
      <c r="J67" s="258" t="s">
        <v>22</v>
      </c>
      <c r="K67" s="275" t="s">
        <v>850</v>
      </c>
      <c r="L67" s="260">
        <v>43529</v>
      </c>
      <c r="M67" s="260"/>
      <c r="N67" s="258"/>
      <c r="O67" s="260" t="s">
        <v>106</v>
      </c>
      <c r="P67" s="260">
        <v>43530</v>
      </c>
      <c r="Q67" s="243" t="str">
        <f ca="1">IF(CostTrack[[#This Row],[Vendor - Contract]]="","",INDEX(VendorList[PA ID],MATCH(CostTrack[[#This Row],[Vendor - Contract]],VendorList[Vendor / Org. with Contract ID],0)))</f>
        <v>200.010.F1</v>
      </c>
      <c r="R67" s="243" t="str">
        <f ca="1">IF(CostTrack[[#This Row],[Vendor - Contract]]="","",INDEX(VendorList[Primary Category],MATCH(CostTrack[[#This Row],[Vendor - Contract]],VendorList[Vendor / Org. with Contract ID],0)))</f>
        <v>Professional Services</v>
      </c>
      <c r="S67" s="243" t="str">
        <f ca="1">IF(CostTrack[[#This Row],[Vendor - Contract]]="","",INDEX(VendorList[Secondary Category],MATCH(CostTrack[[#This Row],[Vendor - Contract]],VendorList[Vendor / Org. with Contract ID],0)))</f>
        <v>Prime Consultant</v>
      </c>
      <c r="T67" s="243" t="str">
        <f ca="1">IF(CostTrack[[#This Row],[Vendor - Contract]]="","",INDEX(VendorList[Phase / Subproject],MATCH(CostTrack[[#This Row],[Vendor - Contract]],VendorList[Vendor / Org. with Contract ID],0)))</f>
        <v>--</v>
      </c>
      <c r="U67" s="243" t="str">
        <f ca="1">IF(CostTrack[[#This Row],[Vendor - Contract]]="","",INDEX(VendorList[Phase / Subproject 2],MATCH(CostTrack[[#This Row],[Vendor - Contract]],VendorList[Vendor / Org. with Contract ID],0)))</f>
        <v>--</v>
      </c>
      <c r="V67" s="243" t="str">
        <f ca="1">IF(CostTrack[[#This Row],[Vendor - Contract]]="","",INDEX(VendorList[Funding Source],MATCH(CostTrack[[#This Row],[Vendor - Contract]],VendorList[Vendor / Org. with Contract ID],0)))</f>
        <v>P-002360</v>
      </c>
      <c r="W67" s="260">
        <v>43531</v>
      </c>
      <c r="X67" s="251" t="str">
        <f ca="1">IF(CostTrack[[#This Row],[Release Date (CMS)]]="","*","")</f>
        <v/>
      </c>
      <c r="Y67" s="267" t="s">
        <v>34</v>
      </c>
      <c r="Z67" s="270"/>
      <c r="AA67" s="245">
        <f ca="1">IF(OR(CostTrack[[#This Row],[Release Date (CMS)]]&gt;=DATE(VALUE(REPLACE(CostTrack[[#This Row],[Fiscal Period]],3,3,"")),3,1),CostTrack[[#This Row],[Release Date (CMS)]]&lt;DATE(VALUE(LEFT(CostTrack[[#This Row],[Fiscal Period]],4)),4,1)),1,0)</f>
        <v>1</v>
      </c>
      <c r="AB67" s="294">
        <v>169617</v>
      </c>
      <c r="AC67" s="260">
        <v>44224</v>
      </c>
      <c r="AD67" s="402" t="str">
        <f ca="1">IF(CostTrack[[#This Row],[Reconciled Amount]]="","",IF(CostTrack[[#This Row],[Value]]&lt;&gt;CostTrack[[#This Row],[Reconciled Amount]],"Yes","No"))</f>
        <v>No</v>
      </c>
    </row>
    <row r="68" spans="2:30">
      <c r="B68" s="400" t="s">
        <v>736</v>
      </c>
      <c r="C68" s="258">
        <v>43497</v>
      </c>
      <c r="D68" s="260">
        <v>43524</v>
      </c>
      <c r="E68" s="282">
        <v>22896.28</v>
      </c>
      <c r="F68" s="263" t="s">
        <v>69</v>
      </c>
      <c r="G68" s="406">
        <f ca="1">ROUND(IF(CostTrack[[#This Row],[Holdback (Y/N/R)]]="Yes",CostTrack[[#This Row],[Value]]*-0.1,IF(CostTrack[[#This Row],[Holdback (Y/N/R)]]="Release",CostTrack[[#This Row],[Value]],0)),2)</f>
        <v>0</v>
      </c>
      <c r="H68" s="407">
        <f ca="1">IF(CostTrack[[#This Row],[Holdback (Y/N/R)]]="Release",CostTrack[[#This Row],[Value]],CostTrack[[#This Row],[Value]]+CostTrack[[#This Row],[Holdback Value]])</f>
        <v>22896.28</v>
      </c>
      <c r="I68" s="258">
        <v>19</v>
      </c>
      <c r="J68" s="258" t="s">
        <v>22</v>
      </c>
      <c r="K68" s="275" t="s">
        <v>268</v>
      </c>
      <c r="L68" s="260" t="s">
        <v>268</v>
      </c>
      <c r="M68" s="260"/>
      <c r="N68" s="258"/>
      <c r="O68" s="260" t="s">
        <v>106</v>
      </c>
      <c r="P68" s="260">
        <v>43524</v>
      </c>
      <c r="Q68" s="243" t="str">
        <f ca="1">IF(CostTrack[[#This Row],[Vendor - Contract]]="","",INDEX(VendorList[PA ID],MATCH(CostTrack[[#This Row],[Vendor - Contract]],VendorList[Vendor / Org. with Contract ID],0)))</f>
        <v>100.010.F1</v>
      </c>
      <c r="R68" s="243" t="str">
        <f ca="1">IF(CostTrack[[#This Row],[Vendor - Contract]]="","",INDEX(VendorList[Primary Category],MATCH(CostTrack[[#This Row],[Vendor - Contract]],VendorList[Vendor / Org. with Contract ID],0)))</f>
        <v>Administration</v>
      </c>
      <c r="S68" s="243" t="str">
        <f ca="1">IF(CostTrack[[#This Row],[Vendor - Contract]]="","",INDEX(VendorList[Secondary Category],MATCH(CostTrack[[#This Row],[Vendor - Contract]],VendorList[Vendor / Org. with Contract ID],0)))</f>
        <v>Staff Capitalization - INFRA</v>
      </c>
      <c r="T68" s="243" t="str">
        <f ca="1">IF(CostTrack[[#This Row],[Vendor - Contract]]="","",INDEX(VendorList[Phase / Subproject],MATCH(CostTrack[[#This Row],[Vendor - Contract]],VendorList[Vendor / Org. with Contract ID],0)))</f>
        <v>--</v>
      </c>
      <c r="U68" s="243" t="str">
        <f ca="1">IF(CostTrack[[#This Row],[Vendor - Contract]]="","",INDEX(VendorList[Phase / Subproject 2],MATCH(CostTrack[[#This Row],[Vendor - Contract]],VendorList[Vendor / Org. with Contract ID],0)))</f>
        <v>--</v>
      </c>
      <c r="V68" s="243" t="str">
        <f ca="1">IF(CostTrack[[#This Row],[Vendor - Contract]]="","",INDEX(VendorList[Funding Source],MATCH(CostTrack[[#This Row],[Vendor - Contract]],VendorList[Vendor / Org. with Contract ID],0)))</f>
        <v>P-002360</v>
      </c>
      <c r="W68" s="260">
        <v>43524</v>
      </c>
      <c r="X68" s="251" t="str">
        <f ca="1">IF(CostTrack[[#This Row],[Release Date (CMS)]]="","*","")</f>
        <v/>
      </c>
      <c r="Y68" s="267" t="s">
        <v>34</v>
      </c>
      <c r="Z68" s="270"/>
      <c r="AA68" s="245">
        <f ca="1">IF(OR(CostTrack[[#This Row],[Release Date (CMS)]]&gt;=DATE(VALUE(REPLACE(CostTrack[[#This Row],[Fiscal Period]],3,3,"")),3,1),CostTrack[[#This Row],[Release Date (CMS)]]&lt;DATE(VALUE(LEFT(CostTrack[[#This Row],[Fiscal Period]],4)),4,1)),1,0)</f>
        <v>0</v>
      </c>
      <c r="AB68" s="294">
        <v>22896.28</v>
      </c>
      <c r="AC68" s="260">
        <v>44225</v>
      </c>
      <c r="AD68" s="402" t="str">
        <f ca="1">IF(CostTrack[[#This Row],[Reconciled Amount]]="","",IF(CostTrack[[#This Row],[Value]]&lt;&gt;CostTrack[[#This Row],[Reconciled Amount]],"Yes","No"))</f>
        <v>No</v>
      </c>
    </row>
    <row r="69" spans="2:30">
      <c r="B69" s="400" t="s">
        <v>573</v>
      </c>
      <c r="C69" s="258">
        <v>158</v>
      </c>
      <c r="D69" s="260">
        <v>43522</v>
      </c>
      <c r="E69" s="282">
        <v>975</v>
      </c>
      <c r="F69" s="263" t="s">
        <v>69</v>
      </c>
      <c r="G69" s="406">
        <f ca="1">ROUND(IF(CostTrack[[#This Row],[Holdback (Y/N/R)]]="Yes",CostTrack[[#This Row],[Value]]*-0.1,IF(CostTrack[[#This Row],[Holdback (Y/N/R)]]="Release",CostTrack[[#This Row],[Value]],0)),2)</f>
        <v>0</v>
      </c>
      <c r="H69" s="407">
        <f ca="1">IF(CostTrack[[#This Row],[Holdback (Y/N/R)]]="Release",CostTrack[[#This Row],[Value]],CostTrack[[#This Row],[Value]]+CostTrack[[#This Row],[Holdback Value]])</f>
        <v>975</v>
      </c>
      <c r="I69" s="258">
        <v>1</v>
      </c>
      <c r="J69" s="258" t="s">
        <v>22</v>
      </c>
      <c r="K69" s="275">
        <v>43497</v>
      </c>
      <c r="L69" s="260">
        <v>43523</v>
      </c>
      <c r="M69" s="260"/>
      <c r="N69" s="258"/>
      <c r="O69" s="260" t="s">
        <v>106</v>
      </c>
      <c r="P69" s="260">
        <v>43539</v>
      </c>
      <c r="Q69" s="243" t="str">
        <f ca="1">IF(CostTrack[[#This Row],[Vendor - Contract]]="","",INDEX(VendorList[PA ID],MATCH(CostTrack[[#This Row],[Vendor - Contract]],VendorList[Vendor / Org. with Contract ID],0)))</f>
        <v>200.050.F1</v>
      </c>
      <c r="R69" s="243" t="str">
        <f ca="1">IF(CostTrack[[#This Row],[Vendor - Contract]]="","",INDEX(VendorList[Primary Category],MATCH(CostTrack[[#This Row],[Vendor - Contract]],VendorList[Vendor / Org. with Contract ID],0)))</f>
        <v>Professional Services</v>
      </c>
      <c r="S69" s="243" t="str">
        <f ca="1">IF(CostTrack[[#This Row],[Vendor - Contract]]="","",INDEX(VendorList[Secondary Category],MATCH(CostTrack[[#This Row],[Vendor - Contract]],VendorList[Vendor / Org. with Contract ID],0)))</f>
        <v>Other Professional Services</v>
      </c>
      <c r="T69" s="243" t="str">
        <f ca="1">IF(CostTrack[[#This Row],[Vendor - Contract]]="","",INDEX(VendorList[Phase / Subproject],MATCH(CostTrack[[#This Row],[Vendor - Contract]],VendorList[Vendor / Org. with Contract ID],0)))</f>
        <v>--</v>
      </c>
      <c r="U69" s="243" t="str">
        <f ca="1">IF(CostTrack[[#This Row],[Vendor - Contract]]="","",INDEX(VendorList[Phase / Subproject 2],MATCH(CostTrack[[#This Row],[Vendor - Contract]],VendorList[Vendor / Org. with Contract ID],0)))</f>
        <v>--</v>
      </c>
      <c r="V69" s="243" t="str">
        <f ca="1">IF(CostTrack[[#This Row],[Vendor - Contract]]="","",INDEX(VendorList[Funding Source],MATCH(CostTrack[[#This Row],[Vendor - Contract]],VendorList[Vendor / Org. with Contract ID],0)))</f>
        <v>P-002360</v>
      </c>
      <c r="W69" s="260">
        <v>43543</v>
      </c>
      <c r="X69" s="251" t="str">
        <f ca="1">IF(CostTrack[[#This Row],[Release Date (CMS)]]="","*","")</f>
        <v/>
      </c>
      <c r="Y69" s="267" t="s">
        <v>34</v>
      </c>
      <c r="Z69" s="270"/>
      <c r="AA69" s="245">
        <f ca="1">IF(OR(CostTrack[[#This Row],[Release Date (CMS)]]&gt;=DATE(VALUE(REPLACE(CostTrack[[#This Row],[Fiscal Period]],3,3,"")),3,1),CostTrack[[#This Row],[Release Date (CMS)]]&lt;DATE(VALUE(LEFT(CostTrack[[#This Row],[Fiscal Period]],4)),4,1)),1,0)</f>
        <v>1</v>
      </c>
      <c r="AB69" s="294">
        <v>975</v>
      </c>
      <c r="AC69" s="260">
        <v>44224</v>
      </c>
      <c r="AD69" s="402" t="str">
        <f ca="1">IF(CostTrack[[#This Row],[Reconciled Amount]]="","",IF(CostTrack[[#This Row],[Value]]&lt;&gt;CostTrack[[#This Row],[Reconciled Amount]],"Yes","No"))</f>
        <v>No</v>
      </c>
    </row>
    <row r="70" spans="2:30">
      <c r="B70" s="400" t="s">
        <v>527</v>
      </c>
      <c r="C70" s="258" t="s">
        <v>851</v>
      </c>
      <c r="D70" s="260">
        <v>43555</v>
      </c>
      <c r="E70" s="282">
        <v>395269.24</v>
      </c>
      <c r="F70" s="263" t="s">
        <v>69</v>
      </c>
      <c r="G70" s="406">
        <f ca="1">ROUND(IF(CostTrack[[#This Row],[Holdback (Y/N/R)]]="Yes",CostTrack[[#This Row],[Value]]*-0.1,IF(CostTrack[[#This Row],[Holdback (Y/N/R)]]="Release",CostTrack[[#This Row],[Value]],0)),2)</f>
        <v>0</v>
      </c>
      <c r="H70" s="407">
        <f ca="1">IF(CostTrack[[#This Row],[Holdback (Y/N/R)]]="Release",CostTrack[[#This Row],[Value]],CostTrack[[#This Row],[Value]]+CostTrack[[#This Row],[Holdback Value]])</f>
        <v>395269.24</v>
      </c>
      <c r="I70" s="258"/>
      <c r="J70" s="258"/>
      <c r="K70" s="275"/>
      <c r="L70" s="260">
        <v>43555</v>
      </c>
      <c r="M70" s="260"/>
      <c r="N70" s="258"/>
      <c r="O70" s="260" t="s">
        <v>106</v>
      </c>
      <c r="P70" s="260">
        <v>43555</v>
      </c>
      <c r="Q70" s="243" t="str">
        <f ca="1">IF(CostTrack[[#This Row],[Vendor - Contract]]="","",INDEX(VendorList[PA ID],MATCH(CostTrack[[#This Row],[Vendor - Contract]],VendorList[Vendor / Org. with Contract ID],0)))</f>
        <v>200.010.F1</v>
      </c>
      <c r="R70" s="243" t="str">
        <f ca="1">IF(CostTrack[[#This Row],[Vendor - Contract]]="","",INDEX(VendorList[Primary Category],MATCH(CostTrack[[#This Row],[Vendor - Contract]],VendorList[Vendor / Org. with Contract ID],0)))</f>
        <v>Professional Services</v>
      </c>
      <c r="S70" s="243" t="str">
        <f ca="1">IF(CostTrack[[#This Row],[Vendor - Contract]]="","",INDEX(VendorList[Secondary Category],MATCH(CostTrack[[#This Row],[Vendor - Contract]],VendorList[Vendor / Org. with Contract ID],0)))</f>
        <v>Prime Consultant</v>
      </c>
      <c r="T70" s="243" t="str">
        <f ca="1">IF(CostTrack[[#This Row],[Vendor - Contract]]="","",INDEX(VendorList[Phase / Subproject],MATCH(CostTrack[[#This Row],[Vendor - Contract]],VendorList[Vendor / Org. with Contract ID],0)))</f>
        <v>--</v>
      </c>
      <c r="U70" s="243" t="str">
        <f ca="1">IF(CostTrack[[#This Row],[Vendor - Contract]]="","",INDEX(VendorList[Phase / Subproject 2],MATCH(CostTrack[[#This Row],[Vendor - Contract]],VendorList[Vendor / Org. with Contract ID],0)))</f>
        <v>--</v>
      </c>
      <c r="V70" s="243" t="str">
        <f ca="1">IF(CostTrack[[#This Row],[Vendor - Contract]]="","",INDEX(VendorList[Funding Source],MATCH(CostTrack[[#This Row],[Vendor - Contract]],VendorList[Vendor / Org. with Contract ID],0)))</f>
        <v>P-002360</v>
      </c>
      <c r="W70" s="260">
        <v>43555</v>
      </c>
      <c r="X70" s="251" t="str">
        <f ca="1">IF(CostTrack[[#This Row],[Release Date (CMS)]]="","*","")</f>
        <v/>
      </c>
      <c r="Y70" s="267" t="s">
        <v>34</v>
      </c>
      <c r="Z70" s="270"/>
      <c r="AA70" s="245">
        <f ca="1">IF(OR(CostTrack[[#This Row],[Release Date (CMS)]]&gt;=DATE(VALUE(REPLACE(CostTrack[[#This Row],[Fiscal Period]],3,3,"")),3,1),CostTrack[[#This Row],[Release Date (CMS)]]&lt;DATE(VALUE(LEFT(CostTrack[[#This Row],[Fiscal Period]],4)),4,1)),1,0)</f>
        <v>1</v>
      </c>
      <c r="AB70" s="294">
        <v>395269.24</v>
      </c>
      <c r="AC70" s="260">
        <v>44224</v>
      </c>
      <c r="AD70" s="402" t="str">
        <f ca="1">IF(CostTrack[[#This Row],[Reconciled Amount]]="","",IF(CostTrack[[#This Row],[Value]]&lt;&gt;CostTrack[[#This Row],[Reconciled Amount]],"Yes","No"))</f>
        <v>No</v>
      </c>
    </row>
    <row r="71" spans="2:30">
      <c r="B71" s="400" t="s">
        <v>624</v>
      </c>
      <c r="C71" s="264" t="s">
        <v>852</v>
      </c>
      <c r="D71" s="260">
        <v>43555</v>
      </c>
      <c r="E71" s="282">
        <v>2500</v>
      </c>
      <c r="F71" s="263" t="s">
        <v>69</v>
      </c>
      <c r="G71" s="406">
        <f ca="1">ROUND(IF(CostTrack[[#This Row],[Holdback (Y/N/R)]]="Yes",CostTrack[[#This Row],[Value]]*-0.1,IF(CostTrack[[#This Row],[Holdback (Y/N/R)]]="Release",CostTrack[[#This Row],[Value]],0)),2)</f>
        <v>0</v>
      </c>
      <c r="H71" s="407">
        <f ca="1">IF(CostTrack[[#This Row],[Holdback (Y/N/R)]]="Release",CostTrack[[#This Row],[Value]],CostTrack[[#This Row],[Value]]+CostTrack[[#This Row],[Holdback Value]])</f>
        <v>2500</v>
      </c>
      <c r="I71" s="258"/>
      <c r="J71" s="258"/>
      <c r="K71" s="275"/>
      <c r="L71" s="260">
        <v>43555</v>
      </c>
      <c r="M71" s="260"/>
      <c r="N71" s="258"/>
      <c r="O71" s="260" t="s">
        <v>106</v>
      </c>
      <c r="P71" s="260">
        <v>43555</v>
      </c>
      <c r="Q71" s="243" t="str">
        <f ca="1">IF(CostTrack[[#This Row],[Vendor - Contract]]="","",INDEX(VendorList[PA ID],MATCH(CostTrack[[#This Row],[Vendor - Contract]],VendorList[Vendor / Org. with Contract ID],0)))</f>
        <v>200.040.F1</v>
      </c>
      <c r="R71" s="243" t="str">
        <f ca="1">IF(CostTrack[[#This Row],[Vendor - Contract]]="","",INDEX(VendorList[Primary Category],MATCH(CostTrack[[#This Row],[Vendor - Contract]],VendorList[Vendor / Org. with Contract ID],0)))</f>
        <v>Professional Services</v>
      </c>
      <c r="S71" s="243" t="str">
        <f ca="1">IF(CostTrack[[#This Row],[Vendor - Contract]]="","",INDEX(VendorList[Secondary Category],MATCH(CostTrack[[#This Row],[Vendor - Contract]],VendorList[Vendor / Org. with Contract ID],0)))</f>
        <v>Commissioning</v>
      </c>
      <c r="T71" s="243" t="str">
        <f ca="1">IF(CostTrack[[#This Row],[Vendor - Contract]]="","",INDEX(VendorList[Phase / Subproject],MATCH(CostTrack[[#This Row],[Vendor - Contract]],VendorList[Vendor / Org. with Contract ID],0)))</f>
        <v>--</v>
      </c>
      <c r="U71" s="243" t="str">
        <f ca="1">IF(CostTrack[[#This Row],[Vendor - Contract]]="","",INDEX(VendorList[Phase / Subproject 2],MATCH(CostTrack[[#This Row],[Vendor - Contract]],VendorList[Vendor / Org. with Contract ID],0)))</f>
        <v>--</v>
      </c>
      <c r="V71" s="243" t="str">
        <f ca="1">IF(CostTrack[[#This Row],[Vendor - Contract]]="","",INDEX(VendorList[Funding Source],MATCH(CostTrack[[#This Row],[Vendor - Contract]],VendorList[Vendor / Org. with Contract ID],0)))</f>
        <v>P-002360</v>
      </c>
      <c r="W71" s="260">
        <v>43555</v>
      </c>
      <c r="X71" s="251" t="str">
        <f ca="1">IF(CostTrack[[#This Row],[Release Date (CMS)]]="","*","")</f>
        <v/>
      </c>
      <c r="Y71" s="267" t="s">
        <v>34</v>
      </c>
      <c r="Z71" s="270"/>
      <c r="AA71" s="245">
        <f ca="1">IF(OR(CostTrack[[#This Row],[Release Date (CMS)]]&gt;=DATE(VALUE(REPLACE(CostTrack[[#This Row],[Fiscal Period]],3,3,"")),3,1),CostTrack[[#This Row],[Release Date (CMS)]]&lt;DATE(VALUE(LEFT(CostTrack[[#This Row],[Fiscal Period]],4)),4,1)),1,0)</f>
        <v>1</v>
      </c>
      <c r="AB71" s="294">
        <v>2500</v>
      </c>
      <c r="AC71" s="260">
        <v>44224</v>
      </c>
      <c r="AD71" s="402" t="str">
        <f ca="1">IF(CostTrack[[#This Row],[Reconciled Amount]]="","",IF(CostTrack[[#This Row],[Value]]&lt;&gt;CostTrack[[#This Row],[Reconciled Amount]],"Yes","No"))</f>
        <v>No</v>
      </c>
    </row>
    <row r="72" spans="2:30">
      <c r="B72" s="400" t="s">
        <v>853</v>
      </c>
      <c r="C72" s="258" t="s">
        <v>854</v>
      </c>
      <c r="D72" s="260">
        <v>43555</v>
      </c>
      <c r="E72" s="282">
        <v>7000</v>
      </c>
      <c r="F72" s="263" t="s">
        <v>69</v>
      </c>
      <c r="G72" s="406">
        <f ca="1">ROUND(IF(CostTrack[[#This Row],[Holdback (Y/N/R)]]="Yes",CostTrack[[#This Row],[Value]]*-0.1,IF(CostTrack[[#This Row],[Holdback (Y/N/R)]]="Release",CostTrack[[#This Row],[Value]],0)),2)</f>
        <v>0</v>
      </c>
      <c r="H72" s="407">
        <f ca="1">IF(CostTrack[[#This Row],[Holdback (Y/N/R)]]="Release",CostTrack[[#This Row],[Value]],CostTrack[[#This Row],[Value]]+CostTrack[[#This Row],[Holdback Value]])</f>
        <v>7000</v>
      </c>
      <c r="I72" s="258"/>
      <c r="J72" s="258"/>
      <c r="K72" s="275"/>
      <c r="L72" s="260">
        <v>43555</v>
      </c>
      <c r="M72" s="260"/>
      <c r="N72" s="258"/>
      <c r="O72" s="260" t="s">
        <v>106</v>
      </c>
      <c r="P72" s="260">
        <v>43555</v>
      </c>
      <c r="Q72" s="243" t="str">
        <f ca="1">IF(CostTrack[[#This Row],[Vendor - Contract]]="","",INDEX(VendorList[PA ID],MATCH(CostTrack[[#This Row],[Vendor - Contract]],VendorList[Vendor / Org. with Contract ID],0)))</f>
        <v>300.040.F1</v>
      </c>
      <c r="R72" s="243" t="str">
        <f ca="1">IF(CostTrack[[#This Row],[Vendor - Contract]]="","",INDEX(VendorList[Primary Category],MATCH(CostTrack[[#This Row],[Vendor - Contract]],VendorList[Vendor / Org. with Contract ID],0)))</f>
        <v>Construction</v>
      </c>
      <c r="S72" s="243" t="str">
        <f ca="1">IF(CostTrack[[#This Row],[Vendor - Contract]]="","",INDEX(VendorList[Secondary Category],MATCH(CostTrack[[#This Row],[Vendor - Contract]],VendorList[Vendor / Org. with Contract ID],0)))</f>
        <v>Other Contractor</v>
      </c>
      <c r="T72" s="243" t="str">
        <f ca="1">IF(CostTrack[[#This Row],[Vendor - Contract]]="","",INDEX(VendorList[Phase / Subproject],MATCH(CostTrack[[#This Row],[Vendor - Contract]],VendorList[Vendor / Org. with Contract ID],0)))</f>
        <v>--</v>
      </c>
      <c r="U72" s="243" t="str">
        <f ca="1">IF(CostTrack[[#This Row],[Vendor - Contract]]="","",INDEX(VendorList[Phase / Subproject 2],MATCH(CostTrack[[#This Row],[Vendor - Contract]],VendorList[Vendor / Org. with Contract ID],0)))</f>
        <v>--</v>
      </c>
      <c r="V72" s="243" t="str">
        <f ca="1">IF(CostTrack[[#This Row],[Vendor - Contract]]="","",INDEX(VendorList[Funding Source],MATCH(CostTrack[[#This Row],[Vendor - Contract]],VendorList[Vendor / Org. with Contract ID],0)))</f>
        <v>P-002360</v>
      </c>
      <c r="W72" s="260">
        <v>43555</v>
      </c>
      <c r="X72" s="251" t="str">
        <f ca="1">IF(CostTrack[[#This Row],[Release Date (CMS)]]="","*","")</f>
        <v/>
      </c>
      <c r="Y72" s="267" t="s">
        <v>34</v>
      </c>
      <c r="Z72" s="270"/>
      <c r="AA72" s="245">
        <f ca="1">IF(OR(CostTrack[[#This Row],[Release Date (CMS)]]&gt;=DATE(VALUE(REPLACE(CostTrack[[#This Row],[Fiscal Period]],3,3,"")),3,1),CostTrack[[#This Row],[Release Date (CMS)]]&lt;DATE(VALUE(LEFT(CostTrack[[#This Row],[Fiscal Period]],4)),4,1)),1,0)</f>
        <v>1</v>
      </c>
      <c r="AB72" s="294">
        <v>7000</v>
      </c>
      <c r="AC72" s="260">
        <v>44224</v>
      </c>
      <c r="AD72" s="402" t="str">
        <f ca="1">IF(CostTrack[[#This Row],[Reconciled Amount]]="","",IF(CostTrack[[#This Row],[Value]]&lt;&gt;CostTrack[[#This Row],[Reconciled Amount]],"Yes","No"))</f>
        <v>No</v>
      </c>
    </row>
    <row r="73" spans="2:30">
      <c r="B73" s="400" t="s">
        <v>573</v>
      </c>
      <c r="C73" s="264" t="s">
        <v>855</v>
      </c>
      <c r="D73" s="260">
        <v>43555</v>
      </c>
      <c r="E73" s="282">
        <v>1940</v>
      </c>
      <c r="F73" s="263" t="s">
        <v>69</v>
      </c>
      <c r="G73" s="406">
        <f ca="1">ROUND(IF(CostTrack[[#This Row],[Holdback (Y/N/R)]]="Yes",CostTrack[[#This Row],[Value]]*-0.1,IF(CostTrack[[#This Row],[Holdback (Y/N/R)]]="Release",CostTrack[[#This Row],[Value]],0)),2)</f>
        <v>0</v>
      </c>
      <c r="H73" s="407">
        <f ca="1">IF(CostTrack[[#This Row],[Holdback (Y/N/R)]]="Release",CostTrack[[#This Row],[Value]],CostTrack[[#This Row],[Value]]+CostTrack[[#This Row],[Holdback Value]])</f>
        <v>1940</v>
      </c>
      <c r="I73" s="258"/>
      <c r="J73" s="258"/>
      <c r="K73" s="275"/>
      <c r="L73" s="260">
        <v>43555</v>
      </c>
      <c r="M73" s="260"/>
      <c r="N73" s="258"/>
      <c r="O73" s="260" t="s">
        <v>106</v>
      </c>
      <c r="P73" s="260">
        <v>43555</v>
      </c>
      <c r="Q73" s="243" t="str">
        <f ca="1">IF(CostTrack[[#This Row],[Vendor - Contract]]="","",INDEX(VendorList[PA ID],MATCH(CostTrack[[#This Row],[Vendor - Contract]],VendorList[Vendor / Org. with Contract ID],0)))</f>
        <v>200.050.F1</v>
      </c>
      <c r="R73" s="243" t="str">
        <f ca="1">IF(CostTrack[[#This Row],[Vendor - Contract]]="","",INDEX(VendorList[Primary Category],MATCH(CostTrack[[#This Row],[Vendor - Contract]],VendorList[Vendor / Org. with Contract ID],0)))</f>
        <v>Professional Services</v>
      </c>
      <c r="S73" s="243" t="str">
        <f ca="1">IF(CostTrack[[#This Row],[Vendor - Contract]]="","",INDEX(VendorList[Secondary Category],MATCH(CostTrack[[#This Row],[Vendor - Contract]],VendorList[Vendor / Org. with Contract ID],0)))</f>
        <v>Other Professional Services</v>
      </c>
      <c r="T73" s="243" t="str">
        <f ca="1">IF(CostTrack[[#This Row],[Vendor - Contract]]="","",INDEX(VendorList[Phase / Subproject],MATCH(CostTrack[[#This Row],[Vendor - Contract]],VendorList[Vendor / Org. with Contract ID],0)))</f>
        <v>--</v>
      </c>
      <c r="U73" s="243" t="str">
        <f ca="1">IF(CostTrack[[#This Row],[Vendor - Contract]]="","",INDEX(VendorList[Phase / Subproject 2],MATCH(CostTrack[[#This Row],[Vendor - Contract]],VendorList[Vendor / Org. with Contract ID],0)))</f>
        <v>--</v>
      </c>
      <c r="V73" s="243" t="str">
        <f ca="1">IF(CostTrack[[#This Row],[Vendor - Contract]]="","",INDEX(VendorList[Funding Source],MATCH(CostTrack[[#This Row],[Vendor - Contract]],VendorList[Vendor / Org. with Contract ID],0)))</f>
        <v>P-002360</v>
      </c>
      <c r="W73" s="260">
        <v>43555</v>
      </c>
      <c r="X73" s="251" t="str">
        <f ca="1">IF(CostTrack[[#This Row],[Release Date (CMS)]]="","*","")</f>
        <v/>
      </c>
      <c r="Y73" s="267" t="s">
        <v>34</v>
      </c>
      <c r="Z73" s="270"/>
      <c r="AA73" s="245">
        <f ca="1">IF(OR(CostTrack[[#This Row],[Release Date (CMS)]]&gt;=DATE(VALUE(REPLACE(CostTrack[[#This Row],[Fiscal Period]],3,3,"")),3,1),CostTrack[[#This Row],[Release Date (CMS)]]&lt;DATE(VALUE(LEFT(CostTrack[[#This Row],[Fiscal Period]],4)),4,1)),1,0)</f>
        <v>1</v>
      </c>
      <c r="AB73" s="294">
        <v>1940</v>
      </c>
      <c r="AC73" s="260">
        <v>44224</v>
      </c>
      <c r="AD73" s="402" t="str">
        <f ca="1">IF(CostTrack[[#This Row],[Reconciled Amount]]="","",IF(CostTrack[[#This Row],[Value]]&lt;&gt;CostTrack[[#This Row],[Reconciled Amount]],"Yes","No"))</f>
        <v>No</v>
      </c>
    </row>
    <row r="74" spans="2:30">
      <c r="B74" s="400" t="s">
        <v>569</v>
      </c>
      <c r="C74" s="264" t="s">
        <v>856</v>
      </c>
      <c r="D74" s="260">
        <v>43555</v>
      </c>
      <c r="E74" s="282">
        <v>45000</v>
      </c>
      <c r="F74" s="263" t="s">
        <v>69</v>
      </c>
      <c r="G74" s="406">
        <f ca="1">ROUND(IF(CostTrack[[#This Row],[Holdback (Y/N/R)]]="Yes",CostTrack[[#This Row],[Value]]*-0.1,IF(CostTrack[[#This Row],[Holdback (Y/N/R)]]="Release",CostTrack[[#This Row],[Value]],0)),2)</f>
        <v>0</v>
      </c>
      <c r="H74" s="407">
        <f ca="1">IF(CostTrack[[#This Row],[Holdback (Y/N/R)]]="Release",CostTrack[[#This Row],[Value]],CostTrack[[#This Row],[Value]]+CostTrack[[#This Row],[Holdback Value]])</f>
        <v>45000</v>
      </c>
      <c r="I74" s="258"/>
      <c r="J74" s="258"/>
      <c r="K74" s="275"/>
      <c r="L74" s="260">
        <v>43555</v>
      </c>
      <c r="M74" s="260"/>
      <c r="N74" s="258"/>
      <c r="O74" s="260" t="s">
        <v>106</v>
      </c>
      <c r="P74" s="260">
        <v>43555</v>
      </c>
      <c r="Q74" s="243" t="str">
        <f ca="1">IF(CostTrack[[#This Row],[Vendor - Contract]]="","",INDEX(VendorList[PA ID],MATCH(CostTrack[[#This Row],[Vendor - Contract]],VendorList[Vendor / Org. with Contract ID],0)))</f>
        <v>300.100.F1</v>
      </c>
      <c r="R74" s="243" t="str">
        <f ca="1">IF(CostTrack[[#This Row],[Vendor - Contract]]="","",INDEX(VendorList[Primary Category],MATCH(CostTrack[[#This Row],[Vendor - Contract]],VendorList[Vendor / Org. with Contract ID],0)))</f>
        <v>Construction</v>
      </c>
      <c r="S74" s="243" t="str">
        <f ca="1">IF(CostTrack[[#This Row],[Vendor - Contract]]="","",INDEX(VendorList[Secondary Category],MATCH(CostTrack[[#This Row],[Vendor - Contract]],VendorList[Vendor / Org. with Contract ID],0)))</f>
        <v>Demolition</v>
      </c>
      <c r="T74" s="243" t="str">
        <f ca="1">IF(CostTrack[[#This Row],[Vendor - Contract]]="","",INDEX(VendorList[Phase / Subproject],MATCH(CostTrack[[#This Row],[Vendor - Contract]],VendorList[Vendor / Org. with Contract ID],0)))</f>
        <v>--</v>
      </c>
      <c r="U74" s="243" t="str">
        <f ca="1">IF(CostTrack[[#This Row],[Vendor - Contract]]="","",INDEX(VendorList[Phase / Subproject 2],MATCH(CostTrack[[#This Row],[Vendor - Contract]],VendorList[Vendor / Org. with Contract ID],0)))</f>
        <v>--</v>
      </c>
      <c r="V74" s="243" t="str">
        <f ca="1">IF(CostTrack[[#This Row],[Vendor - Contract]]="","",INDEX(VendorList[Funding Source],MATCH(CostTrack[[#This Row],[Vendor - Contract]],VendorList[Vendor / Org. with Contract ID],0)))</f>
        <v>P-002360</v>
      </c>
      <c r="W74" s="260">
        <v>43555</v>
      </c>
      <c r="X74" s="251" t="str">
        <f ca="1">IF(CostTrack[[#This Row],[Release Date (CMS)]]="","*","")</f>
        <v/>
      </c>
      <c r="Y74" s="267" t="s">
        <v>34</v>
      </c>
      <c r="Z74" s="270"/>
      <c r="AA74" s="245">
        <f ca="1">IF(OR(CostTrack[[#This Row],[Release Date (CMS)]]&gt;=DATE(VALUE(REPLACE(CostTrack[[#This Row],[Fiscal Period]],3,3,"")),3,1),CostTrack[[#This Row],[Release Date (CMS)]]&lt;DATE(VALUE(LEFT(CostTrack[[#This Row],[Fiscal Period]],4)),4,1)),1,0)</f>
        <v>1</v>
      </c>
      <c r="AB74" s="294">
        <v>45000</v>
      </c>
      <c r="AC74" s="260">
        <v>44224</v>
      </c>
      <c r="AD74" s="402" t="str">
        <f ca="1">IF(CostTrack[[#This Row],[Reconciled Amount]]="","",IF(CostTrack[[#This Row],[Value]]&lt;&gt;CostTrack[[#This Row],[Reconciled Amount]],"Yes","No"))</f>
        <v>No</v>
      </c>
    </row>
    <row r="75" spans="2:30">
      <c r="B75" s="400" t="s">
        <v>528</v>
      </c>
      <c r="C75" s="258" t="s">
        <v>857</v>
      </c>
      <c r="D75" s="260">
        <v>43555</v>
      </c>
      <c r="E75" s="282">
        <v>2236</v>
      </c>
      <c r="F75" s="263" t="s">
        <v>69</v>
      </c>
      <c r="G75" s="406">
        <f ca="1">ROUND(IF(CostTrack[[#This Row],[Holdback (Y/N/R)]]="Yes",CostTrack[[#This Row],[Value]]*-0.1,IF(CostTrack[[#This Row],[Holdback (Y/N/R)]]="Release",CostTrack[[#This Row],[Value]],0)),2)</f>
        <v>0</v>
      </c>
      <c r="H75" s="407">
        <f ca="1">IF(CostTrack[[#This Row],[Holdback (Y/N/R)]]="Release",CostTrack[[#This Row],[Value]],CostTrack[[#This Row],[Value]]+CostTrack[[#This Row],[Holdback Value]])</f>
        <v>2236</v>
      </c>
      <c r="I75" s="258"/>
      <c r="J75" s="258"/>
      <c r="K75" s="275"/>
      <c r="L75" s="260">
        <v>43555</v>
      </c>
      <c r="M75" s="260"/>
      <c r="N75" s="258"/>
      <c r="O75" s="260" t="s">
        <v>106</v>
      </c>
      <c r="P75" s="260">
        <v>43555</v>
      </c>
      <c r="Q75" s="243" t="str">
        <f ca="1">IF(CostTrack[[#This Row],[Vendor - Contract]]="","",INDEX(VendorList[PA ID],MATCH(CostTrack[[#This Row],[Vendor - Contract]],VendorList[Vendor / Org. with Contract ID],0)))</f>
        <v>200.050.F1</v>
      </c>
      <c r="R75" s="243" t="str">
        <f ca="1">IF(CostTrack[[#This Row],[Vendor - Contract]]="","",INDEX(VendorList[Primary Category],MATCH(CostTrack[[#This Row],[Vendor - Contract]],VendorList[Vendor / Org. with Contract ID],0)))</f>
        <v>Professional Services</v>
      </c>
      <c r="S75" s="243" t="str">
        <f ca="1">IF(CostTrack[[#This Row],[Vendor - Contract]]="","",INDEX(VendorList[Secondary Category],MATCH(CostTrack[[#This Row],[Vendor - Contract]],VendorList[Vendor / Org. with Contract ID],0)))</f>
        <v>Other Professional Services</v>
      </c>
      <c r="T75" s="243" t="str">
        <f ca="1">IF(CostTrack[[#This Row],[Vendor - Contract]]="","",INDEX(VendorList[Phase / Subproject],MATCH(CostTrack[[#This Row],[Vendor - Contract]],VendorList[Vendor / Org. with Contract ID],0)))</f>
        <v>--</v>
      </c>
      <c r="U75" s="243" t="str">
        <f ca="1">IF(CostTrack[[#This Row],[Vendor - Contract]]="","",INDEX(VendorList[Phase / Subproject 2],MATCH(CostTrack[[#This Row],[Vendor - Contract]],VendorList[Vendor / Org. with Contract ID],0)))</f>
        <v>--</v>
      </c>
      <c r="V75" s="243" t="str">
        <f ca="1">IF(CostTrack[[#This Row],[Vendor - Contract]]="","",INDEX(VendorList[Funding Source],MATCH(CostTrack[[#This Row],[Vendor - Contract]],VendorList[Vendor / Org. with Contract ID],0)))</f>
        <v>P-002360</v>
      </c>
      <c r="W75" s="260">
        <v>43555</v>
      </c>
      <c r="X75" s="251" t="str">
        <f ca="1">IF(CostTrack[[#This Row],[Release Date (CMS)]]="","*","")</f>
        <v/>
      </c>
      <c r="Y75" s="267" t="s">
        <v>34</v>
      </c>
      <c r="Z75" s="270"/>
      <c r="AA75" s="245">
        <f ca="1">IF(OR(CostTrack[[#This Row],[Release Date (CMS)]]&gt;=DATE(VALUE(REPLACE(CostTrack[[#This Row],[Fiscal Period]],3,3,"")),3,1),CostTrack[[#This Row],[Release Date (CMS)]]&lt;DATE(VALUE(LEFT(CostTrack[[#This Row],[Fiscal Period]],4)),4,1)),1,0)</f>
        <v>1</v>
      </c>
      <c r="AB75" s="294">
        <v>2236</v>
      </c>
      <c r="AC75" s="260">
        <v>44224</v>
      </c>
      <c r="AD75" s="402" t="str">
        <f ca="1">IF(CostTrack[[#This Row],[Reconciled Amount]]="","",IF(CostTrack[[#This Row],[Value]]&lt;&gt;CostTrack[[#This Row],[Reconciled Amount]],"Yes","No"))</f>
        <v>No</v>
      </c>
    </row>
    <row r="76" spans="2:30">
      <c r="B76" s="400" t="s">
        <v>853</v>
      </c>
      <c r="C76" s="258" t="s">
        <v>854</v>
      </c>
      <c r="D76" s="260">
        <v>43572</v>
      </c>
      <c r="E76" s="282">
        <v>-7000</v>
      </c>
      <c r="F76" s="263" t="s">
        <v>69</v>
      </c>
      <c r="G76" s="406">
        <f ca="1">ROUND(IF(CostTrack[[#This Row],[Holdback (Y/N/R)]]="Yes",CostTrack[[#This Row],[Value]]*-0.1,IF(CostTrack[[#This Row],[Holdback (Y/N/R)]]="Release",CostTrack[[#This Row],[Value]],0)),2)</f>
        <v>0</v>
      </c>
      <c r="H76" s="407">
        <f ca="1">IF(CostTrack[[#This Row],[Holdback (Y/N/R)]]="Release",CostTrack[[#This Row],[Value]],CostTrack[[#This Row],[Value]]+CostTrack[[#This Row],[Holdback Value]])</f>
        <v>-7000</v>
      </c>
      <c r="I76" s="258"/>
      <c r="J76" s="258"/>
      <c r="K76" s="275"/>
      <c r="L76" s="260">
        <v>43555</v>
      </c>
      <c r="M76" s="260"/>
      <c r="N76" s="258"/>
      <c r="O76" s="260" t="s">
        <v>106</v>
      </c>
      <c r="P76" s="260">
        <v>43555</v>
      </c>
      <c r="Q76" s="243" t="str">
        <f ca="1">IF(CostTrack[[#This Row],[Vendor - Contract]]="","",INDEX(VendorList[PA ID],MATCH(CostTrack[[#This Row],[Vendor - Contract]],VendorList[Vendor / Org. with Contract ID],0)))</f>
        <v>300.040.F1</v>
      </c>
      <c r="R76" s="243" t="str">
        <f ca="1">IF(CostTrack[[#This Row],[Vendor - Contract]]="","",INDEX(VendorList[Primary Category],MATCH(CostTrack[[#This Row],[Vendor - Contract]],VendorList[Vendor / Org. with Contract ID],0)))</f>
        <v>Construction</v>
      </c>
      <c r="S76" s="243" t="str">
        <f ca="1">IF(CostTrack[[#This Row],[Vendor - Contract]]="","",INDEX(VendorList[Secondary Category],MATCH(CostTrack[[#This Row],[Vendor - Contract]],VendorList[Vendor / Org. with Contract ID],0)))</f>
        <v>Other Contractor</v>
      </c>
      <c r="T76" s="243" t="str">
        <f ca="1">IF(CostTrack[[#This Row],[Vendor - Contract]]="","",INDEX(VendorList[Phase / Subproject],MATCH(CostTrack[[#This Row],[Vendor - Contract]],VendorList[Vendor / Org. with Contract ID],0)))</f>
        <v>--</v>
      </c>
      <c r="U76" s="243" t="str">
        <f ca="1">IF(CostTrack[[#This Row],[Vendor - Contract]]="","",INDEX(VendorList[Phase / Subproject 2],MATCH(CostTrack[[#This Row],[Vendor - Contract]],VendorList[Vendor / Org. with Contract ID],0)))</f>
        <v>--</v>
      </c>
      <c r="V76" s="243" t="str">
        <f ca="1">IF(CostTrack[[#This Row],[Vendor - Contract]]="","",INDEX(VendorList[Funding Source],MATCH(CostTrack[[#This Row],[Vendor - Contract]],VendorList[Vendor / Org. with Contract ID],0)))</f>
        <v>P-002360</v>
      </c>
      <c r="W76" s="260">
        <v>43572</v>
      </c>
      <c r="X76" s="251" t="str">
        <f ca="1">IF(CostTrack[[#This Row],[Release Date (CMS)]]="","*","")</f>
        <v/>
      </c>
      <c r="Y76" s="267" t="s">
        <v>40</v>
      </c>
      <c r="Z76" s="270"/>
      <c r="AA76" s="245">
        <f ca="1">IF(OR(CostTrack[[#This Row],[Release Date (CMS)]]&gt;=DATE(VALUE(REPLACE(CostTrack[[#This Row],[Fiscal Period]],3,3,"")),3,1),CostTrack[[#This Row],[Release Date (CMS)]]&lt;DATE(VALUE(LEFT(CostTrack[[#This Row],[Fiscal Period]],4)),4,1)),1,0)</f>
        <v>0</v>
      </c>
      <c r="AB76" s="282">
        <v>-7000</v>
      </c>
      <c r="AC76" s="260">
        <v>44225</v>
      </c>
      <c r="AD76" s="402" t="str">
        <f ca="1">IF(CostTrack[[#This Row],[Reconciled Amount]]="","",IF(CostTrack[[#This Row],[Value]]&lt;&gt;CostTrack[[#This Row],[Reconciled Amount]],"Yes","No"))</f>
        <v>No</v>
      </c>
    </row>
    <row r="77" spans="2:30">
      <c r="B77" s="400" t="s">
        <v>853</v>
      </c>
      <c r="C77" s="258">
        <v>11781</v>
      </c>
      <c r="D77" s="260">
        <v>43549</v>
      </c>
      <c r="E77" s="282">
        <v>7000</v>
      </c>
      <c r="F77" s="263" t="s">
        <v>69</v>
      </c>
      <c r="G77" s="406">
        <f ca="1">ROUND(IF(CostTrack[[#This Row],[Holdback (Y/N/R)]]="Yes",CostTrack[[#This Row],[Value]]*-0.1,IF(CostTrack[[#This Row],[Holdback (Y/N/R)]]="Release",CostTrack[[#This Row],[Value]],0)),2)</f>
        <v>0</v>
      </c>
      <c r="H77" s="407">
        <f ca="1">IF(CostTrack[[#This Row],[Holdback (Y/N/R)]]="Release",CostTrack[[#This Row],[Value]],CostTrack[[#This Row],[Value]]+CostTrack[[#This Row],[Holdback Value]])</f>
        <v>7000</v>
      </c>
      <c r="I77" s="258">
        <v>1</v>
      </c>
      <c r="J77" s="258"/>
      <c r="K77" s="275"/>
      <c r="L77" s="260">
        <v>43550</v>
      </c>
      <c r="M77" s="260"/>
      <c r="N77" s="258"/>
      <c r="O77" s="260" t="s">
        <v>106</v>
      </c>
      <c r="P77" s="260">
        <v>43556</v>
      </c>
      <c r="Q77" s="243" t="str">
        <f ca="1">IF(CostTrack[[#This Row],[Vendor - Contract]]="","",INDEX(VendorList[PA ID],MATCH(CostTrack[[#This Row],[Vendor - Contract]],VendorList[Vendor / Org. with Contract ID],0)))</f>
        <v>300.040.F1</v>
      </c>
      <c r="R77" s="243" t="str">
        <f ca="1">IF(CostTrack[[#This Row],[Vendor - Contract]]="","",INDEX(VendorList[Primary Category],MATCH(CostTrack[[#This Row],[Vendor - Contract]],VendorList[Vendor / Org. with Contract ID],0)))</f>
        <v>Construction</v>
      </c>
      <c r="S77" s="243" t="str">
        <f ca="1">IF(CostTrack[[#This Row],[Vendor - Contract]]="","",INDEX(VendorList[Secondary Category],MATCH(CostTrack[[#This Row],[Vendor - Contract]],VendorList[Vendor / Org. with Contract ID],0)))</f>
        <v>Other Contractor</v>
      </c>
      <c r="T77" s="243" t="str">
        <f ca="1">IF(CostTrack[[#This Row],[Vendor - Contract]]="","",INDEX(VendorList[Phase / Subproject],MATCH(CostTrack[[#This Row],[Vendor - Contract]],VendorList[Vendor / Org. with Contract ID],0)))</f>
        <v>--</v>
      </c>
      <c r="U77" s="243" t="str">
        <f ca="1">IF(CostTrack[[#This Row],[Vendor - Contract]]="","",INDEX(VendorList[Phase / Subproject 2],MATCH(CostTrack[[#This Row],[Vendor - Contract]],VendorList[Vendor / Org. with Contract ID],0)))</f>
        <v>--</v>
      </c>
      <c r="V77" s="243" t="str">
        <f ca="1">IF(CostTrack[[#This Row],[Vendor - Contract]]="","",INDEX(VendorList[Funding Source],MATCH(CostTrack[[#This Row],[Vendor - Contract]],VendorList[Vendor / Org. with Contract ID],0)))</f>
        <v>P-002360</v>
      </c>
      <c r="W77" s="260">
        <v>43572</v>
      </c>
      <c r="X77" s="251" t="str">
        <f ca="1">IF(CostTrack[[#This Row],[Release Date (CMS)]]="","*","")</f>
        <v/>
      </c>
      <c r="Y77" s="267" t="s">
        <v>40</v>
      </c>
      <c r="Z77" s="270"/>
      <c r="AA77" s="245">
        <f ca="1">IF(OR(CostTrack[[#This Row],[Release Date (CMS)]]&gt;=DATE(VALUE(REPLACE(CostTrack[[#This Row],[Fiscal Period]],3,3,"")),3,1),CostTrack[[#This Row],[Release Date (CMS)]]&lt;DATE(VALUE(LEFT(CostTrack[[#This Row],[Fiscal Period]],4)),4,1)),1,0)</f>
        <v>0</v>
      </c>
      <c r="AB77" s="282">
        <v>7000</v>
      </c>
      <c r="AC77" s="260">
        <v>44225</v>
      </c>
      <c r="AD77" s="402" t="str">
        <f ca="1">IF(CostTrack[[#This Row],[Reconciled Amount]]="","",IF(CostTrack[[#This Row],[Value]]&lt;&gt;CostTrack[[#This Row],[Reconciled Amount]],"Yes","No"))</f>
        <v>No</v>
      </c>
    </row>
    <row r="78" spans="2:30">
      <c r="B78" s="400" t="s">
        <v>527</v>
      </c>
      <c r="C78" s="258" t="s">
        <v>851</v>
      </c>
      <c r="D78" s="260">
        <v>43555</v>
      </c>
      <c r="E78" s="282">
        <v>-395269.24</v>
      </c>
      <c r="F78" s="263" t="s">
        <v>69</v>
      </c>
      <c r="G78" s="406">
        <f ca="1">ROUND(IF(CostTrack[[#This Row],[Holdback (Y/N/R)]]="Yes",CostTrack[[#This Row],[Value]]*-0.1,IF(CostTrack[[#This Row],[Holdback (Y/N/R)]]="Release",CostTrack[[#This Row],[Value]],0)),2)</f>
        <v>0</v>
      </c>
      <c r="H78" s="407">
        <f ca="1">IF(CostTrack[[#This Row],[Holdback (Y/N/R)]]="Release",CostTrack[[#This Row],[Value]],CostTrack[[#This Row],[Value]]+CostTrack[[#This Row],[Holdback Value]])</f>
        <v>-395269.24</v>
      </c>
      <c r="I78" s="258"/>
      <c r="J78" s="258"/>
      <c r="K78" s="275"/>
      <c r="L78" s="260">
        <v>43555</v>
      </c>
      <c r="M78" s="260"/>
      <c r="N78" s="258"/>
      <c r="O78" s="260" t="s">
        <v>106</v>
      </c>
      <c r="P78" s="260">
        <v>43555</v>
      </c>
      <c r="Q78" s="243" t="str">
        <f ca="1">IF(CostTrack[[#This Row],[Vendor - Contract]]="","",INDEX(VendorList[PA ID],MATCH(CostTrack[[#This Row],[Vendor - Contract]],VendorList[Vendor / Org. with Contract ID],0)))</f>
        <v>200.010.F1</v>
      </c>
      <c r="R78" s="243" t="str">
        <f ca="1">IF(CostTrack[[#This Row],[Vendor - Contract]]="","",INDEX(VendorList[Primary Category],MATCH(CostTrack[[#This Row],[Vendor - Contract]],VendorList[Vendor / Org. with Contract ID],0)))</f>
        <v>Professional Services</v>
      </c>
      <c r="S78" s="243" t="str">
        <f ca="1">IF(CostTrack[[#This Row],[Vendor - Contract]]="","",INDEX(VendorList[Secondary Category],MATCH(CostTrack[[#This Row],[Vendor - Contract]],VendorList[Vendor / Org. with Contract ID],0)))</f>
        <v>Prime Consultant</v>
      </c>
      <c r="T78" s="243" t="str">
        <f ca="1">IF(CostTrack[[#This Row],[Vendor - Contract]]="","",INDEX(VendorList[Phase / Subproject],MATCH(CostTrack[[#This Row],[Vendor - Contract]],VendorList[Vendor / Org. with Contract ID],0)))</f>
        <v>--</v>
      </c>
      <c r="U78" s="243" t="str">
        <f ca="1">IF(CostTrack[[#This Row],[Vendor - Contract]]="","",INDEX(VendorList[Phase / Subproject 2],MATCH(CostTrack[[#This Row],[Vendor - Contract]],VendorList[Vendor / Org. with Contract ID],0)))</f>
        <v>--</v>
      </c>
      <c r="V78" s="243" t="str">
        <f ca="1">IF(CostTrack[[#This Row],[Vendor - Contract]]="","",INDEX(VendorList[Funding Source],MATCH(CostTrack[[#This Row],[Vendor - Contract]],VendorList[Vendor / Org. with Contract ID],0)))</f>
        <v>P-002360</v>
      </c>
      <c r="W78" s="260">
        <v>43555</v>
      </c>
      <c r="X78" s="251" t="str">
        <f ca="1">IF(CostTrack[[#This Row],[Release Date (CMS)]]="","*","")</f>
        <v/>
      </c>
      <c r="Y78" s="267" t="s">
        <v>34</v>
      </c>
      <c r="Z78" s="270"/>
      <c r="AA78" s="245">
        <f ca="1">IF(OR(CostTrack[[#This Row],[Release Date (CMS)]]&gt;=DATE(VALUE(REPLACE(CostTrack[[#This Row],[Fiscal Period]],3,3,"")),3,1),CostTrack[[#This Row],[Release Date (CMS)]]&lt;DATE(VALUE(LEFT(CostTrack[[#This Row],[Fiscal Period]],4)),4,1)),1,0)</f>
        <v>1</v>
      </c>
      <c r="AB78" s="282">
        <v>-395269.24</v>
      </c>
      <c r="AC78" s="260">
        <v>44224</v>
      </c>
      <c r="AD78" s="402" t="str">
        <f ca="1">IF(CostTrack[[#This Row],[Reconciled Amount]]="","",IF(CostTrack[[#This Row],[Value]]&lt;&gt;CostTrack[[#This Row],[Reconciled Amount]],"Yes","No"))</f>
        <v>No</v>
      </c>
    </row>
    <row r="79" spans="2:30">
      <c r="B79" s="400" t="s">
        <v>527</v>
      </c>
      <c r="C79" s="258">
        <v>19242</v>
      </c>
      <c r="D79" s="260">
        <v>43555</v>
      </c>
      <c r="E79" s="282">
        <v>395269.24</v>
      </c>
      <c r="F79" s="265" t="s">
        <v>69</v>
      </c>
      <c r="G79" s="406">
        <f ca="1">ROUND(IF(CostTrack[[#This Row],[Holdback (Y/N/R)]]="Yes",CostTrack[[#This Row],[Value]]*-0.1,IF(CostTrack[[#This Row],[Holdback (Y/N/R)]]="Release",CostTrack[[#This Row],[Value]],0)),2)</f>
        <v>0</v>
      </c>
      <c r="H79" s="407">
        <f ca="1">IF(CostTrack[[#This Row],[Holdback (Y/N/R)]]="Release",CostTrack[[#This Row],[Value]],CostTrack[[#This Row],[Value]]+CostTrack[[#This Row],[Holdback Value]])</f>
        <v>395269.24</v>
      </c>
      <c r="I79" s="258"/>
      <c r="J79" s="258"/>
      <c r="K79" s="275">
        <v>43525</v>
      </c>
      <c r="L79" s="260">
        <v>43558</v>
      </c>
      <c r="M79" s="260"/>
      <c r="N79" s="258"/>
      <c r="O79" s="260" t="s">
        <v>106</v>
      </c>
      <c r="P79" s="260">
        <v>43570</v>
      </c>
      <c r="Q79" s="243" t="str">
        <f ca="1">IF(CostTrack[[#This Row],[Vendor - Contract]]="","",INDEX(VendorList[PA ID],MATCH(CostTrack[[#This Row],[Vendor - Contract]],VendorList[Vendor / Org. with Contract ID],0)))</f>
        <v>200.010.F1</v>
      </c>
      <c r="R79" s="243" t="str">
        <f ca="1">IF(CostTrack[[#This Row],[Vendor - Contract]]="","",INDEX(VendorList[Primary Category],MATCH(CostTrack[[#This Row],[Vendor - Contract]],VendorList[Vendor / Org. with Contract ID],0)))</f>
        <v>Professional Services</v>
      </c>
      <c r="S79" s="243" t="str">
        <f ca="1">IF(CostTrack[[#This Row],[Vendor - Contract]]="","",INDEX(VendorList[Secondary Category],MATCH(CostTrack[[#This Row],[Vendor - Contract]],VendorList[Vendor / Org. with Contract ID],0)))</f>
        <v>Prime Consultant</v>
      </c>
      <c r="T79" s="243" t="str">
        <f ca="1">IF(CostTrack[[#This Row],[Vendor - Contract]]="","",INDEX(VendorList[Phase / Subproject],MATCH(CostTrack[[#This Row],[Vendor - Contract]],VendorList[Vendor / Org. with Contract ID],0)))</f>
        <v>--</v>
      </c>
      <c r="U79" s="243" t="str">
        <f ca="1">IF(CostTrack[[#This Row],[Vendor - Contract]]="","",INDEX(VendorList[Phase / Subproject 2],MATCH(CostTrack[[#This Row],[Vendor - Contract]],VendorList[Vendor / Org. with Contract ID],0)))</f>
        <v>--</v>
      </c>
      <c r="V79" s="243" t="str">
        <f ca="1">IF(CostTrack[[#This Row],[Vendor - Contract]]="","",INDEX(VendorList[Funding Source],MATCH(CostTrack[[#This Row],[Vendor - Contract]],VendorList[Vendor / Org. with Contract ID],0)))</f>
        <v>P-002360</v>
      </c>
      <c r="W79" s="260">
        <v>43573</v>
      </c>
      <c r="X79" s="251" t="str">
        <f ca="1">IF(CostTrack[[#This Row],[Release Date (CMS)]]="","*","")</f>
        <v/>
      </c>
      <c r="Y79" s="267" t="s">
        <v>34</v>
      </c>
      <c r="Z79" s="271"/>
      <c r="AA79" s="245">
        <f ca="1">IF(OR(CostTrack[[#This Row],[Release Date (CMS)]]&gt;=DATE(VALUE(REPLACE(CostTrack[[#This Row],[Fiscal Period]],3,3,"")),3,1),CostTrack[[#This Row],[Release Date (CMS)]]&lt;DATE(VALUE(LEFT(CostTrack[[#This Row],[Fiscal Period]],4)),4,1)),1,0)</f>
        <v>1</v>
      </c>
      <c r="AB79" s="282">
        <v>395269.24</v>
      </c>
      <c r="AC79" s="260">
        <v>44224</v>
      </c>
      <c r="AD79" s="402" t="str">
        <f ca="1">IF(CostTrack[[#This Row],[Reconciled Amount]]="","",IF(CostTrack[[#This Row],[Value]]&lt;&gt;CostTrack[[#This Row],[Reconciled Amount]],"Yes","No"))</f>
        <v>No</v>
      </c>
    </row>
    <row r="80" spans="2:30">
      <c r="B80" s="400" t="s">
        <v>573</v>
      </c>
      <c r="C80" s="258" t="s">
        <v>855</v>
      </c>
      <c r="D80" s="260">
        <v>43555</v>
      </c>
      <c r="E80" s="282">
        <v>-1940</v>
      </c>
      <c r="F80" s="265" t="s">
        <v>69</v>
      </c>
      <c r="G80" s="406">
        <f ca="1">ROUND(IF(CostTrack[[#This Row],[Holdback (Y/N/R)]]="Yes",CostTrack[[#This Row],[Value]]*-0.1,IF(CostTrack[[#This Row],[Holdback (Y/N/R)]]="Release",CostTrack[[#This Row],[Value]],0)),2)</f>
        <v>0</v>
      </c>
      <c r="H80" s="407">
        <f ca="1">IF(CostTrack[[#This Row],[Holdback (Y/N/R)]]="Release",CostTrack[[#This Row],[Value]],CostTrack[[#This Row],[Value]]+CostTrack[[#This Row],[Holdback Value]])</f>
        <v>-1940</v>
      </c>
      <c r="I80" s="258"/>
      <c r="J80" s="258"/>
      <c r="K80" s="275"/>
      <c r="L80" s="260"/>
      <c r="M80" s="260"/>
      <c r="N80" s="258"/>
      <c r="O80" s="260" t="s">
        <v>106</v>
      </c>
      <c r="P80" s="260"/>
      <c r="Q80" s="243" t="str">
        <f ca="1">IF(CostTrack[[#This Row],[Vendor - Contract]]="","",INDEX(VendorList[PA ID],MATCH(CostTrack[[#This Row],[Vendor - Contract]],VendorList[Vendor / Org. with Contract ID],0)))</f>
        <v>200.050.F1</v>
      </c>
      <c r="R80" s="243" t="str">
        <f ca="1">IF(CostTrack[[#This Row],[Vendor - Contract]]="","",INDEX(VendorList[Primary Category],MATCH(CostTrack[[#This Row],[Vendor - Contract]],VendorList[Vendor / Org. with Contract ID],0)))</f>
        <v>Professional Services</v>
      </c>
      <c r="S80" s="243" t="str">
        <f ca="1">IF(CostTrack[[#This Row],[Vendor - Contract]]="","",INDEX(VendorList[Secondary Category],MATCH(CostTrack[[#This Row],[Vendor - Contract]],VendorList[Vendor / Org. with Contract ID],0)))</f>
        <v>Other Professional Services</v>
      </c>
      <c r="T80" s="243" t="str">
        <f ca="1">IF(CostTrack[[#This Row],[Vendor - Contract]]="","",INDEX(VendorList[Phase / Subproject],MATCH(CostTrack[[#This Row],[Vendor - Contract]],VendorList[Vendor / Org. with Contract ID],0)))</f>
        <v>--</v>
      </c>
      <c r="U80" s="243" t="str">
        <f ca="1">IF(CostTrack[[#This Row],[Vendor - Contract]]="","",INDEX(VendorList[Phase / Subproject 2],MATCH(CostTrack[[#This Row],[Vendor - Contract]],VendorList[Vendor / Org. with Contract ID],0)))</f>
        <v>--</v>
      </c>
      <c r="V80" s="243" t="str">
        <f ca="1">IF(CostTrack[[#This Row],[Vendor - Contract]]="","",INDEX(VendorList[Funding Source],MATCH(CostTrack[[#This Row],[Vendor - Contract]],VendorList[Vendor / Org. with Contract ID],0)))</f>
        <v>P-002360</v>
      </c>
      <c r="W80" s="260">
        <v>43555</v>
      </c>
      <c r="X80" s="251" t="str">
        <f ca="1">IF(CostTrack[[#This Row],[Release Date (CMS)]]="","*","")</f>
        <v/>
      </c>
      <c r="Y80" s="267" t="s">
        <v>34</v>
      </c>
      <c r="Z80" s="271"/>
      <c r="AA80" s="245">
        <f ca="1">IF(OR(CostTrack[[#This Row],[Release Date (CMS)]]&gt;=DATE(VALUE(REPLACE(CostTrack[[#This Row],[Fiscal Period]],3,3,"")),3,1),CostTrack[[#This Row],[Release Date (CMS)]]&lt;DATE(VALUE(LEFT(CostTrack[[#This Row],[Fiscal Period]],4)),4,1)),1,0)</f>
        <v>1</v>
      </c>
      <c r="AB80" s="282">
        <v>-1940</v>
      </c>
      <c r="AC80" s="260">
        <v>44224</v>
      </c>
      <c r="AD80" s="402" t="str">
        <f ca="1">IF(CostTrack[[#This Row],[Reconciled Amount]]="","",IF(CostTrack[[#This Row],[Value]]&lt;&gt;CostTrack[[#This Row],[Reconciled Amount]],"Yes","No"))</f>
        <v>No</v>
      </c>
    </row>
    <row r="81" spans="1:30">
      <c r="B81" s="400" t="s">
        <v>573</v>
      </c>
      <c r="C81" s="258">
        <v>160</v>
      </c>
      <c r="D81" s="260">
        <v>43555</v>
      </c>
      <c r="E81" s="282">
        <v>1940</v>
      </c>
      <c r="F81" s="265" t="s">
        <v>69</v>
      </c>
      <c r="G81" s="406">
        <f ca="1">ROUND(IF(CostTrack[[#This Row],[Holdback (Y/N/R)]]="Yes",CostTrack[[#This Row],[Value]]*-0.1,IF(CostTrack[[#This Row],[Holdback (Y/N/R)]]="Release",CostTrack[[#This Row],[Value]],0)),2)</f>
        <v>0</v>
      </c>
      <c r="H81" s="407">
        <f ca="1">IF(CostTrack[[#This Row],[Holdback (Y/N/R)]]="Release",CostTrack[[#This Row],[Value]],CostTrack[[#This Row],[Value]]+CostTrack[[#This Row],[Holdback Value]])</f>
        <v>1940</v>
      </c>
      <c r="I81" s="258">
        <v>2</v>
      </c>
      <c r="J81" s="258"/>
      <c r="K81" s="275"/>
      <c r="L81" s="260">
        <v>43552</v>
      </c>
      <c r="M81" s="260"/>
      <c r="N81" s="258"/>
      <c r="O81" s="260" t="s">
        <v>106</v>
      </c>
      <c r="P81" s="260">
        <v>43570</v>
      </c>
      <c r="Q81" s="243" t="str">
        <f ca="1">IF(CostTrack[[#This Row],[Vendor - Contract]]="","",INDEX(VendorList[PA ID],MATCH(CostTrack[[#This Row],[Vendor - Contract]],VendorList[Vendor / Org. with Contract ID],0)))</f>
        <v>200.050.F1</v>
      </c>
      <c r="R81" s="243" t="str">
        <f ca="1">IF(CostTrack[[#This Row],[Vendor - Contract]]="","",INDEX(VendorList[Primary Category],MATCH(CostTrack[[#This Row],[Vendor - Contract]],VendorList[Vendor / Org. with Contract ID],0)))</f>
        <v>Professional Services</v>
      </c>
      <c r="S81" s="243" t="str">
        <f ca="1">IF(CostTrack[[#This Row],[Vendor - Contract]]="","",INDEX(VendorList[Secondary Category],MATCH(CostTrack[[#This Row],[Vendor - Contract]],VendorList[Vendor / Org. with Contract ID],0)))</f>
        <v>Other Professional Services</v>
      </c>
      <c r="T81" s="243" t="str">
        <f ca="1">IF(CostTrack[[#This Row],[Vendor - Contract]]="","",INDEX(VendorList[Phase / Subproject],MATCH(CostTrack[[#This Row],[Vendor - Contract]],VendorList[Vendor / Org. with Contract ID],0)))</f>
        <v>--</v>
      </c>
      <c r="U81" s="243" t="str">
        <f ca="1">IF(CostTrack[[#This Row],[Vendor - Contract]]="","",INDEX(VendorList[Phase / Subproject 2],MATCH(CostTrack[[#This Row],[Vendor - Contract]],VendorList[Vendor / Org. with Contract ID],0)))</f>
        <v>--</v>
      </c>
      <c r="V81" s="243" t="str">
        <f ca="1">IF(CostTrack[[#This Row],[Vendor - Contract]]="","",INDEX(VendorList[Funding Source],MATCH(CostTrack[[#This Row],[Vendor - Contract]],VendorList[Vendor / Org. with Contract ID],0)))</f>
        <v>P-002360</v>
      </c>
      <c r="W81" s="260">
        <v>43573</v>
      </c>
      <c r="X81" s="251" t="str">
        <f ca="1">IF(CostTrack[[#This Row],[Release Date (CMS)]]="","*","")</f>
        <v/>
      </c>
      <c r="Y81" s="267" t="s">
        <v>34</v>
      </c>
      <c r="Z81" s="271"/>
      <c r="AA81" s="245">
        <f ca="1">IF(OR(CostTrack[[#This Row],[Release Date (CMS)]]&gt;=DATE(VALUE(REPLACE(CostTrack[[#This Row],[Fiscal Period]],3,3,"")),3,1),CostTrack[[#This Row],[Release Date (CMS)]]&lt;DATE(VALUE(LEFT(CostTrack[[#This Row],[Fiscal Period]],4)),4,1)),1,0)</f>
        <v>1</v>
      </c>
      <c r="AB81" s="282">
        <v>1940</v>
      </c>
      <c r="AC81" s="260">
        <v>44224</v>
      </c>
      <c r="AD81" s="402" t="str">
        <f ca="1">IF(CostTrack[[#This Row],[Reconciled Amount]]="","",IF(CostTrack[[#This Row],[Value]]&lt;&gt;CostTrack[[#This Row],[Reconciled Amount]],"Yes","No"))</f>
        <v>No</v>
      </c>
    </row>
    <row r="82" spans="1:30">
      <c r="B82" s="400" t="s">
        <v>569</v>
      </c>
      <c r="C82" s="258" t="s">
        <v>856</v>
      </c>
      <c r="D82" s="260">
        <v>43555</v>
      </c>
      <c r="E82" s="282">
        <v>-45000</v>
      </c>
      <c r="F82" s="265" t="s">
        <v>69</v>
      </c>
      <c r="G82" s="406">
        <f ca="1">ROUND(IF(CostTrack[[#This Row],[Holdback (Y/N/R)]]="Yes",CostTrack[[#This Row],[Value]]*-0.1,IF(CostTrack[[#This Row],[Holdback (Y/N/R)]]="Release",CostTrack[[#This Row],[Value]],0)),2)</f>
        <v>0</v>
      </c>
      <c r="H82" s="407">
        <f ca="1">IF(CostTrack[[#This Row],[Holdback (Y/N/R)]]="Release",CostTrack[[#This Row],[Value]],CostTrack[[#This Row],[Value]]+CostTrack[[#This Row],[Holdback Value]])</f>
        <v>-45000</v>
      </c>
      <c r="I82" s="258"/>
      <c r="J82" s="258"/>
      <c r="K82" s="275"/>
      <c r="L82" s="260">
        <v>43573</v>
      </c>
      <c r="M82" s="260"/>
      <c r="N82" s="258"/>
      <c r="O82" s="260" t="s">
        <v>106</v>
      </c>
      <c r="P82" s="260">
        <v>43591</v>
      </c>
      <c r="Q82" s="243" t="str">
        <f ca="1">IF(CostTrack[[#This Row],[Vendor - Contract]]="","",INDEX(VendorList[PA ID],MATCH(CostTrack[[#This Row],[Vendor - Contract]],VendorList[Vendor / Org. with Contract ID],0)))</f>
        <v>300.100.F1</v>
      </c>
      <c r="R82" s="243" t="str">
        <f ca="1">IF(CostTrack[[#This Row],[Vendor - Contract]]="","",INDEX(VendorList[Primary Category],MATCH(CostTrack[[#This Row],[Vendor - Contract]],VendorList[Vendor / Org. with Contract ID],0)))</f>
        <v>Construction</v>
      </c>
      <c r="S82" s="243" t="str">
        <f ca="1">IF(CostTrack[[#This Row],[Vendor - Contract]]="","",INDEX(VendorList[Secondary Category],MATCH(CostTrack[[#This Row],[Vendor - Contract]],VendorList[Vendor / Org. with Contract ID],0)))</f>
        <v>Demolition</v>
      </c>
      <c r="T82" s="243" t="str">
        <f ca="1">IF(CostTrack[[#This Row],[Vendor - Contract]]="","",INDEX(VendorList[Phase / Subproject],MATCH(CostTrack[[#This Row],[Vendor - Contract]],VendorList[Vendor / Org. with Contract ID],0)))</f>
        <v>--</v>
      </c>
      <c r="U82" s="243" t="str">
        <f ca="1">IF(CostTrack[[#This Row],[Vendor - Contract]]="","",INDEX(VendorList[Phase / Subproject 2],MATCH(CostTrack[[#This Row],[Vendor - Contract]],VendorList[Vendor / Org. with Contract ID],0)))</f>
        <v>--</v>
      </c>
      <c r="V82" s="243" t="str">
        <f ca="1">IF(CostTrack[[#This Row],[Vendor - Contract]]="","",INDEX(VendorList[Funding Source],MATCH(CostTrack[[#This Row],[Vendor - Contract]],VendorList[Vendor / Org. with Contract ID],0)))</f>
        <v>P-002360</v>
      </c>
      <c r="W82" s="260">
        <v>43592</v>
      </c>
      <c r="X82" s="251" t="str">
        <f ca="1">IF(CostTrack[[#This Row],[Release Date (CMS)]]="","*","")</f>
        <v/>
      </c>
      <c r="Y82" s="267" t="s">
        <v>40</v>
      </c>
      <c r="Z82" s="271"/>
      <c r="AA82" s="245">
        <f ca="1">IF(OR(CostTrack[[#This Row],[Release Date (CMS)]]&gt;=DATE(VALUE(REPLACE(CostTrack[[#This Row],[Fiscal Period]],3,3,"")),3,1),CostTrack[[#This Row],[Release Date (CMS)]]&lt;DATE(VALUE(LEFT(CostTrack[[#This Row],[Fiscal Period]],4)),4,1)),1,0)</f>
        <v>0</v>
      </c>
      <c r="AB82" s="282">
        <v>-45000</v>
      </c>
      <c r="AC82" s="260">
        <v>44225</v>
      </c>
      <c r="AD82" s="402" t="str">
        <f ca="1">IF(CostTrack[[#This Row],[Reconciled Amount]]="","",IF(CostTrack[[#This Row],[Value]]&lt;&gt;CostTrack[[#This Row],[Reconciled Amount]],"Yes","No"))</f>
        <v>No</v>
      </c>
    </row>
    <row r="83" spans="1:30">
      <c r="B83" s="400" t="s">
        <v>569</v>
      </c>
      <c r="C83" s="258">
        <v>7957</v>
      </c>
      <c r="D83" s="260">
        <v>43553</v>
      </c>
      <c r="E83" s="282">
        <v>45000</v>
      </c>
      <c r="F83" s="265" t="s">
        <v>65</v>
      </c>
      <c r="G83" s="406">
        <f ca="1">ROUND(IF(CostTrack[[#This Row],[Holdback (Y/N/R)]]="Yes",CostTrack[[#This Row],[Value]]*-0.1,IF(CostTrack[[#This Row],[Holdback (Y/N/R)]]="Release",CostTrack[[#This Row],[Value]],0)),2)</f>
        <v>-4500</v>
      </c>
      <c r="H83" s="407">
        <f ca="1">IF(CostTrack[[#This Row],[Holdback (Y/N/R)]]="Release",CostTrack[[#This Row],[Value]],CostTrack[[#This Row],[Value]]+CostTrack[[#This Row],[Holdback Value]])</f>
        <v>40500</v>
      </c>
      <c r="I83" s="258">
        <v>1</v>
      </c>
      <c r="J83" s="258"/>
      <c r="K83" s="275">
        <v>43525</v>
      </c>
      <c r="L83" s="260">
        <v>43573</v>
      </c>
      <c r="M83" s="260"/>
      <c r="N83" s="258"/>
      <c r="O83" s="260" t="s">
        <v>106</v>
      </c>
      <c r="P83" s="260">
        <v>43591</v>
      </c>
      <c r="Q83" s="243" t="str">
        <f ca="1">IF(CostTrack[[#This Row],[Vendor - Contract]]="","",INDEX(VendorList[PA ID],MATCH(CostTrack[[#This Row],[Vendor - Contract]],VendorList[Vendor / Org. with Contract ID],0)))</f>
        <v>300.100.F1</v>
      </c>
      <c r="R83" s="243" t="str">
        <f ca="1">IF(CostTrack[[#This Row],[Vendor - Contract]]="","",INDEX(VendorList[Primary Category],MATCH(CostTrack[[#This Row],[Vendor - Contract]],VendorList[Vendor / Org. with Contract ID],0)))</f>
        <v>Construction</v>
      </c>
      <c r="S83" s="243" t="str">
        <f ca="1">IF(CostTrack[[#This Row],[Vendor - Contract]]="","",INDEX(VendorList[Secondary Category],MATCH(CostTrack[[#This Row],[Vendor - Contract]],VendorList[Vendor / Org. with Contract ID],0)))</f>
        <v>Demolition</v>
      </c>
      <c r="T83" s="243" t="str">
        <f ca="1">IF(CostTrack[[#This Row],[Vendor - Contract]]="","",INDEX(VendorList[Phase / Subproject],MATCH(CostTrack[[#This Row],[Vendor - Contract]],VendorList[Vendor / Org. with Contract ID],0)))</f>
        <v>--</v>
      </c>
      <c r="U83" s="243" t="str">
        <f ca="1">IF(CostTrack[[#This Row],[Vendor - Contract]]="","",INDEX(VendorList[Phase / Subproject 2],MATCH(CostTrack[[#This Row],[Vendor - Contract]],VendorList[Vendor / Org. with Contract ID],0)))</f>
        <v>--</v>
      </c>
      <c r="V83" s="243" t="str">
        <f ca="1">IF(CostTrack[[#This Row],[Vendor - Contract]]="","",INDEX(VendorList[Funding Source],MATCH(CostTrack[[#This Row],[Vendor - Contract]],VendorList[Vendor / Org. with Contract ID],0)))</f>
        <v>P-002360</v>
      </c>
      <c r="W83" s="260">
        <v>43592</v>
      </c>
      <c r="X83" s="251" t="str">
        <f ca="1">IF(CostTrack[[#This Row],[Release Date (CMS)]]="","*","")</f>
        <v/>
      </c>
      <c r="Y83" s="267" t="s">
        <v>40</v>
      </c>
      <c r="Z83" s="271"/>
      <c r="AA83" s="245">
        <f ca="1">IF(OR(CostTrack[[#This Row],[Release Date (CMS)]]&gt;=DATE(VALUE(REPLACE(CostTrack[[#This Row],[Fiscal Period]],3,3,"")),3,1),CostTrack[[#This Row],[Release Date (CMS)]]&lt;DATE(VALUE(LEFT(CostTrack[[#This Row],[Fiscal Period]],4)),4,1)),1,0)</f>
        <v>0</v>
      </c>
      <c r="AB83" s="282">
        <v>45000</v>
      </c>
      <c r="AC83" s="260">
        <v>44225</v>
      </c>
      <c r="AD83" s="402" t="str">
        <f ca="1">IF(CostTrack[[#This Row],[Reconciled Amount]]="","",IF(CostTrack[[#This Row],[Value]]&lt;&gt;CostTrack[[#This Row],[Reconciled Amount]],"Yes","No"))</f>
        <v>No</v>
      </c>
    </row>
    <row r="84" spans="1:30">
      <c r="B84" s="400" t="s">
        <v>736</v>
      </c>
      <c r="C84" s="258">
        <v>43556</v>
      </c>
      <c r="D84" s="260">
        <v>43585</v>
      </c>
      <c r="E84" s="282">
        <v>32988.79</v>
      </c>
      <c r="F84" s="265" t="s">
        <v>69</v>
      </c>
      <c r="G84" s="406">
        <f ca="1">ROUND(IF(CostTrack[[#This Row],[Holdback (Y/N/R)]]="Yes",CostTrack[[#This Row],[Value]]*-0.1,IF(CostTrack[[#This Row],[Holdback (Y/N/R)]]="Release",CostTrack[[#This Row],[Value]],0)),2)</f>
        <v>0</v>
      </c>
      <c r="H84" s="407">
        <f ca="1">IF(CostTrack[[#This Row],[Holdback (Y/N/R)]]="Release",CostTrack[[#This Row],[Value]],CostTrack[[#This Row],[Value]]+CostTrack[[#This Row],[Holdback Value]])</f>
        <v>32988.79</v>
      </c>
      <c r="I84" s="258"/>
      <c r="J84" s="258"/>
      <c r="K84" s="275">
        <v>43556</v>
      </c>
      <c r="L84" s="260">
        <v>43585</v>
      </c>
      <c r="M84" s="260"/>
      <c r="N84" s="258"/>
      <c r="O84" s="260" t="s">
        <v>106</v>
      </c>
      <c r="P84" s="260">
        <v>43585</v>
      </c>
      <c r="Q84" s="243" t="str">
        <f ca="1">IF(CostTrack[[#This Row],[Vendor - Contract]]="","",INDEX(VendorList[PA ID],MATCH(CostTrack[[#This Row],[Vendor - Contract]],VendorList[Vendor / Org. with Contract ID],0)))</f>
        <v>100.010.F1</v>
      </c>
      <c r="R84" s="243" t="str">
        <f ca="1">IF(CostTrack[[#This Row],[Vendor - Contract]]="","",INDEX(VendorList[Primary Category],MATCH(CostTrack[[#This Row],[Vendor - Contract]],VendorList[Vendor / Org. with Contract ID],0)))</f>
        <v>Administration</v>
      </c>
      <c r="S84" s="243" t="str">
        <f ca="1">IF(CostTrack[[#This Row],[Vendor - Contract]]="","",INDEX(VendorList[Secondary Category],MATCH(CostTrack[[#This Row],[Vendor - Contract]],VendorList[Vendor / Org. with Contract ID],0)))</f>
        <v>Staff Capitalization - INFRA</v>
      </c>
      <c r="T84" s="243" t="str">
        <f ca="1">IF(CostTrack[[#This Row],[Vendor - Contract]]="","",INDEX(VendorList[Phase / Subproject],MATCH(CostTrack[[#This Row],[Vendor - Contract]],VendorList[Vendor / Org. with Contract ID],0)))</f>
        <v>--</v>
      </c>
      <c r="U84" s="243" t="str">
        <f ca="1">IF(CostTrack[[#This Row],[Vendor - Contract]]="","",INDEX(VendorList[Phase / Subproject 2],MATCH(CostTrack[[#This Row],[Vendor - Contract]],VendorList[Vendor / Org. with Contract ID],0)))</f>
        <v>--</v>
      </c>
      <c r="V84" s="243" t="str">
        <f ca="1">IF(CostTrack[[#This Row],[Vendor - Contract]]="","",INDEX(VendorList[Funding Source],MATCH(CostTrack[[#This Row],[Vendor - Contract]],VendorList[Vendor / Org. with Contract ID],0)))</f>
        <v>P-002360</v>
      </c>
      <c r="W84" s="260">
        <v>43585</v>
      </c>
      <c r="X84" s="251" t="str">
        <f ca="1">IF(CostTrack[[#This Row],[Release Date (CMS)]]="","*","")</f>
        <v/>
      </c>
      <c r="Y84" s="267" t="s">
        <v>40</v>
      </c>
      <c r="Z84" s="271"/>
      <c r="AA84" s="245">
        <f ca="1">IF(OR(CostTrack[[#This Row],[Release Date (CMS)]]&gt;=DATE(VALUE(REPLACE(CostTrack[[#This Row],[Fiscal Period]],3,3,"")),3,1),CostTrack[[#This Row],[Release Date (CMS)]]&lt;DATE(VALUE(LEFT(CostTrack[[#This Row],[Fiscal Period]],4)),4,1)),1,0)</f>
        <v>0</v>
      </c>
      <c r="AB84" s="294">
        <v>32988.79</v>
      </c>
      <c r="AC84" s="260">
        <v>44224</v>
      </c>
      <c r="AD84" s="402" t="str">
        <f ca="1">IF(CostTrack[[#This Row],[Reconciled Amount]]="","",IF(CostTrack[[#This Row],[Value]]&lt;&gt;CostTrack[[#This Row],[Reconciled Amount]],"Yes","No"))</f>
        <v>No</v>
      </c>
    </row>
    <row r="85" spans="1:30">
      <c r="A85"/>
      <c r="B85" s="400" t="s">
        <v>736</v>
      </c>
      <c r="C85" s="258">
        <v>43525</v>
      </c>
      <c r="D85" s="260">
        <v>43555</v>
      </c>
      <c r="E85" s="282">
        <v>23060.5</v>
      </c>
      <c r="F85" s="265" t="s">
        <v>69</v>
      </c>
      <c r="G85" s="406">
        <f ca="1">ROUND(IF(CostTrack[[#This Row],[Holdback (Y/N/R)]]="Yes",CostTrack[[#This Row],[Value]]*-0.1,IF(CostTrack[[#This Row],[Holdback (Y/N/R)]]="Release",CostTrack[[#This Row],[Value]],0)),2)</f>
        <v>0</v>
      </c>
      <c r="H85" s="407">
        <f ca="1">IF(CostTrack[[#This Row],[Holdback (Y/N/R)]]="Release",CostTrack[[#This Row],[Value]],CostTrack[[#This Row],[Value]]+CostTrack[[#This Row],[Holdback Value]])</f>
        <v>23060.5</v>
      </c>
      <c r="I85" s="258"/>
      <c r="J85" s="258"/>
      <c r="K85" s="275">
        <v>43525</v>
      </c>
      <c r="L85" s="260">
        <v>43555</v>
      </c>
      <c r="M85" s="260"/>
      <c r="N85" s="258"/>
      <c r="O85" s="260" t="s">
        <v>106</v>
      </c>
      <c r="P85" s="260">
        <v>43555</v>
      </c>
      <c r="Q85" s="243" t="str">
        <f ca="1">IF(CostTrack[[#This Row],[Vendor - Contract]]="","",INDEX(VendorList[PA ID],MATCH(CostTrack[[#This Row],[Vendor - Contract]],VendorList[Vendor / Org. with Contract ID],0)))</f>
        <v>100.010.F1</v>
      </c>
      <c r="R85" s="243" t="str">
        <f ca="1">IF(CostTrack[[#This Row],[Vendor - Contract]]="","",INDEX(VendorList[Primary Category],MATCH(CostTrack[[#This Row],[Vendor - Contract]],VendorList[Vendor / Org. with Contract ID],0)))</f>
        <v>Administration</v>
      </c>
      <c r="S85" s="243" t="str">
        <f ca="1">IF(CostTrack[[#This Row],[Vendor - Contract]]="","",INDEX(VendorList[Secondary Category],MATCH(CostTrack[[#This Row],[Vendor - Contract]],VendorList[Vendor / Org. with Contract ID],0)))</f>
        <v>Staff Capitalization - INFRA</v>
      </c>
      <c r="T85" s="243" t="str">
        <f ca="1">IF(CostTrack[[#This Row],[Vendor - Contract]]="","",INDEX(VendorList[Phase / Subproject],MATCH(CostTrack[[#This Row],[Vendor - Contract]],VendorList[Vendor / Org. with Contract ID],0)))</f>
        <v>--</v>
      </c>
      <c r="U85" s="243" t="str">
        <f ca="1">IF(CostTrack[[#This Row],[Vendor - Contract]]="","",INDEX(VendorList[Phase / Subproject 2],MATCH(CostTrack[[#This Row],[Vendor - Contract]],VendorList[Vendor / Org. with Contract ID],0)))</f>
        <v>--</v>
      </c>
      <c r="V85" s="243" t="str">
        <f ca="1">IF(CostTrack[[#This Row],[Vendor - Contract]]="","",INDEX(VendorList[Funding Source],MATCH(CostTrack[[#This Row],[Vendor - Contract]],VendorList[Vendor / Org. with Contract ID],0)))</f>
        <v>P-002360</v>
      </c>
      <c r="W85" s="260">
        <v>43558</v>
      </c>
      <c r="X85" s="251" t="str">
        <f ca="1">IF(CostTrack[[#This Row],[Release Date (CMS)]]="","*","")</f>
        <v/>
      </c>
      <c r="Y85" s="267" t="s">
        <v>34</v>
      </c>
      <c r="Z85" s="271"/>
      <c r="AA85" s="245">
        <f ca="1">IF(OR(CostTrack[[#This Row],[Release Date (CMS)]]&gt;=DATE(VALUE(REPLACE(CostTrack[[#This Row],[Fiscal Period]],3,3,"")),3,1),CostTrack[[#This Row],[Release Date (CMS)]]&lt;DATE(VALUE(LEFT(CostTrack[[#This Row],[Fiscal Period]],4)),4,1)),1,0)</f>
        <v>1</v>
      </c>
      <c r="AB85" s="294">
        <v>23060.5</v>
      </c>
      <c r="AC85" s="260">
        <v>44225</v>
      </c>
      <c r="AD85" s="402" t="str">
        <f ca="1">IF(CostTrack[[#This Row],[Reconciled Amount]]="","",IF(CostTrack[[#This Row],[Value]]&lt;&gt;CostTrack[[#This Row],[Reconciled Amount]],"Yes","No"))</f>
        <v>No</v>
      </c>
    </row>
    <row r="86" spans="1:30">
      <c r="B86" s="400" t="s">
        <v>527</v>
      </c>
      <c r="C86" s="258" t="s">
        <v>858</v>
      </c>
      <c r="D86" s="260">
        <v>43585</v>
      </c>
      <c r="E86" s="282">
        <v>463061.14</v>
      </c>
      <c r="F86" s="265" t="s">
        <v>69</v>
      </c>
      <c r="G86" s="406">
        <f ca="1">ROUND(IF(CostTrack[[#This Row],[Holdback (Y/N/R)]]="Yes",CostTrack[[#This Row],[Value]]*-0.1,IF(CostTrack[[#This Row],[Holdback (Y/N/R)]]="Release",CostTrack[[#This Row],[Value]],0)),2)</f>
        <v>0</v>
      </c>
      <c r="H86" s="407">
        <f ca="1">IF(CostTrack[[#This Row],[Holdback (Y/N/R)]]="Release",CostTrack[[#This Row],[Value]],CostTrack[[#This Row],[Value]]+CostTrack[[#This Row],[Holdback Value]])</f>
        <v>463061.14</v>
      </c>
      <c r="I86" s="258"/>
      <c r="J86" s="258"/>
      <c r="K86" s="275">
        <v>43556</v>
      </c>
      <c r="L86" s="260">
        <v>43588</v>
      </c>
      <c r="M86" s="260"/>
      <c r="N86" s="258"/>
      <c r="O86" s="260" t="s">
        <v>106</v>
      </c>
      <c r="P86" s="260">
        <v>43591</v>
      </c>
      <c r="Q86" s="243" t="str">
        <f ca="1">IF(CostTrack[[#This Row],[Vendor - Contract]]="","",INDEX(VendorList[PA ID],MATCH(CostTrack[[#This Row],[Vendor - Contract]],VendorList[Vendor / Org. with Contract ID],0)))</f>
        <v>200.010.F1</v>
      </c>
      <c r="R86" s="243" t="str">
        <f ca="1">IF(CostTrack[[#This Row],[Vendor - Contract]]="","",INDEX(VendorList[Primary Category],MATCH(CostTrack[[#This Row],[Vendor - Contract]],VendorList[Vendor / Org. with Contract ID],0)))</f>
        <v>Professional Services</v>
      </c>
      <c r="S86" s="243" t="str">
        <f ca="1">IF(CostTrack[[#This Row],[Vendor - Contract]]="","",INDEX(VendorList[Secondary Category],MATCH(CostTrack[[#This Row],[Vendor - Contract]],VendorList[Vendor / Org. with Contract ID],0)))</f>
        <v>Prime Consultant</v>
      </c>
      <c r="T86" s="243" t="str">
        <f ca="1">IF(CostTrack[[#This Row],[Vendor - Contract]]="","",INDEX(VendorList[Phase / Subproject],MATCH(CostTrack[[#This Row],[Vendor - Contract]],VendorList[Vendor / Org. with Contract ID],0)))</f>
        <v>--</v>
      </c>
      <c r="U86" s="243" t="str">
        <f ca="1">IF(CostTrack[[#This Row],[Vendor - Contract]]="","",INDEX(VendorList[Phase / Subproject 2],MATCH(CostTrack[[#This Row],[Vendor - Contract]],VendorList[Vendor / Org. with Contract ID],0)))</f>
        <v>--</v>
      </c>
      <c r="V86" s="243" t="str">
        <f ca="1">IF(CostTrack[[#This Row],[Vendor - Contract]]="","",INDEX(VendorList[Funding Source],MATCH(CostTrack[[#This Row],[Vendor - Contract]],VendorList[Vendor / Org. with Contract ID],0)))</f>
        <v>P-002360</v>
      </c>
      <c r="W86" s="260">
        <v>43593</v>
      </c>
      <c r="X86" s="251" t="str">
        <f ca="1">IF(CostTrack[[#This Row],[Release Date (CMS)]]="","*","")</f>
        <v/>
      </c>
      <c r="Y86" s="267" t="s">
        <v>40</v>
      </c>
      <c r="Z86" s="271"/>
      <c r="AA86" s="245">
        <f ca="1">IF(OR(CostTrack[[#This Row],[Release Date (CMS)]]&gt;=DATE(VALUE(REPLACE(CostTrack[[#This Row],[Fiscal Period]],3,3,"")),3,1),CostTrack[[#This Row],[Release Date (CMS)]]&lt;DATE(VALUE(LEFT(CostTrack[[#This Row],[Fiscal Period]],4)),4,1)),1,0)</f>
        <v>0</v>
      </c>
      <c r="AB86" s="294">
        <v>463061.14</v>
      </c>
      <c r="AC86" s="260">
        <v>44224</v>
      </c>
      <c r="AD86" s="402" t="str">
        <f ca="1">IF(CostTrack[[#This Row],[Reconciled Amount]]="","",IF(CostTrack[[#This Row],[Value]]&lt;&gt;CostTrack[[#This Row],[Reconciled Amount]],"Yes","No"))</f>
        <v>No</v>
      </c>
    </row>
    <row r="87" spans="1:30">
      <c r="B87" s="400" t="s">
        <v>859</v>
      </c>
      <c r="C87" s="258">
        <v>5022019</v>
      </c>
      <c r="D87" s="260">
        <v>43587</v>
      </c>
      <c r="E87" s="282">
        <v>3324.04</v>
      </c>
      <c r="F87" s="265" t="s">
        <v>69</v>
      </c>
      <c r="G87" s="406">
        <f ca="1">ROUND(IF(CostTrack[[#This Row],[Holdback (Y/N/R)]]="Yes",CostTrack[[#This Row],[Value]]*-0.1,IF(CostTrack[[#This Row],[Holdback (Y/N/R)]]="Release",CostTrack[[#This Row],[Value]],0)),2)</f>
        <v>0</v>
      </c>
      <c r="H87" s="407">
        <f ca="1">IF(CostTrack[[#This Row],[Holdback (Y/N/R)]]="Release",CostTrack[[#This Row],[Value]],CostTrack[[#This Row],[Value]]+CostTrack[[#This Row],[Holdback Value]])</f>
        <v>3324.04</v>
      </c>
      <c r="I87" s="258"/>
      <c r="J87" s="258"/>
      <c r="K87" s="275"/>
      <c r="L87" s="260">
        <v>43591</v>
      </c>
      <c r="M87" s="260"/>
      <c r="N87" s="258"/>
      <c r="O87" s="260" t="s">
        <v>106</v>
      </c>
      <c r="P87" s="260">
        <v>43591</v>
      </c>
      <c r="Q87" s="243" t="str">
        <f ca="1">IF(CostTrack[[#This Row],[Vendor - Contract]]="","",INDEX(VendorList[PA ID],MATCH(CostTrack[[#This Row],[Vendor - Contract]],VendorList[Vendor / Org. with Contract ID],0)))</f>
        <v>100.050.F1</v>
      </c>
      <c r="R87" s="243" t="str">
        <f ca="1">IF(CostTrack[[#This Row],[Vendor - Contract]]="","",INDEX(VendorList[Primary Category],MATCH(CostTrack[[#This Row],[Vendor - Contract]],VendorList[Vendor / Org. with Contract ID],0)))</f>
        <v>Administration</v>
      </c>
      <c r="S87" s="243" t="str">
        <f ca="1">IF(CostTrack[[#This Row],[Vendor - Contract]]="","",INDEX(VendorList[Secondary Category],MATCH(CostTrack[[#This Row],[Vendor - Contract]],VendorList[Vendor / Org. with Contract ID],0)))</f>
        <v>Other Administration</v>
      </c>
      <c r="T87" s="243" t="str">
        <f ca="1">IF(CostTrack[[#This Row],[Vendor - Contract]]="","",INDEX(VendorList[Phase / Subproject],MATCH(CostTrack[[#This Row],[Vendor - Contract]],VendorList[Vendor / Org. with Contract ID],0)))</f>
        <v>--</v>
      </c>
      <c r="U87" s="243" t="str">
        <f ca="1">IF(CostTrack[[#This Row],[Vendor - Contract]]="","",INDEX(VendorList[Phase / Subproject 2],MATCH(CostTrack[[#This Row],[Vendor - Contract]],VendorList[Vendor / Org. with Contract ID],0)))</f>
        <v>--</v>
      </c>
      <c r="V87" s="243" t="str">
        <f ca="1">IF(CostTrack[[#This Row],[Vendor - Contract]]="","",INDEX(VendorList[Funding Source],MATCH(CostTrack[[#This Row],[Vendor - Contract]],VendorList[Vendor / Org. with Contract ID],0)))</f>
        <v>P-002360</v>
      </c>
      <c r="W87" s="260">
        <v>43600</v>
      </c>
      <c r="X87" s="251" t="str">
        <f ca="1">IF(CostTrack[[#This Row],[Release Date (CMS)]]="","*","")</f>
        <v/>
      </c>
      <c r="Y87" s="267" t="s">
        <v>40</v>
      </c>
      <c r="Z87" s="271"/>
      <c r="AA87" s="245">
        <f ca="1">IF(OR(CostTrack[[#This Row],[Release Date (CMS)]]&gt;=DATE(VALUE(REPLACE(CostTrack[[#This Row],[Fiscal Period]],3,3,"")),3,1),CostTrack[[#This Row],[Release Date (CMS)]]&lt;DATE(VALUE(LEFT(CostTrack[[#This Row],[Fiscal Period]],4)),4,1)),1,0)</f>
        <v>0</v>
      </c>
      <c r="AB87" s="294">
        <v>3324.04</v>
      </c>
      <c r="AC87" s="260">
        <v>44224</v>
      </c>
      <c r="AD87" s="402" t="str">
        <f ca="1">IF(CostTrack[[#This Row],[Reconciled Amount]]="","",IF(CostTrack[[#This Row],[Value]]&lt;&gt;CostTrack[[#This Row],[Reconciled Amount]],"Yes","No"))</f>
        <v>No</v>
      </c>
    </row>
    <row r="88" spans="1:30">
      <c r="B88" s="400" t="s">
        <v>569</v>
      </c>
      <c r="C88" s="258">
        <v>7974</v>
      </c>
      <c r="D88" s="260">
        <v>43580</v>
      </c>
      <c r="E88" s="282">
        <v>84250</v>
      </c>
      <c r="F88" s="265" t="s">
        <v>65</v>
      </c>
      <c r="G88" s="406">
        <f ca="1">ROUND(IF(CostTrack[[#This Row],[Holdback (Y/N/R)]]="Yes",CostTrack[[#This Row],[Value]]*-0.1,IF(CostTrack[[#This Row],[Holdback (Y/N/R)]]="Release",CostTrack[[#This Row],[Value]],0)),2)</f>
        <v>-8425</v>
      </c>
      <c r="H88" s="407">
        <f ca="1">IF(CostTrack[[#This Row],[Holdback (Y/N/R)]]="Release",CostTrack[[#This Row],[Value]],CostTrack[[#This Row],[Value]]+CostTrack[[#This Row],[Holdback Value]])</f>
        <v>75825</v>
      </c>
      <c r="I88" s="258">
        <v>2</v>
      </c>
      <c r="J88" s="258"/>
      <c r="K88" s="275">
        <v>43556</v>
      </c>
      <c r="L88" s="260">
        <v>43602</v>
      </c>
      <c r="M88" s="260"/>
      <c r="N88" s="258"/>
      <c r="O88" s="260" t="s">
        <v>106</v>
      </c>
      <c r="P88" s="260">
        <v>43602</v>
      </c>
      <c r="Q88" s="243" t="str">
        <f ca="1">IF(CostTrack[[#This Row],[Vendor - Contract]]="","",INDEX(VendorList[PA ID],MATCH(CostTrack[[#This Row],[Vendor - Contract]],VendorList[Vendor / Org. with Contract ID],0)))</f>
        <v>300.100.F1</v>
      </c>
      <c r="R88" s="243" t="str">
        <f ca="1">IF(CostTrack[[#This Row],[Vendor - Contract]]="","",INDEX(VendorList[Primary Category],MATCH(CostTrack[[#This Row],[Vendor - Contract]],VendorList[Vendor / Org. with Contract ID],0)))</f>
        <v>Construction</v>
      </c>
      <c r="S88" s="243" t="str">
        <f ca="1">IF(CostTrack[[#This Row],[Vendor - Contract]]="","",INDEX(VendorList[Secondary Category],MATCH(CostTrack[[#This Row],[Vendor - Contract]],VendorList[Vendor / Org. with Contract ID],0)))</f>
        <v>Demolition</v>
      </c>
      <c r="T88" s="243" t="str">
        <f ca="1">IF(CostTrack[[#This Row],[Vendor - Contract]]="","",INDEX(VendorList[Phase / Subproject],MATCH(CostTrack[[#This Row],[Vendor - Contract]],VendorList[Vendor / Org. with Contract ID],0)))</f>
        <v>--</v>
      </c>
      <c r="U88" s="243" t="str">
        <f ca="1">IF(CostTrack[[#This Row],[Vendor - Contract]]="","",INDEX(VendorList[Phase / Subproject 2],MATCH(CostTrack[[#This Row],[Vendor - Contract]],VendorList[Vendor / Org. with Contract ID],0)))</f>
        <v>--</v>
      </c>
      <c r="V88" s="243" t="str">
        <f ca="1">IF(CostTrack[[#This Row],[Vendor - Contract]]="","",INDEX(VendorList[Funding Source],MATCH(CostTrack[[#This Row],[Vendor - Contract]],VendorList[Vendor / Org. with Contract ID],0)))</f>
        <v>P-002360</v>
      </c>
      <c r="W88" s="260">
        <v>43602</v>
      </c>
      <c r="X88" s="251" t="str">
        <f ca="1">IF(CostTrack[[#This Row],[Release Date (CMS)]]="","*","")</f>
        <v/>
      </c>
      <c r="Y88" s="267" t="s">
        <v>40</v>
      </c>
      <c r="Z88" s="271"/>
      <c r="AA88" s="245">
        <f ca="1">IF(OR(CostTrack[[#This Row],[Release Date (CMS)]]&gt;=DATE(VALUE(REPLACE(CostTrack[[#This Row],[Fiscal Period]],3,3,"")),3,1),CostTrack[[#This Row],[Release Date (CMS)]]&lt;DATE(VALUE(LEFT(CostTrack[[#This Row],[Fiscal Period]],4)),4,1)),1,0)</f>
        <v>0</v>
      </c>
      <c r="AB88" s="294">
        <v>84250</v>
      </c>
      <c r="AC88" s="260">
        <v>44224</v>
      </c>
      <c r="AD88" s="402" t="str">
        <f ca="1">IF(CostTrack[[#This Row],[Reconciled Amount]]="","",IF(CostTrack[[#This Row],[Value]]&lt;&gt;CostTrack[[#This Row],[Reconciled Amount]],"Yes","No"))</f>
        <v>No</v>
      </c>
    </row>
    <row r="89" spans="1:30">
      <c r="B89" s="400" t="s">
        <v>573</v>
      </c>
      <c r="C89" s="258">
        <v>165</v>
      </c>
      <c r="D89" s="260">
        <v>43590</v>
      </c>
      <c r="E89" s="282">
        <v>2475</v>
      </c>
      <c r="F89" s="265" t="s">
        <v>69</v>
      </c>
      <c r="G89" s="406">
        <f ca="1">ROUND(IF(CostTrack[[#This Row],[Holdback (Y/N/R)]]="Yes",CostTrack[[#This Row],[Value]]*-0.1,IF(CostTrack[[#This Row],[Holdback (Y/N/R)]]="Release",CostTrack[[#This Row],[Value]],0)),2)</f>
        <v>0</v>
      </c>
      <c r="H89" s="407">
        <f ca="1">IF(CostTrack[[#This Row],[Holdback (Y/N/R)]]="Release",CostTrack[[#This Row],[Value]],CostTrack[[#This Row],[Value]]+CostTrack[[#This Row],[Holdback Value]])</f>
        <v>2475</v>
      </c>
      <c r="I89" s="258"/>
      <c r="J89" s="258"/>
      <c r="K89" s="275">
        <v>43556</v>
      </c>
      <c r="L89" s="260">
        <v>43604</v>
      </c>
      <c r="M89" s="260"/>
      <c r="N89" s="258"/>
      <c r="O89" s="260" t="s">
        <v>106</v>
      </c>
      <c r="P89" s="260">
        <v>43606</v>
      </c>
      <c r="Q89" s="243" t="str">
        <f ca="1">IF(CostTrack[[#This Row],[Vendor - Contract]]="","",INDEX(VendorList[PA ID],MATCH(CostTrack[[#This Row],[Vendor - Contract]],VendorList[Vendor / Org. with Contract ID],0)))</f>
        <v>200.050.F1</v>
      </c>
      <c r="R89" s="243" t="str">
        <f ca="1">IF(CostTrack[[#This Row],[Vendor - Contract]]="","",INDEX(VendorList[Primary Category],MATCH(CostTrack[[#This Row],[Vendor - Contract]],VendorList[Vendor / Org. with Contract ID],0)))</f>
        <v>Professional Services</v>
      </c>
      <c r="S89" s="243" t="str">
        <f ca="1">IF(CostTrack[[#This Row],[Vendor - Contract]]="","",INDEX(VendorList[Secondary Category],MATCH(CostTrack[[#This Row],[Vendor - Contract]],VendorList[Vendor / Org. with Contract ID],0)))</f>
        <v>Other Professional Services</v>
      </c>
      <c r="T89" s="243" t="str">
        <f ca="1">IF(CostTrack[[#This Row],[Vendor - Contract]]="","",INDEX(VendorList[Phase / Subproject],MATCH(CostTrack[[#This Row],[Vendor - Contract]],VendorList[Vendor / Org. with Contract ID],0)))</f>
        <v>--</v>
      </c>
      <c r="U89" s="243" t="str">
        <f ca="1">IF(CostTrack[[#This Row],[Vendor - Contract]]="","",INDEX(VendorList[Phase / Subproject 2],MATCH(CostTrack[[#This Row],[Vendor - Contract]],VendorList[Vendor / Org. with Contract ID],0)))</f>
        <v>--</v>
      </c>
      <c r="V89" s="243" t="str">
        <f ca="1">IF(CostTrack[[#This Row],[Vendor - Contract]]="","",INDEX(VendorList[Funding Source],MATCH(CostTrack[[#This Row],[Vendor - Contract]],VendorList[Vendor / Org. with Contract ID],0)))</f>
        <v>P-002360</v>
      </c>
      <c r="W89" s="260">
        <v>43608</v>
      </c>
      <c r="X89" s="251" t="str">
        <f ca="1">IF(CostTrack[[#This Row],[Release Date (CMS)]]="","*","")</f>
        <v/>
      </c>
      <c r="Y89" s="267" t="s">
        <v>40</v>
      </c>
      <c r="Z89" s="271"/>
      <c r="AA89" s="245">
        <f ca="1">IF(OR(CostTrack[[#This Row],[Release Date (CMS)]]&gt;=DATE(VALUE(REPLACE(CostTrack[[#This Row],[Fiscal Period]],3,3,"")),3,1),CostTrack[[#This Row],[Release Date (CMS)]]&lt;DATE(VALUE(LEFT(CostTrack[[#This Row],[Fiscal Period]],4)),4,1)),1,0)</f>
        <v>0</v>
      </c>
      <c r="AB89" s="294">
        <v>2475</v>
      </c>
      <c r="AC89" s="260">
        <v>44225</v>
      </c>
      <c r="AD89" s="402" t="str">
        <f ca="1">IF(CostTrack[[#This Row],[Reconciled Amount]]="","",IF(CostTrack[[#This Row],[Value]]&lt;&gt;CostTrack[[#This Row],[Reconciled Amount]],"Yes","No"))</f>
        <v>No</v>
      </c>
    </row>
    <row r="90" spans="1:30">
      <c r="B90" s="400" t="s">
        <v>528</v>
      </c>
      <c r="C90" s="258">
        <v>60612307</v>
      </c>
      <c r="D90" s="260">
        <v>43593</v>
      </c>
      <c r="E90" s="282">
        <v>2363.5</v>
      </c>
      <c r="F90" s="265" t="s">
        <v>69</v>
      </c>
      <c r="G90" s="406">
        <f ca="1">ROUND(IF(CostTrack[[#This Row],[Holdback (Y/N/R)]]="Yes",CostTrack[[#This Row],[Value]]*-0.1,IF(CostTrack[[#This Row],[Holdback (Y/N/R)]]="Release",CostTrack[[#This Row],[Value]],0)),2)</f>
        <v>0</v>
      </c>
      <c r="H90" s="407">
        <f ca="1">IF(CostTrack[[#This Row],[Holdback (Y/N/R)]]="Release",CostTrack[[#This Row],[Value]],CostTrack[[#This Row],[Value]]+CostTrack[[#This Row],[Holdback Value]])</f>
        <v>2363.5</v>
      </c>
      <c r="I90" s="258"/>
      <c r="J90" s="258"/>
      <c r="K90" s="275" t="s">
        <v>860</v>
      </c>
      <c r="L90" s="260">
        <v>43600</v>
      </c>
      <c r="M90" s="260"/>
      <c r="N90" s="258"/>
      <c r="O90" s="260" t="s">
        <v>106</v>
      </c>
      <c r="P90" s="260">
        <v>43612</v>
      </c>
      <c r="Q90" s="243" t="str">
        <f ca="1">IF(CostTrack[[#This Row],[Vendor - Contract]]="","",INDEX(VendorList[PA ID],MATCH(CostTrack[[#This Row],[Vendor - Contract]],VendorList[Vendor / Org. with Contract ID],0)))</f>
        <v>200.050.F1</v>
      </c>
      <c r="R90" s="243" t="str">
        <f ca="1">IF(CostTrack[[#This Row],[Vendor - Contract]]="","",INDEX(VendorList[Primary Category],MATCH(CostTrack[[#This Row],[Vendor - Contract]],VendorList[Vendor / Org. with Contract ID],0)))</f>
        <v>Professional Services</v>
      </c>
      <c r="S90" s="243" t="str">
        <f ca="1">IF(CostTrack[[#This Row],[Vendor - Contract]]="","",INDEX(VendorList[Secondary Category],MATCH(CostTrack[[#This Row],[Vendor - Contract]],VendorList[Vendor / Org. with Contract ID],0)))</f>
        <v>Other Professional Services</v>
      </c>
      <c r="T90" s="243" t="str">
        <f ca="1">IF(CostTrack[[#This Row],[Vendor - Contract]]="","",INDEX(VendorList[Phase / Subproject],MATCH(CostTrack[[#This Row],[Vendor - Contract]],VendorList[Vendor / Org. with Contract ID],0)))</f>
        <v>--</v>
      </c>
      <c r="U90" s="243" t="str">
        <f ca="1">IF(CostTrack[[#This Row],[Vendor - Contract]]="","",INDEX(VendorList[Phase / Subproject 2],MATCH(CostTrack[[#This Row],[Vendor - Contract]],VendorList[Vendor / Org. with Contract ID],0)))</f>
        <v>--</v>
      </c>
      <c r="V90" s="243" t="str">
        <f ca="1">IF(CostTrack[[#This Row],[Vendor - Contract]]="","",INDEX(VendorList[Funding Source],MATCH(CostTrack[[#This Row],[Vendor - Contract]],VendorList[Vendor / Org. with Contract ID],0)))</f>
        <v>P-002360</v>
      </c>
      <c r="W90" s="260">
        <v>43612</v>
      </c>
      <c r="X90" s="251" t="str">
        <f ca="1">IF(CostTrack[[#This Row],[Release Date (CMS)]]="","*","")</f>
        <v/>
      </c>
      <c r="Y90" s="267" t="s">
        <v>40</v>
      </c>
      <c r="Z90" s="271"/>
      <c r="AA90" s="245">
        <f ca="1">IF(OR(CostTrack[[#This Row],[Release Date (CMS)]]&gt;=DATE(VALUE(REPLACE(CostTrack[[#This Row],[Fiscal Period]],3,3,"")),3,1),CostTrack[[#This Row],[Release Date (CMS)]]&lt;DATE(VALUE(LEFT(CostTrack[[#This Row],[Fiscal Period]],4)),4,1)),1,0)</f>
        <v>0</v>
      </c>
      <c r="AB90" s="294">
        <v>2363.5</v>
      </c>
      <c r="AC90" s="260">
        <v>44224</v>
      </c>
      <c r="AD90" s="402" t="str">
        <f ca="1">IF(CostTrack[[#This Row],[Reconciled Amount]]="","",IF(CostTrack[[#This Row],[Value]]&lt;&gt;CostTrack[[#This Row],[Reconciled Amount]],"Yes","No"))</f>
        <v>No</v>
      </c>
    </row>
    <row r="91" spans="1:30">
      <c r="B91" s="400" t="s">
        <v>861</v>
      </c>
      <c r="C91" s="258" t="s">
        <v>268</v>
      </c>
      <c r="D91" s="260" t="s">
        <v>268</v>
      </c>
      <c r="E91" s="282">
        <v>5000</v>
      </c>
      <c r="F91" s="265" t="s">
        <v>69</v>
      </c>
      <c r="G91" s="406">
        <f ca="1">ROUND(IF(CostTrack[[#This Row],[Holdback (Y/N/R)]]="Yes",CostTrack[[#This Row],[Value]]*-0.1,IF(CostTrack[[#This Row],[Holdback (Y/N/R)]]="Release",CostTrack[[#This Row],[Value]],0)),2)</f>
        <v>0</v>
      </c>
      <c r="H91" s="407">
        <f ca="1">IF(CostTrack[[#This Row],[Holdback (Y/N/R)]]="Release",CostTrack[[#This Row],[Value]],CostTrack[[#This Row],[Value]]+CostTrack[[#This Row],[Holdback Value]])</f>
        <v>5000</v>
      </c>
      <c r="I91" s="258"/>
      <c r="J91" s="258"/>
      <c r="K91" s="275" t="s">
        <v>268</v>
      </c>
      <c r="L91" s="260" t="s">
        <v>268</v>
      </c>
      <c r="M91" s="260"/>
      <c r="N91" s="258"/>
      <c r="O91" s="260" t="s">
        <v>106</v>
      </c>
      <c r="P91" s="260"/>
      <c r="Q91" s="243" t="str">
        <f ca="1">IF(CostTrack[[#This Row],[Vendor - Contract]]="","",INDEX(VendorList[PA ID],MATCH(CostTrack[[#This Row],[Vendor - Contract]],VendorList[Vendor / Org. with Contract ID],0)))</f>
        <v>100.050.F1</v>
      </c>
      <c r="R91" s="243" t="str">
        <f ca="1">IF(CostTrack[[#This Row],[Vendor - Contract]]="","",INDEX(VendorList[Primary Category],MATCH(CostTrack[[#This Row],[Vendor - Contract]],VendorList[Vendor / Org. with Contract ID],0)))</f>
        <v>Administration</v>
      </c>
      <c r="S91" s="243" t="str">
        <f ca="1">IF(CostTrack[[#This Row],[Vendor - Contract]]="","",INDEX(VendorList[Secondary Category],MATCH(CostTrack[[#This Row],[Vendor - Contract]],VendorList[Vendor / Org. with Contract ID],0)))</f>
        <v>Other Administration</v>
      </c>
      <c r="T91" s="243" t="str">
        <f ca="1">IF(CostTrack[[#This Row],[Vendor - Contract]]="","",INDEX(VendorList[Phase / Subproject],MATCH(CostTrack[[#This Row],[Vendor - Contract]],VendorList[Vendor / Org. with Contract ID],0)))</f>
        <v>--</v>
      </c>
      <c r="U91" s="243" t="str">
        <f ca="1">IF(CostTrack[[#This Row],[Vendor - Contract]]="","",INDEX(VendorList[Phase / Subproject 2],MATCH(CostTrack[[#This Row],[Vendor - Contract]],VendorList[Vendor / Org. with Contract ID],0)))</f>
        <v>--</v>
      </c>
      <c r="V91" s="243" t="str">
        <f ca="1">IF(CostTrack[[#This Row],[Vendor - Contract]]="","",INDEX(VendorList[Funding Source],MATCH(CostTrack[[#This Row],[Vendor - Contract]],VendorList[Vendor / Org. with Contract ID],0)))</f>
        <v>P-002360</v>
      </c>
      <c r="W91" s="260">
        <v>43614</v>
      </c>
      <c r="X91" s="251" t="str">
        <f ca="1">IF(CostTrack[[#This Row],[Release Date (CMS)]]="","*","")</f>
        <v/>
      </c>
      <c r="Y91" s="267" t="s">
        <v>40</v>
      </c>
      <c r="Z91" s="271"/>
      <c r="AA91" s="245">
        <f ca="1">IF(OR(CostTrack[[#This Row],[Release Date (CMS)]]&gt;=DATE(VALUE(REPLACE(CostTrack[[#This Row],[Fiscal Period]],3,3,"")),3,1),CostTrack[[#This Row],[Release Date (CMS)]]&lt;DATE(VALUE(LEFT(CostTrack[[#This Row],[Fiscal Period]],4)),4,1)),1,0)</f>
        <v>0</v>
      </c>
      <c r="AB91" s="294">
        <v>5000</v>
      </c>
      <c r="AC91" s="260">
        <v>44224</v>
      </c>
      <c r="AD91" s="402" t="str">
        <f ca="1">IF(CostTrack[[#This Row],[Reconciled Amount]]="","",IF(CostTrack[[#This Row],[Value]]&lt;&gt;CostTrack[[#This Row],[Reconciled Amount]],"Yes","No"))</f>
        <v>No</v>
      </c>
    </row>
    <row r="92" spans="1:30">
      <c r="B92" s="400" t="s">
        <v>528</v>
      </c>
      <c r="C92" s="258">
        <v>60616048</v>
      </c>
      <c r="D92" s="260">
        <v>43621</v>
      </c>
      <c r="E92" s="282">
        <v>226.5</v>
      </c>
      <c r="F92" s="265" t="s">
        <v>69</v>
      </c>
      <c r="G92" s="406">
        <f ca="1">ROUND(IF(CostTrack[[#This Row],[Holdback (Y/N/R)]]="Yes",CostTrack[[#This Row],[Value]]*-0.1,IF(CostTrack[[#This Row],[Holdback (Y/N/R)]]="Release",CostTrack[[#This Row],[Value]],0)),2)</f>
        <v>0</v>
      </c>
      <c r="H92" s="407">
        <f ca="1">IF(CostTrack[[#This Row],[Holdback (Y/N/R)]]="Release",CostTrack[[#This Row],[Value]],CostTrack[[#This Row],[Value]]+CostTrack[[#This Row],[Holdback Value]])</f>
        <v>226.5</v>
      </c>
      <c r="I92" s="258"/>
      <c r="J92" s="258"/>
      <c r="K92" s="275"/>
      <c r="L92" s="260">
        <v>43621</v>
      </c>
      <c r="M92" s="260"/>
      <c r="N92" s="258"/>
      <c r="O92" s="260" t="s">
        <v>106</v>
      </c>
      <c r="P92" s="260">
        <v>43626</v>
      </c>
      <c r="Q92" s="243" t="str">
        <f ca="1">IF(CostTrack[[#This Row],[Vendor - Contract]]="","",INDEX(VendorList[PA ID],MATCH(CostTrack[[#This Row],[Vendor - Contract]],VendorList[Vendor / Org. with Contract ID],0)))</f>
        <v>200.050.F1</v>
      </c>
      <c r="R92" s="243" t="str">
        <f ca="1">IF(CostTrack[[#This Row],[Vendor - Contract]]="","",INDEX(VendorList[Primary Category],MATCH(CostTrack[[#This Row],[Vendor - Contract]],VendorList[Vendor / Org. with Contract ID],0)))</f>
        <v>Professional Services</v>
      </c>
      <c r="S92" s="243" t="str">
        <f ca="1">IF(CostTrack[[#This Row],[Vendor - Contract]]="","",INDEX(VendorList[Secondary Category],MATCH(CostTrack[[#This Row],[Vendor - Contract]],VendorList[Vendor / Org. with Contract ID],0)))</f>
        <v>Other Professional Services</v>
      </c>
      <c r="T92" s="243" t="str">
        <f ca="1">IF(CostTrack[[#This Row],[Vendor - Contract]]="","",INDEX(VendorList[Phase / Subproject],MATCH(CostTrack[[#This Row],[Vendor - Contract]],VendorList[Vendor / Org. with Contract ID],0)))</f>
        <v>--</v>
      </c>
      <c r="U92" s="243" t="str">
        <f ca="1">IF(CostTrack[[#This Row],[Vendor - Contract]]="","",INDEX(VendorList[Phase / Subproject 2],MATCH(CostTrack[[#This Row],[Vendor - Contract]],VendorList[Vendor / Org. with Contract ID],0)))</f>
        <v>--</v>
      </c>
      <c r="V92" s="243" t="str">
        <f ca="1">IF(CostTrack[[#This Row],[Vendor - Contract]]="","",INDEX(VendorList[Funding Source],MATCH(CostTrack[[#This Row],[Vendor - Contract]],VendorList[Vendor / Org. with Contract ID],0)))</f>
        <v>P-002360</v>
      </c>
      <c r="W92" s="260">
        <v>43626</v>
      </c>
      <c r="X92" s="251" t="str">
        <f ca="1">IF(CostTrack[[#This Row],[Release Date (CMS)]]="","*","")</f>
        <v/>
      </c>
      <c r="Y92" s="267" t="s">
        <v>40</v>
      </c>
      <c r="Z92" s="271"/>
      <c r="AA92" s="245">
        <f ca="1">IF(OR(CostTrack[[#This Row],[Release Date (CMS)]]&gt;=DATE(VALUE(REPLACE(CostTrack[[#This Row],[Fiscal Period]],3,3,"")),3,1),CostTrack[[#This Row],[Release Date (CMS)]]&lt;DATE(VALUE(LEFT(CostTrack[[#This Row],[Fiscal Period]],4)),4,1)),1,0)</f>
        <v>0</v>
      </c>
      <c r="AB92" s="294">
        <v>226.5</v>
      </c>
      <c r="AC92" s="260">
        <v>44224</v>
      </c>
      <c r="AD92" s="402" t="str">
        <f ca="1">IF(CostTrack[[#This Row],[Reconciled Amount]]="","",IF(CostTrack[[#This Row],[Value]]&lt;&gt;CostTrack[[#This Row],[Reconciled Amount]],"Yes","No"))</f>
        <v>No</v>
      </c>
    </row>
    <row r="93" spans="1:30">
      <c r="B93" s="400" t="s">
        <v>573</v>
      </c>
      <c r="C93" s="258">
        <v>168</v>
      </c>
      <c r="D93" s="260">
        <v>43618</v>
      </c>
      <c r="E93" s="282">
        <v>1980</v>
      </c>
      <c r="F93" s="265" t="s">
        <v>69</v>
      </c>
      <c r="G93" s="406">
        <f ca="1">ROUND(IF(CostTrack[[#This Row],[Holdback (Y/N/R)]]="Yes",CostTrack[[#This Row],[Value]]*-0.1,IF(CostTrack[[#This Row],[Holdback (Y/N/R)]]="Release",CostTrack[[#This Row],[Value]],0)),2)</f>
        <v>0</v>
      </c>
      <c r="H93" s="407">
        <f ca="1">IF(CostTrack[[#This Row],[Holdback (Y/N/R)]]="Release",CostTrack[[#This Row],[Value]],CostTrack[[#This Row],[Value]]+CostTrack[[#This Row],[Holdback Value]])</f>
        <v>1980</v>
      </c>
      <c r="I93" s="258"/>
      <c r="J93" s="258"/>
      <c r="K93" s="275">
        <v>43586</v>
      </c>
      <c r="L93" s="260">
        <v>43622</v>
      </c>
      <c r="M93" s="260"/>
      <c r="N93" s="258"/>
      <c r="O93" s="260" t="s">
        <v>106</v>
      </c>
      <c r="P93" s="260">
        <v>43626</v>
      </c>
      <c r="Q93" s="243" t="str">
        <f ca="1">IF(CostTrack[[#This Row],[Vendor - Contract]]="","",INDEX(VendorList[PA ID],MATCH(CostTrack[[#This Row],[Vendor - Contract]],VendorList[Vendor / Org. with Contract ID],0)))</f>
        <v>200.050.F1</v>
      </c>
      <c r="R93" s="243" t="str">
        <f ca="1">IF(CostTrack[[#This Row],[Vendor - Contract]]="","",INDEX(VendorList[Primary Category],MATCH(CostTrack[[#This Row],[Vendor - Contract]],VendorList[Vendor / Org. with Contract ID],0)))</f>
        <v>Professional Services</v>
      </c>
      <c r="S93" s="243" t="str">
        <f ca="1">IF(CostTrack[[#This Row],[Vendor - Contract]]="","",INDEX(VendorList[Secondary Category],MATCH(CostTrack[[#This Row],[Vendor - Contract]],VendorList[Vendor / Org. with Contract ID],0)))</f>
        <v>Other Professional Services</v>
      </c>
      <c r="T93" s="243" t="str">
        <f ca="1">IF(CostTrack[[#This Row],[Vendor - Contract]]="","",INDEX(VendorList[Phase / Subproject],MATCH(CostTrack[[#This Row],[Vendor - Contract]],VendorList[Vendor / Org. with Contract ID],0)))</f>
        <v>--</v>
      </c>
      <c r="U93" s="243" t="str">
        <f ca="1">IF(CostTrack[[#This Row],[Vendor - Contract]]="","",INDEX(VendorList[Phase / Subproject 2],MATCH(CostTrack[[#This Row],[Vendor - Contract]],VendorList[Vendor / Org. with Contract ID],0)))</f>
        <v>--</v>
      </c>
      <c r="V93" s="243" t="str">
        <f ca="1">IF(CostTrack[[#This Row],[Vendor - Contract]]="","",INDEX(VendorList[Funding Source],MATCH(CostTrack[[#This Row],[Vendor - Contract]],VendorList[Vendor / Org. with Contract ID],0)))</f>
        <v>P-002360</v>
      </c>
      <c r="W93" s="260">
        <v>43626</v>
      </c>
      <c r="X93" s="251" t="str">
        <f ca="1">IF(CostTrack[[#This Row],[Release Date (CMS)]]="","*","")</f>
        <v/>
      </c>
      <c r="Y93" s="267" t="s">
        <v>40</v>
      </c>
      <c r="Z93" s="271"/>
      <c r="AA93" s="245">
        <f ca="1">IF(OR(CostTrack[[#This Row],[Release Date (CMS)]]&gt;=DATE(VALUE(REPLACE(CostTrack[[#This Row],[Fiscal Period]],3,3,"")),3,1),CostTrack[[#This Row],[Release Date (CMS)]]&lt;DATE(VALUE(LEFT(CostTrack[[#This Row],[Fiscal Period]],4)),4,1)),1,0)</f>
        <v>0</v>
      </c>
      <c r="AB93" s="294">
        <v>1980</v>
      </c>
      <c r="AC93" s="260">
        <v>44225</v>
      </c>
      <c r="AD93" s="402" t="str">
        <f ca="1">IF(CostTrack[[#This Row],[Reconciled Amount]]="","",IF(CostTrack[[#This Row],[Value]]&lt;&gt;CostTrack[[#This Row],[Reconciled Amount]],"Yes","No"))</f>
        <v>No</v>
      </c>
    </row>
    <row r="94" spans="1:30">
      <c r="B94" s="400" t="s">
        <v>527</v>
      </c>
      <c r="C94" s="258" t="s">
        <v>862</v>
      </c>
      <c r="D94" s="260">
        <v>43616</v>
      </c>
      <c r="E94" s="282">
        <v>312805.24</v>
      </c>
      <c r="F94" s="265" t="s">
        <v>69</v>
      </c>
      <c r="G94" s="406">
        <f ca="1">ROUND(IF(CostTrack[[#This Row],[Holdback (Y/N/R)]]="Yes",CostTrack[[#This Row],[Value]]*-0.1,IF(CostTrack[[#This Row],[Holdback (Y/N/R)]]="Release",CostTrack[[#This Row],[Value]],0)),2)</f>
        <v>0</v>
      </c>
      <c r="H94" s="407">
        <f ca="1">IF(CostTrack[[#This Row],[Holdback (Y/N/R)]]="Release",CostTrack[[#This Row],[Value]],CostTrack[[#This Row],[Value]]+CostTrack[[#This Row],[Holdback Value]])</f>
        <v>312805.24</v>
      </c>
      <c r="I94" s="258"/>
      <c r="J94" s="258"/>
      <c r="K94" s="275">
        <v>43586</v>
      </c>
      <c r="L94" s="260">
        <v>43626</v>
      </c>
      <c r="M94" s="260"/>
      <c r="N94" s="258"/>
      <c r="O94" s="260" t="s">
        <v>106</v>
      </c>
      <c r="P94" s="260">
        <v>43626</v>
      </c>
      <c r="Q94" s="243" t="str">
        <f ca="1">IF(CostTrack[[#This Row],[Vendor - Contract]]="","",INDEX(VendorList[PA ID],MATCH(CostTrack[[#This Row],[Vendor - Contract]],VendorList[Vendor / Org. with Contract ID],0)))</f>
        <v>200.010.F1</v>
      </c>
      <c r="R94" s="243" t="str">
        <f ca="1">IF(CostTrack[[#This Row],[Vendor - Contract]]="","",INDEX(VendorList[Primary Category],MATCH(CostTrack[[#This Row],[Vendor - Contract]],VendorList[Vendor / Org. with Contract ID],0)))</f>
        <v>Professional Services</v>
      </c>
      <c r="S94" s="243" t="str">
        <f ca="1">IF(CostTrack[[#This Row],[Vendor - Contract]]="","",INDEX(VendorList[Secondary Category],MATCH(CostTrack[[#This Row],[Vendor - Contract]],VendorList[Vendor / Org. with Contract ID],0)))</f>
        <v>Prime Consultant</v>
      </c>
      <c r="T94" s="243" t="str">
        <f ca="1">IF(CostTrack[[#This Row],[Vendor - Contract]]="","",INDEX(VendorList[Phase / Subproject],MATCH(CostTrack[[#This Row],[Vendor - Contract]],VendorList[Vendor / Org. with Contract ID],0)))</f>
        <v>--</v>
      </c>
      <c r="U94" s="243" t="str">
        <f ca="1">IF(CostTrack[[#This Row],[Vendor - Contract]]="","",INDEX(VendorList[Phase / Subproject 2],MATCH(CostTrack[[#This Row],[Vendor - Contract]],VendorList[Vendor / Org. with Contract ID],0)))</f>
        <v>--</v>
      </c>
      <c r="V94" s="243" t="str">
        <f ca="1">IF(CostTrack[[#This Row],[Vendor - Contract]]="","",INDEX(VendorList[Funding Source],MATCH(CostTrack[[#This Row],[Vendor - Contract]],VendorList[Vendor / Org. with Contract ID],0)))</f>
        <v>P-002360</v>
      </c>
      <c r="W94" s="260">
        <v>43626</v>
      </c>
      <c r="X94" s="251" t="str">
        <f ca="1">IF(CostTrack[[#This Row],[Release Date (CMS)]]="","*","")</f>
        <v/>
      </c>
      <c r="Y94" s="267" t="s">
        <v>40</v>
      </c>
      <c r="Z94" s="271"/>
      <c r="AA94" s="245">
        <f ca="1">IF(OR(CostTrack[[#This Row],[Release Date (CMS)]]&gt;=DATE(VALUE(REPLACE(CostTrack[[#This Row],[Fiscal Period]],3,3,"")),3,1),CostTrack[[#This Row],[Release Date (CMS)]]&lt;DATE(VALUE(LEFT(CostTrack[[#This Row],[Fiscal Period]],4)),4,1)),1,0)</f>
        <v>0</v>
      </c>
      <c r="AB94" s="294">
        <v>312805.24</v>
      </c>
      <c r="AC94" s="260">
        <v>44224</v>
      </c>
      <c r="AD94" s="402" t="str">
        <f ca="1">IF(CostTrack[[#This Row],[Reconciled Amount]]="","",IF(CostTrack[[#This Row],[Value]]&lt;&gt;CostTrack[[#This Row],[Reconciled Amount]],"Yes","No"))</f>
        <v>No</v>
      </c>
    </row>
    <row r="95" spans="1:30">
      <c r="B95" s="400" t="s">
        <v>736</v>
      </c>
      <c r="C95" s="258">
        <v>43586</v>
      </c>
      <c r="D95" s="260">
        <v>43616</v>
      </c>
      <c r="E95" s="282">
        <v>34062.6</v>
      </c>
      <c r="F95" s="265" t="s">
        <v>69</v>
      </c>
      <c r="G95" s="406">
        <f ca="1">ROUND(IF(CostTrack[[#This Row],[Holdback (Y/N/R)]]="Yes",CostTrack[[#This Row],[Value]]*-0.1,IF(CostTrack[[#This Row],[Holdback (Y/N/R)]]="Release",CostTrack[[#This Row],[Value]],0)),2)</f>
        <v>0</v>
      </c>
      <c r="H95" s="407">
        <f ca="1">IF(CostTrack[[#This Row],[Holdback (Y/N/R)]]="Release",CostTrack[[#This Row],[Value]],CostTrack[[#This Row],[Value]]+CostTrack[[#This Row],[Holdback Value]])</f>
        <v>34062.6</v>
      </c>
      <c r="I95" s="258"/>
      <c r="J95" s="258"/>
      <c r="K95" s="275">
        <v>43586</v>
      </c>
      <c r="L95" s="260">
        <v>43616</v>
      </c>
      <c r="M95" s="260"/>
      <c r="N95" s="258"/>
      <c r="O95" s="260" t="s">
        <v>106</v>
      </c>
      <c r="P95" s="260">
        <v>43616</v>
      </c>
      <c r="Q95" s="243" t="str">
        <f ca="1">IF(CostTrack[[#This Row],[Vendor - Contract]]="","",INDEX(VendorList[PA ID],MATCH(CostTrack[[#This Row],[Vendor - Contract]],VendorList[Vendor / Org. with Contract ID],0)))</f>
        <v>100.010.F1</v>
      </c>
      <c r="R95" s="243" t="str">
        <f ca="1">IF(CostTrack[[#This Row],[Vendor - Contract]]="","",INDEX(VendorList[Primary Category],MATCH(CostTrack[[#This Row],[Vendor - Contract]],VendorList[Vendor / Org. with Contract ID],0)))</f>
        <v>Administration</v>
      </c>
      <c r="S95" s="243" t="str">
        <f ca="1">IF(CostTrack[[#This Row],[Vendor - Contract]]="","",INDEX(VendorList[Secondary Category],MATCH(CostTrack[[#This Row],[Vendor - Contract]],VendorList[Vendor / Org. with Contract ID],0)))</f>
        <v>Staff Capitalization - INFRA</v>
      </c>
      <c r="T95" s="243" t="str">
        <f ca="1">IF(CostTrack[[#This Row],[Vendor - Contract]]="","",INDEX(VendorList[Phase / Subproject],MATCH(CostTrack[[#This Row],[Vendor - Contract]],VendorList[Vendor / Org. with Contract ID],0)))</f>
        <v>--</v>
      </c>
      <c r="U95" s="243" t="str">
        <f ca="1">IF(CostTrack[[#This Row],[Vendor - Contract]]="","",INDEX(VendorList[Phase / Subproject 2],MATCH(CostTrack[[#This Row],[Vendor - Contract]],VendorList[Vendor / Org. with Contract ID],0)))</f>
        <v>--</v>
      </c>
      <c r="V95" s="243" t="str">
        <f ca="1">IF(CostTrack[[#This Row],[Vendor - Contract]]="","",INDEX(VendorList[Funding Source],MATCH(CostTrack[[#This Row],[Vendor - Contract]],VendorList[Vendor / Org. with Contract ID],0)))</f>
        <v>P-002360</v>
      </c>
      <c r="W95" s="260">
        <v>43626</v>
      </c>
      <c r="X95" s="251" t="str">
        <f ca="1">IF(CostTrack[[#This Row],[Release Date (CMS)]]="","*","")</f>
        <v/>
      </c>
      <c r="Y95" s="267" t="s">
        <v>40</v>
      </c>
      <c r="Z95" s="271"/>
      <c r="AA95" s="245">
        <f ca="1">IF(OR(CostTrack[[#This Row],[Release Date (CMS)]]&gt;=DATE(VALUE(REPLACE(CostTrack[[#This Row],[Fiscal Period]],3,3,"")),3,1),CostTrack[[#This Row],[Release Date (CMS)]]&lt;DATE(VALUE(LEFT(CostTrack[[#This Row],[Fiscal Period]],4)),4,1)),1,0)</f>
        <v>0</v>
      </c>
      <c r="AB95" s="294">
        <v>34062.6</v>
      </c>
      <c r="AC95" s="260">
        <v>44224</v>
      </c>
      <c r="AD95" s="402" t="str">
        <f ca="1">IF(CostTrack[[#This Row],[Reconciled Amount]]="","",IF(CostTrack[[#This Row],[Value]]&lt;&gt;CostTrack[[#This Row],[Reconciled Amount]],"Yes","No"))</f>
        <v>No</v>
      </c>
    </row>
    <row r="96" spans="1:30">
      <c r="B96" s="400" t="s">
        <v>736</v>
      </c>
      <c r="C96" s="258">
        <v>43617</v>
      </c>
      <c r="D96" s="260">
        <v>43646</v>
      </c>
      <c r="E96" s="282">
        <v>29559.1</v>
      </c>
      <c r="F96" s="265" t="s">
        <v>69</v>
      </c>
      <c r="G96" s="406">
        <f ca="1">ROUND(IF(CostTrack[[#This Row],[Holdback (Y/N/R)]]="Yes",CostTrack[[#This Row],[Value]]*-0.1,IF(CostTrack[[#This Row],[Holdback (Y/N/R)]]="Release",CostTrack[[#This Row],[Value]],0)),2)</f>
        <v>0</v>
      </c>
      <c r="H96" s="407">
        <f ca="1">IF(CostTrack[[#This Row],[Holdback (Y/N/R)]]="Release",CostTrack[[#This Row],[Value]],CostTrack[[#This Row],[Value]]+CostTrack[[#This Row],[Holdback Value]])</f>
        <v>29559.1</v>
      </c>
      <c r="I96" s="258"/>
      <c r="J96" s="258"/>
      <c r="K96" s="275">
        <v>43617</v>
      </c>
      <c r="L96" s="260">
        <v>43646</v>
      </c>
      <c r="M96" s="260"/>
      <c r="N96" s="258"/>
      <c r="O96" s="260" t="s">
        <v>106</v>
      </c>
      <c r="P96" s="260">
        <v>43646</v>
      </c>
      <c r="Q96" s="243" t="str">
        <f ca="1">IF(CostTrack[[#This Row],[Vendor - Contract]]="","",INDEX(VendorList[PA ID],MATCH(CostTrack[[#This Row],[Vendor - Contract]],VendorList[Vendor / Org. with Contract ID],0)))</f>
        <v>100.010.F1</v>
      </c>
      <c r="R96" s="243" t="str">
        <f ca="1">IF(CostTrack[[#This Row],[Vendor - Contract]]="","",INDEX(VendorList[Primary Category],MATCH(CostTrack[[#This Row],[Vendor - Contract]],VendorList[Vendor / Org. with Contract ID],0)))</f>
        <v>Administration</v>
      </c>
      <c r="S96" s="243" t="str">
        <f ca="1">IF(CostTrack[[#This Row],[Vendor - Contract]]="","",INDEX(VendorList[Secondary Category],MATCH(CostTrack[[#This Row],[Vendor - Contract]],VendorList[Vendor / Org. with Contract ID],0)))</f>
        <v>Staff Capitalization - INFRA</v>
      </c>
      <c r="T96" s="243" t="str">
        <f ca="1">IF(CostTrack[[#This Row],[Vendor - Contract]]="","",INDEX(VendorList[Phase / Subproject],MATCH(CostTrack[[#This Row],[Vendor - Contract]],VendorList[Vendor / Org. with Contract ID],0)))</f>
        <v>--</v>
      </c>
      <c r="U96" s="243" t="str">
        <f ca="1">IF(CostTrack[[#This Row],[Vendor - Contract]]="","",INDEX(VendorList[Phase / Subproject 2],MATCH(CostTrack[[#This Row],[Vendor - Contract]],VendorList[Vendor / Org. with Contract ID],0)))</f>
        <v>--</v>
      </c>
      <c r="V96" s="243" t="str">
        <f ca="1">IF(CostTrack[[#This Row],[Vendor - Contract]]="","",INDEX(VendorList[Funding Source],MATCH(CostTrack[[#This Row],[Vendor - Contract]],VendorList[Vendor / Org. with Contract ID],0)))</f>
        <v>P-002360</v>
      </c>
      <c r="W96" s="260">
        <v>43646</v>
      </c>
      <c r="X96" s="251" t="str">
        <f ca="1">IF(CostTrack[[#This Row],[Release Date (CMS)]]="","*","")</f>
        <v/>
      </c>
      <c r="Y96" s="267" t="s">
        <v>40</v>
      </c>
      <c r="Z96" s="271"/>
      <c r="AA96" s="245">
        <f ca="1">IF(OR(CostTrack[[#This Row],[Release Date (CMS)]]&gt;=DATE(VALUE(REPLACE(CostTrack[[#This Row],[Fiscal Period]],3,3,"")),3,1),CostTrack[[#This Row],[Release Date (CMS)]]&lt;DATE(VALUE(LEFT(CostTrack[[#This Row],[Fiscal Period]],4)),4,1)),1,0)</f>
        <v>0</v>
      </c>
      <c r="AB96" s="294">
        <v>29559.1</v>
      </c>
      <c r="AC96" s="260">
        <v>44224</v>
      </c>
      <c r="AD96" s="402" t="str">
        <f ca="1">IF(CostTrack[[#This Row],[Reconciled Amount]]="","",IF(CostTrack[[#This Row],[Value]]&lt;&gt;CostTrack[[#This Row],[Reconciled Amount]],"Yes","No"))</f>
        <v>No</v>
      </c>
    </row>
    <row r="97" spans="2:30">
      <c r="B97" s="400" t="s">
        <v>527</v>
      </c>
      <c r="C97" s="258" t="s">
        <v>863</v>
      </c>
      <c r="D97" s="260">
        <v>43646</v>
      </c>
      <c r="E97" s="282">
        <v>311410.17</v>
      </c>
      <c r="F97" s="265" t="s">
        <v>69</v>
      </c>
      <c r="G97" s="406">
        <f ca="1">ROUND(IF(CostTrack[[#This Row],[Holdback (Y/N/R)]]="Yes",CostTrack[[#This Row],[Value]]*-0.1,IF(CostTrack[[#This Row],[Holdback (Y/N/R)]]="Release",CostTrack[[#This Row],[Value]],0)),2)</f>
        <v>0</v>
      </c>
      <c r="H97" s="407">
        <f ca="1">IF(CostTrack[[#This Row],[Holdback (Y/N/R)]]="Release",CostTrack[[#This Row],[Value]],CostTrack[[#This Row],[Value]]+CostTrack[[#This Row],[Holdback Value]])</f>
        <v>311410.17</v>
      </c>
      <c r="I97" s="258"/>
      <c r="J97" s="258"/>
      <c r="K97" s="275">
        <v>43617</v>
      </c>
      <c r="L97" s="260">
        <v>43654</v>
      </c>
      <c r="M97" s="260"/>
      <c r="N97" s="258"/>
      <c r="O97" s="260" t="s">
        <v>106</v>
      </c>
      <c r="P97" s="260">
        <v>43655</v>
      </c>
      <c r="Q97" s="243" t="str">
        <f ca="1">IF(CostTrack[[#This Row],[Vendor - Contract]]="","",INDEX(VendorList[PA ID],MATCH(CostTrack[[#This Row],[Vendor - Contract]],VendorList[Vendor / Org. with Contract ID],0)))</f>
        <v>200.010.F1</v>
      </c>
      <c r="R97" s="243" t="str">
        <f ca="1">IF(CostTrack[[#This Row],[Vendor - Contract]]="","",INDEX(VendorList[Primary Category],MATCH(CostTrack[[#This Row],[Vendor - Contract]],VendorList[Vendor / Org. with Contract ID],0)))</f>
        <v>Professional Services</v>
      </c>
      <c r="S97" s="243" t="str">
        <f ca="1">IF(CostTrack[[#This Row],[Vendor - Contract]]="","",INDEX(VendorList[Secondary Category],MATCH(CostTrack[[#This Row],[Vendor - Contract]],VendorList[Vendor / Org. with Contract ID],0)))</f>
        <v>Prime Consultant</v>
      </c>
      <c r="T97" s="243" t="str">
        <f ca="1">IF(CostTrack[[#This Row],[Vendor - Contract]]="","",INDEX(VendorList[Phase / Subproject],MATCH(CostTrack[[#This Row],[Vendor - Contract]],VendorList[Vendor / Org. with Contract ID],0)))</f>
        <v>--</v>
      </c>
      <c r="U97" s="243" t="str">
        <f ca="1">IF(CostTrack[[#This Row],[Vendor - Contract]]="","",INDEX(VendorList[Phase / Subproject 2],MATCH(CostTrack[[#This Row],[Vendor - Contract]],VendorList[Vendor / Org. with Contract ID],0)))</f>
        <v>--</v>
      </c>
      <c r="V97" s="243" t="str">
        <f ca="1">IF(CostTrack[[#This Row],[Vendor - Contract]]="","",INDEX(VendorList[Funding Source],MATCH(CostTrack[[#This Row],[Vendor - Contract]],VendorList[Vendor / Org. with Contract ID],0)))</f>
        <v>P-002360</v>
      </c>
      <c r="W97" s="260">
        <v>43655</v>
      </c>
      <c r="X97" s="251" t="str">
        <f ca="1">IF(CostTrack[[#This Row],[Release Date (CMS)]]="","*","")</f>
        <v/>
      </c>
      <c r="Y97" s="267" t="s">
        <v>40</v>
      </c>
      <c r="Z97" s="271"/>
      <c r="AA97" s="245">
        <f ca="1">IF(OR(CostTrack[[#This Row],[Release Date (CMS)]]&gt;=DATE(VALUE(REPLACE(CostTrack[[#This Row],[Fiscal Period]],3,3,"")),3,1),CostTrack[[#This Row],[Release Date (CMS)]]&lt;DATE(VALUE(LEFT(CostTrack[[#This Row],[Fiscal Period]],4)),4,1)),1,0)</f>
        <v>0</v>
      </c>
      <c r="AB97" s="294">
        <v>311410.17</v>
      </c>
      <c r="AC97" s="260">
        <v>44224</v>
      </c>
      <c r="AD97" s="402" t="str">
        <f ca="1">IF(CostTrack[[#This Row],[Reconciled Amount]]="","",IF(CostTrack[[#This Row],[Value]]&lt;&gt;CostTrack[[#This Row],[Reconciled Amount]],"Yes","No"))</f>
        <v>No</v>
      </c>
    </row>
    <row r="98" spans="2:30">
      <c r="B98" s="400" t="s">
        <v>569</v>
      </c>
      <c r="C98" s="258">
        <v>8027</v>
      </c>
      <c r="D98" s="260">
        <v>43616</v>
      </c>
      <c r="E98" s="282">
        <v>53248.38</v>
      </c>
      <c r="F98" s="265" t="s">
        <v>65</v>
      </c>
      <c r="G98" s="406">
        <f ca="1">ROUND(IF(CostTrack[[#This Row],[Holdback (Y/N/R)]]="Yes",CostTrack[[#This Row],[Value]]*-0.1,IF(CostTrack[[#This Row],[Holdback (Y/N/R)]]="Release",CostTrack[[#This Row],[Value]],0)),2)</f>
        <v>-5324.84</v>
      </c>
      <c r="H98" s="407">
        <f ca="1">IF(CostTrack[[#This Row],[Holdback (Y/N/R)]]="Release",CostTrack[[#This Row],[Value]],CostTrack[[#This Row],[Value]]+CostTrack[[#This Row],[Holdback Value]])</f>
        <v>47923.539999999994</v>
      </c>
      <c r="I98" s="258"/>
      <c r="J98" s="258"/>
      <c r="K98" s="275">
        <v>43586</v>
      </c>
      <c r="L98" s="260">
        <v>43641</v>
      </c>
      <c r="M98" s="260"/>
      <c r="N98" s="258"/>
      <c r="O98" s="260" t="s">
        <v>106</v>
      </c>
      <c r="P98" s="260">
        <v>43655</v>
      </c>
      <c r="Q98" s="243" t="str">
        <f ca="1">IF(CostTrack[[#This Row],[Vendor - Contract]]="","",INDEX(VendorList[PA ID],MATCH(CostTrack[[#This Row],[Vendor - Contract]],VendorList[Vendor / Org. with Contract ID],0)))</f>
        <v>300.100.F1</v>
      </c>
      <c r="R98" s="243" t="str">
        <f ca="1">IF(CostTrack[[#This Row],[Vendor - Contract]]="","",INDEX(VendorList[Primary Category],MATCH(CostTrack[[#This Row],[Vendor - Contract]],VendorList[Vendor / Org. with Contract ID],0)))</f>
        <v>Construction</v>
      </c>
      <c r="S98" s="243" t="str">
        <f ca="1">IF(CostTrack[[#This Row],[Vendor - Contract]]="","",INDEX(VendorList[Secondary Category],MATCH(CostTrack[[#This Row],[Vendor - Contract]],VendorList[Vendor / Org. with Contract ID],0)))</f>
        <v>Demolition</v>
      </c>
      <c r="T98" s="243" t="str">
        <f ca="1">IF(CostTrack[[#This Row],[Vendor - Contract]]="","",INDEX(VendorList[Phase / Subproject],MATCH(CostTrack[[#This Row],[Vendor - Contract]],VendorList[Vendor / Org. with Contract ID],0)))</f>
        <v>--</v>
      </c>
      <c r="U98" s="243" t="str">
        <f ca="1">IF(CostTrack[[#This Row],[Vendor - Contract]]="","",INDEX(VendorList[Phase / Subproject 2],MATCH(CostTrack[[#This Row],[Vendor - Contract]],VendorList[Vendor / Org. with Contract ID],0)))</f>
        <v>--</v>
      </c>
      <c r="V98" s="243" t="str">
        <f ca="1">IF(CostTrack[[#This Row],[Vendor - Contract]]="","",INDEX(VendorList[Funding Source],MATCH(CostTrack[[#This Row],[Vendor - Contract]],VendorList[Vendor / Org. with Contract ID],0)))</f>
        <v>P-002360</v>
      </c>
      <c r="W98" s="260">
        <v>43655</v>
      </c>
      <c r="X98" s="251" t="str">
        <f ca="1">IF(CostTrack[[#This Row],[Release Date (CMS)]]="","*","")</f>
        <v/>
      </c>
      <c r="Y98" s="267" t="s">
        <v>40</v>
      </c>
      <c r="Z98" s="271"/>
      <c r="AA98" s="245">
        <f ca="1">IF(OR(CostTrack[[#This Row],[Release Date (CMS)]]&gt;=DATE(VALUE(REPLACE(CostTrack[[#This Row],[Fiscal Period]],3,3,"")),3,1),CostTrack[[#This Row],[Release Date (CMS)]]&lt;DATE(VALUE(LEFT(CostTrack[[#This Row],[Fiscal Period]],4)),4,1)),1,0)</f>
        <v>0</v>
      </c>
      <c r="AB98" s="294">
        <v>53248.38</v>
      </c>
      <c r="AC98" s="260">
        <v>44224</v>
      </c>
      <c r="AD98" s="402" t="str">
        <f ca="1">IF(CostTrack[[#This Row],[Reconciled Amount]]="","",IF(CostTrack[[#This Row],[Value]]&lt;&gt;CostTrack[[#This Row],[Reconciled Amount]],"Yes","No"))</f>
        <v>No</v>
      </c>
    </row>
    <row r="99" spans="2:30">
      <c r="B99" s="400" t="s">
        <v>731</v>
      </c>
      <c r="C99" s="258" t="s">
        <v>864</v>
      </c>
      <c r="D99" s="260">
        <v>43558</v>
      </c>
      <c r="E99" s="651">
        <v>180.83</v>
      </c>
      <c r="F99" s="265" t="s">
        <v>69</v>
      </c>
      <c r="G99" s="406">
        <f ca="1">ROUND(IF(CostTrack[[#This Row],[Holdback (Y/N/R)]]="Yes",CostTrack[[#This Row],[Value]]*-0.1,IF(CostTrack[[#This Row],[Holdback (Y/N/R)]]="Release",CostTrack[[#This Row],[Value]],0)),2)</f>
        <v>0</v>
      </c>
      <c r="H99" s="407">
        <f ca="1">IF(CostTrack[[#This Row],[Holdback (Y/N/R)]]="Release",CostTrack[[#This Row],[Value]],CostTrack[[#This Row],[Value]]+CostTrack[[#This Row],[Holdback Value]])</f>
        <v>180.83</v>
      </c>
      <c r="I99" s="258"/>
      <c r="J99" s="258"/>
      <c r="K99" s="275">
        <v>43556</v>
      </c>
      <c r="L99" s="260">
        <v>43558</v>
      </c>
      <c r="M99" s="260"/>
      <c r="N99" s="258"/>
      <c r="O99" s="260" t="s">
        <v>106</v>
      </c>
      <c r="P99" s="260" t="s">
        <v>268</v>
      </c>
      <c r="Q99" s="243" t="str">
        <f ca="1">IF(CostTrack[[#This Row],[Vendor - Contract]]="","",INDEX(VendorList[PA ID],MATCH(CostTrack[[#This Row],[Vendor - Contract]],VendorList[Vendor / Org. with Contract ID],0)))</f>
        <v>100.050.F1</v>
      </c>
      <c r="R99" s="243" t="str">
        <f ca="1">IF(CostTrack[[#This Row],[Vendor - Contract]]="","",INDEX(VendorList[Primary Category],MATCH(CostTrack[[#This Row],[Vendor - Contract]],VendorList[Vendor / Org. with Contract ID],0)))</f>
        <v>Administration</v>
      </c>
      <c r="S99" s="243" t="str">
        <f ca="1">IF(CostTrack[[#This Row],[Vendor - Contract]]="","",INDEX(VendorList[Secondary Category],MATCH(CostTrack[[#This Row],[Vendor - Contract]],VendorList[Vendor / Org. with Contract ID],0)))</f>
        <v>Other Administration</v>
      </c>
      <c r="T99" s="243" t="str">
        <f ca="1">IF(CostTrack[[#This Row],[Vendor - Contract]]="","",INDEX(VendorList[Phase / Subproject],MATCH(CostTrack[[#This Row],[Vendor - Contract]],VendorList[Vendor / Org. with Contract ID],0)))</f>
        <v>--</v>
      </c>
      <c r="U99" s="243" t="str">
        <f ca="1">IF(CostTrack[[#This Row],[Vendor - Contract]]="","",INDEX(VendorList[Phase / Subproject 2],MATCH(CostTrack[[#This Row],[Vendor - Contract]],VendorList[Vendor / Org. with Contract ID],0)))</f>
        <v>--</v>
      </c>
      <c r="V99" s="243" t="str">
        <f ca="1">IF(CostTrack[[#This Row],[Vendor - Contract]]="","",INDEX(VendorList[Funding Source],MATCH(CostTrack[[#This Row],[Vendor - Contract]],VendorList[Vendor / Org. with Contract ID],0)))</f>
        <v>P-002360</v>
      </c>
      <c r="W99" s="260">
        <v>43559</v>
      </c>
      <c r="X99" s="251" t="str">
        <f ca="1">IF(CostTrack[[#This Row],[Release Date (CMS)]]="","*","")</f>
        <v/>
      </c>
      <c r="Y99" s="267" t="s">
        <v>40</v>
      </c>
      <c r="Z99" s="271"/>
      <c r="AA99" s="245">
        <f ca="1">IF(OR(CostTrack[[#This Row],[Release Date (CMS)]]&gt;=DATE(VALUE(REPLACE(CostTrack[[#This Row],[Fiscal Period]],3,3,"")),3,1),CostTrack[[#This Row],[Release Date (CMS)]]&lt;DATE(VALUE(LEFT(CostTrack[[#This Row],[Fiscal Period]],4)),4,1)),1,0)</f>
        <v>0</v>
      </c>
      <c r="AB99" s="294">
        <v>180.83</v>
      </c>
      <c r="AC99" s="260">
        <v>44224</v>
      </c>
      <c r="AD99" s="402" t="str">
        <f ca="1">IF(CostTrack[[#This Row],[Reconciled Amount]]="","",IF(CostTrack[[#This Row],[Value]]&lt;&gt;CostTrack[[#This Row],[Reconciled Amount]],"Yes","No"))</f>
        <v>No</v>
      </c>
    </row>
    <row r="100" spans="2:30">
      <c r="B100" s="400" t="s">
        <v>731</v>
      </c>
      <c r="C100" s="258" t="s">
        <v>865</v>
      </c>
      <c r="D100" s="260">
        <v>43572</v>
      </c>
      <c r="E100" s="651">
        <v>326.83</v>
      </c>
      <c r="F100" s="265" t="s">
        <v>69</v>
      </c>
      <c r="G100" s="406">
        <f ca="1">ROUND(IF(CostTrack[[#This Row],[Holdback (Y/N/R)]]="Yes",CostTrack[[#This Row],[Value]]*-0.1,IF(CostTrack[[#This Row],[Holdback (Y/N/R)]]="Release",CostTrack[[#This Row],[Value]],0)),2)</f>
        <v>0</v>
      </c>
      <c r="H100" s="407">
        <f ca="1">IF(CostTrack[[#This Row],[Holdback (Y/N/R)]]="Release",CostTrack[[#This Row],[Value]],CostTrack[[#This Row],[Value]]+CostTrack[[#This Row],[Holdback Value]])</f>
        <v>326.83</v>
      </c>
      <c r="I100" s="258"/>
      <c r="J100" s="258"/>
      <c r="K100" s="275">
        <v>43556</v>
      </c>
      <c r="L100" s="260">
        <v>43572</v>
      </c>
      <c r="M100" s="260"/>
      <c r="N100" s="258"/>
      <c r="O100" s="260" t="s">
        <v>106</v>
      </c>
      <c r="P100" s="260" t="s">
        <v>268</v>
      </c>
      <c r="Q100" s="243" t="str">
        <f ca="1">IF(CostTrack[[#This Row],[Vendor - Contract]]="","",INDEX(VendorList[PA ID],MATCH(CostTrack[[#This Row],[Vendor - Contract]],VendorList[Vendor / Org. with Contract ID],0)))</f>
        <v>100.050.F1</v>
      </c>
      <c r="R100" s="243" t="str">
        <f ca="1">IF(CostTrack[[#This Row],[Vendor - Contract]]="","",INDEX(VendorList[Primary Category],MATCH(CostTrack[[#This Row],[Vendor - Contract]],VendorList[Vendor / Org. with Contract ID],0)))</f>
        <v>Administration</v>
      </c>
      <c r="S100" s="243" t="str">
        <f ca="1">IF(CostTrack[[#This Row],[Vendor - Contract]]="","",INDEX(VendorList[Secondary Category],MATCH(CostTrack[[#This Row],[Vendor - Contract]],VendorList[Vendor / Org. with Contract ID],0)))</f>
        <v>Other Administration</v>
      </c>
      <c r="T100" s="243" t="str">
        <f ca="1">IF(CostTrack[[#This Row],[Vendor - Contract]]="","",INDEX(VendorList[Phase / Subproject],MATCH(CostTrack[[#This Row],[Vendor - Contract]],VendorList[Vendor / Org. with Contract ID],0)))</f>
        <v>--</v>
      </c>
      <c r="U100" s="243" t="str">
        <f ca="1">IF(CostTrack[[#This Row],[Vendor - Contract]]="","",INDEX(VendorList[Phase / Subproject 2],MATCH(CostTrack[[#This Row],[Vendor - Contract]],VendorList[Vendor / Org. with Contract ID],0)))</f>
        <v>--</v>
      </c>
      <c r="V100" s="243" t="str">
        <f ca="1">IF(CostTrack[[#This Row],[Vendor - Contract]]="","",INDEX(VendorList[Funding Source],MATCH(CostTrack[[#This Row],[Vendor - Contract]],VendorList[Vendor / Org. with Contract ID],0)))</f>
        <v>P-002360</v>
      </c>
      <c r="W100" s="260">
        <v>43577</v>
      </c>
      <c r="X100" s="251" t="str">
        <f ca="1">IF(CostTrack[[#This Row],[Release Date (CMS)]]="","*","")</f>
        <v/>
      </c>
      <c r="Y100" s="267" t="s">
        <v>40</v>
      </c>
      <c r="Z100" s="271"/>
      <c r="AA100" s="245">
        <f ca="1">IF(OR(CostTrack[[#This Row],[Release Date (CMS)]]&gt;=DATE(VALUE(REPLACE(CostTrack[[#This Row],[Fiscal Period]],3,3,"")),3,1),CostTrack[[#This Row],[Release Date (CMS)]]&lt;DATE(VALUE(LEFT(CostTrack[[#This Row],[Fiscal Period]],4)),4,1)),1,0)</f>
        <v>0</v>
      </c>
      <c r="AB100" s="294">
        <v>326.83</v>
      </c>
      <c r="AC100" s="260">
        <v>44224</v>
      </c>
      <c r="AD100" s="402" t="str">
        <f ca="1">IF(CostTrack[[#This Row],[Reconciled Amount]]="","",IF(CostTrack[[#This Row],[Value]]&lt;&gt;CostTrack[[#This Row],[Reconciled Amount]],"Yes","No"))</f>
        <v>No</v>
      </c>
    </row>
    <row r="101" spans="2:30">
      <c r="B101" s="400" t="s">
        <v>731</v>
      </c>
      <c r="C101" s="258" t="s">
        <v>866</v>
      </c>
      <c r="D101" s="260">
        <v>43608</v>
      </c>
      <c r="E101" s="651">
        <v>158.97</v>
      </c>
      <c r="F101" s="265" t="s">
        <v>69</v>
      </c>
      <c r="G101" s="406">
        <f ca="1">ROUND(IF(CostTrack[[#This Row],[Holdback (Y/N/R)]]="Yes",CostTrack[[#This Row],[Value]]*-0.1,IF(CostTrack[[#This Row],[Holdback (Y/N/R)]]="Release",CostTrack[[#This Row],[Value]],0)),2)</f>
        <v>0</v>
      </c>
      <c r="H101" s="407">
        <f ca="1">IF(CostTrack[[#This Row],[Holdback (Y/N/R)]]="Release",CostTrack[[#This Row],[Value]],CostTrack[[#This Row],[Value]]+CostTrack[[#This Row],[Holdback Value]])</f>
        <v>158.97</v>
      </c>
      <c r="I101" s="258"/>
      <c r="J101" s="258"/>
      <c r="K101" s="275">
        <v>43586</v>
      </c>
      <c r="L101" s="260">
        <v>43578</v>
      </c>
      <c r="M101" s="260"/>
      <c r="N101" s="258"/>
      <c r="O101" s="260" t="s">
        <v>106</v>
      </c>
      <c r="P101" s="260" t="s">
        <v>268</v>
      </c>
      <c r="Q101" s="243" t="str">
        <f ca="1">IF(CostTrack[[#This Row],[Vendor - Contract]]="","",INDEX(VendorList[PA ID],MATCH(CostTrack[[#This Row],[Vendor - Contract]],VendorList[Vendor / Org. with Contract ID],0)))</f>
        <v>100.050.F1</v>
      </c>
      <c r="R101" s="243" t="str">
        <f ca="1">IF(CostTrack[[#This Row],[Vendor - Contract]]="","",INDEX(VendorList[Primary Category],MATCH(CostTrack[[#This Row],[Vendor - Contract]],VendorList[Vendor / Org. with Contract ID],0)))</f>
        <v>Administration</v>
      </c>
      <c r="S101" s="243" t="str">
        <f ca="1">IF(CostTrack[[#This Row],[Vendor - Contract]]="","",INDEX(VendorList[Secondary Category],MATCH(CostTrack[[#This Row],[Vendor - Contract]],VendorList[Vendor / Org. with Contract ID],0)))</f>
        <v>Other Administration</v>
      </c>
      <c r="T101" s="243" t="str">
        <f ca="1">IF(CostTrack[[#This Row],[Vendor - Contract]]="","",INDEX(VendorList[Phase / Subproject],MATCH(CostTrack[[#This Row],[Vendor - Contract]],VendorList[Vendor / Org. with Contract ID],0)))</f>
        <v>--</v>
      </c>
      <c r="U101" s="243" t="str">
        <f ca="1">IF(CostTrack[[#This Row],[Vendor - Contract]]="","",INDEX(VendorList[Phase / Subproject 2],MATCH(CostTrack[[#This Row],[Vendor - Contract]],VendorList[Vendor / Org. with Contract ID],0)))</f>
        <v>--</v>
      </c>
      <c r="V101" s="243" t="str">
        <f ca="1">IF(CostTrack[[#This Row],[Vendor - Contract]]="","",INDEX(VendorList[Funding Source],MATCH(CostTrack[[#This Row],[Vendor - Contract]],VendorList[Vendor / Org. with Contract ID],0)))</f>
        <v>P-002360</v>
      </c>
      <c r="W101" s="260">
        <v>43609</v>
      </c>
      <c r="X101" s="251" t="str">
        <f ca="1">IF(CostTrack[[#This Row],[Release Date (CMS)]]="","*","")</f>
        <v/>
      </c>
      <c r="Y101" s="267" t="s">
        <v>40</v>
      </c>
      <c r="Z101" s="271"/>
      <c r="AA101" s="245">
        <f ca="1">IF(OR(CostTrack[[#This Row],[Release Date (CMS)]]&gt;=DATE(VALUE(REPLACE(CostTrack[[#This Row],[Fiscal Period]],3,3,"")),3,1),CostTrack[[#This Row],[Release Date (CMS)]]&lt;DATE(VALUE(LEFT(CostTrack[[#This Row],[Fiscal Period]],4)),4,1)),1,0)</f>
        <v>0</v>
      </c>
      <c r="AB101" s="294">
        <v>158.97</v>
      </c>
      <c r="AC101" s="260">
        <v>44224</v>
      </c>
      <c r="AD101" s="402" t="str">
        <f ca="1">IF(CostTrack[[#This Row],[Reconciled Amount]]="","",IF(CostTrack[[#This Row],[Value]]&lt;&gt;CostTrack[[#This Row],[Reconciled Amount]],"Yes","No"))</f>
        <v>No</v>
      </c>
    </row>
    <row r="102" spans="2:30">
      <c r="B102" s="400" t="s">
        <v>731</v>
      </c>
      <c r="C102" s="258" t="s">
        <v>867</v>
      </c>
      <c r="D102" s="260">
        <v>43622</v>
      </c>
      <c r="E102" s="651">
        <v>210.26</v>
      </c>
      <c r="F102" s="265" t="s">
        <v>69</v>
      </c>
      <c r="G102" s="406">
        <f ca="1">ROUND(IF(CostTrack[[#This Row],[Holdback (Y/N/R)]]="Yes",CostTrack[[#This Row],[Value]]*-0.1,IF(CostTrack[[#This Row],[Holdback (Y/N/R)]]="Release",CostTrack[[#This Row],[Value]],0)),2)</f>
        <v>0</v>
      </c>
      <c r="H102" s="407">
        <f ca="1">IF(CostTrack[[#This Row],[Holdback (Y/N/R)]]="Release",CostTrack[[#This Row],[Value]],CostTrack[[#This Row],[Value]]+CostTrack[[#This Row],[Holdback Value]])</f>
        <v>210.26</v>
      </c>
      <c r="I102" s="258"/>
      <c r="J102" s="258"/>
      <c r="K102" s="275">
        <v>43617</v>
      </c>
      <c r="L102" s="260">
        <v>43622</v>
      </c>
      <c r="M102" s="260"/>
      <c r="N102" s="258"/>
      <c r="O102" s="260" t="s">
        <v>106</v>
      </c>
      <c r="P102" s="260" t="s">
        <v>268</v>
      </c>
      <c r="Q102" s="243" t="str">
        <f ca="1">IF(CostTrack[[#This Row],[Vendor - Contract]]="","",INDEX(VendorList[PA ID],MATCH(CostTrack[[#This Row],[Vendor - Contract]],VendorList[Vendor / Org. with Contract ID],0)))</f>
        <v>100.050.F1</v>
      </c>
      <c r="R102" s="243" t="str">
        <f ca="1">IF(CostTrack[[#This Row],[Vendor - Contract]]="","",INDEX(VendorList[Primary Category],MATCH(CostTrack[[#This Row],[Vendor - Contract]],VendorList[Vendor / Org. with Contract ID],0)))</f>
        <v>Administration</v>
      </c>
      <c r="S102" s="243" t="str">
        <f ca="1">IF(CostTrack[[#This Row],[Vendor - Contract]]="","",INDEX(VendorList[Secondary Category],MATCH(CostTrack[[#This Row],[Vendor - Contract]],VendorList[Vendor / Org. with Contract ID],0)))</f>
        <v>Other Administration</v>
      </c>
      <c r="T102" s="243" t="str">
        <f ca="1">IF(CostTrack[[#This Row],[Vendor - Contract]]="","",INDEX(VendorList[Phase / Subproject],MATCH(CostTrack[[#This Row],[Vendor - Contract]],VendorList[Vendor / Org. with Contract ID],0)))</f>
        <v>--</v>
      </c>
      <c r="U102" s="243" t="str">
        <f ca="1">IF(CostTrack[[#This Row],[Vendor - Contract]]="","",INDEX(VendorList[Phase / Subproject 2],MATCH(CostTrack[[#This Row],[Vendor - Contract]],VendorList[Vendor / Org. with Contract ID],0)))</f>
        <v>--</v>
      </c>
      <c r="V102" s="243" t="str">
        <f ca="1">IF(CostTrack[[#This Row],[Vendor - Contract]]="","",INDEX(VendorList[Funding Source],MATCH(CostTrack[[#This Row],[Vendor - Contract]],VendorList[Vendor / Org. with Contract ID],0)))</f>
        <v>P-002360</v>
      </c>
      <c r="W102" s="260">
        <v>43626</v>
      </c>
      <c r="X102" s="251" t="str">
        <f ca="1">IF(CostTrack[[#This Row],[Release Date (CMS)]]="","*","")</f>
        <v/>
      </c>
      <c r="Y102" s="267" t="s">
        <v>40</v>
      </c>
      <c r="Z102" s="271"/>
      <c r="AA102" s="245">
        <f ca="1">IF(OR(CostTrack[[#This Row],[Release Date (CMS)]]&gt;=DATE(VALUE(REPLACE(CostTrack[[#This Row],[Fiscal Period]],3,3,"")),3,1),CostTrack[[#This Row],[Release Date (CMS)]]&lt;DATE(VALUE(LEFT(CostTrack[[#This Row],[Fiscal Period]],4)),4,1)),1,0)</f>
        <v>0</v>
      </c>
      <c r="AB102" s="294">
        <v>210.26</v>
      </c>
      <c r="AC102" s="260">
        <v>44224</v>
      </c>
      <c r="AD102" s="402" t="str">
        <f ca="1">IF(CostTrack[[#This Row],[Reconciled Amount]]="","",IF(CostTrack[[#This Row],[Value]]&lt;&gt;CostTrack[[#This Row],[Reconciled Amount]],"Yes","No"))</f>
        <v>No</v>
      </c>
    </row>
    <row r="103" spans="2:30" ht="69.95">
      <c r="B103" s="585" t="s">
        <v>601</v>
      </c>
      <c r="C103" s="586" t="s">
        <v>868</v>
      </c>
      <c r="D103" s="587">
        <v>43566</v>
      </c>
      <c r="E103" s="588">
        <v>150.88999999999999</v>
      </c>
      <c r="F103" s="265" t="s">
        <v>69</v>
      </c>
      <c r="G103" s="406">
        <f ca="1">ROUND(IF(CostTrack[[#This Row],[Holdback (Y/N/R)]]="Yes",CostTrack[[#This Row],[Value]]*-0.1,IF(CostTrack[[#This Row],[Holdback (Y/N/R)]]="Release",CostTrack[[#This Row],[Value]],0)),2)</f>
        <v>0</v>
      </c>
      <c r="H103" s="407">
        <f ca="1">IF(CostTrack[[#This Row],[Holdback (Y/N/R)]]="Release",CostTrack[[#This Row],[Value]],CostTrack[[#This Row],[Value]]+CostTrack[[#This Row],[Holdback Value]])</f>
        <v>150.88999999999999</v>
      </c>
      <c r="I103" s="258"/>
      <c r="J103" s="258"/>
      <c r="K103" s="275"/>
      <c r="L103" s="260"/>
      <c r="M103" s="260"/>
      <c r="N103" s="258"/>
      <c r="O103" s="260" t="s">
        <v>106</v>
      </c>
      <c r="P103" s="260" t="s">
        <v>268</v>
      </c>
      <c r="Q103" s="243" t="str">
        <f ca="1">IF(CostTrack[[#This Row],[Vendor - Contract]]="","",INDEX(VendorList[PA ID],MATCH(CostTrack[[#This Row],[Vendor - Contract]],VendorList[Vendor / Org. with Contract ID],0)))</f>
        <v>100.050.F1</v>
      </c>
      <c r="R103" s="243" t="str">
        <f ca="1">IF(CostTrack[[#This Row],[Vendor - Contract]]="","",INDEX(VendorList[Primary Category],MATCH(CostTrack[[#This Row],[Vendor - Contract]],VendorList[Vendor / Org. with Contract ID],0)))</f>
        <v>Administration</v>
      </c>
      <c r="S103" s="243" t="str">
        <f ca="1">IF(CostTrack[[#This Row],[Vendor - Contract]]="","",INDEX(VendorList[Secondary Category],MATCH(CostTrack[[#This Row],[Vendor - Contract]],VendorList[Vendor / Org. with Contract ID],0)))</f>
        <v>Other Administration</v>
      </c>
      <c r="T103" s="243" t="str">
        <f ca="1">IF(CostTrack[[#This Row],[Vendor - Contract]]="","",INDEX(VendorList[Phase / Subproject],MATCH(CostTrack[[#This Row],[Vendor - Contract]],VendorList[Vendor / Org. with Contract ID],0)))</f>
        <v>--</v>
      </c>
      <c r="U103" s="243" t="str">
        <f ca="1">IF(CostTrack[[#This Row],[Vendor - Contract]]="","",INDEX(VendorList[Phase / Subproject 2],MATCH(CostTrack[[#This Row],[Vendor - Contract]],VendorList[Vendor / Org. with Contract ID],0)))</f>
        <v>--</v>
      </c>
      <c r="V103" s="243" t="str">
        <f ca="1">IF(CostTrack[[#This Row],[Vendor - Contract]]="","",INDEX(VendorList[Funding Source],MATCH(CostTrack[[#This Row],[Vendor - Contract]],VendorList[Vendor / Org. with Contract ID],0)))</f>
        <v>P-002360</v>
      </c>
      <c r="W103" s="260">
        <v>43566</v>
      </c>
      <c r="X103" s="251" t="str">
        <f ca="1">IF(CostTrack[[#This Row],[Release Date (CMS)]]="","*","")</f>
        <v/>
      </c>
      <c r="Y103" s="267" t="s">
        <v>40</v>
      </c>
      <c r="Z103" s="271" t="s">
        <v>869</v>
      </c>
      <c r="AA103" s="245">
        <f ca="1">IF(OR(CostTrack[[#This Row],[Release Date (CMS)]]&gt;=DATE(VALUE(REPLACE(CostTrack[[#This Row],[Fiscal Period]],3,3,"")),3,1),CostTrack[[#This Row],[Release Date (CMS)]]&lt;DATE(VALUE(LEFT(CostTrack[[#This Row],[Fiscal Period]],4)),4,1)),1,0)</f>
        <v>0</v>
      </c>
      <c r="AB103" s="294">
        <v>150.88999999999999</v>
      </c>
      <c r="AC103" s="260">
        <v>44224</v>
      </c>
      <c r="AD103" s="402" t="str">
        <f ca="1">IF(CostTrack[[#This Row],[Reconciled Amount]]="","",IF(CostTrack[[#This Row],[Value]]&lt;&gt;CostTrack[[#This Row],[Reconciled Amount]],"Yes","No"))</f>
        <v>No</v>
      </c>
    </row>
    <row r="104" spans="2:30">
      <c r="B104" s="585" t="s">
        <v>601</v>
      </c>
      <c r="C104" s="586" t="s">
        <v>870</v>
      </c>
      <c r="D104" s="587">
        <v>43580</v>
      </c>
      <c r="E104" s="588">
        <v>197.8</v>
      </c>
      <c r="F104" s="265" t="s">
        <v>69</v>
      </c>
      <c r="G104" s="406">
        <f ca="1">ROUND(IF(CostTrack[[#This Row],[Holdback (Y/N/R)]]="Yes",CostTrack[[#This Row],[Value]]*-0.1,IF(CostTrack[[#This Row],[Holdback (Y/N/R)]]="Release",CostTrack[[#This Row],[Value]],0)),2)</f>
        <v>0</v>
      </c>
      <c r="H104" s="407">
        <f ca="1">IF(CostTrack[[#This Row],[Holdback (Y/N/R)]]="Release",CostTrack[[#This Row],[Value]],CostTrack[[#This Row],[Value]]+CostTrack[[#This Row],[Holdback Value]])</f>
        <v>197.8</v>
      </c>
      <c r="I104" s="258"/>
      <c r="J104" s="258"/>
      <c r="K104" s="275"/>
      <c r="L104" s="260"/>
      <c r="M104" s="260"/>
      <c r="N104" s="258"/>
      <c r="O104" s="260" t="s">
        <v>106</v>
      </c>
      <c r="P104" s="260" t="s">
        <v>268</v>
      </c>
      <c r="Q104" s="243" t="str">
        <f ca="1">IF(CostTrack[[#This Row],[Vendor - Contract]]="","",INDEX(VendorList[PA ID],MATCH(CostTrack[[#This Row],[Vendor - Contract]],VendorList[Vendor / Org. with Contract ID],0)))</f>
        <v>100.050.F1</v>
      </c>
      <c r="R104" s="243" t="str">
        <f ca="1">IF(CostTrack[[#This Row],[Vendor - Contract]]="","",INDEX(VendorList[Primary Category],MATCH(CostTrack[[#This Row],[Vendor - Contract]],VendorList[Vendor / Org. with Contract ID],0)))</f>
        <v>Administration</v>
      </c>
      <c r="S104" s="243" t="str">
        <f ca="1">IF(CostTrack[[#This Row],[Vendor - Contract]]="","",INDEX(VendorList[Secondary Category],MATCH(CostTrack[[#This Row],[Vendor - Contract]],VendorList[Vendor / Org. with Contract ID],0)))</f>
        <v>Other Administration</v>
      </c>
      <c r="T104" s="243" t="str">
        <f ca="1">IF(CostTrack[[#This Row],[Vendor - Contract]]="","",INDEX(VendorList[Phase / Subproject],MATCH(CostTrack[[#This Row],[Vendor - Contract]],VendorList[Vendor / Org. with Contract ID],0)))</f>
        <v>--</v>
      </c>
      <c r="U104" s="243" t="str">
        <f ca="1">IF(CostTrack[[#This Row],[Vendor - Contract]]="","",INDEX(VendorList[Phase / Subproject 2],MATCH(CostTrack[[#This Row],[Vendor - Contract]],VendorList[Vendor / Org. with Contract ID],0)))</f>
        <v>--</v>
      </c>
      <c r="V104" s="243" t="str">
        <f ca="1">IF(CostTrack[[#This Row],[Vendor - Contract]]="","",INDEX(VendorList[Funding Source],MATCH(CostTrack[[#This Row],[Vendor - Contract]],VendorList[Vendor / Org. with Contract ID],0)))</f>
        <v>P-002360</v>
      </c>
      <c r="W104" s="260">
        <v>43580</v>
      </c>
      <c r="X104" s="251" t="str">
        <f ca="1">IF(CostTrack[[#This Row],[Release Date (CMS)]]="","*","")</f>
        <v/>
      </c>
      <c r="Y104" s="267" t="s">
        <v>40</v>
      </c>
      <c r="Z104" s="271" t="s">
        <v>871</v>
      </c>
      <c r="AA104" s="245">
        <f ca="1">IF(OR(CostTrack[[#This Row],[Release Date (CMS)]]&gt;=DATE(VALUE(REPLACE(CostTrack[[#This Row],[Fiscal Period]],3,3,"")),3,1),CostTrack[[#This Row],[Release Date (CMS)]]&lt;DATE(VALUE(LEFT(CostTrack[[#This Row],[Fiscal Period]],4)),4,1)),1,0)</f>
        <v>0</v>
      </c>
      <c r="AB104" s="294">
        <v>197.8</v>
      </c>
      <c r="AC104" s="260">
        <v>44224</v>
      </c>
      <c r="AD104" s="402" t="str">
        <f ca="1">IF(CostTrack[[#This Row],[Reconciled Amount]]="","",IF(CostTrack[[#This Row],[Value]]&lt;&gt;CostTrack[[#This Row],[Reconciled Amount]],"Yes","No"))</f>
        <v>No</v>
      </c>
    </row>
    <row r="105" spans="2:30">
      <c r="B105" s="400" t="s">
        <v>754</v>
      </c>
      <c r="C105" s="258">
        <v>1837355</v>
      </c>
      <c r="D105" s="260">
        <v>43566</v>
      </c>
      <c r="E105" s="676">
        <v>503.71</v>
      </c>
      <c r="F105" s="265" t="s">
        <v>69</v>
      </c>
      <c r="G105" s="406">
        <f ca="1">ROUND(IF(CostTrack[[#This Row],[Holdback (Y/N/R)]]="Yes",CostTrack[[#This Row],[Value]]*-0.1,IF(CostTrack[[#This Row],[Holdback (Y/N/R)]]="Release",CostTrack[[#This Row],[Value]],0)),2)</f>
        <v>0</v>
      </c>
      <c r="H105" s="407">
        <f ca="1">IF(CostTrack[[#This Row],[Holdback (Y/N/R)]]="Release",CostTrack[[#This Row],[Value]],CostTrack[[#This Row],[Value]]+CostTrack[[#This Row],[Holdback Value]])</f>
        <v>503.71</v>
      </c>
      <c r="I105" s="258"/>
      <c r="J105" s="258"/>
      <c r="K105" s="275"/>
      <c r="L105" s="260"/>
      <c r="M105" s="260"/>
      <c r="N105" s="258"/>
      <c r="O105" s="260" t="s">
        <v>106</v>
      </c>
      <c r="P105" s="260" t="s">
        <v>268</v>
      </c>
      <c r="Q105" s="243" t="str">
        <f ca="1">IF(CostTrack[[#This Row],[Vendor - Contract]]="","",INDEX(VendorList[PA ID],MATCH(CostTrack[[#This Row],[Vendor - Contract]],VendorList[Vendor / Org. with Contract ID],0)))</f>
        <v>100.050.F1</v>
      </c>
      <c r="R105" s="243" t="str">
        <f ca="1">IF(CostTrack[[#This Row],[Vendor - Contract]]="","",INDEX(VendorList[Primary Category],MATCH(CostTrack[[#This Row],[Vendor - Contract]],VendorList[Vendor / Org. with Contract ID],0)))</f>
        <v>Administration</v>
      </c>
      <c r="S105" s="243" t="str">
        <f ca="1">IF(CostTrack[[#This Row],[Vendor - Contract]]="","",INDEX(VendorList[Secondary Category],MATCH(CostTrack[[#This Row],[Vendor - Contract]],VendorList[Vendor / Org. with Contract ID],0)))</f>
        <v>Other Administration</v>
      </c>
      <c r="T105" s="243" t="str">
        <f ca="1">IF(CostTrack[[#This Row],[Vendor - Contract]]="","",INDEX(VendorList[Phase / Subproject],MATCH(CostTrack[[#This Row],[Vendor - Contract]],VendorList[Vendor / Org. with Contract ID],0)))</f>
        <v>--</v>
      </c>
      <c r="U105" s="243" t="str">
        <f ca="1">IF(CostTrack[[#This Row],[Vendor - Contract]]="","",INDEX(VendorList[Phase / Subproject 2],MATCH(CostTrack[[#This Row],[Vendor - Contract]],VendorList[Vendor / Org. with Contract ID],0)))</f>
        <v>--</v>
      </c>
      <c r="V105" s="243" t="str">
        <f ca="1">IF(CostTrack[[#This Row],[Vendor - Contract]]="","",INDEX(VendorList[Funding Source],MATCH(CostTrack[[#This Row],[Vendor - Contract]],VendorList[Vendor / Org. with Contract ID],0)))</f>
        <v>P-002360</v>
      </c>
      <c r="W105" s="260">
        <v>43566</v>
      </c>
      <c r="X105" s="251" t="str">
        <f ca="1">IF(CostTrack[[#This Row],[Release Date (CMS)]]="","*","")</f>
        <v/>
      </c>
      <c r="Y105" s="267" t="s">
        <v>40</v>
      </c>
      <c r="Z105" s="271"/>
      <c r="AA105" s="245">
        <f ca="1">IF(OR(CostTrack[[#This Row],[Release Date (CMS)]]&gt;=DATE(VALUE(REPLACE(CostTrack[[#This Row],[Fiscal Period]],3,3,"")),3,1),CostTrack[[#This Row],[Release Date (CMS)]]&lt;DATE(VALUE(LEFT(CostTrack[[#This Row],[Fiscal Period]],4)),4,1)),1,0)</f>
        <v>0</v>
      </c>
      <c r="AB105" s="294">
        <v>503.71</v>
      </c>
      <c r="AC105" s="260">
        <v>44224</v>
      </c>
      <c r="AD105" s="402" t="str">
        <f ca="1">IF(CostTrack[[#This Row],[Reconciled Amount]]="","",IF(CostTrack[[#This Row],[Value]]&lt;&gt;CostTrack[[#This Row],[Reconciled Amount]],"Yes","No"))</f>
        <v>No</v>
      </c>
    </row>
    <row r="106" spans="2:30">
      <c r="B106" s="400" t="s">
        <v>754</v>
      </c>
      <c r="C106" s="258">
        <v>1837352</v>
      </c>
      <c r="D106" s="260">
        <v>43607</v>
      </c>
      <c r="E106" s="676">
        <v>167.82</v>
      </c>
      <c r="F106" s="265" t="s">
        <v>69</v>
      </c>
      <c r="G106" s="406">
        <f ca="1">ROUND(IF(CostTrack[[#This Row],[Holdback (Y/N/R)]]="Yes",CostTrack[[#This Row],[Value]]*-0.1,IF(CostTrack[[#This Row],[Holdback (Y/N/R)]]="Release",CostTrack[[#This Row],[Value]],0)),2)</f>
        <v>0</v>
      </c>
      <c r="H106" s="407">
        <f ca="1">IF(CostTrack[[#This Row],[Holdback (Y/N/R)]]="Release",CostTrack[[#This Row],[Value]],CostTrack[[#This Row],[Value]]+CostTrack[[#This Row],[Holdback Value]])</f>
        <v>167.82</v>
      </c>
      <c r="I106" s="258"/>
      <c r="J106" s="258"/>
      <c r="K106" s="275"/>
      <c r="L106" s="260"/>
      <c r="M106" s="260"/>
      <c r="N106" s="258"/>
      <c r="O106" s="260" t="s">
        <v>106</v>
      </c>
      <c r="P106" s="260" t="s">
        <v>268</v>
      </c>
      <c r="Q106" s="243" t="str">
        <f ca="1">IF(CostTrack[[#This Row],[Vendor - Contract]]="","",INDEX(VendorList[PA ID],MATCH(CostTrack[[#This Row],[Vendor - Contract]],VendorList[Vendor / Org. with Contract ID],0)))</f>
        <v>100.050.F1</v>
      </c>
      <c r="R106" s="243" t="str">
        <f ca="1">IF(CostTrack[[#This Row],[Vendor - Contract]]="","",INDEX(VendorList[Primary Category],MATCH(CostTrack[[#This Row],[Vendor - Contract]],VendorList[Vendor / Org. with Contract ID],0)))</f>
        <v>Administration</v>
      </c>
      <c r="S106" s="243" t="str">
        <f ca="1">IF(CostTrack[[#This Row],[Vendor - Contract]]="","",INDEX(VendorList[Secondary Category],MATCH(CostTrack[[#This Row],[Vendor - Contract]],VendorList[Vendor / Org. with Contract ID],0)))</f>
        <v>Other Administration</v>
      </c>
      <c r="T106" s="243" t="str">
        <f ca="1">IF(CostTrack[[#This Row],[Vendor - Contract]]="","",INDEX(VendorList[Phase / Subproject],MATCH(CostTrack[[#This Row],[Vendor - Contract]],VendorList[Vendor / Org. with Contract ID],0)))</f>
        <v>--</v>
      </c>
      <c r="U106" s="243" t="str">
        <f ca="1">IF(CostTrack[[#This Row],[Vendor - Contract]]="","",INDEX(VendorList[Phase / Subproject 2],MATCH(CostTrack[[#This Row],[Vendor - Contract]],VendorList[Vendor / Org. with Contract ID],0)))</f>
        <v>--</v>
      </c>
      <c r="V106" s="243" t="str">
        <f ca="1">IF(CostTrack[[#This Row],[Vendor - Contract]]="","",INDEX(VendorList[Funding Source],MATCH(CostTrack[[#This Row],[Vendor - Contract]],VendorList[Vendor / Org. with Contract ID],0)))</f>
        <v>P-002360</v>
      </c>
      <c r="W106" s="260">
        <v>43607</v>
      </c>
      <c r="X106" s="251" t="str">
        <f ca="1">IF(CostTrack[[#This Row],[Release Date (CMS)]]="","*","")</f>
        <v/>
      </c>
      <c r="Y106" s="267" t="s">
        <v>40</v>
      </c>
      <c r="Z106" s="271"/>
      <c r="AA106" s="245">
        <f ca="1">IF(OR(CostTrack[[#This Row],[Release Date (CMS)]]&gt;=DATE(VALUE(REPLACE(CostTrack[[#This Row],[Fiscal Period]],3,3,"")),3,1),CostTrack[[#This Row],[Release Date (CMS)]]&lt;DATE(VALUE(LEFT(CostTrack[[#This Row],[Fiscal Period]],4)),4,1)),1,0)</f>
        <v>0</v>
      </c>
      <c r="AB106" s="294">
        <v>167.82</v>
      </c>
      <c r="AC106" s="260">
        <v>44224</v>
      </c>
      <c r="AD106" s="402" t="str">
        <f ca="1">IF(CostTrack[[#This Row],[Reconciled Amount]]="","",IF(CostTrack[[#This Row],[Value]]&lt;&gt;CostTrack[[#This Row],[Reconciled Amount]],"Yes","No"))</f>
        <v>No</v>
      </c>
    </row>
    <row r="107" spans="2:30">
      <c r="B107" s="400" t="s">
        <v>754</v>
      </c>
      <c r="C107" s="258">
        <v>1837353</v>
      </c>
      <c r="D107" s="260">
        <v>43613</v>
      </c>
      <c r="E107" s="676">
        <v>28.79</v>
      </c>
      <c r="F107" s="265" t="s">
        <v>69</v>
      </c>
      <c r="G107" s="406">
        <f ca="1">ROUND(IF(CostTrack[[#This Row],[Holdback (Y/N/R)]]="Yes",CostTrack[[#This Row],[Value]]*-0.1,IF(CostTrack[[#This Row],[Holdback (Y/N/R)]]="Release",CostTrack[[#This Row],[Value]],0)),2)</f>
        <v>0</v>
      </c>
      <c r="H107" s="407">
        <f ca="1">IF(CostTrack[[#This Row],[Holdback (Y/N/R)]]="Release",CostTrack[[#This Row],[Value]],CostTrack[[#This Row],[Value]]+CostTrack[[#This Row],[Holdback Value]])</f>
        <v>28.79</v>
      </c>
      <c r="I107" s="258"/>
      <c r="J107" s="258"/>
      <c r="K107" s="275"/>
      <c r="L107" s="260"/>
      <c r="M107" s="260"/>
      <c r="N107" s="258"/>
      <c r="O107" s="260" t="s">
        <v>106</v>
      </c>
      <c r="P107" s="260" t="s">
        <v>268</v>
      </c>
      <c r="Q107" s="243" t="str">
        <f ca="1">IF(CostTrack[[#This Row],[Vendor - Contract]]="","",INDEX(VendorList[PA ID],MATCH(CostTrack[[#This Row],[Vendor - Contract]],VendorList[Vendor / Org. with Contract ID],0)))</f>
        <v>100.050.F1</v>
      </c>
      <c r="R107" s="243" t="str">
        <f ca="1">IF(CostTrack[[#This Row],[Vendor - Contract]]="","",INDEX(VendorList[Primary Category],MATCH(CostTrack[[#This Row],[Vendor - Contract]],VendorList[Vendor / Org. with Contract ID],0)))</f>
        <v>Administration</v>
      </c>
      <c r="S107" s="243" t="str">
        <f ca="1">IF(CostTrack[[#This Row],[Vendor - Contract]]="","",INDEX(VendorList[Secondary Category],MATCH(CostTrack[[#This Row],[Vendor - Contract]],VendorList[Vendor / Org. with Contract ID],0)))</f>
        <v>Other Administration</v>
      </c>
      <c r="T107" s="243" t="str">
        <f ca="1">IF(CostTrack[[#This Row],[Vendor - Contract]]="","",INDEX(VendorList[Phase / Subproject],MATCH(CostTrack[[#This Row],[Vendor - Contract]],VendorList[Vendor / Org. with Contract ID],0)))</f>
        <v>--</v>
      </c>
      <c r="U107" s="243" t="str">
        <f ca="1">IF(CostTrack[[#This Row],[Vendor - Contract]]="","",INDEX(VendorList[Phase / Subproject 2],MATCH(CostTrack[[#This Row],[Vendor - Contract]],VendorList[Vendor / Org. with Contract ID],0)))</f>
        <v>--</v>
      </c>
      <c r="V107" s="243" t="str">
        <f ca="1">IF(CostTrack[[#This Row],[Vendor - Contract]]="","",INDEX(VendorList[Funding Source],MATCH(CostTrack[[#This Row],[Vendor - Contract]],VendorList[Vendor / Org. with Contract ID],0)))</f>
        <v>P-002360</v>
      </c>
      <c r="W107" s="260">
        <v>43613</v>
      </c>
      <c r="X107" s="251" t="str">
        <f ca="1">IF(CostTrack[[#This Row],[Release Date (CMS)]]="","*","")</f>
        <v/>
      </c>
      <c r="Y107" s="267" t="s">
        <v>40</v>
      </c>
      <c r="Z107" s="271"/>
      <c r="AA107" s="245">
        <f ca="1">IF(OR(CostTrack[[#This Row],[Release Date (CMS)]]&gt;=DATE(VALUE(REPLACE(CostTrack[[#This Row],[Fiscal Period]],3,3,"")),3,1),CostTrack[[#This Row],[Release Date (CMS)]]&lt;DATE(VALUE(LEFT(CostTrack[[#This Row],[Fiscal Period]],4)),4,1)),1,0)</f>
        <v>0</v>
      </c>
      <c r="AB107" s="294">
        <v>28.79</v>
      </c>
      <c r="AC107" s="260">
        <v>44224</v>
      </c>
      <c r="AD107" s="402" t="str">
        <f ca="1">IF(CostTrack[[#This Row],[Reconciled Amount]]="","",IF(CostTrack[[#This Row],[Value]]&lt;&gt;CostTrack[[#This Row],[Reconciled Amount]],"Yes","No"))</f>
        <v>No</v>
      </c>
    </row>
    <row r="108" spans="2:30">
      <c r="B108" s="400" t="s">
        <v>754</v>
      </c>
      <c r="C108" s="258">
        <v>1837353</v>
      </c>
      <c r="D108" s="260">
        <v>43621</v>
      </c>
      <c r="E108" s="676">
        <v>88.61</v>
      </c>
      <c r="F108" s="265" t="s">
        <v>69</v>
      </c>
      <c r="G108" s="406">
        <f ca="1">ROUND(IF(CostTrack[[#This Row],[Holdback (Y/N/R)]]="Yes",CostTrack[[#This Row],[Value]]*-0.1,IF(CostTrack[[#This Row],[Holdback (Y/N/R)]]="Release",CostTrack[[#This Row],[Value]],0)),2)</f>
        <v>0</v>
      </c>
      <c r="H108" s="407">
        <f ca="1">IF(CostTrack[[#This Row],[Holdback (Y/N/R)]]="Release",CostTrack[[#This Row],[Value]],CostTrack[[#This Row],[Value]]+CostTrack[[#This Row],[Holdback Value]])</f>
        <v>88.61</v>
      </c>
      <c r="I108" s="258"/>
      <c r="J108" s="258"/>
      <c r="K108" s="275"/>
      <c r="L108" s="260"/>
      <c r="M108" s="260"/>
      <c r="N108" s="258"/>
      <c r="O108" s="260" t="s">
        <v>106</v>
      </c>
      <c r="P108" s="260" t="s">
        <v>268</v>
      </c>
      <c r="Q108" s="243" t="str">
        <f ca="1">IF(CostTrack[[#This Row],[Vendor - Contract]]="","",INDEX(VendorList[PA ID],MATCH(CostTrack[[#This Row],[Vendor - Contract]],VendorList[Vendor / Org. with Contract ID],0)))</f>
        <v>100.050.F1</v>
      </c>
      <c r="R108" s="243" t="str">
        <f ca="1">IF(CostTrack[[#This Row],[Vendor - Contract]]="","",INDEX(VendorList[Primary Category],MATCH(CostTrack[[#This Row],[Vendor - Contract]],VendorList[Vendor / Org. with Contract ID],0)))</f>
        <v>Administration</v>
      </c>
      <c r="S108" s="243" t="str">
        <f ca="1">IF(CostTrack[[#This Row],[Vendor - Contract]]="","",INDEX(VendorList[Secondary Category],MATCH(CostTrack[[#This Row],[Vendor - Contract]],VendorList[Vendor / Org. with Contract ID],0)))</f>
        <v>Other Administration</v>
      </c>
      <c r="T108" s="243" t="str">
        <f ca="1">IF(CostTrack[[#This Row],[Vendor - Contract]]="","",INDEX(VendorList[Phase / Subproject],MATCH(CostTrack[[#This Row],[Vendor - Contract]],VendorList[Vendor / Org. with Contract ID],0)))</f>
        <v>--</v>
      </c>
      <c r="U108" s="243" t="str">
        <f ca="1">IF(CostTrack[[#This Row],[Vendor - Contract]]="","",INDEX(VendorList[Phase / Subproject 2],MATCH(CostTrack[[#This Row],[Vendor - Contract]],VendorList[Vendor / Org. with Contract ID],0)))</f>
        <v>--</v>
      </c>
      <c r="V108" s="243" t="str">
        <f ca="1">IF(CostTrack[[#This Row],[Vendor - Contract]]="","",INDEX(VendorList[Funding Source],MATCH(CostTrack[[#This Row],[Vendor - Contract]],VendorList[Vendor / Org. with Contract ID],0)))</f>
        <v>P-002360</v>
      </c>
      <c r="W108" s="260">
        <v>43621</v>
      </c>
      <c r="X108" s="251" t="str">
        <f ca="1">IF(CostTrack[[#This Row],[Release Date (CMS)]]="","*","")</f>
        <v/>
      </c>
      <c r="Y108" s="267" t="s">
        <v>40</v>
      </c>
      <c r="Z108" s="271"/>
      <c r="AA108" s="245">
        <f ca="1">IF(OR(CostTrack[[#This Row],[Release Date (CMS)]]&gt;=DATE(VALUE(REPLACE(CostTrack[[#This Row],[Fiscal Period]],3,3,"")),3,1),CostTrack[[#This Row],[Release Date (CMS)]]&lt;DATE(VALUE(LEFT(CostTrack[[#This Row],[Fiscal Period]],4)),4,1)),1,0)</f>
        <v>0</v>
      </c>
      <c r="AB108" s="294">
        <v>88.61</v>
      </c>
      <c r="AC108" s="260">
        <v>44224</v>
      </c>
      <c r="AD108" s="402" t="str">
        <f ca="1">IF(CostTrack[[#This Row],[Reconciled Amount]]="","",IF(CostTrack[[#This Row],[Value]]&lt;&gt;CostTrack[[#This Row],[Reconciled Amount]],"Yes","No"))</f>
        <v>No</v>
      </c>
    </row>
    <row r="109" spans="2:30">
      <c r="B109" s="400" t="s">
        <v>754</v>
      </c>
      <c r="C109" s="258">
        <v>1837353</v>
      </c>
      <c r="D109" s="260">
        <v>43627</v>
      </c>
      <c r="E109" s="651">
        <v>50.1</v>
      </c>
      <c r="F109" s="265" t="s">
        <v>69</v>
      </c>
      <c r="G109" s="406">
        <f ca="1">ROUND(IF(CostTrack[[#This Row],[Holdback (Y/N/R)]]="Yes",CostTrack[[#This Row],[Value]]*-0.1,IF(CostTrack[[#This Row],[Holdback (Y/N/R)]]="Release",CostTrack[[#This Row],[Value]],0)),2)</f>
        <v>0</v>
      </c>
      <c r="H109" s="407">
        <f ca="1">IF(CostTrack[[#This Row],[Holdback (Y/N/R)]]="Release",CostTrack[[#This Row],[Value]],CostTrack[[#This Row],[Value]]+CostTrack[[#This Row],[Holdback Value]])</f>
        <v>50.1</v>
      </c>
      <c r="I109" s="258"/>
      <c r="J109" s="258"/>
      <c r="K109" s="275"/>
      <c r="L109" s="260"/>
      <c r="M109" s="260"/>
      <c r="N109" s="258"/>
      <c r="O109" s="260" t="s">
        <v>106</v>
      </c>
      <c r="P109" s="260" t="s">
        <v>268</v>
      </c>
      <c r="Q109" s="243" t="str">
        <f ca="1">IF(CostTrack[[#This Row],[Vendor - Contract]]="","",INDEX(VendorList[PA ID],MATCH(CostTrack[[#This Row],[Vendor - Contract]],VendorList[Vendor / Org. with Contract ID],0)))</f>
        <v>100.050.F1</v>
      </c>
      <c r="R109" s="243" t="str">
        <f ca="1">IF(CostTrack[[#This Row],[Vendor - Contract]]="","",INDEX(VendorList[Primary Category],MATCH(CostTrack[[#This Row],[Vendor - Contract]],VendorList[Vendor / Org. with Contract ID],0)))</f>
        <v>Administration</v>
      </c>
      <c r="S109" s="243" t="str">
        <f ca="1">IF(CostTrack[[#This Row],[Vendor - Contract]]="","",INDEX(VendorList[Secondary Category],MATCH(CostTrack[[#This Row],[Vendor - Contract]],VendorList[Vendor / Org. with Contract ID],0)))</f>
        <v>Other Administration</v>
      </c>
      <c r="T109" s="243" t="str">
        <f ca="1">IF(CostTrack[[#This Row],[Vendor - Contract]]="","",INDEX(VendorList[Phase / Subproject],MATCH(CostTrack[[#This Row],[Vendor - Contract]],VendorList[Vendor / Org. with Contract ID],0)))</f>
        <v>--</v>
      </c>
      <c r="U109" s="243" t="str">
        <f ca="1">IF(CostTrack[[#This Row],[Vendor - Contract]]="","",INDEX(VendorList[Phase / Subproject 2],MATCH(CostTrack[[#This Row],[Vendor - Contract]],VendorList[Vendor / Org. with Contract ID],0)))</f>
        <v>--</v>
      </c>
      <c r="V109" s="243" t="str">
        <f ca="1">IF(CostTrack[[#This Row],[Vendor - Contract]]="","",INDEX(VendorList[Funding Source],MATCH(CostTrack[[#This Row],[Vendor - Contract]],VendorList[Vendor / Org. with Contract ID],0)))</f>
        <v>P-002360</v>
      </c>
      <c r="W109" s="260">
        <v>43627</v>
      </c>
      <c r="X109" s="251" t="str">
        <f ca="1">IF(CostTrack[[#This Row],[Release Date (CMS)]]="","*","")</f>
        <v/>
      </c>
      <c r="Y109" s="267" t="s">
        <v>40</v>
      </c>
      <c r="Z109" s="271"/>
      <c r="AA109" s="245">
        <f ca="1">IF(OR(CostTrack[[#This Row],[Release Date (CMS)]]&gt;=DATE(VALUE(REPLACE(CostTrack[[#This Row],[Fiscal Period]],3,3,"")),3,1),CostTrack[[#This Row],[Release Date (CMS)]]&lt;DATE(VALUE(LEFT(CostTrack[[#This Row],[Fiscal Period]],4)),4,1)),1,0)</f>
        <v>0</v>
      </c>
      <c r="AB109" s="294">
        <v>50.1</v>
      </c>
      <c r="AC109" s="260">
        <v>44224</v>
      </c>
      <c r="AD109" s="402" t="str">
        <f ca="1">IF(CostTrack[[#This Row],[Reconciled Amount]]="","",IF(CostTrack[[#This Row],[Value]]&lt;&gt;CostTrack[[#This Row],[Reconciled Amount]],"Yes","No"))</f>
        <v>No</v>
      </c>
    </row>
    <row r="110" spans="2:30">
      <c r="B110" s="400" t="s">
        <v>754</v>
      </c>
      <c r="C110" s="258">
        <v>1837353</v>
      </c>
      <c r="D110" s="260">
        <v>43635</v>
      </c>
      <c r="E110" s="651">
        <v>28.8</v>
      </c>
      <c r="F110" s="265" t="s">
        <v>69</v>
      </c>
      <c r="G110" s="406">
        <f ca="1">ROUND(IF(CostTrack[[#This Row],[Holdback (Y/N/R)]]="Yes",CostTrack[[#This Row],[Value]]*-0.1,IF(CostTrack[[#This Row],[Holdback (Y/N/R)]]="Release",CostTrack[[#This Row],[Value]],0)),2)</f>
        <v>0</v>
      </c>
      <c r="H110" s="407">
        <f ca="1">IF(CostTrack[[#This Row],[Holdback (Y/N/R)]]="Release",CostTrack[[#This Row],[Value]],CostTrack[[#This Row],[Value]]+CostTrack[[#This Row],[Holdback Value]])</f>
        <v>28.8</v>
      </c>
      <c r="I110" s="258"/>
      <c r="J110" s="258"/>
      <c r="K110" s="275"/>
      <c r="L110" s="260"/>
      <c r="M110" s="260"/>
      <c r="N110" s="258"/>
      <c r="O110" s="260" t="s">
        <v>106</v>
      </c>
      <c r="P110" s="260" t="s">
        <v>268</v>
      </c>
      <c r="Q110" s="243" t="str">
        <f ca="1">IF(CostTrack[[#This Row],[Vendor - Contract]]="","",INDEX(VendorList[PA ID],MATCH(CostTrack[[#This Row],[Vendor - Contract]],VendorList[Vendor / Org. with Contract ID],0)))</f>
        <v>100.050.F1</v>
      </c>
      <c r="R110" s="243" t="str">
        <f ca="1">IF(CostTrack[[#This Row],[Vendor - Contract]]="","",INDEX(VendorList[Primary Category],MATCH(CostTrack[[#This Row],[Vendor - Contract]],VendorList[Vendor / Org. with Contract ID],0)))</f>
        <v>Administration</v>
      </c>
      <c r="S110" s="243" t="str">
        <f ca="1">IF(CostTrack[[#This Row],[Vendor - Contract]]="","",INDEX(VendorList[Secondary Category],MATCH(CostTrack[[#This Row],[Vendor - Contract]],VendorList[Vendor / Org. with Contract ID],0)))</f>
        <v>Other Administration</v>
      </c>
      <c r="T110" s="243" t="str">
        <f ca="1">IF(CostTrack[[#This Row],[Vendor - Contract]]="","",INDEX(VendorList[Phase / Subproject],MATCH(CostTrack[[#This Row],[Vendor - Contract]],VendorList[Vendor / Org. with Contract ID],0)))</f>
        <v>--</v>
      </c>
      <c r="U110" s="243" t="str">
        <f ca="1">IF(CostTrack[[#This Row],[Vendor - Contract]]="","",INDEX(VendorList[Phase / Subproject 2],MATCH(CostTrack[[#This Row],[Vendor - Contract]],VendorList[Vendor / Org. with Contract ID],0)))</f>
        <v>--</v>
      </c>
      <c r="V110" s="243" t="str">
        <f ca="1">IF(CostTrack[[#This Row],[Vendor - Contract]]="","",INDEX(VendorList[Funding Source],MATCH(CostTrack[[#This Row],[Vendor - Contract]],VendorList[Vendor / Org. with Contract ID],0)))</f>
        <v>P-002360</v>
      </c>
      <c r="W110" s="260">
        <v>43635</v>
      </c>
      <c r="X110" s="251" t="str">
        <f ca="1">IF(CostTrack[[#This Row],[Release Date (CMS)]]="","*","")</f>
        <v/>
      </c>
      <c r="Y110" s="267" t="s">
        <v>40</v>
      </c>
      <c r="Z110" s="271"/>
      <c r="AA110" s="245">
        <f ca="1">IF(OR(CostTrack[[#This Row],[Release Date (CMS)]]&gt;=DATE(VALUE(REPLACE(CostTrack[[#This Row],[Fiscal Period]],3,3,"")),3,1),CostTrack[[#This Row],[Release Date (CMS)]]&lt;DATE(VALUE(LEFT(CostTrack[[#This Row],[Fiscal Period]],4)),4,1)),1,0)</f>
        <v>0</v>
      </c>
      <c r="AB110" s="294">
        <v>28.8</v>
      </c>
      <c r="AC110" s="260">
        <v>44224</v>
      </c>
      <c r="AD110" s="402" t="str">
        <f ca="1">IF(CostTrack[[#This Row],[Reconciled Amount]]="","",IF(CostTrack[[#This Row],[Value]]&lt;&gt;CostTrack[[#This Row],[Reconciled Amount]],"Yes","No"))</f>
        <v>No</v>
      </c>
    </row>
    <row r="111" spans="2:30">
      <c r="B111" s="400" t="s">
        <v>736</v>
      </c>
      <c r="C111" s="258">
        <v>43647</v>
      </c>
      <c r="D111" s="260">
        <v>43677</v>
      </c>
      <c r="E111" s="282">
        <v>34269.4</v>
      </c>
      <c r="F111" s="265" t="s">
        <v>69</v>
      </c>
      <c r="G111" s="406">
        <f ca="1">ROUND(IF(CostTrack[[#This Row],[Holdback (Y/N/R)]]="Yes",CostTrack[[#This Row],[Value]]*-0.1,IF(CostTrack[[#This Row],[Holdback (Y/N/R)]]="Release",CostTrack[[#This Row],[Value]],0)),2)</f>
        <v>0</v>
      </c>
      <c r="H111" s="407">
        <f ca="1">IF(CostTrack[[#This Row],[Holdback (Y/N/R)]]="Release",CostTrack[[#This Row],[Value]],CostTrack[[#This Row],[Value]]+CostTrack[[#This Row],[Holdback Value]])</f>
        <v>34269.4</v>
      </c>
      <c r="I111" s="258"/>
      <c r="J111" s="258"/>
      <c r="K111" s="275">
        <v>43647</v>
      </c>
      <c r="L111" s="260">
        <v>43677</v>
      </c>
      <c r="M111" s="260"/>
      <c r="N111" s="258"/>
      <c r="O111" s="260" t="s">
        <v>106</v>
      </c>
      <c r="P111" s="260">
        <v>43677</v>
      </c>
      <c r="Q111" s="243" t="str">
        <f ca="1">IF(CostTrack[[#This Row],[Vendor - Contract]]="","",INDEX(VendorList[PA ID],MATCH(CostTrack[[#This Row],[Vendor - Contract]],VendorList[Vendor / Org. with Contract ID],0)))</f>
        <v>100.010.F1</v>
      </c>
      <c r="R111" s="243" t="str">
        <f ca="1">IF(CostTrack[[#This Row],[Vendor - Contract]]="","",INDEX(VendorList[Primary Category],MATCH(CostTrack[[#This Row],[Vendor - Contract]],VendorList[Vendor / Org. with Contract ID],0)))</f>
        <v>Administration</v>
      </c>
      <c r="S111" s="243" t="str">
        <f ca="1">IF(CostTrack[[#This Row],[Vendor - Contract]]="","",INDEX(VendorList[Secondary Category],MATCH(CostTrack[[#This Row],[Vendor - Contract]],VendorList[Vendor / Org. with Contract ID],0)))</f>
        <v>Staff Capitalization - INFRA</v>
      </c>
      <c r="T111" s="243" t="str">
        <f ca="1">IF(CostTrack[[#This Row],[Vendor - Contract]]="","",INDEX(VendorList[Phase / Subproject],MATCH(CostTrack[[#This Row],[Vendor - Contract]],VendorList[Vendor / Org. with Contract ID],0)))</f>
        <v>--</v>
      </c>
      <c r="U111" s="243" t="str">
        <f ca="1">IF(CostTrack[[#This Row],[Vendor - Contract]]="","",INDEX(VendorList[Phase / Subproject 2],MATCH(CostTrack[[#This Row],[Vendor - Contract]],VendorList[Vendor / Org. with Contract ID],0)))</f>
        <v>--</v>
      </c>
      <c r="V111" s="243" t="str">
        <f ca="1">IF(CostTrack[[#This Row],[Vendor - Contract]]="","",INDEX(VendorList[Funding Source],MATCH(CostTrack[[#This Row],[Vendor - Contract]],VendorList[Vendor / Org. with Contract ID],0)))</f>
        <v>P-002360</v>
      </c>
      <c r="W111" s="260">
        <v>43677</v>
      </c>
      <c r="X111" s="251" t="str">
        <f ca="1">IF(CostTrack[[#This Row],[Release Date (CMS)]]="","*","")</f>
        <v/>
      </c>
      <c r="Y111" s="267" t="s">
        <v>40</v>
      </c>
      <c r="Z111" s="271"/>
      <c r="AA111" s="245">
        <f ca="1">IF(OR(CostTrack[[#This Row],[Release Date (CMS)]]&gt;=DATE(VALUE(REPLACE(CostTrack[[#This Row],[Fiscal Period]],3,3,"")),3,1),CostTrack[[#This Row],[Release Date (CMS)]]&lt;DATE(VALUE(LEFT(CostTrack[[#This Row],[Fiscal Period]],4)),4,1)),1,0)</f>
        <v>0</v>
      </c>
      <c r="AB111" s="294">
        <v>34269.4</v>
      </c>
      <c r="AC111" s="260">
        <v>44224</v>
      </c>
      <c r="AD111" s="402" t="str">
        <f ca="1">IF(CostTrack[[#This Row],[Reconciled Amount]]="","",IF(CostTrack[[#This Row],[Value]]&lt;&gt;CostTrack[[#This Row],[Reconciled Amount]],"Yes","No"))</f>
        <v>No</v>
      </c>
    </row>
    <row r="112" spans="2:30">
      <c r="B112" s="400" t="s">
        <v>527</v>
      </c>
      <c r="C112" s="258" t="s">
        <v>872</v>
      </c>
      <c r="D112" s="260">
        <v>43677</v>
      </c>
      <c r="E112" s="282">
        <v>377598.39</v>
      </c>
      <c r="F112" s="265" t="s">
        <v>69</v>
      </c>
      <c r="G112" s="406">
        <f ca="1">ROUND(IF(CostTrack[[#This Row],[Holdback (Y/N/R)]]="Yes",CostTrack[[#This Row],[Value]]*-0.1,IF(CostTrack[[#This Row],[Holdback (Y/N/R)]]="Release",CostTrack[[#This Row],[Value]],0)),2)</f>
        <v>0</v>
      </c>
      <c r="H112" s="407">
        <f ca="1">IF(CostTrack[[#This Row],[Holdback (Y/N/R)]]="Release",CostTrack[[#This Row],[Value]],CostTrack[[#This Row],[Value]]+CostTrack[[#This Row],[Holdback Value]])</f>
        <v>377598.39</v>
      </c>
      <c r="I112" s="258"/>
      <c r="J112" s="258"/>
      <c r="K112" s="275">
        <v>43647</v>
      </c>
      <c r="L112" s="260">
        <v>43677</v>
      </c>
      <c r="M112" s="260"/>
      <c r="N112" s="258"/>
      <c r="O112" s="260" t="s">
        <v>106</v>
      </c>
      <c r="P112" s="260">
        <v>43683</v>
      </c>
      <c r="Q112" s="243" t="str">
        <f ca="1">IF(CostTrack[[#This Row],[Vendor - Contract]]="","",INDEX(VendorList[PA ID],MATCH(CostTrack[[#This Row],[Vendor - Contract]],VendorList[Vendor / Org. with Contract ID],0)))</f>
        <v>200.010.F1</v>
      </c>
      <c r="R112" s="243" t="str">
        <f ca="1">IF(CostTrack[[#This Row],[Vendor - Contract]]="","",INDEX(VendorList[Primary Category],MATCH(CostTrack[[#This Row],[Vendor - Contract]],VendorList[Vendor / Org. with Contract ID],0)))</f>
        <v>Professional Services</v>
      </c>
      <c r="S112" s="243" t="str">
        <f ca="1">IF(CostTrack[[#This Row],[Vendor - Contract]]="","",INDEX(VendorList[Secondary Category],MATCH(CostTrack[[#This Row],[Vendor - Contract]],VendorList[Vendor / Org. with Contract ID],0)))</f>
        <v>Prime Consultant</v>
      </c>
      <c r="T112" s="243" t="str">
        <f ca="1">IF(CostTrack[[#This Row],[Vendor - Contract]]="","",INDEX(VendorList[Phase / Subproject],MATCH(CostTrack[[#This Row],[Vendor - Contract]],VendorList[Vendor / Org. with Contract ID],0)))</f>
        <v>--</v>
      </c>
      <c r="U112" s="243" t="str">
        <f ca="1">IF(CostTrack[[#This Row],[Vendor - Contract]]="","",INDEX(VendorList[Phase / Subproject 2],MATCH(CostTrack[[#This Row],[Vendor - Contract]],VendorList[Vendor / Org. with Contract ID],0)))</f>
        <v>--</v>
      </c>
      <c r="V112" s="243" t="str">
        <f ca="1">IF(CostTrack[[#This Row],[Vendor - Contract]]="","",INDEX(VendorList[Funding Source],MATCH(CostTrack[[#This Row],[Vendor - Contract]],VendorList[Vendor / Org. with Contract ID],0)))</f>
        <v>P-002360</v>
      </c>
      <c r="W112" s="260">
        <v>43684</v>
      </c>
      <c r="X112" s="251" t="str">
        <f ca="1">IF(CostTrack[[#This Row],[Release Date (CMS)]]="","*","")</f>
        <v/>
      </c>
      <c r="Y112" s="267" t="s">
        <v>40</v>
      </c>
      <c r="Z112" s="271"/>
      <c r="AA112" s="245">
        <f ca="1">IF(OR(CostTrack[[#This Row],[Release Date (CMS)]]&gt;=DATE(VALUE(REPLACE(CostTrack[[#This Row],[Fiscal Period]],3,3,"")),3,1),CostTrack[[#This Row],[Release Date (CMS)]]&lt;DATE(VALUE(LEFT(CostTrack[[#This Row],[Fiscal Period]],4)),4,1)),1,0)</f>
        <v>0</v>
      </c>
      <c r="AB112" s="294">
        <v>377598.39</v>
      </c>
      <c r="AC112" s="260">
        <v>44224</v>
      </c>
      <c r="AD112" s="402" t="str">
        <f ca="1">IF(CostTrack[[#This Row],[Reconciled Amount]]="","",IF(CostTrack[[#This Row],[Value]]&lt;&gt;CostTrack[[#This Row],[Reconciled Amount]],"Yes","No"))</f>
        <v>No</v>
      </c>
    </row>
    <row r="113" spans="2:30">
      <c r="B113" s="400" t="s">
        <v>731</v>
      </c>
      <c r="C113" s="258" t="s">
        <v>873</v>
      </c>
      <c r="D113" s="260">
        <v>43683</v>
      </c>
      <c r="E113" s="651">
        <v>398.31</v>
      </c>
      <c r="F113" s="265" t="s">
        <v>69</v>
      </c>
      <c r="G113" s="406">
        <f ca="1">ROUND(IF(CostTrack[[#This Row],[Holdback (Y/N/R)]]="Yes",CostTrack[[#This Row],[Value]]*-0.1,IF(CostTrack[[#This Row],[Holdback (Y/N/R)]]="Release",CostTrack[[#This Row],[Value]],0)),2)</f>
        <v>0</v>
      </c>
      <c r="H113" s="407">
        <f ca="1">IF(CostTrack[[#This Row],[Holdback (Y/N/R)]]="Release",CostTrack[[#This Row],[Value]],CostTrack[[#This Row],[Value]]+CostTrack[[#This Row],[Holdback Value]])</f>
        <v>398.31</v>
      </c>
      <c r="I113" s="258"/>
      <c r="J113" s="258"/>
      <c r="K113" s="275"/>
      <c r="L113" s="260">
        <v>43683</v>
      </c>
      <c r="M113" s="260"/>
      <c r="N113" s="258"/>
      <c r="O113" s="260" t="s">
        <v>106</v>
      </c>
      <c r="P113" s="260">
        <v>43684</v>
      </c>
      <c r="Q113" s="243" t="str">
        <f ca="1">IF(CostTrack[[#This Row],[Vendor - Contract]]="","",INDEX(VendorList[PA ID],MATCH(CostTrack[[#This Row],[Vendor - Contract]],VendorList[Vendor / Org. with Contract ID],0)))</f>
        <v>100.050.F1</v>
      </c>
      <c r="R113" s="243" t="str">
        <f ca="1">IF(CostTrack[[#This Row],[Vendor - Contract]]="","",INDEX(VendorList[Primary Category],MATCH(CostTrack[[#This Row],[Vendor - Contract]],VendorList[Vendor / Org. with Contract ID],0)))</f>
        <v>Administration</v>
      </c>
      <c r="S113" s="243" t="str">
        <f ca="1">IF(CostTrack[[#This Row],[Vendor - Contract]]="","",INDEX(VendorList[Secondary Category],MATCH(CostTrack[[#This Row],[Vendor - Contract]],VendorList[Vendor / Org. with Contract ID],0)))</f>
        <v>Other Administration</v>
      </c>
      <c r="T113" s="243" t="str">
        <f ca="1">IF(CostTrack[[#This Row],[Vendor - Contract]]="","",INDEX(VendorList[Phase / Subproject],MATCH(CostTrack[[#This Row],[Vendor - Contract]],VendorList[Vendor / Org. with Contract ID],0)))</f>
        <v>--</v>
      </c>
      <c r="U113" s="243" t="str">
        <f ca="1">IF(CostTrack[[#This Row],[Vendor - Contract]]="","",INDEX(VendorList[Phase / Subproject 2],MATCH(CostTrack[[#This Row],[Vendor - Contract]],VendorList[Vendor / Org. with Contract ID],0)))</f>
        <v>--</v>
      </c>
      <c r="V113" s="243" t="str">
        <f ca="1">IF(CostTrack[[#This Row],[Vendor - Contract]]="","",INDEX(VendorList[Funding Source],MATCH(CostTrack[[#This Row],[Vendor - Contract]],VendorList[Vendor / Org. with Contract ID],0)))</f>
        <v>P-002360</v>
      </c>
      <c r="W113" s="260">
        <v>43689</v>
      </c>
      <c r="X113" s="251" t="str">
        <f ca="1">IF(CostTrack[[#This Row],[Release Date (CMS)]]="","*","")</f>
        <v/>
      </c>
      <c r="Y113" s="267" t="s">
        <v>40</v>
      </c>
      <c r="Z113" s="271"/>
      <c r="AA113" s="245">
        <f ca="1">IF(OR(CostTrack[[#This Row],[Release Date (CMS)]]&gt;=DATE(VALUE(REPLACE(CostTrack[[#This Row],[Fiscal Period]],3,3,"")),3,1),CostTrack[[#This Row],[Release Date (CMS)]]&lt;DATE(VALUE(LEFT(CostTrack[[#This Row],[Fiscal Period]],4)),4,1)),1,0)</f>
        <v>0</v>
      </c>
      <c r="AB113" s="294">
        <v>398.31</v>
      </c>
      <c r="AC113" s="260">
        <v>44224</v>
      </c>
      <c r="AD113" s="402" t="str">
        <f ca="1">IF(CostTrack[[#This Row],[Reconciled Amount]]="","",IF(CostTrack[[#This Row],[Value]]&lt;&gt;CostTrack[[#This Row],[Reconciled Amount]],"Yes","No"))</f>
        <v>No</v>
      </c>
    </row>
    <row r="114" spans="2:30">
      <c r="B114" s="400" t="s">
        <v>624</v>
      </c>
      <c r="C114" s="258">
        <v>1406269</v>
      </c>
      <c r="D114" s="260">
        <v>43677</v>
      </c>
      <c r="E114" s="282">
        <v>7600</v>
      </c>
      <c r="F114" s="265" t="s">
        <v>69</v>
      </c>
      <c r="G114" s="406">
        <f ca="1">ROUND(IF(CostTrack[[#This Row],[Holdback (Y/N/R)]]="Yes",CostTrack[[#This Row],[Value]]*-0.1,IF(CostTrack[[#This Row],[Holdback (Y/N/R)]]="Release",CostTrack[[#This Row],[Value]],0)),2)</f>
        <v>0</v>
      </c>
      <c r="H114" s="407">
        <f ca="1">IF(CostTrack[[#This Row],[Holdback (Y/N/R)]]="Release",CostTrack[[#This Row],[Value]],CostTrack[[#This Row],[Value]]+CostTrack[[#This Row],[Holdback Value]])</f>
        <v>7600</v>
      </c>
      <c r="I114" s="258"/>
      <c r="J114" s="258"/>
      <c r="K114" s="275">
        <v>43647</v>
      </c>
      <c r="L114" s="260">
        <v>43698</v>
      </c>
      <c r="M114" s="260"/>
      <c r="N114" s="258"/>
      <c r="O114" s="260" t="s">
        <v>106</v>
      </c>
      <c r="P114" s="260">
        <v>43699</v>
      </c>
      <c r="Q114" s="243" t="str">
        <f ca="1">IF(CostTrack[[#This Row],[Vendor - Contract]]="","",INDEX(VendorList[PA ID],MATCH(CostTrack[[#This Row],[Vendor - Contract]],VendorList[Vendor / Org. with Contract ID],0)))</f>
        <v>200.040.F1</v>
      </c>
      <c r="R114" s="243" t="str">
        <f ca="1">IF(CostTrack[[#This Row],[Vendor - Contract]]="","",INDEX(VendorList[Primary Category],MATCH(CostTrack[[#This Row],[Vendor - Contract]],VendorList[Vendor / Org. with Contract ID],0)))</f>
        <v>Professional Services</v>
      </c>
      <c r="S114" s="243" t="str">
        <f ca="1">IF(CostTrack[[#This Row],[Vendor - Contract]]="","",INDEX(VendorList[Secondary Category],MATCH(CostTrack[[#This Row],[Vendor - Contract]],VendorList[Vendor / Org. with Contract ID],0)))</f>
        <v>Commissioning</v>
      </c>
      <c r="T114" s="243" t="str">
        <f ca="1">IF(CostTrack[[#This Row],[Vendor - Contract]]="","",INDEX(VendorList[Phase / Subproject],MATCH(CostTrack[[#This Row],[Vendor - Contract]],VendorList[Vendor / Org. with Contract ID],0)))</f>
        <v>--</v>
      </c>
      <c r="U114" s="243" t="str">
        <f ca="1">IF(CostTrack[[#This Row],[Vendor - Contract]]="","",INDEX(VendorList[Phase / Subproject 2],MATCH(CostTrack[[#This Row],[Vendor - Contract]],VendorList[Vendor / Org. with Contract ID],0)))</f>
        <v>--</v>
      </c>
      <c r="V114" s="243" t="str">
        <f ca="1">IF(CostTrack[[#This Row],[Vendor - Contract]]="","",INDEX(VendorList[Funding Source],MATCH(CostTrack[[#This Row],[Vendor - Contract]],VendorList[Vendor / Org. with Contract ID],0)))</f>
        <v>P-002360</v>
      </c>
      <c r="W114" s="260">
        <v>43703</v>
      </c>
      <c r="X114" s="251" t="str">
        <f ca="1">IF(CostTrack[[#This Row],[Release Date (CMS)]]="","*","")</f>
        <v/>
      </c>
      <c r="Y114" s="267" t="s">
        <v>40</v>
      </c>
      <c r="Z114" s="271"/>
      <c r="AA114" s="245">
        <f ca="1">IF(OR(CostTrack[[#This Row],[Release Date (CMS)]]&gt;=DATE(VALUE(REPLACE(CostTrack[[#This Row],[Fiscal Period]],3,3,"")),3,1),CostTrack[[#This Row],[Release Date (CMS)]]&lt;DATE(VALUE(LEFT(CostTrack[[#This Row],[Fiscal Period]],4)),4,1)),1,0)</f>
        <v>0</v>
      </c>
      <c r="AB114" s="294">
        <v>7600</v>
      </c>
      <c r="AC114" s="260">
        <v>44225</v>
      </c>
      <c r="AD114" s="402" t="str">
        <f ca="1">IF(CostTrack[[#This Row],[Reconciled Amount]]="","",IF(CostTrack[[#This Row],[Value]]&lt;&gt;CostTrack[[#This Row],[Reconciled Amount]],"Yes","No"))</f>
        <v>No</v>
      </c>
    </row>
    <row r="115" spans="2:30">
      <c r="B115" s="400" t="s">
        <v>528</v>
      </c>
      <c r="C115" s="258">
        <v>60625289</v>
      </c>
      <c r="D115" s="260">
        <v>43690</v>
      </c>
      <c r="E115" s="282">
        <v>712</v>
      </c>
      <c r="F115" s="265" t="s">
        <v>69</v>
      </c>
      <c r="G115" s="406">
        <f ca="1">ROUND(IF(CostTrack[[#This Row],[Holdback (Y/N/R)]]="Yes",CostTrack[[#This Row],[Value]]*-0.1,IF(CostTrack[[#This Row],[Holdback (Y/N/R)]]="Release",CostTrack[[#This Row],[Value]],0)),2)</f>
        <v>0</v>
      </c>
      <c r="H115" s="407">
        <f ca="1">IF(CostTrack[[#This Row],[Holdback (Y/N/R)]]="Release",CostTrack[[#This Row],[Value]],CostTrack[[#This Row],[Value]]+CostTrack[[#This Row],[Holdback Value]])</f>
        <v>712</v>
      </c>
      <c r="I115" s="258"/>
      <c r="J115" s="258"/>
      <c r="K115" s="275"/>
      <c r="L115" s="260">
        <v>43703</v>
      </c>
      <c r="M115" s="260"/>
      <c r="N115" s="258"/>
      <c r="O115" s="260" t="s">
        <v>106</v>
      </c>
      <c r="P115" s="260">
        <v>43704</v>
      </c>
      <c r="Q115" s="243" t="str">
        <f ca="1">IF(CostTrack[[#This Row],[Vendor - Contract]]="","",INDEX(VendorList[PA ID],MATCH(CostTrack[[#This Row],[Vendor - Contract]],VendorList[Vendor / Org. with Contract ID],0)))</f>
        <v>200.050.F1</v>
      </c>
      <c r="R115" s="243" t="str">
        <f ca="1">IF(CostTrack[[#This Row],[Vendor - Contract]]="","",INDEX(VendorList[Primary Category],MATCH(CostTrack[[#This Row],[Vendor - Contract]],VendorList[Vendor / Org. with Contract ID],0)))</f>
        <v>Professional Services</v>
      </c>
      <c r="S115" s="243" t="str">
        <f ca="1">IF(CostTrack[[#This Row],[Vendor - Contract]]="","",INDEX(VendorList[Secondary Category],MATCH(CostTrack[[#This Row],[Vendor - Contract]],VendorList[Vendor / Org. with Contract ID],0)))</f>
        <v>Other Professional Services</v>
      </c>
      <c r="T115" s="243" t="str">
        <f ca="1">IF(CostTrack[[#This Row],[Vendor - Contract]]="","",INDEX(VendorList[Phase / Subproject],MATCH(CostTrack[[#This Row],[Vendor - Contract]],VendorList[Vendor / Org. with Contract ID],0)))</f>
        <v>--</v>
      </c>
      <c r="U115" s="243" t="str">
        <f ca="1">IF(CostTrack[[#This Row],[Vendor - Contract]]="","",INDEX(VendorList[Phase / Subproject 2],MATCH(CostTrack[[#This Row],[Vendor - Contract]],VendorList[Vendor / Org. with Contract ID],0)))</f>
        <v>--</v>
      </c>
      <c r="V115" s="243" t="str">
        <f ca="1">IF(CostTrack[[#This Row],[Vendor - Contract]]="","",INDEX(VendorList[Funding Source],MATCH(CostTrack[[#This Row],[Vendor - Contract]],VendorList[Vendor / Org. with Contract ID],0)))</f>
        <v>P-002360</v>
      </c>
      <c r="W115" s="260">
        <v>43704</v>
      </c>
      <c r="X115" s="251" t="str">
        <f ca="1">IF(CostTrack[[#This Row],[Release Date (CMS)]]="","*","")</f>
        <v/>
      </c>
      <c r="Y115" s="267" t="s">
        <v>40</v>
      </c>
      <c r="Z115" s="271"/>
      <c r="AA115" s="245">
        <f ca="1">IF(OR(CostTrack[[#This Row],[Release Date (CMS)]]&gt;=DATE(VALUE(REPLACE(CostTrack[[#This Row],[Fiscal Period]],3,3,"")),3,1),CostTrack[[#This Row],[Release Date (CMS)]]&lt;DATE(VALUE(LEFT(CostTrack[[#This Row],[Fiscal Period]],4)),4,1)),1,0)</f>
        <v>0</v>
      </c>
      <c r="AB115" s="294">
        <v>712</v>
      </c>
      <c r="AC115" s="260">
        <v>44224</v>
      </c>
      <c r="AD115" s="402" t="str">
        <f ca="1">IF(CostTrack[[#This Row],[Reconciled Amount]]="","",IF(CostTrack[[#This Row],[Value]]&lt;&gt;CostTrack[[#This Row],[Reconciled Amount]],"Yes","No"))</f>
        <v>No</v>
      </c>
    </row>
    <row r="116" spans="2:30">
      <c r="B116" s="400" t="s">
        <v>736</v>
      </c>
      <c r="C116" s="258">
        <v>43696</v>
      </c>
      <c r="D116" s="260">
        <v>43708</v>
      </c>
      <c r="E116" s="282">
        <v>30896.43</v>
      </c>
      <c r="F116" s="265" t="s">
        <v>69</v>
      </c>
      <c r="G116" s="406">
        <f ca="1">ROUND(IF(CostTrack[[#This Row],[Holdback (Y/N/R)]]="Yes",CostTrack[[#This Row],[Value]]*-0.1,IF(CostTrack[[#This Row],[Holdback (Y/N/R)]]="Release",CostTrack[[#This Row],[Value]],0)),2)</f>
        <v>0</v>
      </c>
      <c r="H116" s="407">
        <f ca="1">IF(CostTrack[[#This Row],[Holdback (Y/N/R)]]="Release",CostTrack[[#This Row],[Value]],CostTrack[[#This Row],[Value]]+CostTrack[[#This Row],[Holdback Value]])</f>
        <v>30896.43</v>
      </c>
      <c r="I116" s="258"/>
      <c r="J116" s="258"/>
      <c r="K116" s="275">
        <v>43678</v>
      </c>
      <c r="L116" s="260">
        <v>43708</v>
      </c>
      <c r="M116" s="260"/>
      <c r="N116" s="258"/>
      <c r="O116" s="260" t="s">
        <v>106</v>
      </c>
      <c r="P116" s="260">
        <v>43708</v>
      </c>
      <c r="Q116" s="243" t="str">
        <f ca="1">IF(CostTrack[[#This Row],[Vendor - Contract]]="","",INDEX(VendorList[PA ID],MATCH(CostTrack[[#This Row],[Vendor - Contract]],VendorList[Vendor / Org. with Contract ID],0)))</f>
        <v>100.010.F1</v>
      </c>
      <c r="R116" s="243" t="str">
        <f ca="1">IF(CostTrack[[#This Row],[Vendor - Contract]]="","",INDEX(VendorList[Primary Category],MATCH(CostTrack[[#This Row],[Vendor - Contract]],VendorList[Vendor / Org. with Contract ID],0)))</f>
        <v>Administration</v>
      </c>
      <c r="S116" s="243" t="str">
        <f ca="1">IF(CostTrack[[#This Row],[Vendor - Contract]]="","",INDEX(VendorList[Secondary Category],MATCH(CostTrack[[#This Row],[Vendor - Contract]],VendorList[Vendor / Org. with Contract ID],0)))</f>
        <v>Staff Capitalization - INFRA</v>
      </c>
      <c r="T116" s="243" t="str">
        <f ca="1">IF(CostTrack[[#This Row],[Vendor - Contract]]="","",INDEX(VendorList[Phase / Subproject],MATCH(CostTrack[[#This Row],[Vendor - Contract]],VendorList[Vendor / Org. with Contract ID],0)))</f>
        <v>--</v>
      </c>
      <c r="U116" s="243" t="str">
        <f ca="1">IF(CostTrack[[#This Row],[Vendor - Contract]]="","",INDEX(VendorList[Phase / Subproject 2],MATCH(CostTrack[[#This Row],[Vendor - Contract]],VendorList[Vendor / Org. with Contract ID],0)))</f>
        <v>--</v>
      </c>
      <c r="V116" s="243" t="str">
        <f ca="1">IF(CostTrack[[#This Row],[Vendor - Contract]]="","",INDEX(VendorList[Funding Source],MATCH(CostTrack[[#This Row],[Vendor - Contract]],VendorList[Vendor / Org. with Contract ID],0)))</f>
        <v>P-002360</v>
      </c>
      <c r="W116" s="260">
        <v>43708</v>
      </c>
      <c r="X116" s="251" t="str">
        <f ca="1">IF(CostTrack[[#This Row],[Release Date (CMS)]]="","*","")</f>
        <v/>
      </c>
      <c r="Y116" s="267" t="s">
        <v>40</v>
      </c>
      <c r="Z116" s="271"/>
      <c r="AA116" s="245">
        <f ca="1">IF(OR(CostTrack[[#This Row],[Release Date (CMS)]]&gt;=DATE(VALUE(REPLACE(CostTrack[[#This Row],[Fiscal Period]],3,3,"")),3,1),CostTrack[[#This Row],[Release Date (CMS)]]&lt;DATE(VALUE(LEFT(CostTrack[[#This Row],[Fiscal Period]],4)),4,1)),1,0)</f>
        <v>0</v>
      </c>
      <c r="AB116" s="294">
        <v>30896.43</v>
      </c>
      <c r="AC116" s="260">
        <v>44224</v>
      </c>
      <c r="AD116" s="402" t="str">
        <f ca="1">IF(CostTrack[[#This Row],[Reconciled Amount]]="","",IF(CostTrack[[#This Row],[Value]]&lt;&gt;CostTrack[[#This Row],[Reconciled Amount]],"Yes","No"))</f>
        <v>No</v>
      </c>
    </row>
    <row r="117" spans="2:30">
      <c r="B117" s="400" t="s">
        <v>527</v>
      </c>
      <c r="C117" s="258" t="s">
        <v>874</v>
      </c>
      <c r="D117" s="260">
        <v>43708</v>
      </c>
      <c r="E117" s="282">
        <v>431945.77</v>
      </c>
      <c r="F117" s="265" t="s">
        <v>69</v>
      </c>
      <c r="G117" s="406">
        <f ca="1">ROUND(IF(CostTrack[[#This Row],[Holdback (Y/N/R)]]="Yes",CostTrack[[#This Row],[Value]]*-0.1,IF(CostTrack[[#This Row],[Holdback (Y/N/R)]]="Release",CostTrack[[#This Row],[Value]],0)),2)</f>
        <v>0</v>
      </c>
      <c r="H117" s="407">
        <f ca="1">IF(CostTrack[[#This Row],[Holdback (Y/N/R)]]="Release",CostTrack[[#This Row],[Value]],CostTrack[[#This Row],[Value]]+CostTrack[[#This Row],[Holdback Value]])</f>
        <v>431945.77</v>
      </c>
      <c r="I117" s="258"/>
      <c r="J117" s="258"/>
      <c r="K117" s="275">
        <v>43678</v>
      </c>
      <c r="L117" s="260" t="s">
        <v>875</v>
      </c>
      <c r="M117" s="260"/>
      <c r="N117" s="258"/>
      <c r="O117" s="260" t="s">
        <v>106</v>
      </c>
      <c r="P117" s="260">
        <v>43732</v>
      </c>
      <c r="Q117" s="243" t="str">
        <f ca="1">IF(CostTrack[[#This Row],[Vendor - Contract]]="","",INDEX(VendorList[PA ID],MATCH(CostTrack[[#This Row],[Vendor - Contract]],VendorList[Vendor / Org. with Contract ID],0)))</f>
        <v>200.010.F1</v>
      </c>
      <c r="R117" s="243" t="str">
        <f ca="1">IF(CostTrack[[#This Row],[Vendor - Contract]]="","",INDEX(VendorList[Primary Category],MATCH(CostTrack[[#This Row],[Vendor - Contract]],VendorList[Vendor / Org. with Contract ID],0)))</f>
        <v>Professional Services</v>
      </c>
      <c r="S117" s="243" t="str">
        <f ca="1">IF(CostTrack[[#This Row],[Vendor - Contract]]="","",INDEX(VendorList[Secondary Category],MATCH(CostTrack[[#This Row],[Vendor - Contract]],VendorList[Vendor / Org. with Contract ID],0)))</f>
        <v>Prime Consultant</v>
      </c>
      <c r="T117" s="243" t="str">
        <f ca="1">IF(CostTrack[[#This Row],[Vendor - Contract]]="","",INDEX(VendorList[Phase / Subproject],MATCH(CostTrack[[#This Row],[Vendor - Contract]],VendorList[Vendor / Org. with Contract ID],0)))</f>
        <v>--</v>
      </c>
      <c r="U117" s="243" t="str">
        <f ca="1">IF(CostTrack[[#This Row],[Vendor - Contract]]="","",INDEX(VendorList[Phase / Subproject 2],MATCH(CostTrack[[#This Row],[Vendor - Contract]],VendorList[Vendor / Org. with Contract ID],0)))</f>
        <v>--</v>
      </c>
      <c r="V117" s="243" t="str">
        <f ca="1">IF(CostTrack[[#This Row],[Vendor - Contract]]="","",INDEX(VendorList[Funding Source],MATCH(CostTrack[[#This Row],[Vendor - Contract]],VendorList[Vendor / Org. with Contract ID],0)))</f>
        <v>P-002360</v>
      </c>
      <c r="W117" s="260">
        <v>43732</v>
      </c>
      <c r="X117" s="251" t="str">
        <f ca="1">IF(CostTrack[[#This Row],[Release Date (CMS)]]="","*","")</f>
        <v/>
      </c>
      <c r="Y117" s="267" t="s">
        <v>40</v>
      </c>
      <c r="Z117" s="271"/>
      <c r="AA117" s="245">
        <f ca="1">IF(OR(CostTrack[[#This Row],[Release Date (CMS)]]&gt;=DATE(VALUE(REPLACE(CostTrack[[#This Row],[Fiscal Period]],3,3,"")),3,1),CostTrack[[#This Row],[Release Date (CMS)]]&lt;DATE(VALUE(LEFT(CostTrack[[#This Row],[Fiscal Period]],4)),4,1)),1,0)</f>
        <v>0</v>
      </c>
      <c r="AB117" s="294">
        <v>431945.77</v>
      </c>
      <c r="AC117" s="260">
        <v>44224</v>
      </c>
      <c r="AD117" s="402" t="str">
        <f ca="1">IF(CostTrack[[#This Row],[Reconciled Amount]]="","",IF(CostTrack[[#This Row],[Value]]&lt;&gt;CostTrack[[#This Row],[Reconciled Amount]],"Yes","No"))</f>
        <v>No</v>
      </c>
    </row>
    <row r="118" spans="2:30">
      <c r="B118" s="400" t="s">
        <v>736</v>
      </c>
      <c r="C118" s="258">
        <v>43709</v>
      </c>
      <c r="D118" s="260">
        <v>43738</v>
      </c>
      <c r="E118" s="282">
        <v>28487.23</v>
      </c>
      <c r="F118" s="265" t="s">
        <v>69</v>
      </c>
      <c r="G118" s="406">
        <f ca="1">ROUND(IF(CostTrack[[#This Row],[Holdback (Y/N/R)]]="Yes",CostTrack[[#This Row],[Value]]*-0.1,IF(CostTrack[[#This Row],[Holdback (Y/N/R)]]="Release",CostTrack[[#This Row],[Value]],0)),2)</f>
        <v>0</v>
      </c>
      <c r="H118" s="407">
        <f ca="1">IF(CostTrack[[#This Row],[Holdback (Y/N/R)]]="Release",CostTrack[[#This Row],[Value]],CostTrack[[#This Row],[Value]]+CostTrack[[#This Row],[Holdback Value]])</f>
        <v>28487.23</v>
      </c>
      <c r="I118" s="258"/>
      <c r="J118" s="258"/>
      <c r="K118" s="275">
        <v>43709</v>
      </c>
      <c r="L118" s="260">
        <v>43738</v>
      </c>
      <c r="M118" s="260"/>
      <c r="N118" s="258"/>
      <c r="O118" s="260" t="s">
        <v>106</v>
      </c>
      <c r="P118" s="260">
        <v>43738</v>
      </c>
      <c r="Q118" s="243" t="str">
        <f ca="1">IF(CostTrack[[#This Row],[Vendor - Contract]]="","",INDEX(VendorList[PA ID],MATCH(CostTrack[[#This Row],[Vendor - Contract]],VendorList[Vendor / Org. with Contract ID],0)))</f>
        <v>100.010.F1</v>
      </c>
      <c r="R118" s="243" t="str">
        <f ca="1">IF(CostTrack[[#This Row],[Vendor - Contract]]="","",INDEX(VendorList[Primary Category],MATCH(CostTrack[[#This Row],[Vendor - Contract]],VendorList[Vendor / Org. with Contract ID],0)))</f>
        <v>Administration</v>
      </c>
      <c r="S118" s="243" t="str">
        <f ca="1">IF(CostTrack[[#This Row],[Vendor - Contract]]="","",INDEX(VendorList[Secondary Category],MATCH(CostTrack[[#This Row],[Vendor - Contract]],VendorList[Vendor / Org. with Contract ID],0)))</f>
        <v>Staff Capitalization - INFRA</v>
      </c>
      <c r="T118" s="243" t="str">
        <f ca="1">IF(CostTrack[[#This Row],[Vendor - Contract]]="","",INDEX(VendorList[Phase / Subproject],MATCH(CostTrack[[#This Row],[Vendor - Contract]],VendorList[Vendor / Org. with Contract ID],0)))</f>
        <v>--</v>
      </c>
      <c r="U118" s="243" t="str">
        <f ca="1">IF(CostTrack[[#This Row],[Vendor - Contract]]="","",INDEX(VendorList[Phase / Subproject 2],MATCH(CostTrack[[#This Row],[Vendor - Contract]],VendorList[Vendor / Org. with Contract ID],0)))</f>
        <v>--</v>
      </c>
      <c r="V118" s="243" t="str">
        <f ca="1">IF(CostTrack[[#This Row],[Vendor - Contract]]="","",INDEX(VendorList[Funding Source],MATCH(CostTrack[[#This Row],[Vendor - Contract]],VendorList[Vendor / Org. with Contract ID],0)))</f>
        <v>P-002360</v>
      </c>
      <c r="W118" s="260">
        <v>43738</v>
      </c>
      <c r="X118" s="251" t="str">
        <f ca="1">IF(CostTrack[[#This Row],[Release Date (CMS)]]="","*","")</f>
        <v/>
      </c>
      <c r="Y118" s="267" t="s">
        <v>40</v>
      </c>
      <c r="Z118" s="271"/>
      <c r="AA118" s="245">
        <f ca="1">IF(OR(CostTrack[[#This Row],[Release Date (CMS)]]&gt;=DATE(VALUE(REPLACE(CostTrack[[#This Row],[Fiscal Period]],3,3,"")),3,1),CostTrack[[#This Row],[Release Date (CMS)]]&lt;DATE(VALUE(LEFT(CostTrack[[#This Row],[Fiscal Period]],4)),4,1)),1,0)</f>
        <v>0</v>
      </c>
      <c r="AB118" s="294">
        <v>28487.23</v>
      </c>
      <c r="AC118" s="260">
        <v>44224</v>
      </c>
      <c r="AD118" s="402" t="str">
        <f ca="1">IF(CostTrack[[#This Row],[Reconciled Amount]]="","",IF(CostTrack[[#This Row],[Value]]&lt;&gt;CostTrack[[#This Row],[Reconciled Amount]],"Yes","No"))</f>
        <v>No</v>
      </c>
    </row>
    <row r="119" spans="2:30" ht="27.95">
      <c r="B119" s="400" t="s">
        <v>569</v>
      </c>
      <c r="C119" s="258">
        <v>8073</v>
      </c>
      <c r="D119" s="260">
        <v>43707</v>
      </c>
      <c r="E119" s="282">
        <v>262700</v>
      </c>
      <c r="F119" s="265" t="s">
        <v>65</v>
      </c>
      <c r="G119" s="406">
        <f ca="1">ROUND(IF(CostTrack[[#This Row],[Holdback (Y/N/R)]]="Yes",CostTrack[[#This Row],[Value]]*-0.1,IF(CostTrack[[#This Row],[Holdback (Y/N/R)]]="Release",CostTrack[[#This Row],[Value]],0)),2)</f>
        <v>-26270</v>
      </c>
      <c r="H119" s="407">
        <f ca="1">IF(CostTrack[[#This Row],[Holdback (Y/N/R)]]="Release",CostTrack[[#This Row],[Value]],CostTrack[[#This Row],[Value]]+CostTrack[[#This Row],[Holdback Value]])</f>
        <v>236430</v>
      </c>
      <c r="I119" s="258"/>
      <c r="J119" s="258"/>
      <c r="K119" s="275">
        <v>43678</v>
      </c>
      <c r="L119" s="260">
        <v>43713</v>
      </c>
      <c r="M119" s="260"/>
      <c r="N119" s="258"/>
      <c r="O119" s="260" t="s">
        <v>106</v>
      </c>
      <c r="P119" s="260">
        <v>43745</v>
      </c>
      <c r="Q119" s="243" t="str">
        <f ca="1">IF(CostTrack[[#This Row],[Vendor - Contract]]="","",INDEX(VendorList[PA ID],MATCH(CostTrack[[#This Row],[Vendor - Contract]],VendorList[Vendor / Org. with Contract ID],0)))</f>
        <v>300.100.F1</v>
      </c>
      <c r="R119" s="243" t="str">
        <f ca="1">IF(CostTrack[[#This Row],[Vendor - Contract]]="","",INDEX(VendorList[Primary Category],MATCH(CostTrack[[#This Row],[Vendor - Contract]],VendorList[Vendor / Org. with Contract ID],0)))</f>
        <v>Construction</v>
      </c>
      <c r="S119" s="243" t="str">
        <f ca="1">IF(CostTrack[[#This Row],[Vendor - Contract]]="","",INDEX(VendorList[Secondary Category],MATCH(CostTrack[[#This Row],[Vendor - Contract]],VendorList[Vendor / Org. with Contract ID],0)))</f>
        <v>Demolition</v>
      </c>
      <c r="T119" s="243" t="str">
        <f ca="1">IF(CostTrack[[#This Row],[Vendor - Contract]]="","",INDEX(VendorList[Phase / Subproject],MATCH(CostTrack[[#This Row],[Vendor - Contract]],VendorList[Vendor / Org. with Contract ID],0)))</f>
        <v>--</v>
      </c>
      <c r="U119" s="243" t="str">
        <f ca="1">IF(CostTrack[[#This Row],[Vendor - Contract]]="","",INDEX(VendorList[Phase / Subproject 2],MATCH(CostTrack[[#This Row],[Vendor - Contract]],VendorList[Vendor / Org. with Contract ID],0)))</f>
        <v>--</v>
      </c>
      <c r="V119" s="243" t="str">
        <f ca="1">IF(CostTrack[[#This Row],[Vendor - Contract]]="","",INDEX(VendorList[Funding Source],MATCH(CostTrack[[#This Row],[Vendor - Contract]],VendorList[Vendor / Org. with Contract ID],0)))</f>
        <v>P-002360</v>
      </c>
      <c r="W119" s="260">
        <v>43746</v>
      </c>
      <c r="X119" s="251" t="str">
        <f ca="1">IF(CostTrack[[#This Row],[Release Date (CMS)]]="","*","")</f>
        <v/>
      </c>
      <c r="Y119" s="267" t="s">
        <v>40</v>
      </c>
      <c r="Z119" s="271" t="s">
        <v>876</v>
      </c>
      <c r="AA119" s="245">
        <f ca="1">IF(OR(CostTrack[[#This Row],[Release Date (CMS)]]&gt;=DATE(VALUE(REPLACE(CostTrack[[#This Row],[Fiscal Period]],3,3,"")),3,1),CostTrack[[#This Row],[Release Date (CMS)]]&lt;DATE(VALUE(LEFT(CostTrack[[#This Row],[Fiscal Period]],4)),4,1)),1,0)</f>
        <v>0</v>
      </c>
      <c r="AB119" s="294">
        <v>262700</v>
      </c>
      <c r="AC119" s="260">
        <v>44224</v>
      </c>
      <c r="AD119" s="402" t="str">
        <f ca="1">IF(CostTrack[[#This Row],[Reconciled Amount]]="","",IF(CostTrack[[#This Row],[Value]]&lt;&gt;CostTrack[[#This Row],[Reconciled Amount]],"Yes","No"))</f>
        <v>No</v>
      </c>
    </row>
    <row r="120" spans="2:30">
      <c r="B120" s="400" t="s">
        <v>754</v>
      </c>
      <c r="C120" s="258" t="s">
        <v>877</v>
      </c>
      <c r="D120" s="260">
        <v>43754</v>
      </c>
      <c r="E120" s="651">
        <v>306.67</v>
      </c>
      <c r="F120" s="265" t="s">
        <v>69</v>
      </c>
      <c r="G120" s="406">
        <f ca="1">ROUND(IF(CostTrack[[#This Row],[Holdback (Y/N/R)]]="Yes",CostTrack[[#This Row],[Value]]*-0.1,IF(CostTrack[[#This Row],[Holdback (Y/N/R)]]="Release",CostTrack[[#This Row],[Value]],0)),2)</f>
        <v>0</v>
      </c>
      <c r="H120" s="407">
        <f ca="1">IF(CostTrack[[#This Row],[Holdback (Y/N/R)]]="Release",CostTrack[[#This Row],[Value]],CostTrack[[#This Row],[Value]]+CostTrack[[#This Row],[Holdback Value]])</f>
        <v>306.67</v>
      </c>
      <c r="I120" s="258"/>
      <c r="J120" s="258"/>
      <c r="K120" s="275" t="s">
        <v>878</v>
      </c>
      <c r="L120" s="260">
        <v>43754</v>
      </c>
      <c r="M120" s="260"/>
      <c r="N120" s="258"/>
      <c r="O120" s="260" t="s">
        <v>106</v>
      </c>
      <c r="P120" s="260">
        <v>43754</v>
      </c>
      <c r="Q120" s="243" t="str">
        <f ca="1">IF(CostTrack[[#This Row],[Vendor - Contract]]="","",INDEX(VendorList[PA ID],MATCH(CostTrack[[#This Row],[Vendor - Contract]],VendorList[Vendor / Org. with Contract ID],0)))</f>
        <v>100.050.F1</v>
      </c>
      <c r="R120" s="243" t="str">
        <f ca="1">IF(CostTrack[[#This Row],[Vendor - Contract]]="","",INDEX(VendorList[Primary Category],MATCH(CostTrack[[#This Row],[Vendor - Contract]],VendorList[Vendor / Org. with Contract ID],0)))</f>
        <v>Administration</v>
      </c>
      <c r="S120" s="243" t="str">
        <f ca="1">IF(CostTrack[[#This Row],[Vendor - Contract]]="","",INDEX(VendorList[Secondary Category],MATCH(CostTrack[[#This Row],[Vendor - Contract]],VendorList[Vendor / Org. with Contract ID],0)))</f>
        <v>Other Administration</v>
      </c>
      <c r="T120" s="243" t="str">
        <f ca="1">IF(CostTrack[[#This Row],[Vendor - Contract]]="","",INDEX(VendorList[Phase / Subproject],MATCH(CostTrack[[#This Row],[Vendor - Contract]],VendorList[Vendor / Org. with Contract ID],0)))</f>
        <v>--</v>
      </c>
      <c r="U120" s="243" t="str">
        <f ca="1">IF(CostTrack[[#This Row],[Vendor - Contract]]="","",INDEX(VendorList[Phase / Subproject 2],MATCH(CostTrack[[#This Row],[Vendor - Contract]],VendorList[Vendor / Org. with Contract ID],0)))</f>
        <v>--</v>
      </c>
      <c r="V120" s="243" t="str">
        <f ca="1">IF(CostTrack[[#This Row],[Vendor - Contract]]="","",INDEX(VendorList[Funding Source],MATCH(CostTrack[[#This Row],[Vendor - Contract]],VendorList[Vendor / Org. with Contract ID],0)))</f>
        <v>P-002360</v>
      </c>
      <c r="W120" s="260">
        <v>43754</v>
      </c>
      <c r="X120" s="251" t="str">
        <f ca="1">IF(CostTrack[[#This Row],[Release Date (CMS)]]="","*","")</f>
        <v/>
      </c>
      <c r="Y120" s="267" t="s">
        <v>40</v>
      </c>
      <c r="Z120" s="271"/>
      <c r="AA120" s="245">
        <f ca="1">IF(OR(CostTrack[[#This Row],[Release Date (CMS)]]&gt;=DATE(VALUE(REPLACE(CostTrack[[#This Row],[Fiscal Period]],3,3,"")),3,1),CostTrack[[#This Row],[Release Date (CMS)]]&lt;DATE(VALUE(LEFT(CostTrack[[#This Row],[Fiscal Period]],4)),4,1)),1,0)</f>
        <v>0</v>
      </c>
      <c r="AB120" s="294">
        <v>306.67</v>
      </c>
      <c r="AC120" s="260">
        <v>44224</v>
      </c>
      <c r="AD120" s="402" t="str">
        <f ca="1">IF(CostTrack[[#This Row],[Reconciled Amount]]="","",IF(CostTrack[[#This Row],[Value]]&lt;&gt;CostTrack[[#This Row],[Reconciled Amount]],"Yes","No"))</f>
        <v>No</v>
      </c>
    </row>
    <row r="121" spans="2:30">
      <c r="B121" s="400" t="s">
        <v>731</v>
      </c>
      <c r="C121" s="258" t="s">
        <v>879</v>
      </c>
      <c r="D121" s="260">
        <v>43754</v>
      </c>
      <c r="E121" s="651">
        <v>418.36</v>
      </c>
      <c r="F121" s="265" t="s">
        <v>69</v>
      </c>
      <c r="G121" s="406">
        <f ca="1">ROUND(IF(CostTrack[[#This Row],[Holdback (Y/N/R)]]="Yes",CostTrack[[#This Row],[Value]]*-0.1,IF(CostTrack[[#This Row],[Holdback (Y/N/R)]]="Release",CostTrack[[#This Row],[Value]],0)),2)</f>
        <v>0</v>
      </c>
      <c r="H121" s="407">
        <f ca="1">IF(CostTrack[[#This Row],[Holdback (Y/N/R)]]="Release",CostTrack[[#This Row],[Value]],CostTrack[[#This Row],[Value]]+CostTrack[[#This Row],[Holdback Value]])</f>
        <v>418.36</v>
      </c>
      <c r="I121" s="258"/>
      <c r="J121" s="258"/>
      <c r="K121" s="275" t="s">
        <v>880</v>
      </c>
      <c r="L121" s="260">
        <v>43754</v>
      </c>
      <c r="M121" s="260"/>
      <c r="N121" s="258"/>
      <c r="O121" s="260" t="s">
        <v>106</v>
      </c>
      <c r="P121" s="260">
        <v>43754</v>
      </c>
      <c r="Q121" s="243" t="str">
        <f ca="1">IF(CostTrack[[#This Row],[Vendor - Contract]]="","",INDEX(VendorList[PA ID],MATCH(CostTrack[[#This Row],[Vendor - Contract]],VendorList[Vendor / Org. with Contract ID],0)))</f>
        <v>100.050.F1</v>
      </c>
      <c r="R121" s="243" t="str">
        <f ca="1">IF(CostTrack[[#This Row],[Vendor - Contract]]="","",INDEX(VendorList[Primary Category],MATCH(CostTrack[[#This Row],[Vendor - Contract]],VendorList[Vendor / Org. with Contract ID],0)))</f>
        <v>Administration</v>
      </c>
      <c r="S121" s="243" t="str">
        <f ca="1">IF(CostTrack[[#This Row],[Vendor - Contract]]="","",INDEX(VendorList[Secondary Category],MATCH(CostTrack[[#This Row],[Vendor - Contract]],VendorList[Vendor / Org. with Contract ID],0)))</f>
        <v>Other Administration</v>
      </c>
      <c r="T121" s="243" t="str">
        <f ca="1">IF(CostTrack[[#This Row],[Vendor - Contract]]="","",INDEX(VendorList[Phase / Subproject],MATCH(CostTrack[[#This Row],[Vendor - Contract]],VendorList[Vendor / Org. with Contract ID],0)))</f>
        <v>--</v>
      </c>
      <c r="U121" s="243" t="str">
        <f ca="1">IF(CostTrack[[#This Row],[Vendor - Contract]]="","",INDEX(VendorList[Phase / Subproject 2],MATCH(CostTrack[[#This Row],[Vendor - Contract]],VendorList[Vendor / Org. with Contract ID],0)))</f>
        <v>--</v>
      </c>
      <c r="V121" s="243" t="str">
        <f ca="1">IF(CostTrack[[#This Row],[Vendor - Contract]]="","",INDEX(VendorList[Funding Source],MATCH(CostTrack[[#This Row],[Vendor - Contract]],VendorList[Vendor / Org. with Contract ID],0)))</f>
        <v>P-002360</v>
      </c>
      <c r="W121" s="260">
        <v>43754</v>
      </c>
      <c r="X121" s="251" t="str">
        <f ca="1">IF(CostTrack[[#This Row],[Release Date (CMS)]]="","*","")</f>
        <v/>
      </c>
      <c r="Y121" s="267" t="s">
        <v>40</v>
      </c>
      <c r="Z121" s="271"/>
      <c r="AA121" s="245">
        <f ca="1">IF(OR(CostTrack[[#This Row],[Release Date (CMS)]]&gt;=DATE(VALUE(REPLACE(CostTrack[[#This Row],[Fiscal Period]],3,3,"")),3,1),CostTrack[[#This Row],[Release Date (CMS)]]&lt;DATE(VALUE(LEFT(CostTrack[[#This Row],[Fiscal Period]],4)),4,1)),1,0)</f>
        <v>0</v>
      </c>
      <c r="AB121" s="294">
        <v>418.36</v>
      </c>
      <c r="AC121" s="260">
        <v>44224</v>
      </c>
      <c r="AD121" s="402" t="str">
        <f ca="1">IF(CostTrack[[#This Row],[Reconciled Amount]]="","",IF(CostTrack[[#This Row],[Value]]&lt;&gt;CostTrack[[#This Row],[Reconciled Amount]],"Yes","No"))</f>
        <v>No</v>
      </c>
    </row>
    <row r="122" spans="2:30">
      <c r="B122" s="400" t="s">
        <v>755</v>
      </c>
      <c r="C122" s="258">
        <v>1813998</v>
      </c>
      <c r="D122" s="260">
        <v>43713</v>
      </c>
      <c r="E122" s="651">
        <v>81.61</v>
      </c>
      <c r="F122" s="265" t="s">
        <v>69</v>
      </c>
      <c r="G122" s="406">
        <f ca="1">ROUND(IF(CostTrack[[#This Row],[Holdback (Y/N/R)]]="Yes",CostTrack[[#This Row],[Value]]*-0.1,IF(CostTrack[[#This Row],[Holdback (Y/N/R)]]="Release",CostTrack[[#This Row],[Value]],0)),2)</f>
        <v>0</v>
      </c>
      <c r="H122" s="407">
        <f ca="1">IF(CostTrack[[#This Row],[Holdback (Y/N/R)]]="Release",CostTrack[[#This Row],[Value]],CostTrack[[#This Row],[Value]]+CostTrack[[#This Row],[Holdback Value]])</f>
        <v>81.61</v>
      </c>
      <c r="I122" s="258"/>
      <c r="J122" s="258"/>
      <c r="K122" s="275">
        <v>43709</v>
      </c>
      <c r="L122" s="260">
        <v>43713</v>
      </c>
      <c r="M122" s="260"/>
      <c r="N122" s="258"/>
      <c r="O122" s="260" t="s">
        <v>106</v>
      </c>
      <c r="P122" s="260">
        <v>43713</v>
      </c>
      <c r="Q122" s="243" t="str">
        <f ca="1">IF(CostTrack[[#This Row],[Vendor - Contract]]="","",INDEX(VendorList[PA ID],MATCH(CostTrack[[#This Row],[Vendor - Contract]],VendorList[Vendor / Org. with Contract ID],0)))</f>
        <v>100.050.F1</v>
      </c>
      <c r="R122" s="243" t="str">
        <f ca="1">IF(CostTrack[[#This Row],[Vendor - Contract]]="","",INDEX(VendorList[Primary Category],MATCH(CostTrack[[#This Row],[Vendor - Contract]],VendorList[Vendor / Org. with Contract ID],0)))</f>
        <v>Administration</v>
      </c>
      <c r="S122" s="243" t="str">
        <f ca="1">IF(CostTrack[[#This Row],[Vendor - Contract]]="","",INDEX(VendorList[Secondary Category],MATCH(CostTrack[[#This Row],[Vendor - Contract]],VendorList[Vendor / Org. with Contract ID],0)))</f>
        <v>Other Administration</v>
      </c>
      <c r="T122" s="243" t="str">
        <f ca="1">IF(CostTrack[[#This Row],[Vendor - Contract]]="","",INDEX(VendorList[Phase / Subproject],MATCH(CostTrack[[#This Row],[Vendor - Contract]],VendorList[Vendor / Org. with Contract ID],0)))</f>
        <v>--</v>
      </c>
      <c r="U122" s="243" t="str">
        <f ca="1">IF(CostTrack[[#This Row],[Vendor - Contract]]="","",INDEX(VendorList[Phase / Subproject 2],MATCH(CostTrack[[#This Row],[Vendor - Contract]],VendorList[Vendor / Org. with Contract ID],0)))</f>
        <v>--</v>
      </c>
      <c r="V122" s="243" t="str">
        <f ca="1">IF(CostTrack[[#This Row],[Vendor - Contract]]="","",INDEX(VendorList[Funding Source],MATCH(CostTrack[[#This Row],[Vendor - Contract]],VendorList[Vendor / Org. with Contract ID],0)))</f>
        <v>P-002360</v>
      </c>
      <c r="W122" s="260">
        <v>43713</v>
      </c>
      <c r="X122" s="251" t="str">
        <f ca="1">IF(CostTrack[[#This Row],[Release Date (CMS)]]="","*","")</f>
        <v/>
      </c>
      <c r="Y122" s="267" t="s">
        <v>40</v>
      </c>
      <c r="Z122" s="271" t="s">
        <v>881</v>
      </c>
      <c r="AA122" s="245">
        <f ca="1">IF(OR(CostTrack[[#This Row],[Release Date (CMS)]]&gt;=DATE(VALUE(REPLACE(CostTrack[[#This Row],[Fiscal Period]],3,3,"")),3,1),CostTrack[[#This Row],[Release Date (CMS)]]&lt;DATE(VALUE(LEFT(CostTrack[[#This Row],[Fiscal Period]],4)),4,1)),1,0)</f>
        <v>0</v>
      </c>
      <c r="AB122" s="294">
        <v>81.61</v>
      </c>
      <c r="AC122" s="260">
        <v>44224</v>
      </c>
      <c r="AD122" s="402" t="str">
        <f ca="1">IF(CostTrack[[#This Row],[Reconciled Amount]]="","",IF(CostTrack[[#This Row],[Value]]&lt;&gt;CostTrack[[#This Row],[Reconciled Amount]],"Yes","No"))</f>
        <v>No</v>
      </c>
    </row>
    <row r="123" spans="2:30">
      <c r="B123" s="400" t="s">
        <v>573</v>
      </c>
      <c r="C123" s="258">
        <v>168132</v>
      </c>
      <c r="D123" s="260">
        <v>43658</v>
      </c>
      <c r="E123" s="282">
        <v>2170</v>
      </c>
      <c r="F123" s="265" t="s">
        <v>69</v>
      </c>
      <c r="G123" s="406">
        <f ca="1">ROUND(IF(CostTrack[[#This Row],[Holdback (Y/N/R)]]="Yes",CostTrack[[#This Row],[Value]]*-0.1,IF(CostTrack[[#This Row],[Holdback (Y/N/R)]]="Release",CostTrack[[#This Row],[Value]],0)),2)</f>
        <v>0</v>
      </c>
      <c r="H123" s="407">
        <f ca="1">IF(CostTrack[[#This Row],[Holdback (Y/N/R)]]="Release",CostTrack[[#This Row],[Value]],CostTrack[[#This Row],[Value]]+CostTrack[[#This Row],[Holdback Value]])</f>
        <v>2170</v>
      </c>
      <c r="I123" s="258"/>
      <c r="J123" s="258"/>
      <c r="K123" s="275" t="s">
        <v>882</v>
      </c>
      <c r="L123" s="260">
        <v>43763</v>
      </c>
      <c r="M123" s="260"/>
      <c r="N123" s="258"/>
      <c r="O123" s="260" t="s">
        <v>106</v>
      </c>
      <c r="P123" s="260">
        <v>43763</v>
      </c>
      <c r="Q123" s="243" t="str">
        <f ca="1">IF(CostTrack[[#This Row],[Vendor - Contract]]="","",INDEX(VendorList[PA ID],MATCH(CostTrack[[#This Row],[Vendor - Contract]],VendorList[Vendor / Org. with Contract ID],0)))</f>
        <v>200.050.F1</v>
      </c>
      <c r="R123" s="243" t="str">
        <f ca="1">IF(CostTrack[[#This Row],[Vendor - Contract]]="","",INDEX(VendorList[Primary Category],MATCH(CostTrack[[#This Row],[Vendor - Contract]],VendorList[Vendor / Org. with Contract ID],0)))</f>
        <v>Professional Services</v>
      </c>
      <c r="S123" s="243" t="str">
        <f ca="1">IF(CostTrack[[#This Row],[Vendor - Contract]]="","",INDEX(VendorList[Secondary Category],MATCH(CostTrack[[#This Row],[Vendor - Contract]],VendorList[Vendor / Org. with Contract ID],0)))</f>
        <v>Other Professional Services</v>
      </c>
      <c r="T123" s="243" t="str">
        <f ca="1">IF(CostTrack[[#This Row],[Vendor - Contract]]="","",INDEX(VendorList[Phase / Subproject],MATCH(CostTrack[[#This Row],[Vendor - Contract]],VendorList[Vendor / Org. with Contract ID],0)))</f>
        <v>--</v>
      </c>
      <c r="U123" s="243" t="str">
        <f ca="1">IF(CostTrack[[#This Row],[Vendor - Contract]]="","",INDEX(VendorList[Phase / Subproject 2],MATCH(CostTrack[[#This Row],[Vendor - Contract]],VendorList[Vendor / Org. with Contract ID],0)))</f>
        <v>--</v>
      </c>
      <c r="V123" s="243" t="str">
        <f ca="1">IF(CostTrack[[#This Row],[Vendor - Contract]]="","",INDEX(VendorList[Funding Source],MATCH(CostTrack[[#This Row],[Vendor - Contract]],VendorList[Vendor / Org. with Contract ID],0)))</f>
        <v>P-002360</v>
      </c>
      <c r="W123" s="260">
        <v>43763</v>
      </c>
      <c r="X123" s="251" t="str">
        <f ca="1">IF(CostTrack[[#This Row],[Release Date (CMS)]]="","*","")</f>
        <v/>
      </c>
      <c r="Y123" s="267" t="s">
        <v>40</v>
      </c>
      <c r="Z123" s="271"/>
      <c r="AA123" s="245">
        <f ca="1">IF(OR(CostTrack[[#This Row],[Release Date (CMS)]]&gt;=DATE(VALUE(REPLACE(CostTrack[[#This Row],[Fiscal Period]],3,3,"")),3,1),CostTrack[[#This Row],[Release Date (CMS)]]&lt;DATE(VALUE(LEFT(CostTrack[[#This Row],[Fiscal Period]],4)),4,1)),1,0)</f>
        <v>0</v>
      </c>
      <c r="AB123" s="294">
        <v>2170</v>
      </c>
      <c r="AC123" s="260">
        <v>44225</v>
      </c>
      <c r="AD123" s="402" t="str">
        <f ca="1">IF(CostTrack[[#This Row],[Reconciled Amount]]="","",IF(CostTrack[[#This Row],[Value]]&lt;&gt;CostTrack[[#This Row],[Reconciled Amount]],"Yes","No"))</f>
        <v>No</v>
      </c>
    </row>
    <row r="124" spans="2:30">
      <c r="B124" s="400" t="s">
        <v>573</v>
      </c>
      <c r="C124" s="258">
        <v>168128</v>
      </c>
      <c r="D124" s="260">
        <v>43679</v>
      </c>
      <c r="E124" s="282">
        <v>2475</v>
      </c>
      <c r="F124" s="265" t="s">
        <v>69</v>
      </c>
      <c r="G124" s="406">
        <f ca="1">ROUND(IF(CostTrack[[#This Row],[Holdback (Y/N/R)]]="Yes",CostTrack[[#This Row],[Value]]*-0.1,IF(CostTrack[[#This Row],[Holdback (Y/N/R)]]="Release",CostTrack[[#This Row],[Value]],0)),2)</f>
        <v>0</v>
      </c>
      <c r="H124" s="407">
        <f ca="1">IF(CostTrack[[#This Row],[Holdback (Y/N/R)]]="Release",CostTrack[[#This Row],[Value]],CostTrack[[#This Row],[Value]]+CostTrack[[#This Row],[Holdback Value]])</f>
        <v>2475</v>
      </c>
      <c r="I124" s="258"/>
      <c r="J124" s="258"/>
      <c r="K124" s="275" t="s">
        <v>883</v>
      </c>
      <c r="L124" s="260">
        <v>43763</v>
      </c>
      <c r="M124" s="260"/>
      <c r="N124" s="258"/>
      <c r="O124" s="260" t="s">
        <v>106</v>
      </c>
      <c r="P124" s="260">
        <v>43763</v>
      </c>
      <c r="Q124" s="243" t="str">
        <f ca="1">IF(CostTrack[[#This Row],[Vendor - Contract]]="","",INDEX(VendorList[PA ID],MATCH(CostTrack[[#This Row],[Vendor - Contract]],VendorList[Vendor / Org. with Contract ID],0)))</f>
        <v>200.050.F1</v>
      </c>
      <c r="R124" s="243" t="str">
        <f ca="1">IF(CostTrack[[#This Row],[Vendor - Contract]]="","",INDEX(VendorList[Primary Category],MATCH(CostTrack[[#This Row],[Vendor - Contract]],VendorList[Vendor / Org. with Contract ID],0)))</f>
        <v>Professional Services</v>
      </c>
      <c r="S124" s="243" t="str">
        <f ca="1">IF(CostTrack[[#This Row],[Vendor - Contract]]="","",INDEX(VendorList[Secondary Category],MATCH(CostTrack[[#This Row],[Vendor - Contract]],VendorList[Vendor / Org. with Contract ID],0)))</f>
        <v>Other Professional Services</v>
      </c>
      <c r="T124" s="243" t="str">
        <f ca="1">IF(CostTrack[[#This Row],[Vendor - Contract]]="","",INDEX(VendorList[Phase / Subproject],MATCH(CostTrack[[#This Row],[Vendor - Contract]],VendorList[Vendor / Org. with Contract ID],0)))</f>
        <v>--</v>
      </c>
      <c r="U124" s="243" t="str">
        <f ca="1">IF(CostTrack[[#This Row],[Vendor - Contract]]="","",INDEX(VendorList[Phase / Subproject 2],MATCH(CostTrack[[#This Row],[Vendor - Contract]],VendorList[Vendor / Org. with Contract ID],0)))</f>
        <v>--</v>
      </c>
      <c r="V124" s="243" t="str">
        <f ca="1">IF(CostTrack[[#This Row],[Vendor - Contract]]="","",INDEX(VendorList[Funding Source],MATCH(CostTrack[[#This Row],[Vendor - Contract]],VendorList[Vendor / Org. with Contract ID],0)))</f>
        <v>P-002360</v>
      </c>
      <c r="W124" s="260">
        <v>43763</v>
      </c>
      <c r="X124" s="251" t="str">
        <f ca="1">IF(CostTrack[[#This Row],[Release Date (CMS)]]="","*","")</f>
        <v/>
      </c>
      <c r="Y124" s="267" t="s">
        <v>40</v>
      </c>
      <c r="Z124" s="271"/>
      <c r="AA124" s="245">
        <f ca="1">IF(OR(CostTrack[[#This Row],[Release Date (CMS)]]&gt;=DATE(VALUE(REPLACE(CostTrack[[#This Row],[Fiscal Period]],3,3,"")),3,1),CostTrack[[#This Row],[Release Date (CMS)]]&lt;DATE(VALUE(LEFT(CostTrack[[#This Row],[Fiscal Period]],4)),4,1)),1,0)</f>
        <v>0</v>
      </c>
      <c r="AB124" s="294">
        <v>2475</v>
      </c>
      <c r="AC124" s="260">
        <v>44225</v>
      </c>
      <c r="AD124" s="402" t="str">
        <f ca="1">IF(CostTrack[[#This Row],[Reconciled Amount]]="","",IF(CostTrack[[#This Row],[Value]]&lt;&gt;CostTrack[[#This Row],[Reconciled Amount]],"Yes","No"))</f>
        <v>No</v>
      </c>
    </row>
    <row r="125" spans="2:30">
      <c r="B125" s="400" t="s">
        <v>573</v>
      </c>
      <c r="C125" s="258">
        <v>169054</v>
      </c>
      <c r="D125" s="260">
        <v>43724</v>
      </c>
      <c r="E125" s="282">
        <v>1865</v>
      </c>
      <c r="F125" s="265" t="s">
        <v>69</v>
      </c>
      <c r="G125" s="406">
        <f ca="1">ROUND(IF(CostTrack[[#This Row],[Holdback (Y/N/R)]]="Yes",CostTrack[[#This Row],[Value]]*-0.1,IF(CostTrack[[#This Row],[Holdback (Y/N/R)]]="Release",CostTrack[[#This Row],[Value]],0)),2)</f>
        <v>0</v>
      </c>
      <c r="H125" s="407">
        <f ca="1">IF(CostTrack[[#This Row],[Holdback (Y/N/R)]]="Release",CostTrack[[#This Row],[Value]],CostTrack[[#This Row],[Value]]+CostTrack[[#This Row],[Holdback Value]])</f>
        <v>1865</v>
      </c>
      <c r="I125" s="258"/>
      <c r="J125" s="258"/>
      <c r="K125" s="275" t="s">
        <v>884</v>
      </c>
      <c r="L125" s="260">
        <v>43763</v>
      </c>
      <c r="M125" s="260"/>
      <c r="N125" s="258"/>
      <c r="O125" s="260" t="s">
        <v>106</v>
      </c>
      <c r="P125" s="260">
        <v>43763</v>
      </c>
      <c r="Q125" s="243" t="str">
        <f ca="1">IF(CostTrack[[#This Row],[Vendor - Contract]]="","",INDEX(VendorList[PA ID],MATCH(CostTrack[[#This Row],[Vendor - Contract]],VendorList[Vendor / Org. with Contract ID],0)))</f>
        <v>200.050.F1</v>
      </c>
      <c r="R125" s="243" t="str">
        <f ca="1">IF(CostTrack[[#This Row],[Vendor - Contract]]="","",INDEX(VendorList[Primary Category],MATCH(CostTrack[[#This Row],[Vendor - Contract]],VendorList[Vendor / Org. with Contract ID],0)))</f>
        <v>Professional Services</v>
      </c>
      <c r="S125" s="243" t="str">
        <f ca="1">IF(CostTrack[[#This Row],[Vendor - Contract]]="","",INDEX(VendorList[Secondary Category],MATCH(CostTrack[[#This Row],[Vendor - Contract]],VendorList[Vendor / Org. with Contract ID],0)))</f>
        <v>Other Professional Services</v>
      </c>
      <c r="T125" s="243" t="str">
        <f ca="1">IF(CostTrack[[#This Row],[Vendor - Contract]]="","",INDEX(VendorList[Phase / Subproject],MATCH(CostTrack[[#This Row],[Vendor - Contract]],VendorList[Vendor / Org. with Contract ID],0)))</f>
        <v>--</v>
      </c>
      <c r="U125" s="243" t="str">
        <f ca="1">IF(CostTrack[[#This Row],[Vendor - Contract]]="","",INDEX(VendorList[Phase / Subproject 2],MATCH(CostTrack[[#This Row],[Vendor - Contract]],VendorList[Vendor / Org. with Contract ID],0)))</f>
        <v>--</v>
      </c>
      <c r="V125" s="243" t="str">
        <f ca="1">IF(CostTrack[[#This Row],[Vendor - Contract]]="","",INDEX(VendorList[Funding Source],MATCH(CostTrack[[#This Row],[Vendor - Contract]],VendorList[Vendor / Org. with Contract ID],0)))</f>
        <v>P-002360</v>
      </c>
      <c r="W125" s="260">
        <v>43763</v>
      </c>
      <c r="X125" s="251" t="str">
        <f ca="1">IF(CostTrack[[#This Row],[Release Date (CMS)]]="","*","")</f>
        <v/>
      </c>
      <c r="Y125" s="267" t="s">
        <v>40</v>
      </c>
      <c r="Z125" s="271"/>
      <c r="AA125" s="245">
        <f ca="1">IF(OR(CostTrack[[#This Row],[Release Date (CMS)]]&gt;=DATE(VALUE(REPLACE(CostTrack[[#This Row],[Fiscal Period]],3,3,"")),3,1),CostTrack[[#This Row],[Release Date (CMS)]]&lt;DATE(VALUE(LEFT(CostTrack[[#This Row],[Fiscal Period]],4)),4,1)),1,0)</f>
        <v>0</v>
      </c>
      <c r="AB125" s="294">
        <v>1865</v>
      </c>
      <c r="AC125" s="260">
        <v>44225</v>
      </c>
      <c r="AD125" s="402" t="str">
        <f ca="1">IF(CostTrack[[#This Row],[Reconciled Amount]]="","",IF(CostTrack[[#This Row],[Value]]&lt;&gt;CostTrack[[#This Row],[Reconciled Amount]],"Yes","No"))</f>
        <v>No</v>
      </c>
    </row>
    <row r="126" spans="2:30">
      <c r="B126" s="400" t="s">
        <v>527</v>
      </c>
      <c r="C126" s="258">
        <v>19808</v>
      </c>
      <c r="D126" s="260">
        <v>43738</v>
      </c>
      <c r="E126" s="282">
        <v>317619.71999999997</v>
      </c>
      <c r="F126" s="265" t="s">
        <v>69</v>
      </c>
      <c r="G126" s="406">
        <f ca="1">ROUND(IF(CostTrack[[#This Row],[Holdback (Y/N/R)]]="Yes",CostTrack[[#This Row],[Value]]*-0.1,IF(CostTrack[[#This Row],[Holdback (Y/N/R)]]="Release",CostTrack[[#This Row],[Value]],0)),2)</f>
        <v>0</v>
      </c>
      <c r="H126" s="407">
        <f ca="1">IF(CostTrack[[#This Row],[Holdback (Y/N/R)]]="Release",CostTrack[[#This Row],[Value]],CostTrack[[#This Row],[Value]]+CostTrack[[#This Row],[Holdback Value]])</f>
        <v>317619.71999999997</v>
      </c>
      <c r="I126" s="258"/>
      <c r="J126" s="258"/>
      <c r="K126" s="275">
        <v>43709</v>
      </c>
      <c r="L126" s="260">
        <v>43742</v>
      </c>
      <c r="M126" s="260"/>
      <c r="N126" s="258"/>
      <c r="O126" s="260" t="s">
        <v>106</v>
      </c>
      <c r="P126" s="260">
        <v>43747</v>
      </c>
      <c r="Q126" s="243" t="str">
        <f ca="1">IF(CostTrack[[#This Row],[Vendor - Contract]]="","",INDEX(VendorList[PA ID],MATCH(CostTrack[[#This Row],[Vendor - Contract]],VendorList[Vendor / Org. with Contract ID],0)))</f>
        <v>200.010.F1</v>
      </c>
      <c r="R126" s="243" t="str">
        <f ca="1">IF(CostTrack[[#This Row],[Vendor - Contract]]="","",INDEX(VendorList[Primary Category],MATCH(CostTrack[[#This Row],[Vendor - Contract]],VendorList[Vendor / Org. with Contract ID],0)))</f>
        <v>Professional Services</v>
      </c>
      <c r="S126" s="243" t="str">
        <f ca="1">IF(CostTrack[[#This Row],[Vendor - Contract]]="","",INDEX(VendorList[Secondary Category],MATCH(CostTrack[[#This Row],[Vendor - Contract]],VendorList[Vendor / Org. with Contract ID],0)))</f>
        <v>Prime Consultant</v>
      </c>
      <c r="T126" s="243" t="str">
        <f ca="1">IF(CostTrack[[#This Row],[Vendor - Contract]]="","",INDEX(VendorList[Phase / Subproject],MATCH(CostTrack[[#This Row],[Vendor - Contract]],VendorList[Vendor / Org. with Contract ID],0)))</f>
        <v>--</v>
      </c>
      <c r="U126" s="243" t="str">
        <f ca="1">IF(CostTrack[[#This Row],[Vendor - Contract]]="","",INDEX(VendorList[Phase / Subproject 2],MATCH(CostTrack[[#This Row],[Vendor - Contract]],VendorList[Vendor / Org. with Contract ID],0)))</f>
        <v>--</v>
      </c>
      <c r="V126" s="243" t="str">
        <f ca="1">IF(CostTrack[[#This Row],[Vendor - Contract]]="","",INDEX(VendorList[Funding Source],MATCH(CostTrack[[#This Row],[Vendor - Contract]],VendorList[Vendor / Org. with Contract ID],0)))</f>
        <v>P-002360</v>
      </c>
      <c r="W126" s="260">
        <v>43749</v>
      </c>
      <c r="X126" s="251" t="str">
        <f ca="1">IF(CostTrack[[#This Row],[Release Date (CMS)]]="","*","")</f>
        <v/>
      </c>
      <c r="Y126" s="267" t="s">
        <v>40</v>
      </c>
      <c r="Z126" s="271"/>
      <c r="AA126" s="245">
        <f ca="1">IF(OR(CostTrack[[#This Row],[Release Date (CMS)]]&gt;=DATE(VALUE(REPLACE(CostTrack[[#This Row],[Fiscal Period]],3,3,"")),3,1),CostTrack[[#This Row],[Release Date (CMS)]]&lt;DATE(VALUE(LEFT(CostTrack[[#This Row],[Fiscal Period]],4)),4,1)),1,0)</f>
        <v>0</v>
      </c>
      <c r="AB126" s="294">
        <v>317619.71999999997</v>
      </c>
      <c r="AC126" s="260">
        <v>44224</v>
      </c>
      <c r="AD126" s="402" t="str">
        <f ca="1">IF(CostTrack[[#This Row],[Reconciled Amount]]="","",IF(CostTrack[[#This Row],[Value]]&lt;&gt;CostTrack[[#This Row],[Reconciled Amount]],"Yes","No"))</f>
        <v>No</v>
      </c>
    </row>
    <row r="127" spans="2:30">
      <c r="B127" s="400" t="s">
        <v>577</v>
      </c>
      <c r="C127" s="258" t="s">
        <v>885</v>
      </c>
      <c r="D127" s="260">
        <v>43759</v>
      </c>
      <c r="E127" s="282">
        <v>13440.95</v>
      </c>
      <c r="F127" s="265" t="s">
        <v>69</v>
      </c>
      <c r="G127" s="406">
        <f ca="1">ROUND(IF(CostTrack[[#This Row],[Holdback (Y/N/R)]]="Yes",CostTrack[[#This Row],[Value]]*-0.1,IF(CostTrack[[#This Row],[Holdback (Y/N/R)]]="Release",CostTrack[[#This Row],[Value]],0)),2)</f>
        <v>0</v>
      </c>
      <c r="H127" s="407">
        <f ca="1">IF(CostTrack[[#This Row],[Holdback (Y/N/R)]]="Release",CostTrack[[#This Row],[Value]],CostTrack[[#This Row],[Value]]+CostTrack[[#This Row],[Holdback Value]])</f>
        <v>13440.95</v>
      </c>
      <c r="I127" s="258"/>
      <c r="J127" s="258"/>
      <c r="K127" s="275"/>
      <c r="L127" s="260">
        <v>43768</v>
      </c>
      <c r="M127" s="260"/>
      <c r="N127" s="258"/>
      <c r="O127" s="260" t="s">
        <v>106</v>
      </c>
      <c r="P127" s="260">
        <v>43769</v>
      </c>
      <c r="Q127" s="243" t="str">
        <f ca="1">IF(CostTrack[[#This Row],[Vendor - Contract]]="","",INDEX(VendorList[PA ID],MATCH(CostTrack[[#This Row],[Vendor - Contract]],VendorList[Vendor / Org. with Contract ID],0)))</f>
        <v>300.020.F1</v>
      </c>
      <c r="R127" s="243" t="str">
        <f ca="1">IF(CostTrack[[#This Row],[Vendor - Contract]]="","",INDEX(VendorList[Primary Category],MATCH(CostTrack[[#This Row],[Vendor - Contract]],VendorList[Vendor / Org. with Contract ID],0)))</f>
        <v>Construction</v>
      </c>
      <c r="S127" s="243" t="str">
        <f ca="1">IF(CostTrack[[#This Row],[Vendor - Contract]]="","",INDEX(VendorList[Secondary Category],MATCH(CostTrack[[#This Row],[Vendor - Contract]],VendorList[Vendor / Org. with Contract ID],0)))</f>
        <v>Utilities</v>
      </c>
      <c r="T127" s="243" t="str">
        <f ca="1">IF(CostTrack[[#This Row],[Vendor - Contract]]="","",INDEX(VendorList[Phase / Subproject],MATCH(CostTrack[[#This Row],[Vendor - Contract]],VendorList[Vendor / Org. with Contract ID],0)))</f>
        <v>--</v>
      </c>
      <c r="U127" s="243" t="str">
        <f ca="1">IF(CostTrack[[#This Row],[Vendor - Contract]]="","",INDEX(VendorList[Phase / Subproject 2],MATCH(CostTrack[[#This Row],[Vendor - Contract]],VendorList[Vendor / Org. with Contract ID],0)))</f>
        <v>--</v>
      </c>
      <c r="V127" s="243" t="str">
        <f ca="1">IF(CostTrack[[#This Row],[Vendor - Contract]]="","",INDEX(VendorList[Funding Source],MATCH(CostTrack[[#This Row],[Vendor - Contract]],VendorList[Vendor / Org. with Contract ID],0)))</f>
        <v>P-002360</v>
      </c>
      <c r="W127" s="260">
        <v>43770</v>
      </c>
      <c r="X127" s="251" t="str">
        <f ca="1">IF(CostTrack[[#This Row],[Release Date (CMS)]]="","*","")</f>
        <v/>
      </c>
      <c r="Y127" s="267" t="s">
        <v>40</v>
      </c>
      <c r="Z127" s="271"/>
      <c r="AA127" s="245">
        <f ca="1">IF(OR(CostTrack[[#This Row],[Release Date (CMS)]]&gt;=DATE(VALUE(REPLACE(CostTrack[[#This Row],[Fiscal Period]],3,3,"")),3,1),CostTrack[[#This Row],[Release Date (CMS)]]&lt;DATE(VALUE(LEFT(CostTrack[[#This Row],[Fiscal Period]],4)),4,1)),1,0)</f>
        <v>0</v>
      </c>
      <c r="AB127" s="294">
        <v>13440.95</v>
      </c>
      <c r="AC127" s="260">
        <v>44225</v>
      </c>
      <c r="AD127" s="402" t="str">
        <f ca="1">IF(CostTrack[[#This Row],[Reconciled Amount]]="","",IF(CostTrack[[#This Row],[Value]]&lt;&gt;CostTrack[[#This Row],[Reconciled Amount]],"Yes","No"))</f>
        <v>No</v>
      </c>
    </row>
    <row r="128" spans="2:30">
      <c r="B128" s="400" t="s">
        <v>597</v>
      </c>
      <c r="C128" s="258">
        <v>406072</v>
      </c>
      <c r="D128" s="260">
        <v>43738</v>
      </c>
      <c r="E128" s="282">
        <v>7400</v>
      </c>
      <c r="F128" s="265" t="s">
        <v>69</v>
      </c>
      <c r="G128" s="406">
        <f ca="1">ROUND(IF(CostTrack[[#This Row],[Holdback (Y/N/R)]]="Yes",CostTrack[[#This Row],[Value]]*-0.1,IF(CostTrack[[#This Row],[Holdback (Y/N/R)]]="Release",CostTrack[[#This Row],[Value]],0)),2)</f>
        <v>0</v>
      </c>
      <c r="H128" s="407">
        <f ca="1">IF(CostTrack[[#This Row],[Holdback (Y/N/R)]]="Release",CostTrack[[#This Row],[Value]],CostTrack[[#This Row],[Value]]+CostTrack[[#This Row],[Holdback Value]])</f>
        <v>7400</v>
      </c>
      <c r="I128" s="258"/>
      <c r="J128" s="258"/>
      <c r="K128" s="275"/>
      <c r="L128" s="260">
        <v>43745</v>
      </c>
      <c r="M128" s="260"/>
      <c r="N128" s="258"/>
      <c r="O128" s="260" t="s">
        <v>106</v>
      </c>
      <c r="P128" s="260">
        <v>43768</v>
      </c>
      <c r="Q128" s="243" t="str">
        <f ca="1">IF(CostTrack[[#This Row],[Vendor - Contract]]="","",INDEX(VendorList[PA ID],MATCH(CostTrack[[#This Row],[Vendor - Contract]],VendorList[Vendor / Org. with Contract ID],0)))</f>
        <v>300.040.F1</v>
      </c>
      <c r="R128" s="243" t="str">
        <f ca="1">IF(CostTrack[[#This Row],[Vendor - Contract]]="","",INDEX(VendorList[Primary Category],MATCH(CostTrack[[#This Row],[Vendor - Contract]],VendorList[Vendor / Org. with Contract ID],0)))</f>
        <v>Construction</v>
      </c>
      <c r="S128" s="243" t="str">
        <f ca="1">IF(CostTrack[[#This Row],[Vendor - Contract]]="","",INDEX(VendorList[Secondary Category],MATCH(CostTrack[[#This Row],[Vendor - Contract]],VendorList[Vendor / Org. with Contract ID],0)))</f>
        <v>Other Contractor</v>
      </c>
      <c r="T128" s="243" t="str">
        <f ca="1">IF(CostTrack[[#This Row],[Vendor - Contract]]="","",INDEX(VendorList[Phase / Subproject],MATCH(CostTrack[[#This Row],[Vendor - Contract]],VendorList[Vendor / Org. with Contract ID],0)))</f>
        <v>--</v>
      </c>
      <c r="U128" s="243" t="str">
        <f ca="1">IF(CostTrack[[#This Row],[Vendor - Contract]]="","",INDEX(VendorList[Phase / Subproject 2],MATCH(CostTrack[[#This Row],[Vendor - Contract]],VendorList[Vendor / Org. with Contract ID],0)))</f>
        <v>--</v>
      </c>
      <c r="V128" s="243" t="str">
        <f ca="1">IF(CostTrack[[#This Row],[Vendor - Contract]]="","",INDEX(VendorList[Funding Source],MATCH(CostTrack[[#This Row],[Vendor - Contract]],VendorList[Vendor / Org. with Contract ID],0)))</f>
        <v>P-002360</v>
      </c>
      <c r="W128" s="260">
        <v>43770</v>
      </c>
      <c r="X128" s="251" t="str">
        <f ca="1">IF(CostTrack[[#This Row],[Release Date (CMS)]]="","*","")</f>
        <v/>
      </c>
      <c r="Y128" s="267" t="s">
        <v>40</v>
      </c>
      <c r="Z128" s="271"/>
      <c r="AA128" s="245">
        <f ca="1">IF(OR(CostTrack[[#This Row],[Release Date (CMS)]]&gt;=DATE(VALUE(REPLACE(CostTrack[[#This Row],[Fiscal Period]],3,3,"")),3,1),CostTrack[[#This Row],[Release Date (CMS)]]&lt;DATE(VALUE(LEFT(CostTrack[[#This Row],[Fiscal Period]],4)),4,1)),1,0)</f>
        <v>0</v>
      </c>
      <c r="AB128" s="294">
        <v>7400</v>
      </c>
      <c r="AC128" s="260">
        <v>44224</v>
      </c>
      <c r="AD128" s="402" t="str">
        <f ca="1">IF(CostTrack[[#This Row],[Reconciled Amount]]="","",IF(CostTrack[[#This Row],[Value]]&lt;&gt;CostTrack[[#This Row],[Reconciled Amount]],"Yes","No"))</f>
        <v>No</v>
      </c>
    </row>
    <row r="129" spans="2:30">
      <c r="B129" s="400" t="s">
        <v>582</v>
      </c>
      <c r="C129" s="258" t="s">
        <v>886</v>
      </c>
      <c r="D129" s="260">
        <v>43658</v>
      </c>
      <c r="E129" s="282">
        <v>13152.64</v>
      </c>
      <c r="F129" s="265" t="s">
        <v>69</v>
      </c>
      <c r="G129" s="406">
        <f ca="1">ROUND(IF(CostTrack[[#This Row],[Holdback (Y/N/R)]]="Yes",CostTrack[[#This Row],[Value]]*-0.1,IF(CostTrack[[#This Row],[Holdback (Y/N/R)]]="Release",CostTrack[[#This Row],[Value]],0)),2)</f>
        <v>0</v>
      </c>
      <c r="H129" s="407">
        <f ca="1">IF(CostTrack[[#This Row],[Holdback (Y/N/R)]]="Release",CostTrack[[#This Row],[Value]],CostTrack[[#This Row],[Value]]+CostTrack[[#This Row],[Holdback Value]])</f>
        <v>13152.64</v>
      </c>
      <c r="I129" s="258"/>
      <c r="J129" s="258"/>
      <c r="K129" s="275" t="s">
        <v>887</v>
      </c>
      <c r="L129" s="260">
        <v>43766</v>
      </c>
      <c r="M129" s="260"/>
      <c r="N129" s="258"/>
      <c r="O129" s="260" t="s">
        <v>106</v>
      </c>
      <c r="P129" s="260">
        <v>43770</v>
      </c>
      <c r="Q129" s="243" t="str">
        <f ca="1">IF(CostTrack[[#This Row],[Vendor - Contract]]="","",INDEX(VendorList[PA ID],MATCH(CostTrack[[#This Row],[Vendor - Contract]],VendorList[Vendor / Org. with Contract ID],0)))</f>
        <v>300.010.F1</v>
      </c>
      <c r="R129" s="243" t="str">
        <f ca="1">IF(CostTrack[[#This Row],[Vendor - Contract]]="","",INDEX(VendorList[Primary Category],MATCH(CostTrack[[#This Row],[Vendor - Contract]],VendorList[Vendor / Org. with Contract ID],0)))</f>
        <v>Construction</v>
      </c>
      <c r="S129" s="243" t="str">
        <f ca="1">IF(CostTrack[[#This Row],[Vendor - Contract]]="","",INDEX(VendorList[Secondary Category],MATCH(CostTrack[[#This Row],[Vendor - Contract]],VendorList[Vendor / Org. with Contract ID],0)))</f>
        <v>Permits &amp; Fees</v>
      </c>
      <c r="T129" s="243" t="str">
        <f ca="1">IF(CostTrack[[#This Row],[Vendor - Contract]]="","",INDEX(VendorList[Phase / Subproject],MATCH(CostTrack[[#This Row],[Vendor - Contract]],VendorList[Vendor / Org. with Contract ID],0)))</f>
        <v>--</v>
      </c>
      <c r="U129" s="243" t="str">
        <f ca="1">IF(CostTrack[[#This Row],[Vendor - Contract]]="","",INDEX(VendorList[Phase / Subproject 2],MATCH(CostTrack[[#This Row],[Vendor - Contract]],VendorList[Vendor / Org. with Contract ID],0)))</f>
        <v>--</v>
      </c>
      <c r="V129" s="243" t="str">
        <f ca="1">IF(CostTrack[[#This Row],[Vendor - Contract]]="","",INDEX(VendorList[Funding Source],MATCH(CostTrack[[#This Row],[Vendor - Contract]],VendorList[Vendor / Org. with Contract ID],0)))</f>
        <v>P-002360</v>
      </c>
      <c r="W129" s="260">
        <v>43770</v>
      </c>
      <c r="X129" s="251" t="str">
        <f ca="1">IF(CostTrack[[#This Row],[Release Date (CMS)]]="","*","")</f>
        <v/>
      </c>
      <c r="Y129" s="267" t="s">
        <v>40</v>
      </c>
      <c r="Z129" s="271"/>
      <c r="AA129" s="245">
        <f ca="1">IF(OR(CostTrack[[#This Row],[Release Date (CMS)]]&gt;=DATE(VALUE(REPLACE(CostTrack[[#This Row],[Fiscal Period]],3,3,"")),3,1),CostTrack[[#This Row],[Release Date (CMS)]]&lt;DATE(VALUE(LEFT(CostTrack[[#This Row],[Fiscal Period]],4)),4,1)),1,0)</f>
        <v>0</v>
      </c>
      <c r="AB129" s="294">
        <v>13152.64</v>
      </c>
      <c r="AC129" s="260">
        <v>44224</v>
      </c>
      <c r="AD129" s="402" t="str">
        <f ca="1">IF(CostTrack[[#This Row],[Reconciled Amount]]="","",IF(CostTrack[[#This Row],[Value]]&lt;&gt;CostTrack[[#This Row],[Reconciled Amount]],"Yes","No"))</f>
        <v>No</v>
      </c>
    </row>
    <row r="130" spans="2:30">
      <c r="B130" s="400" t="s">
        <v>731</v>
      </c>
      <c r="C130" s="258" t="s">
        <v>888</v>
      </c>
      <c r="D130" s="260">
        <v>43769</v>
      </c>
      <c r="E130" s="651">
        <v>66.069999999999993</v>
      </c>
      <c r="F130" s="265" t="s">
        <v>69</v>
      </c>
      <c r="G130" s="406">
        <f ca="1">ROUND(IF(CostTrack[[#This Row],[Holdback (Y/N/R)]]="Yes",CostTrack[[#This Row],[Value]]*-0.1,IF(CostTrack[[#This Row],[Holdback (Y/N/R)]]="Release",CostTrack[[#This Row],[Value]],0)),2)</f>
        <v>0</v>
      </c>
      <c r="H130" s="407">
        <f ca="1">IF(CostTrack[[#This Row],[Holdback (Y/N/R)]]="Release",CostTrack[[#This Row],[Value]],CostTrack[[#This Row],[Value]]+CostTrack[[#This Row],[Holdback Value]])</f>
        <v>66.069999999999993</v>
      </c>
      <c r="I130" s="258"/>
      <c r="J130" s="258"/>
      <c r="K130" s="275">
        <v>43739</v>
      </c>
      <c r="L130" s="260">
        <v>43769</v>
      </c>
      <c r="M130" s="260"/>
      <c r="N130" s="258"/>
      <c r="O130" s="260" t="s">
        <v>106</v>
      </c>
      <c r="P130" s="260">
        <v>43769</v>
      </c>
      <c r="Q130" s="243" t="str">
        <f ca="1">IF(CostTrack[[#This Row],[Vendor - Contract]]="","",INDEX(VendorList[PA ID],MATCH(CostTrack[[#This Row],[Vendor - Contract]],VendorList[Vendor / Org. with Contract ID],0)))</f>
        <v>100.050.F1</v>
      </c>
      <c r="R130" s="243" t="str">
        <f ca="1">IF(CostTrack[[#This Row],[Vendor - Contract]]="","",INDEX(VendorList[Primary Category],MATCH(CostTrack[[#This Row],[Vendor - Contract]],VendorList[Vendor / Org. with Contract ID],0)))</f>
        <v>Administration</v>
      </c>
      <c r="S130" s="243" t="str">
        <f ca="1">IF(CostTrack[[#This Row],[Vendor - Contract]]="","",INDEX(VendorList[Secondary Category],MATCH(CostTrack[[#This Row],[Vendor - Contract]],VendorList[Vendor / Org. with Contract ID],0)))</f>
        <v>Other Administration</v>
      </c>
      <c r="T130" s="243" t="str">
        <f ca="1">IF(CostTrack[[#This Row],[Vendor - Contract]]="","",INDEX(VendorList[Phase / Subproject],MATCH(CostTrack[[#This Row],[Vendor - Contract]],VendorList[Vendor / Org. with Contract ID],0)))</f>
        <v>--</v>
      </c>
      <c r="U130" s="243" t="str">
        <f ca="1">IF(CostTrack[[#This Row],[Vendor - Contract]]="","",INDEX(VendorList[Phase / Subproject 2],MATCH(CostTrack[[#This Row],[Vendor - Contract]],VendorList[Vendor / Org. with Contract ID],0)))</f>
        <v>--</v>
      </c>
      <c r="V130" s="243" t="str">
        <f ca="1">IF(CostTrack[[#This Row],[Vendor - Contract]]="","",INDEX(VendorList[Funding Source],MATCH(CostTrack[[#This Row],[Vendor - Contract]],VendorList[Vendor / Org. with Contract ID],0)))</f>
        <v>P-002360</v>
      </c>
      <c r="W130" s="260">
        <v>43770</v>
      </c>
      <c r="X130" s="251" t="str">
        <f ca="1">IF(CostTrack[[#This Row],[Release Date (CMS)]]="","*","")</f>
        <v/>
      </c>
      <c r="Y130" s="267" t="s">
        <v>40</v>
      </c>
      <c r="Z130" s="271"/>
      <c r="AA130" s="245">
        <f ca="1">IF(OR(CostTrack[[#This Row],[Release Date (CMS)]]&gt;=DATE(VALUE(REPLACE(CostTrack[[#This Row],[Fiscal Period]],3,3,"")),3,1),CostTrack[[#This Row],[Release Date (CMS)]]&lt;DATE(VALUE(LEFT(CostTrack[[#This Row],[Fiscal Period]],4)),4,1)),1,0)</f>
        <v>0</v>
      </c>
      <c r="AB130" s="294">
        <v>66.069999999999993</v>
      </c>
      <c r="AC130" s="260">
        <v>44224</v>
      </c>
      <c r="AD130" s="402" t="str">
        <f ca="1">IF(CostTrack[[#This Row],[Reconciled Amount]]="","",IF(CostTrack[[#This Row],[Value]]&lt;&gt;CostTrack[[#This Row],[Reconciled Amount]],"Yes","No"))</f>
        <v>No</v>
      </c>
    </row>
    <row r="131" spans="2:30">
      <c r="B131" s="400" t="s">
        <v>736</v>
      </c>
      <c r="C131" s="258">
        <v>43739</v>
      </c>
      <c r="D131" s="260">
        <v>43769</v>
      </c>
      <c r="E131" s="282">
        <v>30882.14</v>
      </c>
      <c r="F131" s="265" t="s">
        <v>69</v>
      </c>
      <c r="G131" s="406">
        <f ca="1">ROUND(IF(CostTrack[[#This Row],[Holdback (Y/N/R)]]="Yes",CostTrack[[#This Row],[Value]]*-0.1,IF(CostTrack[[#This Row],[Holdback (Y/N/R)]]="Release",CostTrack[[#This Row],[Value]],0)),2)</f>
        <v>0</v>
      </c>
      <c r="H131" s="407">
        <f ca="1">IF(CostTrack[[#This Row],[Holdback (Y/N/R)]]="Release",CostTrack[[#This Row],[Value]],CostTrack[[#This Row],[Value]]+CostTrack[[#This Row],[Holdback Value]])</f>
        <v>30882.14</v>
      </c>
      <c r="I131" s="258"/>
      <c r="J131" s="258"/>
      <c r="K131" s="275">
        <v>43739</v>
      </c>
      <c r="L131" s="260">
        <v>43769</v>
      </c>
      <c r="M131" s="260"/>
      <c r="N131" s="258"/>
      <c r="O131" s="260" t="s">
        <v>106</v>
      </c>
      <c r="P131" s="260">
        <v>43769</v>
      </c>
      <c r="Q131" s="243" t="str">
        <f ca="1">IF(CostTrack[[#This Row],[Vendor - Contract]]="","",INDEX(VendorList[PA ID],MATCH(CostTrack[[#This Row],[Vendor - Contract]],VendorList[Vendor / Org. with Contract ID],0)))</f>
        <v>100.010.F1</v>
      </c>
      <c r="R131" s="243" t="str">
        <f ca="1">IF(CostTrack[[#This Row],[Vendor - Contract]]="","",INDEX(VendorList[Primary Category],MATCH(CostTrack[[#This Row],[Vendor - Contract]],VendorList[Vendor / Org. with Contract ID],0)))</f>
        <v>Administration</v>
      </c>
      <c r="S131" s="243" t="str">
        <f ca="1">IF(CostTrack[[#This Row],[Vendor - Contract]]="","",INDEX(VendorList[Secondary Category],MATCH(CostTrack[[#This Row],[Vendor - Contract]],VendorList[Vendor / Org. with Contract ID],0)))</f>
        <v>Staff Capitalization - INFRA</v>
      </c>
      <c r="T131" s="243" t="str">
        <f ca="1">IF(CostTrack[[#This Row],[Vendor - Contract]]="","",INDEX(VendorList[Phase / Subproject],MATCH(CostTrack[[#This Row],[Vendor - Contract]],VendorList[Vendor / Org. with Contract ID],0)))</f>
        <v>--</v>
      </c>
      <c r="U131" s="243" t="str">
        <f ca="1">IF(CostTrack[[#This Row],[Vendor - Contract]]="","",INDEX(VendorList[Phase / Subproject 2],MATCH(CostTrack[[#This Row],[Vendor - Contract]],VendorList[Vendor / Org. with Contract ID],0)))</f>
        <v>--</v>
      </c>
      <c r="V131" s="243" t="str">
        <f ca="1">IF(CostTrack[[#This Row],[Vendor - Contract]]="","",INDEX(VendorList[Funding Source],MATCH(CostTrack[[#This Row],[Vendor - Contract]],VendorList[Vendor / Org. with Contract ID],0)))</f>
        <v>P-002360</v>
      </c>
      <c r="W131" s="260">
        <v>43769</v>
      </c>
      <c r="X131" s="251" t="str">
        <f ca="1">IF(CostTrack[[#This Row],[Release Date (CMS)]]="","*","")</f>
        <v/>
      </c>
      <c r="Y131" s="267" t="s">
        <v>40</v>
      </c>
      <c r="Z131" s="271"/>
      <c r="AA131" s="245">
        <f ca="1">IF(OR(CostTrack[[#This Row],[Release Date (CMS)]]&gt;=DATE(VALUE(REPLACE(CostTrack[[#This Row],[Fiscal Period]],3,3,"")),3,1),CostTrack[[#This Row],[Release Date (CMS)]]&lt;DATE(VALUE(LEFT(CostTrack[[#This Row],[Fiscal Period]],4)),4,1)),1,0)</f>
        <v>0</v>
      </c>
      <c r="AB131" s="294">
        <v>30882.14</v>
      </c>
      <c r="AC131" s="260">
        <v>44224</v>
      </c>
      <c r="AD131" s="402" t="str">
        <f ca="1">IF(CostTrack[[#This Row],[Reconciled Amount]]="","",IF(CostTrack[[#This Row],[Value]]&lt;&gt;CostTrack[[#This Row],[Reconciled Amount]],"Yes","No"))</f>
        <v>No</v>
      </c>
    </row>
    <row r="132" spans="2:30">
      <c r="B132" s="400" t="s">
        <v>528</v>
      </c>
      <c r="C132" s="258">
        <v>60638194</v>
      </c>
      <c r="D132" s="260">
        <v>43783</v>
      </c>
      <c r="E132" s="282">
        <v>1629.5</v>
      </c>
      <c r="F132" s="265" t="s">
        <v>69</v>
      </c>
      <c r="G132" s="406">
        <f ca="1">ROUND(IF(CostTrack[[#This Row],[Holdback (Y/N/R)]]="Yes",CostTrack[[#This Row],[Value]]*-0.1,IF(CostTrack[[#This Row],[Holdback (Y/N/R)]]="Release",CostTrack[[#This Row],[Value]],0)),2)</f>
        <v>0</v>
      </c>
      <c r="H132" s="407">
        <f ca="1">IF(CostTrack[[#This Row],[Holdback (Y/N/R)]]="Release",CostTrack[[#This Row],[Value]],CostTrack[[#This Row],[Value]]+CostTrack[[#This Row],[Holdback Value]])</f>
        <v>1629.5</v>
      </c>
      <c r="I132" s="258"/>
      <c r="J132" s="258"/>
      <c r="K132" s="275"/>
      <c r="L132" s="260">
        <v>43784</v>
      </c>
      <c r="M132" s="260"/>
      <c r="N132" s="258"/>
      <c r="O132" s="260" t="s">
        <v>106</v>
      </c>
      <c r="P132" s="260">
        <v>43789</v>
      </c>
      <c r="Q132" s="243" t="str">
        <f ca="1">IF(CostTrack[[#This Row],[Vendor - Contract]]="","",INDEX(VendorList[PA ID],MATCH(CostTrack[[#This Row],[Vendor - Contract]],VendorList[Vendor / Org. with Contract ID],0)))</f>
        <v>200.050.F1</v>
      </c>
      <c r="R132" s="243" t="str">
        <f ca="1">IF(CostTrack[[#This Row],[Vendor - Contract]]="","",INDEX(VendorList[Primary Category],MATCH(CostTrack[[#This Row],[Vendor - Contract]],VendorList[Vendor / Org. with Contract ID],0)))</f>
        <v>Professional Services</v>
      </c>
      <c r="S132" s="243" t="str">
        <f ca="1">IF(CostTrack[[#This Row],[Vendor - Contract]]="","",INDEX(VendorList[Secondary Category],MATCH(CostTrack[[#This Row],[Vendor - Contract]],VendorList[Vendor / Org. with Contract ID],0)))</f>
        <v>Other Professional Services</v>
      </c>
      <c r="T132" s="243" t="str">
        <f ca="1">IF(CostTrack[[#This Row],[Vendor - Contract]]="","",INDEX(VendorList[Phase / Subproject],MATCH(CostTrack[[#This Row],[Vendor - Contract]],VendorList[Vendor / Org. with Contract ID],0)))</f>
        <v>--</v>
      </c>
      <c r="U132" s="243" t="str">
        <f ca="1">IF(CostTrack[[#This Row],[Vendor - Contract]]="","",INDEX(VendorList[Phase / Subproject 2],MATCH(CostTrack[[#This Row],[Vendor - Contract]],VendorList[Vendor / Org. with Contract ID],0)))</f>
        <v>--</v>
      </c>
      <c r="V132" s="243" t="str">
        <f ca="1">IF(CostTrack[[#This Row],[Vendor - Contract]]="","",INDEX(VendorList[Funding Source],MATCH(CostTrack[[#This Row],[Vendor - Contract]],VendorList[Vendor / Org. with Contract ID],0)))</f>
        <v>P-002360</v>
      </c>
      <c r="W132" s="260">
        <v>43790</v>
      </c>
      <c r="X132" s="251" t="str">
        <f ca="1">IF(CostTrack[[#This Row],[Release Date (CMS)]]="","*","")</f>
        <v/>
      </c>
      <c r="Y132" s="267" t="s">
        <v>40</v>
      </c>
      <c r="Z132" s="271"/>
      <c r="AA132" s="245">
        <f ca="1">IF(OR(CostTrack[[#This Row],[Release Date (CMS)]]&gt;=DATE(VALUE(REPLACE(CostTrack[[#This Row],[Fiscal Period]],3,3,"")),3,1),CostTrack[[#This Row],[Release Date (CMS)]]&lt;DATE(VALUE(LEFT(CostTrack[[#This Row],[Fiscal Period]],4)),4,1)),1,0)</f>
        <v>0</v>
      </c>
      <c r="AB132" s="294">
        <v>1629.5</v>
      </c>
      <c r="AC132" s="260">
        <v>44224</v>
      </c>
      <c r="AD132" s="402" t="str">
        <f ca="1">IF(CostTrack[[#This Row],[Reconciled Amount]]="","",IF(CostTrack[[#This Row],[Value]]&lt;&gt;CostTrack[[#This Row],[Reconciled Amount]],"Yes","No"))</f>
        <v>No</v>
      </c>
    </row>
    <row r="133" spans="2:30">
      <c r="B133" s="400" t="s">
        <v>582</v>
      </c>
      <c r="C133" s="258" t="s">
        <v>889</v>
      </c>
      <c r="D133" s="260">
        <v>43781</v>
      </c>
      <c r="E133" s="282">
        <v>1109966.2</v>
      </c>
      <c r="F133" s="265" t="s">
        <v>69</v>
      </c>
      <c r="G133" s="406">
        <f ca="1">ROUND(IF(CostTrack[[#This Row],[Holdback (Y/N/R)]]="Yes",CostTrack[[#This Row],[Value]]*-0.1,IF(CostTrack[[#This Row],[Holdback (Y/N/R)]]="Release",CostTrack[[#This Row],[Value]],0)),2)</f>
        <v>0</v>
      </c>
      <c r="H133" s="407">
        <f ca="1">IF(CostTrack[[#This Row],[Holdback (Y/N/R)]]="Release",CostTrack[[#This Row],[Value]],CostTrack[[#This Row],[Value]]+CostTrack[[#This Row],[Holdback Value]])</f>
        <v>1109966.2</v>
      </c>
      <c r="I133" s="258"/>
      <c r="J133" s="258"/>
      <c r="K133" s="275" t="s">
        <v>890</v>
      </c>
      <c r="L133" s="260">
        <v>43781</v>
      </c>
      <c r="M133" s="260"/>
      <c r="N133" s="258"/>
      <c r="O133" s="260" t="s">
        <v>106</v>
      </c>
      <c r="P133" s="260">
        <v>43784</v>
      </c>
      <c r="Q133" s="243" t="str">
        <f ca="1">IF(CostTrack[[#This Row],[Vendor - Contract]]="","",INDEX(VendorList[PA ID],MATCH(CostTrack[[#This Row],[Vendor - Contract]],VendorList[Vendor / Org. with Contract ID],0)))</f>
        <v>300.010.F1</v>
      </c>
      <c r="R133" s="243" t="str">
        <f ca="1">IF(CostTrack[[#This Row],[Vendor - Contract]]="","",INDEX(VendorList[Primary Category],MATCH(CostTrack[[#This Row],[Vendor - Contract]],VendorList[Vendor / Org. with Contract ID],0)))</f>
        <v>Construction</v>
      </c>
      <c r="S133" s="243" t="str">
        <f ca="1">IF(CostTrack[[#This Row],[Vendor - Contract]]="","",INDEX(VendorList[Secondary Category],MATCH(CostTrack[[#This Row],[Vendor - Contract]],VendorList[Vendor / Org. with Contract ID],0)))</f>
        <v>Permits &amp; Fees</v>
      </c>
      <c r="T133" s="243" t="str">
        <f ca="1">IF(CostTrack[[#This Row],[Vendor - Contract]]="","",INDEX(VendorList[Phase / Subproject],MATCH(CostTrack[[#This Row],[Vendor - Contract]],VendorList[Vendor / Org. with Contract ID],0)))</f>
        <v>--</v>
      </c>
      <c r="U133" s="243" t="str">
        <f ca="1">IF(CostTrack[[#This Row],[Vendor - Contract]]="","",INDEX(VendorList[Phase / Subproject 2],MATCH(CostTrack[[#This Row],[Vendor - Contract]],VendorList[Vendor / Org. with Contract ID],0)))</f>
        <v>--</v>
      </c>
      <c r="V133" s="243" t="str">
        <f ca="1">IF(CostTrack[[#This Row],[Vendor - Contract]]="","",INDEX(VendorList[Funding Source],MATCH(CostTrack[[#This Row],[Vendor - Contract]],VendorList[Vendor / Org. with Contract ID],0)))</f>
        <v>P-002360</v>
      </c>
      <c r="W133" s="260">
        <v>43784</v>
      </c>
      <c r="X133" s="251" t="str">
        <f ca="1">IF(CostTrack[[#This Row],[Release Date (CMS)]]="","*","")</f>
        <v/>
      </c>
      <c r="Y133" s="267" t="s">
        <v>40</v>
      </c>
      <c r="Z133" s="271"/>
      <c r="AA133" s="245">
        <f ca="1">IF(OR(CostTrack[[#This Row],[Release Date (CMS)]]&gt;=DATE(VALUE(REPLACE(CostTrack[[#This Row],[Fiscal Period]],3,3,"")),3,1),CostTrack[[#This Row],[Release Date (CMS)]]&lt;DATE(VALUE(LEFT(CostTrack[[#This Row],[Fiscal Period]],4)),4,1)),1,0)</f>
        <v>0</v>
      </c>
      <c r="AB133" s="294">
        <v>1109966.2</v>
      </c>
      <c r="AC133" s="260">
        <v>44224</v>
      </c>
      <c r="AD133" s="402" t="str">
        <f ca="1">IF(CostTrack[[#This Row],[Reconciled Amount]]="","",IF(CostTrack[[#This Row],[Value]]&lt;&gt;CostTrack[[#This Row],[Reconciled Amount]],"Yes","No"))</f>
        <v>No</v>
      </c>
    </row>
    <row r="134" spans="2:30">
      <c r="B134" s="400" t="s">
        <v>582</v>
      </c>
      <c r="C134" s="258" t="s">
        <v>886</v>
      </c>
      <c r="D134" s="260">
        <v>43773</v>
      </c>
      <c r="E134" s="282">
        <v>120</v>
      </c>
      <c r="F134" s="265" t="s">
        <v>69</v>
      </c>
      <c r="G134" s="406">
        <f ca="1">ROUND(IF(CostTrack[[#This Row],[Holdback (Y/N/R)]]="Yes",CostTrack[[#This Row],[Value]]*-0.1,IF(CostTrack[[#This Row],[Holdback (Y/N/R)]]="Release",CostTrack[[#This Row],[Value]],0)),2)</f>
        <v>0</v>
      </c>
      <c r="H134" s="407">
        <f ca="1">IF(CostTrack[[#This Row],[Holdback (Y/N/R)]]="Release",CostTrack[[#This Row],[Value]],CostTrack[[#This Row],[Value]]+CostTrack[[#This Row],[Holdback Value]])</f>
        <v>120</v>
      </c>
      <c r="I134" s="258"/>
      <c r="J134" s="258"/>
      <c r="K134" s="275" t="s">
        <v>887</v>
      </c>
      <c r="L134" s="260">
        <v>43766</v>
      </c>
      <c r="M134" s="260"/>
      <c r="N134" s="258"/>
      <c r="O134" s="260" t="s">
        <v>106</v>
      </c>
      <c r="P134" s="260">
        <v>43770</v>
      </c>
      <c r="Q134" s="243" t="str">
        <f ca="1">IF(CostTrack[[#This Row],[Vendor - Contract]]="","",INDEX(VendorList[PA ID],MATCH(CostTrack[[#This Row],[Vendor - Contract]],VendorList[Vendor / Org. with Contract ID],0)))</f>
        <v>300.010.F1</v>
      </c>
      <c r="R134" s="243" t="str">
        <f ca="1">IF(CostTrack[[#This Row],[Vendor - Contract]]="","",INDEX(VendorList[Primary Category],MATCH(CostTrack[[#This Row],[Vendor - Contract]],VendorList[Vendor / Org. with Contract ID],0)))</f>
        <v>Construction</v>
      </c>
      <c r="S134" s="243" t="str">
        <f ca="1">IF(CostTrack[[#This Row],[Vendor - Contract]]="","",INDEX(VendorList[Secondary Category],MATCH(CostTrack[[#This Row],[Vendor - Contract]],VendorList[Vendor / Org. with Contract ID],0)))</f>
        <v>Permits &amp; Fees</v>
      </c>
      <c r="T134" s="243" t="str">
        <f ca="1">IF(CostTrack[[#This Row],[Vendor - Contract]]="","",INDEX(VendorList[Phase / Subproject],MATCH(CostTrack[[#This Row],[Vendor - Contract]],VendorList[Vendor / Org. with Contract ID],0)))</f>
        <v>--</v>
      </c>
      <c r="U134" s="243" t="str">
        <f ca="1">IF(CostTrack[[#This Row],[Vendor - Contract]]="","",INDEX(VendorList[Phase / Subproject 2],MATCH(CostTrack[[#This Row],[Vendor - Contract]],VendorList[Vendor / Org. with Contract ID],0)))</f>
        <v>--</v>
      </c>
      <c r="V134" s="243" t="str">
        <f ca="1">IF(CostTrack[[#This Row],[Vendor - Contract]]="","",INDEX(VendorList[Funding Source],MATCH(CostTrack[[#This Row],[Vendor - Contract]],VendorList[Vendor / Org. with Contract ID],0)))</f>
        <v>P-002360</v>
      </c>
      <c r="W134" s="260">
        <v>43774</v>
      </c>
      <c r="X134" s="251" t="str">
        <f ca="1">IF(CostTrack[[#This Row],[Release Date (CMS)]]="","*","")</f>
        <v/>
      </c>
      <c r="Y134" s="267" t="s">
        <v>40</v>
      </c>
      <c r="Z134" s="271"/>
      <c r="AA134" s="245">
        <f ca="1">IF(OR(CostTrack[[#This Row],[Release Date (CMS)]]&gt;=DATE(VALUE(REPLACE(CostTrack[[#This Row],[Fiscal Period]],3,3,"")),3,1),CostTrack[[#This Row],[Release Date (CMS)]]&lt;DATE(VALUE(LEFT(CostTrack[[#This Row],[Fiscal Period]],4)),4,1)),1,0)</f>
        <v>0</v>
      </c>
      <c r="AB134" s="294">
        <v>120</v>
      </c>
      <c r="AC134" s="260">
        <v>44224</v>
      </c>
      <c r="AD134" s="402" t="str">
        <f ca="1">IF(CostTrack[[#This Row],[Reconciled Amount]]="","",IF(CostTrack[[#This Row],[Value]]&lt;&gt;CostTrack[[#This Row],[Reconciled Amount]],"Yes","No"))</f>
        <v>No</v>
      </c>
    </row>
    <row r="135" spans="2:30">
      <c r="B135" s="400" t="s">
        <v>624</v>
      </c>
      <c r="C135" s="258">
        <v>1436265</v>
      </c>
      <c r="D135" s="260">
        <v>43738</v>
      </c>
      <c r="E135" s="282">
        <v>10700</v>
      </c>
      <c r="F135" s="265" t="s">
        <v>69</v>
      </c>
      <c r="G135" s="406">
        <f ca="1">ROUND(IF(CostTrack[[#This Row],[Holdback (Y/N/R)]]="Yes",CostTrack[[#This Row],[Value]]*-0.1,IF(CostTrack[[#This Row],[Holdback (Y/N/R)]]="Release",CostTrack[[#This Row],[Value]],0)),2)</f>
        <v>0</v>
      </c>
      <c r="H135" s="407">
        <f ca="1">IF(CostTrack[[#This Row],[Holdback (Y/N/R)]]="Release",CostTrack[[#This Row],[Value]],CostTrack[[#This Row],[Value]]+CostTrack[[#This Row],[Holdback Value]])</f>
        <v>10700</v>
      </c>
      <c r="I135" s="258"/>
      <c r="J135" s="258"/>
      <c r="K135" s="275"/>
      <c r="L135" s="260">
        <v>43774</v>
      </c>
      <c r="M135" s="260"/>
      <c r="N135" s="258"/>
      <c r="O135" s="260" t="s">
        <v>106</v>
      </c>
      <c r="P135" s="260">
        <v>43795</v>
      </c>
      <c r="Q135" s="243" t="str">
        <f ca="1">IF(CostTrack[[#This Row],[Vendor - Contract]]="","",INDEX(VendorList[PA ID],MATCH(CostTrack[[#This Row],[Vendor - Contract]],VendorList[Vendor / Org. with Contract ID],0)))</f>
        <v>200.040.F1</v>
      </c>
      <c r="R135" s="243" t="str">
        <f ca="1">IF(CostTrack[[#This Row],[Vendor - Contract]]="","",INDEX(VendorList[Primary Category],MATCH(CostTrack[[#This Row],[Vendor - Contract]],VendorList[Vendor / Org. with Contract ID],0)))</f>
        <v>Professional Services</v>
      </c>
      <c r="S135" s="243" t="str">
        <f ca="1">IF(CostTrack[[#This Row],[Vendor - Contract]]="","",INDEX(VendorList[Secondary Category],MATCH(CostTrack[[#This Row],[Vendor - Contract]],VendorList[Vendor / Org. with Contract ID],0)))</f>
        <v>Commissioning</v>
      </c>
      <c r="T135" s="243" t="str">
        <f ca="1">IF(CostTrack[[#This Row],[Vendor - Contract]]="","",INDEX(VendorList[Phase / Subproject],MATCH(CostTrack[[#This Row],[Vendor - Contract]],VendorList[Vendor / Org. with Contract ID],0)))</f>
        <v>--</v>
      </c>
      <c r="U135" s="243" t="str">
        <f ca="1">IF(CostTrack[[#This Row],[Vendor - Contract]]="","",INDEX(VendorList[Phase / Subproject 2],MATCH(CostTrack[[#This Row],[Vendor - Contract]],VendorList[Vendor / Org. with Contract ID],0)))</f>
        <v>--</v>
      </c>
      <c r="V135" s="243" t="str">
        <f ca="1">IF(CostTrack[[#This Row],[Vendor - Contract]]="","",INDEX(VendorList[Funding Source],MATCH(CostTrack[[#This Row],[Vendor - Contract]],VendorList[Vendor / Org. with Contract ID],0)))</f>
        <v>P-002360</v>
      </c>
      <c r="W135" s="260">
        <v>43796</v>
      </c>
      <c r="X135" s="251" t="str">
        <f ca="1">IF(CostTrack[[#This Row],[Release Date (CMS)]]="","*","")</f>
        <v/>
      </c>
      <c r="Y135" s="267" t="s">
        <v>40</v>
      </c>
      <c r="Z135" s="271"/>
      <c r="AA135" s="245">
        <f ca="1">IF(OR(CostTrack[[#This Row],[Release Date (CMS)]]&gt;=DATE(VALUE(REPLACE(CostTrack[[#This Row],[Fiscal Period]],3,3,"")),3,1),CostTrack[[#This Row],[Release Date (CMS)]]&lt;DATE(VALUE(LEFT(CostTrack[[#This Row],[Fiscal Period]],4)),4,1)),1,0)</f>
        <v>0</v>
      </c>
      <c r="AB135" s="294">
        <v>10700</v>
      </c>
      <c r="AC135" s="260">
        <v>44225</v>
      </c>
      <c r="AD135" s="402" t="str">
        <f ca="1">IF(CostTrack[[#This Row],[Reconciled Amount]]="","",IF(CostTrack[[#This Row],[Value]]&lt;&gt;CostTrack[[#This Row],[Reconciled Amount]],"Yes","No"))</f>
        <v>No</v>
      </c>
    </row>
    <row r="136" spans="2:30">
      <c r="B136" s="400" t="s">
        <v>624</v>
      </c>
      <c r="C136" s="258">
        <v>1436571</v>
      </c>
      <c r="D136" s="260">
        <v>43769</v>
      </c>
      <c r="E136" s="282">
        <v>500</v>
      </c>
      <c r="F136" s="265" t="s">
        <v>69</v>
      </c>
      <c r="G136" s="406">
        <f ca="1">ROUND(IF(CostTrack[[#This Row],[Holdback (Y/N/R)]]="Yes",CostTrack[[#This Row],[Value]]*-0.1,IF(CostTrack[[#This Row],[Holdback (Y/N/R)]]="Release",CostTrack[[#This Row],[Value]],0)),2)</f>
        <v>0</v>
      </c>
      <c r="H136" s="407">
        <f ca="1">IF(CostTrack[[#This Row],[Holdback (Y/N/R)]]="Release",CostTrack[[#This Row],[Value]],CostTrack[[#This Row],[Value]]+CostTrack[[#This Row],[Holdback Value]])</f>
        <v>500</v>
      </c>
      <c r="I136" s="258"/>
      <c r="J136" s="258"/>
      <c r="K136" s="275"/>
      <c r="L136" s="260">
        <v>43774</v>
      </c>
      <c r="M136" s="260"/>
      <c r="N136" s="258"/>
      <c r="O136" s="260" t="s">
        <v>106</v>
      </c>
      <c r="P136" s="260">
        <v>43795</v>
      </c>
      <c r="Q136" s="243" t="str">
        <f ca="1">IF(CostTrack[[#This Row],[Vendor - Contract]]="","",INDEX(VendorList[PA ID],MATCH(CostTrack[[#This Row],[Vendor - Contract]],VendorList[Vendor / Org. with Contract ID],0)))</f>
        <v>200.040.F1</v>
      </c>
      <c r="R136" s="243" t="str">
        <f ca="1">IF(CostTrack[[#This Row],[Vendor - Contract]]="","",INDEX(VendorList[Primary Category],MATCH(CostTrack[[#This Row],[Vendor - Contract]],VendorList[Vendor / Org. with Contract ID],0)))</f>
        <v>Professional Services</v>
      </c>
      <c r="S136" s="243" t="str">
        <f ca="1">IF(CostTrack[[#This Row],[Vendor - Contract]]="","",INDEX(VendorList[Secondary Category],MATCH(CostTrack[[#This Row],[Vendor - Contract]],VendorList[Vendor / Org. with Contract ID],0)))</f>
        <v>Commissioning</v>
      </c>
      <c r="T136" s="243" t="str">
        <f ca="1">IF(CostTrack[[#This Row],[Vendor - Contract]]="","",INDEX(VendorList[Phase / Subproject],MATCH(CostTrack[[#This Row],[Vendor - Contract]],VendorList[Vendor / Org. with Contract ID],0)))</f>
        <v>--</v>
      </c>
      <c r="U136" s="243" t="str">
        <f ca="1">IF(CostTrack[[#This Row],[Vendor - Contract]]="","",INDEX(VendorList[Phase / Subproject 2],MATCH(CostTrack[[#This Row],[Vendor - Contract]],VendorList[Vendor / Org. with Contract ID],0)))</f>
        <v>--</v>
      </c>
      <c r="V136" s="243" t="str">
        <f ca="1">IF(CostTrack[[#This Row],[Vendor - Contract]]="","",INDEX(VendorList[Funding Source],MATCH(CostTrack[[#This Row],[Vendor - Contract]],VendorList[Vendor / Org. with Contract ID],0)))</f>
        <v>P-002360</v>
      </c>
      <c r="W136" s="260">
        <v>43796</v>
      </c>
      <c r="X136" s="251" t="str">
        <f ca="1">IF(CostTrack[[#This Row],[Release Date (CMS)]]="","*","")</f>
        <v/>
      </c>
      <c r="Y136" s="267" t="s">
        <v>40</v>
      </c>
      <c r="Z136" s="271"/>
      <c r="AA136" s="245">
        <f ca="1">IF(OR(CostTrack[[#This Row],[Release Date (CMS)]]&gt;=DATE(VALUE(REPLACE(CostTrack[[#This Row],[Fiscal Period]],3,3,"")),3,1),CostTrack[[#This Row],[Release Date (CMS)]]&lt;DATE(VALUE(LEFT(CostTrack[[#This Row],[Fiscal Period]],4)),4,1)),1,0)</f>
        <v>0</v>
      </c>
      <c r="AB136" s="294">
        <v>500</v>
      </c>
      <c r="AC136" s="260">
        <v>44225</v>
      </c>
      <c r="AD136" s="402" t="str">
        <f ca="1">IF(CostTrack[[#This Row],[Reconciled Amount]]="","",IF(CostTrack[[#This Row],[Value]]&lt;&gt;CostTrack[[#This Row],[Reconciled Amount]],"Yes","No"))</f>
        <v>No</v>
      </c>
    </row>
    <row r="137" spans="2:30">
      <c r="B137" s="400" t="s">
        <v>527</v>
      </c>
      <c r="C137" s="258" t="s">
        <v>891</v>
      </c>
      <c r="D137" s="260">
        <v>43769</v>
      </c>
      <c r="E137" s="282">
        <v>199020.13</v>
      </c>
      <c r="F137" s="265" t="s">
        <v>69</v>
      </c>
      <c r="G137" s="406">
        <f ca="1">ROUND(IF(CostTrack[[#This Row],[Holdback (Y/N/R)]]="Yes",CostTrack[[#This Row],[Value]]*-0.1,IF(CostTrack[[#This Row],[Holdback (Y/N/R)]]="Release",CostTrack[[#This Row],[Value]],0)),2)</f>
        <v>0</v>
      </c>
      <c r="H137" s="407">
        <f ca="1">IF(CostTrack[[#This Row],[Holdback (Y/N/R)]]="Release",CostTrack[[#This Row],[Value]],CostTrack[[#This Row],[Value]]+CostTrack[[#This Row],[Holdback Value]])</f>
        <v>199020.13</v>
      </c>
      <c r="I137" s="258"/>
      <c r="J137" s="258"/>
      <c r="K137" s="275">
        <v>43739</v>
      </c>
      <c r="L137" s="260">
        <v>43777</v>
      </c>
      <c r="M137" s="260"/>
      <c r="N137" s="258"/>
      <c r="O137" s="260" t="s">
        <v>106</v>
      </c>
      <c r="P137" s="260">
        <v>43795</v>
      </c>
      <c r="Q137" s="243" t="str">
        <f ca="1">IF(CostTrack[[#This Row],[Vendor - Contract]]="","",INDEX(VendorList[PA ID],MATCH(CostTrack[[#This Row],[Vendor - Contract]],VendorList[Vendor / Org. with Contract ID],0)))</f>
        <v>200.010.F1</v>
      </c>
      <c r="R137" s="243" t="str">
        <f ca="1">IF(CostTrack[[#This Row],[Vendor - Contract]]="","",INDEX(VendorList[Primary Category],MATCH(CostTrack[[#This Row],[Vendor - Contract]],VendorList[Vendor / Org. with Contract ID],0)))</f>
        <v>Professional Services</v>
      </c>
      <c r="S137" s="243" t="str">
        <f ca="1">IF(CostTrack[[#This Row],[Vendor - Contract]]="","",INDEX(VendorList[Secondary Category],MATCH(CostTrack[[#This Row],[Vendor - Contract]],VendorList[Vendor / Org. with Contract ID],0)))</f>
        <v>Prime Consultant</v>
      </c>
      <c r="T137" s="243" t="str">
        <f ca="1">IF(CostTrack[[#This Row],[Vendor - Contract]]="","",INDEX(VendorList[Phase / Subproject],MATCH(CostTrack[[#This Row],[Vendor - Contract]],VendorList[Vendor / Org. with Contract ID],0)))</f>
        <v>--</v>
      </c>
      <c r="U137" s="243" t="str">
        <f ca="1">IF(CostTrack[[#This Row],[Vendor - Contract]]="","",INDEX(VendorList[Phase / Subproject 2],MATCH(CostTrack[[#This Row],[Vendor - Contract]],VendorList[Vendor / Org. with Contract ID],0)))</f>
        <v>--</v>
      </c>
      <c r="V137" s="243" t="str">
        <f ca="1">IF(CostTrack[[#This Row],[Vendor - Contract]]="","",INDEX(VendorList[Funding Source],MATCH(CostTrack[[#This Row],[Vendor - Contract]],VendorList[Vendor / Org. with Contract ID],0)))</f>
        <v>P-002360</v>
      </c>
      <c r="W137" s="260">
        <v>43796</v>
      </c>
      <c r="X137" s="251" t="str">
        <f ca="1">IF(CostTrack[[#This Row],[Release Date (CMS)]]="","*","")</f>
        <v/>
      </c>
      <c r="Y137" s="267" t="s">
        <v>40</v>
      </c>
      <c r="Z137" s="271"/>
      <c r="AA137" s="245">
        <f ca="1">IF(OR(CostTrack[[#This Row],[Release Date (CMS)]]&gt;=DATE(VALUE(REPLACE(CostTrack[[#This Row],[Fiscal Period]],3,3,"")),3,1),CostTrack[[#This Row],[Release Date (CMS)]]&lt;DATE(VALUE(LEFT(CostTrack[[#This Row],[Fiscal Period]],4)),4,1)),1,0)</f>
        <v>0</v>
      </c>
      <c r="AB137" s="294">
        <v>199020.13</v>
      </c>
      <c r="AC137" s="260">
        <v>44224</v>
      </c>
      <c r="AD137" s="402" t="str">
        <f ca="1">IF(CostTrack[[#This Row],[Reconciled Amount]]="","",IF(CostTrack[[#This Row],[Value]]&lt;&gt;CostTrack[[#This Row],[Reconciled Amount]],"Yes","No"))</f>
        <v>No</v>
      </c>
    </row>
    <row r="138" spans="2:30">
      <c r="B138" s="400" t="s">
        <v>585</v>
      </c>
      <c r="C138" s="258">
        <v>197</v>
      </c>
      <c r="D138" s="260">
        <v>43795</v>
      </c>
      <c r="E138" s="282">
        <v>2273</v>
      </c>
      <c r="F138" s="265" t="s">
        <v>69</v>
      </c>
      <c r="G138" s="406">
        <f ca="1">ROUND(IF(CostTrack[[#This Row],[Holdback (Y/N/R)]]="Yes",CostTrack[[#This Row],[Value]]*-0.1,IF(CostTrack[[#This Row],[Holdback (Y/N/R)]]="Release",CostTrack[[#This Row],[Value]],0)),2)</f>
        <v>0</v>
      </c>
      <c r="H138" s="407">
        <f ca="1">IF(CostTrack[[#This Row],[Holdback (Y/N/R)]]="Release",CostTrack[[#This Row],[Value]],CostTrack[[#This Row],[Value]]+CostTrack[[#This Row],[Holdback Value]])</f>
        <v>2273</v>
      </c>
      <c r="I138" s="258"/>
      <c r="J138" s="258"/>
      <c r="K138" s="275"/>
      <c r="L138" s="260">
        <v>43796</v>
      </c>
      <c r="M138" s="260"/>
      <c r="N138" s="258"/>
      <c r="O138" s="260" t="s">
        <v>106</v>
      </c>
      <c r="P138" s="260">
        <v>43796</v>
      </c>
      <c r="Q138" s="243" t="str">
        <f ca="1">IF(CostTrack[[#This Row],[Vendor - Contract]]="","",INDEX(VendorList[PA ID],MATCH(CostTrack[[#This Row],[Vendor - Contract]],VendorList[Vendor / Org. with Contract ID],0)))</f>
        <v>200.050.F1</v>
      </c>
      <c r="R138" s="243" t="str">
        <f ca="1">IF(CostTrack[[#This Row],[Vendor - Contract]]="","",INDEX(VendorList[Primary Category],MATCH(CostTrack[[#This Row],[Vendor - Contract]],VendorList[Vendor / Org. with Contract ID],0)))</f>
        <v>Professional Services</v>
      </c>
      <c r="S138" s="243" t="str">
        <f ca="1">IF(CostTrack[[#This Row],[Vendor - Contract]]="","",INDEX(VendorList[Secondary Category],MATCH(CostTrack[[#This Row],[Vendor - Contract]],VendorList[Vendor / Org. with Contract ID],0)))</f>
        <v>Other Professional Services</v>
      </c>
      <c r="T138" s="243" t="str">
        <f ca="1">IF(CostTrack[[#This Row],[Vendor - Contract]]="","",INDEX(VendorList[Phase / Subproject],MATCH(CostTrack[[#This Row],[Vendor - Contract]],VendorList[Vendor / Org. with Contract ID],0)))</f>
        <v>--</v>
      </c>
      <c r="U138" s="243" t="str">
        <f ca="1">IF(CostTrack[[#This Row],[Vendor - Contract]]="","",INDEX(VendorList[Phase / Subproject 2],MATCH(CostTrack[[#This Row],[Vendor - Contract]],VendorList[Vendor / Org. with Contract ID],0)))</f>
        <v>--</v>
      </c>
      <c r="V138" s="243" t="str">
        <f ca="1">IF(CostTrack[[#This Row],[Vendor - Contract]]="","",INDEX(VendorList[Funding Source],MATCH(CostTrack[[#This Row],[Vendor - Contract]],VendorList[Vendor / Org. with Contract ID],0)))</f>
        <v>P-002360</v>
      </c>
      <c r="W138" s="260">
        <v>43802</v>
      </c>
      <c r="X138" s="251" t="str">
        <f ca="1">IF(CostTrack[[#This Row],[Release Date (CMS)]]="","*","")</f>
        <v/>
      </c>
      <c r="Y138" s="267" t="s">
        <v>40</v>
      </c>
      <c r="Z138" s="271"/>
      <c r="AA138" s="245">
        <f ca="1">IF(OR(CostTrack[[#This Row],[Release Date (CMS)]]&gt;=DATE(VALUE(REPLACE(CostTrack[[#This Row],[Fiscal Period]],3,3,"")),3,1),CostTrack[[#This Row],[Release Date (CMS)]]&lt;DATE(VALUE(LEFT(CostTrack[[#This Row],[Fiscal Period]],4)),4,1)),1,0)</f>
        <v>0</v>
      </c>
      <c r="AB138" s="294">
        <v>2273</v>
      </c>
      <c r="AC138" s="260">
        <v>44225</v>
      </c>
      <c r="AD138" s="402" t="str">
        <f ca="1">IF(CostTrack[[#This Row],[Reconciled Amount]]="","",IF(CostTrack[[#This Row],[Value]]&lt;&gt;CostTrack[[#This Row],[Reconciled Amount]],"Yes","No"))</f>
        <v>No</v>
      </c>
    </row>
    <row r="139" spans="2:30">
      <c r="B139" s="400" t="s">
        <v>736</v>
      </c>
      <c r="C139" s="258" t="s">
        <v>892</v>
      </c>
      <c r="D139" s="260">
        <v>43799</v>
      </c>
      <c r="E139" s="282">
        <v>26512.36</v>
      </c>
      <c r="F139" s="265" t="s">
        <v>69</v>
      </c>
      <c r="G139" s="406">
        <f ca="1">ROUND(IF(CostTrack[[#This Row],[Holdback (Y/N/R)]]="Yes",CostTrack[[#This Row],[Value]]*-0.1,IF(CostTrack[[#This Row],[Holdback (Y/N/R)]]="Release",CostTrack[[#This Row],[Value]],0)),2)</f>
        <v>0</v>
      </c>
      <c r="H139" s="407">
        <f ca="1">IF(CostTrack[[#This Row],[Holdback (Y/N/R)]]="Release",CostTrack[[#This Row],[Value]],CostTrack[[#This Row],[Value]]+CostTrack[[#This Row],[Holdback Value]])</f>
        <v>26512.36</v>
      </c>
      <c r="I139" s="258"/>
      <c r="J139" s="258"/>
      <c r="K139" s="275">
        <v>43770</v>
      </c>
      <c r="L139" s="260">
        <v>43799</v>
      </c>
      <c r="M139" s="260"/>
      <c r="N139" s="258"/>
      <c r="O139" s="260" t="s">
        <v>106</v>
      </c>
      <c r="P139" s="260">
        <v>43799</v>
      </c>
      <c r="Q139" s="243" t="str">
        <f ca="1">IF(CostTrack[[#This Row],[Vendor - Contract]]="","",INDEX(VendorList[PA ID],MATCH(CostTrack[[#This Row],[Vendor - Contract]],VendorList[Vendor / Org. with Contract ID],0)))</f>
        <v>100.010.F1</v>
      </c>
      <c r="R139" s="243" t="str">
        <f ca="1">IF(CostTrack[[#This Row],[Vendor - Contract]]="","",INDEX(VendorList[Primary Category],MATCH(CostTrack[[#This Row],[Vendor - Contract]],VendorList[Vendor / Org. with Contract ID],0)))</f>
        <v>Administration</v>
      </c>
      <c r="S139" s="243" t="str">
        <f ca="1">IF(CostTrack[[#This Row],[Vendor - Contract]]="","",INDEX(VendorList[Secondary Category],MATCH(CostTrack[[#This Row],[Vendor - Contract]],VendorList[Vendor / Org. with Contract ID],0)))</f>
        <v>Staff Capitalization - INFRA</v>
      </c>
      <c r="T139" s="243" t="str">
        <f ca="1">IF(CostTrack[[#This Row],[Vendor - Contract]]="","",INDEX(VendorList[Phase / Subproject],MATCH(CostTrack[[#This Row],[Vendor - Contract]],VendorList[Vendor / Org. with Contract ID],0)))</f>
        <v>--</v>
      </c>
      <c r="U139" s="243" t="str">
        <f ca="1">IF(CostTrack[[#This Row],[Vendor - Contract]]="","",INDEX(VendorList[Phase / Subproject 2],MATCH(CostTrack[[#This Row],[Vendor - Contract]],VendorList[Vendor / Org. with Contract ID],0)))</f>
        <v>--</v>
      </c>
      <c r="V139" s="243" t="str">
        <f ca="1">IF(CostTrack[[#This Row],[Vendor - Contract]]="","",INDEX(VendorList[Funding Source],MATCH(CostTrack[[#This Row],[Vendor - Contract]],VendorList[Vendor / Org. with Contract ID],0)))</f>
        <v>P-002360</v>
      </c>
      <c r="W139" s="260">
        <v>43799</v>
      </c>
      <c r="X139" s="251" t="str">
        <f ca="1">IF(CostTrack[[#This Row],[Release Date (CMS)]]="","*","")</f>
        <v/>
      </c>
      <c r="Y139" s="267" t="s">
        <v>40</v>
      </c>
      <c r="Z139" s="271"/>
      <c r="AA139" s="245">
        <f ca="1">IF(OR(CostTrack[[#This Row],[Release Date (CMS)]]&gt;=DATE(VALUE(REPLACE(CostTrack[[#This Row],[Fiscal Period]],3,3,"")),3,1),CostTrack[[#This Row],[Release Date (CMS)]]&lt;DATE(VALUE(LEFT(CostTrack[[#This Row],[Fiscal Period]],4)),4,1)),1,0)</f>
        <v>0</v>
      </c>
      <c r="AB139" s="294">
        <v>26512.36</v>
      </c>
      <c r="AC139" s="260">
        <v>44224</v>
      </c>
      <c r="AD139" s="402" t="str">
        <f ca="1">IF(CostTrack[[#This Row],[Reconciled Amount]]="","",IF(CostTrack[[#This Row],[Value]]&lt;&gt;CostTrack[[#This Row],[Reconciled Amount]],"Yes","No"))</f>
        <v>No</v>
      </c>
    </row>
    <row r="140" spans="2:30">
      <c r="B140" s="400" t="s">
        <v>528</v>
      </c>
      <c r="C140" s="258">
        <v>60641698</v>
      </c>
      <c r="D140" s="260">
        <v>43804</v>
      </c>
      <c r="E140" s="282">
        <v>1085</v>
      </c>
      <c r="F140" s="265" t="s">
        <v>69</v>
      </c>
      <c r="G140" s="406">
        <f ca="1">ROUND(IF(CostTrack[[#This Row],[Holdback (Y/N/R)]]="Yes",CostTrack[[#This Row],[Value]]*-0.1,IF(CostTrack[[#This Row],[Holdback (Y/N/R)]]="Release",CostTrack[[#This Row],[Value]],0)),2)</f>
        <v>0</v>
      </c>
      <c r="H140" s="407">
        <f ca="1">IF(CostTrack[[#This Row],[Holdback (Y/N/R)]]="Release",CostTrack[[#This Row],[Value]],CostTrack[[#This Row],[Value]]+CostTrack[[#This Row],[Holdback Value]])</f>
        <v>1085</v>
      </c>
      <c r="I140" s="258"/>
      <c r="J140" s="258"/>
      <c r="K140" s="275">
        <v>43770</v>
      </c>
      <c r="L140" s="260">
        <v>43805</v>
      </c>
      <c r="M140" s="260"/>
      <c r="N140" s="258"/>
      <c r="O140" s="260" t="s">
        <v>106</v>
      </c>
      <c r="P140" s="260">
        <v>43805</v>
      </c>
      <c r="Q140" s="243" t="str">
        <f ca="1">IF(CostTrack[[#This Row],[Vendor - Contract]]="","",INDEX(VendorList[PA ID],MATCH(CostTrack[[#This Row],[Vendor - Contract]],VendorList[Vendor / Org. with Contract ID],0)))</f>
        <v>200.050.F1</v>
      </c>
      <c r="R140" s="243" t="str">
        <f ca="1">IF(CostTrack[[#This Row],[Vendor - Contract]]="","",INDEX(VendorList[Primary Category],MATCH(CostTrack[[#This Row],[Vendor - Contract]],VendorList[Vendor / Org. with Contract ID],0)))</f>
        <v>Professional Services</v>
      </c>
      <c r="S140" s="243" t="str">
        <f ca="1">IF(CostTrack[[#This Row],[Vendor - Contract]]="","",INDEX(VendorList[Secondary Category],MATCH(CostTrack[[#This Row],[Vendor - Contract]],VendorList[Vendor / Org. with Contract ID],0)))</f>
        <v>Other Professional Services</v>
      </c>
      <c r="T140" s="243" t="str">
        <f ca="1">IF(CostTrack[[#This Row],[Vendor - Contract]]="","",INDEX(VendorList[Phase / Subproject],MATCH(CostTrack[[#This Row],[Vendor - Contract]],VendorList[Vendor / Org. with Contract ID],0)))</f>
        <v>--</v>
      </c>
      <c r="U140" s="243" t="str">
        <f ca="1">IF(CostTrack[[#This Row],[Vendor - Contract]]="","",INDEX(VendorList[Phase / Subproject 2],MATCH(CostTrack[[#This Row],[Vendor - Contract]],VendorList[Vendor / Org. with Contract ID],0)))</f>
        <v>--</v>
      </c>
      <c r="V140" s="243" t="str">
        <f ca="1">IF(CostTrack[[#This Row],[Vendor - Contract]]="","",INDEX(VendorList[Funding Source],MATCH(CostTrack[[#This Row],[Vendor - Contract]],VendorList[Vendor / Org. with Contract ID],0)))</f>
        <v>P-002360</v>
      </c>
      <c r="W140" s="260">
        <v>43809</v>
      </c>
      <c r="X140" s="251" t="str">
        <f ca="1">IF(CostTrack[[#This Row],[Release Date (CMS)]]="","*","")</f>
        <v/>
      </c>
      <c r="Y140" s="267" t="s">
        <v>40</v>
      </c>
      <c r="Z140" s="271"/>
      <c r="AA140" s="245">
        <f ca="1">IF(OR(CostTrack[[#This Row],[Release Date (CMS)]]&gt;=DATE(VALUE(REPLACE(CostTrack[[#This Row],[Fiscal Period]],3,3,"")),3,1),CostTrack[[#This Row],[Release Date (CMS)]]&lt;DATE(VALUE(LEFT(CostTrack[[#This Row],[Fiscal Period]],4)),4,1)),1,0)</f>
        <v>0</v>
      </c>
      <c r="AB140" s="294">
        <v>1085</v>
      </c>
      <c r="AC140" s="260">
        <v>44224</v>
      </c>
      <c r="AD140" s="402" t="str">
        <f ca="1">IF(CostTrack[[#This Row],[Reconciled Amount]]="","",IF(CostTrack[[#This Row],[Value]]&lt;&gt;CostTrack[[#This Row],[Reconciled Amount]],"Yes","No"))</f>
        <v>No</v>
      </c>
    </row>
    <row r="141" spans="2:30">
      <c r="B141" s="400" t="s">
        <v>527</v>
      </c>
      <c r="C141" s="258" t="s">
        <v>893</v>
      </c>
      <c r="D141" s="260">
        <v>43799</v>
      </c>
      <c r="E141" s="282">
        <v>174928.8</v>
      </c>
      <c r="F141" s="265" t="s">
        <v>69</v>
      </c>
      <c r="G141" s="406">
        <f ca="1">ROUND(IF(CostTrack[[#This Row],[Holdback (Y/N/R)]]="Yes",CostTrack[[#This Row],[Value]]*-0.1,IF(CostTrack[[#This Row],[Holdback (Y/N/R)]]="Release",CostTrack[[#This Row],[Value]],0)),2)</f>
        <v>0</v>
      </c>
      <c r="H141" s="407">
        <f ca="1">IF(CostTrack[[#This Row],[Holdback (Y/N/R)]]="Release",CostTrack[[#This Row],[Value]],CostTrack[[#This Row],[Value]]+CostTrack[[#This Row],[Holdback Value]])</f>
        <v>174928.8</v>
      </c>
      <c r="I141" s="258"/>
      <c r="J141" s="258"/>
      <c r="K141" s="275">
        <v>43770</v>
      </c>
      <c r="L141" s="260">
        <v>43805</v>
      </c>
      <c r="M141" s="260"/>
      <c r="N141" s="258"/>
      <c r="O141" s="260" t="s">
        <v>106</v>
      </c>
      <c r="P141" s="260">
        <v>43805</v>
      </c>
      <c r="Q141" s="243" t="str">
        <f ca="1">IF(CostTrack[[#This Row],[Vendor - Contract]]="","",INDEX(VendorList[PA ID],MATCH(CostTrack[[#This Row],[Vendor - Contract]],VendorList[Vendor / Org. with Contract ID],0)))</f>
        <v>200.010.F1</v>
      </c>
      <c r="R141" s="243" t="str">
        <f ca="1">IF(CostTrack[[#This Row],[Vendor - Contract]]="","",INDEX(VendorList[Primary Category],MATCH(CostTrack[[#This Row],[Vendor - Contract]],VendorList[Vendor / Org. with Contract ID],0)))</f>
        <v>Professional Services</v>
      </c>
      <c r="S141" s="243" t="str">
        <f ca="1">IF(CostTrack[[#This Row],[Vendor - Contract]]="","",INDEX(VendorList[Secondary Category],MATCH(CostTrack[[#This Row],[Vendor - Contract]],VendorList[Vendor / Org. with Contract ID],0)))</f>
        <v>Prime Consultant</v>
      </c>
      <c r="T141" s="243" t="str">
        <f ca="1">IF(CostTrack[[#This Row],[Vendor - Contract]]="","",INDEX(VendorList[Phase / Subproject],MATCH(CostTrack[[#This Row],[Vendor - Contract]],VendorList[Vendor / Org. with Contract ID],0)))</f>
        <v>--</v>
      </c>
      <c r="U141" s="243" t="str">
        <f ca="1">IF(CostTrack[[#This Row],[Vendor - Contract]]="","",INDEX(VendorList[Phase / Subproject 2],MATCH(CostTrack[[#This Row],[Vendor - Contract]],VendorList[Vendor / Org. with Contract ID],0)))</f>
        <v>--</v>
      </c>
      <c r="V141" s="243" t="str">
        <f ca="1">IF(CostTrack[[#This Row],[Vendor - Contract]]="","",INDEX(VendorList[Funding Source],MATCH(CostTrack[[#This Row],[Vendor - Contract]],VendorList[Vendor / Org. with Contract ID],0)))</f>
        <v>P-002360</v>
      </c>
      <c r="W141" s="260">
        <v>43810</v>
      </c>
      <c r="X141" s="251" t="str">
        <f ca="1">IF(CostTrack[[#This Row],[Release Date (CMS)]]="","*","")</f>
        <v/>
      </c>
      <c r="Y141" s="267" t="s">
        <v>40</v>
      </c>
      <c r="Z141" s="271"/>
      <c r="AA141" s="245">
        <f ca="1">IF(OR(CostTrack[[#This Row],[Release Date (CMS)]]&gt;=DATE(VALUE(REPLACE(CostTrack[[#This Row],[Fiscal Period]],3,3,"")),3,1),CostTrack[[#This Row],[Release Date (CMS)]]&lt;DATE(VALUE(LEFT(CostTrack[[#This Row],[Fiscal Period]],4)),4,1)),1,0)</f>
        <v>0</v>
      </c>
      <c r="AB141" s="294">
        <v>174928.8</v>
      </c>
      <c r="AC141" s="260">
        <v>44224</v>
      </c>
      <c r="AD141" s="402" t="str">
        <f ca="1">IF(CostTrack[[#This Row],[Reconciled Amount]]="","",IF(CostTrack[[#This Row],[Value]]&lt;&gt;CostTrack[[#This Row],[Reconciled Amount]],"Yes","No"))</f>
        <v>No</v>
      </c>
    </row>
    <row r="142" spans="2:30">
      <c r="B142" s="400" t="s">
        <v>569</v>
      </c>
      <c r="C142" s="258" t="s">
        <v>894</v>
      </c>
      <c r="D142" s="260">
        <v>43734</v>
      </c>
      <c r="E142" s="282">
        <v>12690</v>
      </c>
      <c r="F142" s="265" t="s">
        <v>65</v>
      </c>
      <c r="G142" s="406">
        <f ca="1">ROUND(IF(CostTrack[[#This Row],[Holdback (Y/N/R)]]="Yes",CostTrack[[#This Row],[Value]]*-0.1,IF(CostTrack[[#This Row],[Holdback (Y/N/R)]]="Release",CostTrack[[#This Row],[Value]],0)),2)</f>
        <v>-1269</v>
      </c>
      <c r="H142" s="407">
        <f ca="1">IF(CostTrack[[#This Row],[Holdback (Y/N/R)]]="Release",CostTrack[[#This Row],[Value]],CostTrack[[#This Row],[Value]]+CostTrack[[#This Row],[Holdback Value]])</f>
        <v>11421</v>
      </c>
      <c r="I142" s="258"/>
      <c r="J142" s="258"/>
      <c r="K142" s="275">
        <v>43709</v>
      </c>
      <c r="L142" s="260">
        <v>43812</v>
      </c>
      <c r="M142" s="260"/>
      <c r="N142" s="258"/>
      <c r="O142" s="260" t="s">
        <v>106</v>
      </c>
      <c r="P142" s="260">
        <v>43812</v>
      </c>
      <c r="Q142" s="243" t="str">
        <f ca="1">IF(CostTrack[[#This Row],[Vendor - Contract]]="","",INDEX(VendorList[PA ID],MATCH(CostTrack[[#This Row],[Vendor - Contract]],VendorList[Vendor / Org. with Contract ID],0)))</f>
        <v>300.100.F1</v>
      </c>
      <c r="R142" s="243" t="str">
        <f ca="1">IF(CostTrack[[#This Row],[Vendor - Contract]]="","",INDEX(VendorList[Primary Category],MATCH(CostTrack[[#This Row],[Vendor - Contract]],VendorList[Vendor / Org. with Contract ID],0)))</f>
        <v>Construction</v>
      </c>
      <c r="S142" s="243" t="str">
        <f ca="1">IF(CostTrack[[#This Row],[Vendor - Contract]]="","",INDEX(VendorList[Secondary Category],MATCH(CostTrack[[#This Row],[Vendor - Contract]],VendorList[Vendor / Org. with Contract ID],0)))</f>
        <v>Demolition</v>
      </c>
      <c r="T142" s="243" t="str">
        <f ca="1">IF(CostTrack[[#This Row],[Vendor - Contract]]="","",INDEX(VendorList[Phase / Subproject],MATCH(CostTrack[[#This Row],[Vendor - Contract]],VendorList[Vendor / Org. with Contract ID],0)))</f>
        <v>--</v>
      </c>
      <c r="U142" s="243" t="str">
        <f ca="1">IF(CostTrack[[#This Row],[Vendor - Contract]]="","",INDEX(VendorList[Phase / Subproject 2],MATCH(CostTrack[[#This Row],[Vendor - Contract]],VendorList[Vendor / Org. with Contract ID],0)))</f>
        <v>--</v>
      </c>
      <c r="V142" s="243" t="str">
        <f ca="1">IF(CostTrack[[#This Row],[Vendor - Contract]]="","",INDEX(VendorList[Funding Source],MATCH(CostTrack[[#This Row],[Vendor - Contract]],VendorList[Vendor / Org. with Contract ID],0)))</f>
        <v>P-002360</v>
      </c>
      <c r="W142" s="260">
        <v>43812</v>
      </c>
      <c r="X142" s="251" t="str">
        <f ca="1">IF(CostTrack[[#This Row],[Release Date (CMS)]]="","*","")</f>
        <v/>
      </c>
      <c r="Y142" s="267" t="s">
        <v>40</v>
      </c>
      <c r="Z142" s="271"/>
      <c r="AA142" s="245">
        <f ca="1">IF(OR(CostTrack[[#This Row],[Release Date (CMS)]]&gt;=DATE(VALUE(REPLACE(CostTrack[[#This Row],[Fiscal Period]],3,3,"")),3,1),CostTrack[[#This Row],[Release Date (CMS)]]&lt;DATE(VALUE(LEFT(CostTrack[[#This Row],[Fiscal Period]],4)),4,1)),1,0)</f>
        <v>0</v>
      </c>
      <c r="AB142" s="294">
        <v>12690</v>
      </c>
      <c r="AC142" s="260">
        <v>44224</v>
      </c>
      <c r="AD142" s="402" t="str">
        <f ca="1">IF(CostTrack[[#This Row],[Reconciled Amount]]="","",IF(CostTrack[[#This Row],[Value]]&lt;&gt;CostTrack[[#This Row],[Reconciled Amount]],"Yes","No"))</f>
        <v>No</v>
      </c>
    </row>
    <row r="143" spans="2:30">
      <c r="B143" s="400" t="s">
        <v>624</v>
      </c>
      <c r="C143" s="258">
        <v>1447163</v>
      </c>
      <c r="D143" s="260">
        <v>43798</v>
      </c>
      <c r="E143" s="282">
        <v>1100</v>
      </c>
      <c r="F143" s="265" t="s">
        <v>69</v>
      </c>
      <c r="G143" s="406">
        <f ca="1">ROUND(IF(CostTrack[[#This Row],[Holdback (Y/N/R)]]="Yes",CostTrack[[#This Row],[Value]]*-0.1,IF(CostTrack[[#This Row],[Holdback (Y/N/R)]]="Release",CostTrack[[#This Row],[Value]],0)),2)</f>
        <v>0</v>
      </c>
      <c r="H143" s="407">
        <f ca="1">IF(CostTrack[[#This Row],[Holdback (Y/N/R)]]="Release",CostTrack[[#This Row],[Value]],CostTrack[[#This Row],[Value]]+CostTrack[[#This Row],[Holdback Value]])</f>
        <v>1100</v>
      </c>
      <c r="I143" s="258"/>
      <c r="J143" s="258"/>
      <c r="K143" s="275">
        <v>43770</v>
      </c>
      <c r="L143" s="260">
        <v>43812</v>
      </c>
      <c r="M143" s="260"/>
      <c r="N143" s="258"/>
      <c r="O143" s="260" t="s">
        <v>106</v>
      </c>
      <c r="P143" s="260">
        <v>43816</v>
      </c>
      <c r="Q143" s="243" t="str">
        <f ca="1">IF(CostTrack[[#This Row],[Vendor - Contract]]="","",INDEX(VendorList[PA ID],MATCH(CostTrack[[#This Row],[Vendor - Contract]],VendorList[Vendor / Org. with Contract ID],0)))</f>
        <v>200.040.F1</v>
      </c>
      <c r="R143" s="243" t="str">
        <f ca="1">IF(CostTrack[[#This Row],[Vendor - Contract]]="","",INDEX(VendorList[Primary Category],MATCH(CostTrack[[#This Row],[Vendor - Contract]],VendorList[Vendor / Org. with Contract ID],0)))</f>
        <v>Professional Services</v>
      </c>
      <c r="S143" s="243" t="str">
        <f ca="1">IF(CostTrack[[#This Row],[Vendor - Contract]]="","",INDEX(VendorList[Secondary Category],MATCH(CostTrack[[#This Row],[Vendor - Contract]],VendorList[Vendor / Org. with Contract ID],0)))</f>
        <v>Commissioning</v>
      </c>
      <c r="T143" s="243" t="str">
        <f ca="1">IF(CostTrack[[#This Row],[Vendor - Contract]]="","",INDEX(VendorList[Phase / Subproject],MATCH(CostTrack[[#This Row],[Vendor - Contract]],VendorList[Vendor / Org. with Contract ID],0)))</f>
        <v>--</v>
      </c>
      <c r="U143" s="243" t="str">
        <f ca="1">IF(CostTrack[[#This Row],[Vendor - Contract]]="","",INDEX(VendorList[Phase / Subproject 2],MATCH(CostTrack[[#This Row],[Vendor - Contract]],VendorList[Vendor / Org. with Contract ID],0)))</f>
        <v>--</v>
      </c>
      <c r="V143" s="243" t="str">
        <f ca="1">IF(CostTrack[[#This Row],[Vendor - Contract]]="","",INDEX(VendorList[Funding Source],MATCH(CostTrack[[#This Row],[Vendor - Contract]],VendorList[Vendor / Org. with Contract ID],0)))</f>
        <v>P-002360</v>
      </c>
      <c r="W143" s="260">
        <v>43818</v>
      </c>
      <c r="X143" s="251" t="str">
        <f ca="1">IF(CostTrack[[#This Row],[Release Date (CMS)]]="","*","")</f>
        <v/>
      </c>
      <c r="Y143" s="267" t="s">
        <v>40</v>
      </c>
      <c r="Z143" s="271"/>
      <c r="AA143" s="245">
        <f ca="1">IF(OR(CostTrack[[#This Row],[Release Date (CMS)]]&gt;=DATE(VALUE(REPLACE(CostTrack[[#This Row],[Fiscal Period]],3,3,"")),3,1),CostTrack[[#This Row],[Release Date (CMS)]]&lt;DATE(VALUE(LEFT(CostTrack[[#This Row],[Fiscal Period]],4)),4,1)),1,0)</f>
        <v>0</v>
      </c>
      <c r="AB143" s="294">
        <v>1100</v>
      </c>
      <c r="AC143" s="260">
        <v>44225</v>
      </c>
      <c r="AD143" s="402" t="str">
        <f ca="1">IF(CostTrack[[#This Row],[Reconciled Amount]]="","",IF(CostTrack[[#This Row],[Value]]&lt;&gt;CostTrack[[#This Row],[Reconciled Amount]],"Yes","No"))</f>
        <v>No</v>
      </c>
    </row>
    <row r="144" spans="2:30">
      <c r="B144" s="400" t="s">
        <v>597</v>
      </c>
      <c r="C144" s="258">
        <v>408717</v>
      </c>
      <c r="D144" s="260">
        <v>43810</v>
      </c>
      <c r="E144" s="282">
        <v>1660</v>
      </c>
      <c r="F144" s="265" t="s">
        <v>69</v>
      </c>
      <c r="G144" s="406">
        <f ca="1">ROUND(IF(CostTrack[[#This Row],[Holdback (Y/N/R)]]="Yes",CostTrack[[#This Row],[Value]]*-0.1,IF(CostTrack[[#This Row],[Holdback (Y/N/R)]]="Release",CostTrack[[#This Row],[Value]],0)),2)</f>
        <v>0</v>
      </c>
      <c r="H144" s="407">
        <f ca="1">IF(CostTrack[[#This Row],[Holdback (Y/N/R)]]="Release",CostTrack[[#This Row],[Value]],CostTrack[[#This Row],[Value]]+CostTrack[[#This Row],[Holdback Value]])</f>
        <v>1660</v>
      </c>
      <c r="I144" s="258"/>
      <c r="J144" s="258"/>
      <c r="K144" s="275"/>
      <c r="L144" s="260">
        <v>43836</v>
      </c>
      <c r="M144" s="260"/>
      <c r="N144" s="258"/>
      <c r="O144" s="260" t="s">
        <v>106</v>
      </c>
      <c r="P144" s="260">
        <v>43836</v>
      </c>
      <c r="Q144" s="243" t="str">
        <f ca="1">IF(CostTrack[[#This Row],[Vendor - Contract]]="","",INDEX(VendorList[PA ID],MATCH(CostTrack[[#This Row],[Vendor - Contract]],VendorList[Vendor / Org. with Contract ID],0)))</f>
        <v>300.040.F1</v>
      </c>
      <c r="R144" s="243" t="str">
        <f ca="1">IF(CostTrack[[#This Row],[Vendor - Contract]]="","",INDEX(VendorList[Primary Category],MATCH(CostTrack[[#This Row],[Vendor - Contract]],VendorList[Vendor / Org. with Contract ID],0)))</f>
        <v>Construction</v>
      </c>
      <c r="S144" s="243" t="str">
        <f ca="1">IF(CostTrack[[#This Row],[Vendor - Contract]]="","",INDEX(VendorList[Secondary Category],MATCH(CostTrack[[#This Row],[Vendor - Contract]],VendorList[Vendor / Org. with Contract ID],0)))</f>
        <v>Other Contractor</v>
      </c>
      <c r="T144" s="243" t="str">
        <f ca="1">IF(CostTrack[[#This Row],[Vendor - Contract]]="","",INDEX(VendorList[Phase / Subproject],MATCH(CostTrack[[#This Row],[Vendor - Contract]],VendorList[Vendor / Org. with Contract ID],0)))</f>
        <v>--</v>
      </c>
      <c r="U144" s="243" t="str">
        <f ca="1">IF(CostTrack[[#This Row],[Vendor - Contract]]="","",INDEX(VendorList[Phase / Subproject 2],MATCH(CostTrack[[#This Row],[Vendor - Contract]],VendorList[Vendor / Org. with Contract ID],0)))</f>
        <v>--</v>
      </c>
      <c r="V144" s="243" t="str">
        <f ca="1">IF(CostTrack[[#This Row],[Vendor - Contract]]="","",INDEX(VendorList[Funding Source],MATCH(CostTrack[[#This Row],[Vendor - Contract]],VendorList[Vendor / Org. with Contract ID],0)))</f>
        <v>P-002360</v>
      </c>
      <c r="W144" s="260">
        <v>43844</v>
      </c>
      <c r="X144" s="251" t="str">
        <f ca="1">IF(CostTrack[[#This Row],[Release Date (CMS)]]="","*","")</f>
        <v/>
      </c>
      <c r="Y144" s="267" t="s">
        <v>40</v>
      </c>
      <c r="Z144" s="271"/>
      <c r="AA144" s="245">
        <f ca="1">IF(OR(CostTrack[[#This Row],[Release Date (CMS)]]&gt;=DATE(VALUE(REPLACE(CostTrack[[#This Row],[Fiscal Period]],3,3,"")),3,1),CostTrack[[#This Row],[Release Date (CMS)]]&lt;DATE(VALUE(LEFT(CostTrack[[#This Row],[Fiscal Period]],4)),4,1)),1,0)</f>
        <v>0</v>
      </c>
      <c r="AB144" s="294">
        <v>1660</v>
      </c>
      <c r="AC144" s="260">
        <v>44224</v>
      </c>
      <c r="AD144" s="402" t="str">
        <f ca="1">IF(CostTrack[[#This Row],[Reconciled Amount]]="","",IF(CostTrack[[#This Row],[Value]]&lt;&gt;CostTrack[[#This Row],[Reconciled Amount]],"Yes","No"))</f>
        <v>No</v>
      </c>
    </row>
    <row r="145" spans="2:30">
      <c r="B145" s="400" t="s">
        <v>527</v>
      </c>
      <c r="C145" s="258">
        <v>191002</v>
      </c>
      <c r="D145" s="260">
        <v>43830</v>
      </c>
      <c r="E145" s="282">
        <v>120713.03</v>
      </c>
      <c r="F145" s="265" t="s">
        <v>69</v>
      </c>
      <c r="G145" s="406">
        <f ca="1">ROUND(IF(CostTrack[[#This Row],[Holdback (Y/N/R)]]="Yes",CostTrack[[#This Row],[Value]]*-0.1,IF(CostTrack[[#This Row],[Holdback (Y/N/R)]]="Release",CostTrack[[#This Row],[Value]],0)),2)</f>
        <v>0</v>
      </c>
      <c r="H145" s="407">
        <f ca="1">IF(CostTrack[[#This Row],[Holdback (Y/N/R)]]="Release",CostTrack[[#This Row],[Value]],CostTrack[[#This Row],[Value]]+CostTrack[[#This Row],[Holdback Value]])</f>
        <v>120713.03</v>
      </c>
      <c r="I145" s="258"/>
      <c r="J145" s="258"/>
      <c r="K145" s="275">
        <v>43800</v>
      </c>
      <c r="L145" s="260">
        <v>43839</v>
      </c>
      <c r="M145" s="260"/>
      <c r="N145" s="258"/>
      <c r="O145" s="260" t="s">
        <v>106</v>
      </c>
      <c r="P145" s="260">
        <v>43839</v>
      </c>
      <c r="Q145" s="243" t="str">
        <f ca="1">IF(CostTrack[[#This Row],[Vendor - Contract]]="","",INDEX(VendorList[PA ID],MATCH(CostTrack[[#This Row],[Vendor - Contract]],VendorList[Vendor / Org. with Contract ID],0)))</f>
        <v>200.010.F1</v>
      </c>
      <c r="R145" s="243" t="str">
        <f ca="1">IF(CostTrack[[#This Row],[Vendor - Contract]]="","",INDEX(VendorList[Primary Category],MATCH(CostTrack[[#This Row],[Vendor - Contract]],VendorList[Vendor / Org. with Contract ID],0)))</f>
        <v>Professional Services</v>
      </c>
      <c r="S145" s="243" t="str">
        <f ca="1">IF(CostTrack[[#This Row],[Vendor - Contract]]="","",INDEX(VendorList[Secondary Category],MATCH(CostTrack[[#This Row],[Vendor - Contract]],VendorList[Vendor / Org. with Contract ID],0)))</f>
        <v>Prime Consultant</v>
      </c>
      <c r="T145" s="243" t="str">
        <f ca="1">IF(CostTrack[[#This Row],[Vendor - Contract]]="","",INDEX(VendorList[Phase / Subproject],MATCH(CostTrack[[#This Row],[Vendor - Contract]],VendorList[Vendor / Org. with Contract ID],0)))</f>
        <v>--</v>
      </c>
      <c r="U145" s="243" t="str">
        <f ca="1">IF(CostTrack[[#This Row],[Vendor - Contract]]="","",INDEX(VendorList[Phase / Subproject 2],MATCH(CostTrack[[#This Row],[Vendor - Contract]],VendorList[Vendor / Org. with Contract ID],0)))</f>
        <v>--</v>
      </c>
      <c r="V145" s="243" t="str">
        <f ca="1">IF(CostTrack[[#This Row],[Vendor - Contract]]="","",INDEX(VendorList[Funding Source],MATCH(CostTrack[[#This Row],[Vendor - Contract]],VendorList[Vendor / Org. with Contract ID],0)))</f>
        <v>P-002360</v>
      </c>
      <c r="W145" s="260">
        <v>43844</v>
      </c>
      <c r="X145" s="251" t="str">
        <f ca="1">IF(CostTrack[[#This Row],[Release Date (CMS)]]="","*","")</f>
        <v/>
      </c>
      <c r="Y145" s="267" t="s">
        <v>40</v>
      </c>
      <c r="Z145" s="271"/>
      <c r="AA145" s="245">
        <f ca="1">IF(OR(CostTrack[[#This Row],[Release Date (CMS)]]&gt;=DATE(VALUE(REPLACE(CostTrack[[#This Row],[Fiscal Period]],3,3,"")),3,1),CostTrack[[#This Row],[Release Date (CMS)]]&lt;DATE(VALUE(LEFT(CostTrack[[#This Row],[Fiscal Period]],4)),4,1)),1,0)</f>
        <v>0</v>
      </c>
      <c r="AB145" s="294">
        <v>120713.03</v>
      </c>
      <c r="AC145" s="260">
        <v>44224</v>
      </c>
      <c r="AD145" s="402" t="str">
        <f ca="1">IF(CostTrack[[#This Row],[Reconciled Amount]]="","",IF(CostTrack[[#This Row],[Value]]&lt;&gt;CostTrack[[#This Row],[Reconciled Amount]],"Yes","No"))</f>
        <v>No</v>
      </c>
    </row>
    <row r="146" spans="2:30">
      <c r="B146" s="400" t="s">
        <v>736</v>
      </c>
      <c r="C146" s="258">
        <v>43800</v>
      </c>
      <c r="D146" s="260">
        <v>43830</v>
      </c>
      <c r="E146" s="282">
        <v>52665.55</v>
      </c>
      <c r="F146" s="265" t="s">
        <v>69</v>
      </c>
      <c r="G146" s="406">
        <f ca="1">ROUND(IF(CostTrack[[#This Row],[Holdback (Y/N/R)]]="Yes",CostTrack[[#This Row],[Value]]*-0.1,IF(CostTrack[[#This Row],[Holdback (Y/N/R)]]="Release",CostTrack[[#This Row],[Value]],0)),2)</f>
        <v>0</v>
      </c>
      <c r="H146" s="407">
        <f ca="1">IF(CostTrack[[#This Row],[Holdback (Y/N/R)]]="Release",CostTrack[[#This Row],[Value]],CostTrack[[#This Row],[Value]]+CostTrack[[#This Row],[Holdback Value]])</f>
        <v>52665.55</v>
      </c>
      <c r="I146" s="258"/>
      <c r="J146" s="258"/>
      <c r="K146" s="275">
        <v>43800</v>
      </c>
      <c r="L146" s="260">
        <v>43830</v>
      </c>
      <c r="M146" s="260"/>
      <c r="N146" s="258"/>
      <c r="O146" s="260" t="s">
        <v>106</v>
      </c>
      <c r="P146" s="260">
        <v>43830</v>
      </c>
      <c r="Q146" s="243" t="str">
        <f ca="1">IF(CostTrack[[#This Row],[Vendor - Contract]]="","",INDEX(VendorList[PA ID],MATCH(CostTrack[[#This Row],[Vendor - Contract]],VendorList[Vendor / Org. with Contract ID],0)))</f>
        <v>100.010.F1</v>
      </c>
      <c r="R146" s="243" t="str">
        <f ca="1">IF(CostTrack[[#This Row],[Vendor - Contract]]="","",INDEX(VendorList[Primary Category],MATCH(CostTrack[[#This Row],[Vendor - Contract]],VendorList[Vendor / Org. with Contract ID],0)))</f>
        <v>Administration</v>
      </c>
      <c r="S146" s="243" t="str">
        <f ca="1">IF(CostTrack[[#This Row],[Vendor - Contract]]="","",INDEX(VendorList[Secondary Category],MATCH(CostTrack[[#This Row],[Vendor - Contract]],VendorList[Vendor / Org. with Contract ID],0)))</f>
        <v>Staff Capitalization - INFRA</v>
      </c>
      <c r="T146" s="243" t="str">
        <f ca="1">IF(CostTrack[[#This Row],[Vendor - Contract]]="","",INDEX(VendorList[Phase / Subproject],MATCH(CostTrack[[#This Row],[Vendor - Contract]],VendorList[Vendor / Org. with Contract ID],0)))</f>
        <v>--</v>
      </c>
      <c r="U146" s="243" t="str">
        <f ca="1">IF(CostTrack[[#This Row],[Vendor - Contract]]="","",INDEX(VendorList[Phase / Subproject 2],MATCH(CostTrack[[#This Row],[Vendor - Contract]],VendorList[Vendor / Org. with Contract ID],0)))</f>
        <v>--</v>
      </c>
      <c r="V146" s="243" t="str">
        <f ca="1">IF(CostTrack[[#This Row],[Vendor - Contract]]="","",INDEX(VendorList[Funding Source],MATCH(CostTrack[[#This Row],[Vendor - Contract]],VendorList[Vendor / Org. with Contract ID],0)))</f>
        <v>P-002360</v>
      </c>
      <c r="W146" s="260">
        <v>43830</v>
      </c>
      <c r="X146" s="251" t="str">
        <f ca="1">IF(CostTrack[[#This Row],[Release Date (CMS)]]="","*","")</f>
        <v/>
      </c>
      <c r="Y146" s="267" t="s">
        <v>40</v>
      </c>
      <c r="Z146" s="271"/>
      <c r="AA146" s="245">
        <f ca="1">IF(OR(CostTrack[[#This Row],[Release Date (CMS)]]&gt;=DATE(VALUE(REPLACE(CostTrack[[#This Row],[Fiscal Period]],3,3,"")),3,1),CostTrack[[#This Row],[Release Date (CMS)]]&lt;DATE(VALUE(LEFT(CostTrack[[#This Row],[Fiscal Period]],4)),4,1)),1,0)</f>
        <v>0</v>
      </c>
      <c r="AB146" s="294">
        <v>52665.55</v>
      </c>
      <c r="AC146" s="260">
        <v>44224</v>
      </c>
      <c r="AD146" s="402" t="str">
        <f ca="1">IF(CostTrack[[#This Row],[Reconciled Amount]]="","",IF(CostTrack[[#This Row],[Value]]&lt;&gt;CostTrack[[#This Row],[Reconciled Amount]],"Yes","No"))</f>
        <v>No</v>
      </c>
    </row>
    <row r="147" spans="2:30" ht="55.9">
      <c r="B147" s="719" t="s">
        <v>569</v>
      </c>
      <c r="C147" s="720">
        <v>8316</v>
      </c>
      <c r="D147" s="721">
        <v>43818</v>
      </c>
      <c r="E147" s="722">
        <v>45788.84</v>
      </c>
      <c r="F147" s="723" t="s">
        <v>100</v>
      </c>
      <c r="G147" s="406">
        <f ca="1">ROUND(IF(CostTrack[[#This Row],[Holdback (Y/N/R)]]="Yes",CostTrack[[#This Row],[Value]]*-0.1,IF(CostTrack[[#This Row],[Holdback (Y/N/R)]]="Release",CostTrack[[#This Row],[Value]],0)),2)</f>
        <v>45788.84</v>
      </c>
      <c r="H147" s="407">
        <f ca="1">IF(CostTrack[[#This Row],[Holdback (Y/N/R)]]="Release",CostTrack[[#This Row],[Value]],CostTrack[[#This Row],[Value]]+CostTrack[[#This Row],[Holdback Value]])</f>
        <v>45788.84</v>
      </c>
      <c r="I147" s="258"/>
      <c r="J147" s="258"/>
      <c r="K147" s="275" t="s">
        <v>895</v>
      </c>
      <c r="L147" s="260">
        <v>43837</v>
      </c>
      <c r="M147" s="260"/>
      <c r="N147" s="258"/>
      <c r="O147" s="260" t="s">
        <v>106</v>
      </c>
      <c r="P147" s="260">
        <v>43837</v>
      </c>
      <c r="Q147" s="243" t="str">
        <f ca="1">IF(CostTrack[[#This Row],[Vendor - Contract]]="","",INDEX(VendorList[PA ID],MATCH(CostTrack[[#This Row],[Vendor - Contract]],VendorList[Vendor / Org. with Contract ID],0)))</f>
        <v>300.100.F1</v>
      </c>
      <c r="R147" s="243" t="str">
        <f ca="1">IF(CostTrack[[#This Row],[Vendor - Contract]]="","",INDEX(VendorList[Primary Category],MATCH(CostTrack[[#This Row],[Vendor - Contract]],VendorList[Vendor / Org. with Contract ID],0)))</f>
        <v>Construction</v>
      </c>
      <c r="S147" s="243" t="str">
        <f ca="1">IF(CostTrack[[#This Row],[Vendor - Contract]]="","",INDEX(VendorList[Secondary Category],MATCH(CostTrack[[#This Row],[Vendor - Contract]],VendorList[Vendor / Org. with Contract ID],0)))</f>
        <v>Demolition</v>
      </c>
      <c r="T147" s="243" t="str">
        <f ca="1">IF(CostTrack[[#This Row],[Vendor - Contract]]="","",INDEX(VendorList[Phase / Subproject],MATCH(CostTrack[[#This Row],[Vendor - Contract]],VendorList[Vendor / Org. with Contract ID],0)))</f>
        <v>--</v>
      </c>
      <c r="U147" s="243" t="str">
        <f ca="1">IF(CostTrack[[#This Row],[Vendor - Contract]]="","",INDEX(VendorList[Phase / Subproject 2],MATCH(CostTrack[[#This Row],[Vendor - Contract]],VendorList[Vendor / Org. with Contract ID],0)))</f>
        <v>--</v>
      </c>
      <c r="V147" s="243" t="str">
        <f ca="1">IF(CostTrack[[#This Row],[Vendor - Contract]]="","",INDEX(VendorList[Funding Source],MATCH(CostTrack[[#This Row],[Vendor - Contract]],VendorList[Vendor / Org. with Contract ID],0)))</f>
        <v>P-002360</v>
      </c>
      <c r="W147" s="260">
        <v>43845</v>
      </c>
      <c r="X147" s="251" t="str">
        <f ca="1">IF(CostTrack[[#This Row],[Release Date (CMS)]]="","*","")</f>
        <v/>
      </c>
      <c r="Y147" s="267" t="s">
        <v>40</v>
      </c>
      <c r="Z147" s="714" t="s">
        <v>896</v>
      </c>
      <c r="AA147" s="245">
        <f ca="1">IF(OR(CostTrack[[#This Row],[Release Date (CMS)]]&gt;=DATE(VALUE(REPLACE(CostTrack[[#This Row],[Fiscal Period]],3,3,"")),3,1),CostTrack[[#This Row],[Release Date (CMS)]]&lt;DATE(VALUE(LEFT(CostTrack[[#This Row],[Fiscal Period]],4)),4,1)),1,0)</f>
        <v>0</v>
      </c>
      <c r="AB147" s="294">
        <v>45788.84</v>
      </c>
      <c r="AC147" s="260">
        <v>44225</v>
      </c>
      <c r="AD147" s="402" t="str">
        <f ca="1">IF(CostTrack[[#This Row],[Reconciled Amount]]="","",IF(CostTrack[[#This Row],[Value]]&lt;&gt;CostTrack[[#This Row],[Reconciled Amount]],"Yes","No"))</f>
        <v>No</v>
      </c>
    </row>
    <row r="148" spans="2:30">
      <c r="B148" s="400" t="s">
        <v>569</v>
      </c>
      <c r="C148" s="258">
        <v>8330</v>
      </c>
      <c r="D148" s="260">
        <v>43866</v>
      </c>
      <c r="E148" s="282">
        <v>15000</v>
      </c>
      <c r="F148" s="265" t="s">
        <v>69</v>
      </c>
      <c r="G148" s="406">
        <f ca="1">ROUND(IF(CostTrack[[#This Row],[Holdback (Y/N/R)]]="Yes",CostTrack[[#This Row],[Value]]*-0.1,IF(CostTrack[[#This Row],[Holdback (Y/N/R)]]="Release",CostTrack[[#This Row],[Value]],0)),2)</f>
        <v>0</v>
      </c>
      <c r="H148" s="407">
        <f ca="1">IF(CostTrack[[#This Row],[Holdback (Y/N/R)]]="Release",CostTrack[[#This Row],[Value]],CostTrack[[#This Row],[Value]]+CostTrack[[#This Row],[Holdback Value]])</f>
        <v>15000</v>
      </c>
      <c r="I148" s="258"/>
      <c r="J148" s="258"/>
      <c r="K148" s="275">
        <v>43831</v>
      </c>
      <c r="L148" s="260">
        <v>43892</v>
      </c>
      <c r="M148" s="260"/>
      <c r="N148" s="258"/>
      <c r="O148" s="260" t="s">
        <v>106</v>
      </c>
      <c r="P148" s="260">
        <v>43893</v>
      </c>
      <c r="Q148" s="243" t="str">
        <f ca="1">IF(CostTrack[[#This Row],[Vendor - Contract]]="","",INDEX(VendorList[PA ID],MATCH(CostTrack[[#This Row],[Vendor - Contract]],VendorList[Vendor / Org. with Contract ID],0)))</f>
        <v>300.100.F1</v>
      </c>
      <c r="R148" s="243" t="str">
        <f ca="1">IF(CostTrack[[#This Row],[Vendor - Contract]]="","",INDEX(VendorList[Primary Category],MATCH(CostTrack[[#This Row],[Vendor - Contract]],VendorList[Vendor / Org. with Contract ID],0)))</f>
        <v>Construction</v>
      </c>
      <c r="S148" s="243" t="str">
        <f ca="1">IF(CostTrack[[#This Row],[Vendor - Contract]]="","",INDEX(VendorList[Secondary Category],MATCH(CostTrack[[#This Row],[Vendor - Contract]],VendorList[Vendor / Org. with Contract ID],0)))</f>
        <v>Demolition</v>
      </c>
      <c r="T148" s="243" t="str">
        <f ca="1">IF(CostTrack[[#This Row],[Vendor - Contract]]="","",INDEX(VendorList[Phase / Subproject],MATCH(CostTrack[[#This Row],[Vendor - Contract]],VendorList[Vendor / Org. with Contract ID],0)))</f>
        <v>--</v>
      </c>
      <c r="U148" s="243" t="str">
        <f ca="1">IF(CostTrack[[#This Row],[Vendor - Contract]]="","",INDEX(VendorList[Phase / Subproject 2],MATCH(CostTrack[[#This Row],[Vendor - Contract]],VendorList[Vendor / Org. with Contract ID],0)))</f>
        <v>--</v>
      </c>
      <c r="V148" s="243" t="str">
        <f ca="1">IF(CostTrack[[#This Row],[Vendor - Contract]]="","",INDEX(VendorList[Funding Source],MATCH(CostTrack[[#This Row],[Vendor - Contract]],VendorList[Vendor / Org. with Contract ID],0)))</f>
        <v>P-002360</v>
      </c>
      <c r="W148" s="260">
        <v>43893</v>
      </c>
      <c r="X148" s="251" t="str">
        <f ca="1">IF(CostTrack[[#This Row],[Release Date (CMS)]]="","*","")</f>
        <v/>
      </c>
      <c r="Y148" s="267" t="s">
        <v>40</v>
      </c>
      <c r="Z148" s="271"/>
      <c r="AA148" s="245">
        <f ca="1">IF(OR(CostTrack[[#This Row],[Release Date (CMS)]]&gt;=DATE(VALUE(REPLACE(CostTrack[[#This Row],[Fiscal Period]],3,3,"")),3,1),CostTrack[[#This Row],[Release Date (CMS)]]&lt;DATE(VALUE(LEFT(CostTrack[[#This Row],[Fiscal Period]],4)),4,1)),1,0)</f>
        <v>1</v>
      </c>
      <c r="AB148" s="294">
        <v>15000</v>
      </c>
      <c r="AC148" s="260">
        <v>44224</v>
      </c>
      <c r="AD148" s="402" t="str">
        <f ca="1">IF(CostTrack[[#This Row],[Reconciled Amount]]="","",IF(CostTrack[[#This Row],[Value]]&lt;&gt;CostTrack[[#This Row],[Reconciled Amount]],"Yes","No"))</f>
        <v>No</v>
      </c>
    </row>
    <row r="149" spans="2:30">
      <c r="B149" s="585" t="s">
        <v>601</v>
      </c>
      <c r="C149" s="586" t="s">
        <v>897</v>
      </c>
      <c r="D149" s="587">
        <v>43606</v>
      </c>
      <c r="E149" s="588">
        <v>528.20000000000005</v>
      </c>
      <c r="F149" s="265" t="s">
        <v>69</v>
      </c>
      <c r="G149" s="406">
        <f ca="1">ROUND(IF(CostTrack[[#This Row],[Holdback (Y/N/R)]]="Yes",CostTrack[[#This Row],[Value]]*-0.1,IF(CostTrack[[#This Row],[Holdback (Y/N/R)]]="Release",CostTrack[[#This Row],[Value]],0)),2)</f>
        <v>0</v>
      </c>
      <c r="H149" s="407">
        <f ca="1">IF(CostTrack[[#This Row],[Holdback (Y/N/R)]]="Release",CostTrack[[#This Row],[Value]],CostTrack[[#This Row],[Value]]+CostTrack[[#This Row],[Holdback Value]])</f>
        <v>528.20000000000005</v>
      </c>
      <c r="I149" s="258"/>
      <c r="J149" s="258"/>
      <c r="K149" s="275">
        <v>43586</v>
      </c>
      <c r="L149" s="260">
        <v>43843</v>
      </c>
      <c r="M149" s="260"/>
      <c r="N149" s="258"/>
      <c r="O149" s="260" t="s">
        <v>106</v>
      </c>
      <c r="P149" s="260">
        <v>43808</v>
      </c>
      <c r="Q149" s="243" t="str">
        <f ca="1">IF(CostTrack[[#This Row],[Vendor - Contract]]="","",INDEX(VendorList[PA ID],MATCH(CostTrack[[#This Row],[Vendor - Contract]],VendorList[Vendor / Org. with Contract ID],0)))</f>
        <v>100.050.F1</v>
      </c>
      <c r="R149" s="243" t="str">
        <f ca="1">IF(CostTrack[[#This Row],[Vendor - Contract]]="","",INDEX(VendorList[Primary Category],MATCH(CostTrack[[#This Row],[Vendor - Contract]],VendorList[Vendor / Org. with Contract ID],0)))</f>
        <v>Administration</v>
      </c>
      <c r="S149" s="243" t="str">
        <f ca="1">IF(CostTrack[[#This Row],[Vendor - Contract]]="","",INDEX(VendorList[Secondary Category],MATCH(CostTrack[[#This Row],[Vendor - Contract]],VendorList[Vendor / Org. with Contract ID],0)))</f>
        <v>Other Administration</v>
      </c>
      <c r="T149" s="243" t="str">
        <f ca="1">IF(CostTrack[[#This Row],[Vendor - Contract]]="","",INDEX(VendorList[Phase / Subproject],MATCH(CostTrack[[#This Row],[Vendor - Contract]],VendorList[Vendor / Org. with Contract ID],0)))</f>
        <v>--</v>
      </c>
      <c r="U149" s="243" t="str">
        <f ca="1">IF(CostTrack[[#This Row],[Vendor - Contract]]="","",INDEX(VendorList[Phase / Subproject 2],MATCH(CostTrack[[#This Row],[Vendor - Contract]],VendorList[Vendor / Org. with Contract ID],0)))</f>
        <v>--</v>
      </c>
      <c r="V149" s="243" t="str">
        <f ca="1">IF(CostTrack[[#This Row],[Vendor - Contract]]="","",INDEX(VendorList[Funding Source],MATCH(CostTrack[[#This Row],[Vendor - Contract]],VendorList[Vendor / Org. with Contract ID],0)))</f>
        <v>P-002360</v>
      </c>
      <c r="W149" s="260">
        <v>43859</v>
      </c>
      <c r="X149" s="251" t="str">
        <f ca="1">IF(CostTrack[[#This Row],[Release Date (CMS)]]="","*","")</f>
        <v/>
      </c>
      <c r="Y149" s="267" t="s">
        <v>40</v>
      </c>
      <c r="Z149" s="271"/>
      <c r="AA149" s="245">
        <f ca="1">IF(OR(CostTrack[[#This Row],[Release Date (CMS)]]&gt;=DATE(VALUE(REPLACE(CostTrack[[#This Row],[Fiscal Period]],3,3,"")),3,1),CostTrack[[#This Row],[Release Date (CMS)]]&lt;DATE(VALUE(LEFT(CostTrack[[#This Row],[Fiscal Period]],4)),4,1)),1,0)</f>
        <v>0</v>
      </c>
      <c r="AB149" s="294">
        <v>528.20000000000005</v>
      </c>
      <c r="AC149" s="260">
        <v>44224</v>
      </c>
      <c r="AD149" s="402" t="str">
        <f ca="1">IF(CostTrack[[#This Row],[Reconciled Amount]]="","",IF(CostTrack[[#This Row],[Value]]&lt;&gt;CostTrack[[#This Row],[Reconciled Amount]],"Yes","No"))</f>
        <v>No</v>
      </c>
    </row>
    <row r="150" spans="2:30" ht="42">
      <c r="B150" s="400" t="s">
        <v>731</v>
      </c>
      <c r="C150" s="258">
        <v>44018</v>
      </c>
      <c r="D150" s="260">
        <v>44018</v>
      </c>
      <c r="E150" s="282">
        <v>175.04</v>
      </c>
      <c r="F150" s="265"/>
      <c r="G150" s="406">
        <f ca="1">ROUND(IF(CostTrack[[#This Row],[Holdback (Y/N/R)]]="Yes",CostTrack[[#This Row],[Value]]*-0.1,IF(CostTrack[[#This Row],[Holdback (Y/N/R)]]="Release",CostTrack[[#This Row],[Value]],0)),2)</f>
        <v>0</v>
      </c>
      <c r="H150" s="407">
        <f ca="1">IF(CostTrack[[#This Row],[Holdback (Y/N/R)]]="Release",CostTrack[[#This Row],[Value]],CostTrack[[#This Row],[Value]]+CostTrack[[#This Row],[Holdback Value]])</f>
        <v>175.04</v>
      </c>
      <c r="I150" s="258"/>
      <c r="J150" s="258"/>
      <c r="K150" s="275"/>
      <c r="L150" s="260"/>
      <c r="M150" s="260"/>
      <c r="N150" s="258"/>
      <c r="O150" s="260" t="s">
        <v>106</v>
      </c>
      <c r="P150" s="260"/>
      <c r="Q150" s="243" t="str">
        <f ca="1">IF(CostTrack[[#This Row],[Vendor - Contract]]="","",INDEX(VendorList[PA ID],MATCH(CostTrack[[#This Row],[Vendor - Contract]],VendorList[Vendor / Org. with Contract ID],0)))</f>
        <v>100.050.F1</v>
      </c>
      <c r="R150" s="243" t="str">
        <f ca="1">IF(CostTrack[[#This Row],[Vendor - Contract]]="","",INDEX(VendorList[Primary Category],MATCH(CostTrack[[#This Row],[Vendor - Contract]],VendorList[Vendor / Org. with Contract ID],0)))</f>
        <v>Administration</v>
      </c>
      <c r="S150" s="243" t="str">
        <f ca="1">IF(CostTrack[[#This Row],[Vendor - Contract]]="","",INDEX(VendorList[Secondary Category],MATCH(CostTrack[[#This Row],[Vendor - Contract]],VendorList[Vendor / Org. with Contract ID],0)))</f>
        <v>Other Administration</v>
      </c>
      <c r="T150" s="243" t="str">
        <f ca="1">IF(CostTrack[[#This Row],[Vendor - Contract]]="","",INDEX(VendorList[Phase / Subproject],MATCH(CostTrack[[#This Row],[Vendor - Contract]],VendorList[Vendor / Org. with Contract ID],0)))</f>
        <v>--</v>
      </c>
      <c r="U150" s="243" t="str">
        <f ca="1">IF(CostTrack[[#This Row],[Vendor - Contract]]="","",INDEX(VendorList[Phase / Subproject 2],MATCH(CostTrack[[#This Row],[Vendor - Contract]],VendorList[Vendor / Org. with Contract ID],0)))</f>
        <v>--</v>
      </c>
      <c r="V150" s="243" t="str">
        <f ca="1">IF(CostTrack[[#This Row],[Vendor - Contract]]="","",INDEX(VendorList[Funding Source],MATCH(CostTrack[[#This Row],[Vendor - Contract]],VendorList[Vendor / Org. with Contract ID],0)))</f>
        <v>P-002360</v>
      </c>
      <c r="W150" s="260">
        <v>44019</v>
      </c>
      <c r="X150" s="251" t="str">
        <f ca="1">IF(CostTrack[[#This Row],[Release Date (CMS)]]="","*","")</f>
        <v/>
      </c>
      <c r="Y150" s="267" t="s">
        <v>45</v>
      </c>
      <c r="Z150" s="271" t="s">
        <v>898</v>
      </c>
      <c r="AA150" s="245">
        <f ca="1">IF(OR(CostTrack[[#This Row],[Release Date (CMS)]]&gt;=DATE(VALUE(REPLACE(CostTrack[[#This Row],[Fiscal Period]],3,3,"")),3,1),CostTrack[[#This Row],[Release Date (CMS)]]&lt;DATE(VALUE(LEFT(CostTrack[[#This Row],[Fiscal Period]],4)),4,1)),1,0)</f>
        <v>0</v>
      </c>
      <c r="AB150" s="294">
        <v>175.04</v>
      </c>
      <c r="AC150" s="1308">
        <v>44215</v>
      </c>
      <c r="AD150" s="402" t="str">
        <f ca="1">IF(CostTrack[[#This Row],[Reconciled Amount]]="","",IF(CostTrack[[#This Row],[Value]]&lt;&gt;CostTrack[[#This Row],[Reconciled Amount]],"Yes","No"))</f>
        <v>No</v>
      </c>
    </row>
    <row r="151" spans="2:30" ht="42">
      <c r="B151" s="400" t="s">
        <v>731</v>
      </c>
      <c r="C151" s="258" t="s">
        <v>899</v>
      </c>
      <c r="D151" s="260">
        <v>44091</v>
      </c>
      <c r="E151" s="282">
        <v>133.32</v>
      </c>
      <c r="F151" s="265" t="s">
        <v>69</v>
      </c>
      <c r="G151" s="406">
        <f ca="1">ROUND(IF(CostTrack[[#This Row],[Holdback (Y/N/R)]]="Yes",CostTrack[[#This Row],[Value]]*-0.1,IF(CostTrack[[#This Row],[Holdback (Y/N/R)]]="Release",CostTrack[[#This Row],[Value]],0)),2)</f>
        <v>0</v>
      </c>
      <c r="H151" s="407">
        <f ca="1">IF(CostTrack[[#This Row],[Holdback (Y/N/R)]]="Release",CostTrack[[#This Row],[Value]],CostTrack[[#This Row],[Value]]+CostTrack[[#This Row],[Holdback Value]])</f>
        <v>133.32</v>
      </c>
      <c r="I151" s="258"/>
      <c r="J151" s="258"/>
      <c r="K151" s="275"/>
      <c r="L151" s="260">
        <v>44091</v>
      </c>
      <c r="M151" s="260"/>
      <c r="N151" s="258"/>
      <c r="O151" s="260" t="s">
        <v>106</v>
      </c>
      <c r="P151" s="260">
        <v>44091</v>
      </c>
      <c r="Q151" s="243" t="str">
        <f ca="1">IF(CostTrack[[#This Row],[Vendor - Contract]]="","",INDEX(VendorList[PA ID],MATCH(CostTrack[[#This Row],[Vendor - Contract]],VendorList[Vendor / Org. with Contract ID],0)))</f>
        <v>100.050.F1</v>
      </c>
      <c r="R151" s="243" t="str">
        <f ca="1">IF(CostTrack[[#This Row],[Vendor - Contract]]="","",INDEX(VendorList[Primary Category],MATCH(CostTrack[[#This Row],[Vendor - Contract]],VendorList[Vendor / Org. with Contract ID],0)))</f>
        <v>Administration</v>
      </c>
      <c r="S151" s="243" t="str">
        <f ca="1">IF(CostTrack[[#This Row],[Vendor - Contract]]="","",INDEX(VendorList[Secondary Category],MATCH(CostTrack[[#This Row],[Vendor - Contract]],VendorList[Vendor / Org. with Contract ID],0)))</f>
        <v>Other Administration</v>
      </c>
      <c r="T151" s="243" t="str">
        <f ca="1">IF(CostTrack[[#This Row],[Vendor - Contract]]="","",INDEX(VendorList[Phase / Subproject],MATCH(CostTrack[[#This Row],[Vendor - Contract]],VendorList[Vendor / Org. with Contract ID],0)))</f>
        <v>--</v>
      </c>
      <c r="U151" s="243" t="str">
        <f ca="1">IF(CostTrack[[#This Row],[Vendor - Contract]]="","",INDEX(VendorList[Phase / Subproject 2],MATCH(CostTrack[[#This Row],[Vendor - Contract]],VendorList[Vendor / Org. with Contract ID],0)))</f>
        <v>--</v>
      </c>
      <c r="V151" s="243" t="str">
        <f ca="1">IF(CostTrack[[#This Row],[Vendor - Contract]]="","",INDEX(VendorList[Funding Source],MATCH(CostTrack[[#This Row],[Vendor - Contract]],VendorList[Vendor / Org. with Contract ID],0)))</f>
        <v>P-002360</v>
      </c>
      <c r="W151" s="260">
        <v>44091</v>
      </c>
      <c r="X151" s="251" t="str">
        <f ca="1">IF(CostTrack[[#This Row],[Release Date (CMS)]]="","*","")</f>
        <v/>
      </c>
      <c r="Y151" s="267" t="s">
        <v>45</v>
      </c>
      <c r="Z151" s="271" t="s">
        <v>900</v>
      </c>
      <c r="AA151" s="245">
        <f ca="1">IF(OR(CostTrack[[#This Row],[Release Date (CMS)]]&gt;=DATE(VALUE(REPLACE(CostTrack[[#This Row],[Fiscal Period]],3,3,"")),3,1),CostTrack[[#This Row],[Release Date (CMS)]]&lt;DATE(VALUE(LEFT(CostTrack[[#This Row],[Fiscal Period]],4)),4,1)),1,0)</f>
        <v>0</v>
      </c>
      <c r="AB151" s="294">
        <v>133.32</v>
      </c>
      <c r="AC151" s="1308">
        <v>44215</v>
      </c>
      <c r="AD151" s="402" t="str">
        <f ca="1">IF(CostTrack[[#This Row],[Reconciled Amount]]="","",IF(CostTrack[[#This Row],[Value]]&lt;&gt;CostTrack[[#This Row],[Reconciled Amount]],"Yes","No"))</f>
        <v>No</v>
      </c>
    </row>
    <row r="152" spans="2:30" ht="42">
      <c r="B152" s="400" t="s">
        <v>731</v>
      </c>
      <c r="C152" s="264">
        <v>44105</v>
      </c>
      <c r="D152" s="260">
        <v>44118</v>
      </c>
      <c r="E152" s="651">
        <v>73.12</v>
      </c>
      <c r="F152" s="263" t="s">
        <v>69</v>
      </c>
      <c r="G152" s="406">
        <f ca="1">ROUND(IF(CostTrack[[#This Row],[Holdback (Y/N/R)]]="Yes",CostTrack[[#This Row],[Value]]*-0.1,IF(CostTrack[[#This Row],[Holdback (Y/N/R)]]="Release",CostTrack[[#This Row],[Value]],0)),2)</f>
        <v>0</v>
      </c>
      <c r="H152" s="407">
        <f ca="1">IF(CostTrack[[#This Row],[Holdback (Y/N/R)]]="Release",CostTrack[[#This Row],[Value]],CostTrack[[#This Row],[Value]]+CostTrack[[#This Row],[Holdback Value]])</f>
        <v>73.12</v>
      </c>
      <c r="I152" s="258"/>
      <c r="J152" s="258"/>
      <c r="K152" s="275"/>
      <c r="L152" s="260">
        <v>44119</v>
      </c>
      <c r="M152" s="260"/>
      <c r="N152" s="258"/>
      <c r="O152" s="260" t="s">
        <v>106</v>
      </c>
      <c r="P152" s="260">
        <v>44118</v>
      </c>
      <c r="Q152" s="243" t="str">
        <f ca="1">IF(CostTrack[[#This Row],[Vendor - Contract]]="","",INDEX(VendorList[PA ID],MATCH(CostTrack[[#This Row],[Vendor - Contract]],VendorList[Vendor / Org. with Contract ID],0)))</f>
        <v>100.050.F1</v>
      </c>
      <c r="R152" s="243" t="str">
        <f ca="1">IF(CostTrack[[#This Row],[Vendor - Contract]]="","",INDEX(VendorList[Primary Category],MATCH(CostTrack[[#This Row],[Vendor - Contract]],VendorList[Vendor / Org. with Contract ID],0)))</f>
        <v>Administration</v>
      </c>
      <c r="S152" s="243" t="str">
        <f ca="1">IF(CostTrack[[#This Row],[Vendor - Contract]]="","",INDEX(VendorList[Secondary Category],MATCH(CostTrack[[#This Row],[Vendor - Contract]],VendorList[Vendor / Org. with Contract ID],0)))</f>
        <v>Other Administration</v>
      </c>
      <c r="T152" s="243" t="str">
        <f ca="1">IF(CostTrack[[#This Row],[Vendor - Contract]]="","",INDEX(VendorList[Phase / Subproject],MATCH(CostTrack[[#This Row],[Vendor - Contract]],VendorList[Vendor / Org. with Contract ID],0)))</f>
        <v>--</v>
      </c>
      <c r="U152" s="243" t="str">
        <f ca="1">IF(CostTrack[[#This Row],[Vendor - Contract]]="","",INDEX(VendorList[Phase / Subproject 2],MATCH(CostTrack[[#This Row],[Vendor - Contract]],VendorList[Vendor / Org. with Contract ID],0)))</f>
        <v>--</v>
      </c>
      <c r="V152" s="243" t="str">
        <f ca="1">IF(CostTrack[[#This Row],[Vendor - Contract]]="","",INDEX(VendorList[Funding Source],MATCH(CostTrack[[#This Row],[Vendor - Contract]],VendorList[Vendor / Org. with Contract ID],0)))</f>
        <v>P-002360</v>
      </c>
      <c r="W152" s="260">
        <v>44119</v>
      </c>
      <c r="X152" s="251" t="str">
        <f ca="1">IF(CostTrack[[#This Row],[Release Date (CMS)]]="","*","")</f>
        <v/>
      </c>
      <c r="Y152" s="267" t="s">
        <v>45</v>
      </c>
      <c r="Z152" s="271" t="s">
        <v>901</v>
      </c>
      <c r="AA152" s="245">
        <f ca="1">IF(OR(CostTrack[[#This Row],[Release Date (CMS)]]&gt;=DATE(VALUE(REPLACE(CostTrack[[#This Row],[Fiscal Period]],3,3,"")),3,1),CostTrack[[#This Row],[Release Date (CMS)]]&lt;DATE(VALUE(LEFT(CostTrack[[#This Row],[Fiscal Period]],4)),4,1)),1,0)</f>
        <v>0</v>
      </c>
      <c r="AB152" s="294">
        <v>73.12</v>
      </c>
      <c r="AC152" s="1308">
        <v>44215</v>
      </c>
      <c r="AD152" s="402" t="str">
        <f ca="1">IF(CostTrack[[#This Row],[Reconciled Amount]]="","",IF(CostTrack[[#This Row],[Value]]&lt;&gt;CostTrack[[#This Row],[Reconciled Amount]],"Yes","No"))</f>
        <v>No</v>
      </c>
    </row>
    <row r="153" spans="2:30" ht="42">
      <c r="B153" s="1306" t="s">
        <v>731</v>
      </c>
      <c r="C153" s="1318">
        <v>44105</v>
      </c>
      <c r="D153" s="1308">
        <v>44132</v>
      </c>
      <c r="E153" s="1319">
        <v>179.45</v>
      </c>
      <c r="F153" s="1309" t="s">
        <v>69</v>
      </c>
      <c r="G153" s="1310">
        <f ca="1">ROUND(IF(CostTrack[[#This Row],[Holdback (Y/N/R)]]="Yes",CostTrack[[#This Row],[Value]]*-0.1,IF(CostTrack[[#This Row],[Holdback (Y/N/R)]]="Release",CostTrack[[#This Row],[Value]],0)),2)</f>
        <v>0</v>
      </c>
      <c r="H153" s="1311">
        <f ca="1">IF(CostTrack[[#This Row],[Holdback (Y/N/R)]]="Release",CostTrack[[#This Row],[Value]],CostTrack[[#This Row],[Value]]+CostTrack[[#This Row],[Holdback Value]])</f>
        <v>179.45</v>
      </c>
      <c r="I153" s="1312"/>
      <c r="J153" s="1312"/>
      <c r="K153" s="1313"/>
      <c r="L153" s="1308">
        <v>44132</v>
      </c>
      <c r="M153" s="1308"/>
      <c r="N153" s="1312"/>
      <c r="O153" s="1308" t="s">
        <v>106</v>
      </c>
      <c r="P153" s="1308">
        <v>44132</v>
      </c>
      <c r="Q153" s="1314" t="str">
        <f ca="1">IF(CostTrack[[#This Row],[Vendor - Contract]]="","",INDEX(VendorList[PA ID],MATCH(CostTrack[[#This Row],[Vendor - Contract]],VendorList[Vendor / Org. with Contract ID],0)))</f>
        <v>100.050.F1</v>
      </c>
      <c r="R153" s="1314" t="str">
        <f ca="1">IF(CostTrack[[#This Row],[Vendor - Contract]]="","",INDEX(VendorList[Primary Category],MATCH(CostTrack[[#This Row],[Vendor - Contract]],VendorList[Vendor / Org. with Contract ID],0)))</f>
        <v>Administration</v>
      </c>
      <c r="S153" s="1314" t="str">
        <f ca="1">IF(CostTrack[[#This Row],[Vendor - Contract]]="","",INDEX(VendorList[Secondary Category],MATCH(CostTrack[[#This Row],[Vendor - Contract]],VendorList[Vendor / Org. with Contract ID],0)))</f>
        <v>Other Administration</v>
      </c>
      <c r="T153" s="1314" t="str">
        <f ca="1">IF(CostTrack[[#This Row],[Vendor - Contract]]="","",INDEX(VendorList[Phase / Subproject],MATCH(CostTrack[[#This Row],[Vendor - Contract]],VendorList[Vendor / Org. with Contract ID],0)))</f>
        <v>--</v>
      </c>
      <c r="U153" s="1314" t="str">
        <f ca="1">IF(CostTrack[[#This Row],[Vendor - Contract]]="","",INDEX(VendorList[Phase / Subproject 2],MATCH(CostTrack[[#This Row],[Vendor - Contract]],VendorList[Vendor / Org. with Contract ID],0)))</f>
        <v>--</v>
      </c>
      <c r="V153" s="1314" t="str">
        <f ca="1">IF(CostTrack[[#This Row],[Vendor - Contract]]="","",INDEX(VendorList[Funding Source],MATCH(CostTrack[[#This Row],[Vendor - Contract]],VendorList[Vendor / Org. with Contract ID],0)))</f>
        <v>P-002360</v>
      </c>
      <c r="W153" s="1308">
        <v>44132</v>
      </c>
      <c r="X153" s="1315" t="str">
        <f ca="1">IF(CostTrack[[#This Row],[Release Date (CMS)]]="","*","")</f>
        <v/>
      </c>
      <c r="Y153" s="1308" t="s">
        <v>45</v>
      </c>
      <c r="Z153" s="271" t="s">
        <v>902</v>
      </c>
      <c r="AA153" s="1316">
        <f ca="1">IF(OR(CostTrack[[#This Row],[Release Date (CMS)]]&gt;=DATE(VALUE(REPLACE(CostTrack[[#This Row],[Fiscal Period]],3,3,"")),3,1),CostTrack[[#This Row],[Release Date (CMS)]]&lt;DATE(VALUE(LEFT(CostTrack[[#This Row],[Fiscal Period]],4)),4,1)),1,0)</f>
        <v>0</v>
      </c>
      <c r="AB153" s="1317">
        <v>179.45</v>
      </c>
      <c r="AC153" s="1308">
        <v>44215</v>
      </c>
      <c r="AD153" s="402" t="str">
        <f ca="1">IF(CostTrack[[#This Row],[Reconciled Amount]]="","",IF(CostTrack[[#This Row],[Value]]&lt;&gt;CostTrack[[#This Row],[Reconciled Amount]],"Yes","No"))</f>
        <v>No</v>
      </c>
    </row>
    <row r="154" spans="2:30" ht="42">
      <c r="B154" s="1306" t="s">
        <v>731</v>
      </c>
      <c r="C154" s="650" t="s">
        <v>903</v>
      </c>
      <c r="D154" s="1308">
        <v>44147</v>
      </c>
      <c r="E154" s="1319">
        <v>176.95</v>
      </c>
      <c r="F154" s="647" t="s">
        <v>69</v>
      </c>
      <c r="G154" s="1310">
        <f ca="1">ROUND(IF(CostTrack[[#This Row],[Holdback (Y/N/R)]]="Yes",CostTrack[[#This Row],[Value]]*-0.1,IF(CostTrack[[#This Row],[Holdback (Y/N/R)]]="Release",CostTrack[[#This Row],[Value]],0)),2)</f>
        <v>0</v>
      </c>
      <c r="H154" s="1311">
        <f ca="1">IF(CostTrack[[#This Row],[Holdback (Y/N/R)]]="Release",CostTrack[[#This Row],[Value]],CostTrack[[#This Row],[Value]]+CostTrack[[#This Row],[Holdback Value]])</f>
        <v>176.95</v>
      </c>
      <c r="I154" s="1312"/>
      <c r="J154" s="1312"/>
      <c r="K154" s="1313"/>
      <c r="L154" s="1308">
        <v>44152</v>
      </c>
      <c r="M154" s="1308"/>
      <c r="N154" s="1312"/>
      <c r="O154" s="267" t="s">
        <v>106</v>
      </c>
      <c r="P154" s="1308">
        <v>44151</v>
      </c>
      <c r="Q154" s="1314" t="str">
        <f ca="1">IF(CostTrack[[#This Row],[Vendor - Contract]]="","",INDEX(VendorList[PA ID],MATCH(CostTrack[[#This Row],[Vendor - Contract]],VendorList[Vendor / Org. with Contract ID],0)))</f>
        <v>100.050.F1</v>
      </c>
      <c r="R154" s="1314" t="str">
        <f ca="1">IF(CostTrack[[#This Row],[Vendor - Contract]]="","",INDEX(VendorList[Primary Category],MATCH(CostTrack[[#This Row],[Vendor - Contract]],VendorList[Vendor / Org. with Contract ID],0)))</f>
        <v>Administration</v>
      </c>
      <c r="S154" s="1314" t="str">
        <f ca="1">IF(CostTrack[[#This Row],[Vendor - Contract]]="","",INDEX(VendorList[Secondary Category],MATCH(CostTrack[[#This Row],[Vendor - Contract]],VendorList[Vendor / Org. with Contract ID],0)))</f>
        <v>Other Administration</v>
      </c>
      <c r="T154" s="1314" t="str">
        <f ca="1">IF(CostTrack[[#This Row],[Vendor - Contract]]="","",INDEX(VendorList[Phase / Subproject],MATCH(CostTrack[[#This Row],[Vendor - Contract]],VendorList[Vendor / Org. with Contract ID],0)))</f>
        <v>--</v>
      </c>
      <c r="U154" s="1314" t="str">
        <f ca="1">IF(CostTrack[[#This Row],[Vendor - Contract]]="","",INDEX(VendorList[Phase / Subproject 2],MATCH(CostTrack[[#This Row],[Vendor - Contract]],VendorList[Vendor / Org. with Contract ID],0)))</f>
        <v>--</v>
      </c>
      <c r="V154" s="1314" t="str">
        <f ca="1">IF(CostTrack[[#This Row],[Vendor - Contract]]="","",INDEX(VendorList[Funding Source],MATCH(CostTrack[[#This Row],[Vendor - Contract]],VendorList[Vendor / Org. with Contract ID],0)))</f>
        <v>P-002360</v>
      </c>
      <c r="W154" s="1308">
        <v>44151</v>
      </c>
      <c r="X154" s="1315" t="str">
        <f ca="1">IF(CostTrack[[#This Row],[Release Date (CMS)]]="","*","")</f>
        <v/>
      </c>
      <c r="Y154" s="1308" t="s">
        <v>45</v>
      </c>
      <c r="Z154" s="271" t="s">
        <v>904</v>
      </c>
      <c r="AA154" s="1316">
        <f ca="1">IF(OR(CostTrack[[#This Row],[Release Date (CMS)]]&gt;=DATE(VALUE(REPLACE(CostTrack[[#This Row],[Fiscal Period]],3,3,"")),3,1),CostTrack[[#This Row],[Release Date (CMS)]]&lt;DATE(VALUE(LEFT(CostTrack[[#This Row],[Fiscal Period]],4)),4,1)),1,0)</f>
        <v>0</v>
      </c>
      <c r="AB154" s="1317">
        <v>176.95</v>
      </c>
      <c r="AC154" s="1308">
        <v>44215</v>
      </c>
      <c r="AD154" s="402" t="str">
        <f ca="1">IF(CostTrack[[#This Row],[Reconciled Amount]]="","",IF(CostTrack[[#This Row],[Value]]&lt;&gt;CostTrack[[#This Row],[Reconciled Amount]],"Yes","No"))</f>
        <v>No</v>
      </c>
    </row>
    <row r="155" spans="2:30" ht="42">
      <c r="B155" s="400" t="s">
        <v>754</v>
      </c>
      <c r="C155" s="264">
        <v>44105</v>
      </c>
      <c r="D155" s="260">
        <v>44124</v>
      </c>
      <c r="E155" s="651">
        <v>318.87</v>
      </c>
      <c r="F155" s="263" t="s">
        <v>69</v>
      </c>
      <c r="G155" s="406">
        <f ca="1">ROUND(IF(CostTrack[[#This Row],[Holdback (Y/N/R)]]="Yes",CostTrack[[#This Row],[Value]]*-0.1,IF(CostTrack[[#This Row],[Holdback (Y/N/R)]]="Release",CostTrack[[#This Row],[Value]],0)),2)</f>
        <v>0</v>
      </c>
      <c r="H155" s="407">
        <f ca="1">IF(CostTrack[[#This Row],[Holdback (Y/N/R)]]="Release",CostTrack[[#This Row],[Value]],CostTrack[[#This Row],[Value]]+CostTrack[[#This Row],[Holdback Value]])</f>
        <v>318.87</v>
      </c>
      <c r="I155" s="258"/>
      <c r="J155" s="258"/>
      <c r="K155" s="275"/>
      <c r="L155" s="260">
        <v>44119</v>
      </c>
      <c r="M155" s="260"/>
      <c r="N155" s="258"/>
      <c r="O155" s="260" t="s">
        <v>106</v>
      </c>
      <c r="P155" s="260">
        <v>44118</v>
      </c>
      <c r="Q155" s="243" t="str">
        <f ca="1">IF(CostTrack[[#This Row],[Vendor - Contract]]="","",INDEX(VendorList[PA ID],MATCH(CostTrack[[#This Row],[Vendor - Contract]],VendorList[Vendor / Org. with Contract ID],0)))</f>
        <v>100.050.F1</v>
      </c>
      <c r="R155" s="243" t="str">
        <f ca="1">IF(CostTrack[[#This Row],[Vendor - Contract]]="","",INDEX(VendorList[Primary Category],MATCH(CostTrack[[#This Row],[Vendor - Contract]],VendorList[Vendor / Org. with Contract ID],0)))</f>
        <v>Administration</v>
      </c>
      <c r="S155" s="243" t="str">
        <f ca="1">IF(CostTrack[[#This Row],[Vendor - Contract]]="","",INDEX(VendorList[Secondary Category],MATCH(CostTrack[[#This Row],[Vendor - Contract]],VendorList[Vendor / Org. with Contract ID],0)))</f>
        <v>Other Administration</v>
      </c>
      <c r="T155" s="243" t="str">
        <f ca="1">IF(CostTrack[[#This Row],[Vendor - Contract]]="","",INDEX(VendorList[Phase / Subproject],MATCH(CostTrack[[#This Row],[Vendor - Contract]],VendorList[Vendor / Org. with Contract ID],0)))</f>
        <v>--</v>
      </c>
      <c r="U155" s="243" t="str">
        <f ca="1">IF(CostTrack[[#This Row],[Vendor - Contract]]="","",INDEX(VendorList[Phase / Subproject 2],MATCH(CostTrack[[#This Row],[Vendor - Contract]],VendorList[Vendor / Org. with Contract ID],0)))</f>
        <v>--</v>
      </c>
      <c r="V155" s="243" t="str">
        <f ca="1">IF(CostTrack[[#This Row],[Vendor - Contract]]="","",INDEX(VendorList[Funding Source],MATCH(CostTrack[[#This Row],[Vendor - Contract]],VendorList[Vendor / Org. with Contract ID],0)))</f>
        <v>P-002360</v>
      </c>
      <c r="W155" s="260">
        <v>44119</v>
      </c>
      <c r="X155" s="251" t="str">
        <f ca="1">IF(CostTrack[[#This Row],[Release Date (CMS)]]="","*","")</f>
        <v/>
      </c>
      <c r="Y155" s="267" t="s">
        <v>45</v>
      </c>
      <c r="Z155" s="271" t="s">
        <v>905</v>
      </c>
      <c r="AA155" s="245">
        <f ca="1">IF(OR(CostTrack[[#This Row],[Release Date (CMS)]]&gt;=DATE(VALUE(REPLACE(CostTrack[[#This Row],[Fiscal Period]],3,3,"")),3,1),CostTrack[[#This Row],[Release Date (CMS)]]&lt;DATE(VALUE(LEFT(CostTrack[[#This Row],[Fiscal Period]],4)),4,1)),1,0)</f>
        <v>0</v>
      </c>
      <c r="AB155" s="655">
        <v>318.87</v>
      </c>
      <c r="AC155" s="1308">
        <v>44215</v>
      </c>
      <c r="AD155" s="402" t="str">
        <f ca="1">IF(CostTrack[[#This Row],[Reconciled Amount]]="","",IF(CostTrack[[#This Row],[Value]]&lt;&gt;CostTrack[[#This Row],[Reconciled Amount]],"Yes","No"))</f>
        <v>No</v>
      </c>
    </row>
    <row r="156" spans="2:30" ht="42">
      <c r="B156" s="1306" t="s">
        <v>754</v>
      </c>
      <c r="C156" s="1318">
        <v>44105</v>
      </c>
      <c r="D156" s="1308">
        <v>44133</v>
      </c>
      <c r="E156" s="1319">
        <v>177.94</v>
      </c>
      <c r="F156" s="1309" t="s">
        <v>69</v>
      </c>
      <c r="G156" s="1310">
        <f ca="1">ROUND(IF(CostTrack[[#This Row],[Holdback (Y/N/R)]]="Yes",CostTrack[[#This Row],[Value]]*-0.1,IF(CostTrack[[#This Row],[Holdback (Y/N/R)]]="Release",CostTrack[[#This Row],[Value]],0)),2)</f>
        <v>0</v>
      </c>
      <c r="H156" s="1311">
        <f ca="1">IF(CostTrack[[#This Row],[Holdback (Y/N/R)]]="Release",CostTrack[[#This Row],[Value]],CostTrack[[#This Row],[Value]]+CostTrack[[#This Row],[Holdback Value]])</f>
        <v>177.94</v>
      </c>
      <c r="I156" s="1312"/>
      <c r="J156" s="1312"/>
      <c r="K156" s="1313"/>
      <c r="L156" s="1308">
        <v>44132</v>
      </c>
      <c r="M156" s="1308"/>
      <c r="N156" s="1312"/>
      <c r="O156" s="1308" t="s">
        <v>106</v>
      </c>
      <c r="P156" s="1308">
        <v>44133</v>
      </c>
      <c r="Q156" s="1314" t="str">
        <f ca="1">IF(CostTrack[[#This Row],[Vendor - Contract]]="","",INDEX(VendorList[PA ID],MATCH(CostTrack[[#This Row],[Vendor - Contract]],VendorList[Vendor / Org. with Contract ID],0)))</f>
        <v>100.050.F1</v>
      </c>
      <c r="R156" s="1314" t="str">
        <f ca="1">IF(CostTrack[[#This Row],[Vendor - Contract]]="","",INDEX(VendorList[Primary Category],MATCH(CostTrack[[#This Row],[Vendor - Contract]],VendorList[Vendor / Org. with Contract ID],0)))</f>
        <v>Administration</v>
      </c>
      <c r="S156" s="1314" t="str">
        <f ca="1">IF(CostTrack[[#This Row],[Vendor - Contract]]="","",INDEX(VendorList[Secondary Category],MATCH(CostTrack[[#This Row],[Vendor - Contract]],VendorList[Vendor / Org. with Contract ID],0)))</f>
        <v>Other Administration</v>
      </c>
      <c r="T156" s="1314" t="str">
        <f ca="1">IF(CostTrack[[#This Row],[Vendor - Contract]]="","",INDEX(VendorList[Phase / Subproject],MATCH(CostTrack[[#This Row],[Vendor - Contract]],VendorList[Vendor / Org. with Contract ID],0)))</f>
        <v>--</v>
      </c>
      <c r="U156" s="1314" t="str">
        <f ca="1">IF(CostTrack[[#This Row],[Vendor - Contract]]="","",INDEX(VendorList[Phase / Subproject 2],MATCH(CostTrack[[#This Row],[Vendor - Contract]],VendorList[Vendor / Org. with Contract ID],0)))</f>
        <v>--</v>
      </c>
      <c r="V156" s="1314" t="str">
        <f ca="1">IF(CostTrack[[#This Row],[Vendor - Contract]]="","",INDEX(VendorList[Funding Source],MATCH(CostTrack[[#This Row],[Vendor - Contract]],VendorList[Vendor / Org. with Contract ID],0)))</f>
        <v>P-002360</v>
      </c>
      <c r="W156" s="1308">
        <v>44133</v>
      </c>
      <c r="X156" s="1315" t="str">
        <f ca="1">IF(CostTrack[[#This Row],[Release Date (CMS)]]="","*","")</f>
        <v/>
      </c>
      <c r="Y156" s="1308" t="s">
        <v>45</v>
      </c>
      <c r="Z156" s="271" t="s">
        <v>906</v>
      </c>
      <c r="AA156" s="1316">
        <f ca="1">IF(OR(CostTrack[[#This Row],[Release Date (CMS)]]&gt;=DATE(VALUE(REPLACE(CostTrack[[#This Row],[Fiscal Period]],3,3,"")),3,1),CostTrack[[#This Row],[Release Date (CMS)]]&lt;DATE(VALUE(LEFT(CostTrack[[#This Row],[Fiscal Period]],4)),4,1)),1,0)</f>
        <v>0</v>
      </c>
      <c r="AB156" s="1317">
        <v>177.94</v>
      </c>
      <c r="AC156" s="1308">
        <v>44215</v>
      </c>
      <c r="AD156" s="402" t="str">
        <f ca="1">IF(CostTrack[[#This Row],[Reconciled Amount]]="","",IF(CostTrack[[#This Row],[Value]]&lt;&gt;CostTrack[[#This Row],[Reconciled Amount]],"Yes","No"))</f>
        <v>No</v>
      </c>
    </row>
    <row r="157" spans="2:30">
      <c r="B157" s="400" t="s">
        <v>731</v>
      </c>
      <c r="C157" s="258">
        <v>1817359</v>
      </c>
      <c r="D157" s="260">
        <v>43803</v>
      </c>
      <c r="E157" s="651">
        <v>219.11</v>
      </c>
      <c r="F157" s="265" t="s">
        <v>69</v>
      </c>
      <c r="G157" s="406">
        <f ca="1">ROUND(IF(CostTrack[[#This Row],[Holdback (Y/N/R)]]="Yes",CostTrack[[#This Row],[Value]]*-0.1,IF(CostTrack[[#This Row],[Holdback (Y/N/R)]]="Release",CostTrack[[#This Row],[Value]],0)),2)</f>
        <v>0</v>
      </c>
      <c r="H157" s="407">
        <f ca="1">IF(CostTrack[[#This Row],[Holdback (Y/N/R)]]="Release",CostTrack[[#This Row],[Value]],CostTrack[[#This Row],[Value]]+CostTrack[[#This Row],[Holdback Value]])</f>
        <v>219.11</v>
      </c>
      <c r="I157" s="258"/>
      <c r="J157" s="258"/>
      <c r="K157" s="275"/>
      <c r="L157" s="260"/>
      <c r="M157" s="260"/>
      <c r="N157" s="258"/>
      <c r="O157" s="260" t="s">
        <v>106</v>
      </c>
      <c r="P157" s="260">
        <v>43803</v>
      </c>
      <c r="Q157" s="243" t="str">
        <f ca="1">IF(CostTrack[[#This Row],[Vendor - Contract]]="","",INDEX(VendorList[PA ID],MATCH(CostTrack[[#This Row],[Vendor - Contract]],VendorList[Vendor / Org. with Contract ID],0)))</f>
        <v>100.050.F1</v>
      </c>
      <c r="R157" s="243" t="str">
        <f ca="1">IF(CostTrack[[#This Row],[Vendor - Contract]]="","",INDEX(VendorList[Primary Category],MATCH(CostTrack[[#This Row],[Vendor - Contract]],VendorList[Vendor / Org. with Contract ID],0)))</f>
        <v>Administration</v>
      </c>
      <c r="S157" s="243" t="str">
        <f ca="1">IF(CostTrack[[#This Row],[Vendor - Contract]]="","",INDEX(VendorList[Secondary Category],MATCH(CostTrack[[#This Row],[Vendor - Contract]],VendorList[Vendor / Org. with Contract ID],0)))</f>
        <v>Other Administration</v>
      </c>
      <c r="T157" s="243" t="str">
        <f ca="1">IF(CostTrack[[#This Row],[Vendor - Contract]]="","",INDEX(VendorList[Phase / Subproject],MATCH(CostTrack[[#This Row],[Vendor - Contract]],VendorList[Vendor / Org. with Contract ID],0)))</f>
        <v>--</v>
      </c>
      <c r="U157" s="243" t="str">
        <f ca="1">IF(CostTrack[[#This Row],[Vendor - Contract]]="","",INDEX(VendorList[Phase / Subproject 2],MATCH(CostTrack[[#This Row],[Vendor - Contract]],VendorList[Vendor / Org. with Contract ID],0)))</f>
        <v>--</v>
      </c>
      <c r="V157" s="243" t="str">
        <f ca="1">IF(CostTrack[[#This Row],[Vendor - Contract]]="","",INDEX(VendorList[Funding Source],MATCH(CostTrack[[#This Row],[Vendor - Contract]],VendorList[Vendor / Org. with Contract ID],0)))</f>
        <v>P-002360</v>
      </c>
      <c r="W157" s="260">
        <v>43906</v>
      </c>
      <c r="X157" s="251" t="str">
        <f ca="1">IF(CostTrack[[#This Row],[Release Date (CMS)]]="","*","")</f>
        <v/>
      </c>
      <c r="Y157" s="267" t="s">
        <v>40</v>
      </c>
      <c r="Z157" s="271"/>
      <c r="AA157" s="245">
        <f ca="1">IF(OR(CostTrack[[#This Row],[Release Date (CMS)]]&gt;=DATE(VALUE(REPLACE(CostTrack[[#This Row],[Fiscal Period]],3,3,"")),3,1),CostTrack[[#This Row],[Release Date (CMS)]]&lt;DATE(VALUE(LEFT(CostTrack[[#This Row],[Fiscal Period]],4)),4,1)),1,0)</f>
        <v>1</v>
      </c>
      <c r="AB157" s="294">
        <v>219.11</v>
      </c>
      <c r="AC157" s="260">
        <v>44224</v>
      </c>
      <c r="AD157" s="402" t="str">
        <f ca="1">IF(CostTrack[[#This Row],[Reconciled Amount]]="","",IF(CostTrack[[#This Row],[Value]]&lt;&gt;CostTrack[[#This Row],[Reconciled Amount]],"Yes","No"))</f>
        <v>No</v>
      </c>
    </row>
    <row r="158" spans="2:30">
      <c r="B158" s="400" t="s">
        <v>527</v>
      </c>
      <c r="C158" s="258" t="s">
        <v>907</v>
      </c>
      <c r="D158" s="260">
        <v>43921</v>
      </c>
      <c r="E158" s="282">
        <v>59559</v>
      </c>
      <c r="F158" s="265" t="s">
        <v>69</v>
      </c>
      <c r="G158" s="406">
        <f ca="1">ROUND(IF(CostTrack[[#This Row],[Holdback (Y/N/R)]]="Yes",CostTrack[[#This Row],[Value]]*-0.1,IF(CostTrack[[#This Row],[Holdback (Y/N/R)]]="Release",CostTrack[[#This Row],[Value]],0)),2)</f>
        <v>0</v>
      </c>
      <c r="H158" s="407">
        <f ca="1">IF(CostTrack[[#This Row],[Holdback (Y/N/R)]]="Release",CostTrack[[#This Row],[Value]],CostTrack[[#This Row],[Value]]+CostTrack[[#This Row],[Holdback Value]])</f>
        <v>59559</v>
      </c>
      <c r="I158" s="258"/>
      <c r="J158" s="258"/>
      <c r="K158" s="275">
        <v>43891</v>
      </c>
      <c r="L158" s="260">
        <v>43921</v>
      </c>
      <c r="M158" s="260"/>
      <c r="N158" s="258"/>
      <c r="O158" s="260" t="s">
        <v>106</v>
      </c>
      <c r="P158" s="260">
        <v>43921</v>
      </c>
      <c r="Q158" s="243" t="str">
        <f ca="1">IF(CostTrack[[#This Row],[Vendor - Contract]]="","",INDEX(VendorList[PA ID],MATCH(CostTrack[[#This Row],[Vendor - Contract]],VendorList[Vendor / Org. with Contract ID],0)))</f>
        <v>200.010.F1</v>
      </c>
      <c r="R158" s="243" t="str">
        <f ca="1">IF(CostTrack[[#This Row],[Vendor - Contract]]="","",INDEX(VendorList[Primary Category],MATCH(CostTrack[[#This Row],[Vendor - Contract]],VendorList[Vendor / Org. with Contract ID],0)))</f>
        <v>Professional Services</v>
      </c>
      <c r="S158" s="243" t="str">
        <f ca="1">IF(CostTrack[[#This Row],[Vendor - Contract]]="","",INDEX(VendorList[Secondary Category],MATCH(CostTrack[[#This Row],[Vendor - Contract]],VendorList[Vendor / Org. with Contract ID],0)))</f>
        <v>Prime Consultant</v>
      </c>
      <c r="T158" s="243" t="str">
        <f ca="1">IF(CostTrack[[#This Row],[Vendor - Contract]]="","",INDEX(VendorList[Phase / Subproject],MATCH(CostTrack[[#This Row],[Vendor - Contract]],VendorList[Vendor / Org. with Contract ID],0)))</f>
        <v>--</v>
      </c>
      <c r="U158" s="243" t="str">
        <f ca="1">IF(CostTrack[[#This Row],[Vendor - Contract]]="","",INDEX(VendorList[Phase / Subproject 2],MATCH(CostTrack[[#This Row],[Vendor - Contract]],VendorList[Vendor / Org. with Contract ID],0)))</f>
        <v>--</v>
      </c>
      <c r="V158" s="243" t="str">
        <f ca="1">IF(CostTrack[[#This Row],[Vendor - Contract]]="","",INDEX(VendorList[Funding Source],MATCH(CostTrack[[#This Row],[Vendor - Contract]],VendorList[Vendor / Org. with Contract ID],0)))</f>
        <v>P-002360</v>
      </c>
      <c r="W158" s="260">
        <v>43921</v>
      </c>
      <c r="X158" s="251" t="str">
        <f ca="1">IF(CostTrack[[#This Row],[Release Date (CMS)]]="","*","")</f>
        <v/>
      </c>
      <c r="Y158" s="267" t="s">
        <v>40</v>
      </c>
      <c r="Z158" s="271"/>
      <c r="AA158" s="245">
        <f ca="1">IF(OR(CostTrack[[#This Row],[Release Date (CMS)]]&gt;=DATE(VALUE(REPLACE(CostTrack[[#This Row],[Fiscal Period]],3,3,"")),3,1),CostTrack[[#This Row],[Release Date (CMS)]]&lt;DATE(VALUE(LEFT(CostTrack[[#This Row],[Fiscal Period]],4)),4,1)),1,0)</f>
        <v>1</v>
      </c>
      <c r="AB158" s="294">
        <v>59559</v>
      </c>
      <c r="AC158" s="260">
        <v>44224</v>
      </c>
      <c r="AD158" s="402" t="str">
        <f ca="1">IF(CostTrack[[#This Row],[Reconciled Amount]]="","",IF(CostTrack[[#This Row],[Value]]&lt;&gt;CostTrack[[#This Row],[Reconciled Amount]],"Yes","No"))</f>
        <v>No</v>
      </c>
    </row>
    <row r="159" spans="2:30">
      <c r="B159" s="400" t="s">
        <v>736</v>
      </c>
      <c r="C159" s="258" t="s">
        <v>908</v>
      </c>
      <c r="D159" s="260">
        <v>43921</v>
      </c>
      <c r="E159" s="282">
        <v>37361.53</v>
      </c>
      <c r="F159" s="265" t="s">
        <v>69</v>
      </c>
      <c r="G159" s="406">
        <f ca="1">ROUND(IF(CostTrack[[#This Row],[Holdback (Y/N/R)]]="Yes",CostTrack[[#This Row],[Value]]*-0.1,IF(CostTrack[[#This Row],[Holdback (Y/N/R)]]="Release",CostTrack[[#This Row],[Value]],0)),2)</f>
        <v>0</v>
      </c>
      <c r="H159" s="407">
        <f ca="1">IF(CostTrack[[#This Row],[Holdback (Y/N/R)]]="Release",CostTrack[[#This Row],[Value]],CostTrack[[#This Row],[Value]]+CostTrack[[#This Row],[Holdback Value]])</f>
        <v>37361.53</v>
      </c>
      <c r="I159" s="258"/>
      <c r="J159" s="258"/>
      <c r="K159" s="275">
        <v>43891</v>
      </c>
      <c r="L159" s="260">
        <v>43921</v>
      </c>
      <c r="M159" s="260"/>
      <c r="N159" s="258"/>
      <c r="O159" s="260" t="s">
        <v>106</v>
      </c>
      <c r="P159" s="260">
        <v>43921</v>
      </c>
      <c r="Q159" s="243" t="str">
        <f ca="1">IF(CostTrack[[#This Row],[Vendor - Contract]]="","",INDEX(VendorList[PA ID],MATCH(CostTrack[[#This Row],[Vendor - Contract]],VendorList[Vendor / Org. with Contract ID],0)))</f>
        <v>100.010.F1</v>
      </c>
      <c r="R159" s="243" t="str">
        <f ca="1">IF(CostTrack[[#This Row],[Vendor - Contract]]="","",INDEX(VendorList[Primary Category],MATCH(CostTrack[[#This Row],[Vendor - Contract]],VendorList[Vendor / Org. with Contract ID],0)))</f>
        <v>Administration</v>
      </c>
      <c r="S159" s="243" t="str">
        <f ca="1">IF(CostTrack[[#This Row],[Vendor - Contract]]="","",INDEX(VendorList[Secondary Category],MATCH(CostTrack[[#This Row],[Vendor - Contract]],VendorList[Vendor / Org. with Contract ID],0)))</f>
        <v>Staff Capitalization - INFRA</v>
      </c>
      <c r="T159" s="243" t="str">
        <f ca="1">IF(CostTrack[[#This Row],[Vendor - Contract]]="","",INDEX(VendorList[Phase / Subproject],MATCH(CostTrack[[#This Row],[Vendor - Contract]],VendorList[Vendor / Org. with Contract ID],0)))</f>
        <v>--</v>
      </c>
      <c r="U159" s="243" t="str">
        <f ca="1">IF(CostTrack[[#This Row],[Vendor - Contract]]="","",INDEX(VendorList[Phase / Subproject 2],MATCH(CostTrack[[#This Row],[Vendor - Contract]],VendorList[Vendor / Org. with Contract ID],0)))</f>
        <v>--</v>
      </c>
      <c r="V159" s="243" t="str">
        <f ca="1">IF(CostTrack[[#This Row],[Vendor - Contract]]="","",INDEX(VendorList[Funding Source],MATCH(CostTrack[[#This Row],[Vendor - Contract]],VendorList[Vendor / Org. with Contract ID],0)))</f>
        <v>P-002360</v>
      </c>
      <c r="W159" s="260">
        <v>43921</v>
      </c>
      <c r="X159" s="251" t="str">
        <f ca="1">IF(CostTrack[[#This Row],[Release Date (CMS)]]="","*","")</f>
        <v/>
      </c>
      <c r="Y159" s="267" t="s">
        <v>40</v>
      </c>
      <c r="Z159" s="271"/>
      <c r="AA159" s="245">
        <f ca="1">IF(OR(CostTrack[[#This Row],[Release Date (CMS)]]&gt;=DATE(VALUE(REPLACE(CostTrack[[#This Row],[Fiscal Period]],3,3,"")),3,1),CostTrack[[#This Row],[Release Date (CMS)]]&lt;DATE(VALUE(LEFT(CostTrack[[#This Row],[Fiscal Period]],4)),4,1)),1,0)</f>
        <v>1</v>
      </c>
      <c r="AB159" s="294">
        <v>37361.53</v>
      </c>
      <c r="AC159" s="260">
        <v>44224</v>
      </c>
      <c r="AD159" s="402" t="str">
        <f ca="1">IF(CostTrack[[#This Row],[Reconciled Amount]]="","",IF(CostTrack[[#This Row],[Value]]&lt;&gt;CostTrack[[#This Row],[Reconciled Amount]],"Yes","No"))</f>
        <v>No</v>
      </c>
    </row>
    <row r="160" spans="2:30">
      <c r="B160" s="400" t="s">
        <v>754</v>
      </c>
      <c r="C160" s="258" t="s">
        <v>909</v>
      </c>
      <c r="D160" s="260">
        <v>43909</v>
      </c>
      <c r="E160" s="589">
        <f ca="1">38.3+91.06</f>
        <v>129.36000000000001</v>
      </c>
      <c r="F160" s="265" t="s">
        <v>69</v>
      </c>
      <c r="G160" s="406">
        <f ca="1">ROUND(IF(CostTrack[[#This Row],[Holdback (Y/N/R)]]="Yes",CostTrack[[#This Row],[Value]]*-0.1,IF(CostTrack[[#This Row],[Holdback (Y/N/R)]]="Release",CostTrack[[#This Row],[Value]],0)),2)</f>
        <v>0</v>
      </c>
      <c r="H160" s="407">
        <f ca="1">IF(CostTrack[[#This Row],[Holdback (Y/N/R)]]="Release",CostTrack[[#This Row],[Value]],CostTrack[[#This Row],[Value]]+CostTrack[[#This Row],[Holdback Value]])</f>
        <v>129.36000000000001</v>
      </c>
      <c r="I160" s="258"/>
      <c r="J160" s="258"/>
      <c r="K160" s="275"/>
      <c r="L160" s="260"/>
      <c r="M160" s="260"/>
      <c r="N160" s="258"/>
      <c r="O160" s="260" t="s">
        <v>106</v>
      </c>
      <c r="P160" s="260"/>
      <c r="Q160" s="243" t="str">
        <f ca="1">IF(CostTrack[[#This Row],[Vendor - Contract]]="","",INDEX(VendorList[PA ID],MATCH(CostTrack[[#This Row],[Vendor - Contract]],VendorList[Vendor / Org. with Contract ID],0)))</f>
        <v>100.050.F1</v>
      </c>
      <c r="R160" s="243" t="str">
        <f ca="1">IF(CostTrack[[#This Row],[Vendor - Contract]]="","",INDEX(VendorList[Primary Category],MATCH(CostTrack[[#This Row],[Vendor - Contract]],VendorList[Vendor / Org. with Contract ID],0)))</f>
        <v>Administration</v>
      </c>
      <c r="S160" s="243" t="str">
        <f ca="1">IF(CostTrack[[#This Row],[Vendor - Contract]]="","",INDEX(VendorList[Secondary Category],MATCH(CostTrack[[#This Row],[Vendor - Contract]],VendorList[Vendor / Org. with Contract ID],0)))</f>
        <v>Other Administration</v>
      </c>
      <c r="T160" s="243" t="str">
        <f ca="1">IF(CostTrack[[#This Row],[Vendor - Contract]]="","",INDEX(VendorList[Phase / Subproject],MATCH(CostTrack[[#This Row],[Vendor - Contract]],VendorList[Vendor / Org. with Contract ID],0)))</f>
        <v>--</v>
      </c>
      <c r="U160" s="243" t="str">
        <f ca="1">IF(CostTrack[[#This Row],[Vendor - Contract]]="","",INDEX(VendorList[Phase / Subproject 2],MATCH(CostTrack[[#This Row],[Vendor - Contract]],VendorList[Vendor / Org. with Contract ID],0)))</f>
        <v>--</v>
      </c>
      <c r="V160" s="243" t="str">
        <f ca="1">IF(CostTrack[[#This Row],[Vendor - Contract]]="","",INDEX(VendorList[Funding Source],MATCH(CostTrack[[#This Row],[Vendor - Contract]],VendorList[Vendor / Org. with Contract ID],0)))</f>
        <v>P-002360</v>
      </c>
      <c r="W160" s="260">
        <v>43909</v>
      </c>
      <c r="X160" s="251" t="str">
        <f ca="1">IF(CostTrack[[#This Row],[Release Date (CMS)]]="","*","")</f>
        <v/>
      </c>
      <c r="Y160" s="267" t="s">
        <v>40</v>
      </c>
      <c r="Z160" s="271"/>
      <c r="AA160" s="245">
        <f ca="1">IF(OR(CostTrack[[#This Row],[Release Date (CMS)]]&gt;=DATE(VALUE(REPLACE(CostTrack[[#This Row],[Fiscal Period]],3,3,"")),3,1),CostTrack[[#This Row],[Release Date (CMS)]]&lt;DATE(VALUE(LEFT(CostTrack[[#This Row],[Fiscal Period]],4)),4,1)),1,0)</f>
        <v>1</v>
      </c>
      <c r="AB160" s="294">
        <v>129.36000000000001</v>
      </c>
      <c r="AC160" s="260">
        <v>44224</v>
      </c>
      <c r="AD160" s="402" t="str">
        <f ca="1">IF(CostTrack[[#This Row],[Reconciled Amount]]="","",IF(CostTrack[[#This Row],[Value]]&lt;&gt;CostTrack[[#This Row],[Reconciled Amount]],"Yes","No"))</f>
        <v>No</v>
      </c>
    </row>
    <row r="161" spans="2:30">
      <c r="B161" s="400" t="s">
        <v>527</v>
      </c>
      <c r="C161" s="258" t="s">
        <v>907</v>
      </c>
      <c r="D161" s="260">
        <v>43921</v>
      </c>
      <c r="E161" s="282">
        <v>-59559</v>
      </c>
      <c r="F161" s="265" t="s">
        <v>69</v>
      </c>
      <c r="G161" s="406">
        <f ca="1">ROUND(IF(CostTrack[[#This Row],[Holdback (Y/N/R)]]="Yes",CostTrack[[#This Row],[Value]]*-0.1,IF(CostTrack[[#This Row],[Holdback (Y/N/R)]]="Release",CostTrack[[#This Row],[Value]],0)),2)</f>
        <v>0</v>
      </c>
      <c r="H161" s="407">
        <f ca="1">IF(CostTrack[[#This Row],[Holdback (Y/N/R)]]="Release",CostTrack[[#This Row],[Value]],CostTrack[[#This Row],[Value]]+CostTrack[[#This Row],[Holdback Value]])</f>
        <v>-59559</v>
      </c>
      <c r="I161" s="258"/>
      <c r="J161" s="258"/>
      <c r="K161" s="275"/>
      <c r="L161" s="260">
        <v>43921</v>
      </c>
      <c r="M161" s="260"/>
      <c r="N161" s="258"/>
      <c r="O161" s="260" t="s">
        <v>106</v>
      </c>
      <c r="P161" s="260">
        <v>43921</v>
      </c>
      <c r="Q161" s="243" t="str">
        <f ca="1">IF(CostTrack[[#This Row],[Vendor - Contract]]="","",INDEX(VendorList[PA ID],MATCH(CostTrack[[#This Row],[Vendor - Contract]],VendorList[Vendor / Org. with Contract ID],0)))</f>
        <v>200.010.F1</v>
      </c>
      <c r="R161" s="243" t="str">
        <f ca="1">IF(CostTrack[[#This Row],[Vendor - Contract]]="","",INDEX(VendorList[Primary Category],MATCH(CostTrack[[#This Row],[Vendor - Contract]],VendorList[Vendor / Org. with Contract ID],0)))</f>
        <v>Professional Services</v>
      </c>
      <c r="S161" s="243" t="str">
        <f ca="1">IF(CostTrack[[#This Row],[Vendor - Contract]]="","",INDEX(VendorList[Secondary Category],MATCH(CostTrack[[#This Row],[Vendor - Contract]],VendorList[Vendor / Org. with Contract ID],0)))</f>
        <v>Prime Consultant</v>
      </c>
      <c r="T161" s="243" t="str">
        <f ca="1">IF(CostTrack[[#This Row],[Vendor - Contract]]="","",INDEX(VendorList[Phase / Subproject],MATCH(CostTrack[[#This Row],[Vendor - Contract]],VendorList[Vendor / Org. with Contract ID],0)))</f>
        <v>--</v>
      </c>
      <c r="U161" s="243" t="str">
        <f ca="1">IF(CostTrack[[#This Row],[Vendor - Contract]]="","",INDEX(VendorList[Phase / Subproject 2],MATCH(CostTrack[[#This Row],[Vendor - Contract]],VendorList[Vendor / Org. with Contract ID],0)))</f>
        <v>--</v>
      </c>
      <c r="V161" s="243" t="str">
        <f ca="1">IF(CostTrack[[#This Row],[Vendor - Contract]]="","",INDEX(VendorList[Funding Source],MATCH(CostTrack[[#This Row],[Vendor - Contract]],VendorList[Vendor / Org. with Contract ID],0)))</f>
        <v>P-002360</v>
      </c>
      <c r="W161" s="260">
        <v>43935</v>
      </c>
      <c r="X161" s="251" t="str">
        <f ca="1">IF(CostTrack[[#This Row],[Release Date (CMS)]]="","*","")</f>
        <v/>
      </c>
      <c r="Y161" s="267" t="s">
        <v>45</v>
      </c>
      <c r="Z161" s="271"/>
      <c r="AA161" s="245">
        <f ca="1">IF(OR(CostTrack[[#This Row],[Release Date (CMS)]]&gt;=DATE(VALUE(REPLACE(CostTrack[[#This Row],[Fiscal Period]],3,3,"")),3,1),CostTrack[[#This Row],[Release Date (CMS)]]&lt;DATE(VALUE(LEFT(CostTrack[[#This Row],[Fiscal Period]],4)),4,1)),1,0)</f>
        <v>0</v>
      </c>
      <c r="AB161" s="282">
        <v>-59559</v>
      </c>
      <c r="AC161" s="260">
        <v>44225</v>
      </c>
      <c r="AD161" s="402" t="str">
        <f ca="1">IF(CostTrack[[#This Row],[Reconciled Amount]]="","",IF(CostTrack[[#This Row],[Value]]&lt;&gt;CostTrack[[#This Row],[Reconciled Amount]],"Yes","No"))</f>
        <v>No</v>
      </c>
    </row>
    <row r="162" spans="2:30">
      <c r="B162" s="400" t="s">
        <v>527</v>
      </c>
      <c r="C162" s="258" t="s">
        <v>910</v>
      </c>
      <c r="D162" s="260">
        <v>43921</v>
      </c>
      <c r="E162" s="282">
        <v>59559</v>
      </c>
      <c r="F162" s="265" t="s">
        <v>69</v>
      </c>
      <c r="G162" s="406">
        <f ca="1">ROUND(IF(CostTrack[[#This Row],[Holdback (Y/N/R)]]="Yes",CostTrack[[#This Row],[Value]]*-0.1,IF(CostTrack[[#This Row],[Holdback (Y/N/R)]]="Release",CostTrack[[#This Row],[Value]],0)),2)</f>
        <v>0</v>
      </c>
      <c r="H162" s="407">
        <f ca="1">IF(CostTrack[[#This Row],[Holdback (Y/N/R)]]="Release",CostTrack[[#This Row],[Value]],CostTrack[[#This Row],[Value]]+CostTrack[[#This Row],[Holdback Value]])</f>
        <v>59559</v>
      </c>
      <c r="I162" s="258"/>
      <c r="J162" s="258"/>
      <c r="K162" s="275">
        <v>43891</v>
      </c>
      <c r="L162" s="260">
        <v>43923</v>
      </c>
      <c r="M162" s="260"/>
      <c r="N162" s="258"/>
      <c r="O162" s="260" t="s">
        <v>106</v>
      </c>
      <c r="P162" s="260">
        <v>43935</v>
      </c>
      <c r="Q162" s="243" t="str">
        <f ca="1">IF(CostTrack[[#This Row],[Vendor - Contract]]="","",INDEX(VendorList[PA ID],MATCH(CostTrack[[#This Row],[Vendor - Contract]],VendorList[Vendor / Org. with Contract ID],0)))</f>
        <v>200.010.F1</v>
      </c>
      <c r="R162" s="243" t="str">
        <f ca="1">IF(CostTrack[[#This Row],[Vendor - Contract]]="","",INDEX(VendorList[Primary Category],MATCH(CostTrack[[#This Row],[Vendor - Contract]],VendorList[Vendor / Org. with Contract ID],0)))</f>
        <v>Professional Services</v>
      </c>
      <c r="S162" s="243" t="str">
        <f ca="1">IF(CostTrack[[#This Row],[Vendor - Contract]]="","",INDEX(VendorList[Secondary Category],MATCH(CostTrack[[#This Row],[Vendor - Contract]],VendorList[Vendor / Org. with Contract ID],0)))</f>
        <v>Prime Consultant</v>
      </c>
      <c r="T162" s="243" t="str">
        <f ca="1">IF(CostTrack[[#This Row],[Vendor - Contract]]="","",INDEX(VendorList[Phase / Subproject],MATCH(CostTrack[[#This Row],[Vendor - Contract]],VendorList[Vendor / Org. with Contract ID],0)))</f>
        <v>--</v>
      </c>
      <c r="U162" s="243" t="str">
        <f ca="1">IF(CostTrack[[#This Row],[Vendor - Contract]]="","",INDEX(VendorList[Phase / Subproject 2],MATCH(CostTrack[[#This Row],[Vendor - Contract]],VendorList[Vendor / Org. with Contract ID],0)))</f>
        <v>--</v>
      </c>
      <c r="V162" s="243" t="str">
        <f ca="1">IF(CostTrack[[#This Row],[Vendor - Contract]]="","",INDEX(VendorList[Funding Source],MATCH(CostTrack[[#This Row],[Vendor - Contract]],VendorList[Vendor / Org. with Contract ID],0)))</f>
        <v>P-002360</v>
      </c>
      <c r="W162" s="260">
        <v>43935</v>
      </c>
      <c r="X162" s="251" t="str">
        <f ca="1">IF(CostTrack[[#This Row],[Release Date (CMS)]]="","*","")</f>
        <v/>
      </c>
      <c r="Y162" s="267" t="s">
        <v>45</v>
      </c>
      <c r="Z162" s="271"/>
      <c r="AA162" s="245">
        <f ca="1">IF(OR(CostTrack[[#This Row],[Release Date (CMS)]]&gt;=DATE(VALUE(REPLACE(CostTrack[[#This Row],[Fiscal Period]],3,3,"")),3,1),CostTrack[[#This Row],[Release Date (CMS)]]&lt;DATE(VALUE(LEFT(CostTrack[[#This Row],[Fiscal Period]],4)),4,1)),1,0)</f>
        <v>0</v>
      </c>
      <c r="AB162" s="282">
        <v>59559</v>
      </c>
      <c r="AC162" s="260">
        <v>44225</v>
      </c>
      <c r="AD162" s="402" t="str">
        <f ca="1">IF(CostTrack[[#This Row],[Reconciled Amount]]="","",IF(CostTrack[[#This Row],[Value]]&lt;&gt;CostTrack[[#This Row],[Reconciled Amount]],"Yes","No"))</f>
        <v>No</v>
      </c>
    </row>
    <row r="163" spans="2:30">
      <c r="B163" s="400" t="s">
        <v>911</v>
      </c>
      <c r="C163" s="258">
        <v>45088373</v>
      </c>
      <c r="D163" s="260">
        <v>43938</v>
      </c>
      <c r="E163" s="282">
        <v>640.74</v>
      </c>
      <c r="F163" s="265" t="s">
        <v>69</v>
      </c>
      <c r="G163" s="406">
        <f ca="1">ROUND(IF(CostTrack[[#This Row],[Holdback (Y/N/R)]]="Yes",CostTrack[[#This Row],[Value]]*-0.1,IF(CostTrack[[#This Row],[Holdback (Y/N/R)]]="Release",CostTrack[[#This Row],[Value]],0)),2)</f>
        <v>0</v>
      </c>
      <c r="H163" s="407">
        <f ca="1">IF(CostTrack[[#This Row],[Holdback (Y/N/R)]]="Release",CostTrack[[#This Row],[Value]],CostTrack[[#This Row],[Value]]+CostTrack[[#This Row],[Holdback Value]])</f>
        <v>640.74</v>
      </c>
      <c r="I163" s="258"/>
      <c r="J163" s="258"/>
      <c r="K163" s="275">
        <v>43922</v>
      </c>
      <c r="L163" s="260">
        <v>43938</v>
      </c>
      <c r="M163" s="260"/>
      <c r="N163" s="258"/>
      <c r="O163" s="260" t="s">
        <v>106</v>
      </c>
      <c r="P163" s="260">
        <v>43941</v>
      </c>
      <c r="Q163" s="243" t="str">
        <f ca="1">IF(CostTrack[[#This Row],[Vendor - Contract]]="","",INDEX(VendorList[PA ID],MATCH(CostTrack[[#This Row],[Vendor - Contract]],VendorList[Vendor / Org. with Contract ID],0)))</f>
        <v>100.050.F1</v>
      </c>
      <c r="R163" s="243" t="str">
        <f ca="1">IF(CostTrack[[#This Row],[Vendor - Contract]]="","",INDEX(VendorList[Primary Category],MATCH(CostTrack[[#This Row],[Vendor - Contract]],VendorList[Vendor / Org. with Contract ID],0)))</f>
        <v>Administration</v>
      </c>
      <c r="S163" s="243" t="str">
        <f ca="1">IF(CostTrack[[#This Row],[Vendor - Contract]]="","",INDEX(VendorList[Secondary Category],MATCH(CostTrack[[#This Row],[Vendor - Contract]],VendorList[Vendor / Org. with Contract ID],0)))</f>
        <v>Other Administration</v>
      </c>
      <c r="T163" s="243" t="str">
        <f ca="1">IF(CostTrack[[#This Row],[Vendor - Contract]]="","",INDEX(VendorList[Phase / Subproject],MATCH(CostTrack[[#This Row],[Vendor - Contract]],VendorList[Vendor / Org. with Contract ID],0)))</f>
        <v>--</v>
      </c>
      <c r="U163" s="243" t="str">
        <f ca="1">IF(CostTrack[[#This Row],[Vendor - Contract]]="","",INDEX(VendorList[Phase / Subproject 2],MATCH(CostTrack[[#This Row],[Vendor - Contract]],VendorList[Vendor / Org. with Contract ID],0)))</f>
        <v>--</v>
      </c>
      <c r="V163" s="243" t="str">
        <f ca="1">IF(CostTrack[[#This Row],[Vendor - Contract]]="","",INDEX(VendorList[Funding Source],MATCH(CostTrack[[#This Row],[Vendor - Contract]],VendorList[Vendor / Org. with Contract ID],0)))</f>
        <v>P-002360</v>
      </c>
      <c r="W163" s="260">
        <v>43941</v>
      </c>
      <c r="X163" s="251" t="str">
        <f ca="1">IF(CostTrack[[#This Row],[Release Date (CMS)]]="","*","")</f>
        <v/>
      </c>
      <c r="Y163" s="267" t="s">
        <v>45</v>
      </c>
      <c r="Z163" s="271"/>
      <c r="AA163" s="245">
        <f ca="1">IF(OR(CostTrack[[#This Row],[Release Date (CMS)]]&gt;=DATE(VALUE(REPLACE(CostTrack[[#This Row],[Fiscal Period]],3,3,"")),3,1),CostTrack[[#This Row],[Release Date (CMS)]]&lt;DATE(VALUE(LEFT(CostTrack[[#This Row],[Fiscal Period]],4)),4,1)),1,0)</f>
        <v>0</v>
      </c>
      <c r="AB163" s="294">
        <v>640.74</v>
      </c>
      <c r="AC163" s="1308">
        <v>44215</v>
      </c>
      <c r="AD163" s="402" t="str">
        <f ca="1">IF(CostTrack[[#This Row],[Reconciled Amount]]="","",IF(CostTrack[[#This Row],[Value]]&lt;&gt;CostTrack[[#This Row],[Reconciled Amount]],"Yes","No"))</f>
        <v>No</v>
      </c>
    </row>
    <row r="164" spans="2:30">
      <c r="B164" s="400" t="s">
        <v>528</v>
      </c>
      <c r="C164" s="258">
        <v>60670749</v>
      </c>
      <c r="D164" s="260">
        <v>44060</v>
      </c>
      <c r="E164" s="282">
        <v>390.5</v>
      </c>
      <c r="F164" s="265" t="s">
        <v>69</v>
      </c>
      <c r="G164" s="406">
        <f ca="1">ROUND(IF(CostTrack[[#This Row],[Holdback (Y/N/R)]]="Yes",CostTrack[[#This Row],[Value]]*-0.1,IF(CostTrack[[#This Row],[Holdback (Y/N/R)]]="Release",CostTrack[[#This Row],[Value]],0)),2)</f>
        <v>0</v>
      </c>
      <c r="H164" s="407">
        <f ca="1">IF(CostTrack[[#This Row],[Holdback (Y/N/R)]]="Release",CostTrack[[#This Row],[Value]],CostTrack[[#This Row],[Value]]+CostTrack[[#This Row],[Holdback Value]])</f>
        <v>390.5</v>
      </c>
      <c r="I164" s="258"/>
      <c r="J164" s="258"/>
      <c r="K164" s="275"/>
      <c r="L164" s="260">
        <v>44068</v>
      </c>
      <c r="M164" s="260"/>
      <c r="N164" s="258"/>
      <c r="O164" s="260" t="s">
        <v>106</v>
      </c>
      <c r="P164" s="260">
        <v>44068</v>
      </c>
      <c r="Q164" s="243" t="str">
        <f ca="1">IF(CostTrack[[#This Row],[Vendor - Contract]]="","",INDEX(VendorList[PA ID],MATCH(CostTrack[[#This Row],[Vendor - Contract]],VendorList[Vendor / Org. with Contract ID],0)))</f>
        <v>200.050.F1</v>
      </c>
      <c r="R164" s="243" t="str">
        <f ca="1">IF(CostTrack[[#This Row],[Vendor - Contract]]="","",INDEX(VendorList[Primary Category],MATCH(CostTrack[[#This Row],[Vendor - Contract]],VendorList[Vendor / Org. with Contract ID],0)))</f>
        <v>Professional Services</v>
      </c>
      <c r="S164" s="243" t="str">
        <f ca="1">IF(CostTrack[[#This Row],[Vendor - Contract]]="","",INDEX(VendorList[Secondary Category],MATCH(CostTrack[[#This Row],[Vendor - Contract]],VendorList[Vendor / Org. with Contract ID],0)))</f>
        <v>Other Professional Services</v>
      </c>
      <c r="T164" s="243" t="str">
        <f ca="1">IF(CostTrack[[#This Row],[Vendor - Contract]]="","",INDEX(VendorList[Phase / Subproject],MATCH(CostTrack[[#This Row],[Vendor - Contract]],VendorList[Vendor / Org. with Contract ID],0)))</f>
        <v>--</v>
      </c>
      <c r="U164" s="243" t="str">
        <f ca="1">IF(CostTrack[[#This Row],[Vendor - Contract]]="","",INDEX(VendorList[Phase / Subproject 2],MATCH(CostTrack[[#This Row],[Vendor - Contract]],VendorList[Vendor / Org. with Contract ID],0)))</f>
        <v>--</v>
      </c>
      <c r="V164" s="243" t="str">
        <f ca="1">IF(CostTrack[[#This Row],[Vendor - Contract]]="","",INDEX(VendorList[Funding Source],MATCH(CostTrack[[#This Row],[Vendor - Contract]],VendorList[Vendor / Org. with Contract ID],0)))</f>
        <v>P-002360</v>
      </c>
      <c r="W164" s="260">
        <v>44068</v>
      </c>
      <c r="X164" s="251" t="str">
        <f ca="1">IF(CostTrack[[#This Row],[Release Date (CMS)]]="","*","")</f>
        <v/>
      </c>
      <c r="Y164" s="267" t="s">
        <v>45</v>
      </c>
      <c r="Z164" s="271"/>
      <c r="AA164" s="245">
        <f ca="1">IF(OR(CostTrack[[#This Row],[Release Date (CMS)]]&gt;=DATE(VALUE(REPLACE(CostTrack[[#This Row],[Fiscal Period]],3,3,"")),3,1),CostTrack[[#This Row],[Release Date (CMS)]]&lt;DATE(VALUE(LEFT(CostTrack[[#This Row],[Fiscal Period]],4)),4,1)),1,0)</f>
        <v>0</v>
      </c>
      <c r="AB164" s="294">
        <v>390.5</v>
      </c>
      <c r="AC164" s="1308">
        <v>44215</v>
      </c>
      <c r="AD164" s="402" t="str">
        <f ca="1">IF(CostTrack[[#This Row],[Reconciled Amount]]="","",IF(CostTrack[[#This Row],[Value]]&lt;&gt;CostTrack[[#This Row],[Reconciled Amount]],"Yes","No"))</f>
        <v>No</v>
      </c>
    </row>
    <row r="165" spans="2:30">
      <c r="B165" s="400" t="s">
        <v>528</v>
      </c>
      <c r="C165" s="258">
        <v>60681629</v>
      </c>
      <c r="D165" s="260">
        <v>44145</v>
      </c>
      <c r="E165" s="282">
        <v>4576.25</v>
      </c>
      <c r="F165" s="265" t="s">
        <v>69</v>
      </c>
      <c r="G165" s="406">
        <f ca="1">ROUND(IF(CostTrack[[#This Row],[Holdback (Y/N/R)]]="Yes",CostTrack[[#This Row],[Value]]*-0.1,IF(CostTrack[[#This Row],[Holdback (Y/N/R)]]="Release",CostTrack[[#This Row],[Value]],0)),2)</f>
        <v>0</v>
      </c>
      <c r="H165" s="407">
        <f ca="1">IF(CostTrack[[#This Row],[Holdback (Y/N/R)]]="Release",CostTrack[[#This Row],[Value]],CostTrack[[#This Row],[Value]]+CostTrack[[#This Row],[Holdback Value]])</f>
        <v>4576.25</v>
      </c>
      <c r="I165" s="258"/>
      <c r="J165" s="258"/>
      <c r="K165" s="275"/>
      <c r="L165" s="260">
        <v>44145</v>
      </c>
      <c r="M165" s="260"/>
      <c r="N165" s="258"/>
      <c r="O165" s="260" t="s">
        <v>106</v>
      </c>
      <c r="P165" s="260">
        <v>44147</v>
      </c>
      <c r="Q165" s="1314" t="str">
        <f ca="1">IF(CostTrack[[#This Row],[Vendor - Contract]]="","",INDEX(VendorList[PA ID],MATCH(CostTrack[[#This Row],[Vendor - Contract]],VendorList[Vendor / Org. with Contract ID],0)))</f>
        <v>200.050.F1</v>
      </c>
      <c r="R165" s="1314" t="str">
        <f ca="1">IF(CostTrack[[#This Row],[Vendor - Contract]]="","",INDEX(VendorList[Primary Category],MATCH(CostTrack[[#This Row],[Vendor - Contract]],VendorList[Vendor / Org. with Contract ID],0)))</f>
        <v>Professional Services</v>
      </c>
      <c r="S165" s="1314" t="str">
        <f ca="1">IF(CostTrack[[#This Row],[Vendor - Contract]]="","",INDEX(VendorList[Secondary Category],MATCH(CostTrack[[#This Row],[Vendor - Contract]],VendorList[Vendor / Org. with Contract ID],0)))</f>
        <v>Other Professional Services</v>
      </c>
      <c r="T165" s="1314" t="str">
        <f ca="1">IF(CostTrack[[#This Row],[Vendor - Contract]]="","",INDEX(VendorList[Phase / Subproject],MATCH(CostTrack[[#This Row],[Vendor - Contract]],VendorList[Vendor / Org. with Contract ID],0)))</f>
        <v>--</v>
      </c>
      <c r="U165" s="1314" t="str">
        <f ca="1">IF(CostTrack[[#This Row],[Vendor - Contract]]="","",INDEX(VendorList[Phase / Subproject 2],MATCH(CostTrack[[#This Row],[Vendor - Contract]],VendorList[Vendor / Org. with Contract ID],0)))</f>
        <v>--</v>
      </c>
      <c r="V165" s="1314" t="str">
        <f ca="1">IF(CostTrack[[#This Row],[Vendor - Contract]]="","",INDEX(VendorList[Funding Source],MATCH(CostTrack[[#This Row],[Vendor - Contract]],VendorList[Vendor / Org. with Contract ID],0)))</f>
        <v>P-002360</v>
      </c>
      <c r="W165" s="260">
        <v>44147</v>
      </c>
      <c r="X165" s="251" t="str">
        <f ca="1">IF(CostTrack[[#This Row],[Release Date (CMS)]]="","*","")</f>
        <v/>
      </c>
      <c r="Y165" s="267" t="s">
        <v>45</v>
      </c>
      <c r="Z165" s="271"/>
      <c r="AA165" s="245">
        <f ca="1">IF(OR(CostTrack[[#This Row],[Release Date (CMS)]]&gt;=DATE(VALUE(REPLACE(CostTrack[[#This Row],[Fiscal Period]],3,3,"")),3,1),CostTrack[[#This Row],[Release Date (CMS)]]&lt;DATE(VALUE(LEFT(CostTrack[[#This Row],[Fiscal Period]],4)),4,1)),1,0)</f>
        <v>0</v>
      </c>
      <c r="AB165" s="294">
        <v>4576.25</v>
      </c>
      <c r="AC165" s="1308">
        <v>44215</v>
      </c>
      <c r="AD165" s="402" t="str">
        <f ca="1">IF(CostTrack[[#This Row],[Reconciled Amount]]="","",IF(CostTrack[[#This Row],[Value]]&lt;&gt;CostTrack[[#This Row],[Reconciled Amount]],"Yes","No"))</f>
        <v>No</v>
      </c>
    </row>
    <row r="166" spans="2:30">
      <c r="B166" s="400" t="s">
        <v>750</v>
      </c>
      <c r="C166" s="258">
        <v>1529690</v>
      </c>
      <c r="D166" s="260">
        <v>44057</v>
      </c>
      <c r="E166" s="282">
        <v>4723.45</v>
      </c>
      <c r="F166" s="263" t="s">
        <v>69</v>
      </c>
      <c r="G166" s="406">
        <f ca="1">ROUND(IF(CostTrack[[#This Row],[Holdback (Y/N/R)]]="Yes",CostTrack[[#This Row],[Value]]*-0.1,IF(CostTrack[[#This Row],[Holdback (Y/N/R)]]="Release",CostTrack[[#This Row],[Value]],0)),2)</f>
        <v>0</v>
      </c>
      <c r="H166" s="407">
        <f ca="1">IF(CostTrack[[#This Row],[Holdback (Y/N/R)]]="Release",CostTrack[[#This Row],[Value]],CostTrack[[#This Row],[Value]]+CostTrack[[#This Row],[Holdback Value]])</f>
        <v>4723.45</v>
      </c>
      <c r="I166" s="258"/>
      <c r="J166" s="258"/>
      <c r="K166" s="275" t="s">
        <v>912</v>
      </c>
      <c r="L166" s="260">
        <v>44088</v>
      </c>
      <c r="M166" s="260"/>
      <c r="N166" s="258"/>
      <c r="O166" s="260" t="s">
        <v>106</v>
      </c>
      <c r="P166" s="260">
        <v>44089</v>
      </c>
      <c r="Q166" s="243" t="str">
        <f ca="1">IF(CostTrack[[#This Row],[Vendor - Contract]]="","",INDEX(VendorList[PA ID],MATCH(CostTrack[[#This Row],[Vendor - Contract]],VendorList[Vendor / Org. with Contract ID],0)))</f>
        <v>200.050.F1</v>
      </c>
      <c r="R166" s="243" t="str">
        <f ca="1">IF(CostTrack[[#This Row],[Vendor - Contract]]="","",INDEX(VendorList[Primary Category],MATCH(CostTrack[[#This Row],[Vendor - Contract]],VendorList[Vendor / Org. with Contract ID],0)))</f>
        <v>Professional Services</v>
      </c>
      <c r="S166" s="243" t="str">
        <f ca="1">IF(CostTrack[[#This Row],[Vendor - Contract]]="","",INDEX(VendorList[Secondary Category],MATCH(CostTrack[[#This Row],[Vendor - Contract]],VendorList[Vendor / Org. with Contract ID],0)))</f>
        <v>Other Professional Services</v>
      </c>
      <c r="T166" s="243" t="str">
        <f ca="1">IF(CostTrack[[#This Row],[Vendor - Contract]]="","",INDEX(VendorList[Phase / Subproject],MATCH(CostTrack[[#This Row],[Vendor - Contract]],VendorList[Vendor / Org. with Contract ID],0)))</f>
        <v>--</v>
      </c>
      <c r="U166" s="243" t="str">
        <f ca="1">IF(CostTrack[[#This Row],[Vendor - Contract]]="","",INDEX(VendorList[Phase / Subproject 2],MATCH(CostTrack[[#This Row],[Vendor - Contract]],VendorList[Vendor / Org. with Contract ID],0)))</f>
        <v>--</v>
      </c>
      <c r="V166" s="243" t="str">
        <f ca="1">IF(CostTrack[[#This Row],[Vendor - Contract]]="","",INDEX(VendorList[Funding Source],MATCH(CostTrack[[#This Row],[Vendor - Contract]],VendorList[Vendor / Org. with Contract ID],0)))</f>
        <v>P-002360</v>
      </c>
      <c r="W166" s="260">
        <v>44090</v>
      </c>
      <c r="X166" s="251" t="str">
        <f ca="1">IF(CostTrack[[#This Row],[Release Date (CMS)]]="","*","")</f>
        <v/>
      </c>
      <c r="Y166" s="267" t="s">
        <v>45</v>
      </c>
      <c r="Z166" s="270"/>
      <c r="AA166" s="245">
        <f ca="1">IF(OR(CostTrack[[#This Row],[Release Date (CMS)]]&gt;=DATE(VALUE(REPLACE(CostTrack[[#This Row],[Fiscal Period]],3,3,"")),3,1),CostTrack[[#This Row],[Release Date (CMS)]]&lt;DATE(VALUE(LEFT(CostTrack[[#This Row],[Fiscal Period]],4)),4,1)),1,0)</f>
        <v>0</v>
      </c>
      <c r="AB166" s="294">
        <v>4723.45</v>
      </c>
      <c r="AC166" s="1308">
        <v>44215</v>
      </c>
      <c r="AD166" s="402" t="str">
        <f ca="1">IF(CostTrack[[#This Row],[Reconciled Amount]]="","",IF(CostTrack[[#This Row],[Value]]&lt;&gt;CostTrack[[#This Row],[Reconciled Amount]],"Yes","No"))</f>
        <v>No</v>
      </c>
    </row>
    <row r="167" spans="2:30">
      <c r="B167" s="400" t="s">
        <v>624</v>
      </c>
      <c r="C167" s="258">
        <v>1467053</v>
      </c>
      <c r="D167" s="260">
        <v>43861</v>
      </c>
      <c r="E167" s="282">
        <v>1125</v>
      </c>
      <c r="F167" s="265" t="s">
        <v>69</v>
      </c>
      <c r="G167" s="406">
        <f ca="1">ROUND(IF(CostTrack[[#This Row],[Holdback (Y/N/R)]]="Yes",CostTrack[[#This Row],[Value]]*-0.1,IF(CostTrack[[#This Row],[Holdback (Y/N/R)]]="Release",CostTrack[[#This Row],[Value]],0)),2)</f>
        <v>0</v>
      </c>
      <c r="H167" s="407">
        <f ca="1">IF(CostTrack[[#This Row],[Holdback (Y/N/R)]]="Release",CostTrack[[#This Row],[Value]],CostTrack[[#This Row],[Value]]+CostTrack[[#This Row],[Holdback Value]])</f>
        <v>1125</v>
      </c>
      <c r="I167" s="258"/>
      <c r="J167" s="258"/>
      <c r="K167" s="275">
        <v>43831</v>
      </c>
      <c r="L167" s="260">
        <v>43867</v>
      </c>
      <c r="M167" s="260"/>
      <c r="N167" s="258"/>
      <c r="O167" s="260" t="s">
        <v>106</v>
      </c>
      <c r="P167" s="260">
        <v>43872</v>
      </c>
      <c r="Q167" s="243" t="str">
        <f ca="1">IF(CostTrack[[#This Row],[Vendor - Contract]]="","",INDEX(VendorList[PA ID],MATCH(CostTrack[[#This Row],[Vendor - Contract]],VendorList[Vendor / Org. with Contract ID],0)))</f>
        <v>200.040.F1</v>
      </c>
      <c r="R167" s="243" t="str">
        <f ca="1">IF(CostTrack[[#This Row],[Vendor - Contract]]="","",INDEX(VendorList[Primary Category],MATCH(CostTrack[[#This Row],[Vendor - Contract]],VendorList[Vendor / Org. with Contract ID],0)))</f>
        <v>Professional Services</v>
      </c>
      <c r="S167" s="243" t="str">
        <f ca="1">IF(CostTrack[[#This Row],[Vendor - Contract]]="","",INDEX(VendorList[Secondary Category],MATCH(CostTrack[[#This Row],[Vendor - Contract]],VendorList[Vendor / Org. with Contract ID],0)))</f>
        <v>Commissioning</v>
      </c>
      <c r="T167" s="243" t="str">
        <f ca="1">IF(CostTrack[[#This Row],[Vendor - Contract]]="","",INDEX(VendorList[Phase / Subproject],MATCH(CostTrack[[#This Row],[Vendor - Contract]],VendorList[Vendor / Org. with Contract ID],0)))</f>
        <v>--</v>
      </c>
      <c r="U167" s="243" t="str">
        <f ca="1">IF(CostTrack[[#This Row],[Vendor - Contract]]="","",INDEX(VendorList[Phase / Subproject 2],MATCH(CostTrack[[#This Row],[Vendor - Contract]],VendorList[Vendor / Org. with Contract ID],0)))</f>
        <v>--</v>
      </c>
      <c r="V167" s="243" t="str">
        <f ca="1">IF(CostTrack[[#This Row],[Vendor - Contract]]="","",INDEX(VendorList[Funding Source],MATCH(CostTrack[[#This Row],[Vendor - Contract]],VendorList[Vendor / Org. with Contract ID],0)))</f>
        <v>P-002360</v>
      </c>
      <c r="W167" s="260">
        <v>43873</v>
      </c>
      <c r="X167" s="251" t="str">
        <f ca="1">IF(CostTrack[[#This Row],[Release Date (CMS)]]="","*","")</f>
        <v/>
      </c>
      <c r="Y167" s="267" t="s">
        <v>40</v>
      </c>
      <c r="Z167" s="271"/>
      <c r="AA167" s="245">
        <f ca="1">IF(OR(CostTrack[[#This Row],[Release Date (CMS)]]&gt;=DATE(VALUE(REPLACE(CostTrack[[#This Row],[Fiscal Period]],3,3,"")),3,1),CostTrack[[#This Row],[Release Date (CMS)]]&lt;DATE(VALUE(LEFT(CostTrack[[#This Row],[Fiscal Period]],4)),4,1)),1,0)</f>
        <v>0</v>
      </c>
      <c r="AB167" s="294">
        <v>1125</v>
      </c>
      <c r="AC167" s="260">
        <v>44225</v>
      </c>
      <c r="AD167" s="402" t="str">
        <f ca="1">IF(CostTrack[[#This Row],[Reconciled Amount]]="","",IF(CostTrack[[#This Row],[Value]]&lt;&gt;CostTrack[[#This Row],[Reconciled Amount]],"Yes","No"))</f>
        <v>No</v>
      </c>
    </row>
    <row r="168" spans="2:30">
      <c r="B168" s="400" t="s">
        <v>624</v>
      </c>
      <c r="C168" s="258">
        <v>1500562</v>
      </c>
      <c r="D168" s="260">
        <v>43979</v>
      </c>
      <c r="E168" s="282">
        <v>10000</v>
      </c>
      <c r="F168" s="265" t="s">
        <v>69</v>
      </c>
      <c r="G168" s="406">
        <f ca="1">ROUND(IF(CostTrack[[#This Row],[Holdback (Y/N/R)]]="Yes",CostTrack[[#This Row],[Value]]*-0.1,IF(CostTrack[[#This Row],[Holdback (Y/N/R)]]="Release",CostTrack[[#This Row],[Value]],0)),2)</f>
        <v>0</v>
      </c>
      <c r="H168" s="407">
        <f ca="1">IF(CostTrack[[#This Row],[Holdback (Y/N/R)]]="Release",CostTrack[[#This Row],[Value]],CostTrack[[#This Row],[Value]]+CostTrack[[#This Row],[Holdback Value]])</f>
        <v>10000</v>
      </c>
      <c r="I168" s="258"/>
      <c r="J168" s="258"/>
      <c r="K168" s="275">
        <v>43952</v>
      </c>
      <c r="L168" s="260"/>
      <c r="M168" s="260"/>
      <c r="N168" s="258"/>
      <c r="O168" s="260" t="s">
        <v>106</v>
      </c>
      <c r="P168" s="260">
        <v>44000</v>
      </c>
      <c r="Q168" s="243" t="str">
        <f ca="1">IF(CostTrack[[#This Row],[Vendor - Contract]]="","",INDEX(VendorList[PA ID],MATCH(CostTrack[[#This Row],[Vendor - Contract]],VendorList[Vendor / Org. with Contract ID],0)))</f>
        <v>200.040.F1</v>
      </c>
      <c r="R168" s="243" t="str">
        <f ca="1">IF(CostTrack[[#This Row],[Vendor - Contract]]="","",INDEX(VendorList[Primary Category],MATCH(CostTrack[[#This Row],[Vendor - Contract]],VendorList[Vendor / Org. with Contract ID],0)))</f>
        <v>Professional Services</v>
      </c>
      <c r="S168" s="243" t="str">
        <f ca="1">IF(CostTrack[[#This Row],[Vendor - Contract]]="","",INDEX(VendorList[Secondary Category],MATCH(CostTrack[[#This Row],[Vendor - Contract]],VendorList[Vendor / Org. with Contract ID],0)))</f>
        <v>Commissioning</v>
      </c>
      <c r="T168" s="243" t="str">
        <f ca="1">IF(CostTrack[[#This Row],[Vendor - Contract]]="","",INDEX(VendorList[Phase / Subproject],MATCH(CostTrack[[#This Row],[Vendor - Contract]],VendorList[Vendor / Org. with Contract ID],0)))</f>
        <v>--</v>
      </c>
      <c r="U168" s="243" t="str">
        <f ca="1">IF(CostTrack[[#This Row],[Vendor - Contract]]="","",INDEX(VendorList[Phase / Subproject 2],MATCH(CostTrack[[#This Row],[Vendor - Contract]],VendorList[Vendor / Org. with Contract ID],0)))</f>
        <v>--</v>
      </c>
      <c r="V168" s="243" t="str">
        <f ca="1">IF(CostTrack[[#This Row],[Vendor - Contract]]="","",INDEX(VendorList[Funding Source],MATCH(CostTrack[[#This Row],[Vendor - Contract]],VendorList[Vendor / Org. with Contract ID],0)))</f>
        <v>P-002360</v>
      </c>
      <c r="W168" s="260">
        <v>44001</v>
      </c>
      <c r="X168" s="251" t="str">
        <f ca="1">IF(CostTrack[[#This Row],[Release Date (CMS)]]="","*","")</f>
        <v/>
      </c>
      <c r="Y168" s="267" t="s">
        <v>45</v>
      </c>
      <c r="Z168" s="271"/>
      <c r="AA168" s="245">
        <f ca="1">IF(OR(CostTrack[[#This Row],[Release Date (CMS)]]&gt;=DATE(VALUE(REPLACE(CostTrack[[#This Row],[Fiscal Period]],3,3,"")),3,1),CostTrack[[#This Row],[Release Date (CMS)]]&lt;DATE(VALUE(LEFT(CostTrack[[#This Row],[Fiscal Period]],4)),4,1)),1,0)</f>
        <v>0</v>
      </c>
      <c r="AB168" s="654">
        <v>10000</v>
      </c>
      <c r="AC168" s="1308">
        <v>44215</v>
      </c>
      <c r="AD168" s="402" t="str">
        <f ca="1">IF(CostTrack[[#This Row],[Reconciled Amount]]="","",IF(CostTrack[[#This Row],[Value]]&lt;&gt;CostTrack[[#This Row],[Reconciled Amount]],"Yes","No"))</f>
        <v>No</v>
      </c>
    </row>
    <row r="169" spans="2:30">
      <c r="B169" s="400" t="s">
        <v>624</v>
      </c>
      <c r="C169" s="258">
        <v>1525960</v>
      </c>
      <c r="D169" s="260">
        <v>44071</v>
      </c>
      <c r="E169" s="282">
        <v>1700</v>
      </c>
      <c r="F169" s="263" t="s">
        <v>69</v>
      </c>
      <c r="G169" s="406">
        <f ca="1">ROUND(IF(CostTrack[[#This Row],[Holdback (Y/N/R)]]="Yes",CostTrack[[#This Row],[Value]]*-0.1,IF(CostTrack[[#This Row],[Holdback (Y/N/R)]]="Release",CostTrack[[#This Row],[Value]],0)),2)</f>
        <v>0</v>
      </c>
      <c r="H169" s="407">
        <f ca="1">IF(CostTrack[[#This Row],[Holdback (Y/N/R)]]="Release",CostTrack[[#This Row],[Value]],CostTrack[[#This Row],[Value]]+CostTrack[[#This Row],[Holdback Value]])</f>
        <v>1700</v>
      </c>
      <c r="I169" s="258"/>
      <c r="J169" s="258"/>
      <c r="K169" s="275"/>
      <c r="L169" s="260">
        <v>44074</v>
      </c>
      <c r="M169" s="260"/>
      <c r="N169" s="258"/>
      <c r="O169" s="260" t="s">
        <v>106</v>
      </c>
      <c r="P169" s="260">
        <v>44074</v>
      </c>
      <c r="Q169" s="243" t="str">
        <f ca="1">IF(CostTrack[[#This Row],[Vendor - Contract]]="","",INDEX(VendorList[PA ID],MATCH(CostTrack[[#This Row],[Vendor - Contract]],VendorList[Vendor / Org. with Contract ID],0)))</f>
        <v>200.040.F1</v>
      </c>
      <c r="R169" s="243" t="str">
        <f ca="1">IF(CostTrack[[#This Row],[Vendor - Contract]]="","",INDEX(VendorList[Primary Category],MATCH(CostTrack[[#This Row],[Vendor - Contract]],VendorList[Vendor / Org. with Contract ID],0)))</f>
        <v>Professional Services</v>
      </c>
      <c r="S169" s="243" t="str">
        <f ca="1">IF(CostTrack[[#This Row],[Vendor - Contract]]="","",INDEX(VendorList[Secondary Category],MATCH(CostTrack[[#This Row],[Vendor - Contract]],VendorList[Vendor / Org. with Contract ID],0)))</f>
        <v>Commissioning</v>
      </c>
      <c r="T169" s="243" t="str">
        <f ca="1">IF(CostTrack[[#This Row],[Vendor - Contract]]="","",INDEX(VendorList[Phase / Subproject],MATCH(CostTrack[[#This Row],[Vendor - Contract]],VendorList[Vendor / Org. with Contract ID],0)))</f>
        <v>--</v>
      </c>
      <c r="U169" s="243" t="str">
        <f ca="1">IF(CostTrack[[#This Row],[Vendor - Contract]]="","",INDEX(VendorList[Phase / Subproject 2],MATCH(CostTrack[[#This Row],[Vendor - Contract]],VendorList[Vendor / Org. with Contract ID],0)))</f>
        <v>--</v>
      </c>
      <c r="V169" s="243" t="str">
        <f ca="1">IF(CostTrack[[#This Row],[Vendor - Contract]]="","",INDEX(VendorList[Funding Source],MATCH(CostTrack[[#This Row],[Vendor - Contract]],VendorList[Vendor / Org. with Contract ID],0)))</f>
        <v>P-002360</v>
      </c>
      <c r="W169" s="260">
        <v>44074</v>
      </c>
      <c r="X169" s="251" t="str">
        <f ca="1">IF(CostTrack[[#This Row],[Release Date (CMS)]]="","*","")</f>
        <v/>
      </c>
      <c r="Y169" s="267" t="s">
        <v>45</v>
      </c>
      <c r="Z169" s="270"/>
      <c r="AA169" s="245">
        <f ca="1">IF(OR(CostTrack[[#This Row],[Release Date (CMS)]]&gt;=DATE(VALUE(REPLACE(CostTrack[[#This Row],[Fiscal Period]],3,3,"")),3,1),CostTrack[[#This Row],[Release Date (CMS)]]&lt;DATE(VALUE(LEFT(CostTrack[[#This Row],[Fiscal Period]],4)),4,1)),1,0)</f>
        <v>0</v>
      </c>
      <c r="AB169" s="654">
        <v>1700</v>
      </c>
      <c r="AC169" s="1308">
        <v>44215</v>
      </c>
      <c r="AD169" s="402" t="str">
        <f ca="1">IF(CostTrack[[#This Row],[Reconciled Amount]]="","",IF(CostTrack[[#This Row],[Value]]&lt;&gt;CostTrack[[#This Row],[Reconciled Amount]],"Yes","No"))</f>
        <v>No</v>
      </c>
    </row>
    <row r="170" spans="2:30">
      <c r="B170" s="400" t="s">
        <v>624</v>
      </c>
      <c r="C170" s="258">
        <v>1535049</v>
      </c>
      <c r="D170" s="260">
        <v>44099</v>
      </c>
      <c r="E170" s="282">
        <v>1100</v>
      </c>
      <c r="F170" s="263" t="s">
        <v>69</v>
      </c>
      <c r="G170" s="406">
        <f ca="1">ROUND(IF(CostTrack[[#This Row],[Holdback (Y/N/R)]]="Yes",CostTrack[[#This Row],[Value]]*-0.1,IF(CostTrack[[#This Row],[Holdback (Y/N/R)]]="Release",CostTrack[[#This Row],[Value]],0)),2)</f>
        <v>0</v>
      </c>
      <c r="H170" s="407">
        <f ca="1">IF(CostTrack[[#This Row],[Holdback (Y/N/R)]]="Release",CostTrack[[#This Row],[Value]],CostTrack[[#This Row],[Value]]+CostTrack[[#This Row],[Holdback Value]])</f>
        <v>1100</v>
      </c>
      <c r="I170" s="258"/>
      <c r="J170" s="258"/>
      <c r="K170" s="275" t="s">
        <v>913</v>
      </c>
      <c r="L170" s="260">
        <v>44102</v>
      </c>
      <c r="M170" s="260"/>
      <c r="N170" s="258"/>
      <c r="O170" s="260" t="s">
        <v>106</v>
      </c>
      <c r="P170" s="260">
        <v>44104</v>
      </c>
      <c r="Q170" s="243" t="str">
        <f ca="1">IF(CostTrack[[#This Row],[Vendor - Contract]]="","",INDEX(VendorList[PA ID],MATCH(CostTrack[[#This Row],[Vendor - Contract]],VendorList[Vendor / Org. with Contract ID],0)))</f>
        <v>200.040.F1</v>
      </c>
      <c r="R170" s="243" t="str">
        <f ca="1">IF(CostTrack[[#This Row],[Vendor - Contract]]="","",INDEX(VendorList[Primary Category],MATCH(CostTrack[[#This Row],[Vendor - Contract]],VendorList[Vendor / Org. with Contract ID],0)))</f>
        <v>Professional Services</v>
      </c>
      <c r="S170" s="243" t="str">
        <f ca="1">IF(CostTrack[[#This Row],[Vendor - Contract]]="","",INDEX(VendorList[Secondary Category],MATCH(CostTrack[[#This Row],[Vendor - Contract]],VendorList[Vendor / Org. with Contract ID],0)))</f>
        <v>Commissioning</v>
      </c>
      <c r="T170" s="243" t="str">
        <f ca="1">IF(CostTrack[[#This Row],[Vendor - Contract]]="","",INDEX(VendorList[Phase / Subproject],MATCH(CostTrack[[#This Row],[Vendor - Contract]],VendorList[Vendor / Org. with Contract ID],0)))</f>
        <v>--</v>
      </c>
      <c r="U170" s="243" t="str">
        <f ca="1">IF(CostTrack[[#This Row],[Vendor - Contract]]="","",INDEX(VendorList[Phase / Subproject 2],MATCH(CostTrack[[#This Row],[Vendor - Contract]],VendorList[Vendor / Org. with Contract ID],0)))</f>
        <v>--</v>
      </c>
      <c r="V170" s="243" t="str">
        <f ca="1">IF(CostTrack[[#This Row],[Vendor - Contract]]="","",INDEX(VendorList[Funding Source],MATCH(CostTrack[[#This Row],[Vendor - Contract]],VendorList[Vendor / Org. with Contract ID],0)))</f>
        <v>P-002360</v>
      </c>
      <c r="W170" s="260">
        <v>44105</v>
      </c>
      <c r="X170" s="251" t="str">
        <f ca="1">IF(CostTrack[[#This Row],[Release Date (CMS)]]="","*","")</f>
        <v/>
      </c>
      <c r="Y170" s="267" t="s">
        <v>45</v>
      </c>
      <c r="Z170" s="270"/>
      <c r="AA170" s="245">
        <f ca="1">IF(OR(CostTrack[[#This Row],[Release Date (CMS)]]&gt;=DATE(VALUE(REPLACE(CostTrack[[#This Row],[Fiscal Period]],3,3,"")),3,1),CostTrack[[#This Row],[Release Date (CMS)]]&lt;DATE(VALUE(LEFT(CostTrack[[#This Row],[Fiscal Period]],4)),4,1)),1,0)</f>
        <v>0</v>
      </c>
      <c r="AB170" s="654">
        <v>1100</v>
      </c>
      <c r="AC170" s="1308">
        <v>44215</v>
      </c>
      <c r="AD170" s="402" t="str">
        <f ca="1">IF(CostTrack[[#This Row],[Reconciled Amount]]="","",IF(CostTrack[[#This Row],[Value]]&lt;&gt;CostTrack[[#This Row],[Reconciled Amount]],"Yes","No"))</f>
        <v>No</v>
      </c>
    </row>
    <row r="171" spans="2:30">
      <c r="B171" s="1306" t="s">
        <v>624</v>
      </c>
      <c r="C171" s="1312">
        <v>1545453</v>
      </c>
      <c r="D171" s="1308">
        <v>44134</v>
      </c>
      <c r="E171" s="658">
        <v>4400</v>
      </c>
      <c r="F171" s="647" t="s">
        <v>69</v>
      </c>
      <c r="G171" s="1310">
        <f ca="1">ROUND(IF(CostTrack[[#This Row],[Holdback (Y/N/R)]]="Yes",CostTrack[[#This Row],[Value]]*-0.1,IF(CostTrack[[#This Row],[Holdback (Y/N/R)]]="Release",CostTrack[[#This Row],[Value]],0)),2)</f>
        <v>0</v>
      </c>
      <c r="H171" s="1311">
        <f ca="1">IF(CostTrack[[#This Row],[Holdback (Y/N/R)]]="Release",CostTrack[[#This Row],[Value]],CostTrack[[#This Row],[Value]]+CostTrack[[#This Row],[Holdback Value]])</f>
        <v>4400</v>
      </c>
      <c r="I171" s="1312"/>
      <c r="J171" s="1312"/>
      <c r="K171" s="648" t="s">
        <v>914</v>
      </c>
      <c r="L171" s="1308">
        <v>44137</v>
      </c>
      <c r="M171" s="1308"/>
      <c r="N171" s="1312"/>
      <c r="O171" s="267" t="s">
        <v>106</v>
      </c>
      <c r="P171" s="1308">
        <v>44139</v>
      </c>
      <c r="Q171" s="1314" t="str">
        <f ca="1">IF(CostTrack[[#This Row],[Vendor - Contract]]="","",INDEX(VendorList[PA ID],MATCH(CostTrack[[#This Row],[Vendor - Contract]],VendorList[Vendor / Org. with Contract ID],0)))</f>
        <v>200.040.F1</v>
      </c>
      <c r="R171" s="1314" t="str">
        <f ca="1">IF(CostTrack[[#This Row],[Vendor - Contract]]="","",INDEX(VendorList[Primary Category],MATCH(CostTrack[[#This Row],[Vendor - Contract]],VendorList[Vendor / Org. with Contract ID],0)))</f>
        <v>Professional Services</v>
      </c>
      <c r="S171" s="1314" t="str">
        <f ca="1">IF(CostTrack[[#This Row],[Vendor - Contract]]="","",INDEX(VendorList[Secondary Category],MATCH(CostTrack[[#This Row],[Vendor - Contract]],VendorList[Vendor / Org. with Contract ID],0)))</f>
        <v>Commissioning</v>
      </c>
      <c r="T171" s="1314" t="str">
        <f ca="1">IF(CostTrack[[#This Row],[Vendor - Contract]]="","",INDEX(VendorList[Phase / Subproject],MATCH(CostTrack[[#This Row],[Vendor - Contract]],VendorList[Vendor / Org. with Contract ID],0)))</f>
        <v>--</v>
      </c>
      <c r="U171" s="1314" t="str">
        <f ca="1">IF(CostTrack[[#This Row],[Vendor - Contract]]="","",INDEX(VendorList[Phase / Subproject 2],MATCH(CostTrack[[#This Row],[Vendor - Contract]],VendorList[Vendor / Org. with Contract ID],0)))</f>
        <v>--</v>
      </c>
      <c r="V171" s="1314" t="str">
        <f ca="1">IF(CostTrack[[#This Row],[Vendor - Contract]]="","",INDEX(VendorList[Funding Source],MATCH(CostTrack[[#This Row],[Vendor - Contract]],VendorList[Vendor / Org. with Contract ID],0)))</f>
        <v>P-002360</v>
      </c>
      <c r="W171" s="1308">
        <v>44139</v>
      </c>
      <c r="X171" s="1315" t="str">
        <f ca="1">IF(CostTrack[[#This Row],[Release Date (CMS)]]="","*","")</f>
        <v/>
      </c>
      <c r="Y171" s="1308" t="s">
        <v>45</v>
      </c>
      <c r="Z171" s="713"/>
      <c r="AA171" s="1316">
        <f ca="1">IF(OR(CostTrack[[#This Row],[Release Date (CMS)]]&gt;=DATE(VALUE(REPLACE(CostTrack[[#This Row],[Fiscal Period]],3,3,"")),3,1),CostTrack[[#This Row],[Release Date (CMS)]]&lt;DATE(VALUE(LEFT(CostTrack[[#This Row],[Fiscal Period]],4)),4,1)),1,0)</f>
        <v>0</v>
      </c>
      <c r="AB171" s="658">
        <v>4400</v>
      </c>
      <c r="AC171" s="1308">
        <v>44215</v>
      </c>
      <c r="AD171" s="402" t="str">
        <f ca="1">IF(CostTrack[[#This Row],[Reconciled Amount]]="","",IF(CostTrack[[#This Row],[Value]]&lt;&gt;CostTrack[[#This Row],[Reconciled Amount]],"Yes","No"))</f>
        <v>No</v>
      </c>
    </row>
    <row r="172" spans="2:30">
      <c r="B172" s="1306" t="s">
        <v>624</v>
      </c>
      <c r="C172" s="1312">
        <v>1554414</v>
      </c>
      <c r="D172" s="1308">
        <v>44162</v>
      </c>
      <c r="E172" s="658">
        <v>3300</v>
      </c>
      <c r="F172" s="1309" t="s">
        <v>69</v>
      </c>
      <c r="G172" s="1310">
        <f ca="1">ROUND(IF(CostTrack[[#This Row],[Holdback (Y/N/R)]]="Yes",CostTrack[[#This Row],[Value]]*-0.1,IF(CostTrack[[#This Row],[Holdback (Y/N/R)]]="Release",CostTrack[[#This Row],[Value]],0)),2)</f>
        <v>0</v>
      </c>
      <c r="H172" s="1311">
        <f ca="1">IF(CostTrack[[#This Row],[Holdback (Y/N/R)]]="Release",CostTrack[[#This Row],[Value]],CostTrack[[#This Row],[Value]]+CostTrack[[#This Row],[Holdback Value]])</f>
        <v>3300</v>
      </c>
      <c r="I172" s="1312"/>
      <c r="J172" s="1312"/>
      <c r="K172" s="648">
        <v>44166</v>
      </c>
      <c r="L172" s="1308">
        <v>44165</v>
      </c>
      <c r="M172" s="1308"/>
      <c r="N172" s="1312"/>
      <c r="O172" s="1308" t="s">
        <v>106</v>
      </c>
      <c r="P172" s="1308">
        <v>44166</v>
      </c>
      <c r="Q172" s="1314" t="str">
        <f ca="1">IF(CostTrack[[#This Row],[Vendor - Contract]]="","",INDEX(VendorList[PA ID],MATCH(CostTrack[[#This Row],[Vendor - Contract]],VendorList[Vendor / Org. with Contract ID],0)))</f>
        <v>200.040.F1</v>
      </c>
      <c r="R172" s="1314" t="str">
        <f ca="1">IF(CostTrack[[#This Row],[Vendor - Contract]]="","",INDEX(VendorList[Primary Category],MATCH(CostTrack[[#This Row],[Vendor - Contract]],VendorList[Vendor / Org. with Contract ID],0)))</f>
        <v>Professional Services</v>
      </c>
      <c r="S172" s="1314" t="str">
        <f ca="1">IF(CostTrack[[#This Row],[Vendor - Contract]]="","",INDEX(VendorList[Secondary Category],MATCH(CostTrack[[#This Row],[Vendor - Contract]],VendorList[Vendor / Org. with Contract ID],0)))</f>
        <v>Commissioning</v>
      </c>
      <c r="T172" s="1314" t="str">
        <f ca="1">IF(CostTrack[[#This Row],[Vendor - Contract]]="","",INDEX(VendorList[Phase / Subproject],MATCH(CostTrack[[#This Row],[Vendor - Contract]],VendorList[Vendor / Org. with Contract ID],0)))</f>
        <v>--</v>
      </c>
      <c r="U172" s="1314" t="str">
        <f ca="1">IF(CostTrack[[#This Row],[Vendor - Contract]]="","",INDEX(VendorList[Phase / Subproject 2],MATCH(CostTrack[[#This Row],[Vendor - Contract]],VendorList[Vendor / Org. with Contract ID],0)))</f>
        <v>--</v>
      </c>
      <c r="V172" s="1314" t="str">
        <f ca="1">IF(CostTrack[[#This Row],[Vendor - Contract]]="","",INDEX(VendorList[Funding Source],MATCH(CostTrack[[#This Row],[Vendor - Contract]],VendorList[Vendor / Org. with Contract ID],0)))</f>
        <v>P-002360</v>
      </c>
      <c r="W172" s="1308">
        <v>44167</v>
      </c>
      <c r="X172" s="1315" t="str">
        <f ca="1">IF(CostTrack[[#This Row],[Release Date (CMS)]]="","*","")</f>
        <v/>
      </c>
      <c r="Y172" s="1308" t="s">
        <v>45</v>
      </c>
      <c r="Z172" s="713"/>
      <c r="AA172" s="1316">
        <f ca="1">IF(OR(CostTrack[[#This Row],[Release Date (CMS)]]&gt;=DATE(VALUE(REPLACE(CostTrack[[#This Row],[Fiscal Period]],3,3,"")),3,1),CostTrack[[#This Row],[Release Date (CMS)]]&lt;DATE(VALUE(LEFT(CostTrack[[#This Row],[Fiscal Period]],4)),4,1)),1,0)</f>
        <v>0</v>
      </c>
      <c r="AB172" s="1317">
        <v>3300</v>
      </c>
      <c r="AC172" s="1308">
        <v>44229</v>
      </c>
      <c r="AD172" s="402" t="str">
        <f ca="1">IF(CostTrack[[#This Row],[Reconciled Amount]]="","",IF(CostTrack[[#This Row],[Value]]&lt;&gt;CostTrack[[#This Row],[Reconciled Amount]],"Yes","No"))</f>
        <v>No</v>
      </c>
    </row>
    <row r="173" spans="2:30">
      <c r="B173" s="400" t="s">
        <v>736</v>
      </c>
      <c r="C173" s="735">
        <v>43831</v>
      </c>
      <c r="D173" s="260">
        <v>43861</v>
      </c>
      <c r="E173" s="282">
        <v>37646.410000000003</v>
      </c>
      <c r="F173" s="265" t="s">
        <v>69</v>
      </c>
      <c r="G173" s="406">
        <f ca="1">ROUND(IF(CostTrack[[#This Row],[Holdback (Y/N/R)]]="Yes",CostTrack[[#This Row],[Value]]*-0.1,IF(CostTrack[[#This Row],[Holdback (Y/N/R)]]="Release",CostTrack[[#This Row],[Value]],0)),2)</f>
        <v>0</v>
      </c>
      <c r="H173" s="407">
        <f ca="1">IF(CostTrack[[#This Row],[Holdback (Y/N/R)]]="Release",CostTrack[[#This Row],[Value]],CostTrack[[#This Row],[Value]]+CostTrack[[#This Row],[Holdback Value]])</f>
        <v>37646.410000000003</v>
      </c>
      <c r="I173" s="258"/>
      <c r="J173" s="258"/>
      <c r="K173" s="275">
        <v>43831</v>
      </c>
      <c r="L173" s="260">
        <v>43861</v>
      </c>
      <c r="M173" s="260"/>
      <c r="N173" s="258"/>
      <c r="O173" s="260" t="s">
        <v>106</v>
      </c>
      <c r="P173" s="260">
        <v>43861</v>
      </c>
      <c r="Q173" s="243" t="str">
        <f ca="1">IF(CostTrack[[#This Row],[Vendor - Contract]]="","",INDEX(VendorList[PA ID],MATCH(CostTrack[[#This Row],[Vendor - Contract]],VendorList[Vendor / Org. with Contract ID],0)))</f>
        <v>100.010.F1</v>
      </c>
      <c r="R173" s="243" t="str">
        <f ca="1">IF(CostTrack[[#This Row],[Vendor - Contract]]="","",INDEX(VendorList[Primary Category],MATCH(CostTrack[[#This Row],[Vendor - Contract]],VendorList[Vendor / Org. with Contract ID],0)))</f>
        <v>Administration</v>
      </c>
      <c r="S173" s="243" t="str">
        <f ca="1">IF(CostTrack[[#This Row],[Vendor - Contract]]="","",INDEX(VendorList[Secondary Category],MATCH(CostTrack[[#This Row],[Vendor - Contract]],VendorList[Vendor / Org. with Contract ID],0)))</f>
        <v>Staff Capitalization - INFRA</v>
      </c>
      <c r="T173" s="243" t="str">
        <f ca="1">IF(CostTrack[[#This Row],[Vendor - Contract]]="","",INDEX(VendorList[Phase / Subproject],MATCH(CostTrack[[#This Row],[Vendor - Contract]],VendorList[Vendor / Org. with Contract ID],0)))</f>
        <v>--</v>
      </c>
      <c r="U173" s="243" t="str">
        <f ca="1">IF(CostTrack[[#This Row],[Vendor - Contract]]="","",INDEX(VendorList[Phase / Subproject 2],MATCH(CostTrack[[#This Row],[Vendor - Contract]],VendorList[Vendor / Org. with Contract ID],0)))</f>
        <v>--</v>
      </c>
      <c r="V173" s="243" t="str">
        <f ca="1">IF(CostTrack[[#This Row],[Vendor - Contract]]="","",INDEX(VendorList[Funding Source],MATCH(CostTrack[[#This Row],[Vendor - Contract]],VendorList[Vendor / Org. with Contract ID],0)))</f>
        <v>P-002360</v>
      </c>
      <c r="W173" s="260">
        <v>43861</v>
      </c>
      <c r="X173" s="251" t="str">
        <f ca="1">IF(CostTrack[[#This Row],[Release Date (CMS)]]="","*","")</f>
        <v/>
      </c>
      <c r="Y173" s="267" t="s">
        <v>40</v>
      </c>
      <c r="Z173" s="271"/>
      <c r="AA173" s="245">
        <f ca="1">IF(OR(CostTrack[[#This Row],[Release Date (CMS)]]&gt;=DATE(VALUE(REPLACE(CostTrack[[#This Row],[Fiscal Period]],3,3,"")),3,1),CostTrack[[#This Row],[Release Date (CMS)]]&lt;DATE(VALUE(LEFT(CostTrack[[#This Row],[Fiscal Period]],4)),4,1)),1,0)</f>
        <v>0</v>
      </c>
      <c r="AB173" s="294">
        <v>37646.410000000003</v>
      </c>
      <c r="AC173" s="260">
        <v>44224</v>
      </c>
      <c r="AD173" s="402" t="str">
        <f ca="1">IF(CostTrack[[#This Row],[Reconciled Amount]]="","",IF(CostTrack[[#This Row],[Value]]&lt;&gt;CostTrack[[#This Row],[Reconciled Amount]],"Yes","No"))</f>
        <v>No</v>
      </c>
    </row>
    <row r="174" spans="2:30">
      <c r="B174" s="400" t="s">
        <v>736</v>
      </c>
      <c r="C174" s="258" t="s">
        <v>915</v>
      </c>
      <c r="D174" s="260">
        <v>43889</v>
      </c>
      <c r="E174" s="282">
        <v>31976.48</v>
      </c>
      <c r="F174" s="265" t="s">
        <v>69</v>
      </c>
      <c r="G174" s="406">
        <f ca="1">ROUND(IF(CostTrack[[#This Row],[Holdback (Y/N/R)]]="Yes",CostTrack[[#This Row],[Value]]*-0.1,IF(CostTrack[[#This Row],[Holdback (Y/N/R)]]="Release",CostTrack[[#This Row],[Value]],0)),2)</f>
        <v>0</v>
      </c>
      <c r="H174" s="407">
        <f ca="1">IF(CostTrack[[#This Row],[Holdback (Y/N/R)]]="Release",CostTrack[[#This Row],[Value]],CostTrack[[#This Row],[Value]]+CostTrack[[#This Row],[Holdback Value]])</f>
        <v>31976.48</v>
      </c>
      <c r="I174" s="258"/>
      <c r="J174" s="258"/>
      <c r="K174" s="275">
        <v>43862</v>
      </c>
      <c r="L174" s="260">
        <v>43889</v>
      </c>
      <c r="M174" s="260"/>
      <c r="N174" s="258"/>
      <c r="O174" s="260" t="s">
        <v>106</v>
      </c>
      <c r="P174" s="260">
        <v>43889</v>
      </c>
      <c r="Q174" s="243" t="str">
        <f ca="1">IF(CostTrack[[#This Row],[Vendor - Contract]]="","",INDEX(VendorList[PA ID],MATCH(CostTrack[[#This Row],[Vendor - Contract]],VendorList[Vendor / Org. with Contract ID],0)))</f>
        <v>100.010.F1</v>
      </c>
      <c r="R174" s="243" t="str">
        <f ca="1">IF(CostTrack[[#This Row],[Vendor - Contract]]="","",INDEX(VendorList[Primary Category],MATCH(CostTrack[[#This Row],[Vendor - Contract]],VendorList[Vendor / Org. with Contract ID],0)))</f>
        <v>Administration</v>
      </c>
      <c r="S174" s="243" t="str">
        <f ca="1">IF(CostTrack[[#This Row],[Vendor - Contract]]="","",INDEX(VendorList[Secondary Category],MATCH(CostTrack[[#This Row],[Vendor - Contract]],VendorList[Vendor / Org. with Contract ID],0)))</f>
        <v>Staff Capitalization - INFRA</v>
      </c>
      <c r="T174" s="243" t="str">
        <f ca="1">IF(CostTrack[[#This Row],[Vendor - Contract]]="","",INDEX(VendorList[Phase / Subproject],MATCH(CostTrack[[#This Row],[Vendor - Contract]],VendorList[Vendor / Org. with Contract ID],0)))</f>
        <v>--</v>
      </c>
      <c r="U174" s="243" t="str">
        <f ca="1">IF(CostTrack[[#This Row],[Vendor - Contract]]="","",INDEX(VendorList[Phase / Subproject 2],MATCH(CostTrack[[#This Row],[Vendor - Contract]],VendorList[Vendor / Org. with Contract ID],0)))</f>
        <v>--</v>
      </c>
      <c r="V174" s="243" t="str">
        <f ca="1">IF(CostTrack[[#This Row],[Vendor - Contract]]="","",INDEX(VendorList[Funding Source],MATCH(CostTrack[[#This Row],[Vendor - Contract]],VendorList[Vendor / Org. with Contract ID],0)))</f>
        <v>P-002360</v>
      </c>
      <c r="W174" s="260">
        <v>43889</v>
      </c>
      <c r="X174" s="251" t="str">
        <f ca="1">IF(CostTrack[[#This Row],[Release Date (CMS)]]="","*","")</f>
        <v/>
      </c>
      <c r="Y174" s="267" t="s">
        <v>40</v>
      </c>
      <c r="Z174" s="271"/>
      <c r="AA174" s="245">
        <f ca="1">IF(OR(CostTrack[[#This Row],[Release Date (CMS)]]&gt;=DATE(VALUE(REPLACE(CostTrack[[#This Row],[Fiscal Period]],3,3,"")),3,1),CostTrack[[#This Row],[Release Date (CMS)]]&lt;DATE(VALUE(LEFT(CostTrack[[#This Row],[Fiscal Period]],4)),4,1)),1,0)</f>
        <v>0</v>
      </c>
      <c r="AB174" s="294">
        <v>31976.48</v>
      </c>
      <c r="AC174" s="260">
        <v>44224</v>
      </c>
      <c r="AD174" s="402" t="str">
        <f ca="1">IF(CostTrack[[#This Row],[Reconciled Amount]]="","",IF(CostTrack[[#This Row],[Value]]&lt;&gt;CostTrack[[#This Row],[Reconciled Amount]],"Yes","No"))</f>
        <v>No</v>
      </c>
    </row>
    <row r="175" spans="2:30" ht="27.95">
      <c r="B175" s="400" t="s">
        <v>916</v>
      </c>
      <c r="C175" s="258" t="s">
        <v>917</v>
      </c>
      <c r="D175" s="260"/>
      <c r="E175" s="282">
        <v>32.72</v>
      </c>
      <c r="F175" s="265"/>
      <c r="G175" s="406">
        <f ca="1">ROUND(IF(CostTrack[[#This Row],[Holdback (Y/N/R)]]="Yes",CostTrack[[#This Row],[Value]]*-0.1,IF(CostTrack[[#This Row],[Holdback (Y/N/R)]]="Release",CostTrack[[#This Row],[Value]],0)),2)</f>
        <v>0</v>
      </c>
      <c r="H175" s="407">
        <f ca="1">IF(CostTrack[[#This Row],[Holdback (Y/N/R)]]="Release",CostTrack[[#This Row],[Value]],CostTrack[[#This Row],[Value]]+CostTrack[[#This Row],[Holdback Value]])</f>
        <v>32.72</v>
      </c>
      <c r="I175" s="258"/>
      <c r="J175" s="258"/>
      <c r="K175" s="275">
        <v>44027</v>
      </c>
      <c r="L175" s="260">
        <v>44027</v>
      </c>
      <c r="M175" s="260"/>
      <c r="N175" s="258"/>
      <c r="O175" s="260" t="s">
        <v>106</v>
      </c>
      <c r="P175" s="260"/>
      <c r="Q175" s="243" t="str">
        <f ca="1">IF(CostTrack[[#This Row],[Vendor - Contract]]="","",INDEX(VendorList[PA ID],MATCH(CostTrack[[#This Row],[Vendor - Contract]],VendorList[Vendor / Org. with Contract ID],0)))</f>
        <v>100.050.F1</v>
      </c>
      <c r="R175" s="243" t="str">
        <f ca="1">IF(CostTrack[[#This Row],[Vendor - Contract]]="","",INDEX(VendorList[Primary Category],MATCH(CostTrack[[#This Row],[Vendor - Contract]],VendorList[Vendor / Org. with Contract ID],0)))</f>
        <v>Administration</v>
      </c>
      <c r="S175" s="243" t="str">
        <f ca="1">IF(CostTrack[[#This Row],[Vendor - Contract]]="","",INDEX(VendorList[Secondary Category],MATCH(CostTrack[[#This Row],[Vendor - Contract]],VendorList[Vendor / Org. with Contract ID],0)))</f>
        <v>Other Administration</v>
      </c>
      <c r="T175" s="243" t="str">
        <f ca="1">IF(CostTrack[[#This Row],[Vendor - Contract]]="","",INDEX(VendorList[Phase / Subproject],MATCH(CostTrack[[#This Row],[Vendor - Contract]],VendorList[Vendor / Org. with Contract ID],0)))</f>
        <v>--</v>
      </c>
      <c r="U175" s="243" t="str">
        <f ca="1">IF(CostTrack[[#This Row],[Vendor - Contract]]="","",INDEX(VendorList[Phase / Subproject 2],MATCH(CostTrack[[#This Row],[Vendor - Contract]],VendorList[Vendor / Org. with Contract ID],0)))</f>
        <v>--</v>
      </c>
      <c r="V175" s="243" t="str">
        <f ca="1">IF(CostTrack[[#This Row],[Vendor - Contract]]="","",INDEX(VendorList[Funding Source],MATCH(CostTrack[[#This Row],[Vendor - Contract]],VendorList[Vendor / Org. with Contract ID],0)))</f>
        <v>P-002360</v>
      </c>
      <c r="W175" s="260">
        <v>44105</v>
      </c>
      <c r="X175" s="251" t="str">
        <f ca="1">IF(CostTrack[[#This Row],[Release Date (CMS)]]="","*","")</f>
        <v/>
      </c>
      <c r="Y175" s="267" t="s">
        <v>45</v>
      </c>
      <c r="Z175" s="271" t="s">
        <v>918</v>
      </c>
      <c r="AA175" s="245">
        <f ca="1">IF(OR(CostTrack[[#This Row],[Release Date (CMS)]]&gt;=DATE(VALUE(REPLACE(CostTrack[[#This Row],[Fiscal Period]],3,3,"")),3,1),CostTrack[[#This Row],[Release Date (CMS)]]&lt;DATE(VALUE(LEFT(CostTrack[[#This Row],[Fiscal Period]],4)),4,1)),1,0)</f>
        <v>0</v>
      </c>
      <c r="AB175" s="294">
        <v>32.72</v>
      </c>
      <c r="AC175" s="1308">
        <v>44215</v>
      </c>
      <c r="AD175" s="402" t="str">
        <f ca="1">IF(CostTrack[[#This Row],[Reconciled Amount]]="","",IF(CostTrack[[#This Row],[Value]]&lt;&gt;CostTrack[[#This Row],[Reconciled Amount]],"Yes","No"))</f>
        <v>No</v>
      </c>
    </row>
    <row r="176" spans="2:30">
      <c r="B176" s="400" t="s">
        <v>736</v>
      </c>
      <c r="C176" s="735">
        <v>43922</v>
      </c>
      <c r="D176" s="260">
        <v>43951</v>
      </c>
      <c r="E176" s="282">
        <v>31368.48</v>
      </c>
      <c r="F176" s="265" t="s">
        <v>69</v>
      </c>
      <c r="G176" s="406">
        <f ca="1">ROUND(IF(CostTrack[[#This Row],[Holdback (Y/N/R)]]="Yes",CostTrack[[#This Row],[Value]]*-0.1,IF(CostTrack[[#This Row],[Holdback (Y/N/R)]]="Release",CostTrack[[#This Row],[Value]],0)),2)</f>
        <v>0</v>
      </c>
      <c r="H176" s="407">
        <f ca="1">IF(CostTrack[[#This Row],[Holdback (Y/N/R)]]="Release",CostTrack[[#This Row],[Value]],CostTrack[[#This Row],[Value]]+CostTrack[[#This Row],[Holdback Value]])</f>
        <v>31368.48</v>
      </c>
      <c r="I176" s="258"/>
      <c r="J176" s="258"/>
      <c r="K176" s="275">
        <v>43922</v>
      </c>
      <c r="L176" s="260">
        <v>43951</v>
      </c>
      <c r="M176" s="260"/>
      <c r="N176" s="258"/>
      <c r="O176" s="260" t="s">
        <v>106</v>
      </c>
      <c r="P176" s="260">
        <v>43951</v>
      </c>
      <c r="Q176" s="243" t="str">
        <f ca="1">IF(CostTrack[[#This Row],[Vendor - Contract]]="","",INDEX(VendorList[PA ID],MATCH(CostTrack[[#This Row],[Vendor - Contract]],VendorList[Vendor / Org. with Contract ID],0)))</f>
        <v>100.010.F1</v>
      </c>
      <c r="R176" s="243" t="str">
        <f ca="1">IF(CostTrack[[#This Row],[Vendor - Contract]]="","",INDEX(VendorList[Primary Category],MATCH(CostTrack[[#This Row],[Vendor - Contract]],VendorList[Vendor / Org. with Contract ID],0)))</f>
        <v>Administration</v>
      </c>
      <c r="S176" s="243" t="str">
        <f ca="1">IF(CostTrack[[#This Row],[Vendor - Contract]]="","",INDEX(VendorList[Secondary Category],MATCH(CostTrack[[#This Row],[Vendor - Contract]],VendorList[Vendor / Org. with Contract ID],0)))</f>
        <v>Staff Capitalization - INFRA</v>
      </c>
      <c r="T176" s="243" t="str">
        <f ca="1">IF(CostTrack[[#This Row],[Vendor - Contract]]="","",INDEX(VendorList[Phase / Subproject],MATCH(CostTrack[[#This Row],[Vendor - Contract]],VendorList[Vendor / Org. with Contract ID],0)))</f>
        <v>--</v>
      </c>
      <c r="U176" s="243" t="str">
        <f ca="1">IF(CostTrack[[#This Row],[Vendor - Contract]]="","",INDEX(VendorList[Phase / Subproject 2],MATCH(CostTrack[[#This Row],[Vendor - Contract]],VendorList[Vendor / Org. with Contract ID],0)))</f>
        <v>--</v>
      </c>
      <c r="V176" s="243" t="str">
        <f ca="1">IF(CostTrack[[#This Row],[Vendor - Contract]]="","",INDEX(VendorList[Funding Source],MATCH(CostTrack[[#This Row],[Vendor - Contract]],VendorList[Vendor / Org. with Contract ID],0)))</f>
        <v>P-002360</v>
      </c>
      <c r="W176" s="260">
        <v>43951</v>
      </c>
      <c r="X176" s="251" t="str">
        <f ca="1">IF(CostTrack[[#This Row],[Release Date (CMS)]]="","*","")</f>
        <v/>
      </c>
      <c r="Y176" s="267" t="s">
        <v>45</v>
      </c>
      <c r="Z176" s="271"/>
      <c r="AA176" s="245">
        <f ca="1">IF(OR(CostTrack[[#This Row],[Release Date (CMS)]]&gt;=DATE(VALUE(REPLACE(CostTrack[[#This Row],[Fiscal Period]],3,3,"")),3,1),CostTrack[[#This Row],[Release Date (CMS)]]&lt;DATE(VALUE(LEFT(CostTrack[[#This Row],[Fiscal Period]],4)),4,1)),1,0)</f>
        <v>0</v>
      </c>
      <c r="AB176" s="659">
        <v>31368.48</v>
      </c>
      <c r="AC176" s="1308">
        <v>44215</v>
      </c>
      <c r="AD176" s="402" t="str">
        <f ca="1">IF(CostTrack[[#This Row],[Reconciled Amount]]="","",IF(CostTrack[[#This Row],[Value]]&lt;&gt;CostTrack[[#This Row],[Reconciled Amount]],"Yes","No"))</f>
        <v>No</v>
      </c>
    </row>
    <row r="177" spans="2:30">
      <c r="B177" s="400" t="s">
        <v>736</v>
      </c>
      <c r="C177" s="735">
        <v>43952</v>
      </c>
      <c r="D177" s="260">
        <v>43982</v>
      </c>
      <c r="E177" s="282">
        <v>30031.55</v>
      </c>
      <c r="F177" s="265" t="s">
        <v>69</v>
      </c>
      <c r="G177" s="406">
        <f ca="1">ROUND(IF(CostTrack[[#This Row],[Holdback (Y/N/R)]]="Yes",CostTrack[[#This Row],[Value]]*-0.1,IF(CostTrack[[#This Row],[Holdback (Y/N/R)]]="Release",CostTrack[[#This Row],[Value]],0)),2)</f>
        <v>0</v>
      </c>
      <c r="H177" s="407">
        <f ca="1">IF(CostTrack[[#This Row],[Holdback (Y/N/R)]]="Release",CostTrack[[#This Row],[Value]],CostTrack[[#This Row],[Value]]+CostTrack[[#This Row],[Holdback Value]])</f>
        <v>30031.55</v>
      </c>
      <c r="I177" s="258"/>
      <c r="J177" s="258"/>
      <c r="K177" s="275">
        <v>43952</v>
      </c>
      <c r="L177" s="260">
        <v>43982</v>
      </c>
      <c r="M177" s="260"/>
      <c r="N177" s="258"/>
      <c r="O177" s="260" t="s">
        <v>106</v>
      </c>
      <c r="P177" s="260">
        <v>43982</v>
      </c>
      <c r="Q177" s="243" t="str">
        <f ca="1">IF(CostTrack[[#This Row],[Vendor - Contract]]="","",INDEX(VendorList[PA ID],MATCH(CostTrack[[#This Row],[Vendor - Contract]],VendorList[Vendor / Org. with Contract ID],0)))</f>
        <v>100.010.F1</v>
      </c>
      <c r="R177" s="243" t="str">
        <f ca="1">IF(CostTrack[[#This Row],[Vendor - Contract]]="","",INDEX(VendorList[Primary Category],MATCH(CostTrack[[#This Row],[Vendor - Contract]],VendorList[Vendor / Org. with Contract ID],0)))</f>
        <v>Administration</v>
      </c>
      <c r="S177" s="243" t="str">
        <f ca="1">IF(CostTrack[[#This Row],[Vendor - Contract]]="","",INDEX(VendorList[Secondary Category],MATCH(CostTrack[[#This Row],[Vendor - Contract]],VendorList[Vendor / Org. with Contract ID],0)))</f>
        <v>Staff Capitalization - INFRA</v>
      </c>
      <c r="T177" s="243" t="str">
        <f ca="1">IF(CostTrack[[#This Row],[Vendor - Contract]]="","",INDEX(VendorList[Phase / Subproject],MATCH(CostTrack[[#This Row],[Vendor - Contract]],VendorList[Vendor / Org. with Contract ID],0)))</f>
        <v>--</v>
      </c>
      <c r="U177" s="243" t="str">
        <f ca="1">IF(CostTrack[[#This Row],[Vendor - Contract]]="","",INDEX(VendorList[Phase / Subproject 2],MATCH(CostTrack[[#This Row],[Vendor - Contract]],VendorList[Vendor / Org. with Contract ID],0)))</f>
        <v>--</v>
      </c>
      <c r="V177" s="243" t="str">
        <f ca="1">IF(CostTrack[[#This Row],[Vendor - Contract]]="","",INDEX(VendorList[Funding Source],MATCH(CostTrack[[#This Row],[Vendor - Contract]],VendorList[Vendor / Org. with Contract ID],0)))</f>
        <v>P-002360</v>
      </c>
      <c r="W177" s="260">
        <v>43982</v>
      </c>
      <c r="X177" s="251" t="str">
        <f ca="1">IF(CostTrack[[#This Row],[Release Date (CMS)]]="","*","")</f>
        <v/>
      </c>
      <c r="Y177" s="267" t="s">
        <v>45</v>
      </c>
      <c r="Z177" s="271"/>
      <c r="AA177" s="245">
        <f ca="1">IF(OR(CostTrack[[#This Row],[Release Date (CMS)]]&gt;=DATE(VALUE(REPLACE(CostTrack[[#This Row],[Fiscal Period]],3,3,"")),3,1),CostTrack[[#This Row],[Release Date (CMS)]]&lt;DATE(VALUE(LEFT(CostTrack[[#This Row],[Fiscal Period]],4)),4,1)),1,0)</f>
        <v>0</v>
      </c>
      <c r="AB177" s="660">
        <v>30031.55</v>
      </c>
      <c r="AC177" s="1308">
        <v>44215</v>
      </c>
      <c r="AD177" s="402" t="str">
        <f ca="1">IF(CostTrack[[#This Row],[Reconciled Amount]]="","",IF(CostTrack[[#This Row],[Value]]&lt;&gt;CostTrack[[#This Row],[Reconciled Amount]],"Yes","No"))</f>
        <v>No</v>
      </c>
    </row>
    <row r="178" spans="2:30">
      <c r="B178" s="400" t="s">
        <v>736</v>
      </c>
      <c r="C178" s="735">
        <v>43983</v>
      </c>
      <c r="D178" s="260">
        <v>44012</v>
      </c>
      <c r="E178" s="282">
        <v>31822.99</v>
      </c>
      <c r="F178" s="265" t="s">
        <v>69</v>
      </c>
      <c r="G178" s="406">
        <f ca="1">ROUND(IF(CostTrack[[#This Row],[Holdback (Y/N/R)]]="Yes",CostTrack[[#This Row],[Value]]*-0.1,IF(CostTrack[[#This Row],[Holdback (Y/N/R)]]="Release",CostTrack[[#This Row],[Value]],0)),2)</f>
        <v>0</v>
      </c>
      <c r="H178" s="407">
        <f ca="1">IF(CostTrack[[#This Row],[Holdback (Y/N/R)]]="Release",CostTrack[[#This Row],[Value]],CostTrack[[#This Row],[Value]]+CostTrack[[#This Row],[Holdback Value]])</f>
        <v>31822.99</v>
      </c>
      <c r="I178" s="258"/>
      <c r="J178" s="258"/>
      <c r="K178" s="275">
        <v>43983</v>
      </c>
      <c r="L178" s="260"/>
      <c r="M178" s="260"/>
      <c r="N178" s="258"/>
      <c r="O178" s="260" t="s">
        <v>106</v>
      </c>
      <c r="P178" s="260"/>
      <c r="Q178" s="243" t="str">
        <f ca="1">IF(CostTrack[[#This Row],[Vendor - Contract]]="","",INDEX(VendorList[PA ID],MATCH(CostTrack[[#This Row],[Vendor - Contract]],VendorList[Vendor / Org. with Contract ID],0)))</f>
        <v>100.010.F1</v>
      </c>
      <c r="R178" s="243" t="str">
        <f ca="1">IF(CostTrack[[#This Row],[Vendor - Contract]]="","",INDEX(VendorList[Primary Category],MATCH(CostTrack[[#This Row],[Vendor - Contract]],VendorList[Vendor / Org. with Contract ID],0)))</f>
        <v>Administration</v>
      </c>
      <c r="S178" s="243" t="str">
        <f ca="1">IF(CostTrack[[#This Row],[Vendor - Contract]]="","",INDEX(VendorList[Secondary Category],MATCH(CostTrack[[#This Row],[Vendor - Contract]],VendorList[Vendor / Org. with Contract ID],0)))</f>
        <v>Staff Capitalization - INFRA</v>
      </c>
      <c r="T178" s="243" t="str">
        <f ca="1">IF(CostTrack[[#This Row],[Vendor - Contract]]="","",INDEX(VendorList[Phase / Subproject],MATCH(CostTrack[[#This Row],[Vendor - Contract]],VendorList[Vendor / Org. with Contract ID],0)))</f>
        <v>--</v>
      </c>
      <c r="U178" s="243" t="str">
        <f ca="1">IF(CostTrack[[#This Row],[Vendor - Contract]]="","",INDEX(VendorList[Phase / Subproject 2],MATCH(CostTrack[[#This Row],[Vendor - Contract]],VendorList[Vendor / Org. with Contract ID],0)))</f>
        <v>--</v>
      </c>
      <c r="V178" s="243" t="str">
        <f ca="1">IF(CostTrack[[#This Row],[Vendor - Contract]]="","",INDEX(VendorList[Funding Source],MATCH(CostTrack[[#This Row],[Vendor - Contract]],VendorList[Vendor / Org. with Contract ID],0)))</f>
        <v>P-002360</v>
      </c>
      <c r="W178" s="260">
        <v>44012</v>
      </c>
      <c r="X178" s="251" t="str">
        <f ca="1">IF(CostTrack[[#This Row],[Release Date (CMS)]]="","*","")</f>
        <v/>
      </c>
      <c r="Y178" s="267" t="s">
        <v>45</v>
      </c>
      <c r="Z178" s="271"/>
      <c r="AA178" s="245">
        <f ca="1">IF(OR(CostTrack[[#This Row],[Release Date (CMS)]]&gt;=DATE(VALUE(REPLACE(CostTrack[[#This Row],[Fiscal Period]],3,3,"")),3,1),CostTrack[[#This Row],[Release Date (CMS)]]&lt;DATE(VALUE(LEFT(CostTrack[[#This Row],[Fiscal Period]],4)),4,1)),1,0)</f>
        <v>0</v>
      </c>
      <c r="AB178" s="660">
        <v>31822.99</v>
      </c>
      <c r="AC178" s="1308">
        <v>44215</v>
      </c>
      <c r="AD178" s="402" t="str">
        <f ca="1">IF(CostTrack[[#This Row],[Reconciled Amount]]="","",IF(CostTrack[[#This Row],[Value]]&lt;&gt;CostTrack[[#This Row],[Reconciled Amount]],"Yes","No"))</f>
        <v>No</v>
      </c>
    </row>
    <row r="179" spans="2:30">
      <c r="B179" s="400" t="s">
        <v>736</v>
      </c>
      <c r="C179" s="735">
        <v>44043</v>
      </c>
      <c r="D179" s="260">
        <v>44042</v>
      </c>
      <c r="E179" s="282">
        <v>31297.200000000001</v>
      </c>
      <c r="F179" s="265" t="s">
        <v>69</v>
      </c>
      <c r="G179" s="406">
        <f ca="1">ROUND(IF(CostTrack[[#This Row],[Holdback (Y/N/R)]]="Yes",CostTrack[[#This Row],[Value]]*-0.1,IF(CostTrack[[#This Row],[Holdback (Y/N/R)]]="Release",CostTrack[[#This Row],[Value]],0)),2)</f>
        <v>0</v>
      </c>
      <c r="H179" s="407">
        <f ca="1">IF(CostTrack[[#This Row],[Holdback (Y/N/R)]]="Release",CostTrack[[#This Row],[Value]],CostTrack[[#This Row],[Value]]+CostTrack[[#This Row],[Holdback Value]])</f>
        <v>31297.200000000001</v>
      </c>
      <c r="I179" s="258"/>
      <c r="J179" s="258"/>
      <c r="K179" s="275">
        <v>44013</v>
      </c>
      <c r="L179" s="260">
        <v>44043</v>
      </c>
      <c r="M179" s="260"/>
      <c r="N179" s="258"/>
      <c r="O179" s="260" t="s">
        <v>106</v>
      </c>
      <c r="P179" s="260">
        <v>44043</v>
      </c>
      <c r="Q179" s="243" t="str">
        <f ca="1">IF(CostTrack[[#This Row],[Vendor - Contract]]="","",INDEX(VendorList[PA ID],MATCH(CostTrack[[#This Row],[Vendor - Contract]],VendorList[Vendor / Org. with Contract ID],0)))</f>
        <v>100.010.F1</v>
      </c>
      <c r="R179" s="243" t="str">
        <f ca="1">IF(CostTrack[[#This Row],[Vendor - Contract]]="","",INDEX(VendorList[Primary Category],MATCH(CostTrack[[#This Row],[Vendor - Contract]],VendorList[Vendor / Org. with Contract ID],0)))</f>
        <v>Administration</v>
      </c>
      <c r="S179" s="243" t="str">
        <f ca="1">IF(CostTrack[[#This Row],[Vendor - Contract]]="","",INDEX(VendorList[Secondary Category],MATCH(CostTrack[[#This Row],[Vendor - Contract]],VendorList[Vendor / Org. with Contract ID],0)))</f>
        <v>Staff Capitalization - INFRA</v>
      </c>
      <c r="T179" s="243" t="str">
        <f ca="1">IF(CostTrack[[#This Row],[Vendor - Contract]]="","",INDEX(VendorList[Phase / Subproject],MATCH(CostTrack[[#This Row],[Vendor - Contract]],VendorList[Vendor / Org. with Contract ID],0)))</f>
        <v>--</v>
      </c>
      <c r="U179" s="243" t="str">
        <f ca="1">IF(CostTrack[[#This Row],[Vendor - Contract]]="","",INDEX(VendorList[Phase / Subproject 2],MATCH(CostTrack[[#This Row],[Vendor - Contract]],VendorList[Vendor / Org. with Contract ID],0)))</f>
        <v>--</v>
      </c>
      <c r="V179" s="243" t="str">
        <f ca="1">IF(CostTrack[[#This Row],[Vendor - Contract]]="","",INDEX(VendorList[Funding Source],MATCH(CostTrack[[#This Row],[Vendor - Contract]],VendorList[Vendor / Org. with Contract ID],0)))</f>
        <v>P-002360</v>
      </c>
      <c r="W179" s="260">
        <v>44043</v>
      </c>
      <c r="X179" s="251" t="str">
        <f ca="1">IF(CostTrack[[#This Row],[Release Date (CMS)]]="","*","")</f>
        <v/>
      </c>
      <c r="Y179" s="267" t="s">
        <v>45</v>
      </c>
      <c r="Z179" s="271"/>
      <c r="AA179" s="245">
        <f ca="1">IF(OR(CostTrack[[#This Row],[Release Date (CMS)]]&gt;=DATE(VALUE(REPLACE(CostTrack[[#This Row],[Fiscal Period]],3,3,"")),3,1),CostTrack[[#This Row],[Release Date (CMS)]]&lt;DATE(VALUE(LEFT(CostTrack[[#This Row],[Fiscal Period]],4)),4,1)),1,0)</f>
        <v>0</v>
      </c>
      <c r="AB179" s="660">
        <v>31297.200000000001</v>
      </c>
      <c r="AC179" s="1308">
        <v>44215</v>
      </c>
      <c r="AD179" s="402" t="str">
        <f ca="1">IF(CostTrack[[#This Row],[Reconciled Amount]]="","",IF(CostTrack[[#This Row],[Value]]&lt;&gt;CostTrack[[#This Row],[Reconciled Amount]],"Yes","No"))</f>
        <v>No</v>
      </c>
    </row>
    <row r="180" spans="2:30">
      <c r="B180" s="400" t="s">
        <v>736</v>
      </c>
      <c r="C180" s="735">
        <v>44044</v>
      </c>
      <c r="D180" s="260">
        <v>44074</v>
      </c>
      <c r="E180" s="282">
        <v>28122.240000000002</v>
      </c>
      <c r="F180" s="265" t="s">
        <v>69</v>
      </c>
      <c r="G180" s="406">
        <f ca="1">ROUND(IF(CostTrack[[#This Row],[Holdback (Y/N/R)]]="Yes",CostTrack[[#This Row],[Value]]*-0.1,IF(CostTrack[[#This Row],[Holdback (Y/N/R)]]="Release",CostTrack[[#This Row],[Value]],0)),2)</f>
        <v>0</v>
      </c>
      <c r="H180" s="407">
        <f ca="1">IF(CostTrack[[#This Row],[Holdback (Y/N/R)]]="Release",CostTrack[[#This Row],[Value]],CostTrack[[#This Row],[Value]]+CostTrack[[#This Row],[Holdback Value]])</f>
        <v>28122.240000000002</v>
      </c>
      <c r="I180" s="258"/>
      <c r="J180" s="258"/>
      <c r="K180" s="275"/>
      <c r="L180" s="260">
        <v>44074</v>
      </c>
      <c r="M180" s="260"/>
      <c r="N180" s="258"/>
      <c r="O180" s="260" t="s">
        <v>106</v>
      </c>
      <c r="P180" s="260">
        <v>44074</v>
      </c>
      <c r="Q180" s="243" t="str">
        <f ca="1">IF(CostTrack[[#This Row],[Vendor - Contract]]="","",INDEX(VendorList[PA ID],MATCH(CostTrack[[#This Row],[Vendor - Contract]],VendorList[Vendor / Org. with Contract ID],0)))</f>
        <v>100.010.F1</v>
      </c>
      <c r="R180" s="243" t="str">
        <f ca="1">IF(CostTrack[[#This Row],[Vendor - Contract]]="","",INDEX(VendorList[Primary Category],MATCH(CostTrack[[#This Row],[Vendor - Contract]],VendorList[Vendor / Org. with Contract ID],0)))</f>
        <v>Administration</v>
      </c>
      <c r="S180" s="243" t="str">
        <f ca="1">IF(CostTrack[[#This Row],[Vendor - Contract]]="","",INDEX(VendorList[Secondary Category],MATCH(CostTrack[[#This Row],[Vendor - Contract]],VendorList[Vendor / Org. with Contract ID],0)))</f>
        <v>Staff Capitalization - INFRA</v>
      </c>
      <c r="T180" s="243" t="str">
        <f ca="1">IF(CostTrack[[#This Row],[Vendor - Contract]]="","",INDEX(VendorList[Phase / Subproject],MATCH(CostTrack[[#This Row],[Vendor - Contract]],VendorList[Vendor / Org. with Contract ID],0)))</f>
        <v>--</v>
      </c>
      <c r="U180" s="243" t="str">
        <f ca="1">IF(CostTrack[[#This Row],[Vendor - Contract]]="","",INDEX(VendorList[Phase / Subproject 2],MATCH(CostTrack[[#This Row],[Vendor - Contract]],VendorList[Vendor / Org. with Contract ID],0)))</f>
        <v>--</v>
      </c>
      <c r="V180" s="243" t="str">
        <f ca="1">IF(CostTrack[[#This Row],[Vendor - Contract]]="","",INDEX(VendorList[Funding Source],MATCH(CostTrack[[#This Row],[Vendor - Contract]],VendorList[Vendor / Org. with Contract ID],0)))</f>
        <v>P-002360</v>
      </c>
      <c r="W180" s="260">
        <v>44074</v>
      </c>
      <c r="X180" s="251" t="str">
        <f ca="1">IF(CostTrack[[#This Row],[Release Date (CMS)]]="","*","")</f>
        <v/>
      </c>
      <c r="Y180" s="267" t="s">
        <v>45</v>
      </c>
      <c r="Z180" s="271"/>
      <c r="AA180" s="245">
        <f ca="1">IF(OR(CostTrack[[#This Row],[Release Date (CMS)]]&gt;=DATE(VALUE(REPLACE(CostTrack[[#This Row],[Fiscal Period]],3,3,"")),3,1),CostTrack[[#This Row],[Release Date (CMS)]]&lt;DATE(VALUE(LEFT(CostTrack[[#This Row],[Fiscal Period]],4)),4,1)),1,0)</f>
        <v>0</v>
      </c>
      <c r="AB180" s="660">
        <v>28122.240000000002</v>
      </c>
      <c r="AC180" s="1308">
        <v>44215</v>
      </c>
      <c r="AD180" s="402" t="str">
        <f ca="1">IF(CostTrack[[#This Row],[Reconciled Amount]]="","",IF(CostTrack[[#This Row],[Value]]&lt;&gt;CostTrack[[#This Row],[Reconciled Amount]],"Yes","No"))</f>
        <v>No</v>
      </c>
    </row>
    <row r="181" spans="2:30">
      <c r="B181" s="400" t="s">
        <v>736</v>
      </c>
      <c r="C181" s="259" t="s">
        <v>919</v>
      </c>
      <c r="D181" s="260">
        <v>44104</v>
      </c>
      <c r="E181" s="282">
        <v>30501.61</v>
      </c>
      <c r="F181" s="263" t="s">
        <v>69</v>
      </c>
      <c r="G181" s="406">
        <f ca="1">ROUND(IF(CostTrack[[#This Row],[Holdback (Y/N/R)]]="Yes",CostTrack[[#This Row],[Value]]*-0.1,IF(CostTrack[[#This Row],[Holdback (Y/N/R)]]="Release",CostTrack[[#This Row],[Value]],0)),2)</f>
        <v>0</v>
      </c>
      <c r="H181" s="407">
        <f ca="1">IF(CostTrack[[#This Row],[Holdback (Y/N/R)]]="Release",CostTrack[[#This Row],[Value]],CostTrack[[#This Row],[Value]]+CostTrack[[#This Row],[Holdback Value]])</f>
        <v>30501.61</v>
      </c>
      <c r="I181" s="258"/>
      <c r="J181" s="258"/>
      <c r="K181" s="275"/>
      <c r="L181" s="260">
        <v>44104</v>
      </c>
      <c r="M181" s="260"/>
      <c r="N181" s="258"/>
      <c r="O181" s="260" t="s">
        <v>106</v>
      </c>
      <c r="P181" s="260">
        <v>44104</v>
      </c>
      <c r="Q181" s="243" t="str">
        <f ca="1">IF(CostTrack[[#This Row],[Vendor - Contract]]="","",INDEX(VendorList[PA ID],MATCH(CostTrack[[#This Row],[Vendor - Contract]],VendorList[Vendor / Org. with Contract ID],0)))</f>
        <v>100.010.F1</v>
      </c>
      <c r="R181" s="243" t="str">
        <f ca="1">IF(CostTrack[[#This Row],[Vendor - Contract]]="","",INDEX(VendorList[Primary Category],MATCH(CostTrack[[#This Row],[Vendor - Contract]],VendorList[Vendor / Org. with Contract ID],0)))</f>
        <v>Administration</v>
      </c>
      <c r="S181" s="243" t="str">
        <f ca="1">IF(CostTrack[[#This Row],[Vendor - Contract]]="","",INDEX(VendorList[Secondary Category],MATCH(CostTrack[[#This Row],[Vendor - Contract]],VendorList[Vendor / Org. with Contract ID],0)))</f>
        <v>Staff Capitalization - INFRA</v>
      </c>
      <c r="T181" s="243" t="str">
        <f ca="1">IF(CostTrack[[#This Row],[Vendor - Contract]]="","",INDEX(VendorList[Phase / Subproject],MATCH(CostTrack[[#This Row],[Vendor - Contract]],VendorList[Vendor / Org. with Contract ID],0)))</f>
        <v>--</v>
      </c>
      <c r="U181" s="243" t="str">
        <f ca="1">IF(CostTrack[[#This Row],[Vendor - Contract]]="","",INDEX(VendorList[Phase / Subproject 2],MATCH(CostTrack[[#This Row],[Vendor - Contract]],VendorList[Vendor / Org. with Contract ID],0)))</f>
        <v>--</v>
      </c>
      <c r="V181" s="243" t="str">
        <f ca="1">IF(CostTrack[[#This Row],[Vendor - Contract]]="","",INDEX(VendorList[Funding Source],MATCH(CostTrack[[#This Row],[Vendor - Contract]],VendorList[Vendor / Org. with Contract ID],0)))</f>
        <v>P-002360</v>
      </c>
      <c r="W181" s="260">
        <v>44104</v>
      </c>
      <c r="X181" s="251" t="str">
        <f ca="1">IF(CostTrack[[#This Row],[Release Date (CMS)]]="","*","")</f>
        <v/>
      </c>
      <c r="Y181" s="267" t="s">
        <v>45</v>
      </c>
      <c r="Z181" s="270"/>
      <c r="AA181" s="245">
        <f ca="1">IF(OR(CostTrack[[#This Row],[Release Date (CMS)]]&gt;=DATE(VALUE(REPLACE(CostTrack[[#This Row],[Fiscal Period]],3,3,"")),3,1),CostTrack[[#This Row],[Release Date (CMS)]]&lt;DATE(VALUE(LEFT(CostTrack[[#This Row],[Fiscal Period]],4)),4,1)),1,0)</f>
        <v>0</v>
      </c>
      <c r="AB181" s="660">
        <v>30501.61</v>
      </c>
      <c r="AC181" s="1308">
        <v>44215</v>
      </c>
      <c r="AD181" s="402" t="str">
        <f ca="1">IF(CostTrack[[#This Row],[Reconciled Amount]]="","",IF(CostTrack[[#This Row],[Value]]&lt;&gt;CostTrack[[#This Row],[Reconciled Amount]],"Yes","No"))</f>
        <v>No</v>
      </c>
    </row>
    <row r="182" spans="2:30">
      <c r="B182" s="1306" t="s">
        <v>736</v>
      </c>
      <c r="C182" s="1318">
        <v>44105</v>
      </c>
      <c r="D182" s="1308">
        <v>44135</v>
      </c>
      <c r="E182" s="658">
        <v>29407.63</v>
      </c>
      <c r="F182" s="1309" t="s">
        <v>69</v>
      </c>
      <c r="G182" s="1310">
        <f ca="1">ROUND(IF(CostTrack[[#This Row],[Holdback (Y/N/R)]]="Yes",CostTrack[[#This Row],[Value]]*-0.1,IF(CostTrack[[#This Row],[Holdback (Y/N/R)]]="Release",CostTrack[[#This Row],[Value]],0)),2)</f>
        <v>0</v>
      </c>
      <c r="H182" s="1311">
        <f ca="1">IF(CostTrack[[#This Row],[Holdback (Y/N/R)]]="Release",CostTrack[[#This Row],[Value]],CostTrack[[#This Row],[Value]]+CostTrack[[#This Row],[Holdback Value]])</f>
        <v>29407.63</v>
      </c>
      <c r="I182" s="1312"/>
      <c r="J182" s="1312"/>
      <c r="K182" s="1313"/>
      <c r="L182" s="1308">
        <v>44135</v>
      </c>
      <c r="M182" s="1308"/>
      <c r="N182" s="1312"/>
      <c r="O182" s="1308" t="s">
        <v>106</v>
      </c>
      <c r="P182" s="1308">
        <v>44135</v>
      </c>
      <c r="Q182" s="1314" t="str">
        <f ca="1">IF(CostTrack[[#This Row],[Vendor - Contract]]="","",INDEX(VendorList[PA ID],MATCH(CostTrack[[#This Row],[Vendor - Contract]],VendorList[Vendor / Org. with Contract ID],0)))</f>
        <v>100.010.F1</v>
      </c>
      <c r="R182" s="1314" t="str">
        <f ca="1">IF(CostTrack[[#This Row],[Vendor - Contract]]="","",INDEX(VendorList[Primary Category],MATCH(CostTrack[[#This Row],[Vendor - Contract]],VendorList[Vendor / Org. with Contract ID],0)))</f>
        <v>Administration</v>
      </c>
      <c r="S182" s="1314" t="str">
        <f ca="1">IF(CostTrack[[#This Row],[Vendor - Contract]]="","",INDEX(VendorList[Secondary Category],MATCH(CostTrack[[#This Row],[Vendor - Contract]],VendorList[Vendor / Org. with Contract ID],0)))</f>
        <v>Staff Capitalization - INFRA</v>
      </c>
      <c r="T182" s="1314" t="str">
        <f ca="1">IF(CostTrack[[#This Row],[Vendor - Contract]]="","",INDEX(VendorList[Phase / Subproject],MATCH(CostTrack[[#This Row],[Vendor - Contract]],VendorList[Vendor / Org. with Contract ID],0)))</f>
        <v>--</v>
      </c>
      <c r="U182" s="1314" t="str">
        <f ca="1">IF(CostTrack[[#This Row],[Vendor - Contract]]="","",INDEX(VendorList[Phase / Subproject 2],MATCH(CostTrack[[#This Row],[Vendor - Contract]],VendorList[Vendor / Org. with Contract ID],0)))</f>
        <v>--</v>
      </c>
      <c r="V182" s="1314" t="str">
        <f ca="1">IF(CostTrack[[#This Row],[Vendor - Contract]]="","",INDEX(VendorList[Funding Source],MATCH(CostTrack[[#This Row],[Vendor - Contract]],VendorList[Vendor / Org. with Contract ID],0)))</f>
        <v>P-002360</v>
      </c>
      <c r="W182" s="1308">
        <v>44135</v>
      </c>
      <c r="X182" s="1315" t="str">
        <f ca="1">IF(CostTrack[[#This Row],[Release Date (CMS)]]="","*","")</f>
        <v/>
      </c>
      <c r="Y182" s="1308" t="s">
        <v>45</v>
      </c>
      <c r="Z182" s="713"/>
      <c r="AA182" s="1316">
        <f ca="1">IF(OR(CostTrack[[#This Row],[Release Date (CMS)]]&gt;=DATE(VALUE(REPLACE(CostTrack[[#This Row],[Fiscal Period]],3,3,"")),3,1),CostTrack[[#This Row],[Release Date (CMS)]]&lt;DATE(VALUE(LEFT(CostTrack[[#This Row],[Fiscal Period]],4)),4,1)),1,0)</f>
        <v>0</v>
      </c>
      <c r="AB182" s="660">
        <v>29407.63</v>
      </c>
      <c r="AC182" s="1308">
        <v>44215</v>
      </c>
      <c r="AD182" s="402" t="str">
        <f ca="1">IF(CostTrack[[#This Row],[Reconciled Amount]]="","",IF(CostTrack[[#This Row],[Value]]&lt;&gt;CostTrack[[#This Row],[Reconciled Amount]],"Yes","No"))</f>
        <v>No</v>
      </c>
    </row>
    <row r="183" spans="2:30" ht="27.95">
      <c r="B183" s="1306" t="s">
        <v>736</v>
      </c>
      <c r="C183" s="1320">
        <v>44155</v>
      </c>
      <c r="D183" s="1308">
        <v>44165</v>
      </c>
      <c r="E183" s="658">
        <v>28498.43</v>
      </c>
      <c r="F183" s="1309" t="s">
        <v>69</v>
      </c>
      <c r="G183" s="1310">
        <f ca="1">ROUND(IF(CostTrack[[#This Row],[Holdback (Y/N/R)]]="Yes",CostTrack[[#This Row],[Value]]*-0.1,IF(CostTrack[[#This Row],[Holdback (Y/N/R)]]="Release",CostTrack[[#This Row],[Value]],0)),2)</f>
        <v>0</v>
      </c>
      <c r="H183" s="1311">
        <f ca="1">IF(CostTrack[[#This Row],[Holdback (Y/N/R)]]="Release",CostTrack[[#This Row],[Value]],CostTrack[[#This Row],[Value]]+CostTrack[[#This Row],[Holdback Value]])</f>
        <v>28498.43</v>
      </c>
      <c r="I183" s="1312"/>
      <c r="J183" s="1312"/>
      <c r="K183" s="1313"/>
      <c r="L183" s="1308">
        <v>44161</v>
      </c>
      <c r="M183" s="1308"/>
      <c r="N183" s="1312"/>
      <c r="O183" s="267" t="s">
        <v>106</v>
      </c>
      <c r="P183" s="1308">
        <v>44165</v>
      </c>
      <c r="Q183" s="1314" t="str">
        <f ca="1">IF(CostTrack[[#This Row],[Vendor - Contract]]="","",INDEX(VendorList[PA ID],MATCH(CostTrack[[#This Row],[Vendor - Contract]],VendorList[Vendor / Org. with Contract ID],0)))</f>
        <v>100.010.F1</v>
      </c>
      <c r="R183" s="1314" t="str">
        <f ca="1">IF(CostTrack[[#This Row],[Vendor - Contract]]="","",INDEX(VendorList[Primary Category],MATCH(CostTrack[[#This Row],[Vendor - Contract]],VendorList[Vendor / Org. with Contract ID],0)))</f>
        <v>Administration</v>
      </c>
      <c r="S183" s="1314" t="str">
        <f ca="1">IF(CostTrack[[#This Row],[Vendor - Contract]]="","",INDEX(VendorList[Secondary Category],MATCH(CostTrack[[#This Row],[Vendor - Contract]],VendorList[Vendor / Org. with Contract ID],0)))</f>
        <v>Staff Capitalization - INFRA</v>
      </c>
      <c r="T183" s="1314" t="str">
        <f ca="1">IF(CostTrack[[#This Row],[Vendor - Contract]]="","",INDEX(VendorList[Phase / Subproject],MATCH(CostTrack[[#This Row],[Vendor - Contract]],VendorList[Vendor / Org. with Contract ID],0)))</f>
        <v>--</v>
      </c>
      <c r="U183" s="1314" t="str">
        <f ca="1">IF(CostTrack[[#This Row],[Vendor - Contract]]="","",INDEX(VendorList[Phase / Subproject 2],MATCH(CostTrack[[#This Row],[Vendor - Contract]],VendorList[Vendor / Org. with Contract ID],0)))</f>
        <v>--</v>
      </c>
      <c r="V183" s="1314" t="str">
        <f ca="1">IF(CostTrack[[#This Row],[Vendor - Contract]]="","",INDEX(VendorList[Funding Source],MATCH(CostTrack[[#This Row],[Vendor - Contract]],VendorList[Vendor / Org. with Contract ID],0)))</f>
        <v>P-002360</v>
      </c>
      <c r="W183" s="1308">
        <v>44165</v>
      </c>
      <c r="X183" s="1315" t="str">
        <f ca="1">IF(CostTrack[[#This Row],[Release Date (CMS)]]="","*","")</f>
        <v/>
      </c>
      <c r="Y183" s="1308" t="s">
        <v>45</v>
      </c>
      <c r="Z183" s="652" t="s">
        <v>920</v>
      </c>
      <c r="AA183" s="1316">
        <f ca="1">IF(OR(CostTrack[[#This Row],[Release Date (CMS)]]&gt;=DATE(VALUE(REPLACE(CostTrack[[#This Row],[Fiscal Period]],3,3,"")),3,1),CostTrack[[#This Row],[Release Date (CMS)]]&lt;DATE(VALUE(LEFT(CostTrack[[#This Row],[Fiscal Period]],4)),4,1)),1,0)</f>
        <v>0</v>
      </c>
      <c r="AB183" s="1317">
        <v>28498.43</v>
      </c>
      <c r="AC183" s="1308">
        <v>44215</v>
      </c>
      <c r="AD183" s="402" t="str">
        <f ca="1">IF(CostTrack[[#This Row],[Reconciled Amount]]="","",IF(CostTrack[[#This Row],[Value]]&lt;&gt;CostTrack[[#This Row],[Reconciled Amount]],"Yes","No"))</f>
        <v>No</v>
      </c>
    </row>
    <row r="184" spans="2:30">
      <c r="B184" s="400" t="s">
        <v>585</v>
      </c>
      <c r="C184" s="258">
        <v>206</v>
      </c>
      <c r="D184" s="260">
        <v>43874</v>
      </c>
      <c r="E184" s="282">
        <v>450</v>
      </c>
      <c r="F184" s="265" t="s">
        <v>69</v>
      </c>
      <c r="G184" s="406">
        <f ca="1">ROUND(IF(CostTrack[[#This Row],[Holdback (Y/N/R)]]="Yes",CostTrack[[#This Row],[Value]]*-0.1,IF(CostTrack[[#This Row],[Holdback (Y/N/R)]]="Release",CostTrack[[#This Row],[Value]],0)),2)</f>
        <v>0</v>
      </c>
      <c r="H184" s="407">
        <f ca="1">IF(CostTrack[[#This Row],[Holdback (Y/N/R)]]="Release",CostTrack[[#This Row],[Value]],CostTrack[[#This Row],[Value]]+CostTrack[[#This Row],[Holdback Value]])</f>
        <v>450</v>
      </c>
      <c r="I184" s="258"/>
      <c r="J184" s="258"/>
      <c r="K184" s="275"/>
      <c r="L184" s="260">
        <v>43874</v>
      </c>
      <c r="M184" s="260"/>
      <c r="N184" s="258"/>
      <c r="O184" s="260" t="s">
        <v>106</v>
      </c>
      <c r="P184" s="260">
        <v>43874</v>
      </c>
      <c r="Q184" s="243" t="str">
        <f ca="1">IF(CostTrack[[#This Row],[Vendor - Contract]]="","",INDEX(VendorList[PA ID],MATCH(CostTrack[[#This Row],[Vendor - Contract]],VendorList[Vendor / Org. with Contract ID],0)))</f>
        <v>200.050.F1</v>
      </c>
      <c r="R184" s="243" t="str">
        <f ca="1">IF(CostTrack[[#This Row],[Vendor - Contract]]="","",INDEX(VendorList[Primary Category],MATCH(CostTrack[[#This Row],[Vendor - Contract]],VendorList[Vendor / Org. with Contract ID],0)))</f>
        <v>Professional Services</v>
      </c>
      <c r="S184" s="243" t="str">
        <f ca="1">IF(CostTrack[[#This Row],[Vendor - Contract]]="","",INDEX(VendorList[Secondary Category],MATCH(CostTrack[[#This Row],[Vendor - Contract]],VendorList[Vendor / Org. with Contract ID],0)))</f>
        <v>Other Professional Services</v>
      </c>
      <c r="T184" s="243" t="str">
        <f ca="1">IF(CostTrack[[#This Row],[Vendor - Contract]]="","",INDEX(VendorList[Phase / Subproject],MATCH(CostTrack[[#This Row],[Vendor - Contract]],VendorList[Vendor / Org. with Contract ID],0)))</f>
        <v>--</v>
      </c>
      <c r="U184" s="243" t="str">
        <f ca="1">IF(CostTrack[[#This Row],[Vendor - Contract]]="","",INDEX(VendorList[Phase / Subproject 2],MATCH(CostTrack[[#This Row],[Vendor - Contract]],VendorList[Vendor / Org. with Contract ID],0)))</f>
        <v>--</v>
      </c>
      <c r="V184" s="243" t="str">
        <f ca="1">IF(CostTrack[[#This Row],[Vendor - Contract]]="","",INDEX(VendorList[Funding Source],MATCH(CostTrack[[#This Row],[Vendor - Contract]],VendorList[Vendor / Org. with Contract ID],0)))</f>
        <v>P-002360</v>
      </c>
      <c r="W184" s="260">
        <v>43875</v>
      </c>
      <c r="X184" s="251" t="str">
        <f ca="1">IF(CostTrack[[#This Row],[Release Date (CMS)]]="","*","")</f>
        <v/>
      </c>
      <c r="Y184" s="267" t="s">
        <v>40</v>
      </c>
      <c r="Z184" s="271"/>
      <c r="AA184" s="245">
        <f ca="1">IF(OR(CostTrack[[#This Row],[Release Date (CMS)]]&gt;=DATE(VALUE(REPLACE(CostTrack[[#This Row],[Fiscal Period]],3,3,"")),3,1),CostTrack[[#This Row],[Release Date (CMS)]]&lt;DATE(VALUE(LEFT(CostTrack[[#This Row],[Fiscal Period]],4)),4,1)),1,0)</f>
        <v>0</v>
      </c>
      <c r="AB184" s="294">
        <v>450</v>
      </c>
      <c r="AC184" s="260">
        <v>44225</v>
      </c>
      <c r="AD184" s="402" t="str">
        <f ca="1">IF(CostTrack[[#This Row],[Reconciled Amount]]="","",IF(CostTrack[[#This Row],[Value]]&lt;&gt;CostTrack[[#This Row],[Reconciled Amount]],"Yes","No"))</f>
        <v>No</v>
      </c>
    </row>
    <row r="185" spans="2:30">
      <c r="B185" s="400" t="s">
        <v>585</v>
      </c>
      <c r="C185" s="258">
        <v>211</v>
      </c>
      <c r="D185" s="260">
        <v>43978</v>
      </c>
      <c r="E185" s="282">
        <v>842</v>
      </c>
      <c r="F185" s="265" t="s">
        <v>69</v>
      </c>
      <c r="G185" s="406">
        <f ca="1">ROUND(IF(CostTrack[[#This Row],[Holdback (Y/N/R)]]="Yes",CostTrack[[#This Row],[Value]]*-0.1,IF(CostTrack[[#This Row],[Holdback (Y/N/R)]]="Release",CostTrack[[#This Row],[Value]],0)),2)</f>
        <v>0</v>
      </c>
      <c r="H185" s="407">
        <f ca="1">IF(CostTrack[[#This Row],[Holdback (Y/N/R)]]="Release",CostTrack[[#This Row],[Value]],CostTrack[[#This Row],[Value]]+CostTrack[[#This Row],[Holdback Value]])</f>
        <v>842</v>
      </c>
      <c r="I185" s="258"/>
      <c r="J185" s="258"/>
      <c r="K185" s="275">
        <v>43952</v>
      </c>
      <c r="L185" s="260"/>
      <c r="M185" s="260"/>
      <c r="N185" s="258"/>
      <c r="O185" s="260" t="s">
        <v>106</v>
      </c>
      <c r="P185" s="260">
        <v>44000</v>
      </c>
      <c r="Q185" s="243" t="str">
        <f ca="1">IF(CostTrack[[#This Row],[Vendor - Contract]]="","",INDEX(VendorList[PA ID],MATCH(CostTrack[[#This Row],[Vendor - Contract]],VendorList[Vendor / Org. with Contract ID],0)))</f>
        <v>200.050.F1</v>
      </c>
      <c r="R185" s="243" t="str">
        <f ca="1">IF(CostTrack[[#This Row],[Vendor - Contract]]="","",INDEX(VendorList[Primary Category],MATCH(CostTrack[[#This Row],[Vendor - Contract]],VendorList[Vendor / Org. with Contract ID],0)))</f>
        <v>Professional Services</v>
      </c>
      <c r="S185" s="243" t="str">
        <f ca="1">IF(CostTrack[[#This Row],[Vendor - Contract]]="","",INDEX(VendorList[Secondary Category],MATCH(CostTrack[[#This Row],[Vendor - Contract]],VendorList[Vendor / Org. with Contract ID],0)))</f>
        <v>Other Professional Services</v>
      </c>
      <c r="T185" s="243" t="str">
        <f ca="1">IF(CostTrack[[#This Row],[Vendor - Contract]]="","",INDEX(VendorList[Phase / Subproject],MATCH(CostTrack[[#This Row],[Vendor - Contract]],VendorList[Vendor / Org. with Contract ID],0)))</f>
        <v>--</v>
      </c>
      <c r="U185" s="243" t="str">
        <f ca="1">IF(CostTrack[[#This Row],[Vendor - Contract]]="","",INDEX(VendorList[Phase / Subproject 2],MATCH(CostTrack[[#This Row],[Vendor - Contract]],VendorList[Vendor / Org. with Contract ID],0)))</f>
        <v>--</v>
      </c>
      <c r="V185" s="243" t="str">
        <f ca="1">IF(CostTrack[[#This Row],[Vendor - Contract]]="","",INDEX(VendorList[Funding Source],MATCH(CostTrack[[#This Row],[Vendor - Contract]],VendorList[Vendor / Org. with Contract ID],0)))</f>
        <v>P-002360</v>
      </c>
      <c r="W185" s="260">
        <v>44001</v>
      </c>
      <c r="X185" s="251" t="str">
        <f ca="1">IF(CostTrack[[#This Row],[Release Date (CMS)]]="","*","")</f>
        <v/>
      </c>
      <c r="Y185" s="267" t="s">
        <v>45</v>
      </c>
      <c r="Z185" s="271"/>
      <c r="AA185" s="245">
        <f ca="1">IF(OR(CostTrack[[#This Row],[Release Date (CMS)]]&gt;=DATE(VALUE(REPLACE(CostTrack[[#This Row],[Fiscal Period]],3,3,"")),3,1),CostTrack[[#This Row],[Release Date (CMS)]]&lt;DATE(VALUE(LEFT(CostTrack[[#This Row],[Fiscal Period]],4)),4,1)),1,0)</f>
        <v>0</v>
      </c>
      <c r="AB185" s="654">
        <v>842</v>
      </c>
      <c r="AC185" s="1308">
        <v>44215</v>
      </c>
      <c r="AD185" s="402" t="str">
        <f ca="1">IF(CostTrack[[#This Row],[Reconciled Amount]]="","",IF(CostTrack[[#This Row],[Value]]&lt;&gt;CostTrack[[#This Row],[Reconciled Amount]],"Yes","No"))</f>
        <v>No</v>
      </c>
    </row>
    <row r="186" spans="2:30">
      <c r="B186" s="1306" t="s">
        <v>585</v>
      </c>
      <c r="C186" s="1312">
        <v>300</v>
      </c>
      <c r="D186" s="1308">
        <v>44145</v>
      </c>
      <c r="E186" s="658">
        <v>777.5</v>
      </c>
      <c r="F186" s="1309" t="s">
        <v>69</v>
      </c>
      <c r="G186" s="1310">
        <f ca="1">ROUND(IF(CostTrack[[#This Row],[Holdback (Y/N/R)]]="Yes",CostTrack[[#This Row],[Value]]*-0.1,IF(CostTrack[[#This Row],[Holdback (Y/N/R)]]="Release",CostTrack[[#This Row],[Value]],0)),2)</f>
        <v>0</v>
      </c>
      <c r="H186" s="1311">
        <f ca="1">IF(CostTrack[[#This Row],[Holdback (Y/N/R)]]="Release",CostTrack[[#This Row],[Value]],CostTrack[[#This Row],[Value]]+CostTrack[[#This Row],[Holdback Value]])</f>
        <v>777.5</v>
      </c>
      <c r="I186" s="1312"/>
      <c r="J186" s="1312"/>
      <c r="K186" s="1313"/>
      <c r="L186" s="1308">
        <v>44145</v>
      </c>
      <c r="M186" s="1308"/>
      <c r="N186" s="1312"/>
      <c r="O186" s="1308" t="s">
        <v>106</v>
      </c>
      <c r="P186" s="1308">
        <v>44147</v>
      </c>
      <c r="Q186" s="1314" t="str">
        <f ca="1">IF(CostTrack[[#This Row],[Vendor - Contract]]="","",INDEX(VendorList[PA ID],MATCH(CostTrack[[#This Row],[Vendor - Contract]],VendorList[Vendor / Org. with Contract ID],0)))</f>
        <v>200.050.F1</v>
      </c>
      <c r="R186" s="1314" t="str">
        <f ca="1">IF(CostTrack[[#This Row],[Vendor - Contract]]="","",INDEX(VendorList[Primary Category],MATCH(CostTrack[[#This Row],[Vendor - Contract]],VendorList[Vendor / Org. with Contract ID],0)))</f>
        <v>Professional Services</v>
      </c>
      <c r="S186" s="1314" t="str">
        <f ca="1">IF(CostTrack[[#This Row],[Vendor - Contract]]="","",INDEX(VendorList[Secondary Category],MATCH(CostTrack[[#This Row],[Vendor - Contract]],VendorList[Vendor / Org. with Contract ID],0)))</f>
        <v>Other Professional Services</v>
      </c>
      <c r="T186" s="1314" t="str">
        <f ca="1">IF(CostTrack[[#This Row],[Vendor - Contract]]="","",INDEX(VendorList[Phase / Subproject],MATCH(CostTrack[[#This Row],[Vendor - Contract]],VendorList[Vendor / Org. with Contract ID],0)))</f>
        <v>--</v>
      </c>
      <c r="U186" s="1314" t="str">
        <f ca="1">IF(CostTrack[[#This Row],[Vendor - Contract]]="","",INDEX(VendorList[Phase / Subproject 2],MATCH(CostTrack[[#This Row],[Vendor - Contract]],VendorList[Vendor / Org. with Contract ID],0)))</f>
        <v>--</v>
      </c>
      <c r="V186" s="1314" t="str">
        <f ca="1">IF(CostTrack[[#This Row],[Vendor - Contract]]="","",INDEX(VendorList[Funding Source],MATCH(CostTrack[[#This Row],[Vendor - Contract]],VendorList[Vendor / Org. with Contract ID],0)))</f>
        <v>P-002360</v>
      </c>
      <c r="W186" s="1308">
        <v>44147</v>
      </c>
      <c r="X186" s="1315" t="str">
        <f ca="1">IF(CostTrack[[#This Row],[Release Date (CMS)]]="","*","")</f>
        <v/>
      </c>
      <c r="Y186" s="1308" t="s">
        <v>45</v>
      </c>
      <c r="Z186" s="713"/>
      <c r="AA186" s="1316">
        <f ca="1">IF(OR(CostTrack[[#This Row],[Release Date (CMS)]]&gt;=DATE(VALUE(REPLACE(CostTrack[[#This Row],[Fiscal Period]],3,3,"")),3,1),CostTrack[[#This Row],[Release Date (CMS)]]&lt;DATE(VALUE(LEFT(CostTrack[[#This Row],[Fiscal Period]],4)),4,1)),1,0)</f>
        <v>0</v>
      </c>
      <c r="AB186" s="658">
        <v>777.5</v>
      </c>
      <c r="AC186" s="1308">
        <v>44215</v>
      </c>
      <c r="AD186" s="402" t="str">
        <f ca="1">IF(CostTrack[[#This Row],[Reconciled Amount]]="","",IF(CostTrack[[#This Row],[Value]]&lt;&gt;CostTrack[[#This Row],[Reconciled Amount]],"Yes","No"))</f>
        <v>No</v>
      </c>
    </row>
    <row r="187" spans="2:30">
      <c r="B187" s="400" t="s">
        <v>527</v>
      </c>
      <c r="C187" s="258" t="s">
        <v>921</v>
      </c>
      <c r="D187" s="260">
        <v>43861</v>
      </c>
      <c r="E187" s="282">
        <v>21112.35</v>
      </c>
      <c r="F187" s="265" t="s">
        <v>69</v>
      </c>
      <c r="G187" s="406">
        <f ca="1">ROUND(IF(CostTrack[[#This Row],[Holdback (Y/N/R)]]="Yes",CostTrack[[#This Row],[Value]]*-0.1,IF(CostTrack[[#This Row],[Holdback (Y/N/R)]]="Release",CostTrack[[#This Row],[Value]],0)),2)</f>
        <v>0</v>
      </c>
      <c r="H187" s="407">
        <f ca="1">IF(CostTrack[[#This Row],[Holdback (Y/N/R)]]="Release",CostTrack[[#This Row],[Value]],CostTrack[[#This Row],[Value]]+CostTrack[[#This Row],[Holdback Value]])</f>
        <v>21112.35</v>
      </c>
      <c r="I187" s="258"/>
      <c r="J187" s="258"/>
      <c r="K187" s="275">
        <v>43831</v>
      </c>
      <c r="L187" s="260">
        <v>43872</v>
      </c>
      <c r="M187" s="260"/>
      <c r="N187" s="258"/>
      <c r="O187" s="260" t="s">
        <v>106</v>
      </c>
      <c r="P187" s="260">
        <v>43872</v>
      </c>
      <c r="Q187" s="243" t="str">
        <f ca="1">IF(CostTrack[[#This Row],[Vendor - Contract]]="","",INDEX(VendorList[PA ID],MATCH(CostTrack[[#This Row],[Vendor - Contract]],VendorList[Vendor / Org. with Contract ID],0)))</f>
        <v>200.010.F1</v>
      </c>
      <c r="R187" s="243" t="str">
        <f ca="1">IF(CostTrack[[#This Row],[Vendor - Contract]]="","",INDEX(VendorList[Primary Category],MATCH(CostTrack[[#This Row],[Vendor - Contract]],VendorList[Vendor / Org. with Contract ID],0)))</f>
        <v>Professional Services</v>
      </c>
      <c r="S187" s="243" t="str">
        <f ca="1">IF(CostTrack[[#This Row],[Vendor - Contract]]="","",INDEX(VendorList[Secondary Category],MATCH(CostTrack[[#This Row],[Vendor - Contract]],VendorList[Vendor / Org. with Contract ID],0)))</f>
        <v>Prime Consultant</v>
      </c>
      <c r="T187" s="243" t="str">
        <f ca="1">IF(CostTrack[[#This Row],[Vendor - Contract]]="","",INDEX(VendorList[Phase / Subproject],MATCH(CostTrack[[#This Row],[Vendor - Contract]],VendorList[Vendor / Org. with Contract ID],0)))</f>
        <v>--</v>
      </c>
      <c r="U187" s="243" t="str">
        <f ca="1">IF(CostTrack[[#This Row],[Vendor - Contract]]="","",INDEX(VendorList[Phase / Subproject 2],MATCH(CostTrack[[#This Row],[Vendor - Contract]],VendorList[Vendor / Org. with Contract ID],0)))</f>
        <v>--</v>
      </c>
      <c r="V187" s="243" t="str">
        <f ca="1">IF(CostTrack[[#This Row],[Vendor - Contract]]="","",INDEX(VendorList[Funding Source],MATCH(CostTrack[[#This Row],[Vendor - Contract]],VendorList[Vendor / Org. with Contract ID],0)))</f>
        <v>P-002360</v>
      </c>
      <c r="W187" s="260">
        <v>43873</v>
      </c>
      <c r="X187" s="251" t="str">
        <f ca="1">IF(CostTrack[[#This Row],[Release Date (CMS)]]="","*","")</f>
        <v/>
      </c>
      <c r="Y187" s="267" t="s">
        <v>40</v>
      </c>
      <c r="Z187" s="271"/>
      <c r="AA187" s="245">
        <f ca="1">IF(OR(CostTrack[[#This Row],[Release Date (CMS)]]&gt;=DATE(VALUE(REPLACE(CostTrack[[#This Row],[Fiscal Period]],3,3,"")),3,1),CostTrack[[#This Row],[Release Date (CMS)]]&lt;DATE(VALUE(LEFT(CostTrack[[#This Row],[Fiscal Period]],4)),4,1)),1,0)</f>
        <v>0</v>
      </c>
      <c r="AB187" s="294">
        <v>21112.35</v>
      </c>
      <c r="AC187" s="260">
        <v>44224</v>
      </c>
      <c r="AD187" s="402" t="str">
        <f ca="1">IF(CostTrack[[#This Row],[Reconciled Amount]]="","",IF(CostTrack[[#This Row],[Value]]&lt;&gt;CostTrack[[#This Row],[Reconciled Amount]],"Yes","No"))</f>
        <v>No</v>
      </c>
    </row>
    <row r="188" spans="2:30">
      <c r="B188" s="400" t="s">
        <v>527</v>
      </c>
      <c r="C188" s="258" t="s">
        <v>922</v>
      </c>
      <c r="D188" s="260">
        <v>43890</v>
      </c>
      <c r="E188" s="282">
        <v>15851.49</v>
      </c>
      <c r="F188" s="265" t="s">
        <v>69</v>
      </c>
      <c r="G188" s="406">
        <f ca="1">ROUND(IF(CostTrack[[#This Row],[Holdback (Y/N/R)]]="Yes",CostTrack[[#This Row],[Value]]*-0.1,IF(CostTrack[[#This Row],[Holdback (Y/N/R)]]="Release",CostTrack[[#This Row],[Value]],0)),2)</f>
        <v>0</v>
      </c>
      <c r="H188" s="407">
        <f ca="1">IF(CostTrack[[#This Row],[Holdback (Y/N/R)]]="Release",CostTrack[[#This Row],[Value]],CostTrack[[#This Row],[Value]]+CostTrack[[#This Row],[Holdback Value]])</f>
        <v>15851.49</v>
      </c>
      <c r="I188" s="258"/>
      <c r="J188" s="258"/>
      <c r="K188" s="275">
        <v>43862</v>
      </c>
      <c r="L188" s="260">
        <v>43899</v>
      </c>
      <c r="M188" s="260"/>
      <c r="N188" s="258"/>
      <c r="O188" s="260" t="s">
        <v>106</v>
      </c>
      <c r="P188" s="260">
        <v>43899</v>
      </c>
      <c r="Q188" s="243" t="str">
        <f ca="1">IF(CostTrack[[#This Row],[Vendor - Contract]]="","",INDEX(VendorList[PA ID],MATCH(CostTrack[[#This Row],[Vendor - Contract]],VendorList[Vendor / Org. with Contract ID],0)))</f>
        <v>200.010.F1</v>
      </c>
      <c r="R188" s="243" t="str">
        <f ca="1">IF(CostTrack[[#This Row],[Vendor - Contract]]="","",INDEX(VendorList[Primary Category],MATCH(CostTrack[[#This Row],[Vendor - Contract]],VendorList[Vendor / Org. with Contract ID],0)))</f>
        <v>Professional Services</v>
      </c>
      <c r="S188" s="243" t="str">
        <f ca="1">IF(CostTrack[[#This Row],[Vendor - Contract]]="","",INDEX(VendorList[Secondary Category],MATCH(CostTrack[[#This Row],[Vendor - Contract]],VendorList[Vendor / Org. with Contract ID],0)))</f>
        <v>Prime Consultant</v>
      </c>
      <c r="T188" s="243" t="str">
        <f ca="1">IF(CostTrack[[#This Row],[Vendor - Contract]]="","",INDEX(VendorList[Phase / Subproject],MATCH(CostTrack[[#This Row],[Vendor - Contract]],VendorList[Vendor / Org. with Contract ID],0)))</f>
        <v>--</v>
      </c>
      <c r="U188" s="243" t="str">
        <f ca="1">IF(CostTrack[[#This Row],[Vendor - Contract]]="","",INDEX(VendorList[Phase / Subproject 2],MATCH(CostTrack[[#This Row],[Vendor - Contract]],VendorList[Vendor / Org. with Contract ID],0)))</f>
        <v>--</v>
      </c>
      <c r="V188" s="243" t="str">
        <f ca="1">IF(CostTrack[[#This Row],[Vendor - Contract]]="","",INDEX(VendorList[Funding Source],MATCH(CostTrack[[#This Row],[Vendor - Contract]],VendorList[Vendor / Org. with Contract ID],0)))</f>
        <v>P-002360</v>
      </c>
      <c r="W188" s="260">
        <v>43899</v>
      </c>
      <c r="X188" s="251" t="str">
        <f ca="1">IF(CostTrack[[#This Row],[Release Date (CMS)]]="","*","")</f>
        <v/>
      </c>
      <c r="Y188" s="267" t="s">
        <v>40</v>
      </c>
      <c r="Z188" s="271"/>
      <c r="AA188" s="245">
        <f ca="1">IF(OR(CostTrack[[#This Row],[Release Date (CMS)]]&gt;=DATE(VALUE(REPLACE(CostTrack[[#This Row],[Fiscal Period]],3,3,"")),3,1),CostTrack[[#This Row],[Release Date (CMS)]]&lt;DATE(VALUE(LEFT(CostTrack[[#This Row],[Fiscal Period]],4)),4,1)),1,0)</f>
        <v>1</v>
      </c>
      <c r="AB188" s="294">
        <v>15851.49</v>
      </c>
      <c r="AC188" s="260">
        <v>44224</v>
      </c>
      <c r="AD188" s="402" t="str">
        <f ca="1">IF(CostTrack[[#This Row],[Reconciled Amount]]="","",IF(CostTrack[[#This Row],[Value]]&lt;&gt;CostTrack[[#This Row],[Reconciled Amount]],"Yes","No"))</f>
        <v>No</v>
      </c>
    </row>
    <row r="189" spans="2:30">
      <c r="B189" s="400" t="s">
        <v>527</v>
      </c>
      <c r="C189" s="258" t="s">
        <v>923</v>
      </c>
      <c r="D189" s="260">
        <v>43951</v>
      </c>
      <c r="E189" s="282">
        <v>50594.22</v>
      </c>
      <c r="F189" s="265" t="s">
        <v>69</v>
      </c>
      <c r="G189" s="406">
        <f ca="1">ROUND(IF(CostTrack[[#This Row],[Holdback (Y/N/R)]]="Yes",CostTrack[[#This Row],[Value]]*-0.1,IF(CostTrack[[#This Row],[Holdback (Y/N/R)]]="Release",CostTrack[[#This Row],[Value]],0)),2)</f>
        <v>0</v>
      </c>
      <c r="H189" s="407">
        <f ca="1">IF(CostTrack[[#This Row],[Holdback (Y/N/R)]]="Release",CostTrack[[#This Row],[Value]],CostTrack[[#This Row],[Value]]+CostTrack[[#This Row],[Holdback Value]])</f>
        <v>50594.22</v>
      </c>
      <c r="I189" s="258"/>
      <c r="J189" s="258"/>
      <c r="K189" s="275">
        <v>43922</v>
      </c>
      <c r="L189" s="260">
        <v>43958</v>
      </c>
      <c r="M189" s="260"/>
      <c r="N189" s="258"/>
      <c r="O189" s="260" t="s">
        <v>106</v>
      </c>
      <c r="P189" s="260">
        <v>43958</v>
      </c>
      <c r="Q189" s="243" t="str">
        <f ca="1">IF(CostTrack[[#This Row],[Vendor - Contract]]="","",INDEX(VendorList[PA ID],MATCH(CostTrack[[#This Row],[Vendor - Contract]],VendorList[Vendor / Org. with Contract ID],0)))</f>
        <v>200.010.F1</v>
      </c>
      <c r="R189" s="243" t="str">
        <f ca="1">IF(CostTrack[[#This Row],[Vendor - Contract]]="","",INDEX(VendorList[Primary Category],MATCH(CostTrack[[#This Row],[Vendor - Contract]],VendorList[Vendor / Org. with Contract ID],0)))</f>
        <v>Professional Services</v>
      </c>
      <c r="S189" s="243" t="str">
        <f ca="1">IF(CostTrack[[#This Row],[Vendor - Contract]]="","",INDEX(VendorList[Secondary Category],MATCH(CostTrack[[#This Row],[Vendor - Contract]],VendorList[Vendor / Org. with Contract ID],0)))</f>
        <v>Prime Consultant</v>
      </c>
      <c r="T189" s="243" t="str">
        <f ca="1">IF(CostTrack[[#This Row],[Vendor - Contract]]="","",INDEX(VendorList[Phase / Subproject],MATCH(CostTrack[[#This Row],[Vendor - Contract]],VendorList[Vendor / Org. with Contract ID],0)))</f>
        <v>--</v>
      </c>
      <c r="U189" s="243" t="str">
        <f ca="1">IF(CostTrack[[#This Row],[Vendor - Contract]]="","",INDEX(VendorList[Phase / Subproject 2],MATCH(CostTrack[[#This Row],[Vendor - Contract]],VendorList[Vendor / Org. with Contract ID],0)))</f>
        <v>--</v>
      </c>
      <c r="V189" s="243" t="str">
        <f ca="1">IF(CostTrack[[#This Row],[Vendor - Contract]]="","",INDEX(VendorList[Funding Source],MATCH(CostTrack[[#This Row],[Vendor - Contract]],VendorList[Vendor / Org. with Contract ID],0)))</f>
        <v>P-002360</v>
      </c>
      <c r="W189" s="260">
        <v>43959</v>
      </c>
      <c r="X189" s="251" t="str">
        <f ca="1">IF(CostTrack[[#This Row],[Release Date (CMS)]]="","*","")</f>
        <v/>
      </c>
      <c r="Y189" s="267" t="s">
        <v>45</v>
      </c>
      <c r="Z189" s="271"/>
      <c r="AA189" s="245">
        <f ca="1">IF(OR(CostTrack[[#This Row],[Release Date (CMS)]]&gt;=DATE(VALUE(REPLACE(CostTrack[[#This Row],[Fiscal Period]],3,3,"")),3,1),CostTrack[[#This Row],[Release Date (CMS)]]&lt;DATE(VALUE(LEFT(CostTrack[[#This Row],[Fiscal Period]],4)),4,1)),1,0)</f>
        <v>0</v>
      </c>
      <c r="AB189" s="294">
        <v>50594.22</v>
      </c>
      <c r="AC189" s="1308">
        <v>44215</v>
      </c>
      <c r="AD189" s="402" t="str">
        <f ca="1">IF(CostTrack[[#This Row],[Reconciled Amount]]="","",IF(CostTrack[[#This Row],[Value]]&lt;&gt;CostTrack[[#This Row],[Reconciled Amount]],"Yes","No"))</f>
        <v>No</v>
      </c>
    </row>
    <row r="190" spans="2:30">
      <c r="B190" s="400" t="s">
        <v>527</v>
      </c>
      <c r="C190" s="258" t="s">
        <v>924</v>
      </c>
      <c r="D190" s="260">
        <v>43982</v>
      </c>
      <c r="E190" s="282">
        <v>105229.71</v>
      </c>
      <c r="F190" s="265" t="s">
        <v>69</v>
      </c>
      <c r="G190" s="406">
        <f ca="1">ROUND(IF(CostTrack[[#This Row],[Holdback (Y/N/R)]]="Yes",CostTrack[[#This Row],[Value]]*-0.1,IF(CostTrack[[#This Row],[Holdback (Y/N/R)]]="Release",CostTrack[[#This Row],[Value]],0)),2)</f>
        <v>0</v>
      </c>
      <c r="H190" s="407">
        <f ca="1">IF(CostTrack[[#This Row],[Holdback (Y/N/R)]]="Release",CostTrack[[#This Row],[Value]],CostTrack[[#This Row],[Value]]+CostTrack[[#This Row],[Holdback Value]])</f>
        <v>105229.71</v>
      </c>
      <c r="I190" s="258"/>
      <c r="J190" s="258"/>
      <c r="K190" s="275">
        <v>43952</v>
      </c>
      <c r="L190" s="260"/>
      <c r="M190" s="260"/>
      <c r="N190" s="258"/>
      <c r="O190" s="260" t="s">
        <v>106</v>
      </c>
      <c r="P190" s="260">
        <v>44000</v>
      </c>
      <c r="Q190" s="243" t="str">
        <f ca="1">IF(CostTrack[[#This Row],[Vendor - Contract]]="","",INDEX(VendorList[PA ID],MATCH(CostTrack[[#This Row],[Vendor - Contract]],VendorList[Vendor / Org. with Contract ID],0)))</f>
        <v>200.010.F1</v>
      </c>
      <c r="R190" s="243" t="str">
        <f ca="1">IF(CostTrack[[#This Row],[Vendor - Contract]]="","",INDEX(VendorList[Primary Category],MATCH(CostTrack[[#This Row],[Vendor - Contract]],VendorList[Vendor / Org. with Contract ID],0)))</f>
        <v>Professional Services</v>
      </c>
      <c r="S190" s="243" t="str">
        <f ca="1">IF(CostTrack[[#This Row],[Vendor - Contract]]="","",INDEX(VendorList[Secondary Category],MATCH(CostTrack[[#This Row],[Vendor - Contract]],VendorList[Vendor / Org. with Contract ID],0)))</f>
        <v>Prime Consultant</v>
      </c>
      <c r="T190" s="243" t="str">
        <f ca="1">IF(CostTrack[[#This Row],[Vendor - Contract]]="","",INDEX(VendorList[Phase / Subproject],MATCH(CostTrack[[#This Row],[Vendor - Contract]],VendorList[Vendor / Org. with Contract ID],0)))</f>
        <v>--</v>
      </c>
      <c r="U190" s="243" t="str">
        <f ca="1">IF(CostTrack[[#This Row],[Vendor - Contract]]="","",INDEX(VendorList[Phase / Subproject 2],MATCH(CostTrack[[#This Row],[Vendor - Contract]],VendorList[Vendor / Org. with Contract ID],0)))</f>
        <v>--</v>
      </c>
      <c r="V190" s="243" t="str">
        <f ca="1">IF(CostTrack[[#This Row],[Vendor - Contract]]="","",INDEX(VendorList[Funding Source],MATCH(CostTrack[[#This Row],[Vendor - Contract]],VendorList[Vendor / Org. with Contract ID],0)))</f>
        <v>P-002360</v>
      </c>
      <c r="W190" s="260">
        <v>44001</v>
      </c>
      <c r="X190" s="251" t="str">
        <f ca="1">IF(CostTrack[[#This Row],[Release Date (CMS)]]="","*","")</f>
        <v/>
      </c>
      <c r="Y190" s="267" t="s">
        <v>45</v>
      </c>
      <c r="Z190" s="271"/>
      <c r="AA190" s="245">
        <f ca="1">IF(OR(CostTrack[[#This Row],[Release Date (CMS)]]&gt;=DATE(VALUE(REPLACE(CostTrack[[#This Row],[Fiscal Period]],3,3,"")),3,1),CostTrack[[#This Row],[Release Date (CMS)]]&lt;DATE(VALUE(LEFT(CostTrack[[#This Row],[Fiscal Period]],4)),4,1)),1,0)</f>
        <v>0</v>
      </c>
      <c r="AB190" s="660">
        <v>105229.71</v>
      </c>
      <c r="AC190" s="1308">
        <v>44215</v>
      </c>
      <c r="AD190" s="402" t="str">
        <f ca="1">IF(CostTrack[[#This Row],[Reconciled Amount]]="","",IF(CostTrack[[#This Row],[Value]]&lt;&gt;CostTrack[[#This Row],[Reconciled Amount]],"Yes","No"))</f>
        <v>No</v>
      </c>
    </row>
    <row r="191" spans="2:30">
      <c r="B191" s="400" t="s">
        <v>527</v>
      </c>
      <c r="C191" s="258" t="s">
        <v>925</v>
      </c>
      <c r="D191" s="260">
        <v>44012</v>
      </c>
      <c r="E191" s="282">
        <v>127881.27</v>
      </c>
      <c r="F191" s="265" t="s">
        <v>69</v>
      </c>
      <c r="G191" s="406">
        <f ca="1">ROUND(IF(CostTrack[[#This Row],[Holdback (Y/N/R)]]="Yes",CostTrack[[#This Row],[Value]]*-0.1,IF(CostTrack[[#This Row],[Holdback (Y/N/R)]]="Release",CostTrack[[#This Row],[Value]],0)),2)</f>
        <v>0</v>
      </c>
      <c r="H191" s="407">
        <f ca="1">IF(CostTrack[[#This Row],[Holdback (Y/N/R)]]="Release",CostTrack[[#This Row],[Value]],CostTrack[[#This Row],[Value]]+CostTrack[[#This Row],[Holdback Value]])</f>
        <v>127881.27</v>
      </c>
      <c r="I191" s="258"/>
      <c r="J191" s="258"/>
      <c r="K191" s="275">
        <v>43983</v>
      </c>
      <c r="L191" s="260"/>
      <c r="M191" s="260"/>
      <c r="N191" s="258"/>
      <c r="O191" s="260" t="s">
        <v>106</v>
      </c>
      <c r="P191" s="260"/>
      <c r="Q191" s="243" t="str">
        <f ca="1">IF(CostTrack[[#This Row],[Vendor - Contract]]="","",INDEX(VendorList[PA ID],MATCH(CostTrack[[#This Row],[Vendor - Contract]],VendorList[Vendor / Org. with Contract ID],0)))</f>
        <v>200.010.F1</v>
      </c>
      <c r="R191" s="243" t="str">
        <f ca="1">IF(CostTrack[[#This Row],[Vendor - Contract]]="","",INDEX(VendorList[Primary Category],MATCH(CostTrack[[#This Row],[Vendor - Contract]],VendorList[Vendor / Org. with Contract ID],0)))</f>
        <v>Professional Services</v>
      </c>
      <c r="S191" s="243" t="str">
        <f ca="1">IF(CostTrack[[#This Row],[Vendor - Contract]]="","",INDEX(VendorList[Secondary Category],MATCH(CostTrack[[#This Row],[Vendor - Contract]],VendorList[Vendor / Org. with Contract ID],0)))</f>
        <v>Prime Consultant</v>
      </c>
      <c r="T191" s="243" t="str">
        <f ca="1">IF(CostTrack[[#This Row],[Vendor - Contract]]="","",INDEX(VendorList[Phase / Subproject],MATCH(CostTrack[[#This Row],[Vendor - Contract]],VendorList[Vendor / Org. with Contract ID],0)))</f>
        <v>--</v>
      </c>
      <c r="U191" s="243" t="str">
        <f ca="1">IF(CostTrack[[#This Row],[Vendor - Contract]]="","",INDEX(VendorList[Phase / Subproject 2],MATCH(CostTrack[[#This Row],[Vendor - Contract]],VendorList[Vendor / Org. with Contract ID],0)))</f>
        <v>--</v>
      </c>
      <c r="V191" s="243" t="str">
        <f ca="1">IF(CostTrack[[#This Row],[Vendor - Contract]]="","",INDEX(VendorList[Funding Source],MATCH(CostTrack[[#This Row],[Vendor - Contract]],VendorList[Vendor / Org. with Contract ID],0)))</f>
        <v>P-002360</v>
      </c>
      <c r="W191" s="260">
        <v>44031</v>
      </c>
      <c r="X191" s="251" t="str">
        <f ca="1">IF(CostTrack[[#This Row],[Release Date (CMS)]]="","*","")</f>
        <v/>
      </c>
      <c r="Y191" s="267" t="s">
        <v>45</v>
      </c>
      <c r="Z191" s="271"/>
      <c r="AA191" s="245">
        <f ca="1">IF(OR(CostTrack[[#This Row],[Release Date (CMS)]]&gt;=DATE(VALUE(REPLACE(CostTrack[[#This Row],[Fiscal Period]],3,3,"")),3,1),CostTrack[[#This Row],[Release Date (CMS)]]&lt;DATE(VALUE(LEFT(CostTrack[[#This Row],[Fiscal Period]],4)),4,1)),1,0)</f>
        <v>0</v>
      </c>
      <c r="AB191" s="654">
        <v>127881.27</v>
      </c>
      <c r="AC191" s="1308">
        <v>44215</v>
      </c>
      <c r="AD191" s="402" t="str">
        <f ca="1">IF(CostTrack[[#This Row],[Reconciled Amount]]="","",IF(CostTrack[[#This Row],[Value]]&lt;&gt;CostTrack[[#This Row],[Reconciled Amount]],"Yes","No"))</f>
        <v>No</v>
      </c>
    </row>
    <row r="192" spans="2:30">
      <c r="B192" s="400" t="s">
        <v>527</v>
      </c>
      <c r="C192" s="258" t="s">
        <v>926</v>
      </c>
      <c r="D192" s="260">
        <v>44043</v>
      </c>
      <c r="E192" s="282">
        <v>205385.07</v>
      </c>
      <c r="F192" s="265" t="s">
        <v>69</v>
      </c>
      <c r="G192" s="406">
        <f ca="1">ROUND(IF(CostTrack[[#This Row],[Holdback (Y/N/R)]]="Yes",CostTrack[[#This Row],[Value]]*-0.1,IF(CostTrack[[#This Row],[Holdback (Y/N/R)]]="Release",CostTrack[[#This Row],[Value]],0)),2)</f>
        <v>0</v>
      </c>
      <c r="H192" s="407">
        <f ca="1">IF(CostTrack[[#This Row],[Holdback (Y/N/R)]]="Release",CostTrack[[#This Row],[Value]],CostTrack[[#This Row],[Value]]+CostTrack[[#This Row],[Holdback Value]])</f>
        <v>205385.07</v>
      </c>
      <c r="I192" s="258"/>
      <c r="J192" s="258"/>
      <c r="K192" s="275">
        <v>44013</v>
      </c>
      <c r="L192" s="260">
        <v>44053</v>
      </c>
      <c r="M192" s="260"/>
      <c r="N192" s="258"/>
      <c r="O192" s="260" t="s">
        <v>106</v>
      </c>
      <c r="P192" s="260">
        <v>44062</v>
      </c>
      <c r="Q192" s="243" t="str">
        <f ca="1">IF(CostTrack[[#This Row],[Vendor - Contract]]="","",INDEX(VendorList[PA ID],MATCH(CostTrack[[#This Row],[Vendor - Contract]],VendorList[Vendor / Org. with Contract ID],0)))</f>
        <v>200.010.F1</v>
      </c>
      <c r="R192" s="243" t="str">
        <f ca="1">IF(CostTrack[[#This Row],[Vendor - Contract]]="","",INDEX(VendorList[Primary Category],MATCH(CostTrack[[#This Row],[Vendor - Contract]],VendorList[Vendor / Org. with Contract ID],0)))</f>
        <v>Professional Services</v>
      </c>
      <c r="S192" s="243" t="str">
        <f ca="1">IF(CostTrack[[#This Row],[Vendor - Contract]]="","",INDEX(VendorList[Secondary Category],MATCH(CostTrack[[#This Row],[Vendor - Contract]],VendorList[Vendor / Org. with Contract ID],0)))</f>
        <v>Prime Consultant</v>
      </c>
      <c r="T192" s="243" t="str">
        <f ca="1">IF(CostTrack[[#This Row],[Vendor - Contract]]="","",INDEX(VendorList[Phase / Subproject],MATCH(CostTrack[[#This Row],[Vendor - Contract]],VendorList[Vendor / Org. with Contract ID],0)))</f>
        <v>--</v>
      </c>
      <c r="U192" s="243" t="str">
        <f ca="1">IF(CostTrack[[#This Row],[Vendor - Contract]]="","",INDEX(VendorList[Phase / Subproject 2],MATCH(CostTrack[[#This Row],[Vendor - Contract]],VendorList[Vendor / Org. with Contract ID],0)))</f>
        <v>--</v>
      </c>
      <c r="V192" s="243" t="str">
        <f ca="1">IF(CostTrack[[#This Row],[Vendor - Contract]]="","",INDEX(VendorList[Funding Source],MATCH(CostTrack[[#This Row],[Vendor - Contract]],VendorList[Vendor / Org. with Contract ID],0)))</f>
        <v>P-002360</v>
      </c>
      <c r="W192" s="260">
        <v>44062</v>
      </c>
      <c r="X192" s="251" t="str">
        <f ca="1">IF(CostTrack[[#This Row],[Release Date (CMS)]]="","*","")</f>
        <v/>
      </c>
      <c r="Y192" s="267" t="s">
        <v>45</v>
      </c>
      <c r="Z192" s="271"/>
      <c r="AA192" s="245">
        <f ca="1">IF(OR(CostTrack[[#This Row],[Release Date (CMS)]]&gt;=DATE(VALUE(REPLACE(CostTrack[[#This Row],[Fiscal Period]],3,3,"")),3,1),CostTrack[[#This Row],[Release Date (CMS)]]&lt;DATE(VALUE(LEFT(CostTrack[[#This Row],[Fiscal Period]],4)),4,1)),1,0)</f>
        <v>0</v>
      </c>
      <c r="AB192" s="654">
        <v>205385.07</v>
      </c>
      <c r="AC192" s="1308">
        <v>44215</v>
      </c>
      <c r="AD192" s="402" t="str">
        <f ca="1">IF(CostTrack[[#This Row],[Reconciled Amount]]="","",IF(CostTrack[[#This Row],[Value]]&lt;&gt;CostTrack[[#This Row],[Reconciled Amount]],"Yes","No"))</f>
        <v>No</v>
      </c>
    </row>
    <row r="193" spans="2:30">
      <c r="B193" s="400" t="s">
        <v>527</v>
      </c>
      <c r="C193" s="258" t="s">
        <v>927</v>
      </c>
      <c r="D193" s="260">
        <v>44074</v>
      </c>
      <c r="E193" s="282">
        <v>46502.28</v>
      </c>
      <c r="F193" s="263" t="s">
        <v>69</v>
      </c>
      <c r="G193" s="406">
        <f ca="1">ROUND(IF(CostTrack[[#This Row],[Holdback (Y/N/R)]]="Yes",CostTrack[[#This Row],[Value]]*-0.1,IF(CostTrack[[#This Row],[Holdback (Y/N/R)]]="Release",CostTrack[[#This Row],[Value]],0)),2)</f>
        <v>0</v>
      </c>
      <c r="H193" s="407">
        <f ca="1">IF(CostTrack[[#This Row],[Holdback (Y/N/R)]]="Release",CostTrack[[#This Row],[Value]],CostTrack[[#This Row],[Value]]+CostTrack[[#This Row],[Holdback Value]])</f>
        <v>46502.28</v>
      </c>
      <c r="I193" s="258"/>
      <c r="J193" s="258"/>
      <c r="K193" s="275" t="s">
        <v>928</v>
      </c>
      <c r="L193" s="260">
        <v>44083</v>
      </c>
      <c r="M193" s="260"/>
      <c r="N193" s="258"/>
      <c r="O193" s="260" t="s">
        <v>106</v>
      </c>
      <c r="P193" s="260">
        <v>44085</v>
      </c>
      <c r="Q193" s="243" t="str">
        <f ca="1">IF(CostTrack[[#This Row],[Vendor - Contract]]="","",INDEX(VendorList[PA ID],MATCH(CostTrack[[#This Row],[Vendor - Contract]],VendorList[Vendor / Org. with Contract ID],0)))</f>
        <v>200.010.F1</v>
      </c>
      <c r="R193" s="243" t="str">
        <f ca="1">IF(CostTrack[[#This Row],[Vendor - Contract]]="","",INDEX(VendorList[Primary Category],MATCH(CostTrack[[#This Row],[Vendor - Contract]],VendorList[Vendor / Org. with Contract ID],0)))</f>
        <v>Professional Services</v>
      </c>
      <c r="S193" s="243" t="str">
        <f ca="1">IF(CostTrack[[#This Row],[Vendor - Contract]]="","",INDEX(VendorList[Secondary Category],MATCH(CostTrack[[#This Row],[Vendor - Contract]],VendorList[Vendor / Org. with Contract ID],0)))</f>
        <v>Prime Consultant</v>
      </c>
      <c r="T193" s="243" t="str">
        <f ca="1">IF(CostTrack[[#This Row],[Vendor - Contract]]="","",INDEX(VendorList[Phase / Subproject],MATCH(CostTrack[[#This Row],[Vendor - Contract]],VendorList[Vendor / Org. with Contract ID],0)))</f>
        <v>--</v>
      </c>
      <c r="U193" s="243" t="str">
        <f ca="1">IF(CostTrack[[#This Row],[Vendor - Contract]]="","",INDEX(VendorList[Phase / Subproject 2],MATCH(CostTrack[[#This Row],[Vendor - Contract]],VendorList[Vendor / Org. with Contract ID],0)))</f>
        <v>--</v>
      </c>
      <c r="V193" s="243" t="str">
        <f ca="1">IF(CostTrack[[#This Row],[Vendor - Contract]]="","",INDEX(VendorList[Funding Source],MATCH(CostTrack[[#This Row],[Vendor - Contract]],VendorList[Vendor / Org. with Contract ID],0)))</f>
        <v>P-002360</v>
      </c>
      <c r="W193" s="260">
        <v>44085</v>
      </c>
      <c r="X193" s="251" t="str">
        <f ca="1">IF(CostTrack[[#This Row],[Release Date (CMS)]]="","*","")</f>
        <v/>
      </c>
      <c r="Y193" s="267" t="s">
        <v>45</v>
      </c>
      <c r="Z193" s="270"/>
      <c r="AA193" s="245">
        <f ca="1">IF(OR(CostTrack[[#This Row],[Release Date (CMS)]]&gt;=DATE(VALUE(REPLACE(CostTrack[[#This Row],[Fiscal Period]],3,3,"")),3,1),CostTrack[[#This Row],[Release Date (CMS)]]&lt;DATE(VALUE(LEFT(CostTrack[[#This Row],[Fiscal Period]],4)),4,1)),1,0)</f>
        <v>0</v>
      </c>
      <c r="AB193" s="654">
        <v>46502.28</v>
      </c>
      <c r="AC193" s="1308">
        <v>44215</v>
      </c>
      <c r="AD193" s="402" t="str">
        <f ca="1">IF(CostTrack[[#This Row],[Reconciled Amount]]="","",IF(CostTrack[[#This Row],[Value]]&lt;&gt;CostTrack[[#This Row],[Reconciled Amount]],"Yes","No"))</f>
        <v>No</v>
      </c>
    </row>
    <row r="194" spans="2:30">
      <c r="B194" s="400" t="s">
        <v>527</v>
      </c>
      <c r="C194" s="258" t="s">
        <v>929</v>
      </c>
      <c r="D194" s="260">
        <v>44104</v>
      </c>
      <c r="E194" s="282">
        <v>41852.04</v>
      </c>
      <c r="F194" s="263" t="s">
        <v>69</v>
      </c>
      <c r="G194" s="406">
        <f ca="1">ROUND(IF(CostTrack[[#This Row],[Holdback (Y/N/R)]]="Yes",CostTrack[[#This Row],[Value]]*-0.1,IF(CostTrack[[#This Row],[Holdback (Y/N/R)]]="Release",CostTrack[[#This Row],[Value]],0)),2)</f>
        <v>0</v>
      </c>
      <c r="H194" s="407">
        <f ca="1">IF(CostTrack[[#This Row],[Holdback (Y/N/R)]]="Release",CostTrack[[#This Row],[Value]],CostTrack[[#This Row],[Value]]+CostTrack[[#This Row],[Holdback Value]])</f>
        <v>41852.04</v>
      </c>
      <c r="I194" s="258"/>
      <c r="J194" s="258"/>
      <c r="K194" s="275">
        <v>44075</v>
      </c>
      <c r="L194" s="260">
        <v>44117</v>
      </c>
      <c r="M194" s="260"/>
      <c r="N194" s="258"/>
      <c r="O194" s="260" t="s">
        <v>106</v>
      </c>
      <c r="P194" s="260">
        <v>44119</v>
      </c>
      <c r="Q194" s="243" t="str">
        <f ca="1">IF(CostTrack[[#This Row],[Vendor - Contract]]="","",INDEX(VendorList[PA ID],MATCH(CostTrack[[#This Row],[Vendor - Contract]],VendorList[Vendor / Org. with Contract ID],0)))</f>
        <v>200.010.F1</v>
      </c>
      <c r="R194" s="243" t="str">
        <f ca="1">IF(CostTrack[[#This Row],[Vendor - Contract]]="","",INDEX(VendorList[Primary Category],MATCH(CostTrack[[#This Row],[Vendor - Contract]],VendorList[Vendor / Org. with Contract ID],0)))</f>
        <v>Professional Services</v>
      </c>
      <c r="S194" s="243" t="str">
        <f ca="1">IF(CostTrack[[#This Row],[Vendor - Contract]]="","",INDEX(VendorList[Secondary Category],MATCH(CostTrack[[#This Row],[Vendor - Contract]],VendorList[Vendor / Org. with Contract ID],0)))</f>
        <v>Prime Consultant</v>
      </c>
      <c r="T194" s="243" t="str">
        <f ca="1">IF(CostTrack[[#This Row],[Vendor - Contract]]="","",INDEX(VendorList[Phase / Subproject],MATCH(CostTrack[[#This Row],[Vendor - Contract]],VendorList[Vendor / Org. with Contract ID],0)))</f>
        <v>--</v>
      </c>
      <c r="U194" s="243" t="str">
        <f ca="1">IF(CostTrack[[#This Row],[Vendor - Contract]]="","",INDEX(VendorList[Phase / Subproject 2],MATCH(CostTrack[[#This Row],[Vendor - Contract]],VendorList[Vendor / Org. with Contract ID],0)))</f>
        <v>--</v>
      </c>
      <c r="V194" s="243" t="str">
        <f ca="1">IF(CostTrack[[#This Row],[Vendor - Contract]]="","",INDEX(VendorList[Funding Source],MATCH(CostTrack[[#This Row],[Vendor - Contract]],VendorList[Vendor / Org. with Contract ID],0)))</f>
        <v>P-002360</v>
      </c>
      <c r="W194" s="260">
        <v>44120</v>
      </c>
      <c r="X194" s="251" t="str">
        <f ca="1">IF(CostTrack[[#This Row],[Release Date (CMS)]]="","*","")</f>
        <v/>
      </c>
      <c r="Y194" s="267" t="s">
        <v>45</v>
      </c>
      <c r="Z194" s="270"/>
      <c r="AA194" s="245">
        <f ca="1">IF(OR(CostTrack[[#This Row],[Release Date (CMS)]]&gt;=DATE(VALUE(REPLACE(CostTrack[[#This Row],[Fiscal Period]],3,3,"")),3,1),CostTrack[[#This Row],[Release Date (CMS)]]&lt;DATE(VALUE(LEFT(CostTrack[[#This Row],[Fiscal Period]],4)),4,1)),1,0)</f>
        <v>0</v>
      </c>
      <c r="AB194" s="654">
        <v>41852.04</v>
      </c>
      <c r="AC194" s="1308">
        <v>44215</v>
      </c>
      <c r="AD194" s="402" t="str">
        <f ca="1">IF(CostTrack[[#This Row],[Reconciled Amount]]="","",IF(CostTrack[[#This Row],[Value]]&lt;&gt;CostTrack[[#This Row],[Reconciled Amount]],"Yes","No"))</f>
        <v>No</v>
      </c>
    </row>
    <row r="195" spans="2:30">
      <c r="B195" s="1306" t="s">
        <v>527</v>
      </c>
      <c r="C195" s="1312" t="s">
        <v>930</v>
      </c>
      <c r="D195" s="1308">
        <v>44135</v>
      </c>
      <c r="E195" s="658">
        <v>44832.04</v>
      </c>
      <c r="F195" s="1309" t="s">
        <v>69</v>
      </c>
      <c r="G195" s="1310">
        <f ca="1">ROUND(IF(CostTrack[[#This Row],[Holdback (Y/N/R)]]="Yes",CostTrack[[#This Row],[Value]]*-0.1,IF(CostTrack[[#This Row],[Holdback (Y/N/R)]]="Release",CostTrack[[#This Row],[Value]],0)),2)</f>
        <v>0</v>
      </c>
      <c r="H195" s="1311">
        <f ca="1">IF(CostTrack[[#This Row],[Holdback (Y/N/R)]]="Release",CostTrack[[#This Row],[Value]],CostTrack[[#This Row],[Value]]+CostTrack[[#This Row],[Holdback Value]])</f>
        <v>44832.04</v>
      </c>
      <c r="I195" s="1312"/>
      <c r="J195" s="1312"/>
      <c r="K195" s="1313">
        <v>44105</v>
      </c>
      <c r="L195" s="1308">
        <v>44141</v>
      </c>
      <c r="M195" s="1308"/>
      <c r="N195" s="1312"/>
      <c r="O195" s="1308" t="s">
        <v>106</v>
      </c>
      <c r="P195" s="1308">
        <v>44141</v>
      </c>
      <c r="Q195" s="1314" t="str">
        <f ca="1">IF(CostTrack[[#This Row],[Vendor - Contract]]="","",INDEX(VendorList[PA ID],MATCH(CostTrack[[#This Row],[Vendor - Contract]],VendorList[Vendor / Org. with Contract ID],0)))</f>
        <v>200.010.F1</v>
      </c>
      <c r="R195" s="1314" t="str">
        <f ca="1">IF(CostTrack[[#This Row],[Vendor - Contract]]="","",INDEX(VendorList[Primary Category],MATCH(CostTrack[[#This Row],[Vendor - Contract]],VendorList[Vendor / Org. with Contract ID],0)))</f>
        <v>Professional Services</v>
      </c>
      <c r="S195" s="1314" t="str">
        <f ca="1">IF(CostTrack[[#This Row],[Vendor - Contract]]="","",INDEX(VendorList[Secondary Category],MATCH(CostTrack[[#This Row],[Vendor - Contract]],VendorList[Vendor / Org. with Contract ID],0)))</f>
        <v>Prime Consultant</v>
      </c>
      <c r="T195" s="1314" t="str">
        <f ca="1">IF(CostTrack[[#This Row],[Vendor - Contract]]="","",INDEX(VendorList[Phase / Subproject],MATCH(CostTrack[[#This Row],[Vendor - Contract]],VendorList[Vendor / Org. with Contract ID],0)))</f>
        <v>--</v>
      </c>
      <c r="U195" s="1314" t="str">
        <f ca="1">IF(CostTrack[[#This Row],[Vendor - Contract]]="","",INDEX(VendorList[Phase / Subproject 2],MATCH(CostTrack[[#This Row],[Vendor - Contract]],VendorList[Vendor / Org. with Contract ID],0)))</f>
        <v>--</v>
      </c>
      <c r="V195" s="1314" t="str">
        <f ca="1">IF(CostTrack[[#This Row],[Vendor - Contract]]="","",INDEX(VendorList[Funding Source],MATCH(CostTrack[[#This Row],[Vendor - Contract]],VendorList[Vendor / Org. with Contract ID],0)))</f>
        <v>P-002360</v>
      </c>
      <c r="W195" s="1308">
        <v>44144</v>
      </c>
      <c r="X195" s="1315" t="str">
        <f ca="1">IF(CostTrack[[#This Row],[Release Date (CMS)]]="","*","")</f>
        <v/>
      </c>
      <c r="Y195" s="1308" t="s">
        <v>45</v>
      </c>
      <c r="Z195" s="713"/>
      <c r="AA195" s="1316">
        <f ca="1">IF(OR(CostTrack[[#This Row],[Release Date (CMS)]]&gt;=DATE(VALUE(REPLACE(CostTrack[[#This Row],[Fiscal Period]],3,3,"")),3,1),CostTrack[[#This Row],[Release Date (CMS)]]&lt;DATE(VALUE(LEFT(CostTrack[[#This Row],[Fiscal Period]],4)),4,1)),1,0)</f>
        <v>0</v>
      </c>
      <c r="AB195" s="658">
        <v>44832.04</v>
      </c>
      <c r="AC195" s="1308">
        <v>44215</v>
      </c>
      <c r="AD195" s="402" t="str">
        <f ca="1">IF(CostTrack[[#This Row],[Reconciled Amount]]="","",IF(CostTrack[[#This Row],[Value]]&lt;&gt;CostTrack[[#This Row],[Reconciled Amount]],"Yes","No"))</f>
        <v>No</v>
      </c>
    </row>
    <row r="196" spans="2:30">
      <c r="B196" s="1306" t="s">
        <v>527</v>
      </c>
      <c r="C196" s="1312" t="s">
        <v>931</v>
      </c>
      <c r="D196" s="1308">
        <v>44165</v>
      </c>
      <c r="E196" s="658">
        <v>47209.54</v>
      </c>
      <c r="F196" s="1309" t="s">
        <v>69</v>
      </c>
      <c r="G196" s="1310">
        <f ca="1">ROUND(IF(CostTrack[[#This Row],[Holdback (Y/N/R)]]="Yes",CostTrack[[#This Row],[Value]]*-0.1,IF(CostTrack[[#This Row],[Holdback (Y/N/R)]]="Release",CostTrack[[#This Row],[Value]],0)),2)</f>
        <v>0</v>
      </c>
      <c r="H196" s="1311">
        <f ca="1">IF(CostTrack[[#This Row],[Holdback (Y/N/R)]]="Release",CostTrack[[#This Row],[Value]],CostTrack[[#This Row],[Value]]+CostTrack[[#This Row],[Holdback Value]])</f>
        <v>47209.54</v>
      </c>
      <c r="I196" s="1312"/>
      <c r="J196" s="1312"/>
      <c r="K196" s="1313">
        <v>44166</v>
      </c>
      <c r="L196" s="1308">
        <v>44169</v>
      </c>
      <c r="M196" s="1308"/>
      <c r="N196" s="1312"/>
      <c r="O196" s="1308" t="s">
        <v>106</v>
      </c>
      <c r="P196" s="1308">
        <v>44172</v>
      </c>
      <c r="Q196" s="1314" t="str">
        <f ca="1">IF(CostTrack[[#This Row],[Vendor - Contract]]="","",INDEX(VendorList[PA ID],MATCH(CostTrack[[#This Row],[Vendor - Contract]],VendorList[Vendor / Org. with Contract ID],0)))</f>
        <v>200.010.F1</v>
      </c>
      <c r="R196" s="1314" t="str">
        <f ca="1">IF(CostTrack[[#This Row],[Vendor - Contract]]="","",INDEX(VendorList[Primary Category],MATCH(CostTrack[[#This Row],[Vendor - Contract]],VendorList[Vendor / Org. with Contract ID],0)))</f>
        <v>Professional Services</v>
      </c>
      <c r="S196" s="1314" t="str">
        <f ca="1">IF(CostTrack[[#This Row],[Vendor - Contract]]="","",INDEX(VendorList[Secondary Category],MATCH(CostTrack[[#This Row],[Vendor - Contract]],VendorList[Vendor / Org. with Contract ID],0)))</f>
        <v>Prime Consultant</v>
      </c>
      <c r="T196" s="1314" t="str">
        <f ca="1">IF(CostTrack[[#This Row],[Vendor - Contract]]="","",INDEX(VendorList[Phase / Subproject],MATCH(CostTrack[[#This Row],[Vendor - Contract]],VendorList[Vendor / Org. with Contract ID],0)))</f>
        <v>--</v>
      </c>
      <c r="U196" s="1314" t="str">
        <f ca="1">IF(CostTrack[[#This Row],[Vendor - Contract]]="","",INDEX(VendorList[Phase / Subproject 2],MATCH(CostTrack[[#This Row],[Vendor - Contract]],VendorList[Vendor / Org. with Contract ID],0)))</f>
        <v>--</v>
      </c>
      <c r="V196" s="1314" t="str">
        <f ca="1">IF(CostTrack[[#This Row],[Vendor - Contract]]="","",INDEX(VendorList[Funding Source],MATCH(CostTrack[[#This Row],[Vendor - Contract]],VendorList[Vendor / Org. with Contract ID],0)))</f>
        <v>P-002360</v>
      </c>
      <c r="W196" s="1308">
        <v>44172</v>
      </c>
      <c r="X196" s="1315" t="str">
        <f ca="1">IF(CostTrack[[#This Row],[Release Date (CMS)]]="","*","")</f>
        <v/>
      </c>
      <c r="Y196" s="1308" t="s">
        <v>45</v>
      </c>
      <c r="Z196" s="713"/>
      <c r="AA196" s="1316">
        <f ca="1">IF(OR(CostTrack[[#This Row],[Release Date (CMS)]]&gt;=DATE(VALUE(REPLACE(CostTrack[[#This Row],[Fiscal Period]],3,3,"")),3,1),CostTrack[[#This Row],[Release Date (CMS)]]&lt;DATE(VALUE(LEFT(CostTrack[[#This Row],[Fiscal Period]],4)),4,1)),1,0)</f>
        <v>0</v>
      </c>
      <c r="AB196" s="1317">
        <v>47209.54</v>
      </c>
      <c r="AC196" s="1308">
        <v>44229</v>
      </c>
      <c r="AD196" s="402" t="str">
        <f ca="1">IF(CostTrack[[#This Row],[Reconciled Amount]]="","",IF(CostTrack[[#This Row],[Value]]&lt;&gt;CostTrack[[#This Row],[Reconciled Amount]],"Yes","No"))</f>
        <v>No</v>
      </c>
    </row>
    <row r="197" spans="2:30">
      <c r="B197" s="400" t="s">
        <v>529</v>
      </c>
      <c r="C197" s="258">
        <v>44104</v>
      </c>
      <c r="D197" s="260">
        <v>44074</v>
      </c>
      <c r="E197" s="282">
        <v>2705737</v>
      </c>
      <c r="F197" s="263" t="s">
        <v>65</v>
      </c>
      <c r="G197" s="406">
        <f ca="1">ROUND(IF(CostTrack[[#This Row],[Holdback (Y/N/R)]]="Yes",CostTrack[[#This Row],[Value]]*-0.1,IF(CostTrack[[#This Row],[Holdback (Y/N/R)]]="Release",CostTrack[[#This Row],[Value]],0)),2)</f>
        <v>-270573.7</v>
      </c>
      <c r="H197" s="407">
        <f ca="1">IF(CostTrack[[#This Row],[Holdback (Y/N/R)]]="Release",CostTrack[[#This Row],[Value]],CostTrack[[#This Row],[Value]]+CostTrack[[#This Row],[Holdback Value]])</f>
        <v>2435163.2999999998</v>
      </c>
      <c r="I197" s="258">
        <v>1</v>
      </c>
      <c r="J197" s="258"/>
      <c r="K197" s="275"/>
      <c r="L197" s="260">
        <v>44075</v>
      </c>
      <c r="M197" s="260"/>
      <c r="N197" s="258"/>
      <c r="O197" s="260" t="s">
        <v>106</v>
      </c>
      <c r="P197" s="260">
        <v>44101</v>
      </c>
      <c r="Q197" s="243" t="str">
        <f ca="1">IF(CostTrack[[#This Row],[Vendor - Contract]]="","",INDEX(VendorList[PA ID],MATCH(CostTrack[[#This Row],[Vendor - Contract]],VendorList[Vendor / Org. with Contract ID],0)))</f>
        <v>300.030.F1</v>
      </c>
      <c r="R197" s="243" t="str">
        <f ca="1">IF(CostTrack[[#This Row],[Vendor - Contract]]="","",INDEX(VendorList[Primary Category],MATCH(CostTrack[[#This Row],[Vendor - Contract]],VendorList[Vendor / Org. with Contract ID],0)))</f>
        <v>Construction</v>
      </c>
      <c r="S197" s="243" t="str">
        <f ca="1">IF(CostTrack[[#This Row],[Vendor - Contract]]="","",INDEX(VendorList[Secondary Category],MATCH(CostTrack[[#This Row],[Vendor - Contract]],VendorList[Vendor / Org. with Contract ID],0)))</f>
        <v>Prime Contractor</v>
      </c>
      <c r="T197" s="243" t="str">
        <f ca="1">IF(CostTrack[[#This Row],[Vendor - Contract]]="","",INDEX(VendorList[Phase / Subproject],MATCH(CostTrack[[#This Row],[Vendor - Contract]],VendorList[Vendor / Org. with Contract ID],0)))</f>
        <v>--</v>
      </c>
      <c r="U197" s="243" t="str">
        <f ca="1">IF(CostTrack[[#This Row],[Vendor - Contract]]="","",INDEX(VendorList[Phase / Subproject 2],MATCH(CostTrack[[#This Row],[Vendor - Contract]],VendorList[Vendor / Org. with Contract ID],0)))</f>
        <v>--</v>
      </c>
      <c r="V197" s="243" t="str">
        <f ca="1">IF(CostTrack[[#This Row],[Vendor - Contract]]="","",INDEX(VendorList[Funding Source],MATCH(CostTrack[[#This Row],[Vendor - Contract]],VendorList[Vendor / Org. with Contract ID],0)))</f>
        <v>P-002360</v>
      </c>
      <c r="W197" s="260">
        <v>44102</v>
      </c>
      <c r="X197" s="251" t="str">
        <f ca="1">IF(CostTrack[[#This Row],[Release Date (CMS)]]="","*","")</f>
        <v/>
      </c>
      <c r="Y197" s="267" t="s">
        <v>45</v>
      </c>
      <c r="Z197" s="270"/>
      <c r="AA197" s="245">
        <f ca="1">IF(OR(CostTrack[[#This Row],[Release Date (CMS)]]&gt;=DATE(VALUE(REPLACE(CostTrack[[#This Row],[Fiscal Period]],3,3,"")),3,1),CostTrack[[#This Row],[Release Date (CMS)]]&lt;DATE(VALUE(LEFT(CostTrack[[#This Row],[Fiscal Period]],4)),4,1)),1,0)</f>
        <v>0</v>
      </c>
      <c r="AB197" s="294">
        <v>2705737</v>
      </c>
      <c r="AC197" s="1308">
        <v>44215</v>
      </c>
      <c r="AD197" s="402" t="str">
        <f ca="1">IF(CostTrack[[#This Row],[Reconciled Amount]]="","",IF(CostTrack[[#This Row],[Value]]&lt;&gt;CostTrack[[#This Row],[Reconciled Amount]],"Yes","No"))</f>
        <v>No</v>
      </c>
    </row>
    <row r="198" spans="2:30">
      <c r="B198" s="1306" t="s">
        <v>529</v>
      </c>
      <c r="C198" s="1312" t="s">
        <v>932</v>
      </c>
      <c r="D198" s="1308">
        <v>44104</v>
      </c>
      <c r="E198" s="658">
        <v>809187.57</v>
      </c>
      <c r="F198" s="1309" t="s">
        <v>65</v>
      </c>
      <c r="G198" s="1310">
        <f ca="1">ROUND(IF(CostTrack[[#This Row],[Holdback (Y/N/R)]]="Yes",CostTrack[[#This Row],[Value]]*-0.1,IF(CostTrack[[#This Row],[Holdback (Y/N/R)]]="Release",CostTrack[[#This Row],[Value]],0)),2)</f>
        <v>-80918.759999999995</v>
      </c>
      <c r="H198" s="1311">
        <f ca="1">IF(CostTrack[[#This Row],[Holdback (Y/N/R)]]="Release",CostTrack[[#This Row],[Value]],CostTrack[[#This Row],[Value]]+CostTrack[[#This Row],[Holdback Value]])</f>
        <v>728268.80999999994</v>
      </c>
      <c r="I198" s="1312">
        <v>2</v>
      </c>
      <c r="J198" s="1312"/>
      <c r="K198" s="1313">
        <v>44075</v>
      </c>
      <c r="L198" s="1308">
        <v>44125</v>
      </c>
      <c r="M198" s="1308"/>
      <c r="N198" s="1312"/>
      <c r="O198" s="1308" t="s">
        <v>106</v>
      </c>
      <c r="P198" s="1308">
        <v>44125</v>
      </c>
      <c r="Q198" s="1314" t="str">
        <f ca="1">IF(CostTrack[[#This Row],[Vendor - Contract]]="","",INDEX(VendorList[PA ID],MATCH(CostTrack[[#This Row],[Vendor - Contract]],VendorList[Vendor / Org. with Contract ID],0)))</f>
        <v>300.030.F1</v>
      </c>
      <c r="R198" s="1314" t="str">
        <f ca="1">IF(CostTrack[[#This Row],[Vendor - Contract]]="","",INDEX(VendorList[Primary Category],MATCH(CostTrack[[#This Row],[Vendor - Contract]],VendorList[Vendor / Org. with Contract ID],0)))</f>
        <v>Construction</v>
      </c>
      <c r="S198" s="1314" t="str">
        <f ca="1">IF(CostTrack[[#This Row],[Vendor - Contract]]="","",INDEX(VendorList[Secondary Category],MATCH(CostTrack[[#This Row],[Vendor - Contract]],VendorList[Vendor / Org. with Contract ID],0)))</f>
        <v>Prime Contractor</v>
      </c>
      <c r="T198" s="1314" t="str">
        <f ca="1">IF(CostTrack[[#This Row],[Vendor - Contract]]="","",INDEX(VendorList[Phase / Subproject],MATCH(CostTrack[[#This Row],[Vendor - Contract]],VendorList[Vendor / Org. with Contract ID],0)))</f>
        <v>--</v>
      </c>
      <c r="U198" s="1314" t="str">
        <f ca="1">IF(CostTrack[[#This Row],[Vendor - Contract]]="","",INDEX(VendorList[Phase / Subproject 2],MATCH(CostTrack[[#This Row],[Vendor - Contract]],VendorList[Vendor / Org. with Contract ID],0)))</f>
        <v>--</v>
      </c>
      <c r="V198" s="1314" t="str">
        <f ca="1">IF(CostTrack[[#This Row],[Vendor - Contract]]="","",INDEX(VendorList[Funding Source],MATCH(CostTrack[[#This Row],[Vendor - Contract]],VendorList[Vendor / Org. with Contract ID],0)))</f>
        <v>P-002360</v>
      </c>
      <c r="W198" s="1308">
        <v>44126</v>
      </c>
      <c r="X198" s="1315" t="str">
        <f ca="1">IF(CostTrack[[#This Row],[Release Date (CMS)]]="","*","")</f>
        <v/>
      </c>
      <c r="Y198" s="1308" t="s">
        <v>45</v>
      </c>
      <c r="Z198" s="713"/>
      <c r="AA198" s="1316">
        <f ca="1">IF(OR(CostTrack[[#This Row],[Release Date (CMS)]]&gt;=DATE(VALUE(REPLACE(CostTrack[[#This Row],[Fiscal Period]],3,3,"")),3,1),CostTrack[[#This Row],[Release Date (CMS)]]&lt;DATE(VALUE(LEFT(CostTrack[[#This Row],[Fiscal Period]],4)),4,1)),1,0)</f>
        <v>0</v>
      </c>
      <c r="AB198" s="1317">
        <v>809187.57</v>
      </c>
      <c r="AC198" s="1308">
        <v>44215</v>
      </c>
      <c r="AD198" s="402" t="str">
        <f ca="1">IF(CostTrack[[#This Row],[Reconciled Amount]]="","",IF(CostTrack[[#This Row],[Value]]&lt;&gt;CostTrack[[#This Row],[Reconciled Amount]],"Yes","No"))</f>
        <v>No</v>
      </c>
    </row>
    <row r="199" spans="2:30">
      <c r="B199" s="1306" t="s">
        <v>529</v>
      </c>
      <c r="C199" s="1312">
        <v>24586</v>
      </c>
      <c r="D199" s="1308">
        <v>44135</v>
      </c>
      <c r="E199" s="658">
        <v>1550013.57</v>
      </c>
      <c r="F199" s="1309" t="s">
        <v>65</v>
      </c>
      <c r="G199" s="1310">
        <f ca="1">ROUND(IF(CostTrack[[#This Row],[Holdback (Y/N/R)]]="Yes",CostTrack[[#This Row],[Value]]*-0.1,IF(CostTrack[[#This Row],[Holdback (Y/N/R)]]="Release",CostTrack[[#This Row],[Value]],0)),2)</f>
        <v>-155001.35999999999</v>
      </c>
      <c r="H199" s="1311">
        <f ca="1">IF(CostTrack[[#This Row],[Holdback (Y/N/R)]]="Release",CostTrack[[#This Row],[Value]],CostTrack[[#This Row],[Value]]+CostTrack[[#This Row],[Holdback Value]])</f>
        <v>1395012.21</v>
      </c>
      <c r="I199" s="1312">
        <v>3</v>
      </c>
      <c r="J199" s="1312"/>
      <c r="K199" s="1313">
        <v>44105</v>
      </c>
      <c r="L199" s="1308">
        <v>44144</v>
      </c>
      <c r="M199" s="1308"/>
      <c r="N199" s="1312"/>
      <c r="O199" s="1308" t="s">
        <v>106</v>
      </c>
      <c r="P199" s="1308">
        <v>44144</v>
      </c>
      <c r="Q199" s="1314" t="str">
        <f ca="1">IF(CostTrack[[#This Row],[Vendor - Contract]]="","",INDEX(VendorList[PA ID],MATCH(CostTrack[[#This Row],[Vendor - Contract]],VendorList[Vendor / Org. with Contract ID],0)))</f>
        <v>300.030.F1</v>
      </c>
      <c r="R199" s="1314" t="str">
        <f ca="1">IF(CostTrack[[#This Row],[Vendor - Contract]]="","",INDEX(VendorList[Primary Category],MATCH(CostTrack[[#This Row],[Vendor - Contract]],VendorList[Vendor / Org. with Contract ID],0)))</f>
        <v>Construction</v>
      </c>
      <c r="S199" s="1314" t="str">
        <f ca="1">IF(CostTrack[[#This Row],[Vendor - Contract]]="","",INDEX(VendorList[Secondary Category],MATCH(CostTrack[[#This Row],[Vendor - Contract]],VendorList[Vendor / Org. with Contract ID],0)))</f>
        <v>Prime Contractor</v>
      </c>
      <c r="T199" s="1314" t="str">
        <f ca="1">IF(CostTrack[[#This Row],[Vendor - Contract]]="","",INDEX(VendorList[Phase / Subproject],MATCH(CostTrack[[#This Row],[Vendor - Contract]],VendorList[Vendor / Org. with Contract ID],0)))</f>
        <v>--</v>
      </c>
      <c r="U199" s="1314" t="str">
        <f ca="1">IF(CostTrack[[#This Row],[Vendor - Contract]]="","",INDEX(VendorList[Phase / Subproject 2],MATCH(CostTrack[[#This Row],[Vendor - Contract]],VendorList[Vendor / Org. with Contract ID],0)))</f>
        <v>--</v>
      </c>
      <c r="V199" s="1314" t="str">
        <f ca="1">IF(CostTrack[[#This Row],[Vendor - Contract]]="","",INDEX(VendorList[Funding Source],MATCH(CostTrack[[#This Row],[Vendor - Contract]],VendorList[Vendor / Org. with Contract ID],0)))</f>
        <v>P-002360</v>
      </c>
      <c r="W199" s="1308">
        <v>44144</v>
      </c>
      <c r="X199" s="1315" t="str">
        <f ca="1">IF(CostTrack[[#This Row],[Release Date (CMS)]]="","*","")</f>
        <v/>
      </c>
      <c r="Y199" s="1308" t="s">
        <v>45</v>
      </c>
      <c r="Z199" s="713"/>
      <c r="AA199" s="1316">
        <f ca="1">IF(OR(CostTrack[[#This Row],[Release Date (CMS)]]&gt;=DATE(VALUE(REPLACE(CostTrack[[#This Row],[Fiscal Period]],3,3,"")),3,1),CostTrack[[#This Row],[Release Date (CMS)]]&lt;DATE(VALUE(LEFT(CostTrack[[#This Row],[Fiscal Period]],4)),4,1)),1,0)</f>
        <v>0</v>
      </c>
      <c r="AB199" s="1317">
        <v>1550013.57</v>
      </c>
      <c r="AC199" s="1308">
        <v>44215</v>
      </c>
      <c r="AD199" s="402" t="str">
        <f ca="1">IF(CostTrack[[#This Row],[Reconciled Amount]]="","",IF(CostTrack[[#This Row],[Value]]&lt;&gt;CostTrack[[#This Row],[Reconciled Amount]],"Yes","No"))</f>
        <v>No</v>
      </c>
    </row>
    <row r="200" spans="2:30">
      <c r="B200" s="1306" t="s">
        <v>529</v>
      </c>
      <c r="C200" s="1312">
        <v>24810</v>
      </c>
      <c r="D200" s="1308">
        <v>44165</v>
      </c>
      <c r="E200" s="658">
        <v>1007972.57</v>
      </c>
      <c r="F200" s="1309" t="s">
        <v>65</v>
      </c>
      <c r="G200" s="1310">
        <f ca="1">ROUND(IF(CostTrack[[#This Row],[Holdback (Y/N/R)]]="Yes",CostTrack[[#This Row],[Value]]*-0.1,IF(CostTrack[[#This Row],[Holdback (Y/N/R)]]="Release",CostTrack[[#This Row],[Value]],0)),2)</f>
        <v>-100797.26</v>
      </c>
      <c r="H200" s="1311">
        <f ca="1">IF(CostTrack[[#This Row],[Holdback (Y/N/R)]]="Release",CostTrack[[#This Row],[Value]],CostTrack[[#This Row],[Value]]+CostTrack[[#This Row],[Holdback Value]])</f>
        <v>907175.30999999994</v>
      </c>
      <c r="I200" s="1312">
        <v>4</v>
      </c>
      <c r="J200" s="1312"/>
      <c r="K200" s="648">
        <v>44166</v>
      </c>
      <c r="L200" s="1308">
        <v>44176</v>
      </c>
      <c r="M200" s="1308"/>
      <c r="N200" s="1312"/>
      <c r="O200" s="1308" t="s">
        <v>106</v>
      </c>
      <c r="P200" s="1308">
        <v>44179</v>
      </c>
      <c r="Q200" s="1314" t="str">
        <f ca="1">IF(CostTrack[[#This Row],[Vendor - Contract]]="","",INDEX(VendorList[PA ID],MATCH(CostTrack[[#This Row],[Vendor - Contract]],VendorList[Vendor / Org. with Contract ID],0)))</f>
        <v>300.030.F1</v>
      </c>
      <c r="R200" s="1314" t="str">
        <f ca="1">IF(CostTrack[[#This Row],[Vendor - Contract]]="","",INDEX(VendorList[Primary Category],MATCH(CostTrack[[#This Row],[Vendor - Contract]],VendorList[Vendor / Org. with Contract ID],0)))</f>
        <v>Construction</v>
      </c>
      <c r="S200" s="1314" t="str">
        <f ca="1">IF(CostTrack[[#This Row],[Vendor - Contract]]="","",INDEX(VendorList[Secondary Category],MATCH(CostTrack[[#This Row],[Vendor - Contract]],VendorList[Vendor / Org. with Contract ID],0)))</f>
        <v>Prime Contractor</v>
      </c>
      <c r="T200" s="1314" t="str">
        <f ca="1">IF(CostTrack[[#This Row],[Vendor - Contract]]="","",INDEX(VendorList[Phase / Subproject],MATCH(CostTrack[[#This Row],[Vendor - Contract]],VendorList[Vendor / Org. with Contract ID],0)))</f>
        <v>--</v>
      </c>
      <c r="U200" s="1314" t="str">
        <f ca="1">IF(CostTrack[[#This Row],[Vendor - Contract]]="","",INDEX(VendorList[Phase / Subproject 2],MATCH(CostTrack[[#This Row],[Vendor - Contract]],VendorList[Vendor / Org. with Contract ID],0)))</f>
        <v>--</v>
      </c>
      <c r="V200" s="1314" t="str">
        <f ca="1">IF(CostTrack[[#This Row],[Vendor - Contract]]="","",INDEX(VendorList[Funding Source],MATCH(CostTrack[[#This Row],[Vendor - Contract]],VendorList[Vendor / Org. with Contract ID],0)))</f>
        <v>P-002360</v>
      </c>
      <c r="W200" s="1308">
        <v>44179</v>
      </c>
      <c r="X200" s="1315" t="str">
        <f ca="1">IF(CostTrack[[#This Row],[Release Date (CMS)]]="","*","")</f>
        <v/>
      </c>
      <c r="Y200" s="1308" t="s">
        <v>45</v>
      </c>
      <c r="Z200" s="713"/>
      <c r="AA200" s="1316">
        <f ca="1">IF(OR(CostTrack[[#This Row],[Release Date (CMS)]]&gt;=DATE(VALUE(REPLACE(CostTrack[[#This Row],[Fiscal Period]],3,3,"")),3,1),CostTrack[[#This Row],[Release Date (CMS)]]&lt;DATE(VALUE(LEFT(CostTrack[[#This Row],[Fiscal Period]],4)),4,1)),1,0)</f>
        <v>0</v>
      </c>
      <c r="AB200" s="1317">
        <v>1007972.57</v>
      </c>
      <c r="AC200" s="1308">
        <v>44229</v>
      </c>
      <c r="AD200" s="402" t="str">
        <f ca="1">IF(CostTrack[[#This Row],[Reconciled Amount]]="","",IF(CostTrack[[#This Row],[Value]]&lt;&gt;CostTrack[[#This Row],[Reconciled Amount]],"Yes","No"))</f>
        <v>No</v>
      </c>
    </row>
    <row r="201" spans="2:30">
      <c r="B201" s="400" t="s">
        <v>933</v>
      </c>
      <c r="C201" s="258">
        <v>410686</v>
      </c>
      <c r="D201" s="260">
        <v>43887</v>
      </c>
      <c r="E201" s="282">
        <v>6600</v>
      </c>
      <c r="F201" s="265" t="s">
        <v>69</v>
      </c>
      <c r="G201" s="406">
        <f ca="1">ROUND(IF(CostTrack[[#This Row],[Holdback (Y/N/R)]]="Yes",CostTrack[[#This Row],[Value]]*-0.1,IF(CostTrack[[#This Row],[Holdback (Y/N/R)]]="Release",CostTrack[[#This Row],[Value]],0)),2)</f>
        <v>0</v>
      </c>
      <c r="H201" s="407">
        <f ca="1">IF(CostTrack[[#This Row],[Holdback (Y/N/R)]]="Release",CostTrack[[#This Row],[Value]],CostTrack[[#This Row],[Value]]+CostTrack[[#This Row],[Holdback Value]])</f>
        <v>6600</v>
      </c>
      <c r="I201" s="258"/>
      <c r="J201" s="258"/>
      <c r="K201" s="275"/>
      <c r="L201" s="260">
        <v>43936</v>
      </c>
      <c r="M201" s="260"/>
      <c r="N201" s="258"/>
      <c r="O201" s="260" t="s">
        <v>106</v>
      </c>
      <c r="P201" s="260">
        <v>43936</v>
      </c>
      <c r="Q201" s="243" t="str">
        <f ca="1">IF(CostTrack[[#This Row],[Vendor - Contract]]="","",INDEX(VendorList[PA ID],MATCH(CostTrack[[#This Row],[Vendor - Contract]],VendorList[Vendor / Org. with Contract ID],0)))</f>
        <v>300.010.F1</v>
      </c>
      <c r="R201" s="243" t="str">
        <f ca="1">IF(CostTrack[[#This Row],[Vendor - Contract]]="","",INDEX(VendorList[Primary Category],MATCH(CostTrack[[#This Row],[Vendor - Contract]],VendorList[Vendor / Org. with Contract ID],0)))</f>
        <v>Construction</v>
      </c>
      <c r="S201" s="243" t="str">
        <f ca="1">IF(CostTrack[[#This Row],[Vendor - Contract]]="","",INDEX(VendorList[Secondary Category],MATCH(CostTrack[[#This Row],[Vendor - Contract]],VendorList[Vendor / Org. with Contract ID],0)))</f>
        <v>Permits &amp; Fees</v>
      </c>
      <c r="T201" s="243" t="str">
        <f ca="1">IF(CostTrack[[#This Row],[Vendor - Contract]]="","",INDEX(VendorList[Phase / Subproject],MATCH(CostTrack[[#This Row],[Vendor - Contract]],VendorList[Vendor / Org. with Contract ID],0)))</f>
        <v>--</v>
      </c>
      <c r="U201" s="243" t="str">
        <f ca="1">IF(CostTrack[[#This Row],[Vendor - Contract]]="","",INDEX(VendorList[Phase / Subproject 2],MATCH(CostTrack[[#This Row],[Vendor - Contract]],VendorList[Vendor / Org. with Contract ID],0)))</f>
        <v>--</v>
      </c>
      <c r="V201" s="243" t="str">
        <f ca="1">IF(CostTrack[[#This Row],[Vendor - Contract]]="","",INDEX(VendorList[Funding Source],MATCH(CostTrack[[#This Row],[Vendor - Contract]],VendorList[Vendor / Org. with Contract ID],0)))</f>
        <v>P-002360</v>
      </c>
      <c r="W201" s="260">
        <v>43959</v>
      </c>
      <c r="X201" s="251" t="str">
        <f ca="1">IF(CostTrack[[#This Row],[Release Date (CMS)]]="","*","")</f>
        <v/>
      </c>
      <c r="Y201" s="267" t="s">
        <v>45</v>
      </c>
      <c r="Z201" s="271"/>
      <c r="AA201" s="245">
        <f ca="1">IF(OR(CostTrack[[#This Row],[Release Date (CMS)]]&gt;=DATE(VALUE(REPLACE(CostTrack[[#This Row],[Fiscal Period]],3,3,"")),3,1),CostTrack[[#This Row],[Release Date (CMS)]]&lt;DATE(VALUE(LEFT(CostTrack[[#This Row],[Fiscal Period]],4)),4,1)),1,0)</f>
        <v>0</v>
      </c>
      <c r="AB201" s="294">
        <v>6600</v>
      </c>
      <c r="AC201" s="1308">
        <v>44215</v>
      </c>
      <c r="AD201" s="402" t="str">
        <f ca="1">IF(CostTrack[[#This Row],[Reconciled Amount]]="","",IF(CostTrack[[#This Row],[Value]]&lt;&gt;CostTrack[[#This Row],[Reconciled Amount]],"Yes","No"))</f>
        <v>No</v>
      </c>
    </row>
    <row r="202" spans="2:30">
      <c r="B202" s="400" t="s">
        <v>597</v>
      </c>
      <c r="C202" s="258">
        <v>427007</v>
      </c>
      <c r="D202" s="260">
        <v>44062</v>
      </c>
      <c r="E202" s="282">
        <v>14526.27</v>
      </c>
      <c r="F202" s="263" t="s">
        <v>69</v>
      </c>
      <c r="G202" s="406">
        <f ca="1">ROUND(IF(CostTrack[[#This Row],[Holdback (Y/N/R)]]="Yes",CostTrack[[#This Row],[Value]]*-0.1,IF(CostTrack[[#This Row],[Holdback (Y/N/R)]]="Release",CostTrack[[#This Row],[Value]],0)),2)</f>
        <v>0</v>
      </c>
      <c r="H202" s="407">
        <f ca="1">IF(CostTrack[[#This Row],[Holdback (Y/N/R)]]="Release",CostTrack[[#This Row],[Value]],CostTrack[[#This Row],[Value]]+CostTrack[[#This Row],[Holdback Value]])</f>
        <v>14526.27</v>
      </c>
      <c r="I202" s="258"/>
      <c r="J202" s="258"/>
      <c r="K202" s="275"/>
      <c r="L202" s="260">
        <v>44070</v>
      </c>
      <c r="M202" s="260"/>
      <c r="N202" s="258"/>
      <c r="O202" s="260" t="s">
        <v>106</v>
      </c>
      <c r="P202" s="260">
        <v>44096</v>
      </c>
      <c r="Q202" s="243" t="str">
        <f ca="1">IF(CostTrack[[#This Row],[Vendor - Contract]]="","",INDEX(VendorList[PA ID],MATCH(CostTrack[[#This Row],[Vendor - Contract]],VendorList[Vendor / Org. with Contract ID],0)))</f>
        <v>300.040.F1</v>
      </c>
      <c r="R202" s="243" t="str">
        <f ca="1">IF(CostTrack[[#This Row],[Vendor - Contract]]="","",INDEX(VendorList[Primary Category],MATCH(CostTrack[[#This Row],[Vendor - Contract]],VendorList[Vendor / Org. with Contract ID],0)))</f>
        <v>Construction</v>
      </c>
      <c r="S202" s="243" t="str">
        <f ca="1">IF(CostTrack[[#This Row],[Vendor - Contract]]="","",INDEX(VendorList[Secondary Category],MATCH(CostTrack[[#This Row],[Vendor - Contract]],VendorList[Vendor / Org. with Contract ID],0)))</f>
        <v>Other Contractor</v>
      </c>
      <c r="T202" s="243" t="str">
        <f ca="1">IF(CostTrack[[#This Row],[Vendor - Contract]]="","",INDEX(VendorList[Phase / Subproject],MATCH(CostTrack[[#This Row],[Vendor - Contract]],VendorList[Vendor / Org. with Contract ID],0)))</f>
        <v>--</v>
      </c>
      <c r="U202" s="243" t="str">
        <f ca="1">IF(CostTrack[[#This Row],[Vendor - Contract]]="","",INDEX(VendorList[Phase / Subproject 2],MATCH(CostTrack[[#This Row],[Vendor - Contract]],VendorList[Vendor / Org. with Contract ID],0)))</f>
        <v>--</v>
      </c>
      <c r="V202" s="243" t="str">
        <f ca="1">IF(CostTrack[[#This Row],[Vendor - Contract]]="","",INDEX(VendorList[Funding Source],MATCH(CostTrack[[#This Row],[Vendor - Contract]],VendorList[Vendor / Org. with Contract ID],0)))</f>
        <v>P-002360</v>
      </c>
      <c r="W202" s="260">
        <v>44112</v>
      </c>
      <c r="X202" s="251" t="str">
        <f ca="1">IF(CostTrack[[#This Row],[Release Date (CMS)]]="","*","")</f>
        <v/>
      </c>
      <c r="Y202" s="267" t="s">
        <v>45</v>
      </c>
      <c r="Z202" s="270"/>
      <c r="AA202" s="245">
        <f ca="1">IF(OR(CostTrack[[#This Row],[Release Date (CMS)]]&gt;=DATE(VALUE(REPLACE(CostTrack[[#This Row],[Fiscal Period]],3,3,"")),3,1),CostTrack[[#This Row],[Release Date (CMS)]]&lt;DATE(VALUE(LEFT(CostTrack[[#This Row],[Fiscal Period]],4)),4,1)),1,0)</f>
        <v>0</v>
      </c>
      <c r="AB202" s="294">
        <v>14526.27</v>
      </c>
      <c r="AC202" s="1308">
        <v>44215</v>
      </c>
      <c r="AD202" s="402" t="str">
        <f ca="1">IF(CostTrack[[#This Row],[Reconciled Amount]]="","",IF(CostTrack[[#This Row],[Value]]&lt;&gt;CostTrack[[#This Row],[Reconciled Amount]],"Yes","No"))</f>
        <v>No</v>
      </c>
    </row>
    <row r="203" spans="2:30">
      <c r="B203" s="1306" t="s">
        <v>934</v>
      </c>
      <c r="C203" s="1312">
        <v>51524</v>
      </c>
      <c r="D203" s="1308">
        <v>44146</v>
      </c>
      <c r="E203" s="658">
        <v>1470.77</v>
      </c>
      <c r="F203" s="1309" t="s">
        <v>69</v>
      </c>
      <c r="G203" s="1310">
        <f ca="1">ROUND(IF(CostTrack[[#This Row],[Holdback (Y/N/R)]]="Yes",CostTrack[[#This Row],[Value]]*-0.1,IF(CostTrack[[#This Row],[Holdback (Y/N/R)]]="Release",CostTrack[[#This Row],[Value]],0)),2)</f>
        <v>0</v>
      </c>
      <c r="H203" s="1311">
        <f ca="1">IF(CostTrack[[#This Row],[Holdback (Y/N/R)]]="Release",CostTrack[[#This Row],[Value]],CostTrack[[#This Row],[Value]]+CostTrack[[#This Row],[Holdback Value]])</f>
        <v>1470.77</v>
      </c>
      <c r="I203" s="1312"/>
      <c r="J203" s="1312"/>
      <c r="K203" s="1313">
        <v>44197</v>
      </c>
      <c r="L203" s="1308">
        <v>44162</v>
      </c>
      <c r="M203" s="1308"/>
      <c r="N203" s="1312"/>
      <c r="O203" s="1308" t="s">
        <v>106</v>
      </c>
      <c r="P203" s="1308">
        <v>44162</v>
      </c>
      <c r="Q203" s="1314" t="str">
        <f ca="1">IF(CostTrack[[#This Row],[Vendor - Contract]]="","",INDEX(VendorList[PA ID],MATCH(CostTrack[[#This Row],[Vendor - Contract]],VendorList[Vendor / Org. with Contract ID],0)))</f>
        <v>200.050.F1</v>
      </c>
      <c r="R203" s="1314" t="str">
        <f ca="1">IF(CostTrack[[#This Row],[Vendor - Contract]]="","",INDEX(VendorList[Primary Category],MATCH(CostTrack[[#This Row],[Vendor - Contract]],VendorList[Vendor / Org. with Contract ID],0)))</f>
        <v>Professional Services</v>
      </c>
      <c r="S203" s="1314" t="str">
        <f ca="1">IF(CostTrack[[#This Row],[Vendor - Contract]]="","",INDEX(VendorList[Secondary Category],MATCH(CostTrack[[#This Row],[Vendor - Contract]],VendorList[Vendor / Org. with Contract ID],0)))</f>
        <v>Other Professional Services</v>
      </c>
      <c r="T203" s="1314" t="str">
        <f ca="1">IF(CostTrack[[#This Row],[Vendor - Contract]]="","",INDEX(VendorList[Phase / Subproject],MATCH(CostTrack[[#This Row],[Vendor - Contract]],VendorList[Vendor / Org. with Contract ID],0)))</f>
        <v>--</v>
      </c>
      <c r="U203" s="1314" t="str">
        <f ca="1">IF(CostTrack[[#This Row],[Vendor - Contract]]="","",INDEX(VendorList[Phase / Subproject 2],MATCH(CostTrack[[#This Row],[Vendor - Contract]],VendorList[Vendor / Org. with Contract ID],0)))</f>
        <v>--</v>
      </c>
      <c r="V203" s="1314" t="str">
        <f ca="1">IF(CostTrack[[#This Row],[Vendor - Contract]]="","",INDEX(VendorList[Funding Source],MATCH(CostTrack[[#This Row],[Vendor - Contract]],VendorList[Vendor / Org. with Contract ID],0)))</f>
        <v>P-002360</v>
      </c>
      <c r="W203" s="1308">
        <v>44202</v>
      </c>
      <c r="X203" s="1315" t="str">
        <f ca="1">IF(CostTrack[[#This Row],[Release Date (CMS)]]="","*","")</f>
        <v/>
      </c>
      <c r="Y203" s="1308" t="s">
        <v>45</v>
      </c>
      <c r="Z203" s="713"/>
      <c r="AA203" s="1316">
        <f ca="1">IF(OR(CostTrack[[#This Row],[Release Date (CMS)]]&gt;=DATE(VALUE(REPLACE(CostTrack[[#This Row],[Fiscal Period]],3,3,"")),3,1),CostTrack[[#This Row],[Release Date (CMS)]]&lt;DATE(VALUE(LEFT(CostTrack[[#This Row],[Fiscal Period]],4)),4,1)),1,0)</f>
        <v>0</v>
      </c>
      <c r="AB203" s="1317">
        <v>1470.77</v>
      </c>
      <c r="AC203" s="1308">
        <v>44229</v>
      </c>
      <c r="AD203" s="402" t="str">
        <f ca="1">IF(CostTrack[[#This Row],[Reconciled Amount]]="","",IF(CostTrack[[#This Row],[Value]]&lt;&gt;CostTrack[[#This Row],[Reconciled Amount]],"Yes","No"))</f>
        <v>No</v>
      </c>
    </row>
    <row r="204" spans="2:30">
      <c r="B204" s="400" t="s">
        <v>935</v>
      </c>
      <c r="C204" s="258" t="s">
        <v>936</v>
      </c>
      <c r="D204" s="260">
        <v>43886</v>
      </c>
      <c r="E204" s="282">
        <v>26504.9</v>
      </c>
      <c r="F204" s="265" t="s">
        <v>69</v>
      </c>
      <c r="G204" s="406">
        <f ca="1">ROUND(IF(CostTrack[[#This Row],[Holdback (Y/N/R)]]="Yes",CostTrack[[#This Row],[Value]]*-0.1,IF(CostTrack[[#This Row],[Holdback (Y/N/R)]]="Release",CostTrack[[#This Row],[Value]],0)),2)</f>
        <v>0</v>
      </c>
      <c r="H204" s="407">
        <f ca="1">IF(CostTrack[[#This Row],[Holdback (Y/N/R)]]="Release",CostTrack[[#This Row],[Value]],CostTrack[[#This Row],[Value]]+CostTrack[[#This Row],[Holdback Value]])</f>
        <v>26504.9</v>
      </c>
      <c r="I204" s="258"/>
      <c r="J204" s="258"/>
      <c r="K204" s="275"/>
      <c r="L204" s="260">
        <v>43887</v>
      </c>
      <c r="M204" s="260"/>
      <c r="N204" s="258"/>
      <c r="O204" s="260" t="s">
        <v>106</v>
      </c>
      <c r="P204" s="260">
        <v>43887</v>
      </c>
      <c r="Q204" s="243" t="str">
        <f ca="1">IF(CostTrack[[#This Row],[Vendor - Contract]]="","",INDEX(VendorList[PA ID],MATCH(CostTrack[[#This Row],[Vendor - Contract]],VendorList[Vendor / Org. with Contract ID],0)))</f>
        <v>300.020.F1</v>
      </c>
      <c r="R204" s="243" t="str">
        <f ca="1">IF(CostTrack[[#This Row],[Vendor - Contract]]="","",INDEX(VendorList[Primary Category],MATCH(CostTrack[[#This Row],[Vendor - Contract]],VendorList[Vendor / Org. with Contract ID],0)))</f>
        <v>Construction</v>
      </c>
      <c r="S204" s="243" t="str">
        <f ca="1">IF(CostTrack[[#This Row],[Vendor - Contract]]="","",INDEX(VendorList[Secondary Category],MATCH(CostTrack[[#This Row],[Vendor - Contract]],VendorList[Vendor / Org. with Contract ID],0)))</f>
        <v>Utilities</v>
      </c>
      <c r="T204" s="243" t="str">
        <f ca="1">IF(CostTrack[[#This Row],[Vendor - Contract]]="","",INDEX(VendorList[Phase / Subproject],MATCH(CostTrack[[#This Row],[Vendor - Contract]],VendorList[Vendor / Org. with Contract ID],0)))</f>
        <v>--</v>
      </c>
      <c r="U204" s="243" t="str">
        <f ca="1">IF(CostTrack[[#This Row],[Vendor - Contract]]="","",INDEX(VendorList[Phase / Subproject 2],MATCH(CostTrack[[#This Row],[Vendor - Contract]],VendorList[Vendor / Org. with Contract ID],0)))</f>
        <v>--</v>
      </c>
      <c r="V204" s="243" t="str">
        <f ca="1">IF(CostTrack[[#This Row],[Vendor - Contract]]="","",INDEX(VendorList[Funding Source],MATCH(CostTrack[[#This Row],[Vendor - Contract]],VendorList[Vendor / Org. with Contract ID],0)))</f>
        <v>P-002360</v>
      </c>
      <c r="W204" s="260">
        <v>43903</v>
      </c>
      <c r="X204" s="251" t="str">
        <f ca="1">IF(CostTrack[[#This Row],[Release Date (CMS)]]="","*","")</f>
        <v/>
      </c>
      <c r="Y204" s="267" t="s">
        <v>40</v>
      </c>
      <c r="Z204" s="271"/>
      <c r="AA204" s="245">
        <f ca="1">IF(OR(CostTrack[[#This Row],[Release Date (CMS)]]&gt;=DATE(VALUE(REPLACE(CostTrack[[#This Row],[Fiscal Period]],3,3,"")),3,1),CostTrack[[#This Row],[Release Date (CMS)]]&lt;DATE(VALUE(LEFT(CostTrack[[#This Row],[Fiscal Period]],4)),4,1)),1,0)</f>
        <v>1</v>
      </c>
      <c r="AB204" s="294">
        <v>26504.9</v>
      </c>
      <c r="AC204" s="260">
        <v>44224</v>
      </c>
      <c r="AD204" s="402" t="str">
        <f ca="1">IF(CostTrack[[#This Row],[Reconciled Amount]]="","",IF(CostTrack[[#This Row],[Value]]&lt;&gt;CostTrack[[#This Row],[Reconciled Amount]],"Yes","No"))</f>
        <v>No</v>
      </c>
    </row>
    <row r="205" spans="2:30">
      <c r="B205" s="653" t="s">
        <v>655</v>
      </c>
      <c r="C205" s="650">
        <v>2653</v>
      </c>
      <c r="D205" s="267">
        <v>44169</v>
      </c>
      <c r="E205" s="654">
        <v>914</v>
      </c>
      <c r="F205" s="647" t="s">
        <v>69</v>
      </c>
      <c r="G205" s="406">
        <f ca="1">ROUND(IF(CostTrack[[#This Row],[Holdback (Y/N/R)]]="Yes",CostTrack[[#This Row],[Value]]*-0.1,IF(CostTrack[[#This Row],[Holdback (Y/N/R)]]="Release",CostTrack[[#This Row],[Value]],0)),2)</f>
        <v>0</v>
      </c>
      <c r="H205" s="407">
        <f ca="1">IF(CostTrack[[#This Row],[Holdback (Y/N/R)]]="Release",CostTrack[[#This Row],[Value]],CostTrack[[#This Row],[Value]]+CostTrack[[#This Row],[Holdback Value]])</f>
        <v>914</v>
      </c>
      <c r="I205" s="650"/>
      <c r="J205" s="650"/>
      <c r="K205" s="648">
        <v>44166</v>
      </c>
      <c r="L205" s="1308">
        <v>44169</v>
      </c>
      <c r="M205" s="1308"/>
      <c r="N205" s="1312"/>
      <c r="O205" s="1308" t="s">
        <v>106</v>
      </c>
      <c r="P205" s="1308">
        <v>44172</v>
      </c>
      <c r="Q205" s="243" t="str">
        <f ca="1">IF(CostTrack[[#This Row],[Vendor - Contract]]="","",INDEX(VendorList[PA ID],MATCH(CostTrack[[#This Row],[Vendor - Contract]],VendorList[Vendor / Org. with Contract ID],0)))</f>
        <v>200.050.F1</v>
      </c>
      <c r="R205" s="243" t="str">
        <f ca="1">IF(CostTrack[[#This Row],[Vendor - Contract]]="","",INDEX(VendorList[Primary Category],MATCH(CostTrack[[#This Row],[Vendor - Contract]],VendorList[Vendor / Org. with Contract ID],0)))</f>
        <v>Professional Services</v>
      </c>
      <c r="S205" s="243" t="str">
        <f ca="1">IF(CostTrack[[#This Row],[Vendor - Contract]]="","",INDEX(VendorList[Secondary Category],MATCH(CostTrack[[#This Row],[Vendor - Contract]],VendorList[Vendor / Org. with Contract ID],0)))</f>
        <v>Other Professional Services</v>
      </c>
      <c r="T205" s="243" t="str">
        <f ca="1">IF(CostTrack[[#This Row],[Vendor - Contract]]="","",INDEX(VendorList[Phase / Subproject],MATCH(CostTrack[[#This Row],[Vendor - Contract]],VendorList[Vendor / Org. with Contract ID],0)))</f>
        <v>--</v>
      </c>
      <c r="U205" s="243" t="str">
        <f ca="1">IF(CostTrack[[#This Row],[Vendor - Contract]]="","",INDEX(VendorList[Phase / Subproject 2],MATCH(CostTrack[[#This Row],[Vendor - Contract]],VendorList[Vendor / Org. with Contract ID],0)))</f>
        <v>--</v>
      </c>
      <c r="V205" s="243" t="str">
        <f ca="1">IF(CostTrack[[#This Row],[Vendor - Contract]]="","",INDEX(VendorList[Funding Source],MATCH(CostTrack[[#This Row],[Vendor - Contract]],VendorList[Vendor / Org. with Contract ID],0)))</f>
        <v>P-002360</v>
      </c>
      <c r="W205" s="1308">
        <v>44172</v>
      </c>
      <c r="X205" s="251" t="str">
        <f ca="1">IF(CostTrack[[#This Row],[Release Date (CMS)]]="","*","")</f>
        <v/>
      </c>
      <c r="Y205" s="267" t="s">
        <v>45</v>
      </c>
      <c r="Z205" s="652"/>
      <c r="AA205" s="245">
        <f ca="1">IF(OR(CostTrack[[#This Row],[Release Date (CMS)]]&gt;=DATE(VALUE(REPLACE(CostTrack[[#This Row],[Fiscal Period]],3,3,"")),3,1),CostTrack[[#This Row],[Release Date (CMS)]]&lt;DATE(VALUE(LEFT(CostTrack[[#This Row],[Fiscal Period]],4)),4,1)),1,0)</f>
        <v>0</v>
      </c>
      <c r="AB205" s="655">
        <v>914</v>
      </c>
      <c r="AC205" s="1308">
        <v>44229</v>
      </c>
      <c r="AD205" s="402" t="str">
        <f ca="1">IF(CostTrack[[#This Row],[Reconciled Amount]]="","",IF(CostTrack[[#This Row],[Value]]&lt;&gt;CostTrack[[#This Row],[Reconciled Amount]],"Yes","No"))</f>
        <v>No</v>
      </c>
    </row>
    <row r="206" spans="2:30">
      <c r="B206" s="1306" t="s">
        <v>655</v>
      </c>
      <c r="C206" s="1312">
        <v>2633</v>
      </c>
      <c r="D206" s="1308">
        <v>44144</v>
      </c>
      <c r="E206" s="658">
        <v>3002</v>
      </c>
      <c r="F206" s="1309" t="s">
        <v>69</v>
      </c>
      <c r="G206" s="1310">
        <f ca="1">ROUND(IF(CostTrack[[#This Row],[Holdback (Y/N/R)]]="Yes",CostTrack[[#This Row],[Value]]*-0.1,IF(CostTrack[[#This Row],[Holdback (Y/N/R)]]="Release",CostTrack[[#This Row],[Value]],0)),2)</f>
        <v>0</v>
      </c>
      <c r="H206" s="1311">
        <f ca="1">IF(CostTrack[[#This Row],[Holdback (Y/N/R)]]="Release",CostTrack[[#This Row],[Value]],CostTrack[[#This Row],[Value]]+CostTrack[[#This Row],[Holdback Value]])</f>
        <v>3002</v>
      </c>
      <c r="I206" s="1312"/>
      <c r="J206" s="1312"/>
      <c r="K206" s="1313"/>
      <c r="L206" s="1308">
        <v>44145</v>
      </c>
      <c r="M206" s="1308"/>
      <c r="N206" s="1312"/>
      <c r="O206" s="1308" t="s">
        <v>106</v>
      </c>
      <c r="P206" s="1308">
        <v>44148</v>
      </c>
      <c r="Q206" s="1314" t="str">
        <f ca="1">IF(CostTrack[[#This Row],[Vendor - Contract]]="","",INDEX(VendorList[PA ID],MATCH(CostTrack[[#This Row],[Vendor - Contract]],VendorList[Vendor / Org. with Contract ID],0)))</f>
        <v>200.050.F1</v>
      </c>
      <c r="R206" s="1314" t="str">
        <f ca="1">IF(CostTrack[[#This Row],[Vendor - Contract]]="","",INDEX(VendorList[Primary Category],MATCH(CostTrack[[#This Row],[Vendor - Contract]],VendorList[Vendor / Org. with Contract ID],0)))</f>
        <v>Professional Services</v>
      </c>
      <c r="S206" s="1314" t="str">
        <f ca="1">IF(CostTrack[[#This Row],[Vendor - Contract]]="","",INDEX(VendorList[Secondary Category],MATCH(CostTrack[[#This Row],[Vendor - Contract]],VendorList[Vendor / Org. with Contract ID],0)))</f>
        <v>Other Professional Services</v>
      </c>
      <c r="T206" s="1314" t="str">
        <f ca="1">IF(CostTrack[[#This Row],[Vendor - Contract]]="","",INDEX(VendorList[Phase / Subproject],MATCH(CostTrack[[#This Row],[Vendor - Contract]],VendorList[Vendor / Org. with Contract ID],0)))</f>
        <v>--</v>
      </c>
      <c r="U206" s="1314" t="str">
        <f ca="1">IF(CostTrack[[#This Row],[Vendor - Contract]]="","",INDEX(VendorList[Phase / Subproject 2],MATCH(CostTrack[[#This Row],[Vendor - Contract]],VendorList[Vendor / Org. with Contract ID],0)))</f>
        <v>--</v>
      </c>
      <c r="V206" s="1314" t="str">
        <f ca="1">IF(CostTrack[[#This Row],[Vendor - Contract]]="","",INDEX(VendorList[Funding Source],MATCH(CostTrack[[#This Row],[Vendor - Contract]],VendorList[Vendor / Org. with Contract ID],0)))</f>
        <v>P-002360</v>
      </c>
      <c r="W206" s="1308">
        <v>44148</v>
      </c>
      <c r="X206" s="1315" t="str">
        <f ca="1">IF(CostTrack[[#This Row],[Release Date (CMS)]]="","*","")</f>
        <v/>
      </c>
      <c r="Y206" s="1308" t="s">
        <v>45</v>
      </c>
      <c r="Z206" s="713"/>
      <c r="AA206" s="1316">
        <f ca="1">IF(OR(CostTrack[[#This Row],[Release Date (CMS)]]&gt;=DATE(VALUE(REPLACE(CostTrack[[#This Row],[Fiscal Period]],3,3,"")),3,1),CostTrack[[#This Row],[Release Date (CMS)]]&lt;DATE(VALUE(LEFT(CostTrack[[#This Row],[Fiscal Period]],4)),4,1)),1,0)</f>
        <v>0</v>
      </c>
      <c r="AB206" s="1317">
        <v>3002</v>
      </c>
      <c r="AC206" s="1308">
        <v>44215</v>
      </c>
      <c r="AD206" s="402" t="str">
        <f ca="1">IF(CostTrack[[#This Row],[Reconciled Amount]]="","",IF(CostTrack[[#This Row],[Value]]&lt;&gt;CostTrack[[#This Row],[Reconciled Amount]],"Yes","No"))</f>
        <v>No</v>
      </c>
    </row>
    <row r="207" spans="2:30">
      <c r="B207" s="1306" t="s">
        <v>528</v>
      </c>
      <c r="C207" s="1312">
        <v>60686465</v>
      </c>
      <c r="D207" s="1308">
        <v>44175</v>
      </c>
      <c r="E207" s="658">
        <v>2900</v>
      </c>
      <c r="F207" s="1309" t="s">
        <v>69</v>
      </c>
      <c r="G207" s="1310">
        <f ca="1">ROUND(IF(CostTrack[[#This Row],[Holdback (Y/N/R)]]="Yes",CostTrack[[#This Row],[Value]]*-0.1,IF(CostTrack[[#This Row],[Holdback (Y/N/R)]]="Release",CostTrack[[#This Row],[Value]],0)),2)</f>
        <v>0</v>
      </c>
      <c r="H207" s="1311">
        <f ca="1">IF(CostTrack[[#This Row],[Holdback (Y/N/R)]]="Release",CostTrack[[#This Row],[Value]],CostTrack[[#This Row],[Value]]+CostTrack[[#This Row],[Holdback Value]])</f>
        <v>2900</v>
      </c>
      <c r="I207" s="1312"/>
      <c r="J207" s="1312"/>
      <c r="K207" s="648">
        <v>44166</v>
      </c>
      <c r="L207" s="1308">
        <v>44175</v>
      </c>
      <c r="M207" s="1308"/>
      <c r="N207" s="1312"/>
      <c r="O207" s="1308" t="s">
        <v>106</v>
      </c>
      <c r="P207" s="1308">
        <v>44179</v>
      </c>
      <c r="Q207" s="1314" t="str">
        <f ca="1">IF(CostTrack[[#This Row],[Vendor - Contract]]="","",INDEX(VendorList[PA ID],MATCH(CostTrack[[#This Row],[Vendor - Contract]],VendorList[Vendor / Org. with Contract ID],0)))</f>
        <v>200.050.F1</v>
      </c>
      <c r="R207" s="1314" t="str">
        <f ca="1">IF(CostTrack[[#This Row],[Vendor - Contract]]="","",INDEX(VendorList[Primary Category],MATCH(CostTrack[[#This Row],[Vendor - Contract]],VendorList[Vendor / Org. with Contract ID],0)))</f>
        <v>Professional Services</v>
      </c>
      <c r="S207" s="1314" t="str">
        <f ca="1">IF(CostTrack[[#This Row],[Vendor - Contract]]="","",INDEX(VendorList[Secondary Category],MATCH(CostTrack[[#This Row],[Vendor - Contract]],VendorList[Vendor / Org. with Contract ID],0)))</f>
        <v>Other Professional Services</v>
      </c>
      <c r="T207" s="1314" t="str">
        <f ca="1">IF(CostTrack[[#This Row],[Vendor - Contract]]="","",INDEX(VendorList[Phase / Subproject],MATCH(CostTrack[[#This Row],[Vendor - Contract]],VendorList[Vendor / Org. with Contract ID],0)))</f>
        <v>--</v>
      </c>
      <c r="U207" s="1314" t="str">
        <f ca="1">IF(CostTrack[[#This Row],[Vendor - Contract]]="","",INDEX(VendorList[Phase / Subproject 2],MATCH(CostTrack[[#This Row],[Vendor - Contract]],VendorList[Vendor / Org. with Contract ID],0)))</f>
        <v>--</v>
      </c>
      <c r="V207" s="1314" t="str">
        <f ca="1">IF(CostTrack[[#This Row],[Vendor - Contract]]="","",INDEX(VendorList[Funding Source],MATCH(CostTrack[[#This Row],[Vendor - Contract]],VendorList[Vendor / Org. with Contract ID],0)))</f>
        <v>P-002360</v>
      </c>
      <c r="W207" s="1308">
        <v>44179</v>
      </c>
      <c r="X207" s="1315" t="str">
        <f ca="1">IF(CostTrack[[#This Row],[Release Date (CMS)]]="","*","")</f>
        <v/>
      </c>
      <c r="Y207" s="1308" t="s">
        <v>45</v>
      </c>
      <c r="Z207" s="713"/>
      <c r="AA207" s="1316">
        <f ca="1">IF(OR(CostTrack[[#This Row],[Release Date (CMS)]]&gt;=DATE(VALUE(REPLACE(CostTrack[[#This Row],[Fiscal Period]],3,3,"")),3,1),CostTrack[[#This Row],[Release Date (CMS)]]&lt;DATE(VALUE(LEFT(CostTrack[[#This Row],[Fiscal Period]],4)),4,1)),1,0)</f>
        <v>0</v>
      </c>
      <c r="AB207" s="1317">
        <v>2900</v>
      </c>
      <c r="AC207" s="1308">
        <v>44229</v>
      </c>
      <c r="AD207" s="402" t="str">
        <f ca="1">IF(CostTrack[[#This Row],[Reconciled Amount]]="","",IF(CostTrack[[#This Row],[Value]]&lt;&gt;CostTrack[[#This Row],[Reconciled Amount]],"Yes","No"))</f>
        <v>No</v>
      </c>
    </row>
    <row r="208" spans="2:30" ht="27.95">
      <c r="B208" s="1306" t="s">
        <v>736</v>
      </c>
      <c r="C208" s="1318">
        <v>44166</v>
      </c>
      <c r="D208" s="1308">
        <v>44196</v>
      </c>
      <c r="E208" s="658">
        <v>29752.560000000001</v>
      </c>
      <c r="F208" s="1309" t="s">
        <v>69</v>
      </c>
      <c r="G208" s="1310">
        <f ca="1">ROUND(IF(CostTrack[[#This Row],[Holdback (Y/N/R)]]="Yes",CostTrack[[#This Row],[Value]]*-0.1,IF(CostTrack[[#This Row],[Holdback (Y/N/R)]]="Release",CostTrack[[#This Row],[Value]],0)),2)</f>
        <v>0</v>
      </c>
      <c r="H208" s="1311">
        <f ca="1">IF(CostTrack[[#This Row],[Holdback (Y/N/R)]]="Release",CostTrack[[#This Row],[Value]],CostTrack[[#This Row],[Value]]+CostTrack[[#This Row],[Holdback Value]])</f>
        <v>29752.560000000001</v>
      </c>
      <c r="I208" s="1312"/>
      <c r="J208" s="1312"/>
      <c r="K208" s="1313">
        <v>44166</v>
      </c>
      <c r="L208" s="1308">
        <v>44196</v>
      </c>
      <c r="M208" s="1308"/>
      <c r="N208" s="1312"/>
      <c r="O208" s="1308" t="s">
        <v>106</v>
      </c>
      <c r="P208" s="1308">
        <v>44196</v>
      </c>
      <c r="Q208" s="1314" t="str">
        <f ca="1">IF(CostTrack[[#This Row],[Vendor - Contract]]="","",INDEX(VendorList[PA ID],MATCH(CostTrack[[#This Row],[Vendor - Contract]],VendorList[Vendor / Org. with Contract ID],0)))</f>
        <v>100.010.F1</v>
      </c>
      <c r="R208" s="1314" t="str">
        <f ca="1">IF(CostTrack[[#This Row],[Vendor - Contract]]="","",INDEX(VendorList[Primary Category],MATCH(CostTrack[[#This Row],[Vendor - Contract]],VendorList[Vendor / Org. with Contract ID],0)))</f>
        <v>Administration</v>
      </c>
      <c r="S208" s="1314" t="str">
        <f ca="1">IF(CostTrack[[#This Row],[Vendor - Contract]]="","",INDEX(VendorList[Secondary Category],MATCH(CostTrack[[#This Row],[Vendor - Contract]],VendorList[Vendor / Org. with Contract ID],0)))</f>
        <v>Staff Capitalization - INFRA</v>
      </c>
      <c r="T208" s="1314" t="str">
        <f ca="1">IF(CostTrack[[#This Row],[Vendor - Contract]]="","",INDEX(VendorList[Phase / Subproject],MATCH(CostTrack[[#This Row],[Vendor - Contract]],VendorList[Vendor / Org. with Contract ID],0)))</f>
        <v>--</v>
      </c>
      <c r="U208" s="1314" t="str">
        <f ca="1">IF(CostTrack[[#This Row],[Vendor - Contract]]="","",INDEX(VendorList[Phase / Subproject 2],MATCH(CostTrack[[#This Row],[Vendor - Contract]],VendorList[Vendor / Org. with Contract ID],0)))</f>
        <v>--</v>
      </c>
      <c r="V208" s="1314" t="str">
        <f ca="1">IF(CostTrack[[#This Row],[Vendor - Contract]]="","",INDEX(VendorList[Funding Source],MATCH(CostTrack[[#This Row],[Vendor - Contract]],VendorList[Vendor / Org. with Contract ID],0)))</f>
        <v>P-002360</v>
      </c>
      <c r="W208" s="1308">
        <v>44196</v>
      </c>
      <c r="X208" s="1315" t="str">
        <f ca="1">IF(CostTrack[[#This Row],[Release Date (CMS)]]="","*","")</f>
        <v/>
      </c>
      <c r="Y208" s="1308" t="s">
        <v>45</v>
      </c>
      <c r="Z208" s="713" t="s">
        <v>937</v>
      </c>
      <c r="AA208" s="1316">
        <f ca="1">IF(OR(CostTrack[[#This Row],[Release Date (CMS)]]&gt;=DATE(VALUE(REPLACE(CostTrack[[#This Row],[Fiscal Period]],3,3,"")),3,1),CostTrack[[#This Row],[Release Date (CMS)]]&lt;DATE(VALUE(LEFT(CostTrack[[#This Row],[Fiscal Period]],4)),4,1)),1,0)</f>
        <v>0</v>
      </c>
      <c r="AB208" s="1317">
        <v>29752.560000000001</v>
      </c>
      <c r="AC208" s="1308">
        <v>44229</v>
      </c>
      <c r="AD208" s="402" t="str">
        <f ca="1">IF(CostTrack[[#This Row],[Reconciled Amount]]="","",IF(CostTrack[[#This Row],[Value]]&lt;&gt;CostTrack[[#This Row],[Reconciled Amount]],"Yes","No"))</f>
        <v>No</v>
      </c>
    </row>
    <row r="209" spans="2:30">
      <c r="B209" s="1306" t="s">
        <v>655</v>
      </c>
      <c r="C209" s="1312">
        <v>2634</v>
      </c>
      <c r="D209" s="1308">
        <v>44144</v>
      </c>
      <c r="E209" s="658">
        <v>1122</v>
      </c>
      <c r="F209" s="1309" t="s">
        <v>69</v>
      </c>
      <c r="G209" s="1310">
        <f ca="1">ROUND(IF(CostTrack[[#This Row],[Holdback (Y/N/R)]]="Yes",CostTrack[[#This Row],[Value]]*-0.1,IF(CostTrack[[#This Row],[Holdback (Y/N/R)]]="Release",CostTrack[[#This Row],[Value]],0)),2)</f>
        <v>0</v>
      </c>
      <c r="H209" s="1311">
        <f ca="1">IF(CostTrack[[#This Row],[Holdback (Y/N/R)]]="Release",CostTrack[[#This Row],[Value]],CostTrack[[#This Row],[Value]]+CostTrack[[#This Row],[Holdback Value]])</f>
        <v>1122</v>
      </c>
      <c r="I209" s="1312"/>
      <c r="J209" s="1312"/>
      <c r="K209" s="1313"/>
      <c r="L209" s="1308">
        <v>44145</v>
      </c>
      <c r="M209" s="1308"/>
      <c r="N209" s="1312"/>
      <c r="O209" s="1308" t="s">
        <v>106</v>
      </c>
      <c r="P209" s="1308">
        <v>44148</v>
      </c>
      <c r="Q209" s="1314" t="str">
        <f ca="1">IF(CostTrack[[#This Row],[Vendor - Contract]]="","",INDEX(VendorList[PA ID],MATCH(CostTrack[[#This Row],[Vendor - Contract]],VendorList[Vendor / Org. with Contract ID],0)))</f>
        <v>200.050.F1</v>
      </c>
      <c r="R209" s="1314" t="str">
        <f ca="1">IF(CostTrack[[#This Row],[Vendor - Contract]]="","",INDEX(VendorList[Primary Category],MATCH(CostTrack[[#This Row],[Vendor - Contract]],VendorList[Vendor / Org. with Contract ID],0)))</f>
        <v>Professional Services</v>
      </c>
      <c r="S209" s="1314" t="str">
        <f ca="1">IF(CostTrack[[#This Row],[Vendor - Contract]]="","",INDEX(VendorList[Secondary Category],MATCH(CostTrack[[#This Row],[Vendor - Contract]],VendorList[Vendor / Org. with Contract ID],0)))</f>
        <v>Other Professional Services</v>
      </c>
      <c r="T209" s="1314" t="str">
        <f ca="1">IF(CostTrack[[#This Row],[Vendor - Contract]]="","",INDEX(VendorList[Phase / Subproject],MATCH(CostTrack[[#This Row],[Vendor - Contract]],VendorList[Vendor / Org. with Contract ID],0)))</f>
        <v>--</v>
      </c>
      <c r="U209" s="1314" t="str">
        <f ca="1">IF(CostTrack[[#This Row],[Vendor - Contract]]="","",INDEX(VendorList[Phase / Subproject 2],MATCH(CostTrack[[#This Row],[Vendor - Contract]],VendorList[Vendor / Org. with Contract ID],0)))</f>
        <v>--</v>
      </c>
      <c r="V209" s="1314" t="str">
        <f ca="1">IF(CostTrack[[#This Row],[Vendor - Contract]]="","",INDEX(VendorList[Funding Source],MATCH(CostTrack[[#This Row],[Vendor - Contract]],VendorList[Vendor / Org. with Contract ID],0)))</f>
        <v>P-002360</v>
      </c>
      <c r="W209" s="1308">
        <v>44148</v>
      </c>
      <c r="X209" s="1315" t="str">
        <f ca="1">IF(CostTrack[[#This Row],[Release Date (CMS)]]="","*","")</f>
        <v/>
      </c>
      <c r="Y209" s="1308" t="s">
        <v>45</v>
      </c>
      <c r="Z209" s="713"/>
      <c r="AA209" s="1316">
        <f ca="1">IF(OR(CostTrack[[#This Row],[Release Date (CMS)]]&gt;=DATE(VALUE(REPLACE(CostTrack[[#This Row],[Fiscal Period]],3,3,"")),3,1),CostTrack[[#This Row],[Release Date (CMS)]]&lt;DATE(VALUE(LEFT(CostTrack[[#This Row],[Fiscal Period]],4)),4,1)),1,0)</f>
        <v>0</v>
      </c>
      <c r="AB209" s="1317">
        <v>1122</v>
      </c>
      <c r="AC209" s="1308">
        <v>44215</v>
      </c>
      <c r="AD209" s="402" t="str">
        <f ca="1">IF(CostTrack[[#This Row],[Reconciled Amount]]="","",IF(CostTrack[[#This Row],[Value]]&lt;&gt;CostTrack[[#This Row],[Reconciled Amount]],"Yes","No"))</f>
        <v>No</v>
      </c>
    </row>
    <row r="210" spans="2:30">
      <c r="B210" s="1306" t="s">
        <v>527</v>
      </c>
      <c r="C210" s="1312" t="s">
        <v>938</v>
      </c>
      <c r="D210" s="1308">
        <v>44196</v>
      </c>
      <c r="E210" s="658">
        <v>41852.04</v>
      </c>
      <c r="F210" s="1309" t="s">
        <v>69</v>
      </c>
      <c r="G210" s="1310">
        <f ca="1">ROUND(IF(CostTrack[[#This Row],[Holdback (Y/N/R)]]="Yes",CostTrack[[#This Row],[Value]]*-0.1,IF(CostTrack[[#This Row],[Holdback (Y/N/R)]]="Release",CostTrack[[#This Row],[Value]],0)),2)</f>
        <v>0</v>
      </c>
      <c r="H210" s="1311">
        <f ca="1">IF(CostTrack[[#This Row],[Holdback (Y/N/R)]]="Release",CostTrack[[#This Row],[Value]],CostTrack[[#This Row],[Value]]+CostTrack[[#This Row],[Holdback Value]])</f>
        <v>41852.04</v>
      </c>
      <c r="I210" s="1312"/>
      <c r="J210" s="1312"/>
      <c r="K210" s="1313">
        <v>44197</v>
      </c>
      <c r="L210" s="1308">
        <v>44207</v>
      </c>
      <c r="M210" s="1308"/>
      <c r="N210" s="1312"/>
      <c r="O210" s="1308" t="s">
        <v>106</v>
      </c>
      <c r="P210" s="1308">
        <v>44204</v>
      </c>
      <c r="Q210" s="1314" t="str">
        <f ca="1">IF(CostTrack[[#This Row],[Vendor - Contract]]="","",INDEX(VendorList[PA ID],MATCH(CostTrack[[#This Row],[Vendor - Contract]],VendorList[Vendor / Org. with Contract ID],0)))</f>
        <v>200.010.F1</v>
      </c>
      <c r="R210" s="1314" t="str">
        <f ca="1">IF(CostTrack[[#This Row],[Vendor - Contract]]="","",INDEX(VendorList[Primary Category],MATCH(CostTrack[[#This Row],[Vendor - Contract]],VendorList[Vendor / Org. with Contract ID],0)))</f>
        <v>Professional Services</v>
      </c>
      <c r="S210" s="1314" t="str">
        <f ca="1">IF(CostTrack[[#This Row],[Vendor - Contract]]="","",INDEX(VendorList[Secondary Category],MATCH(CostTrack[[#This Row],[Vendor - Contract]],VendorList[Vendor / Org. with Contract ID],0)))</f>
        <v>Prime Consultant</v>
      </c>
      <c r="T210" s="1314" t="str">
        <f ca="1">IF(CostTrack[[#This Row],[Vendor - Contract]]="","",INDEX(VendorList[Phase / Subproject],MATCH(CostTrack[[#This Row],[Vendor - Contract]],VendorList[Vendor / Org. with Contract ID],0)))</f>
        <v>--</v>
      </c>
      <c r="U210" s="1314" t="str">
        <f ca="1">IF(CostTrack[[#This Row],[Vendor - Contract]]="","",INDEX(VendorList[Phase / Subproject 2],MATCH(CostTrack[[#This Row],[Vendor - Contract]],VendorList[Vendor / Org. with Contract ID],0)))</f>
        <v>--</v>
      </c>
      <c r="V210" s="1314" t="str">
        <f ca="1">IF(CostTrack[[#This Row],[Vendor - Contract]]="","",INDEX(VendorList[Funding Source],MATCH(CostTrack[[#This Row],[Vendor - Contract]],VendorList[Vendor / Org. with Contract ID],0)))</f>
        <v>P-002360</v>
      </c>
      <c r="W210" s="1308">
        <v>44207</v>
      </c>
      <c r="X210" s="1315" t="str">
        <f ca="1">IF(CostTrack[[#This Row],[Release Date (CMS)]]="","*","")</f>
        <v/>
      </c>
      <c r="Y210" s="1308" t="s">
        <v>45</v>
      </c>
      <c r="Z210" s="713"/>
      <c r="AA210" s="1316">
        <f ca="1">IF(OR(CostTrack[[#This Row],[Release Date (CMS)]]&gt;=DATE(VALUE(REPLACE(CostTrack[[#This Row],[Fiscal Period]],3,3,"")),3,1),CostTrack[[#This Row],[Release Date (CMS)]]&lt;DATE(VALUE(LEFT(CostTrack[[#This Row],[Fiscal Period]],4)),4,1)),1,0)</f>
        <v>0</v>
      </c>
      <c r="AB210" s="1317">
        <v>41852.04</v>
      </c>
      <c r="AC210" s="1308">
        <v>44229</v>
      </c>
      <c r="AD210" s="402" t="str">
        <f ca="1">IF(CostTrack[[#This Row],[Reconciled Amount]]="","",IF(CostTrack[[#This Row],[Value]]&lt;&gt;CostTrack[[#This Row],[Reconciled Amount]],"Yes","No"))</f>
        <v>No</v>
      </c>
    </row>
    <row r="211" spans="2:30">
      <c r="B211" s="653" t="s">
        <v>529</v>
      </c>
      <c r="C211" s="650" t="s">
        <v>939</v>
      </c>
      <c r="D211" s="1308">
        <v>44196</v>
      </c>
      <c r="E211" s="654">
        <v>1548795.17</v>
      </c>
      <c r="F211" s="647" t="s">
        <v>65</v>
      </c>
      <c r="G211" s="406">
        <f ca="1">ROUND(IF(CostTrack[[#This Row],[Holdback (Y/N/R)]]="Yes",CostTrack[[#This Row],[Value]]*-0.1,IF(CostTrack[[#This Row],[Holdback (Y/N/R)]]="Release",CostTrack[[#This Row],[Value]],0)),2)</f>
        <v>-154879.51999999999</v>
      </c>
      <c r="H211" s="407">
        <f ca="1">IF(CostTrack[[#This Row],[Holdback (Y/N/R)]]="Release",CostTrack[[#This Row],[Value]],CostTrack[[#This Row],[Value]]+CostTrack[[#This Row],[Holdback Value]])</f>
        <v>1393915.65</v>
      </c>
      <c r="I211" s="650" t="s">
        <v>940</v>
      </c>
      <c r="J211" s="650"/>
      <c r="K211" s="1313">
        <v>44197</v>
      </c>
      <c r="L211" s="267">
        <v>44221</v>
      </c>
      <c r="M211" s="267"/>
      <c r="N211" s="650"/>
      <c r="O211" s="267" t="s">
        <v>106</v>
      </c>
      <c r="P211" s="267">
        <v>44221</v>
      </c>
      <c r="Q211" s="243" t="str">
        <f ca="1">IF(CostTrack[[#This Row],[Vendor - Contract]]="","",INDEX(VendorList[PA ID],MATCH(CostTrack[[#This Row],[Vendor - Contract]],VendorList[Vendor / Org. with Contract ID],0)))</f>
        <v>300.030.F1</v>
      </c>
      <c r="R211" s="243" t="str">
        <f ca="1">IF(CostTrack[[#This Row],[Vendor - Contract]]="","",INDEX(VendorList[Primary Category],MATCH(CostTrack[[#This Row],[Vendor - Contract]],VendorList[Vendor / Org. with Contract ID],0)))</f>
        <v>Construction</v>
      </c>
      <c r="S211" s="243" t="str">
        <f ca="1">IF(CostTrack[[#This Row],[Vendor - Contract]]="","",INDEX(VendorList[Secondary Category],MATCH(CostTrack[[#This Row],[Vendor - Contract]],VendorList[Vendor / Org. with Contract ID],0)))</f>
        <v>Prime Contractor</v>
      </c>
      <c r="T211" s="243" t="str">
        <f ca="1">IF(CostTrack[[#This Row],[Vendor - Contract]]="","",INDEX(VendorList[Phase / Subproject],MATCH(CostTrack[[#This Row],[Vendor - Contract]],VendorList[Vendor / Org. with Contract ID],0)))</f>
        <v>--</v>
      </c>
      <c r="U211" s="243" t="str">
        <f ca="1">IF(CostTrack[[#This Row],[Vendor - Contract]]="","",INDEX(VendorList[Phase / Subproject 2],MATCH(CostTrack[[#This Row],[Vendor - Contract]],VendorList[Vendor / Org. with Contract ID],0)))</f>
        <v>--</v>
      </c>
      <c r="V211" s="243" t="str">
        <f ca="1">IF(CostTrack[[#This Row],[Vendor - Contract]]="","",INDEX(VendorList[Funding Source],MATCH(CostTrack[[#This Row],[Vendor - Contract]],VendorList[Vendor / Org. with Contract ID],0)))</f>
        <v>P-002360</v>
      </c>
      <c r="W211" s="267">
        <v>44221</v>
      </c>
      <c r="X211" s="251" t="str">
        <f ca="1">IF(CostTrack[[#This Row],[Release Date (CMS)]]="","*","")</f>
        <v/>
      </c>
      <c r="Y211" s="267" t="s">
        <v>45</v>
      </c>
      <c r="Z211" s="652"/>
      <c r="AA211" s="245">
        <f ca="1">IF(OR(CostTrack[[#This Row],[Release Date (CMS)]]&gt;=DATE(VALUE(REPLACE(CostTrack[[#This Row],[Fiscal Period]],3,3,"")),3,1),CostTrack[[#This Row],[Release Date (CMS)]]&lt;DATE(VALUE(LEFT(CostTrack[[#This Row],[Fiscal Period]],4)),4,1)),1,0)</f>
        <v>0</v>
      </c>
      <c r="AB211" s="655">
        <v>1548795.17</v>
      </c>
      <c r="AC211" s="1308">
        <v>44229</v>
      </c>
      <c r="AD211" s="402" t="str">
        <f ca="1">IF(CostTrack[[#This Row],[Reconciled Amount]]="","",IF(CostTrack[[#This Row],[Value]]&lt;&gt;CostTrack[[#This Row],[Reconciled Amount]],"Yes","No"))</f>
        <v>No</v>
      </c>
    </row>
    <row r="212" spans="2:30">
      <c r="B212" s="653" t="s">
        <v>528</v>
      </c>
      <c r="C212" s="650">
        <v>60690758</v>
      </c>
      <c r="D212" s="267">
        <v>44214</v>
      </c>
      <c r="E212" s="654">
        <v>3526.75</v>
      </c>
      <c r="F212" s="647" t="s">
        <v>69</v>
      </c>
      <c r="G212" s="406">
        <f ca="1">ROUND(IF(CostTrack[[#This Row],[Holdback (Y/N/R)]]="Yes",CostTrack[[#This Row],[Value]]*-0.1,IF(CostTrack[[#This Row],[Holdback (Y/N/R)]]="Release",CostTrack[[#This Row],[Value]],0)),2)</f>
        <v>0</v>
      </c>
      <c r="H212" s="407">
        <f ca="1">IF(CostTrack[[#This Row],[Holdback (Y/N/R)]]="Release",CostTrack[[#This Row],[Value]],CostTrack[[#This Row],[Value]]+CostTrack[[#This Row],[Holdback Value]])</f>
        <v>3526.75</v>
      </c>
      <c r="I212" s="650"/>
      <c r="J212" s="650"/>
      <c r="K212" s="648">
        <v>44197</v>
      </c>
      <c r="L212" s="267">
        <v>44214</v>
      </c>
      <c r="M212" s="267"/>
      <c r="N212" s="650"/>
      <c r="O212" s="267" t="s">
        <v>106</v>
      </c>
      <c r="P212" s="267">
        <v>44215</v>
      </c>
      <c r="Q212" s="243" t="str">
        <f ca="1">IF(CostTrack[[#This Row],[Vendor - Contract]]="","",INDEX(VendorList[PA ID],MATCH(CostTrack[[#This Row],[Vendor - Contract]],VendorList[Vendor / Org. with Contract ID],0)))</f>
        <v>200.050.F1</v>
      </c>
      <c r="R212" s="243" t="str">
        <f ca="1">IF(CostTrack[[#This Row],[Vendor - Contract]]="","",INDEX(VendorList[Primary Category],MATCH(CostTrack[[#This Row],[Vendor - Contract]],VendorList[Vendor / Org. with Contract ID],0)))</f>
        <v>Professional Services</v>
      </c>
      <c r="S212" s="243" t="str">
        <f ca="1">IF(CostTrack[[#This Row],[Vendor - Contract]]="","",INDEX(VendorList[Secondary Category],MATCH(CostTrack[[#This Row],[Vendor - Contract]],VendorList[Vendor / Org. with Contract ID],0)))</f>
        <v>Other Professional Services</v>
      </c>
      <c r="T212" s="243" t="str">
        <f ca="1">IF(CostTrack[[#This Row],[Vendor - Contract]]="","",INDEX(VendorList[Phase / Subproject],MATCH(CostTrack[[#This Row],[Vendor - Contract]],VendorList[Vendor / Org. with Contract ID],0)))</f>
        <v>--</v>
      </c>
      <c r="U212" s="243" t="str">
        <f ca="1">IF(CostTrack[[#This Row],[Vendor - Contract]]="","",INDEX(VendorList[Phase / Subproject 2],MATCH(CostTrack[[#This Row],[Vendor - Contract]],VendorList[Vendor / Org. with Contract ID],0)))</f>
        <v>--</v>
      </c>
      <c r="V212" s="243" t="str">
        <f ca="1">IF(CostTrack[[#This Row],[Vendor - Contract]]="","",INDEX(VendorList[Funding Source],MATCH(CostTrack[[#This Row],[Vendor - Contract]],VendorList[Vendor / Org. with Contract ID],0)))</f>
        <v>P-002360</v>
      </c>
      <c r="W212" s="267">
        <v>44215</v>
      </c>
      <c r="X212" s="251" t="str">
        <f ca="1">IF(CostTrack[[#This Row],[Release Date (CMS)]]="","*","")</f>
        <v/>
      </c>
      <c r="Y212" s="267" t="s">
        <v>45</v>
      </c>
      <c r="Z212" s="652"/>
      <c r="AA212" s="245">
        <f ca="1">IF(OR(CostTrack[[#This Row],[Release Date (CMS)]]&gt;=DATE(VALUE(REPLACE(CostTrack[[#This Row],[Fiscal Period]],3,3,"")),3,1),CostTrack[[#This Row],[Release Date (CMS)]]&lt;DATE(VALUE(LEFT(CostTrack[[#This Row],[Fiscal Period]],4)),4,1)),1,0)</f>
        <v>0</v>
      </c>
      <c r="AB212" s="655">
        <v>3526.75</v>
      </c>
      <c r="AC212" s="267">
        <v>44229</v>
      </c>
      <c r="AD212" s="402" t="str">
        <f ca="1">IF(CostTrack[[#This Row],[Reconciled Amount]]="","",IF(CostTrack[[#This Row],[Value]]&lt;&gt;CostTrack[[#This Row],[Reconciled Amount]],"Yes","No"))</f>
        <v>No</v>
      </c>
    </row>
    <row r="213" spans="2:30" ht="27.95">
      <c r="B213" s="1306" t="s">
        <v>736</v>
      </c>
      <c r="C213" s="664" t="s">
        <v>941</v>
      </c>
      <c r="D213" s="1308">
        <v>44227</v>
      </c>
      <c r="E213" s="1317">
        <v>31273.360000000001</v>
      </c>
      <c r="F213" s="1309"/>
      <c r="G213" s="1310">
        <f ca="1">ROUND(IF(CostTrack[[#This Row],[Holdback (Y/N/R)]]="Yes",CostTrack[[#This Row],[Value]]*-0.1,IF(CostTrack[[#This Row],[Holdback (Y/N/R)]]="Release",CostTrack[[#This Row],[Value]],0)),2)</f>
        <v>0</v>
      </c>
      <c r="H213" s="1311">
        <f ca="1">IF(CostTrack[[#This Row],[Holdback (Y/N/R)]]="Release",CostTrack[[#This Row],[Value]],CostTrack[[#This Row],[Value]]+CostTrack[[#This Row],[Holdback Value]])</f>
        <v>31273.360000000001</v>
      </c>
      <c r="I213" s="1312"/>
      <c r="J213" s="1312"/>
      <c r="K213" s="1313">
        <v>44197</v>
      </c>
      <c r="L213" s="1308">
        <v>44236</v>
      </c>
      <c r="M213" s="1308"/>
      <c r="N213" s="1312"/>
      <c r="O213" s="1308" t="s">
        <v>106</v>
      </c>
      <c r="P213" s="1308"/>
      <c r="Q213" s="1314" t="str">
        <f ca="1">IF(CostTrack[[#This Row],[Vendor - Contract]]="","",INDEX(VendorList[PA ID],MATCH(CostTrack[[#This Row],[Vendor - Contract]],VendorList[Vendor / Org. with Contract ID],0)))</f>
        <v>100.010.F1</v>
      </c>
      <c r="R213" s="1314" t="str">
        <f ca="1">IF(CostTrack[[#This Row],[Vendor - Contract]]="","",INDEX(VendorList[Primary Category],MATCH(CostTrack[[#This Row],[Vendor - Contract]],VendorList[Vendor / Org. with Contract ID],0)))</f>
        <v>Administration</v>
      </c>
      <c r="S213" s="1314" t="str">
        <f ca="1">IF(CostTrack[[#This Row],[Vendor - Contract]]="","",INDEX(VendorList[Secondary Category],MATCH(CostTrack[[#This Row],[Vendor - Contract]],VendorList[Vendor / Org. with Contract ID],0)))</f>
        <v>Staff Capitalization - INFRA</v>
      </c>
      <c r="T213" s="1314" t="str">
        <f ca="1">IF(CostTrack[[#This Row],[Vendor - Contract]]="","",INDEX(VendorList[Phase / Subproject],MATCH(CostTrack[[#This Row],[Vendor - Contract]],VendorList[Vendor / Org. with Contract ID],0)))</f>
        <v>--</v>
      </c>
      <c r="U213" s="1314" t="str">
        <f ca="1">IF(CostTrack[[#This Row],[Vendor - Contract]]="","",INDEX(VendorList[Phase / Subproject 2],MATCH(CostTrack[[#This Row],[Vendor - Contract]],VendorList[Vendor / Org. with Contract ID],0)))</f>
        <v>--</v>
      </c>
      <c r="V213" s="1314" t="str">
        <f ca="1">IF(CostTrack[[#This Row],[Vendor - Contract]]="","",INDEX(VendorList[Funding Source],MATCH(CostTrack[[#This Row],[Vendor - Contract]],VendorList[Vendor / Org. with Contract ID],0)))</f>
        <v>P-002360</v>
      </c>
      <c r="W213" s="1308">
        <v>44227</v>
      </c>
      <c r="X213" s="1315" t="str">
        <f ca="1">IF(CostTrack[[#This Row],[Release Date (CMS)]]="","*","")</f>
        <v/>
      </c>
      <c r="Y213" s="1308" t="s">
        <v>45</v>
      </c>
      <c r="Z213" s="652" t="s">
        <v>942</v>
      </c>
      <c r="AA213" s="1316">
        <f ca="1">IF(OR(CostTrack[[#This Row],[Release Date (CMS)]]&gt;=DATE(VALUE(REPLACE(CostTrack[[#This Row],[Fiscal Period]],3,3,"")),3,1),CostTrack[[#This Row],[Release Date (CMS)]]&lt;DATE(VALUE(LEFT(CostTrack[[#This Row],[Fiscal Period]],4)),4,1)),1,0)</f>
        <v>0</v>
      </c>
      <c r="AB213" s="1317">
        <v>31273.360000000001</v>
      </c>
      <c r="AC213" s="1308">
        <v>44246</v>
      </c>
      <c r="AD213" s="402" t="str">
        <f ca="1">IF(CostTrack[[#This Row],[Reconciled Amount]]="","",IF(CostTrack[[#This Row],[Value]]&lt;&gt;CostTrack[[#This Row],[Reconciled Amount]],"Yes","No"))</f>
        <v>No</v>
      </c>
    </row>
    <row r="214" spans="2:30">
      <c r="B214" s="1306" t="s">
        <v>624</v>
      </c>
      <c r="C214" s="1312">
        <v>1572854</v>
      </c>
      <c r="D214" s="1308">
        <v>44229</v>
      </c>
      <c r="E214" s="658">
        <v>4600</v>
      </c>
      <c r="F214" s="1309" t="s">
        <v>69</v>
      </c>
      <c r="G214" s="1310">
        <f ca="1">ROUND(IF(CostTrack[[#This Row],[Holdback (Y/N/R)]]="Yes",CostTrack[[#This Row],[Value]]*-0.1,IF(CostTrack[[#This Row],[Holdback (Y/N/R)]]="Release",CostTrack[[#This Row],[Value]],0)),2)</f>
        <v>0</v>
      </c>
      <c r="H214" s="1311">
        <f ca="1">IF(CostTrack[[#This Row],[Holdback (Y/N/R)]]="Release",CostTrack[[#This Row],[Value]],CostTrack[[#This Row],[Value]]+CostTrack[[#This Row],[Holdback Value]])</f>
        <v>4600</v>
      </c>
      <c r="I214" s="1312"/>
      <c r="J214" s="1312"/>
      <c r="K214" s="1313">
        <v>44197</v>
      </c>
      <c r="L214" s="1308">
        <v>44229</v>
      </c>
      <c r="M214" s="1308"/>
      <c r="N214" s="1312"/>
      <c r="O214" s="1308" t="s">
        <v>106</v>
      </c>
      <c r="P214" s="1308">
        <v>44229</v>
      </c>
      <c r="Q214" s="1314" t="str">
        <f ca="1">IF(CostTrack[[#This Row],[Vendor - Contract]]="","",INDEX(VendorList[PA ID],MATCH(CostTrack[[#This Row],[Vendor - Contract]],VendorList[Vendor / Org. with Contract ID],0)))</f>
        <v>200.040.F1</v>
      </c>
      <c r="R214" s="1314" t="str">
        <f ca="1">IF(CostTrack[[#This Row],[Vendor - Contract]]="","",INDEX(VendorList[Primary Category],MATCH(CostTrack[[#This Row],[Vendor - Contract]],VendorList[Vendor / Org. with Contract ID],0)))</f>
        <v>Professional Services</v>
      </c>
      <c r="S214" s="1314" t="str">
        <f ca="1">IF(CostTrack[[#This Row],[Vendor - Contract]]="","",INDEX(VendorList[Secondary Category],MATCH(CostTrack[[#This Row],[Vendor - Contract]],VendorList[Vendor / Org. with Contract ID],0)))</f>
        <v>Commissioning</v>
      </c>
      <c r="T214" s="1314" t="str">
        <f ca="1">IF(CostTrack[[#This Row],[Vendor - Contract]]="","",INDEX(VendorList[Phase / Subproject],MATCH(CostTrack[[#This Row],[Vendor - Contract]],VendorList[Vendor / Org. with Contract ID],0)))</f>
        <v>--</v>
      </c>
      <c r="U214" s="1314" t="str">
        <f ca="1">IF(CostTrack[[#This Row],[Vendor - Contract]]="","",INDEX(VendorList[Phase / Subproject 2],MATCH(CostTrack[[#This Row],[Vendor - Contract]],VendorList[Vendor / Org. with Contract ID],0)))</f>
        <v>--</v>
      </c>
      <c r="V214" s="1314" t="str">
        <f ca="1">IF(CostTrack[[#This Row],[Vendor - Contract]]="","",INDEX(VendorList[Funding Source],MATCH(CostTrack[[#This Row],[Vendor - Contract]],VendorList[Vendor / Org. with Contract ID],0)))</f>
        <v>P-002360</v>
      </c>
      <c r="W214" s="1308">
        <v>44230</v>
      </c>
      <c r="X214" s="1315" t="str">
        <f ca="1">IF(CostTrack[[#This Row],[Release Date (CMS)]]="","*","")</f>
        <v/>
      </c>
      <c r="Y214" s="1308" t="s">
        <v>45</v>
      </c>
      <c r="Z214" s="713"/>
      <c r="AA214" s="1316">
        <f ca="1">IF(OR(CostTrack[[#This Row],[Release Date (CMS)]]&gt;=DATE(VALUE(REPLACE(CostTrack[[#This Row],[Fiscal Period]],3,3,"")),3,1),CostTrack[[#This Row],[Release Date (CMS)]]&lt;DATE(VALUE(LEFT(CostTrack[[#This Row],[Fiscal Period]],4)),4,1)),1,0)</f>
        <v>0</v>
      </c>
      <c r="AB214" s="1317">
        <v>4600</v>
      </c>
      <c r="AC214" s="1308">
        <v>44246</v>
      </c>
      <c r="AD214" s="402" t="str">
        <f ca="1">IF(CostTrack[[#This Row],[Reconciled Amount]]="","",IF(CostTrack[[#This Row],[Value]]&lt;&gt;CostTrack[[#This Row],[Reconciled Amount]],"Yes","No"))</f>
        <v>No</v>
      </c>
    </row>
    <row r="215" spans="2:30">
      <c r="B215" s="1306" t="s">
        <v>527</v>
      </c>
      <c r="C215" s="1312" t="s">
        <v>943</v>
      </c>
      <c r="D215" s="1308">
        <v>44227</v>
      </c>
      <c r="E215" s="658">
        <v>56391.040000000001</v>
      </c>
      <c r="F215" s="1309" t="s">
        <v>69</v>
      </c>
      <c r="G215" s="1310">
        <f ca="1">ROUND(IF(CostTrack[[#This Row],[Holdback (Y/N/R)]]="Yes",CostTrack[[#This Row],[Value]]*-0.1,IF(CostTrack[[#This Row],[Holdback (Y/N/R)]]="Release",CostTrack[[#This Row],[Value]],0)),2)</f>
        <v>0</v>
      </c>
      <c r="H215" s="1311">
        <f ca="1">IF(CostTrack[[#This Row],[Holdback (Y/N/R)]]="Release",CostTrack[[#This Row],[Value]],CostTrack[[#This Row],[Value]]+CostTrack[[#This Row],[Holdback Value]])</f>
        <v>56391.040000000001</v>
      </c>
      <c r="I215" s="1312"/>
      <c r="J215" s="1312"/>
      <c r="K215" s="1313">
        <v>44197</v>
      </c>
      <c r="L215" s="1308">
        <v>44232</v>
      </c>
      <c r="M215" s="1308"/>
      <c r="N215" s="1312"/>
      <c r="O215" s="1308" t="s">
        <v>106</v>
      </c>
      <c r="P215" s="1308">
        <v>44232</v>
      </c>
      <c r="Q215" s="1314" t="str">
        <f ca="1">IF(CostTrack[[#This Row],[Vendor - Contract]]="","",INDEX(VendorList[PA ID],MATCH(CostTrack[[#This Row],[Vendor - Contract]],VendorList[Vendor / Org. with Contract ID],0)))</f>
        <v>200.010.F1</v>
      </c>
      <c r="R215" s="1314" t="str">
        <f ca="1">IF(CostTrack[[#This Row],[Vendor - Contract]]="","",INDEX(VendorList[Primary Category],MATCH(CostTrack[[#This Row],[Vendor - Contract]],VendorList[Vendor / Org. with Contract ID],0)))</f>
        <v>Professional Services</v>
      </c>
      <c r="S215" s="1314" t="str">
        <f ca="1">IF(CostTrack[[#This Row],[Vendor - Contract]]="","",INDEX(VendorList[Secondary Category],MATCH(CostTrack[[#This Row],[Vendor - Contract]],VendorList[Vendor / Org. with Contract ID],0)))</f>
        <v>Prime Consultant</v>
      </c>
      <c r="T215" s="1314" t="str">
        <f ca="1">IF(CostTrack[[#This Row],[Vendor - Contract]]="","",INDEX(VendorList[Phase / Subproject],MATCH(CostTrack[[#This Row],[Vendor - Contract]],VendorList[Vendor / Org. with Contract ID],0)))</f>
        <v>--</v>
      </c>
      <c r="U215" s="1314" t="str">
        <f ca="1">IF(CostTrack[[#This Row],[Vendor - Contract]]="","",INDEX(VendorList[Phase / Subproject 2],MATCH(CostTrack[[#This Row],[Vendor - Contract]],VendorList[Vendor / Org. with Contract ID],0)))</f>
        <v>--</v>
      </c>
      <c r="V215" s="1314" t="str">
        <f ca="1">IF(CostTrack[[#This Row],[Vendor - Contract]]="","",INDEX(VendorList[Funding Source],MATCH(CostTrack[[#This Row],[Vendor - Contract]],VendorList[Vendor / Org. with Contract ID],0)))</f>
        <v>P-002360</v>
      </c>
      <c r="W215" s="1308">
        <v>44232</v>
      </c>
      <c r="X215" s="1315" t="str">
        <f ca="1">IF(CostTrack[[#This Row],[Release Date (CMS)]]="","*","")</f>
        <v/>
      </c>
      <c r="Y215" s="1308" t="s">
        <v>45</v>
      </c>
      <c r="Z215" s="713"/>
      <c r="AA215" s="1316">
        <f ca="1">IF(OR(CostTrack[[#This Row],[Release Date (CMS)]]&gt;=DATE(VALUE(REPLACE(CostTrack[[#This Row],[Fiscal Period]],3,3,"")),3,1),CostTrack[[#This Row],[Release Date (CMS)]]&lt;DATE(VALUE(LEFT(CostTrack[[#This Row],[Fiscal Period]],4)),4,1)),1,0)</f>
        <v>0</v>
      </c>
      <c r="AB215" s="1317">
        <v>56391.040000000001</v>
      </c>
      <c r="AC215" s="1308">
        <v>44246</v>
      </c>
      <c r="AD215" s="402" t="str">
        <f ca="1">IF(CostTrack[[#This Row],[Reconciled Amount]]="","",IF(CostTrack[[#This Row],[Value]]&lt;&gt;CostTrack[[#This Row],[Reconciled Amount]],"Yes","No"))</f>
        <v>No</v>
      </c>
    </row>
    <row r="216" spans="2:30">
      <c r="B216" s="1306" t="s">
        <v>529</v>
      </c>
      <c r="C216" s="1312">
        <v>25078</v>
      </c>
      <c r="D216" s="1308">
        <v>44227</v>
      </c>
      <c r="E216" s="658">
        <v>2092179.51</v>
      </c>
      <c r="F216" s="1309" t="s">
        <v>65</v>
      </c>
      <c r="G216" s="1310">
        <f ca="1">ROUND(IF(CostTrack[[#This Row],[Holdback (Y/N/R)]]="Yes",CostTrack[[#This Row],[Value]]*-0.1,IF(CostTrack[[#This Row],[Holdback (Y/N/R)]]="Release",CostTrack[[#This Row],[Value]],0)),2)</f>
        <v>-209217.95</v>
      </c>
      <c r="H216" s="1311">
        <f ca="1">IF(CostTrack[[#This Row],[Holdback (Y/N/R)]]="Release",CostTrack[[#This Row],[Value]],CostTrack[[#This Row],[Value]]+CostTrack[[#This Row],[Holdback Value]])</f>
        <v>1882961.56</v>
      </c>
      <c r="I216" s="1312">
        <v>6</v>
      </c>
      <c r="J216" s="1312"/>
      <c r="K216" s="1313">
        <v>44197</v>
      </c>
      <c r="L216" s="1308">
        <v>44244</v>
      </c>
      <c r="M216" s="1308"/>
      <c r="N216" s="1312"/>
      <c r="O216" s="1308" t="s">
        <v>106</v>
      </c>
      <c r="P216" s="1308">
        <v>44244</v>
      </c>
      <c r="Q216" s="1314" t="str">
        <f ca="1">IF(CostTrack[[#This Row],[Vendor - Contract]]="","",INDEX(VendorList[PA ID],MATCH(CostTrack[[#This Row],[Vendor - Contract]],VendorList[Vendor / Org. with Contract ID],0)))</f>
        <v>300.030.F1</v>
      </c>
      <c r="R216" s="1314" t="str">
        <f ca="1">IF(CostTrack[[#This Row],[Vendor - Contract]]="","",INDEX(VendorList[Primary Category],MATCH(CostTrack[[#This Row],[Vendor - Contract]],VendorList[Vendor / Org. with Contract ID],0)))</f>
        <v>Construction</v>
      </c>
      <c r="S216" s="1314" t="str">
        <f ca="1">IF(CostTrack[[#This Row],[Vendor - Contract]]="","",INDEX(VendorList[Secondary Category],MATCH(CostTrack[[#This Row],[Vendor - Contract]],VendorList[Vendor / Org. with Contract ID],0)))</f>
        <v>Prime Contractor</v>
      </c>
      <c r="T216" s="1314" t="str">
        <f ca="1">IF(CostTrack[[#This Row],[Vendor - Contract]]="","",INDEX(VendorList[Phase / Subproject],MATCH(CostTrack[[#This Row],[Vendor - Contract]],VendorList[Vendor / Org. with Contract ID],0)))</f>
        <v>--</v>
      </c>
      <c r="U216" s="1314" t="str">
        <f ca="1">IF(CostTrack[[#This Row],[Vendor - Contract]]="","",INDEX(VendorList[Phase / Subproject 2],MATCH(CostTrack[[#This Row],[Vendor - Contract]],VendorList[Vendor / Org. with Contract ID],0)))</f>
        <v>--</v>
      </c>
      <c r="V216" s="1314" t="str">
        <f ca="1">IF(CostTrack[[#This Row],[Vendor - Contract]]="","",INDEX(VendorList[Funding Source],MATCH(CostTrack[[#This Row],[Vendor - Contract]],VendorList[Vendor / Org. with Contract ID],0)))</f>
        <v>P-002360</v>
      </c>
      <c r="W216" s="1308">
        <v>44244</v>
      </c>
      <c r="X216" s="1315" t="str">
        <f ca="1">IF(CostTrack[[#This Row],[Release Date (CMS)]]="","*","")</f>
        <v/>
      </c>
      <c r="Y216" s="1308" t="s">
        <v>45</v>
      </c>
      <c r="Z216" s="713"/>
      <c r="AA216" s="1316">
        <f ca="1">IF(OR(CostTrack[[#This Row],[Release Date (CMS)]]&gt;=DATE(VALUE(REPLACE(CostTrack[[#This Row],[Fiscal Period]],3,3,"")),3,1),CostTrack[[#This Row],[Release Date (CMS)]]&lt;DATE(VALUE(LEFT(CostTrack[[#This Row],[Fiscal Period]],4)),4,1)),1,0)</f>
        <v>0</v>
      </c>
      <c r="AB216" s="1317">
        <v>2092179.51</v>
      </c>
      <c r="AC216" s="1308">
        <v>44279</v>
      </c>
      <c r="AD216" s="402" t="str">
        <f ca="1">IF(CostTrack[[#This Row],[Reconciled Amount]]="","",IF(CostTrack[[#This Row],[Value]]&lt;&gt;CostTrack[[#This Row],[Reconciled Amount]],"Yes","No"))</f>
        <v>No</v>
      </c>
    </row>
    <row r="217" spans="2:30">
      <c r="B217" s="653" t="s">
        <v>655</v>
      </c>
      <c r="C217" s="650">
        <v>2679</v>
      </c>
      <c r="D217" s="267">
        <v>44239</v>
      </c>
      <c r="E217" s="654">
        <v>1730</v>
      </c>
      <c r="F217" s="647" t="s">
        <v>69</v>
      </c>
      <c r="G217" s="406">
        <f ca="1">ROUND(IF(CostTrack[[#This Row],[Holdback (Y/N/R)]]="Yes",CostTrack[[#This Row],[Value]]*-0.1,IF(CostTrack[[#This Row],[Holdback (Y/N/R)]]="Release",CostTrack[[#This Row],[Value]],0)),2)</f>
        <v>0</v>
      </c>
      <c r="H217" s="407">
        <f ca="1">IF(CostTrack[[#This Row],[Holdback (Y/N/R)]]="Release",CostTrack[[#This Row],[Value]],CostTrack[[#This Row],[Value]]+CostTrack[[#This Row],[Holdback Value]])</f>
        <v>1730</v>
      </c>
      <c r="I217" s="650"/>
      <c r="J217" s="650"/>
      <c r="K217" s="1313">
        <v>44228</v>
      </c>
      <c r="L217" s="1308">
        <v>44244</v>
      </c>
      <c r="M217" s="1308"/>
      <c r="N217" s="1312"/>
      <c r="O217" s="1308" t="s">
        <v>106</v>
      </c>
      <c r="P217" s="1308">
        <v>44245</v>
      </c>
      <c r="Q217" s="243" t="str">
        <f ca="1">IF(CostTrack[[#This Row],[Vendor - Contract]]="","",INDEX(VendorList[PA ID],MATCH(CostTrack[[#This Row],[Vendor - Contract]],VendorList[Vendor / Org. with Contract ID],0)))</f>
        <v>200.050.F1</v>
      </c>
      <c r="R217" s="243" t="str">
        <f ca="1">IF(CostTrack[[#This Row],[Vendor - Contract]]="","",INDEX(VendorList[Primary Category],MATCH(CostTrack[[#This Row],[Vendor - Contract]],VendorList[Vendor / Org. with Contract ID],0)))</f>
        <v>Professional Services</v>
      </c>
      <c r="S217" s="243" t="str">
        <f ca="1">IF(CostTrack[[#This Row],[Vendor - Contract]]="","",INDEX(VendorList[Secondary Category],MATCH(CostTrack[[#This Row],[Vendor - Contract]],VendorList[Vendor / Org. with Contract ID],0)))</f>
        <v>Other Professional Services</v>
      </c>
      <c r="T217" s="243" t="str">
        <f ca="1">IF(CostTrack[[#This Row],[Vendor - Contract]]="","",INDEX(VendorList[Phase / Subproject],MATCH(CostTrack[[#This Row],[Vendor - Contract]],VendorList[Vendor / Org. with Contract ID],0)))</f>
        <v>--</v>
      </c>
      <c r="U217" s="243" t="str">
        <f ca="1">IF(CostTrack[[#This Row],[Vendor - Contract]]="","",INDEX(VendorList[Phase / Subproject 2],MATCH(CostTrack[[#This Row],[Vendor - Contract]],VendorList[Vendor / Org. with Contract ID],0)))</f>
        <v>--</v>
      </c>
      <c r="V217" s="243" t="str">
        <f ca="1">IF(CostTrack[[#This Row],[Vendor - Contract]]="","",INDEX(VendorList[Funding Source],MATCH(CostTrack[[#This Row],[Vendor - Contract]],VendorList[Vendor / Org. with Contract ID],0)))</f>
        <v>P-002360</v>
      </c>
      <c r="W217" s="1308">
        <v>44245</v>
      </c>
      <c r="X217" s="251" t="str">
        <f ca="1">IF(CostTrack[[#This Row],[Release Date (CMS)]]="","*","")</f>
        <v/>
      </c>
      <c r="Y217" s="267" t="s">
        <v>45</v>
      </c>
      <c r="Z217" s="652" t="s">
        <v>944</v>
      </c>
      <c r="AA217" s="245">
        <f ca="1">IF(OR(CostTrack[[#This Row],[Release Date (CMS)]]&gt;=DATE(VALUE(REPLACE(CostTrack[[#This Row],[Fiscal Period]],3,3,"")),3,1),CostTrack[[#This Row],[Release Date (CMS)]]&lt;DATE(VALUE(LEFT(CostTrack[[#This Row],[Fiscal Period]],4)),4,1)),1,0)</f>
        <v>0</v>
      </c>
      <c r="AB217" s="655">
        <v>1730</v>
      </c>
      <c r="AC217" s="1308">
        <v>44279</v>
      </c>
      <c r="AD217" s="402" t="str">
        <f ca="1">IF(CostTrack[[#This Row],[Reconciled Amount]]="","",IF(CostTrack[[#This Row],[Value]]&lt;&gt;CostTrack[[#This Row],[Reconciled Amount]],"Yes","No"))</f>
        <v>No</v>
      </c>
    </row>
    <row r="218" spans="2:30">
      <c r="B218" s="653" t="s">
        <v>655</v>
      </c>
      <c r="C218" s="650">
        <v>2680</v>
      </c>
      <c r="D218" s="267">
        <v>44239</v>
      </c>
      <c r="E218" s="654">
        <v>1322</v>
      </c>
      <c r="F218" s="647" t="s">
        <v>69</v>
      </c>
      <c r="G218" s="406">
        <f ca="1">ROUND(IF(CostTrack[[#This Row],[Holdback (Y/N/R)]]="Yes",CostTrack[[#This Row],[Value]]*-0.1,IF(CostTrack[[#This Row],[Holdback (Y/N/R)]]="Release",CostTrack[[#This Row],[Value]],0)),2)</f>
        <v>0</v>
      </c>
      <c r="H218" s="407">
        <f ca="1">IF(CostTrack[[#This Row],[Holdback (Y/N/R)]]="Release",CostTrack[[#This Row],[Value]],CostTrack[[#This Row],[Value]]+CostTrack[[#This Row],[Holdback Value]])</f>
        <v>1322</v>
      </c>
      <c r="I218" s="650"/>
      <c r="J218" s="650"/>
      <c r="K218" s="1313">
        <v>44228</v>
      </c>
      <c r="L218" s="1308">
        <v>44245</v>
      </c>
      <c r="M218" s="1308"/>
      <c r="N218" s="1312"/>
      <c r="O218" s="1308" t="s">
        <v>106</v>
      </c>
      <c r="P218" s="1308">
        <v>44245</v>
      </c>
      <c r="Q218" s="243" t="str">
        <f ca="1">IF(CostTrack[[#This Row],[Vendor - Contract]]="","",INDEX(VendorList[PA ID],MATCH(CostTrack[[#This Row],[Vendor - Contract]],VendorList[Vendor / Org. with Contract ID],0)))</f>
        <v>200.050.F1</v>
      </c>
      <c r="R218" s="243" t="str">
        <f ca="1">IF(CostTrack[[#This Row],[Vendor - Contract]]="","",INDEX(VendorList[Primary Category],MATCH(CostTrack[[#This Row],[Vendor - Contract]],VendorList[Vendor / Org. with Contract ID],0)))</f>
        <v>Professional Services</v>
      </c>
      <c r="S218" s="243" t="str">
        <f ca="1">IF(CostTrack[[#This Row],[Vendor - Contract]]="","",INDEX(VendorList[Secondary Category],MATCH(CostTrack[[#This Row],[Vendor - Contract]],VendorList[Vendor / Org. with Contract ID],0)))</f>
        <v>Other Professional Services</v>
      </c>
      <c r="T218" s="243" t="str">
        <f ca="1">IF(CostTrack[[#This Row],[Vendor - Contract]]="","",INDEX(VendorList[Phase / Subproject],MATCH(CostTrack[[#This Row],[Vendor - Contract]],VendorList[Vendor / Org. with Contract ID],0)))</f>
        <v>--</v>
      </c>
      <c r="U218" s="243" t="str">
        <f ca="1">IF(CostTrack[[#This Row],[Vendor - Contract]]="","",INDEX(VendorList[Phase / Subproject 2],MATCH(CostTrack[[#This Row],[Vendor - Contract]],VendorList[Vendor / Org. with Contract ID],0)))</f>
        <v>--</v>
      </c>
      <c r="V218" s="243" t="str">
        <f ca="1">IF(CostTrack[[#This Row],[Vendor - Contract]]="","",INDEX(VendorList[Funding Source],MATCH(CostTrack[[#This Row],[Vendor - Contract]],VendorList[Vendor / Org. with Contract ID],0)))</f>
        <v>P-002360</v>
      </c>
      <c r="W218" s="1308">
        <v>44245</v>
      </c>
      <c r="X218" s="251" t="str">
        <f ca="1">IF(CostTrack[[#This Row],[Release Date (CMS)]]="","*","")</f>
        <v/>
      </c>
      <c r="Y218" s="267" t="s">
        <v>45</v>
      </c>
      <c r="Z218" s="652" t="s">
        <v>945</v>
      </c>
      <c r="AA218" s="245">
        <f ca="1">IF(OR(CostTrack[[#This Row],[Release Date (CMS)]]&gt;=DATE(VALUE(REPLACE(CostTrack[[#This Row],[Fiscal Period]],3,3,"")),3,1),CostTrack[[#This Row],[Release Date (CMS)]]&lt;DATE(VALUE(LEFT(CostTrack[[#This Row],[Fiscal Period]],4)),4,1)),1,0)</f>
        <v>0</v>
      </c>
      <c r="AB218" s="655">
        <v>1322</v>
      </c>
      <c r="AC218" s="1308">
        <v>44279</v>
      </c>
      <c r="AD218" s="402" t="str">
        <f ca="1">IF(CostTrack[[#This Row],[Reconciled Amount]]="","",IF(CostTrack[[#This Row],[Value]]&lt;&gt;CostTrack[[#This Row],[Reconciled Amount]],"Yes","No"))</f>
        <v>No</v>
      </c>
    </row>
    <row r="219" spans="2:30">
      <c r="B219" s="1306" t="s">
        <v>528</v>
      </c>
      <c r="C219" s="1312">
        <v>60693912</v>
      </c>
      <c r="D219" s="1308">
        <v>44238</v>
      </c>
      <c r="E219" s="658">
        <v>7419.5</v>
      </c>
      <c r="F219" s="1309" t="s">
        <v>69</v>
      </c>
      <c r="G219" s="1310">
        <f ca="1">ROUND(IF(CostTrack[[#This Row],[Holdback (Y/N/R)]]="Yes",CostTrack[[#This Row],[Value]]*-0.1,IF(CostTrack[[#This Row],[Holdback (Y/N/R)]]="Release",CostTrack[[#This Row],[Value]],0)),2)</f>
        <v>0</v>
      </c>
      <c r="H219" s="1311">
        <f ca="1">IF(CostTrack[[#This Row],[Holdback (Y/N/R)]]="Release",CostTrack[[#This Row],[Value]],CostTrack[[#This Row],[Value]]+CostTrack[[#This Row],[Holdback Value]])</f>
        <v>7419.5</v>
      </c>
      <c r="I219" s="1312"/>
      <c r="J219" s="1312"/>
      <c r="K219" s="1313">
        <v>44228</v>
      </c>
      <c r="L219" s="1308">
        <v>44249</v>
      </c>
      <c r="M219" s="1308"/>
      <c r="N219" s="1312"/>
      <c r="O219" s="1308" t="s">
        <v>106</v>
      </c>
      <c r="P219" s="1308">
        <v>44249</v>
      </c>
      <c r="Q219" s="1314" t="str">
        <f ca="1">IF(CostTrack[[#This Row],[Vendor - Contract]]="","",INDEX(VendorList[PA ID],MATCH(CostTrack[[#This Row],[Vendor - Contract]],VendorList[Vendor / Org. with Contract ID],0)))</f>
        <v>200.050.F1</v>
      </c>
      <c r="R219" s="1314" t="str">
        <f ca="1">IF(CostTrack[[#This Row],[Vendor - Contract]]="","",INDEX(VendorList[Primary Category],MATCH(CostTrack[[#This Row],[Vendor - Contract]],VendorList[Vendor / Org. with Contract ID],0)))</f>
        <v>Professional Services</v>
      </c>
      <c r="S219" s="1314" t="str">
        <f ca="1">IF(CostTrack[[#This Row],[Vendor - Contract]]="","",INDEX(VendorList[Secondary Category],MATCH(CostTrack[[#This Row],[Vendor - Contract]],VendorList[Vendor / Org. with Contract ID],0)))</f>
        <v>Other Professional Services</v>
      </c>
      <c r="T219" s="1314" t="str">
        <f ca="1">IF(CostTrack[[#This Row],[Vendor - Contract]]="","",INDEX(VendorList[Phase / Subproject],MATCH(CostTrack[[#This Row],[Vendor - Contract]],VendorList[Vendor / Org. with Contract ID],0)))</f>
        <v>--</v>
      </c>
      <c r="U219" s="1314" t="str">
        <f ca="1">IF(CostTrack[[#This Row],[Vendor - Contract]]="","",INDEX(VendorList[Phase / Subproject 2],MATCH(CostTrack[[#This Row],[Vendor - Contract]],VendorList[Vendor / Org. with Contract ID],0)))</f>
        <v>--</v>
      </c>
      <c r="V219" s="1314" t="str">
        <f ca="1">IF(CostTrack[[#This Row],[Vendor - Contract]]="","",INDEX(VendorList[Funding Source],MATCH(CostTrack[[#This Row],[Vendor - Contract]],VendorList[Vendor / Org. with Contract ID],0)))</f>
        <v>P-002360</v>
      </c>
      <c r="W219" s="1308">
        <v>44249</v>
      </c>
      <c r="X219" s="1315" t="str">
        <f ca="1">IF(CostTrack[[#This Row],[Release Date (CMS)]]="","*","")</f>
        <v/>
      </c>
      <c r="Y219" s="1308" t="s">
        <v>45</v>
      </c>
      <c r="Z219" s="713"/>
      <c r="AA219" s="1316">
        <f ca="1">IF(OR(CostTrack[[#This Row],[Release Date (CMS)]]&gt;=DATE(VALUE(REPLACE(CostTrack[[#This Row],[Fiscal Period]],3,3,"")),3,1),CostTrack[[#This Row],[Release Date (CMS)]]&lt;DATE(VALUE(LEFT(CostTrack[[#This Row],[Fiscal Period]],4)),4,1)),1,0)</f>
        <v>0</v>
      </c>
      <c r="AB219" s="1317">
        <v>7419.5</v>
      </c>
      <c r="AC219" s="1308">
        <v>44279</v>
      </c>
      <c r="AD219" s="402" t="str">
        <f ca="1">IF(CostTrack[[#This Row],[Reconciled Amount]]="","",IF(CostTrack[[#This Row],[Value]]&lt;&gt;CostTrack[[#This Row],[Reconciled Amount]],"Yes","No"))</f>
        <v>No</v>
      </c>
    </row>
    <row r="220" spans="2:30" ht="42">
      <c r="B220" s="1306" t="s">
        <v>736</v>
      </c>
      <c r="C220" s="1312" t="s">
        <v>946</v>
      </c>
      <c r="D220" s="1308">
        <v>44255</v>
      </c>
      <c r="E220" s="658">
        <v>24903.73</v>
      </c>
      <c r="F220" s="1309" t="s">
        <v>69</v>
      </c>
      <c r="G220" s="1310">
        <f ca="1">ROUND(IF(CostTrack[[#This Row],[Holdback (Y/N/R)]]="Yes",CostTrack[[#This Row],[Value]]*-0.1,IF(CostTrack[[#This Row],[Holdback (Y/N/R)]]="Release",CostTrack[[#This Row],[Value]],0)),2)</f>
        <v>0</v>
      </c>
      <c r="H220" s="1311">
        <f ca="1">IF(CostTrack[[#This Row],[Holdback (Y/N/R)]]="Release",CostTrack[[#This Row],[Value]],CostTrack[[#This Row],[Value]]+CostTrack[[#This Row],[Holdback Value]])</f>
        <v>24903.73</v>
      </c>
      <c r="I220" s="1312"/>
      <c r="J220" s="1312"/>
      <c r="K220" s="1313">
        <v>44228</v>
      </c>
      <c r="L220" s="1308">
        <v>44257</v>
      </c>
      <c r="M220" s="1308"/>
      <c r="N220" s="1312"/>
      <c r="O220" s="1308" t="s">
        <v>106</v>
      </c>
      <c r="P220" s="1308"/>
      <c r="Q220" s="1314" t="str">
        <f ca="1">IF(CostTrack[[#This Row],[Vendor - Contract]]="","",INDEX(VendorList[PA ID],MATCH(CostTrack[[#This Row],[Vendor - Contract]],VendorList[Vendor / Org. with Contract ID],0)))</f>
        <v>100.010.F1</v>
      </c>
      <c r="R220" s="1314" t="str">
        <f ca="1">IF(CostTrack[[#This Row],[Vendor - Contract]]="","",INDEX(VendorList[Primary Category],MATCH(CostTrack[[#This Row],[Vendor - Contract]],VendorList[Vendor / Org. with Contract ID],0)))</f>
        <v>Administration</v>
      </c>
      <c r="S220" s="1314" t="str">
        <f ca="1">IF(CostTrack[[#This Row],[Vendor - Contract]]="","",INDEX(VendorList[Secondary Category],MATCH(CostTrack[[#This Row],[Vendor - Contract]],VendorList[Vendor / Org. with Contract ID],0)))</f>
        <v>Staff Capitalization - INFRA</v>
      </c>
      <c r="T220" s="1314" t="str">
        <f ca="1">IF(CostTrack[[#This Row],[Vendor - Contract]]="","",INDEX(VendorList[Phase / Subproject],MATCH(CostTrack[[#This Row],[Vendor - Contract]],VendorList[Vendor / Org. with Contract ID],0)))</f>
        <v>--</v>
      </c>
      <c r="U220" s="1314" t="str">
        <f ca="1">IF(CostTrack[[#This Row],[Vendor - Contract]]="","",INDEX(VendorList[Phase / Subproject 2],MATCH(CostTrack[[#This Row],[Vendor - Contract]],VendorList[Vendor / Org. with Contract ID],0)))</f>
        <v>--</v>
      </c>
      <c r="V220" s="1314" t="str">
        <f ca="1">IF(CostTrack[[#This Row],[Vendor - Contract]]="","",INDEX(VendorList[Funding Source],MATCH(CostTrack[[#This Row],[Vendor - Contract]],VendorList[Vendor / Org. with Contract ID],0)))</f>
        <v>P-002360</v>
      </c>
      <c r="W220" s="1308">
        <v>44249</v>
      </c>
      <c r="X220" s="1315" t="str">
        <f ca="1">IF(CostTrack[[#This Row],[Release Date (CMS)]]="","*","")</f>
        <v/>
      </c>
      <c r="Y220" s="1308" t="s">
        <v>45</v>
      </c>
      <c r="Z220" s="652" t="s">
        <v>947</v>
      </c>
      <c r="AA220" s="1316">
        <f ca="1">IF(OR(CostTrack[[#This Row],[Release Date (CMS)]]&gt;=DATE(VALUE(REPLACE(CostTrack[[#This Row],[Fiscal Period]],3,3,"")),3,1),CostTrack[[#This Row],[Release Date (CMS)]]&lt;DATE(VALUE(LEFT(CostTrack[[#This Row],[Fiscal Period]],4)),4,1)),1,0)</f>
        <v>0</v>
      </c>
      <c r="AB220" s="1317">
        <v>24903.73</v>
      </c>
      <c r="AC220" s="1308">
        <v>44279</v>
      </c>
      <c r="AD220" s="402" t="str">
        <f ca="1">IF(CostTrack[[#This Row],[Reconciled Amount]]="","",IF(CostTrack[[#This Row],[Value]]&lt;&gt;CostTrack[[#This Row],[Reconciled Amount]],"Yes","No"))</f>
        <v>No</v>
      </c>
    </row>
    <row r="221" spans="2:30">
      <c r="B221" s="1306" t="s">
        <v>655</v>
      </c>
      <c r="C221" s="1312">
        <v>2692</v>
      </c>
      <c r="D221" s="1308">
        <v>44257</v>
      </c>
      <c r="E221" s="658">
        <v>1322</v>
      </c>
      <c r="F221" s="1309" t="s">
        <v>69</v>
      </c>
      <c r="G221" s="1310">
        <f ca="1">ROUND(IF(CostTrack[[#This Row],[Holdback (Y/N/R)]]="Yes",CostTrack[[#This Row],[Value]]*-0.1,IF(CostTrack[[#This Row],[Holdback (Y/N/R)]]="Release",CostTrack[[#This Row],[Value]],0)),2)</f>
        <v>0</v>
      </c>
      <c r="H221" s="1311">
        <f ca="1">IF(CostTrack[[#This Row],[Holdback (Y/N/R)]]="Release",CostTrack[[#This Row],[Value]],CostTrack[[#This Row],[Value]]+CostTrack[[#This Row],[Holdback Value]])</f>
        <v>1322</v>
      </c>
      <c r="I221" s="1312"/>
      <c r="J221" s="1312"/>
      <c r="K221" s="1313">
        <v>44228</v>
      </c>
      <c r="L221" s="1308">
        <v>44258</v>
      </c>
      <c r="M221" s="1308"/>
      <c r="N221" s="1312"/>
      <c r="O221" s="1308" t="s">
        <v>106</v>
      </c>
      <c r="P221" s="1308">
        <v>44259</v>
      </c>
      <c r="Q221" s="1314" t="str">
        <f ca="1">IF(CostTrack[[#This Row],[Vendor - Contract]]="","",INDEX(VendorList[PA ID],MATCH(CostTrack[[#This Row],[Vendor - Contract]],VendorList[Vendor / Org. with Contract ID],0)))</f>
        <v>200.050.F1</v>
      </c>
      <c r="R221" s="1314" t="str">
        <f ca="1">IF(CostTrack[[#This Row],[Vendor - Contract]]="","",INDEX(VendorList[Primary Category],MATCH(CostTrack[[#This Row],[Vendor - Contract]],VendorList[Vendor / Org. with Contract ID],0)))</f>
        <v>Professional Services</v>
      </c>
      <c r="S221" s="1314" t="str">
        <f ca="1">IF(CostTrack[[#This Row],[Vendor - Contract]]="","",INDEX(VendorList[Secondary Category],MATCH(CostTrack[[#This Row],[Vendor - Contract]],VendorList[Vendor / Org. with Contract ID],0)))</f>
        <v>Other Professional Services</v>
      </c>
      <c r="T221" s="1314" t="str">
        <f ca="1">IF(CostTrack[[#This Row],[Vendor - Contract]]="","",INDEX(VendorList[Phase / Subproject],MATCH(CostTrack[[#This Row],[Vendor - Contract]],VendorList[Vendor / Org. with Contract ID],0)))</f>
        <v>--</v>
      </c>
      <c r="U221" s="1314" t="str">
        <f ca="1">IF(CostTrack[[#This Row],[Vendor - Contract]]="","",INDEX(VendorList[Phase / Subproject 2],MATCH(CostTrack[[#This Row],[Vendor - Contract]],VendorList[Vendor / Org. with Contract ID],0)))</f>
        <v>--</v>
      </c>
      <c r="V221" s="1314" t="str">
        <f ca="1">IF(CostTrack[[#This Row],[Vendor - Contract]]="","",INDEX(VendorList[Funding Source],MATCH(CostTrack[[#This Row],[Vendor - Contract]],VendorList[Vendor / Org. with Contract ID],0)))</f>
        <v>P-002360</v>
      </c>
      <c r="W221" s="1308">
        <v>44259</v>
      </c>
      <c r="X221" s="1315" t="str">
        <f ca="1">IF(CostTrack[[#This Row],[Release Date (CMS)]]="","*","")</f>
        <v/>
      </c>
      <c r="Y221" s="1308" t="s">
        <v>45</v>
      </c>
      <c r="Z221" s="713"/>
      <c r="AA221" s="1316">
        <f ca="1">IF(OR(CostTrack[[#This Row],[Release Date (CMS)]]&gt;=DATE(VALUE(REPLACE(CostTrack[[#This Row],[Fiscal Period]],3,3,"")),3,1),CostTrack[[#This Row],[Release Date (CMS)]]&lt;DATE(VALUE(LEFT(CostTrack[[#This Row],[Fiscal Period]],4)),4,1)),1,0)</f>
        <v>1</v>
      </c>
      <c r="AB221" s="1317">
        <v>1322</v>
      </c>
      <c r="AC221" s="1308">
        <v>44279</v>
      </c>
      <c r="AD221" s="402" t="str">
        <f ca="1">IF(CostTrack[[#This Row],[Reconciled Amount]]="","",IF(CostTrack[[#This Row],[Value]]&lt;&gt;CostTrack[[#This Row],[Reconciled Amount]],"Yes","No"))</f>
        <v>No</v>
      </c>
    </row>
    <row r="222" spans="2:30">
      <c r="B222" s="1306" t="s">
        <v>527</v>
      </c>
      <c r="C222" s="650" t="s">
        <v>948</v>
      </c>
      <c r="D222" s="1308">
        <v>44255</v>
      </c>
      <c r="E222" s="658">
        <v>47034.54</v>
      </c>
      <c r="F222" s="1309" t="s">
        <v>69</v>
      </c>
      <c r="G222" s="1310">
        <f ca="1">ROUND(IF(CostTrack[[#This Row],[Holdback (Y/N/R)]]="Yes",CostTrack[[#This Row],[Value]]*-0.1,IF(CostTrack[[#This Row],[Holdback (Y/N/R)]]="Release",CostTrack[[#This Row],[Value]],0)),2)</f>
        <v>0</v>
      </c>
      <c r="H222" s="1311">
        <f ca="1">IF(CostTrack[[#This Row],[Holdback (Y/N/R)]]="Release",CostTrack[[#This Row],[Value]],CostTrack[[#This Row],[Value]]+CostTrack[[#This Row],[Holdback Value]])</f>
        <v>47034.54</v>
      </c>
      <c r="I222" s="1312"/>
      <c r="J222" s="1312"/>
      <c r="K222" s="1313">
        <v>44228</v>
      </c>
      <c r="L222" s="1308">
        <v>44259</v>
      </c>
      <c r="M222" s="1308"/>
      <c r="N222" s="1312"/>
      <c r="O222" s="1308" t="s">
        <v>106</v>
      </c>
      <c r="P222" s="1308">
        <v>44259</v>
      </c>
      <c r="Q222" s="1314" t="str">
        <f ca="1">IF(CostTrack[[#This Row],[Vendor - Contract]]="","",INDEX(VendorList[PA ID],MATCH(CostTrack[[#This Row],[Vendor - Contract]],VendorList[Vendor / Org. with Contract ID],0)))</f>
        <v>200.010.F1</v>
      </c>
      <c r="R222" s="1314" t="str">
        <f ca="1">IF(CostTrack[[#This Row],[Vendor - Contract]]="","",INDEX(VendorList[Primary Category],MATCH(CostTrack[[#This Row],[Vendor - Contract]],VendorList[Vendor / Org. with Contract ID],0)))</f>
        <v>Professional Services</v>
      </c>
      <c r="S222" s="1314" t="str">
        <f ca="1">IF(CostTrack[[#This Row],[Vendor - Contract]]="","",INDEX(VendorList[Secondary Category],MATCH(CostTrack[[#This Row],[Vendor - Contract]],VendorList[Vendor / Org. with Contract ID],0)))</f>
        <v>Prime Consultant</v>
      </c>
      <c r="T222" s="1314" t="str">
        <f ca="1">IF(CostTrack[[#This Row],[Vendor - Contract]]="","",INDEX(VendorList[Phase / Subproject],MATCH(CostTrack[[#This Row],[Vendor - Contract]],VendorList[Vendor / Org. with Contract ID],0)))</f>
        <v>--</v>
      </c>
      <c r="U222" s="1314" t="str">
        <f ca="1">IF(CostTrack[[#This Row],[Vendor - Contract]]="","",INDEX(VendorList[Phase / Subproject 2],MATCH(CostTrack[[#This Row],[Vendor - Contract]],VendorList[Vendor / Org. with Contract ID],0)))</f>
        <v>--</v>
      </c>
      <c r="V222" s="1314" t="str">
        <f ca="1">IF(CostTrack[[#This Row],[Vendor - Contract]]="","",INDEX(VendorList[Funding Source],MATCH(CostTrack[[#This Row],[Vendor - Contract]],VendorList[Vendor / Org. with Contract ID],0)))</f>
        <v>P-002360</v>
      </c>
      <c r="W222" s="1308">
        <v>44260</v>
      </c>
      <c r="X222" s="1315" t="str">
        <f ca="1">IF(CostTrack[[#This Row],[Release Date (CMS)]]="","*","")</f>
        <v/>
      </c>
      <c r="Y222" s="1308" t="s">
        <v>45</v>
      </c>
      <c r="Z222" s="713"/>
      <c r="AA222" s="1316">
        <f ca="1">IF(OR(CostTrack[[#This Row],[Release Date (CMS)]]&gt;=DATE(VALUE(REPLACE(CostTrack[[#This Row],[Fiscal Period]],3,3,"")),3,1),CostTrack[[#This Row],[Release Date (CMS)]]&lt;DATE(VALUE(LEFT(CostTrack[[#This Row],[Fiscal Period]],4)),4,1)),1,0)</f>
        <v>1</v>
      </c>
      <c r="AB222" s="1317">
        <v>47034.54</v>
      </c>
      <c r="AC222" s="1308">
        <v>44279</v>
      </c>
      <c r="AD222" s="402" t="str">
        <f ca="1">IF(CostTrack[[#This Row],[Reconciled Amount]]="","",IF(CostTrack[[#This Row],[Value]]&lt;&gt;CostTrack[[#This Row],[Reconciled Amount]],"Yes","No"))</f>
        <v>No</v>
      </c>
    </row>
    <row r="223" spans="2:30">
      <c r="B223" s="1306" t="s">
        <v>528</v>
      </c>
      <c r="C223" s="1312">
        <v>60696282</v>
      </c>
      <c r="D223" s="1308">
        <v>44259</v>
      </c>
      <c r="E223" s="658">
        <v>6104</v>
      </c>
      <c r="F223" s="1309" t="s">
        <v>69</v>
      </c>
      <c r="G223" s="1310">
        <f ca="1">ROUND(IF(CostTrack[[#This Row],[Holdback (Y/N/R)]]="Yes",CostTrack[[#This Row],[Value]]*-0.1,IF(CostTrack[[#This Row],[Holdback (Y/N/R)]]="Release",CostTrack[[#This Row],[Value]],0)),2)</f>
        <v>0</v>
      </c>
      <c r="H223" s="1311">
        <f ca="1">IF(CostTrack[[#This Row],[Holdback (Y/N/R)]]="Release",CostTrack[[#This Row],[Value]],CostTrack[[#This Row],[Value]]+CostTrack[[#This Row],[Holdback Value]])</f>
        <v>6104</v>
      </c>
      <c r="I223" s="1312"/>
      <c r="J223" s="1312"/>
      <c r="K223" s="1313">
        <v>44228</v>
      </c>
      <c r="L223" s="1308">
        <v>44259</v>
      </c>
      <c r="M223" s="1308"/>
      <c r="N223" s="1312"/>
      <c r="O223" s="1308" t="s">
        <v>106</v>
      </c>
      <c r="P223" s="1308">
        <v>44260</v>
      </c>
      <c r="Q223" s="1314" t="str">
        <f ca="1">IF(CostTrack[[#This Row],[Vendor - Contract]]="","",INDEX(VendorList[PA ID],MATCH(CostTrack[[#This Row],[Vendor - Contract]],VendorList[Vendor / Org. with Contract ID],0)))</f>
        <v>200.050.F1</v>
      </c>
      <c r="R223" s="1314" t="str">
        <f ca="1">IF(CostTrack[[#This Row],[Vendor - Contract]]="","",INDEX(VendorList[Primary Category],MATCH(CostTrack[[#This Row],[Vendor - Contract]],VendorList[Vendor / Org. with Contract ID],0)))</f>
        <v>Professional Services</v>
      </c>
      <c r="S223" s="1314" t="str">
        <f ca="1">IF(CostTrack[[#This Row],[Vendor - Contract]]="","",INDEX(VendorList[Secondary Category],MATCH(CostTrack[[#This Row],[Vendor - Contract]],VendorList[Vendor / Org. with Contract ID],0)))</f>
        <v>Other Professional Services</v>
      </c>
      <c r="T223" s="1314" t="str">
        <f ca="1">IF(CostTrack[[#This Row],[Vendor - Contract]]="","",INDEX(VendorList[Phase / Subproject],MATCH(CostTrack[[#This Row],[Vendor - Contract]],VendorList[Vendor / Org. with Contract ID],0)))</f>
        <v>--</v>
      </c>
      <c r="U223" s="1314" t="str">
        <f ca="1">IF(CostTrack[[#This Row],[Vendor - Contract]]="","",INDEX(VendorList[Phase / Subproject 2],MATCH(CostTrack[[#This Row],[Vendor - Contract]],VendorList[Vendor / Org. with Contract ID],0)))</f>
        <v>--</v>
      </c>
      <c r="V223" s="1314" t="str">
        <f ca="1">IF(CostTrack[[#This Row],[Vendor - Contract]]="","",INDEX(VendorList[Funding Source],MATCH(CostTrack[[#This Row],[Vendor - Contract]],VendorList[Vendor / Org. with Contract ID],0)))</f>
        <v>P-002360</v>
      </c>
      <c r="W223" s="1308">
        <v>44260</v>
      </c>
      <c r="X223" s="1315" t="str">
        <f ca="1">IF(CostTrack[[#This Row],[Release Date (CMS)]]="","*","")</f>
        <v/>
      </c>
      <c r="Y223" s="1308" t="s">
        <v>45</v>
      </c>
      <c r="Z223" s="713"/>
      <c r="AA223" s="1316">
        <f ca="1">IF(OR(CostTrack[[#This Row],[Release Date (CMS)]]&gt;=DATE(VALUE(REPLACE(CostTrack[[#This Row],[Fiscal Period]],3,3,"")),3,1),CostTrack[[#This Row],[Release Date (CMS)]]&lt;DATE(VALUE(LEFT(CostTrack[[#This Row],[Fiscal Period]],4)),4,1)),1,0)</f>
        <v>1</v>
      </c>
      <c r="AB223" s="1317">
        <v>6104</v>
      </c>
      <c r="AC223" s="1308">
        <v>44279</v>
      </c>
      <c r="AD223" s="402" t="str">
        <f ca="1">IF(CostTrack[[#This Row],[Reconciled Amount]]="","",IF(CostTrack[[#This Row],[Value]]&lt;&gt;CostTrack[[#This Row],[Reconciled Amount]],"Yes","No"))</f>
        <v>No</v>
      </c>
    </row>
    <row r="224" spans="2:30">
      <c r="B224" s="1306" t="s">
        <v>624</v>
      </c>
      <c r="C224" s="1312">
        <v>1583501</v>
      </c>
      <c r="D224" s="1308">
        <v>44260</v>
      </c>
      <c r="E224" s="658">
        <v>7500</v>
      </c>
      <c r="F224" s="1309" t="s">
        <v>69</v>
      </c>
      <c r="G224" s="1310">
        <f ca="1">ROUND(IF(CostTrack[[#This Row],[Holdback (Y/N/R)]]="Yes",CostTrack[[#This Row],[Value]]*-0.1,IF(CostTrack[[#This Row],[Holdback (Y/N/R)]]="Release",CostTrack[[#This Row],[Value]],0)),2)</f>
        <v>0</v>
      </c>
      <c r="H224" s="1311">
        <f ca="1">IF(CostTrack[[#This Row],[Holdback (Y/N/R)]]="Release",CostTrack[[#This Row],[Value]],CostTrack[[#This Row],[Value]]+CostTrack[[#This Row],[Holdback Value]])</f>
        <v>7500</v>
      </c>
      <c r="I224" s="1312"/>
      <c r="J224" s="1312"/>
      <c r="K224" s="1313">
        <v>44228</v>
      </c>
      <c r="L224" s="1308">
        <v>44263</v>
      </c>
      <c r="M224" s="1308"/>
      <c r="N224" s="1312"/>
      <c r="O224" s="1308" t="s">
        <v>106</v>
      </c>
      <c r="P224" s="1308">
        <v>44263</v>
      </c>
      <c r="Q224" s="1314" t="str">
        <f ca="1">IF(CostTrack[[#This Row],[Vendor - Contract]]="","",INDEX(VendorList[PA ID],MATCH(CostTrack[[#This Row],[Vendor - Contract]],VendorList[Vendor / Org. with Contract ID],0)))</f>
        <v>200.040.F1</v>
      </c>
      <c r="R224" s="1314" t="str">
        <f ca="1">IF(CostTrack[[#This Row],[Vendor - Contract]]="","",INDEX(VendorList[Primary Category],MATCH(CostTrack[[#This Row],[Vendor - Contract]],VendorList[Vendor / Org. with Contract ID],0)))</f>
        <v>Professional Services</v>
      </c>
      <c r="S224" s="1314" t="str">
        <f ca="1">IF(CostTrack[[#This Row],[Vendor - Contract]]="","",INDEX(VendorList[Secondary Category],MATCH(CostTrack[[#This Row],[Vendor - Contract]],VendorList[Vendor / Org. with Contract ID],0)))</f>
        <v>Commissioning</v>
      </c>
      <c r="T224" s="1314" t="str">
        <f ca="1">IF(CostTrack[[#This Row],[Vendor - Contract]]="","",INDEX(VendorList[Phase / Subproject],MATCH(CostTrack[[#This Row],[Vendor - Contract]],VendorList[Vendor / Org. with Contract ID],0)))</f>
        <v>--</v>
      </c>
      <c r="U224" s="1314" t="str">
        <f ca="1">IF(CostTrack[[#This Row],[Vendor - Contract]]="","",INDEX(VendorList[Phase / Subproject 2],MATCH(CostTrack[[#This Row],[Vendor - Contract]],VendorList[Vendor / Org. with Contract ID],0)))</f>
        <v>--</v>
      </c>
      <c r="V224" s="1314" t="str">
        <f ca="1">IF(CostTrack[[#This Row],[Vendor - Contract]]="","",INDEX(VendorList[Funding Source],MATCH(CostTrack[[#This Row],[Vendor - Contract]],VendorList[Vendor / Org. with Contract ID],0)))</f>
        <v>P-002360</v>
      </c>
      <c r="W224" s="1308">
        <v>44263</v>
      </c>
      <c r="X224" s="1315" t="str">
        <f ca="1">IF(CostTrack[[#This Row],[Release Date (CMS)]]="","*","")</f>
        <v/>
      </c>
      <c r="Y224" s="1308" t="s">
        <v>45</v>
      </c>
      <c r="Z224" s="713"/>
      <c r="AA224" s="1316">
        <f ca="1">IF(OR(CostTrack[[#This Row],[Release Date (CMS)]]&gt;=DATE(VALUE(REPLACE(CostTrack[[#This Row],[Fiscal Period]],3,3,"")),3,1),CostTrack[[#This Row],[Release Date (CMS)]]&lt;DATE(VALUE(LEFT(CostTrack[[#This Row],[Fiscal Period]],4)),4,1)),1,0)</f>
        <v>1</v>
      </c>
      <c r="AB224" s="1317">
        <v>7500</v>
      </c>
      <c r="AC224" s="1308">
        <v>44279</v>
      </c>
      <c r="AD224" s="402" t="str">
        <f ca="1">IF(CostTrack[[#This Row],[Reconciled Amount]]="","",IF(CostTrack[[#This Row],[Value]]&lt;&gt;CostTrack[[#This Row],[Reconciled Amount]],"Yes","No"))</f>
        <v>No</v>
      </c>
    </row>
    <row r="225" spans="2:30">
      <c r="B225" s="1306" t="s">
        <v>529</v>
      </c>
      <c r="C225" s="1312">
        <v>25256</v>
      </c>
      <c r="D225" s="1308">
        <v>44253</v>
      </c>
      <c r="E225" s="658">
        <v>2052771.01</v>
      </c>
      <c r="F225" s="1309" t="s">
        <v>65</v>
      </c>
      <c r="G225" s="1310">
        <f ca="1">ROUND(IF(CostTrack[[#This Row],[Holdback (Y/N/R)]]="Yes",CostTrack[[#This Row],[Value]]*-0.1,IF(CostTrack[[#This Row],[Holdback (Y/N/R)]]="Release",CostTrack[[#This Row],[Value]],0)),2)</f>
        <v>-205277.1</v>
      </c>
      <c r="H225" s="1311">
        <f ca="1">IF(CostTrack[[#This Row],[Holdback (Y/N/R)]]="Release",CostTrack[[#This Row],[Value]],CostTrack[[#This Row],[Value]]+CostTrack[[#This Row],[Holdback Value]])</f>
        <v>1847493.91</v>
      </c>
      <c r="I225" s="1312">
        <v>7</v>
      </c>
      <c r="J225" s="1312"/>
      <c r="K225" s="1313">
        <v>44228</v>
      </c>
      <c r="L225" s="1308">
        <v>44265</v>
      </c>
      <c r="M225" s="1308"/>
      <c r="N225" s="1312"/>
      <c r="O225" s="1308" t="s">
        <v>106</v>
      </c>
      <c r="P225" s="1308">
        <v>44266</v>
      </c>
      <c r="Q225" s="1314" t="str">
        <f ca="1">IF(CostTrack[[#This Row],[Vendor - Contract]]="","",INDEX(VendorList[PA ID],MATCH(CostTrack[[#This Row],[Vendor - Contract]],VendorList[Vendor / Org. with Contract ID],0)))</f>
        <v>300.030.F1</v>
      </c>
      <c r="R225" s="1314" t="str">
        <f ca="1">IF(CostTrack[[#This Row],[Vendor - Contract]]="","",INDEX(VendorList[Primary Category],MATCH(CostTrack[[#This Row],[Vendor - Contract]],VendorList[Vendor / Org. with Contract ID],0)))</f>
        <v>Construction</v>
      </c>
      <c r="S225" s="1314" t="str">
        <f ca="1">IF(CostTrack[[#This Row],[Vendor - Contract]]="","",INDEX(VendorList[Secondary Category],MATCH(CostTrack[[#This Row],[Vendor - Contract]],VendorList[Vendor / Org. with Contract ID],0)))</f>
        <v>Prime Contractor</v>
      </c>
      <c r="T225" s="1314" t="str">
        <f ca="1">IF(CostTrack[[#This Row],[Vendor - Contract]]="","",INDEX(VendorList[Phase / Subproject],MATCH(CostTrack[[#This Row],[Vendor - Contract]],VendorList[Vendor / Org. with Contract ID],0)))</f>
        <v>--</v>
      </c>
      <c r="U225" s="1314" t="str">
        <f ca="1">IF(CostTrack[[#This Row],[Vendor - Contract]]="","",INDEX(VendorList[Phase / Subproject 2],MATCH(CostTrack[[#This Row],[Vendor - Contract]],VendorList[Vendor / Org. with Contract ID],0)))</f>
        <v>--</v>
      </c>
      <c r="V225" s="1314" t="str">
        <f ca="1">IF(CostTrack[[#This Row],[Vendor - Contract]]="","",INDEX(VendorList[Funding Source],MATCH(CostTrack[[#This Row],[Vendor - Contract]],VendorList[Vendor / Org. with Contract ID],0)))</f>
        <v>P-002360</v>
      </c>
      <c r="W225" s="1308">
        <v>44266</v>
      </c>
      <c r="X225" s="1315" t="str">
        <f ca="1">IF(CostTrack[[#This Row],[Release Date (CMS)]]="","*","")</f>
        <v/>
      </c>
      <c r="Y225" s="1308" t="s">
        <v>45</v>
      </c>
      <c r="Z225" s="713"/>
      <c r="AA225" s="1316">
        <f ca="1">IF(OR(CostTrack[[#This Row],[Release Date (CMS)]]&gt;=DATE(VALUE(REPLACE(CostTrack[[#This Row],[Fiscal Period]],3,3,"")),3,1),CostTrack[[#This Row],[Release Date (CMS)]]&lt;DATE(VALUE(LEFT(CostTrack[[#This Row],[Fiscal Period]],4)),4,1)),1,0)</f>
        <v>1</v>
      </c>
      <c r="AB225" s="1317">
        <v>2052771.01</v>
      </c>
      <c r="AC225" s="1308">
        <v>44279</v>
      </c>
      <c r="AD225" s="402" t="str">
        <f ca="1">IF(CostTrack[[#This Row],[Reconciled Amount]]="","",IF(CostTrack[[#This Row],[Value]]&lt;&gt;CostTrack[[#This Row],[Reconciled Amount]],"Yes","No"))</f>
        <v>No</v>
      </c>
    </row>
    <row r="226" spans="2:30" ht="72" customHeight="1">
      <c r="B226" s="1306" t="s">
        <v>754</v>
      </c>
      <c r="C226" s="1312">
        <v>106982</v>
      </c>
      <c r="D226" s="1308">
        <v>44155</v>
      </c>
      <c r="E226" s="658">
        <v>18.34</v>
      </c>
      <c r="F226" s="1309" t="s">
        <v>69</v>
      </c>
      <c r="G226" s="1310">
        <f ca="1">ROUND(IF(CostTrack[[#This Row],[Holdback (Y/N/R)]]="Yes",CostTrack[[#This Row],[Value]]*-0.1,IF(CostTrack[[#This Row],[Holdback (Y/N/R)]]="Release",CostTrack[[#This Row],[Value]],0)),2)</f>
        <v>0</v>
      </c>
      <c r="H226" s="1311">
        <f ca="1">IF(CostTrack[[#This Row],[Holdback (Y/N/R)]]="Release",CostTrack[[#This Row],[Value]],CostTrack[[#This Row],[Value]]+CostTrack[[#This Row],[Holdback Value]])</f>
        <v>18.34</v>
      </c>
      <c r="I226" s="1312"/>
      <c r="J226" s="1312"/>
      <c r="K226" s="1313">
        <v>44256</v>
      </c>
      <c r="L226" s="1308">
        <v>44272</v>
      </c>
      <c r="M226" s="1308"/>
      <c r="N226" s="1312"/>
      <c r="O226" s="1308" t="s">
        <v>106</v>
      </c>
      <c r="P226" s="1308">
        <v>44264</v>
      </c>
      <c r="Q226" s="1314" t="str">
        <f ca="1">IF(CostTrack[[#This Row],[Vendor - Contract]]="","",INDEX(VendorList[PA ID],MATCH(CostTrack[[#This Row],[Vendor - Contract]],VendorList[Vendor / Org. with Contract ID],0)))</f>
        <v>100.050.F1</v>
      </c>
      <c r="R226" s="1314" t="str">
        <f ca="1">IF(CostTrack[[#This Row],[Vendor - Contract]]="","",INDEX(VendorList[Primary Category],MATCH(CostTrack[[#This Row],[Vendor - Contract]],VendorList[Vendor / Org. with Contract ID],0)))</f>
        <v>Administration</v>
      </c>
      <c r="S226" s="1314" t="str">
        <f ca="1">IF(CostTrack[[#This Row],[Vendor - Contract]]="","",INDEX(VendorList[Secondary Category],MATCH(CostTrack[[#This Row],[Vendor - Contract]],VendorList[Vendor / Org. with Contract ID],0)))</f>
        <v>Other Administration</v>
      </c>
      <c r="T226" s="1314" t="str">
        <f ca="1">IF(CostTrack[[#This Row],[Vendor - Contract]]="","",INDEX(VendorList[Phase / Subproject],MATCH(CostTrack[[#This Row],[Vendor - Contract]],VendorList[Vendor / Org. with Contract ID],0)))</f>
        <v>--</v>
      </c>
      <c r="U226" s="1314" t="str">
        <f ca="1">IF(CostTrack[[#This Row],[Vendor - Contract]]="","",INDEX(VendorList[Phase / Subproject 2],MATCH(CostTrack[[#This Row],[Vendor - Contract]],VendorList[Vendor / Org. with Contract ID],0)))</f>
        <v>--</v>
      </c>
      <c r="V226" s="1314" t="str">
        <f ca="1">IF(CostTrack[[#This Row],[Vendor - Contract]]="","",INDEX(VendorList[Funding Source],MATCH(CostTrack[[#This Row],[Vendor - Contract]],VendorList[Vendor / Org. with Contract ID],0)))</f>
        <v>P-002360</v>
      </c>
      <c r="W226" s="1308">
        <v>44258</v>
      </c>
      <c r="X226" s="1315" t="str">
        <f ca="1">IF(CostTrack[[#This Row],[Release Date (CMS)]]="","*","")</f>
        <v/>
      </c>
      <c r="Y226" s="1308" t="s">
        <v>45</v>
      </c>
      <c r="Z226" s="674" t="s">
        <v>949</v>
      </c>
      <c r="AA226" s="1316">
        <f ca="1">IF(OR(CostTrack[[#This Row],[Release Date (CMS)]]&gt;=DATE(VALUE(REPLACE(CostTrack[[#This Row],[Fiscal Period]],3,3,"")),3,1),CostTrack[[#This Row],[Release Date (CMS)]]&lt;DATE(VALUE(LEFT(CostTrack[[#This Row],[Fiscal Period]],4)),4,1)),1,0)</f>
        <v>1</v>
      </c>
      <c r="AB226" s="1317">
        <v>18.34</v>
      </c>
      <c r="AC226" s="1308">
        <v>44279</v>
      </c>
      <c r="AD226" s="402" t="str">
        <f ca="1">IF(CostTrack[[#This Row],[Reconciled Amount]]="","",IF(CostTrack[[#This Row],[Value]]&lt;&gt;CostTrack[[#This Row],[Reconciled Amount]],"Yes","No"))</f>
        <v>No</v>
      </c>
    </row>
    <row r="227" spans="2:30">
      <c r="B227" s="653" t="s">
        <v>597</v>
      </c>
      <c r="C227" s="681" t="s">
        <v>950</v>
      </c>
      <c r="D227" s="1308">
        <v>44271</v>
      </c>
      <c r="E227" s="658">
        <v>2461.04</v>
      </c>
      <c r="F227" s="1309" t="s">
        <v>69</v>
      </c>
      <c r="G227" s="1310">
        <f ca="1">ROUND(IF(CostTrack[[#This Row],[Holdback (Y/N/R)]]="Yes",CostTrack[[#This Row],[Value]]*-0.1,IF(CostTrack[[#This Row],[Holdback (Y/N/R)]]="Release",CostTrack[[#This Row],[Value]],0)),2)</f>
        <v>0</v>
      </c>
      <c r="H227" s="1311">
        <f ca="1">IF(CostTrack[[#This Row],[Holdback (Y/N/R)]]="Release",CostTrack[[#This Row],[Value]],CostTrack[[#This Row],[Value]]+CostTrack[[#This Row],[Holdback Value]])</f>
        <v>2461.04</v>
      </c>
      <c r="I227" s="1312"/>
      <c r="J227" s="1312"/>
      <c r="K227" s="1313">
        <v>44286</v>
      </c>
      <c r="L227" s="1308">
        <v>44281</v>
      </c>
      <c r="M227" s="1308"/>
      <c r="N227" s="1312"/>
      <c r="O227" s="1308" t="s">
        <v>106</v>
      </c>
      <c r="P227" s="1308">
        <v>44281</v>
      </c>
      <c r="Q227" s="1314" t="str">
        <f ca="1">IF(CostTrack[[#This Row],[Vendor - Contract]]="","",INDEX(VendorList[PA ID],MATCH(CostTrack[[#This Row],[Vendor - Contract]],VendorList[Vendor / Org. with Contract ID],0)))</f>
        <v>300.040.F1</v>
      </c>
      <c r="R227" s="1314" t="str">
        <f ca="1">IF(CostTrack[[#This Row],[Vendor - Contract]]="","",INDEX(VendorList[Primary Category],MATCH(CostTrack[[#This Row],[Vendor - Contract]],VendorList[Vendor / Org. with Contract ID],0)))</f>
        <v>Construction</v>
      </c>
      <c r="S227" s="1314" t="str">
        <f ca="1">IF(CostTrack[[#This Row],[Vendor - Contract]]="","",INDEX(VendorList[Secondary Category],MATCH(CostTrack[[#This Row],[Vendor - Contract]],VendorList[Vendor / Org. with Contract ID],0)))</f>
        <v>Other Contractor</v>
      </c>
      <c r="T227" s="1314" t="str">
        <f ca="1">IF(CostTrack[[#This Row],[Vendor - Contract]]="","",INDEX(VendorList[Phase / Subproject],MATCH(CostTrack[[#This Row],[Vendor - Contract]],VendorList[Vendor / Org. with Contract ID],0)))</f>
        <v>--</v>
      </c>
      <c r="U227" s="1314" t="str">
        <f ca="1">IF(CostTrack[[#This Row],[Vendor - Contract]]="","",INDEX(VendorList[Phase / Subproject 2],MATCH(CostTrack[[#This Row],[Vendor - Contract]],VendorList[Vendor / Org. with Contract ID],0)))</f>
        <v>--</v>
      </c>
      <c r="V227" s="1314" t="str">
        <f ca="1">IF(CostTrack[[#This Row],[Vendor - Contract]]="","",INDEX(VendorList[Funding Source],MATCH(CostTrack[[#This Row],[Vendor - Contract]],VendorList[Vendor / Org. with Contract ID],0)))</f>
        <v>P-002360</v>
      </c>
      <c r="W227" s="1308">
        <v>44286</v>
      </c>
      <c r="X227" s="1315" t="str">
        <f ca="1">IF(CostTrack[[#This Row],[Release Date (CMS)]]="","*","")</f>
        <v/>
      </c>
      <c r="Y227" s="1308" t="s">
        <v>45</v>
      </c>
      <c r="Z227" s="652" t="s">
        <v>951</v>
      </c>
      <c r="AA227" s="1316">
        <f ca="1">IF(OR(CostTrack[[#This Row],[Release Date (CMS)]]&gt;=DATE(VALUE(REPLACE(CostTrack[[#This Row],[Fiscal Period]],3,3,"")),3,1),CostTrack[[#This Row],[Release Date (CMS)]]&lt;DATE(VALUE(LEFT(CostTrack[[#This Row],[Fiscal Period]],4)),4,1)),1,0)</f>
        <v>1</v>
      </c>
      <c r="AB227" s="1317">
        <v>2461.04</v>
      </c>
      <c r="AC227" s="1308">
        <v>44336</v>
      </c>
      <c r="AD227" s="402" t="str">
        <f ca="1">IF(CostTrack[[#This Row],[Reconciled Amount]]="","",IF(CostTrack[[#This Row],[Value]]&lt;&gt;CostTrack[[#This Row],[Reconciled Amount]],"Yes","No"))</f>
        <v>No</v>
      </c>
    </row>
    <row r="228" spans="2:30">
      <c r="B228" s="1306" t="s">
        <v>597</v>
      </c>
      <c r="C228" s="1312">
        <v>419305</v>
      </c>
      <c r="D228" s="1308">
        <v>44271</v>
      </c>
      <c r="E228" s="658">
        <v>2461.04</v>
      </c>
      <c r="F228" s="1309" t="s">
        <v>69</v>
      </c>
      <c r="G228" s="1310">
        <f ca="1">ROUND(IF(CostTrack[[#This Row],[Holdback (Y/N/R)]]="Yes",CostTrack[[#This Row],[Value]]*-0.1,IF(CostTrack[[#This Row],[Holdback (Y/N/R)]]="Release",CostTrack[[#This Row],[Value]],0)),2)</f>
        <v>0</v>
      </c>
      <c r="H228" s="1311">
        <f ca="1">IF(CostTrack[[#This Row],[Holdback (Y/N/R)]]="Release",CostTrack[[#This Row],[Value]],CostTrack[[#This Row],[Value]]+CostTrack[[#This Row],[Holdback Value]])</f>
        <v>2461.04</v>
      </c>
      <c r="I228" s="1312"/>
      <c r="J228" s="1312"/>
      <c r="K228" s="1313">
        <v>44286</v>
      </c>
      <c r="L228" s="1308">
        <v>44281</v>
      </c>
      <c r="M228" s="1308"/>
      <c r="N228" s="1312"/>
      <c r="O228" s="1308" t="s">
        <v>106</v>
      </c>
      <c r="P228" s="1308">
        <v>44292</v>
      </c>
      <c r="Q228" s="1314" t="str">
        <f ca="1">IF(CostTrack[[#This Row],[Vendor - Contract]]="","",INDEX(VendorList[PA ID],MATCH(CostTrack[[#This Row],[Vendor - Contract]],VendorList[Vendor / Org. with Contract ID],0)))</f>
        <v>300.040.F1</v>
      </c>
      <c r="R228" s="1314" t="str">
        <f ca="1">IF(CostTrack[[#This Row],[Vendor - Contract]]="","",INDEX(VendorList[Primary Category],MATCH(CostTrack[[#This Row],[Vendor - Contract]],VendorList[Vendor / Org. with Contract ID],0)))</f>
        <v>Construction</v>
      </c>
      <c r="S228" s="1314" t="str">
        <f ca="1">IF(CostTrack[[#This Row],[Vendor - Contract]]="","",INDEX(VendorList[Secondary Category],MATCH(CostTrack[[#This Row],[Vendor - Contract]],VendorList[Vendor / Org. with Contract ID],0)))</f>
        <v>Other Contractor</v>
      </c>
      <c r="T228" s="1314" t="str">
        <f ca="1">IF(CostTrack[[#This Row],[Vendor - Contract]]="","",INDEX(VendorList[Phase / Subproject],MATCH(CostTrack[[#This Row],[Vendor - Contract]],VendorList[Vendor / Org. with Contract ID],0)))</f>
        <v>--</v>
      </c>
      <c r="U228" s="1314" t="str">
        <f ca="1">IF(CostTrack[[#This Row],[Vendor - Contract]]="","",INDEX(VendorList[Phase / Subproject 2],MATCH(CostTrack[[#This Row],[Vendor - Contract]],VendorList[Vendor / Org. with Contract ID],0)))</f>
        <v>--</v>
      </c>
      <c r="V228" s="1314" t="str">
        <f ca="1">IF(CostTrack[[#This Row],[Vendor - Contract]]="","",INDEX(VendorList[Funding Source],MATCH(CostTrack[[#This Row],[Vendor - Contract]],VendorList[Vendor / Org. with Contract ID],0)))</f>
        <v>P-002360</v>
      </c>
      <c r="W228" s="1308">
        <v>44292</v>
      </c>
      <c r="X228" s="1315" t="str">
        <f ca="1">IF(CostTrack[[#This Row],[Release Date (CMS)]]="","*","")</f>
        <v/>
      </c>
      <c r="Y228" s="1308" t="s">
        <v>50</v>
      </c>
      <c r="Z228" s="713" t="s">
        <v>952</v>
      </c>
      <c r="AA228" s="1316">
        <f ca="1">IF(OR(CostTrack[[#This Row],[Release Date (CMS)]]&gt;=DATE(VALUE(REPLACE(CostTrack[[#This Row],[Fiscal Period]],3,3,"")),3,1),CostTrack[[#This Row],[Release Date (CMS)]]&lt;DATE(VALUE(LEFT(CostTrack[[#This Row],[Fiscal Period]],4)),4,1)),1,0)</f>
        <v>0</v>
      </c>
      <c r="AB228" s="1317">
        <v>2461.04</v>
      </c>
      <c r="AC228" s="1308">
        <v>44336</v>
      </c>
      <c r="AD228" s="402" t="str">
        <f ca="1">IF(CostTrack[[#This Row],[Reconciled Amount]]="","",IF(CostTrack[[#This Row],[Value]]&lt;&gt;CostTrack[[#This Row],[Reconciled Amount]],"Yes","No"))</f>
        <v>No</v>
      </c>
    </row>
    <row r="229" spans="2:30" ht="27.95">
      <c r="B229" s="1306" t="s">
        <v>597</v>
      </c>
      <c r="C229" s="1312" t="s">
        <v>950</v>
      </c>
      <c r="D229" s="1308">
        <v>44292</v>
      </c>
      <c r="E229" s="658">
        <v>-2461.04</v>
      </c>
      <c r="F229" s="1309" t="s">
        <v>69</v>
      </c>
      <c r="G229" s="1310">
        <f ca="1">ROUND(IF(CostTrack[[#This Row],[Holdback (Y/N/R)]]="Yes",CostTrack[[#This Row],[Value]]*-0.1,IF(CostTrack[[#This Row],[Holdback (Y/N/R)]]="Release",CostTrack[[#This Row],[Value]],0)),2)</f>
        <v>0</v>
      </c>
      <c r="H229" s="1311">
        <f ca="1">IF(CostTrack[[#This Row],[Holdback (Y/N/R)]]="Release",CostTrack[[#This Row],[Value]],CostTrack[[#This Row],[Value]]+CostTrack[[#This Row],[Holdback Value]])</f>
        <v>-2461.04</v>
      </c>
      <c r="I229" s="1312"/>
      <c r="J229" s="1312"/>
      <c r="K229" s="1313">
        <v>44286</v>
      </c>
      <c r="L229" s="1308">
        <v>44281</v>
      </c>
      <c r="M229" s="1308"/>
      <c r="N229" s="1312"/>
      <c r="O229" s="1308" t="s">
        <v>106</v>
      </c>
      <c r="P229" s="1308">
        <v>44292</v>
      </c>
      <c r="Q229" s="1314" t="str">
        <f ca="1">IF(CostTrack[[#This Row],[Vendor - Contract]]="","",INDEX(VendorList[PA ID],MATCH(CostTrack[[#This Row],[Vendor - Contract]],VendorList[Vendor / Org. with Contract ID],0)))</f>
        <v>300.040.F1</v>
      </c>
      <c r="R229" s="1314" t="str">
        <f ca="1">IF(CostTrack[[#This Row],[Vendor - Contract]]="","",INDEX(VendorList[Primary Category],MATCH(CostTrack[[#This Row],[Vendor - Contract]],VendorList[Vendor / Org. with Contract ID],0)))</f>
        <v>Construction</v>
      </c>
      <c r="S229" s="1314" t="str">
        <f ca="1">IF(CostTrack[[#This Row],[Vendor - Contract]]="","",INDEX(VendorList[Secondary Category],MATCH(CostTrack[[#This Row],[Vendor - Contract]],VendorList[Vendor / Org. with Contract ID],0)))</f>
        <v>Other Contractor</v>
      </c>
      <c r="T229" s="1314" t="str">
        <f ca="1">IF(CostTrack[[#This Row],[Vendor - Contract]]="","",INDEX(VendorList[Phase / Subproject],MATCH(CostTrack[[#This Row],[Vendor - Contract]],VendorList[Vendor / Org. with Contract ID],0)))</f>
        <v>--</v>
      </c>
      <c r="U229" s="1314" t="str">
        <f ca="1">IF(CostTrack[[#This Row],[Vendor - Contract]]="","",INDEX(VendorList[Phase / Subproject 2],MATCH(CostTrack[[#This Row],[Vendor - Contract]],VendorList[Vendor / Org. with Contract ID],0)))</f>
        <v>--</v>
      </c>
      <c r="V229" s="1314" t="str">
        <f ca="1">IF(CostTrack[[#This Row],[Vendor - Contract]]="","",INDEX(VendorList[Funding Source],MATCH(CostTrack[[#This Row],[Vendor - Contract]],VendorList[Vendor / Org. with Contract ID],0)))</f>
        <v>P-002360</v>
      </c>
      <c r="W229" s="1308">
        <v>44292</v>
      </c>
      <c r="X229" s="1315" t="str">
        <f ca="1">IF(CostTrack[[#This Row],[Release Date (CMS)]]="","*","")</f>
        <v/>
      </c>
      <c r="Y229" s="1308" t="s">
        <v>50</v>
      </c>
      <c r="Z229" s="713" t="s">
        <v>953</v>
      </c>
      <c r="AA229" s="1316">
        <f ca="1">IF(OR(CostTrack[[#This Row],[Release Date (CMS)]]&gt;=DATE(VALUE(REPLACE(CostTrack[[#This Row],[Fiscal Period]],3,3,"")),3,1),CostTrack[[#This Row],[Release Date (CMS)]]&lt;DATE(VALUE(LEFT(CostTrack[[#This Row],[Fiscal Period]],4)),4,1)),1,0)</f>
        <v>0</v>
      </c>
      <c r="AB229" s="1317">
        <v>-2461.04</v>
      </c>
      <c r="AC229" s="1308">
        <v>44336</v>
      </c>
      <c r="AD229" s="402" t="str">
        <f ca="1">IF(CostTrack[[#This Row],[Reconciled Amount]]="","",IF(CostTrack[[#This Row],[Value]]&lt;&gt;CostTrack[[#This Row],[Reconciled Amount]],"Yes","No"))</f>
        <v>No</v>
      </c>
    </row>
    <row r="230" spans="2:30">
      <c r="B230" s="1306" t="s">
        <v>529</v>
      </c>
      <c r="C230" s="681" t="s">
        <v>954</v>
      </c>
      <c r="D230" s="1308">
        <v>44279</v>
      </c>
      <c r="E230" s="658">
        <v>2169761.87</v>
      </c>
      <c r="F230" s="1309" t="s">
        <v>65</v>
      </c>
      <c r="G230" s="1310">
        <f ca="1">ROUND(IF(CostTrack[[#This Row],[Holdback (Y/N/R)]]="Yes",CostTrack[[#This Row],[Value]]*-0.1,IF(CostTrack[[#This Row],[Holdback (Y/N/R)]]="Release",CostTrack[[#This Row],[Value]],0)),2)</f>
        <v>-216976.19</v>
      </c>
      <c r="H230" s="1311">
        <f ca="1">IF(CostTrack[[#This Row],[Holdback (Y/N/R)]]="Release",CostTrack[[#This Row],[Value]],CostTrack[[#This Row],[Value]]+CostTrack[[#This Row],[Holdback Value]])</f>
        <v>1952785.6800000002</v>
      </c>
      <c r="I230" s="1312">
        <v>8</v>
      </c>
      <c r="J230" s="1312"/>
      <c r="K230" s="1313">
        <v>44286</v>
      </c>
      <c r="L230" s="1308">
        <v>44281</v>
      </c>
      <c r="M230" s="1308"/>
      <c r="N230" s="1312"/>
      <c r="O230" s="1308" t="s">
        <v>106</v>
      </c>
      <c r="P230" s="1308">
        <v>44281</v>
      </c>
      <c r="Q230" s="1314" t="str">
        <f ca="1">IF(CostTrack[[#This Row],[Vendor - Contract]]="","",INDEX(VendorList[PA ID],MATCH(CostTrack[[#This Row],[Vendor - Contract]],VendorList[Vendor / Org. with Contract ID],0)))</f>
        <v>300.030.F1</v>
      </c>
      <c r="R230" s="1314" t="str">
        <f ca="1">IF(CostTrack[[#This Row],[Vendor - Contract]]="","",INDEX(VendorList[Primary Category],MATCH(CostTrack[[#This Row],[Vendor - Contract]],VendorList[Vendor / Org. with Contract ID],0)))</f>
        <v>Construction</v>
      </c>
      <c r="S230" s="1314" t="str">
        <f ca="1">IF(CostTrack[[#This Row],[Vendor - Contract]]="","",INDEX(VendorList[Secondary Category],MATCH(CostTrack[[#This Row],[Vendor - Contract]],VendorList[Vendor / Org. with Contract ID],0)))</f>
        <v>Prime Contractor</v>
      </c>
      <c r="T230" s="1314" t="str">
        <f ca="1">IF(CostTrack[[#This Row],[Vendor - Contract]]="","",INDEX(VendorList[Phase / Subproject],MATCH(CostTrack[[#This Row],[Vendor - Contract]],VendorList[Vendor / Org. with Contract ID],0)))</f>
        <v>--</v>
      </c>
      <c r="U230" s="1314" t="str">
        <f ca="1">IF(CostTrack[[#This Row],[Vendor - Contract]]="","",INDEX(VendorList[Phase / Subproject 2],MATCH(CostTrack[[#This Row],[Vendor - Contract]],VendorList[Vendor / Org. with Contract ID],0)))</f>
        <v>--</v>
      </c>
      <c r="V230" s="1314" t="str">
        <f ca="1">IF(CostTrack[[#This Row],[Vendor - Contract]]="","",INDEX(VendorList[Funding Source],MATCH(CostTrack[[#This Row],[Vendor - Contract]],VendorList[Vendor / Org. with Contract ID],0)))</f>
        <v>P-002360</v>
      </c>
      <c r="W230" s="1308">
        <v>44286</v>
      </c>
      <c r="X230" s="1315" t="str">
        <f ca="1">IF(CostTrack[[#This Row],[Release Date (CMS)]]="","*","")</f>
        <v/>
      </c>
      <c r="Y230" s="1308" t="s">
        <v>45</v>
      </c>
      <c r="Z230" s="652" t="s">
        <v>951</v>
      </c>
      <c r="AA230" s="1316">
        <f ca="1">IF(OR(CostTrack[[#This Row],[Release Date (CMS)]]&gt;=DATE(VALUE(REPLACE(CostTrack[[#This Row],[Fiscal Period]],3,3,"")),3,1),CostTrack[[#This Row],[Release Date (CMS)]]&lt;DATE(VALUE(LEFT(CostTrack[[#This Row],[Fiscal Period]],4)),4,1)),1,0)</f>
        <v>1</v>
      </c>
      <c r="AB230" s="1317">
        <v>2169761.87</v>
      </c>
      <c r="AC230" s="1308">
        <v>44336</v>
      </c>
      <c r="AD230" s="402" t="str">
        <f ca="1">IF(CostTrack[[#This Row],[Reconciled Amount]]="","",IF(CostTrack[[#This Row],[Value]]&lt;&gt;CostTrack[[#This Row],[Reconciled Amount]],"Yes","No"))</f>
        <v>No</v>
      </c>
    </row>
    <row r="231" spans="2:30">
      <c r="B231" s="653" t="s">
        <v>529</v>
      </c>
      <c r="C231" s="650" t="s">
        <v>955</v>
      </c>
      <c r="D231" s="267"/>
      <c r="E231" s="654">
        <v>2169761.87</v>
      </c>
      <c r="F231" s="647" t="s">
        <v>65</v>
      </c>
      <c r="G231" s="406">
        <f ca="1">ROUND(IF(CostTrack[[#This Row],[Holdback (Y/N/R)]]="Yes",CostTrack[[#This Row],[Value]]*-0.1,IF(CostTrack[[#This Row],[Holdback (Y/N/R)]]="Release",CostTrack[[#This Row],[Value]],0)),2)</f>
        <v>-216976.19</v>
      </c>
      <c r="H231" s="407">
        <f ca="1">IF(CostTrack[[#This Row],[Holdback (Y/N/R)]]="Release",CostTrack[[#This Row],[Value]],CostTrack[[#This Row],[Value]]+CostTrack[[#This Row],[Holdback Value]])</f>
        <v>1952785.6800000002</v>
      </c>
      <c r="I231" s="650">
        <v>8</v>
      </c>
      <c r="J231" s="650"/>
      <c r="K231" s="1313">
        <v>44286</v>
      </c>
      <c r="L231" s="267">
        <v>44301</v>
      </c>
      <c r="M231" s="267"/>
      <c r="N231" s="650"/>
      <c r="O231" s="1308" t="s">
        <v>106</v>
      </c>
      <c r="P231" s="267">
        <v>44301</v>
      </c>
      <c r="Q231" s="243" t="str">
        <f ca="1">IF(CostTrack[[#This Row],[Vendor - Contract]]="","",INDEX(VendorList[PA ID],MATCH(CostTrack[[#This Row],[Vendor - Contract]],VendorList[Vendor / Org. with Contract ID],0)))</f>
        <v>300.030.F1</v>
      </c>
      <c r="R231" s="243" t="str">
        <f ca="1">IF(CostTrack[[#This Row],[Vendor - Contract]]="","",INDEX(VendorList[Primary Category],MATCH(CostTrack[[#This Row],[Vendor - Contract]],VendorList[Vendor / Org. with Contract ID],0)))</f>
        <v>Construction</v>
      </c>
      <c r="S231" s="243" t="str">
        <f ca="1">IF(CostTrack[[#This Row],[Vendor - Contract]]="","",INDEX(VendorList[Secondary Category],MATCH(CostTrack[[#This Row],[Vendor - Contract]],VendorList[Vendor / Org. with Contract ID],0)))</f>
        <v>Prime Contractor</v>
      </c>
      <c r="T231" s="243" t="str">
        <f ca="1">IF(CostTrack[[#This Row],[Vendor - Contract]]="","",INDEX(VendorList[Phase / Subproject],MATCH(CostTrack[[#This Row],[Vendor - Contract]],VendorList[Vendor / Org. with Contract ID],0)))</f>
        <v>--</v>
      </c>
      <c r="U231" s="243" t="str">
        <f ca="1">IF(CostTrack[[#This Row],[Vendor - Contract]]="","",INDEX(VendorList[Phase / Subproject 2],MATCH(CostTrack[[#This Row],[Vendor - Contract]],VendorList[Vendor / Org. with Contract ID],0)))</f>
        <v>--</v>
      </c>
      <c r="V231" s="243" t="str">
        <f ca="1">IF(CostTrack[[#This Row],[Vendor - Contract]]="","",INDEX(VendorList[Funding Source],MATCH(CostTrack[[#This Row],[Vendor - Contract]],VendorList[Vendor / Org. with Contract ID],0)))</f>
        <v>P-002360</v>
      </c>
      <c r="W231" s="267">
        <v>44301</v>
      </c>
      <c r="X231" s="251" t="str">
        <f ca="1">IF(CostTrack[[#This Row],[Release Date (CMS)]]="","*","")</f>
        <v/>
      </c>
      <c r="Y231" s="267" t="s">
        <v>50</v>
      </c>
      <c r="Z231" s="652" t="s">
        <v>956</v>
      </c>
      <c r="AA231" s="245">
        <f ca="1">IF(OR(CostTrack[[#This Row],[Release Date (CMS)]]&gt;=DATE(VALUE(REPLACE(CostTrack[[#This Row],[Fiscal Period]],3,3,"")),3,1),CostTrack[[#This Row],[Release Date (CMS)]]&lt;DATE(VALUE(LEFT(CostTrack[[#This Row],[Fiscal Period]],4)),4,1)),1,0)</f>
        <v>0</v>
      </c>
      <c r="AB231" s="1317">
        <v>2169761.87</v>
      </c>
      <c r="AC231" s="1308">
        <v>44336</v>
      </c>
      <c r="AD231" s="402" t="str">
        <f ca="1">IF(CostTrack[[#This Row],[Reconciled Amount]]="","",IF(CostTrack[[#This Row],[Value]]&lt;&gt;CostTrack[[#This Row],[Reconciled Amount]],"Yes","No"))</f>
        <v>No</v>
      </c>
    </row>
    <row r="232" spans="2:30" ht="27.95">
      <c r="B232" s="653" t="s">
        <v>529</v>
      </c>
      <c r="C232" s="650" t="s">
        <v>954</v>
      </c>
      <c r="D232" s="267"/>
      <c r="E232" s="654">
        <v>-2169761.87</v>
      </c>
      <c r="F232" s="647" t="s">
        <v>65</v>
      </c>
      <c r="G232" s="406">
        <f ca="1">ROUND(IF(CostTrack[[#This Row],[Holdback (Y/N/R)]]="Yes",CostTrack[[#This Row],[Value]]*-0.1,IF(CostTrack[[#This Row],[Holdback (Y/N/R)]]="Release",CostTrack[[#This Row],[Value]],0)),2)</f>
        <v>216976.19</v>
      </c>
      <c r="H232" s="407">
        <f ca="1">IF(CostTrack[[#This Row],[Holdback (Y/N/R)]]="Release",CostTrack[[#This Row],[Value]],CostTrack[[#This Row],[Value]]+CostTrack[[#This Row],[Holdback Value]])</f>
        <v>-1952785.6800000002</v>
      </c>
      <c r="I232" s="650">
        <v>8</v>
      </c>
      <c r="J232" s="650"/>
      <c r="K232" s="1313">
        <v>44286</v>
      </c>
      <c r="L232" s="267">
        <v>44301</v>
      </c>
      <c r="M232" s="267"/>
      <c r="N232" s="650"/>
      <c r="O232" s="1308" t="s">
        <v>106</v>
      </c>
      <c r="P232" s="267">
        <v>44301</v>
      </c>
      <c r="Q232" s="243" t="str">
        <f ca="1">IF(CostTrack[[#This Row],[Vendor - Contract]]="","",INDEX(VendorList[PA ID],MATCH(CostTrack[[#This Row],[Vendor - Contract]],VendorList[Vendor / Org. with Contract ID],0)))</f>
        <v>300.030.F1</v>
      </c>
      <c r="R232" s="243" t="str">
        <f ca="1">IF(CostTrack[[#This Row],[Vendor - Contract]]="","",INDEX(VendorList[Primary Category],MATCH(CostTrack[[#This Row],[Vendor - Contract]],VendorList[Vendor / Org. with Contract ID],0)))</f>
        <v>Construction</v>
      </c>
      <c r="S232" s="243" t="str">
        <f ca="1">IF(CostTrack[[#This Row],[Vendor - Contract]]="","",INDEX(VendorList[Secondary Category],MATCH(CostTrack[[#This Row],[Vendor - Contract]],VendorList[Vendor / Org. with Contract ID],0)))</f>
        <v>Prime Contractor</v>
      </c>
      <c r="T232" s="243" t="str">
        <f ca="1">IF(CostTrack[[#This Row],[Vendor - Contract]]="","",INDEX(VendorList[Phase / Subproject],MATCH(CostTrack[[#This Row],[Vendor - Contract]],VendorList[Vendor / Org. with Contract ID],0)))</f>
        <v>--</v>
      </c>
      <c r="U232" s="243" t="str">
        <f ca="1">IF(CostTrack[[#This Row],[Vendor - Contract]]="","",INDEX(VendorList[Phase / Subproject 2],MATCH(CostTrack[[#This Row],[Vendor - Contract]],VendorList[Vendor / Org. with Contract ID],0)))</f>
        <v>--</v>
      </c>
      <c r="V232" s="243" t="str">
        <f ca="1">IF(CostTrack[[#This Row],[Vendor - Contract]]="","",INDEX(VendorList[Funding Source],MATCH(CostTrack[[#This Row],[Vendor - Contract]],VendorList[Vendor / Org. with Contract ID],0)))</f>
        <v>P-002360</v>
      </c>
      <c r="W232" s="267">
        <v>44301</v>
      </c>
      <c r="X232" s="251" t="str">
        <f ca="1">IF(CostTrack[[#This Row],[Release Date (CMS)]]="","*","")</f>
        <v/>
      </c>
      <c r="Y232" s="267" t="s">
        <v>50</v>
      </c>
      <c r="Z232" s="652" t="s">
        <v>957</v>
      </c>
      <c r="AA232" s="245">
        <f ca="1">IF(OR(CostTrack[[#This Row],[Release Date (CMS)]]&gt;=DATE(VALUE(REPLACE(CostTrack[[#This Row],[Fiscal Period]],3,3,"")),3,1),CostTrack[[#This Row],[Release Date (CMS)]]&lt;DATE(VALUE(LEFT(CostTrack[[#This Row],[Fiscal Period]],4)),4,1)),1,0)</f>
        <v>0</v>
      </c>
      <c r="AB232" s="1317">
        <v>-2169761.87</v>
      </c>
      <c r="AC232" s="1308">
        <v>44336</v>
      </c>
      <c r="AD232" s="402" t="str">
        <f ca="1">IF(CostTrack[[#This Row],[Reconciled Amount]]="","",IF(CostTrack[[#This Row],[Value]]&lt;&gt;CostTrack[[#This Row],[Reconciled Amount]],"Yes","No"))</f>
        <v>No</v>
      </c>
    </row>
    <row r="233" spans="2:30" ht="27.95">
      <c r="B233" s="653" t="s">
        <v>529</v>
      </c>
      <c r="C233" s="650" t="s">
        <v>955</v>
      </c>
      <c r="D233" s="267"/>
      <c r="E233" s="654">
        <v>44180</v>
      </c>
      <c r="F233" s="647" t="s">
        <v>65</v>
      </c>
      <c r="G233" s="406">
        <f ca="1">ROUND(IF(CostTrack[[#This Row],[Holdback (Y/N/R)]]="Yes",CostTrack[[#This Row],[Value]]*-0.1,IF(CostTrack[[#This Row],[Holdback (Y/N/R)]]="Release",CostTrack[[#This Row],[Value]],0)),2)</f>
        <v>-4418</v>
      </c>
      <c r="H233" s="407">
        <f ca="1">IF(CostTrack[[#This Row],[Holdback (Y/N/R)]]="Release",CostTrack[[#This Row],[Value]],CostTrack[[#This Row],[Value]]+CostTrack[[#This Row],[Holdback Value]])</f>
        <v>39762</v>
      </c>
      <c r="I233" s="650">
        <v>8</v>
      </c>
      <c r="J233" s="650"/>
      <c r="K233" s="1313">
        <v>44287</v>
      </c>
      <c r="L233" s="267">
        <v>44301</v>
      </c>
      <c r="M233" s="267"/>
      <c r="N233" s="650"/>
      <c r="O233" s="1308" t="s">
        <v>106</v>
      </c>
      <c r="P233" s="267">
        <v>44301</v>
      </c>
      <c r="Q233" s="243" t="str">
        <f ca="1">IF(CostTrack[[#This Row],[Vendor - Contract]]="","",INDEX(VendorList[PA ID],MATCH(CostTrack[[#This Row],[Vendor - Contract]],VendorList[Vendor / Org. with Contract ID],0)))</f>
        <v>300.030.F1</v>
      </c>
      <c r="R233" s="243" t="str">
        <f ca="1">IF(CostTrack[[#This Row],[Vendor - Contract]]="","",INDEX(VendorList[Primary Category],MATCH(CostTrack[[#This Row],[Vendor - Contract]],VendorList[Vendor / Org. with Contract ID],0)))</f>
        <v>Construction</v>
      </c>
      <c r="S233" s="243" t="str">
        <f ca="1">IF(CostTrack[[#This Row],[Vendor - Contract]]="","",INDEX(VendorList[Secondary Category],MATCH(CostTrack[[#This Row],[Vendor - Contract]],VendorList[Vendor / Org. with Contract ID],0)))</f>
        <v>Prime Contractor</v>
      </c>
      <c r="T233" s="243" t="str">
        <f ca="1">IF(CostTrack[[#This Row],[Vendor - Contract]]="","",INDEX(VendorList[Phase / Subproject],MATCH(CostTrack[[#This Row],[Vendor - Contract]],VendorList[Vendor / Org. with Contract ID],0)))</f>
        <v>--</v>
      </c>
      <c r="U233" s="243" t="str">
        <f ca="1">IF(CostTrack[[#This Row],[Vendor - Contract]]="","",INDEX(VendorList[Phase / Subproject 2],MATCH(CostTrack[[#This Row],[Vendor - Contract]],VendorList[Vendor / Org. with Contract ID],0)))</f>
        <v>--</v>
      </c>
      <c r="V233" s="243" t="str">
        <f ca="1">IF(CostTrack[[#This Row],[Vendor - Contract]]="","",INDEX(VendorList[Funding Source],MATCH(CostTrack[[#This Row],[Vendor - Contract]],VendorList[Vendor / Org. with Contract ID],0)))</f>
        <v>P-002360</v>
      </c>
      <c r="W233" s="267">
        <v>44316</v>
      </c>
      <c r="X233" s="251" t="str">
        <f ca="1">IF(CostTrack[[#This Row],[Release Date (CMS)]]="","*","")</f>
        <v/>
      </c>
      <c r="Y233" s="267" t="s">
        <v>50</v>
      </c>
      <c r="Z233" s="652" t="s">
        <v>958</v>
      </c>
      <c r="AA233" s="245">
        <f ca="1">IF(OR(CostTrack[[#This Row],[Release Date (CMS)]]&gt;=DATE(VALUE(REPLACE(CostTrack[[#This Row],[Fiscal Period]],3,3,"")),3,1),CostTrack[[#This Row],[Release Date (CMS)]]&lt;DATE(VALUE(LEFT(CostTrack[[#This Row],[Fiscal Period]],4)),4,1)),1,0)</f>
        <v>0</v>
      </c>
      <c r="AB233" s="655">
        <v>44180</v>
      </c>
      <c r="AC233" s="1308">
        <v>44336</v>
      </c>
      <c r="AD233" s="402" t="str">
        <f ca="1">IF(CostTrack[[#This Row],[Reconciled Amount]]="","",IF(CostTrack[[#This Row],[Value]]&lt;&gt;CostTrack[[#This Row],[Reconciled Amount]],"Yes","No"))</f>
        <v>No</v>
      </c>
    </row>
    <row r="234" spans="2:30">
      <c r="B234" s="653" t="s">
        <v>624</v>
      </c>
      <c r="C234" s="681" t="s">
        <v>959</v>
      </c>
      <c r="D234" s="1308">
        <v>44286</v>
      </c>
      <c r="E234" s="658">
        <v>2100</v>
      </c>
      <c r="F234" s="647" t="s">
        <v>69</v>
      </c>
      <c r="G234" s="1310">
        <f ca="1">ROUND(IF(CostTrack[[#This Row],[Holdback (Y/N/R)]]="Yes",CostTrack[[#This Row],[Value]]*-0.1,IF(CostTrack[[#This Row],[Holdback (Y/N/R)]]="Release",CostTrack[[#This Row],[Value]],0)),2)</f>
        <v>0</v>
      </c>
      <c r="H234" s="1311">
        <f ca="1">IF(CostTrack[[#This Row],[Holdback (Y/N/R)]]="Release",CostTrack[[#This Row],[Value]],CostTrack[[#This Row],[Value]]+CostTrack[[#This Row],[Holdback Value]])</f>
        <v>2100</v>
      </c>
      <c r="I234" s="1312"/>
      <c r="J234" s="1312"/>
      <c r="K234" s="1313">
        <v>44286</v>
      </c>
      <c r="L234" s="1308">
        <v>44281</v>
      </c>
      <c r="M234" s="1308"/>
      <c r="N234" s="1312"/>
      <c r="O234" s="1308" t="s">
        <v>106</v>
      </c>
      <c r="P234" s="267">
        <v>44301</v>
      </c>
      <c r="Q234" s="1314" t="str">
        <f ca="1">IF(CostTrack[[#This Row],[Vendor - Contract]]="","",INDEX(VendorList[PA ID],MATCH(CostTrack[[#This Row],[Vendor - Contract]],VendorList[Vendor / Org. with Contract ID],0)))</f>
        <v>200.040.F1</v>
      </c>
      <c r="R234" s="1314" t="str">
        <f ca="1">IF(CostTrack[[#This Row],[Vendor - Contract]]="","",INDEX(VendorList[Primary Category],MATCH(CostTrack[[#This Row],[Vendor - Contract]],VendorList[Vendor / Org. with Contract ID],0)))</f>
        <v>Professional Services</v>
      </c>
      <c r="S234" s="1314" t="str">
        <f ca="1">IF(CostTrack[[#This Row],[Vendor - Contract]]="","",INDEX(VendorList[Secondary Category],MATCH(CostTrack[[#This Row],[Vendor - Contract]],VendorList[Vendor / Org. with Contract ID],0)))</f>
        <v>Commissioning</v>
      </c>
      <c r="T234" s="1314" t="str">
        <f ca="1">IF(CostTrack[[#This Row],[Vendor - Contract]]="","",INDEX(VendorList[Phase / Subproject],MATCH(CostTrack[[#This Row],[Vendor - Contract]],VendorList[Vendor / Org. with Contract ID],0)))</f>
        <v>--</v>
      </c>
      <c r="U234" s="1314" t="str">
        <f ca="1">IF(CostTrack[[#This Row],[Vendor - Contract]]="","",INDEX(VendorList[Phase / Subproject 2],MATCH(CostTrack[[#This Row],[Vendor - Contract]],VendorList[Vendor / Org. with Contract ID],0)))</f>
        <v>--</v>
      </c>
      <c r="V234" s="1314" t="str">
        <f ca="1">IF(CostTrack[[#This Row],[Vendor - Contract]]="","",INDEX(VendorList[Funding Source],MATCH(CostTrack[[#This Row],[Vendor - Contract]],VendorList[Vendor / Org. with Contract ID],0)))</f>
        <v>P-002360</v>
      </c>
      <c r="W234" s="1308">
        <v>44286</v>
      </c>
      <c r="X234" s="1315" t="str">
        <f ca="1">IF(CostTrack[[#This Row],[Release Date (CMS)]]="","*","")</f>
        <v/>
      </c>
      <c r="Y234" s="1308" t="s">
        <v>45</v>
      </c>
      <c r="Z234" s="652" t="s">
        <v>951</v>
      </c>
      <c r="AA234" s="1316">
        <f ca="1">IF(OR(CostTrack[[#This Row],[Release Date (CMS)]]&gt;=DATE(VALUE(REPLACE(CostTrack[[#This Row],[Fiscal Period]],3,3,"")),3,1),CostTrack[[#This Row],[Release Date (CMS)]]&lt;DATE(VALUE(LEFT(CostTrack[[#This Row],[Fiscal Period]],4)),4,1)),1,0)</f>
        <v>1</v>
      </c>
      <c r="AB234" s="1317">
        <v>2100</v>
      </c>
      <c r="AC234" s="1308">
        <v>44336</v>
      </c>
      <c r="AD234" s="402" t="str">
        <f ca="1">IF(CostTrack[[#This Row],[Reconciled Amount]]="","",IF(CostTrack[[#This Row],[Value]]&lt;&gt;CostTrack[[#This Row],[Reconciled Amount]],"Yes","No"))</f>
        <v>No</v>
      </c>
    </row>
    <row r="235" spans="2:30">
      <c r="B235" s="1306" t="s">
        <v>624</v>
      </c>
      <c r="C235" s="1312">
        <v>1590565</v>
      </c>
      <c r="D235" s="1308">
        <v>44293</v>
      </c>
      <c r="E235" s="658">
        <v>2100</v>
      </c>
      <c r="F235" s="1309" t="s">
        <v>69</v>
      </c>
      <c r="G235" s="1310">
        <f ca="1">ROUND(IF(CostTrack[[#This Row],[Holdback (Y/N/R)]]="Yes",CostTrack[[#This Row],[Value]]*-0.1,IF(CostTrack[[#This Row],[Holdback (Y/N/R)]]="Release",CostTrack[[#This Row],[Value]],0)),2)</f>
        <v>0</v>
      </c>
      <c r="H235" s="1311">
        <f ca="1">IF(CostTrack[[#This Row],[Holdback (Y/N/R)]]="Release",CostTrack[[#This Row],[Value]],CostTrack[[#This Row],[Value]]+CostTrack[[#This Row],[Holdback Value]])</f>
        <v>2100</v>
      </c>
      <c r="I235" s="1312"/>
      <c r="J235" s="1312"/>
      <c r="K235" s="1313">
        <v>44286</v>
      </c>
      <c r="L235" s="1308">
        <v>44286</v>
      </c>
      <c r="M235" s="1308"/>
      <c r="N235" s="1312"/>
      <c r="O235" s="1308" t="s">
        <v>106</v>
      </c>
      <c r="P235" s="1308">
        <v>44293</v>
      </c>
      <c r="Q235" s="1314" t="str">
        <f ca="1">IF(CostTrack[[#This Row],[Vendor - Contract]]="","",INDEX(VendorList[PA ID],MATCH(CostTrack[[#This Row],[Vendor - Contract]],VendorList[Vendor / Org. with Contract ID],0)))</f>
        <v>200.040.F1</v>
      </c>
      <c r="R235" s="1314" t="str">
        <f ca="1">IF(CostTrack[[#This Row],[Vendor - Contract]]="","",INDEX(VendorList[Primary Category],MATCH(CostTrack[[#This Row],[Vendor - Contract]],VendorList[Vendor / Org. with Contract ID],0)))</f>
        <v>Professional Services</v>
      </c>
      <c r="S235" s="1314" t="str">
        <f ca="1">IF(CostTrack[[#This Row],[Vendor - Contract]]="","",INDEX(VendorList[Secondary Category],MATCH(CostTrack[[#This Row],[Vendor - Contract]],VendorList[Vendor / Org. with Contract ID],0)))</f>
        <v>Commissioning</v>
      </c>
      <c r="T235" s="1314" t="str">
        <f ca="1">IF(CostTrack[[#This Row],[Vendor - Contract]]="","",INDEX(VendorList[Phase / Subproject],MATCH(CostTrack[[#This Row],[Vendor - Contract]],VendorList[Vendor / Org. with Contract ID],0)))</f>
        <v>--</v>
      </c>
      <c r="U235" s="1314" t="str">
        <f ca="1">IF(CostTrack[[#This Row],[Vendor - Contract]]="","",INDEX(VendorList[Phase / Subproject 2],MATCH(CostTrack[[#This Row],[Vendor - Contract]],VendorList[Vendor / Org. with Contract ID],0)))</f>
        <v>--</v>
      </c>
      <c r="V235" s="1314" t="str">
        <f ca="1">IF(CostTrack[[#This Row],[Vendor - Contract]]="","",INDEX(VendorList[Funding Source],MATCH(CostTrack[[#This Row],[Vendor - Contract]],VendorList[Vendor / Org. with Contract ID],0)))</f>
        <v>P-002360</v>
      </c>
      <c r="W235" s="1308">
        <v>44293</v>
      </c>
      <c r="X235" s="1315" t="str">
        <f ca="1">IF(CostTrack[[#This Row],[Release Date (CMS)]]="","*","")</f>
        <v/>
      </c>
      <c r="Y235" s="1308" t="s">
        <v>50</v>
      </c>
      <c r="Z235" s="713" t="s">
        <v>960</v>
      </c>
      <c r="AA235" s="1316">
        <f ca="1">IF(OR(CostTrack[[#This Row],[Release Date (CMS)]]&gt;=DATE(VALUE(REPLACE(CostTrack[[#This Row],[Fiscal Period]],3,3,"")),3,1),CostTrack[[#This Row],[Release Date (CMS)]]&lt;DATE(VALUE(LEFT(CostTrack[[#This Row],[Fiscal Period]],4)),4,1)),1,0)</f>
        <v>0</v>
      </c>
      <c r="AB235" s="1317">
        <v>2100</v>
      </c>
      <c r="AC235" s="1308">
        <v>44336</v>
      </c>
      <c r="AD235" s="402" t="str">
        <f ca="1">IF(CostTrack[[#This Row],[Reconciled Amount]]="","",IF(CostTrack[[#This Row],[Value]]&lt;&gt;CostTrack[[#This Row],[Reconciled Amount]],"Yes","No"))</f>
        <v>No</v>
      </c>
    </row>
    <row r="236" spans="2:30" ht="27.95">
      <c r="B236" s="1306" t="s">
        <v>624</v>
      </c>
      <c r="C236" s="1312" t="s">
        <v>959</v>
      </c>
      <c r="D236" s="1308">
        <v>44293</v>
      </c>
      <c r="E236" s="658">
        <v>-2100</v>
      </c>
      <c r="F236" s="1309" t="s">
        <v>69</v>
      </c>
      <c r="G236" s="1310">
        <f ca="1">ROUND(IF(CostTrack[[#This Row],[Holdback (Y/N/R)]]="Yes",CostTrack[[#This Row],[Value]]*-0.1,IF(CostTrack[[#This Row],[Holdback (Y/N/R)]]="Release",CostTrack[[#This Row],[Value]],0)),2)</f>
        <v>0</v>
      </c>
      <c r="H236" s="1311">
        <f ca="1">IF(CostTrack[[#This Row],[Holdback (Y/N/R)]]="Release",CostTrack[[#This Row],[Value]],CostTrack[[#This Row],[Value]]+CostTrack[[#This Row],[Holdback Value]])</f>
        <v>-2100</v>
      </c>
      <c r="I236" s="1312"/>
      <c r="J236" s="1312"/>
      <c r="K236" s="1313">
        <v>44286</v>
      </c>
      <c r="L236" s="1308">
        <v>44293</v>
      </c>
      <c r="M236" s="1308"/>
      <c r="N236" s="1312"/>
      <c r="O236" s="1308" t="s">
        <v>106</v>
      </c>
      <c r="P236" s="1308">
        <v>44293</v>
      </c>
      <c r="Q236" s="1314" t="str">
        <f ca="1">IF(CostTrack[[#This Row],[Vendor - Contract]]="","",INDEX(VendorList[PA ID],MATCH(CostTrack[[#This Row],[Vendor - Contract]],VendorList[Vendor / Org. with Contract ID],0)))</f>
        <v>200.040.F1</v>
      </c>
      <c r="R236" s="1314" t="str">
        <f ca="1">IF(CostTrack[[#This Row],[Vendor - Contract]]="","",INDEX(VendorList[Primary Category],MATCH(CostTrack[[#This Row],[Vendor - Contract]],VendorList[Vendor / Org. with Contract ID],0)))</f>
        <v>Professional Services</v>
      </c>
      <c r="S236" s="1314" t="str">
        <f ca="1">IF(CostTrack[[#This Row],[Vendor - Contract]]="","",INDEX(VendorList[Secondary Category],MATCH(CostTrack[[#This Row],[Vendor - Contract]],VendorList[Vendor / Org. with Contract ID],0)))</f>
        <v>Commissioning</v>
      </c>
      <c r="T236" s="1314" t="str">
        <f ca="1">IF(CostTrack[[#This Row],[Vendor - Contract]]="","",INDEX(VendorList[Phase / Subproject],MATCH(CostTrack[[#This Row],[Vendor - Contract]],VendorList[Vendor / Org. with Contract ID],0)))</f>
        <v>--</v>
      </c>
      <c r="U236" s="1314" t="str">
        <f ca="1">IF(CostTrack[[#This Row],[Vendor - Contract]]="","",INDEX(VendorList[Phase / Subproject 2],MATCH(CostTrack[[#This Row],[Vendor - Contract]],VendorList[Vendor / Org. with Contract ID],0)))</f>
        <v>--</v>
      </c>
      <c r="V236" s="1314" t="str">
        <f ca="1">IF(CostTrack[[#This Row],[Vendor - Contract]]="","",INDEX(VendorList[Funding Source],MATCH(CostTrack[[#This Row],[Vendor - Contract]],VendorList[Vendor / Org. with Contract ID],0)))</f>
        <v>P-002360</v>
      </c>
      <c r="W236" s="1308">
        <v>44293</v>
      </c>
      <c r="X236" s="1315" t="str">
        <f ca="1">IF(CostTrack[[#This Row],[Release Date (CMS)]]="","*","")</f>
        <v/>
      </c>
      <c r="Y236" s="1308" t="s">
        <v>50</v>
      </c>
      <c r="Z236" s="713" t="s">
        <v>961</v>
      </c>
      <c r="AA236" s="1316">
        <f ca="1">IF(OR(CostTrack[[#This Row],[Release Date (CMS)]]&gt;=DATE(VALUE(REPLACE(CostTrack[[#This Row],[Fiscal Period]],3,3,"")),3,1),CostTrack[[#This Row],[Release Date (CMS)]]&lt;DATE(VALUE(LEFT(CostTrack[[#This Row],[Fiscal Period]],4)),4,1)),1,0)</f>
        <v>0</v>
      </c>
      <c r="AB236" s="1317">
        <v>-2100</v>
      </c>
      <c r="AC236" s="1308">
        <v>44336</v>
      </c>
      <c r="AD236" s="402" t="str">
        <f ca="1">IF(CostTrack[[#This Row],[Reconciled Amount]]="","",IF(CostTrack[[#This Row],[Value]]&lt;&gt;CostTrack[[#This Row],[Reconciled Amount]],"Yes","No"))</f>
        <v>No</v>
      </c>
    </row>
    <row r="237" spans="2:30">
      <c r="B237" s="653" t="s">
        <v>750</v>
      </c>
      <c r="C237" s="681" t="s">
        <v>962</v>
      </c>
      <c r="D237" s="1308">
        <v>44286</v>
      </c>
      <c r="E237" s="658">
        <v>2094.0500000000002</v>
      </c>
      <c r="F237" s="647" t="s">
        <v>69</v>
      </c>
      <c r="G237" s="1310">
        <f ca="1">ROUND(IF(CostTrack[[#This Row],[Holdback (Y/N/R)]]="Yes",CostTrack[[#This Row],[Value]]*-0.1,IF(CostTrack[[#This Row],[Holdback (Y/N/R)]]="Release",CostTrack[[#This Row],[Value]],0)),2)</f>
        <v>0</v>
      </c>
      <c r="H237" s="1311">
        <f ca="1">IF(CostTrack[[#This Row],[Holdback (Y/N/R)]]="Release",CostTrack[[#This Row],[Value]],CostTrack[[#This Row],[Value]]+CostTrack[[#This Row],[Holdback Value]])</f>
        <v>2094.0500000000002</v>
      </c>
      <c r="I237" s="1312"/>
      <c r="J237" s="1312"/>
      <c r="K237" s="1313">
        <v>44286</v>
      </c>
      <c r="L237" s="1308">
        <v>44278</v>
      </c>
      <c r="M237" s="1308"/>
      <c r="N237" s="1312"/>
      <c r="O237" s="1308" t="s">
        <v>106</v>
      </c>
      <c r="P237" s="1308">
        <v>44279</v>
      </c>
      <c r="Q237" s="1314" t="str">
        <f ca="1">IF(CostTrack[[#This Row],[Vendor - Contract]]="","",INDEX(VendorList[PA ID],MATCH(CostTrack[[#This Row],[Vendor - Contract]],VendorList[Vendor / Org. with Contract ID],0)))</f>
        <v>200.050.F1</v>
      </c>
      <c r="R237" s="1314" t="str">
        <f ca="1">IF(CostTrack[[#This Row],[Vendor - Contract]]="","",INDEX(VendorList[Primary Category],MATCH(CostTrack[[#This Row],[Vendor - Contract]],VendorList[Vendor / Org. with Contract ID],0)))</f>
        <v>Professional Services</v>
      </c>
      <c r="S237" s="1314" t="str">
        <f ca="1">IF(CostTrack[[#This Row],[Vendor - Contract]]="","",INDEX(VendorList[Secondary Category],MATCH(CostTrack[[#This Row],[Vendor - Contract]],VendorList[Vendor / Org. with Contract ID],0)))</f>
        <v>Other Professional Services</v>
      </c>
      <c r="T237" s="1314" t="str">
        <f ca="1">IF(CostTrack[[#This Row],[Vendor - Contract]]="","",INDEX(VendorList[Phase / Subproject],MATCH(CostTrack[[#This Row],[Vendor - Contract]],VendorList[Vendor / Org. with Contract ID],0)))</f>
        <v>--</v>
      </c>
      <c r="U237" s="1314" t="str">
        <f ca="1">IF(CostTrack[[#This Row],[Vendor - Contract]]="","",INDEX(VendorList[Phase / Subproject 2],MATCH(CostTrack[[#This Row],[Vendor - Contract]],VendorList[Vendor / Org. with Contract ID],0)))</f>
        <v>--</v>
      </c>
      <c r="V237" s="1314" t="str">
        <f ca="1">IF(CostTrack[[#This Row],[Vendor - Contract]]="","",INDEX(VendorList[Funding Source],MATCH(CostTrack[[#This Row],[Vendor - Contract]],VendorList[Vendor / Org. with Contract ID],0)))</f>
        <v>P-002360</v>
      </c>
      <c r="W237" s="1308">
        <v>44286</v>
      </c>
      <c r="X237" s="1315" t="str">
        <f ca="1">IF(CostTrack[[#This Row],[Release Date (CMS)]]="","*","")</f>
        <v/>
      </c>
      <c r="Y237" s="1308" t="s">
        <v>45</v>
      </c>
      <c r="Z237" s="652" t="s">
        <v>951</v>
      </c>
      <c r="AA237" s="1316">
        <f ca="1">IF(OR(CostTrack[[#This Row],[Release Date (CMS)]]&gt;=DATE(VALUE(REPLACE(CostTrack[[#This Row],[Fiscal Period]],3,3,"")),3,1),CostTrack[[#This Row],[Release Date (CMS)]]&lt;DATE(VALUE(LEFT(CostTrack[[#This Row],[Fiscal Period]],4)),4,1)),1,0)</f>
        <v>1</v>
      </c>
      <c r="AB237" s="1317">
        <v>2094.0500000000002</v>
      </c>
      <c r="AC237" s="1308">
        <v>44336</v>
      </c>
      <c r="AD237" s="402" t="str">
        <f ca="1">IF(CostTrack[[#This Row],[Reconciled Amount]]="","",IF(CostTrack[[#This Row],[Value]]&lt;&gt;CostTrack[[#This Row],[Reconciled Amount]],"Yes","No"))</f>
        <v>No</v>
      </c>
    </row>
    <row r="238" spans="2:30">
      <c r="B238" s="653" t="s">
        <v>750</v>
      </c>
      <c r="C238" s="650">
        <v>1594783</v>
      </c>
      <c r="D238" s="267">
        <v>44300</v>
      </c>
      <c r="E238" s="654">
        <v>2094.0500000000002</v>
      </c>
      <c r="F238" s="647" t="s">
        <v>69</v>
      </c>
      <c r="G238" s="406">
        <f ca="1">ROUND(IF(CostTrack[[#This Row],[Holdback (Y/N/R)]]="Yes",CostTrack[[#This Row],[Value]]*-0.1,IF(CostTrack[[#This Row],[Holdback (Y/N/R)]]="Release",CostTrack[[#This Row],[Value]],0)),2)</f>
        <v>0</v>
      </c>
      <c r="H238" s="407">
        <f ca="1">IF(CostTrack[[#This Row],[Holdback (Y/N/R)]]="Release",CostTrack[[#This Row],[Value]],CostTrack[[#This Row],[Value]]+CostTrack[[#This Row],[Holdback Value]])</f>
        <v>2094.0500000000002</v>
      </c>
      <c r="I238" s="650"/>
      <c r="J238" s="650"/>
      <c r="K238" s="1313">
        <v>44286</v>
      </c>
      <c r="L238" s="267">
        <v>44300</v>
      </c>
      <c r="M238" s="267"/>
      <c r="N238" s="650"/>
      <c r="O238" s="267" t="s">
        <v>106</v>
      </c>
      <c r="P238" s="267">
        <v>44301</v>
      </c>
      <c r="Q238" s="243" t="str">
        <f ca="1">IF(CostTrack[[#This Row],[Vendor - Contract]]="","",INDEX(VendorList[PA ID],MATCH(CostTrack[[#This Row],[Vendor - Contract]],VendorList[Vendor / Org. with Contract ID],0)))</f>
        <v>200.050.F1</v>
      </c>
      <c r="R238" s="243" t="str">
        <f ca="1">IF(CostTrack[[#This Row],[Vendor - Contract]]="","",INDEX(VendorList[Primary Category],MATCH(CostTrack[[#This Row],[Vendor - Contract]],VendorList[Vendor / Org. with Contract ID],0)))</f>
        <v>Professional Services</v>
      </c>
      <c r="S238" s="243" t="str">
        <f ca="1">IF(CostTrack[[#This Row],[Vendor - Contract]]="","",INDEX(VendorList[Secondary Category],MATCH(CostTrack[[#This Row],[Vendor - Contract]],VendorList[Vendor / Org. with Contract ID],0)))</f>
        <v>Other Professional Services</v>
      </c>
      <c r="T238" s="243" t="str">
        <f ca="1">IF(CostTrack[[#This Row],[Vendor - Contract]]="","",INDEX(VendorList[Phase / Subproject],MATCH(CostTrack[[#This Row],[Vendor - Contract]],VendorList[Vendor / Org. with Contract ID],0)))</f>
        <v>--</v>
      </c>
      <c r="U238" s="243" t="str">
        <f ca="1">IF(CostTrack[[#This Row],[Vendor - Contract]]="","",INDEX(VendorList[Phase / Subproject 2],MATCH(CostTrack[[#This Row],[Vendor - Contract]],VendorList[Vendor / Org. with Contract ID],0)))</f>
        <v>--</v>
      </c>
      <c r="V238" s="243" t="str">
        <f ca="1">IF(CostTrack[[#This Row],[Vendor - Contract]]="","",INDEX(VendorList[Funding Source],MATCH(CostTrack[[#This Row],[Vendor - Contract]],VendorList[Vendor / Org. with Contract ID],0)))</f>
        <v>P-002360</v>
      </c>
      <c r="W238" s="267">
        <v>44301</v>
      </c>
      <c r="X238" s="251" t="str">
        <f ca="1">IF(CostTrack[[#This Row],[Release Date (CMS)]]="","*","")</f>
        <v/>
      </c>
      <c r="Y238" s="267" t="s">
        <v>50</v>
      </c>
      <c r="Z238" s="652" t="s">
        <v>963</v>
      </c>
      <c r="AA238" s="245">
        <f ca="1">IF(OR(CostTrack[[#This Row],[Release Date (CMS)]]&gt;=DATE(VALUE(REPLACE(CostTrack[[#This Row],[Fiscal Period]],3,3,"")),3,1),CostTrack[[#This Row],[Release Date (CMS)]]&lt;DATE(VALUE(LEFT(CostTrack[[#This Row],[Fiscal Period]],4)),4,1)),1,0)</f>
        <v>0</v>
      </c>
      <c r="AB238" s="1317">
        <v>2094.0500000000002</v>
      </c>
      <c r="AC238" s="1308">
        <v>44336</v>
      </c>
      <c r="AD238" s="402" t="str">
        <f ca="1">IF(CostTrack[[#This Row],[Reconciled Amount]]="","",IF(CostTrack[[#This Row],[Value]]&lt;&gt;CostTrack[[#This Row],[Reconciled Amount]],"Yes","No"))</f>
        <v>No</v>
      </c>
    </row>
    <row r="239" spans="2:30" ht="27.95">
      <c r="B239" s="653" t="s">
        <v>750</v>
      </c>
      <c r="C239" s="681" t="s">
        <v>962</v>
      </c>
      <c r="D239" s="267">
        <v>44301</v>
      </c>
      <c r="E239" s="654">
        <v>-2094.0500000000002</v>
      </c>
      <c r="F239" s="647"/>
      <c r="G239" s="406">
        <f ca="1">ROUND(IF(CostTrack[[#This Row],[Holdback (Y/N/R)]]="Yes",CostTrack[[#This Row],[Value]]*-0.1,IF(CostTrack[[#This Row],[Holdback (Y/N/R)]]="Release",CostTrack[[#This Row],[Value]],0)),2)</f>
        <v>0</v>
      </c>
      <c r="H239" s="407">
        <f ca="1">IF(CostTrack[[#This Row],[Holdback (Y/N/R)]]="Release",CostTrack[[#This Row],[Value]],CostTrack[[#This Row],[Value]]+CostTrack[[#This Row],[Holdback Value]])</f>
        <v>-2094.0500000000002</v>
      </c>
      <c r="I239" s="650"/>
      <c r="J239" s="650"/>
      <c r="K239" s="1313">
        <v>44286</v>
      </c>
      <c r="L239" s="267">
        <v>44300</v>
      </c>
      <c r="M239" s="267"/>
      <c r="N239" s="650"/>
      <c r="O239" s="267" t="s">
        <v>106</v>
      </c>
      <c r="P239" s="267">
        <v>44301</v>
      </c>
      <c r="Q239" s="243" t="str">
        <f ca="1">IF(CostTrack[[#This Row],[Vendor - Contract]]="","",INDEX(VendorList[PA ID],MATCH(CostTrack[[#This Row],[Vendor - Contract]],VendorList[Vendor / Org. with Contract ID],0)))</f>
        <v>200.050.F1</v>
      </c>
      <c r="R239" s="243" t="str">
        <f ca="1">IF(CostTrack[[#This Row],[Vendor - Contract]]="","",INDEX(VendorList[Primary Category],MATCH(CostTrack[[#This Row],[Vendor - Contract]],VendorList[Vendor / Org. with Contract ID],0)))</f>
        <v>Professional Services</v>
      </c>
      <c r="S239" s="243" t="str">
        <f ca="1">IF(CostTrack[[#This Row],[Vendor - Contract]]="","",INDEX(VendorList[Secondary Category],MATCH(CostTrack[[#This Row],[Vendor - Contract]],VendorList[Vendor / Org. with Contract ID],0)))</f>
        <v>Other Professional Services</v>
      </c>
      <c r="T239" s="243" t="str">
        <f ca="1">IF(CostTrack[[#This Row],[Vendor - Contract]]="","",INDEX(VendorList[Phase / Subproject],MATCH(CostTrack[[#This Row],[Vendor - Contract]],VendorList[Vendor / Org. with Contract ID],0)))</f>
        <v>--</v>
      </c>
      <c r="U239" s="243" t="str">
        <f ca="1">IF(CostTrack[[#This Row],[Vendor - Contract]]="","",INDEX(VendorList[Phase / Subproject 2],MATCH(CostTrack[[#This Row],[Vendor - Contract]],VendorList[Vendor / Org. with Contract ID],0)))</f>
        <v>--</v>
      </c>
      <c r="V239" s="243" t="str">
        <f ca="1">IF(CostTrack[[#This Row],[Vendor - Contract]]="","",INDEX(VendorList[Funding Source],MATCH(CostTrack[[#This Row],[Vendor - Contract]],VendorList[Vendor / Org. with Contract ID],0)))</f>
        <v>P-002360</v>
      </c>
      <c r="W239" s="267">
        <v>44301</v>
      </c>
      <c r="X239" s="251" t="str">
        <f ca="1">IF(CostTrack[[#This Row],[Release Date (CMS)]]="","*","")</f>
        <v/>
      </c>
      <c r="Y239" s="267" t="s">
        <v>50</v>
      </c>
      <c r="Z239" s="652" t="s">
        <v>964</v>
      </c>
      <c r="AA239" s="245">
        <f ca="1">IF(OR(CostTrack[[#This Row],[Release Date (CMS)]]&gt;=DATE(VALUE(REPLACE(CostTrack[[#This Row],[Fiscal Period]],3,3,"")),3,1),CostTrack[[#This Row],[Release Date (CMS)]]&lt;DATE(VALUE(LEFT(CostTrack[[#This Row],[Fiscal Period]],4)),4,1)),1,0)</f>
        <v>0</v>
      </c>
      <c r="AB239" s="1317">
        <v>-2094.0500000000002</v>
      </c>
      <c r="AC239" s="1308">
        <v>44336</v>
      </c>
      <c r="AD239" s="402" t="str">
        <f ca="1">IF(CostTrack[[#This Row],[Reconciled Amount]]="","",IF(CostTrack[[#This Row],[Value]]&lt;&gt;CostTrack[[#This Row],[Reconciled Amount]],"Yes","No"))</f>
        <v>No</v>
      </c>
    </row>
    <row r="240" spans="2:30">
      <c r="B240" s="653" t="s">
        <v>527</v>
      </c>
      <c r="C240" s="681" t="s">
        <v>965</v>
      </c>
      <c r="D240" s="1308">
        <v>44286</v>
      </c>
      <c r="E240" s="658">
        <v>47692.04</v>
      </c>
      <c r="F240" s="647" t="s">
        <v>69</v>
      </c>
      <c r="G240" s="1310">
        <f ca="1">ROUND(IF(CostTrack[[#This Row],[Holdback (Y/N/R)]]="Yes",CostTrack[[#This Row],[Value]]*-0.1,IF(CostTrack[[#This Row],[Holdback (Y/N/R)]]="Release",CostTrack[[#This Row],[Value]],0)),2)</f>
        <v>0</v>
      </c>
      <c r="H240" s="1311">
        <f ca="1">IF(CostTrack[[#This Row],[Holdback (Y/N/R)]]="Release",CostTrack[[#This Row],[Value]],CostTrack[[#This Row],[Value]]+CostTrack[[#This Row],[Holdback Value]])</f>
        <v>47692.04</v>
      </c>
      <c r="I240" s="1312"/>
      <c r="J240" s="1312"/>
      <c r="K240" s="1313">
        <v>44286</v>
      </c>
      <c r="L240" s="1308">
        <v>44270</v>
      </c>
      <c r="M240" s="1308"/>
      <c r="N240" s="1312"/>
      <c r="O240" s="1308" t="s">
        <v>106</v>
      </c>
      <c r="P240" s="1308">
        <v>44273</v>
      </c>
      <c r="Q240" s="1314" t="str">
        <f ca="1">IF(CostTrack[[#This Row],[Vendor - Contract]]="","",INDEX(VendorList[PA ID],MATCH(CostTrack[[#This Row],[Vendor - Contract]],VendorList[Vendor / Org. with Contract ID],0)))</f>
        <v>200.010.F1</v>
      </c>
      <c r="R240" s="1314" t="str">
        <f ca="1">IF(CostTrack[[#This Row],[Vendor - Contract]]="","",INDEX(VendorList[Primary Category],MATCH(CostTrack[[#This Row],[Vendor - Contract]],VendorList[Vendor / Org. with Contract ID],0)))</f>
        <v>Professional Services</v>
      </c>
      <c r="S240" s="1314" t="str">
        <f ca="1">IF(CostTrack[[#This Row],[Vendor - Contract]]="","",INDEX(VendorList[Secondary Category],MATCH(CostTrack[[#This Row],[Vendor - Contract]],VendorList[Vendor / Org. with Contract ID],0)))</f>
        <v>Prime Consultant</v>
      </c>
      <c r="T240" s="1314" t="str">
        <f ca="1">IF(CostTrack[[#This Row],[Vendor - Contract]]="","",INDEX(VendorList[Phase / Subproject],MATCH(CostTrack[[#This Row],[Vendor - Contract]],VendorList[Vendor / Org. with Contract ID],0)))</f>
        <v>--</v>
      </c>
      <c r="U240" s="1314" t="str">
        <f ca="1">IF(CostTrack[[#This Row],[Vendor - Contract]]="","",INDEX(VendorList[Phase / Subproject 2],MATCH(CostTrack[[#This Row],[Vendor - Contract]],VendorList[Vendor / Org. with Contract ID],0)))</f>
        <v>--</v>
      </c>
      <c r="V240" s="1314" t="str">
        <f ca="1">IF(CostTrack[[#This Row],[Vendor - Contract]]="","",INDEX(VendorList[Funding Source],MATCH(CostTrack[[#This Row],[Vendor - Contract]],VendorList[Vendor / Org. with Contract ID],0)))</f>
        <v>P-002360</v>
      </c>
      <c r="W240" s="1308">
        <v>44286</v>
      </c>
      <c r="X240" s="1315" t="str">
        <f ca="1">IF(CostTrack[[#This Row],[Release Date (CMS)]]="","*","")</f>
        <v/>
      </c>
      <c r="Y240" s="1308" t="s">
        <v>45</v>
      </c>
      <c r="Z240" s="652" t="s">
        <v>951</v>
      </c>
      <c r="AA240" s="1316">
        <f ca="1">IF(OR(CostTrack[[#This Row],[Release Date (CMS)]]&gt;=DATE(VALUE(REPLACE(CostTrack[[#This Row],[Fiscal Period]],3,3,"")),3,1),CostTrack[[#This Row],[Release Date (CMS)]]&lt;DATE(VALUE(LEFT(CostTrack[[#This Row],[Fiscal Period]],4)),4,1)),1,0)</f>
        <v>1</v>
      </c>
      <c r="AB240" s="1317">
        <v>47692.04</v>
      </c>
      <c r="AC240" s="1308">
        <v>44336</v>
      </c>
      <c r="AD240" s="402" t="str">
        <f ca="1">IF(CostTrack[[#This Row],[Reconciled Amount]]="","",IF(CostTrack[[#This Row],[Value]]&lt;&gt;CostTrack[[#This Row],[Reconciled Amount]],"Yes","No"))</f>
        <v>No</v>
      </c>
    </row>
    <row r="241" spans="2:30">
      <c r="B241" s="1306" t="s">
        <v>527</v>
      </c>
      <c r="C241" s="1312" t="s">
        <v>966</v>
      </c>
      <c r="D241" s="1308">
        <v>44286</v>
      </c>
      <c r="E241" s="658">
        <v>47692.04</v>
      </c>
      <c r="F241" s="1309" t="s">
        <v>69</v>
      </c>
      <c r="G241" s="1310">
        <f ca="1">ROUND(IF(CostTrack[[#This Row],[Holdback (Y/N/R)]]="Yes",CostTrack[[#This Row],[Value]]*-0.1,IF(CostTrack[[#This Row],[Holdback (Y/N/R)]]="Release",CostTrack[[#This Row],[Value]],0)),2)</f>
        <v>0</v>
      </c>
      <c r="H241" s="1311">
        <f ca="1">IF(CostTrack[[#This Row],[Holdback (Y/N/R)]]="Release",CostTrack[[#This Row],[Value]],CostTrack[[#This Row],[Value]]+CostTrack[[#This Row],[Holdback Value]])</f>
        <v>47692.04</v>
      </c>
      <c r="I241" s="1312"/>
      <c r="J241" s="1312"/>
      <c r="K241" s="1313">
        <v>44286</v>
      </c>
      <c r="L241" s="1308">
        <v>44295</v>
      </c>
      <c r="M241" s="1308"/>
      <c r="N241" s="1312"/>
      <c r="O241" s="1308" t="s">
        <v>106</v>
      </c>
      <c r="P241" s="1308">
        <v>44295</v>
      </c>
      <c r="Q241" s="1314" t="str">
        <f ca="1">IF(CostTrack[[#This Row],[Vendor - Contract]]="","",INDEX(VendorList[PA ID],MATCH(CostTrack[[#This Row],[Vendor - Contract]],VendorList[Vendor / Org. with Contract ID],0)))</f>
        <v>200.010.F1</v>
      </c>
      <c r="R241" s="1314" t="str">
        <f ca="1">IF(CostTrack[[#This Row],[Vendor - Contract]]="","",INDEX(VendorList[Primary Category],MATCH(CostTrack[[#This Row],[Vendor - Contract]],VendorList[Vendor / Org. with Contract ID],0)))</f>
        <v>Professional Services</v>
      </c>
      <c r="S241" s="1314" t="str">
        <f ca="1">IF(CostTrack[[#This Row],[Vendor - Contract]]="","",INDEX(VendorList[Secondary Category],MATCH(CostTrack[[#This Row],[Vendor - Contract]],VendorList[Vendor / Org. with Contract ID],0)))</f>
        <v>Prime Consultant</v>
      </c>
      <c r="T241" s="1314" t="str">
        <f ca="1">IF(CostTrack[[#This Row],[Vendor - Contract]]="","",INDEX(VendorList[Phase / Subproject],MATCH(CostTrack[[#This Row],[Vendor - Contract]],VendorList[Vendor / Org. with Contract ID],0)))</f>
        <v>--</v>
      </c>
      <c r="U241" s="1314" t="str">
        <f ca="1">IF(CostTrack[[#This Row],[Vendor - Contract]]="","",INDEX(VendorList[Phase / Subproject 2],MATCH(CostTrack[[#This Row],[Vendor - Contract]],VendorList[Vendor / Org. with Contract ID],0)))</f>
        <v>--</v>
      </c>
      <c r="V241" s="1314" t="str">
        <f ca="1">IF(CostTrack[[#This Row],[Vendor - Contract]]="","",INDEX(VendorList[Funding Source],MATCH(CostTrack[[#This Row],[Vendor - Contract]],VendorList[Vendor / Org. with Contract ID],0)))</f>
        <v>P-002360</v>
      </c>
      <c r="W241" s="1308">
        <v>44295</v>
      </c>
      <c r="X241" s="1315" t="str">
        <f ca="1">IF(CostTrack[[#This Row],[Release Date (CMS)]]="","*","")</f>
        <v/>
      </c>
      <c r="Y241" s="1308" t="s">
        <v>50</v>
      </c>
      <c r="Z241" s="713" t="s">
        <v>967</v>
      </c>
      <c r="AA241" s="1316">
        <f ca="1">IF(OR(CostTrack[[#This Row],[Release Date (CMS)]]&gt;=DATE(VALUE(REPLACE(CostTrack[[#This Row],[Fiscal Period]],3,3,"")),3,1),CostTrack[[#This Row],[Release Date (CMS)]]&lt;DATE(VALUE(LEFT(CostTrack[[#This Row],[Fiscal Period]],4)),4,1)),1,0)</f>
        <v>0</v>
      </c>
      <c r="AB241" s="1317">
        <v>47692.04</v>
      </c>
      <c r="AC241" s="1308">
        <v>44336</v>
      </c>
      <c r="AD241" s="402" t="str">
        <f ca="1">IF(CostTrack[[#This Row],[Reconciled Amount]]="","",IF(CostTrack[[#This Row],[Value]]&lt;&gt;CostTrack[[#This Row],[Reconciled Amount]],"Yes","No"))</f>
        <v>No</v>
      </c>
    </row>
    <row r="242" spans="2:30" ht="27.95">
      <c r="B242" s="1306" t="s">
        <v>527</v>
      </c>
      <c r="C242" s="681" t="s">
        <v>965</v>
      </c>
      <c r="D242" s="1308">
        <v>44295</v>
      </c>
      <c r="E242" s="658">
        <v>-47692.04</v>
      </c>
      <c r="F242" s="1309" t="s">
        <v>69</v>
      </c>
      <c r="G242" s="1310">
        <f ca="1">ROUND(IF(CostTrack[[#This Row],[Holdback (Y/N/R)]]="Yes",CostTrack[[#This Row],[Value]]*-0.1,IF(CostTrack[[#This Row],[Holdback (Y/N/R)]]="Release",CostTrack[[#This Row],[Value]],0)),2)</f>
        <v>0</v>
      </c>
      <c r="H242" s="1311">
        <f ca="1">IF(CostTrack[[#This Row],[Holdback (Y/N/R)]]="Release",CostTrack[[#This Row],[Value]],CostTrack[[#This Row],[Value]]+CostTrack[[#This Row],[Holdback Value]])</f>
        <v>-47692.04</v>
      </c>
      <c r="I242" s="1312"/>
      <c r="J242" s="1312"/>
      <c r="K242" s="1313">
        <v>44286</v>
      </c>
      <c r="L242" s="1308">
        <v>44295</v>
      </c>
      <c r="M242" s="1308"/>
      <c r="N242" s="1312"/>
      <c r="O242" s="1308" t="s">
        <v>106</v>
      </c>
      <c r="P242" s="1308">
        <v>44295</v>
      </c>
      <c r="Q242" s="1314" t="str">
        <f ca="1">IF(CostTrack[[#This Row],[Vendor - Contract]]="","",INDEX(VendorList[PA ID],MATCH(CostTrack[[#This Row],[Vendor - Contract]],VendorList[Vendor / Org. with Contract ID],0)))</f>
        <v>200.010.F1</v>
      </c>
      <c r="R242" s="1314" t="str">
        <f ca="1">IF(CostTrack[[#This Row],[Vendor - Contract]]="","",INDEX(VendorList[Primary Category],MATCH(CostTrack[[#This Row],[Vendor - Contract]],VendorList[Vendor / Org. with Contract ID],0)))</f>
        <v>Professional Services</v>
      </c>
      <c r="S242" s="1314" t="str">
        <f ca="1">IF(CostTrack[[#This Row],[Vendor - Contract]]="","",INDEX(VendorList[Secondary Category],MATCH(CostTrack[[#This Row],[Vendor - Contract]],VendorList[Vendor / Org. with Contract ID],0)))</f>
        <v>Prime Consultant</v>
      </c>
      <c r="T242" s="1314" t="str">
        <f ca="1">IF(CostTrack[[#This Row],[Vendor - Contract]]="","",INDEX(VendorList[Phase / Subproject],MATCH(CostTrack[[#This Row],[Vendor - Contract]],VendorList[Vendor / Org. with Contract ID],0)))</f>
        <v>--</v>
      </c>
      <c r="U242" s="1314" t="str">
        <f ca="1">IF(CostTrack[[#This Row],[Vendor - Contract]]="","",INDEX(VendorList[Phase / Subproject 2],MATCH(CostTrack[[#This Row],[Vendor - Contract]],VendorList[Vendor / Org. with Contract ID],0)))</f>
        <v>--</v>
      </c>
      <c r="V242" s="1314" t="str">
        <f ca="1">IF(CostTrack[[#This Row],[Vendor - Contract]]="","",INDEX(VendorList[Funding Source],MATCH(CostTrack[[#This Row],[Vendor - Contract]],VendorList[Vendor / Org. with Contract ID],0)))</f>
        <v>P-002360</v>
      </c>
      <c r="W242" s="1308">
        <v>44295</v>
      </c>
      <c r="X242" s="1315" t="str">
        <f ca="1">IF(CostTrack[[#This Row],[Release Date (CMS)]]="","*","")</f>
        <v/>
      </c>
      <c r="Y242" s="1308" t="s">
        <v>50</v>
      </c>
      <c r="Z242" s="713" t="s">
        <v>968</v>
      </c>
      <c r="AA242" s="1316">
        <f ca="1">IF(OR(CostTrack[[#This Row],[Release Date (CMS)]]&gt;=DATE(VALUE(REPLACE(CostTrack[[#This Row],[Fiscal Period]],3,3,"")),3,1),CostTrack[[#This Row],[Release Date (CMS)]]&lt;DATE(VALUE(LEFT(CostTrack[[#This Row],[Fiscal Period]],4)),4,1)),1,0)</f>
        <v>0</v>
      </c>
      <c r="AB242" s="1317">
        <v>-47692.04</v>
      </c>
      <c r="AC242" s="1308">
        <v>44336</v>
      </c>
      <c r="AD242" s="402" t="str">
        <f ca="1">IF(CostTrack[[#This Row],[Reconciled Amount]]="","",IF(CostTrack[[#This Row],[Value]]&lt;&gt;CostTrack[[#This Row],[Reconciled Amount]],"Yes","No"))</f>
        <v>No</v>
      </c>
    </row>
    <row r="243" spans="2:30">
      <c r="B243" s="1306" t="s">
        <v>528</v>
      </c>
      <c r="C243" s="681" t="s">
        <v>969</v>
      </c>
      <c r="D243" s="1308">
        <v>44286</v>
      </c>
      <c r="E243" s="658">
        <v>8772.5</v>
      </c>
      <c r="F243" s="1309" t="s">
        <v>69</v>
      </c>
      <c r="G243" s="1310">
        <f ca="1">ROUND(IF(CostTrack[[#This Row],[Holdback (Y/N/R)]]="Yes",CostTrack[[#This Row],[Value]]*-0.1,IF(CostTrack[[#This Row],[Holdback (Y/N/R)]]="Release",CostTrack[[#This Row],[Value]],0)),2)</f>
        <v>0</v>
      </c>
      <c r="H243" s="1311">
        <f ca="1">IF(CostTrack[[#This Row],[Holdback (Y/N/R)]]="Release",CostTrack[[#This Row],[Value]],CostTrack[[#This Row],[Value]]+CostTrack[[#This Row],[Holdback Value]])</f>
        <v>8772.5</v>
      </c>
      <c r="I243" s="1312"/>
      <c r="J243" s="1312"/>
      <c r="K243" s="1313">
        <v>44286</v>
      </c>
      <c r="L243" s="1308">
        <v>44272</v>
      </c>
      <c r="M243" s="1308"/>
      <c r="N243" s="1312"/>
      <c r="O243" s="1308" t="s">
        <v>106</v>
      </c>
      <c r="P243" s="1308">
        <v>44272</v>
      </c>
      <c r="Q243" s="1314" t="str">
        <f ca="1">IF(CostTrack[[#This Row],[Vendor - Contract]]="","",INDEX(VendorList[PA ID],MATCH(CostTrack[[#This Row],[Vendor - Contract]],VendorList[Vendor / Org. with Contract ID],0)))</f>
        <v>200.050.F1</v>
      </c>
      <c r="R243" s="1314" t="str">
        <f ca="1">IF(CostTrack[[#This Row],[Vendor - Contract]]="","",INDEX(VendorList[Primary Category],MATCH(CostTrack[[#This Row],[Vendor - Contract]],VendorList[Vendor / Org. with Contract ID],0)))</f>
        <v>Professional Services</v>
      </c>
      <c r="S243" s="1314" t="str">
        <f ca="1">IF(CostTrack[[#This Row],[Vendor - Contract]]="","",INDEX(VendorList[Secondary Category],MATCH(CostTrack[[#This Row],[Vendor - Contract]],VendorList[Vendor / Org. with Contract ID],0)))</f>
        <v>Other Professional Services</v>
      </c>
      <c r="T243" s="1314" t="str">
        <f ca="1">IF(CostTrack[[#This Row],[Vendor - Contract]]="","",INDEX(VendorList[Phase / Subproject],MATCH(CostTrack[[#This Row],[Vendor - Contract]],VendorList[Vendor / Org. with Contract ID],0)))</f>
        <v>--</v>
      </c>
      <c r="U243" s="1314" t="str">
        <f ca="1">IF(CostTrack[[#This Row],[Vendor - Contract]]="","",INDEX(VendorList[Phase / Subproject 2],MATCH(CostTrack[[#This Row],[Vendor - Contract]],VendorList[Vendor / Org. with Contract ID],0)))</f>
        <v>--</v>
      </c>
      <c r="V243" s="1314" t="str">
        <f ca="1">IF(CostTrack[[#This Row],[Vendor - Contract]]="","",INDEX(VendorList[Funding Source],MATCH(CostTrack[[#This Row],[Vendor - Contract]],VendorList[Vendor / Org. with Contract ID],0)))</f>
        <v>P-002360</v>
      </c>
      <c r="W243" s="1308">
        <v>44286</v>
      </c>
      <c r="X243" s="1315" t="str">
        <f ca="1">IF(CostTrack[[#This Row],[Release Date (CMS)]]="","*","")</f>
        <v/>
      </c>
      <c r="Y243" s="1308" t="s">
        <v>45</v>
      </c>
      <c r="Z243" s="652" t="s">
        <v>951</v>
      </c>
      <c r="AA243" s="1316">
        <f ca="1">IF(OR(CostTrack[[#This Row],[Release Date (CMS)]]&gt;=DATE(VALUE(REPLACE(CostTrack[[#This Row],[Fiscal Period]],3,3,"")),3,1),CostTrack[[#This Row],[Release Date (CMS)]]&lt;DATE(VALUE(LEFT(CostTrack[[#This Row],[Fiscal Period]],4)),4,1)),1,0)</f>
        <v>1</v>
      </c>
      <c r="AB243" s="1317">
        <v>8772.5</v>
      </c>
      <c r="AC243" s="1308">
        <v>44336</v>
      </c>
      <c r="AD243" s="402" t="str">
        <f ca="1">IF(CostTrack[[#This Row],[Reconciled Amount]]="","",IF(CostTrack[[#This Row],[Value]]&lt;&gt;CostTrack[[#This Row],[Reconciled Amount]],"Yes","No"))</f>
        <v>No</v>
      </c>
    </row>
    <row r="244" spans="2:30">
      <c r="B244" s="653" t="s">
        <v>528</v>
      </c>
      <c r="C244" s="650">
        <v>60701404</v>
      </c>
      <c r="D244" s="267">
        <v>44300</v>
      </c>
      <c r="E244" s="654">
        <v>8772.5</v>
      </c>
      <c r="F244" s="647" t="s">
        <v>69</v>
      </c>
      <c r="G244" s="406">
        <f ca="1">ROUND(IF(CostTrack[[#This Row],[Holdback (Y/N/R)]]="Yes",CostTrack[[#This Row],[Value]]*-0.1,IF(CostTrack[[#This Row],[Holdback (Y/N/R)]]="Release",CostTrack[[#This Row],[Value]],0)),2)</f>
        <v>0</v>
      </c>
      <c r="H244" s="407">
        <f ca="1">IF(CostTrack[[#This Row],[Holdback (Y/N/R)]]="Release",CostTrack[[#This Row],[Value]],CostTrack[[#This Row],[Value]]+CostTrack[[#This Row],[Holdback Value]])</f>
        <v>8772.5</v>
      </c>
      <c r="I244" s="650"/>
      <c r="J244" s="650"/>
      <c r="K244" s="1313">
        <v>44286</v>
      </c>
      <c r="L244" s="267">
        <v>44300</v>
      </c>
      <c r="M244" s="267"/>
      <c r="N244" s="650"/>
      <c r="O244" s="267" t="s">
        <v>106</v>
      </c>
      <c r="P244" s="267">
        <v>44300</v>
      </c>
      <c r="Q244" s="243" t="str">
        <f ca="1">IF(CostTrack[[#This Row],[Vendor - Contract]]="","",INDEX(VendorList[PA ID],MATCH(CostTrack[[#This Row],[Vendor - Contract]],VendorList[Vendor / Org. with Contract ID],0)))</f>
        <v>200.050.F1</v>
      </c>
      <c r="R244" s="243" t="str">
        <f ca="1">IF(CostTrack[[#This Row],[Vendor - Contract]]="","",INDEX(VendorList[Primary Category],MATCH(CostTrack[[#This Row],[Vendor - Contract]],VendorList[Vendor / Org. with Contract ID],0)))</f>
        <v>Professional Services</v>
      </c>
      <c r="S244" s="243" t="str">
        <f ca="1">IF(CostTrack[[#This Row],[Vendor - Contract]]="","",INDEX(VendorList[Secondary Category],MATCH(CostTrack[[#This Row],[Vendor - Contract]],VendorList[Vendor / Org. with Contract ID],0)))</f>
        <v>Other Professional Services</v>
      </c>
      <c r="T244" s="243" t="str">
        <f ca="1">IF(CostTrack[[#This Row],[Vendor - Contract]]="","",INDEX(VendorList[Phase / Subproject],MATCH(CostTrack[[#This Row],[Vendor - Contract]],VendorList[Vendor / Org. with Contract ID],0)))</f>
        <v>--</v>
      </c>
      <c r="U244" s="243" t="str">
        <f ca="1">IF(CostTrack[[#This Row],[Vendor - Contract]]="","",INDEX(VendorList[Phase / Subproject 2],MATCH(CostTrack[[#This Row],[Vendor - Contract]],VendorList[Vendor / Org. with Contract ID],0)))</f>
        <v>--</v>
      </c>
      <c r="V244" s="243" t="str">
        <f ca="1">IF(CostTrack[[#This Row],[Vendor - Contract]]="","",INDEX(VendorList[Funding Source],MATCH(CostTrack[[#This Row],[Vendor - Contract]],VendorList[Vendor / Org. with Contract ID],0)))</f>
        <v>P-002360</v>
      </c>
      <c r="W244" s="267">
        <v>44301</v>
      </c>
      <c r="X244" s="251" t="str">
        <f ca="1">IF(CostTrack[[#This Row],[Release Date (CMS)]]="","*","")</f>
        <v/>
      </c>
      <c r="Y244" s="267" t="s">
        <v>50</v>
      </c>
      <c r="Z244" s="652" t="s">
        <v>970</v>
      </c>
      <c r="AA244" s="245">
        <f ca="1">IF(OR(CostTrack[[#This Row],[Release Date (CMS)]]&gt;=DATE(VALUE(REPLACE(CostTrack[[#This Row],[Fiscal Period]],3,3,"")),3,1),CostTrack[[#This Row],[Release Date (CMS)]]&lt;DATE(VALUE(LEFT(CostTrack[[#This Row],[Fiscal Period]],4)),4,1)),1,0)</f>
        <v>0</v>
      </c>
      <c r="AB244" s="1317">
        <v>8772.5</v>
      </c>
      <c r="AC244" s="1308">
        <v>44336</v>
      </c>
      <c r="AD244" s="402" t="str">
        <f ca="1">IF(CostTrack[[#This Row],[Reconciled Amount]]="","",IF(CostTrack[[#This Row],[Value]]&lt;&gt;CostTrack[[#This Row],[Reconciled Amount]],"Yes","No"))</f>
        <v>No</v>
      </c>
    </row>
    <row r="245" spans="2:30" ht="42">
      <c r="B245" s="653" t="s">
        <v>528</v>
      </c>
      <c r="C245" s="681" t="s">
        <v>969</v>
      </c>
      <c r="D245" s="267">
        <v>44300</v>
      </c>
      <c r="E245" s="654">
        <v>-8772.5</v>
      </c>
      <c r="F245" s="647" t="s">
        <v>69</v>
      </c>
      <c r="G245" s="406">
        <f ca="1">ROUND(IF(CostTrack[[#This Row],[Holdback (Y/N/R)]]="Yes",CostTrack[[#This Row],[Value]]*-0.1,IF(CostTrack[[#This Row],[Holdback (Y/N/R)]]="Release",CostTrack[[#This Row],[Value]],0)),2)</f>
        <v>0</v>
      </c>
      <c r="H245" s="407">
        <f ca="1">IF(CostTrack[[#This Row],[Holdback (Y/N/R)]]="Release",CostTrack[[#This Row],[Value]],CostTrack[[#This Row],[Value]]+CostTrack[[#This Row],[Holdback Value]])</f>
        <v>-8772.5</v>
      </c>
      <c r="I245" s="650"/>
      <c r="J245" s="650"/>
      <c r="K245" s="1313">
        <v>44286</v>
      </c>
      <c r="L245" s="267">
        <v>44300</v>
      </c>
      <c r="M245" s="267"/>
      <c r="N245" s="650"/>
      <c r="O245" s="267" t="s">
        <v>106</v>
      </c>
      <c r="P245" s="267">
        <v>44300</v>
      </c>
      <c r="Q245" s="243" t="str">
        <f ca="1">IF(CostTrack[[#This Row],[Vendor - Contract]]="","",INDEX(VendorList[PA ID],MATCH(CostTrack[[#This Row],[Vendor - Contract]],VendorList[Vendor / Org. with Contract ID],0)))</f>
        <v>200.050.F1</v>
      </c>
      <c r="R245" s="243" t="str">
        <f ca="1">IF(CostTrack[[#This Row],[Vendor - Contract]]="","",INDEX(VendorList[Primary Category],MATCH(CostTrack[[#This Row],[Vendor - Contract]],VendorList[Vendor / Org. with Contract ID],0)))</f>
        <v>Professional Services</v>
      </c>
      <c r="S245" s="243" t="str">
        <f ca="1">IF(CostTrack[[#This Row],[Vendor - Contract]]="","",INDEX(VendorList[Secondary Category],MATCH(CostTrack[[#This Row],[Vendor - Contract]],VendorList[Vendor / Org. with Contract ID],0)))</f>
        <v>Other Professional Services</v>
      </c>
      <c r="T245" s="243" t="str">
        <f ca="1">IF(CostTrack[[#This Row],[Vendor - Contract]]="","",INDEX(VendorList[Phase / Subproject],MATCH(CostTrack[[#This Row],[Vendor - Contract]],VendorList[Vendor / Org. with Contract ID],0)))</f>
        <v>--</v>
      </c>
      <c r="U245" s="243" t="str">
        <f ca="1">IF(CostTrack[[#This Row],[Vendor - Contract]]="","",INDEX(VendorList[Phase / Subproject 2],MATCH(CostTrack[[#This Row],[Vendor - Contract]],VendorList[Vendor / Org. with Contract ID],0)))</f>
        <v>--</v>
      </c>
      <c r="V245" s="243" t="str">
        <f ca="1">IF(CostTrack[[#This Row],[Vendor - Contract]]="","",INDEX(VendorList[Funding Source],MATCH(CostTrack[[#This Row],[Vendor - Contract]],VendorList[Vendor / Org. with Contract ID],0)))</f>
        <v>P-002360</v>
      </c>
      <c r="W245" s="267">
        <v>44301</v>
      </c>
      <c r="X245" s="251" t="str">
        <f ca="1">IF(CostTrack[[#This Row],[Release Date (CMS)]]="","*","")</f>
        <v/>
      </c>
      <c r="Y245" s="267" t="s">
        <v>50</v>
      </c>
      <c r="Z245" s="652" t="s">
        <v>971</v>
      </c>
      <c r="AA245" s="245">
        <f ca="1">IF(OR(CostTrack[[#This Row],[Release Date (CMS)]]&gt;=DATE(VALUE(REPLACE(CostTrack[[#This Row],[Fiscal Period]],3,3,"")),3,1),CostTrack[[#This Row],[Release Date (CMS)]]&lt;DATE(VALUE(LEFT(CostTrack[[#This Row],[Fiscal Period]],4)),4,1)),1,0)</f>
        <v>0</v>
      </c>
      <c r="AB245" s="1317">
        <v>-8772.5</v>
      </c>
      <c r="AC245" s="1308">
        <v>44336</v>
      </c>
      <c r="AD245" s="402" t="str">
        <f ca="1">IF(CostTrack[[#This Row],[Reconciled Amount]]="","",IF(CostTrack[[#This Row],[Value]]&lt;&gt;CostTrack[[#This Row],[Reconciled Amount]],"Yes","No"))</f>
        <v>No</v>
      </c>
    </row>
    <row r="246" spans="2:30" ht="27.95">
      <c r="B246" s="653" t="s">
        <v>528</v>
      </c>
      <c r="C246" s="650">
        <v>60701404</v>
      </c>
      <c r="D246" s="267">
        <v>44300</v>
      </c>
      <c r="E246" s="654">
        <v>4487.5</v>
      </c>
      <c r="F246" s="647" t="s">
        <v>69</v>
      </c>
      <c r="G246" s="406">
        <f ca="1">ROUND(IF(CostTrack[[#This Row],[Holdback (Y/N/R)]]="Yes",CostTrack[[#This Row],[Value]]*-0.1,IF(CostTrack[[#This Row],[Holdback (Y/N/R)]]="Release",CostTrack[[#This Row],[Value]],0)),2)</f>
        <v>0</v>
      </c>
      <c r="H246" s="407">
        <f ca="1">IF(CostTrack[[#This Row],[Holdback (Y/N/R)]]="Release",CostTrack[[#This Row],[Value]],CostTrack[[#This Row],[Value]]+CostTrack[[#This Row],[Holdback Value]])</f>
        <v>4487.5</v>
      </c>
      <c r="I246" s="650"/>
      <c r="J246" s="650"/>
      <c r="K246" s="648">
        <v>44287</v>
      </c>
      <c r="L246" s="267">
        <v>44300</v>
      </c>
      <c r="M246" s="267"/>
      <c r="N246" s="650"/>
      <c r="O246" s="267" t="s">
        <v>106</v>
      </c>
      <c r="P246" s="267">
        <v>44300</v>
      </c>
      <c r="Q246" s="243" t="str">
        <f ca="1">IF(CostTrack[[#This Row],[Vendor - Contract]]="","",INDEX(VendorList[PA ID],MATCH(CostTrack[[#This Row],[Vendor - Contract]],VendorList[Vendor / Org. with Contract ID],0)))</f>
        <v>200.050.F1</v>
      </c>
      <c r="R246" s="243" t="str">
        <f ca="1">IF(CostTrack[[#This Row],[Vendor - Contract]]="","",INDEX(VendorList[Primary Category],MATCH(CostTrack[[#This Row],[Vendor - Contract]],VendorList[Vendor / Org. with Contract ID],0)))</f>
        <v>Professional Services</v>
      </c>
      <c r="S246" s="243" t="str">
        <f ca="1">IF(CostTrack[[#This Row],[Vendor - Contract]]="","",INDEX(VendorList[Secondary Category],MATCH(CostTrack[[#This Row],[Vendor - Contract]],VendorList[Vendor / Org. with Contract ID],0)))</f>
        <v>Other Professional Services</v>
      </c>
      <c r="T246" s="243" t="str">
        <f ca="1">IF(CostTrack[[#This Row],[Vendor - Contract]]="","",INDEX(VendorList[Phase / Subproject],MATCH(CostTrack[[#This Row],[Vendor - Contract]],VendorList[Vendor / Org. with Contract ID],0)))</f>
        <v>--</v>
      </c>
      <c r="U246" s="243" t="str">
        <f ca="1">IF(CostTrack[[#This Row],[Vendor - Contract]]="","",INDEX(VendorList[Phase / Subproject 2],MATCH(CostTrack[[#This Row],[Vendor - Contract]],VendorList[Vendor / Org. with Contract ID],0)))</f>
        <v>--</v>
      </c>
      <c r="V246" s="243" t="str">
        <f ca="1">IF(CostTrack[[#This Row],[Vendor - Contract]]="","",INDEX(VendorList[Funding Source],MATCH(CostTrack[[#This Row],[Vendor - Contract]],VendorList[Vendor / Org. with Contract ID],0)))</f>
        <v>P-002360</v>
      </c>
      <c r="W246" s="267">
        <v>44301</v>
      </c>
      <c r="X246" s="251" t="str">
        <f ca="1">IF(CostTrack[[#This Row],[Release Date (CMS)]]="","*","")</f>
        <v/>
      </c>
      <c r="Y246" s="267" t="s">
        <v>50</v>
      </c>
      <c r="Z246" s="652" t="s">
        <v>958</v>
      </c>
      <c r="AA246" s="245">
        <f ca="1">IF(OR(CostTrack[[#This Row],[Release Date (CMS)]]&gt;=DATE(VALUE(REPLACE(CostTrack[[#This Row],[Fiscal Period]],3,3,"")),3,1),CostTrack[[#This Row],[Release Date (CMS)]]&lt;DATE(VALUE(LEFT(CostTrack[[#This Row],[Fiscal Period]],4)),4,1)),1,0)</f>
        <v>0</v>
      </c>
      <c r="AB246" s="655">
        <v>4487.5</v>
      </c>
      <c r="AC246" s="1308">
        <v>44336</v>
      </c>
      <c r="AD246" s="402" t="str">
        <f ca="1">IF(CostTrack[[#This Row],[Reconciled Amount]]="","",IF(CostTrack[[#This Row],[Value]]&lt;&gt;CostTrack[[#This Row],[Reconciled Amount]],"Yes","No"))</f>
        <v>No</v>
      </c>
    </row>
    <row r="247" spans="2:30">
      <c r="B247" s="1306" t="s">
        <v>655</v>
      </c>
      <c r="C247" s="681" t="s">
        <v>972</v>
      </c>
      <c r="D247" s="1308">
        <v>44286</v>
      </c>
      <c r="E247" s="658">
        <v>1322</v>
      </c>
      <c r="F247" s="1309" t="s">
        <v>69</v>
      </c>
      <c r="G247" s="1310">
        <f ca="1">ROUND(IF(CostTrack[[#This Row],[Holdback (Y/N/R)]]="Yes",CostTrack[[#This Row],[Value]]*-0.1,IF(CostTrack[[#This Row],[Holdback (Y/N/R)]]="Release",CostTrack[[#This Row],[Value]],0)),2)</f>
        <v>0</v>
      </c>
      <c r="H247" s="1311">
        <f ca="1">IF(CostTrack[[#This Row],[Holdback (Y/N/R)]]="Release",CostTrack[[#This Row],[Value]],CostTrack[[#This Row],[Value]]+CostTrack[[#This Row],[Holdback Value]])</f>
        <v>1322</v>
      </c>
      <c r="I247" s="1312"/>
      <c r="J247" s="1312"/>
      <c r="K247" s="1313">
        <v>44286</v>
      </c>
      <c r="L247" s="1308">
        <v>44257</v>
      </c>
      <c r="M247" s="1308"/>
      <c r="N247" s="1312"/>
      <c r="O247" s="1308" t="s">
        <v>106</v>
      </c>
      <c r="P247" s="1308">
        <v>44271</v>
      </c>
      <c r="Q247" s="1314" t="str">
        <f ca="1">IF(CostTrack[[#This Row],[Vendor - Contract]]="","",INDEX(VendorList[PA ID],MATCH(CostTrack[[#This Row],[Vendor - Contract]],VendorList[Vendor / Org. with Contract ID],0)))</f>
        <v>200.050.F1</v>
      </c>
      <c r="R247" s="1314" t="str">
        <f ca="1">IF(CostTrack[[#This Row],[Vendor - Contract]]="","",INDEX(VendorList[Primary Category],MATCH(CostTrack[[#This Row],[Vendor - Contract]],VendorList[Vendor / Org. with Contract ID],0)))</f>
        <v>Professional Services</v>
      </c>
      <c r="S247" s="1314" t="str">
        <f ca="1">IF(CostTrack[[#This Row],[Vendor - Contract]]="","",INDEX(VendorList[Secondary Category],MATCH(CostTrack[[#This Row],[Vendor - Contract]],VendorList[Vendor / Org. with Contract ID],0)))</f>
        <v>Other Professional Services</v>
      </c>
      <c r="T247" s="1314" t="str">
        <f ca="1">IF(CostTrack[[#This Row],[Vendor - Contract]]="","",INDEX(VendorList[Phase / Subproject],MATCH(CostTrack[[#This Row],[Vendor - Contract]],VendorList[Vendor / Org. with Contract ID],0)))</f>
        <v>--</v>
      </c>
      <c r="U247" s="1314" t="str">
        <f ca="1">IF(CostTrack[[#This Row],[Vendor - Contract]]="","",INDEX(VendorList[Phase / Subproject 2],MATCH(CostTrack[[#This Row],[Vendor - Contract]],VendorList[Vendor / Org. with Contract ID],0)))</f>
        <v>--</v>
      </c>
      <c r="V247" s="1314" t="str">
        <f ca="1">IF(CostTrack[[#This Row],[Vendor - Contract]]="","",INDEX(VendorList[Funding Source],MATCH(CostTrack[[#This Row],[Vendor - Contract]],VendorList[Vendor / Org. with Contract ID],0)))</f>
        <v>P-002360</v>
      </c>
      <c r="W247" s="1308">
        <v>44286</v>
      </c>
      <c r="X247" s="1315" t="str">
        <f ca="1">IF(CostTrack[[#This Row],[Release Date (CMS)]]="","*","")</f>
        <v/>
      </c>
      <c r="Y247" s="1308" t="s">
        <v>45</v>
      </c>
      <c r="Z247" s="652" t="s">
        <v>951</v>
      </c>
      <c r="AA247" s="1316">
        <f ca="1">IF(OR(CostTrack[[#This Row],[Release Date (CMS)]]&gt;=DATE(VALUE(REPLACE(CostTrack[[#This Row],[Fiscal Period]],3,3,"")),3,1),CostTrack[[#This Row],[Release Date (CMS)]]&lt;DATE(VALUE(LEFT(CostTrack[[#This Row],[Fiscal Period]],4)),4,1)),1,0)</f>
        <v>1</v>
      </c>
      <c r="AB247" s="1317">
        <v>1322</v>
      </c>
      <c r="AC247" s="1308">
        <v>44336</v>
      </c>
      <c r="AD247" s="402" t="str">
        <f ca="1">IF(CostTrack[[#This Row],[Reconciled Amount]]="","",IF(CostTrack[[#This Row],[Value]]&lt;&gt;CostTrack[[#This Row],[Reconciled Amount]],"Yes","No"))</f>
        <v>No</v>
      </c>
    </row>
    <row r="248" spans="2:30">
      <c r="B248" s="653" t="s">
        <v>655</v>
      </c>
      <c r="C248" s="650">
        <v>2711</v>
      </c>
      <c r="D248" s="267">
        <v>44301</v>
      </c>
      <c r="E248" s="654">
        <v>1322</v>
      </c>
      <c r="F248" s="647" t="s">
        <v>69</v>
      </c>
      <c r="G248" s="406">
        <f ca="1">ROUND(IF(CostTrack[[#This Row],[Holdback (Y/N/R)]]="Yes",CostTrack[[#This Row],[Value]]*-0.1,IF(CostTrack[[#This Row],[Holdback (Y/N/R)]]="Release",CostTrack[[#This Row],[Value]],0)),2)</f>
        <v>0</v>
      </c>
      <c r="H248" s="407">
        <f ca="1">IF(CostTrack[[#This Row],[Holdback (Y/N/R)]]="Release",CostTrack[[#This Row],[Value]],CostTrack[[#This Row],[Value]]+CostTrack[[#This Row],[Holdback Value]])</f>
        <v>1322</v>
      </c>
      <c r="I248" s="650"/>
      <c r="J248" s="650"/>
      <c r="K248" s="1313">
        <v>44286</v>
      </c>
      <c r="L248" s="267">
        <v>44301</v>
      </c>
      <c r="M248" s="267"/>
      <c r="N248" s="650"/>
      <c r="O248" s="267" t="s">
        <v>106</v>
      </c>
      <c r="P248" s="267">
        <v>44301</v>
      </c>
      <c r="Q248" s="243" t="str">
        <f ca="1">IF(CostTrack[[#This Row],[Vendor - Contract]]="","",INDEX(VendorList[PA ID],MATCH(CostTrack[[#This Row],[Vendor - Contract]],VendorList[Vendor / Org. with Contract ID],0)))</f>
        <v>200.050.F1</v>
      </c>
      <c r="R248" s="243" t="str">
        <f ca="1">IF(CostTrack[[#This Row],[Vendor - Contract]]="","",INDEX(VendorList[Primary Category],MATCH(CostTrack[[#This Row],[Vendor - Contract]],VendorList[Vendor / Org. with Contract ID],0)))</f>
        <v>Professional Services</v>
      </c>
      <c r="S248" s="243" t="str">
        <f ca="1">IF(CostTrack[[#This Row],[Vendor - Contract]]="","",INDEX(VendorList[Secondary Category],MATCH(CostTrack[[#This Row],[Vendor - Contract]],VendorList[Vendor / Org. with Contract ID],0)))</f>
        <v>Other Professional Services</v>
      </c>
      <c r="T248" s="243" t="str">
        <f ca="1">IF(CostTrack[[#This Row],[Vendor - Contract]]="","",INDEX(VendorList[Phase / Subproject],MATCH(CostTrack[[#This Row],[Vendor - Contract]],VendorList[Vendor / Org. with Contract ID],0)))</f>
        <v>--</v>
      </c>
      <c r="U248" s="243" t="str">
        <f ca="1">IF(CostTrack[[#This Row],[Vendor - Contract]]="","",INDEX(VendorList[Phase / Subproject 2],MATCH(CostTrack[[#This Row],[Vendor - Contract]],VendorList[Vendor / Org. with Contract ID],0)))</f>
        <v>--</v>
      </c>
      <c r="V248" s="243" t="str">
        <f ca="1">IF(CostTrack[[#This Row],[Vendor - Contract]]="","",INDEX(VendorList[Funding Source],MATCH(CostTrack[[#This Row],[Vendor - Contract]],VendorList[Vendor / Org. with Contract ID],0)))</f>
        <v>P-002360</v>
      </c>
      <c r="W248" s="267">
        <v>44301</v>
      </c>
      <c r="X248" s="251" t="str">
        <f ca="1">IF(CostTrack[[#This Row],[Release Date (CMS)]]="","*","")</f>
        <v/>
      </c>
      <c r="Y248" s="267" t="s">
        <v>50</v>
      </c>
      <c r="Z248" s="652" t="s">
        <v>973</v>
      </c>
      <c r="AA248" s="245">
        <f ca="1">IF(OR(CostTrack[[#This Row],[Release Date (CMS)]]&gt;=DATE(VALUE(REPLACE(CostTrack[[#This Row],[Fiscal Period]],3,3,"")),3,1),CostTrack[[#This Row],[Release Date (CMS)]]&lt;DATE(VALUE(LEFT(CostTrack[[#This Row],[Fiscal Period]],4)),4,1)),1,0)</f>
        <v>0</v>
      </c>
      <c r="AB248" s="1317">
        <v>1322</v>
      </c>
      <c r="AC248" s="1308">
        <v>44336</v>
      </c>
      <c r="AD248" s="402" t="str">
        <f ca="1">IF(CostTrack[[#This Row],[Reconciled Amount]]="","",IF(CostTrack[[#This Row],[Value]]&lt;&gt;CostTrack[[#This Row],[Reconciled Amount]],"Yes","No"))</f>
        <v>No</v>
      </c>
    </row>
    <row r="249" spans="2:30" ht="27.95">
      <c r="B249" s="653" t="s">
        <v>655</v>
      </c>
      <c r="C249" s="681" t="s">
        <v>972</v>
      </c>
      <c r="D249" s="267">
        <v>44301</v>
      </c>
      <c r="E249" s="654">
        <v>-1322</v>
      </c>
      <c r="F249" s="647" t="s">
        <v>69</v>
      </c>
      <c r="G249" s="406">
        <f ca="1">ROUND(IF(CostTrack[[#This Row],[Holdback (Y/N/R)]]="Yes",CostTrack[[#This Row],[Value]]*-0.1,IF(CostTrack[[#This Row],[Holdback (Y/N/R)]]="Release",CostTrack[[#This Row],[Value]],0)),2)</f>
        <v>0</v>
      </c>
      <c r="H249" s="407">
        <f ca="1">IF(CostTrack[[#This Row],[Holdback (Y/N/R)]]="Release",CostTrack[[#This Row],[Value]],CostTrack[[#This Row],[Value]]+CostTrack[[#This Row],[Holdback Value]])</f>
        <v>-1322</v>
      </c>
      <c r="I249" s="650"/>
      <c r="J249" s="650"/>
      <c r="K249" s="1313">
        <v>44286</v>
      </c>
      <c r="L249" s="267">
        <v>44301</v>
      </c>
      <c r="M249" s="267"/>
      <c r="N249" s="650"/>
      <c r="O249" s="267" t="s">
        <v>106</v>
      </c>
      <c r="P249" s="267">
        <v>44301</v>
      </c>
      <c r="Q249" s="243" t="str">
        <f ca="1">IF(CostTrack[[#This Row],[Vendor - Contract]]="","",INDEX(VendorList[PA ID],MATCH(CostTrack[[#This Row],[Vendor - Contract]],VendorList[Vendor / Org. with Contract ID],0)))</f>
        <v>200.050.F1</v>
      </c>
      <c r="R249" s="243" t="str">
        <f ca="1">IF(CostTrack[[#This Row],[Vendor - Contract]]="","",INDEX(VendorList[Primary Category],MATCH(CostTrack[[#This Row],[Vendor - Contract]],VendorList[Vendor / Org. with Contract ID],0)))</f>
        <v>Professional Services</v>
      </c>
      <c r="S249" s="243" t="str">
        <f ca="1">IF(CostTrack[[#This Row],[Vendor - Contract]]="","",INDEX(VendorList[Secondary Category],MATCH(CostTrack[[#This Row],[Vendor - Contract]],VendorList[Vendor / Org. with Contract ID],0)))</f>
        <v>Other Professional Services</v>
      </c>
      <c r="T249" s="243" t="str">
        <f ca="1">IF(CostTrack[[#This Row],[Vendor - Contract]]="","",INDEX(VendorList[Phase / Subproject],MATCH(CostTrack[[#This Row],[Vendor - Contract]],VendorList[Vendor / Org. with Contract ID],0)))</f>
        <v>--</v>
      </c>
      <c r="U249" s="243" t="str">
        <f ca="1">IF(CostTrack[[#This Row],[Vendor - Contract]]="","",INDEX(VendorList[Phase / Subproject 2],MATCH(CostTrack[[#This Row],[Vendor - Contract]],VendorList[Vendor / Org. with Contract ID],0)))</f>
        <v>--</v>
      </c>
      <c r="V249" s="243" t="str">
        <f ca="1">IF(CostTrack[[#This Row],[Vendor - Contract]]="","",INDEX(VendorList[Funding Source],MATCH(CostTrack[[#This Row],[Vendor - Contract]],VendorList[Vendor / Org. with Contract ID],0)))</f>
        <v>P-002360</v>
      </c>
      <c r="W249" s="267">
        <v>44301</v>
      </c>
      <c r="X249" s="251" t="str">
        <f ca="1">IF(CostTrack[[#This Row],[Release Date (CMS)]]="","*","")</f>
        <v/>
      </c>
      <c r="Y249" s="267" t="s">
        <v>50</v>
      </c>
      <c r="Z249" s="652" t="s">
        <v>974</v>
      </c>
      <c r="AA249" s="245">
        <f ca="1">IF(OR(CostTrack[[#This Row],[Release Date (CMS)]]&gt;=DATE(VALUE(REPLACE(CostTrack[[#This Row],[Fiscal Period]],3,3,"")),3,1),CostTrack[[#This Row],[Release Date (CMS)]]&lt;DATE(VALUE(LEFT(CostTrack[[#This Row],[Fiscal Period]],4)),4,1)),1,0)</f>
        <v>0</v>
      </c>
      <c r="AB249" s="1317">
        <v>-1322</v>
      </c>
      <c r="AC249" s="1308">
        <v>44336</v>
      </c>
      <c r="AD249" s="402" t="str">
        <f ca="1">IF(CostTrack[[#This Row],[Reconciled Amount]]="","",IF(CostTrack[[#This Row],[Value]]&lt;&gt;CostTrack[[#This Row],[Reconciled Amount]],"Yes","No"))</f>
        <v>No</v>
      </c>
    </row>
    <row r="250" spans="2:30" ht="61.15" customHeight="1">
      <c r="B250" s="1306" t="s">
        <v>736</v>
      </c>
      <c r="C250" s="650" t="s">
        <v>975</v>
      </c>
      <c r="D250" s="1308">
        <v>44286</v>
      </c>
      <c r="E250" s="658">
        <v>26281.35</v>
      </c>
      <c r="F250" s="1309" t="s">
        <v>69</v>
      </c>
      <c r="G250" s="1310">
        <f ca="1">ROUND(IF(CostTrack[[#This Row],[Holdback (Y/N/R)]]="Yes",CostTrack[[#This Row],[Value]]*-0.1,IF(CostTrack[[#This Row],[Holdback (Y/N/R)]]="Release",CostTrack[[#This Row],[Value]],0)),2)</f>
        <v>0</v>
      </c>
      <c r="H250" s="1311">
        <f ca="1">IF(CostTrack[[#This Row],[Holdback (Y/N/R)]]="Release",CostTrack[[#This Row],[Value]],CostTrack[[#This Row],[Value]]+CostTrack[[#This Row],[Holdback Value]])</f>
        <v>26281.35</v>
      </c>
      <c r="I250" s="1312"/>
      <c r="J250" s="1312"/>
      <c r="K250" s="1313">
        <v>44286</v>
      </c>
      <c r="L250" s="1308">
        <v>44285</v>
      </c>
      <c r="M250" s="1308"/>
      <c r="N250" s="1312"/>
      <c r="O250" s="1308" t="s">
        <v>106</v>
      </c>
      <c r="P250" s="1308">
        <v>44286</v>
      </c>
      <c r="Q250" s="1314" t="str">
        <f ca="1">IF(CostTrack[[#This Row],[Vendor - Contract]]="","",INDEX(VendorList[PA ID],MATCH(CostTrack[[#This Row],[Vendor - Contract]],VendorList[Vendor / Org. with Contract ID],0)))</f>
        <v>100.010.F1</v>
      </c>
      <c r="R250" s="1314" t="str">
        <f ca="1">IF(CostTrack[[#This Row],[Vendor - Contract]]="","",INDEX(VendorList[Primary Category],MATCH(CostTrack[[#This Row],[Vendor - Contract]],VendorList[Vendor / Org. with Contract ID],0)))</f>
        <v>Administration</v>
      </c>
      <c r="S250" s="1314" t="str">
        <f ca="1">IF(CostTrack[[#This Row],[Vendor - Contract]]="","",INDEX(VendorList[Secondary Category],MATCH(CostTrack[[#This Row],[Vendor - Contract]],VendorList[Vendor / Org. with Contract ID],0)))</f>
        <v>Staff Capitalization - INFRA</v>
      </c>
      <c r="T250" s="1314" t="str">
        <f ca="1">IF(CostTrack[[#This Row],[Vendor - Contract]]="","",INDEX(VendorList[Phase / Subproject],MATCH(CostTrack[[#This Row],[Vendor - Contract]],VendorList[Vendor / Org. with Contract ID],0)))</f>
        <v>--</v>
      </c>
      <c r="U250" s="1314" t="str">
        <f ca="1">IF(CostTrack[[#This Row],[Vendor - Contract]]="","",INDEX(VendorList[Phase / Subproject 2],MATCH(CostTrack[[#This Row],[Vendor - Contract]],VendorList[Vendor / Org. with Contract ID],0)))</f>
        <v>--</v>
      </c>
      <c r="V250" s="1314" t="str">
        <f ca="1">IF(CostTrack[[#This Row],[Vendor - Contract]]="","",INDEX(VendorList[Funding Source],MATCH(CostTrack[[#This Row],[Vendor - Contract]],VendorList[Vendor / Org. with Contract ID],0)))</f>
        <v>P-002360</v>
      </c>
      <c r="W250" s="1308">
        <v>44286</v>
      </c>
      <c r="X250" s="1315" t="str">
        <f ca="1">IF(CostTrack[[#This Row],[Release Date (CMS)]]="","*","")</f>
        <v/>
      </c>
      <c r="Y250" s="1308" t="s">
        <v>45</v>
      </c>
      <c r="Z250" s="695" t="s">
        <v>976</v>
      </c>
      <c r="AA250" s="1316">
        <f ca="1">IF(OR(CostTrack[[#This Row],[Release Date (CMS)]]&gt;=DATE(VALUE(REPLACE(CostTrack[[#This Row],[Fiscal Period]],3,3,"")),3,1),CostTrack[[#This Row],[Release Date (CMS)]]&lt;DATE(VALUE(LEFT(CostTrack[[#This Row],[Fiscal Period]],4)),4,1)),1,0)</f>
        <v>1</v>
      </c>
      <c r="AB250" s="1317">
        <v>26281.35</v>
      </c>
      <c r="AC250" s="1308">
        <v>44336</v>
      </c>
      <c r="AD250" s="402" t="str">
        <f ca="1">IF(CostTrack[[#This Row],[Reconciled Amount]]="","",IF(CostTrack[[#This Row],[Value]]&lt;&gt;CostTrack[[#This Row],[Reconciled Amount]],"Yes","No"))</f>
        <v>No</v>
      </c>
    </row>
    <row r="251" spans="2:30" ht="55.9">
      <c r="B251" s="1306" t="s">
        <v>736</v>
      </c>
      <c r="C251" s="689" t="s">
        <v>977</v>
      </c>
      <c r="D251" s="1308"/>
      <c r="E251" s="658">
        <v>0</v>
      </c>
      <c r="F251" s="1309" t="s">
        <v>69</v>
      </c>
      <c r="G251" s="1310">
        <f ca="1">ROUND(IF(CostTrack[[#This Row],[Holdback (Y/N/R)]]="Yes",CostTrack[[#This Row],[Value]]*-0.1,IF(CostTrack[[#This Row],[Holdback (Y/N/R)]]="Release",CostTrack[[#This Row],[Value]],0)),2)</f>
        <v>0</v>
      </c>
      <c r="H251" s="1311">
        <f ca="1">IF(CostTrack[[#This Row],[Holdback (Y/N/R)]]="Release",CostTrack[[#This Row],[Value]],CostTrack[[#This Row],[Value]]+CostTrack[[#This Row],[Holdback Value]])</f>
        <v>0</v>
      </c>
      <c r="I251" s="1312"/>
      <c r="J251" s="1312"/>
      <c r="K251" s="1313"/>
      <c r="L251" s="1308"/>
      <c r="M251" s="1308"/>
      <c r="N251" s="1312"/>
      <c r="O251" s="1308" t="s">
        <v>110</v>
      </c>
      <c r="P251" s="1308"/>
      <c r="Q251" s="1314" t="str">
        <f ca="1">IF(CostTrack[[#This Row],[Vendor - Contract]]="","",INDEX(VendorList[PA ID],MATCH(CostTrack[[#This Row],[Vendor - Contract]],VendorList[Vendor / Org. with Contract ID],0)))</f>
        <v>100.010.F1</v>
      </c>
      <c r="R251" s="1314" t="str">
        <f ca="1">IF(CostTrack[[#This Row],[Vendor - Contract]]="","",INDEX(VendorList[Primary Category],MATCH(CostTrack[[#This Row],[Vendor - Contract]],VendorList[Vendor / Org. with Contract ID],0)))</f>
        <v>Administration</v>
      </c>
      <c r="S251" s="1314" t="str">
        <f ca="1">IF(CostTrack[[#This Row],[Vendor - Contract]]="","",INDEX(VendorList[Secondary Category],MATCH(CostTrack[[#This Row],[Vendor - Contract]],VendorList[Vendor / Org. with Contract ID],0)))</f>
        <v>Staff Capitalization - INFRA</v>
      </c>
      <c r="T251" s="1314" t="str">
        <f ca="1">IF(CostTrack[[#This Row],[Vendor - Contract]]="","",INDEX(VendorList[Phase / Subproject],MATCH(CostTrack[[#This Row],[Vendor - Contract]],VendorList[Vendor / Org. with Contract ID],0)))</f>
        <v>--</v>
      </c>
      <c r="U251" s="1314" t="str">
        <f ca="1">IF(CostTrack[[#This Row],[Vendor - Contract]]="","",INDEX(VendorList[Phase / Subproject 2],MATCH(CostTrack[[#This Row],[Vendor - Contract]],VendorList[Vendor / Org. with Contract ID],0)))</f>
        <v>--</v>
      </c>
      <c r="V251" s="1314" t="str">
        <f ca="1">IF(CostTrack[[#This Row],[Vendor - Contract]]="","",INDEX(VendorList[Funding Source],MATCH(CostTrack[[#This Row],[Vendor - Contract]],VendorList[Vendor / Org. with Contract ID],0)))</f>
        <v>P-002360</v>
      </c>
      <c r="W251" s="1308"/>
      <c r="X251" s="1315" t="str">
        <f ca="1">IF(CostTrack[[#This Row],[Release Date (CMS)]]="","*","")</f>
        <v>*</v>
      </c>
      <c r="Y251" s="1308" t="s">
        <v>63</v>
      </c>
      <c r="Z251" s="652" t="s">
        <v>978</v>
      </c>
      <c r="AA251" s="1316">
        <f ca="1">IF(OR(CostTrack[[#This Row],[Release Date (CMS)]]&gt;=DATE(VALUE(REPLACE(CostTrack[[#This Row],[Fiscal Period]],3,3,"")),3,1),CostTrack[[#This Row],[Release Date (CMS)]]&lt;DATE(VALUE(LEFT(CostTrack[[#This Row],[Fiscal Period]],4)),4,1)),1,0)</f>
        <v>1</v>
      </c>
      <c r="AB251" s="1317"/>
      <c r="AC251" s="1308"/>
      <c r="AD251" s="402" t="str">
        <f ca="1">IF(CostTrack[[#This Row],[Reconciled Amount]]="","",IF(CostTrack[[#This Row],[Value]]&lt;&gt;CostTrack[[#This Row],[Reconciled Amount]],"Yes","No"))</f>
        <v/>
      </c>
    </row>
    <row r="252" spans="2:30" ht="42">
      <c r="B252" s="1306" t="s">
        <v>736</v>
      </c>
      <c r="C252" s="650" t="s">
        <v>979</v>
      </c>
      <c r="D252" s="1308">
        <v>44347</v>
      </c>
      <c r="E252" s="658">
        <v>78221.649999999994</v>
      </c>
      <c r="F252" s="647" t="s">
        <v>69</v>
      </c>
      <c r="G252" s="1310">
        <f ca="1">ROUND(IF(CostTrack[[#This Row],[Holdback (Y/N/R)]]="Yes",CostTrack[[#This Row],[Value]]*-0.1,IF(CostTrack[[#This Row],[Holdback (Y/N/R)]]="Release",CostTrack[[#This Row],[Value]],0)),2)</f>
        <v>0</v>
      </c>
      <c r="H252" s="1311">
        <f ca="1">IF(CostTrack[[#This Row],[Holdback (Y/N/R)]]="Release",CostTrack[[#This Row],[Value]],CostTrack[[#This Row],[Value]]+CostTrack[[#This Row],[Holdback Value]])</f>
        <v>78221.649999999994</v>
      </c>
      <c r="I252" s="1312"/>
      <c r="J252" s="1312"/>
      <c r="K252" s="1313">
        <v>44317</v>
      </c>
      <c r="L252" s="1308">
        <v>44347</v>
      </c>
      <c r="M252" s="1308"/>
      <c r="N252" s="1312"/>
      <c r="O252" s="267" t="s">
        <v>106</v>
      </c>
      <c r="P252" s="1308">
        <v>44347</v>
      </c>
      <c r="Q252" s="1314" t="str">
        <f ca="1">IF(CostTrack[[#This Row],[Vendor - Contract]]="","",INDEX(VendorList[PA ID],MATCH(CostTrack[[#This Row],[Vendor - Contract]],VendorList[Vendor / Org. with Contract ID],0)))</f>
        <v>100.010.F1</v>
      </c>
      <c r="R252" s="1314" t="str">
        <f ca="1">IF(CostTrack[[#This Row],[Vendor - Contract]]="","",INDEX(VendorList[Primary Category],MATCH(CostTrack[[#This Row],[Vendor - Contract]],VendorList[Vendor / Org. with Contract ID],0)))</f>
        <v>Administration</v>
      </c>
      <c r="S252" s="1314" t="str">
        <f ca="1">IF(CostTrack[[#This Row],[Vendor - Contract]]="","",INDEX(VendorList[Secondary Category],MATCH(CostTrack[[#This Row],[Vendor - Contract]],VendorList[Vendor / Org. with Contract ID],0)))</f>
        <v>Staff Capitalization - INFRA</v>
      </c>
      <c r="T252" s="1314" t="str">
        <f ca="1">IF(CostTrack[[#This Row],[Vendor - Contract]]="","",INDEX(VendorList[Phase / Subproject],MATCH(CostTrack[[#This Row],[Vendor - Contract]],VendorList[Vendor / Org. with Contract ID],0)))</f>
        <v>--</v>
      </c>
      <c r="U252" s="1314" t="str">
        <f ca="1">IF(CostTrack[[#This Row],[Vendor - Contract]]="","",INDEX(VendorList[Phase / Subproject 2],MATCH(CostTrack[[#This Row],[Vendor - Contract]],VendorList[Vendor / Org. with Contract ID],0)))</f>
        <v>--</v>
      </c>
      <c r="V252" s="1314" t="str">
        <f ca="1">IF(CostTrack[[#This Row],[Vendor - Contract]]="","",INDEX(VendorList[Funding Source],MATCH(CostTrack[[#This Row],[Vendor - Contract]],VendorList[Vendor / Org. with Contract ID],0)))</f>
        <v>P-002360</v>
      </c>
      <c r="W252" s="1308">
        <v>44347</v>
      </c>
      <c r="X252" s="1315" t="str">
        <f ca="1">IF(CostTrack[[#This Row],[Release Date (CMS)]]="","*","")</f>
        <v/>
      </c>
      <c r="Y252" s="1308" t="s">
        <v>50</v>
      </c>
      <c r="Z252" s="652" t="s">
        <v>980</v>
      </c>
      <c r="AA252" s="1316">
        <f ca="1">IF(OR(CostTrack[[#This Row],[Release Date (CMS)]]&gt;=DATE(VALUE(REPLACE(CostTrack[[#This Row],[Fiscal Period]],3,3,"")),3,1),CostTrack[[#This Row],[Release Date (CMS)]]&lt;DATE(VALUE(LEFT(CostTrack[[#This Row],[Fiscal Period]],4)),4,1)),1,0)</f>
        <v>0</v>
      </c>
      <c r="AB252" s="1317">
        <v>78221.649999999994</v>
      </c>
      <c r="AC252" s="1308">
        <v>44356</v>
      </c>
      <c r="AD252" s="402" t="str">
        <f ca="1">IF(CostTrack[[#This Row],[Reconciled Amount]]="","",IF(CostTrack[[#This Row],[Value]]&lt;&gt;CostTrack[[#This Row],[Reconciled Amount]],"Yes","No"))</f>
        <v>No</v>
      </c>
    </row>
    <row r="253" spans="2:30" ht="16.5" customHeight="1">
      <c r="B253" s="653" t="s">
        <v>529</v>
      </c>
      <c r="C253" s="1320" t="s">
        <v>981</v>
      </c>
      <c r="D253" s="1308">
        <v>44316</v>
      </c>
      <c r="E253" s="658">
        <v>2359621.87</v>
      </c>
      <c r="F253" s="1309" t="s">
        <v>65</v>
      </c>
      <c r="G253" s="1310">
        <f ca="1">ROUND(IF(CostTrack[[#This Row],[Holdback (Y/N/R)]]="Yes",CostTrack[[#This Row],[Value]]*-0.1,IF(CostTrack[[#This Row],[Holdback (Y/N/R)]]="Release",CostTrack[[#This Row],[Value]],0)),2)</f>
        <v>-235962.19</v>
      </c>
      <c r="H253" s="1311">
        <f ca="1">IF(CostTrack[[#This Row],[Holdback (Y/N/R)]]="Release",CostTrack[[#This Row],[Value]],CostTrack[[#This Row],[Value]]+CostTrack[[#This Row],[Holdback Value]])</f>
        <v>2123659.6800000002</v>
      </c>
      <c r="I253" s="1312">
        <v>9</v>
      </c>
      <c r="J253" s="1312"/>
      <c r="K253" s="1313">
        <v>44317</v>
      </c>
      <c r="L253" s="1308">
        <v>44328</v>
      </c>
      <c r="M253" s="1308"/>
      <c r="N253" s="1312"/>
      <c r="O253" s="1308" t="s">
        <v>106</v>
      </c>
      <c r="P253" s="1308">
        <v>44329</v>
      </c>
      <c r="Q253" s="1314" t="str">
        <f ca="1">IF(CostTrack[[#This Row],[Vendor - Contract]]="","",INDEX(VendorList[PA ID],MATCH(CostTrack[[#This Row],[Vendor - Contract]],VendorList[Vendor / Org. with Contract ID],0)))</f>
        <v>300.030.F1</v>
      </c>
      <c r="R253" s="1314" t="str">
        <f ca="1">IF(CostTrack[[#This Row],[Vendor - Contract]]="","",INDEX(VendorList[Primary Category],MATCH(CostTrack[[#This Row],[Vendor - Contract]],VendorList[Vendor / Org. with Contract ID],0)))</f>
        <v>Construction</v>
      </c>
      <c r="S253" s="1314" t="str">
        <f ca="1">IF(CostTrack[[#This Row],[Vendor - Contract]]="","",INDEX(VendorList[Secondary Category],MATCH(CostTrack[[#This Row],[Vendor - Contract]],VendorList[Vendor / Org. with Contract ID],0)))</f>
        <v>Prime Contractor</v>
      </c>
      <c r="T253" s="1314" t="str">
        <f ca="1">IF(CostTrack[[#This Row],[Vendor - Contract]]="","",INDEX(VendorList[Phase / Subproject],MATCH(CostTrack[[#This Row],[Vendor - Contract]],VendorList[Vendor / Org. with Contract ID],0)))</f>
        <v>--</v>
      </c>
      <c r="U253" s="1314" t="str">
        <f ca="1">IF(CostTrack[[#This Row],[Vendor - Contract]]="","",INDEX(VendorList[Phase / Subproject 2],MATCH(CostTrack[[#This Row],[Vendor - Contract]],VendorList[Vendor / Org. with Contract ID],0)))</f>
        <v>--</v>
      </c>
      <c r="V253" s="1314" t="str">
        <f ca="1">IF(CostTrack[[#This Row],[Vendor - Contract]]="","",INDEX(VendorList[Funding Source],MATCH(CostTrack[[#This Row],[Vendor - Contract]],VendorList[Vendor / Org. with Contract ID],0)))</f>
        <v>P-002360</v>
      </c>
      <c r="W253" s="1308">
        <v>44334</v>
      </c>
      <c r="X253" s="1315" t="str">
        <f ca="1">IF(CostTrack[[#This Row],[Release Date (CMS)]]="","*","")</f>
        <v/>
      </c>
      <c r="Y253" s="1308" t="s">
        <v>50</v>
      </c>
      <c r="Z253" s="683" t="s">
        <v>982</v>
      </c>
      <c r="AA253" s="1316">
        <f ca="1">IF(OR(CostTrack[[#This Row],[Release Date (CMS)]]&gt;=DATE(VALUE(REPLACE(CostTrack[[#This Row],[Fiscal Period]],3,3,"")),3,1),CostTrack[[#This Row],[Release Date (CMS)]]&lt;DATE(VALUE(LEFT(CostTrack[[#This Row],[Fiscal Period]],4)),4,1)),1,0)</f>
        <v>0</v>
      </c>
      <c r="AB253" s="1317">
        <v>2359621.87</v>
      </c>
      <c r="AC253" s="1308">
        <v>44336</v>
      </c>
      <c r="AD253" s="402" t="str">
        <f ca="1">IF(CostTrack[[#This Row],[Reconciled Amount]]="","",IF(CostTrack[[#This Row],[Value]]&lt;&gt;CostTrack[[#This Row],[Reconciled Amount]],"Yes","No"))</f>
        <v>No</v>
      </c>
    </row>
    <row r="254" spans="2:30">
      <c r="B254" s="653" t="s">
        <v>527</v>
      </c>
      <c r="C254" s="1320" t="s">
        <v>983</v>
      </c>
      <c r="D254" s="1308">
        <v>44316</v>
      </c>
      <c r="E254" s="658">
        <v>79774.38</v>
      </c>
      <c r="F254" s="1309" t="s">
        <v>69</v>
      </c>
      <c r="G254" s="1310">
        <f ca="1">ROUND(IF(CostTrack[[#This Row],[Holdback (Y/N/R)]]="Yes",CostTrack[[#This Row],[Value]]*-0.1,IF(CostTrack[[#This Row],[Holdback (Y/N/R)]]="Release",CostTrack[[#This Row],[Value]],0)),2)</f>
        <v>0</v>
      </c>
      <c r="H254" s="1311">
        <f ca="1">IF(CostTrack[[#This Row],[Holdback (Y/N/R)]]="Release",CostTrack[[#This Row],[Value]],CostTrack[[#This Row],[Value]]+CostTrack[[#This Row],[Holdback Value]])</f>
        <v>79774.38</v>
      </c>
      <c r="I254" s="1312"/>
      <c r="J254" s="1312"/>
      <c r="K254" s="1313">
        <v>44317</v>
      </c>
      <c r="L254" s="1308">
        <v>44322</v>
      </c>
      <c r="M254" s="1308"/>
      <c r="N254" s="1312"/>
      <c r="O254" s="1308" t="s">
        <v>106</v>
      </c>
      <c r="P254" s="1308">
        <v>44326</v>
      </c>
      <c r="Q254" s="1314" t="str">
        <f ca="1">IF(CostTrack[[#This Row],[Vendor - Contract]]="","",INDEX(VendorList[PA ID],MATCH(CostTrack[[#This Row],[Vendor - Contract]],VendorList[Vendor / Org. with Contract ID],0)))</f>
        <v>200.010.F1</v>
      </c>
      <c r="R254" s="1314" t="str">
        <f ca="1">IF(CostTrack[[#This Row],[Vendor - Contract]]="","",INDEX(VendorList[Primary Category],MATCH(CostTrack[[#This Row],[Vendor - Contract]],VendorList[Vendor / Org. with Contract ID],0)))</f>
        <v>Professional Services</v>
      </c>
      <c r="S254" s="1314" t="str">
        <f ca="1">IF(CostTrack[[#This Row],[Vendor - Contract]]="","",INDEX(VendorList[Secondary Category],MATCH(CostTrack[[#This Row],[Vendor - Contract]],VendorList[Vendor / Org. with Contract ID],0)))</f>
        <v>Prime Consultant</v>
      </c>
      <c r="T254" s="1314" t="str">
        <f ca="1">IF(CostTrack[[#This Row],[Vendor - Contract]]="","",INDEX(VendorList[Phase / Subproject],MATCH(CostTrack[[#This Row],[Vendor - Contract]],VendorList[Vendor / Org. with Contract ID],0)))</f>
        <v>--</v>
      </c>
      <c r="U254" s="1314" t="str">
        <f ca="1">IF(CostTrack[[#This Row],[Vendor - Contract]]="","",INDEX(VendorList[Phase / Subproject 2],MATCH(CostTrack[[#This Row],[Vendor - Contract]],VendorList[Vendor / Org. with Contract ID],0)))</f>
        <v>--</v>
      </c>
      <c r="V254" s="1314" t="str">
        <f ca="1">IF(CostTrack[[#This Row],[Vendor - Contract]]="","",INDEX(VendorList[Funding Source],MATCH(CostTrack[[#This Row],[Vendor - Contract]],VendorList[Vendor / Org. with Contract ID],0)))</f>
        <v>P-002360</v>
      </c>
      <c r="W254" s="1308">
        <v>44327</v>
      </c>
      <c r="X254" s="1315" t="str">
        <f ca="1">IF(CostTrack[[#This Row],[Release Date (CMS)]]="","*","")</f>
        <v/>
      </c>
      <c r="Y254" s="1308" t="s">
        <v>50</v>
      </c>
      <c r="Z254" s="683" t="s">
        <v>982</v>
      </c>
      <c r="AA254" s="1316">
        <f ca="1">IF(OR(CostTrack[[#This Row],[Release Date (CMS)]]&gt;=DATE(VALUE(REPLACE(CostTrack[[#This Row],[Fiscal Period]],3,3,"")),3,1),CostTrack[[#This Row],[Release Date (CMS)]]&lt;DATE(VALUE(LEFT(CostTrack[[#This Row],[Fiscal Period]],4)),4,1)),1,0)</f>
        <v>0</v>
      </c>
      <c r="AB254" s="1317">
        <v>79774.38</v>
      </c>
      <c r="AC254" s="1308">
        <v>44336</v>
      </c>
      <c r="AD254" s="402" t="str">
        <f ca="1">IF(CostTrack[[#This Row],[Reconciled Amount]]="","",IF(CostTrack[[#This Row],[Value]]&lt;&gt;CostTrack[[#This Row],[Reconciled Amount]],"Yes","No"))</f>
        <v>No</v>
      </c>
    </row>
    <row r="255" spans="2:30" ht="29.1" customHeight="1">
      <c r="B255" s="653" t="s">
        <v>528</v>
      </c>
      <c r="C255" s="1312">
        <v>60705627</v>
      </c>
      <c r="D255" s="1308">
        <v>44329</v>
      </c>
      <c r="E255" s="658">
        <v>18348</v>
      </c>
      <c r="F255" s="647" t="s">
        <v>69</v>
      </c>
      <c r="G255" s="1310">
        <f ca="1">ROUND(IF(CostTrack[[#This Row],[Holdback (Y/N/R)]]="Yes",CostTrack[[#This Row],[Value]]*-0.1,IF(CostTrack[[#This Row],[Holdback (Y/N/R)]]="Release",CostTrack[[#This Row],[Value]],0)),2)</f>
        <v>0</v>
      </c>
      <c r="H255" s="1311">
        <f ca="1">IF(CostTrack[[#This Row],[Holdback (Y/N/R)]]="Release",CostTrack[[#This Row],[Value]],CostTrack[[#This Row],[Value]]+CostTrack[[#This Row],[Holdback Value]])</f>
        <v>18348</v>
      </c>
      <c r="I255" s="1312"/>
      <c r="J255" s="1312"/>
      <c r="K255" s="1313">
        <v>44317</v>
      </c>
      <c r="L255" s="1308">
        <v>44335</v>
      </c>
      <c r="M255" s="1308"/>
      <c r="N255" s="1312"/>
      <c r="O255" s="1308" t="s">
        <v>106</v>
      </c>
      <c r="P255" s="1308">
        <v>44336</v>
      </c>
      <c r="Q255" s="1314" t="str">
        <f ca="1">IF(CostTrack[[#This Row],[Vendor - Contract]]="","",INDEX(VendorList[PA ID],MATCH(CostTrack[[#This Row],[Vendor - Contract]],VendorList[Vendor / Org. with Contract ID],0)))</f>
        <v>200.050.F1</v>
      </c>
      <c r="R255" s="1314" t="str">
        <f ca="1">IF(CostTrack[[#This Row],[Vendor - Contract]]="","",INDEX(VendorList[Primary Category],MATCH(CostTrack[[#This Row],[Vendor - Contract]],VendorList[Vendor / Org. with Contract ID],0)))</f>
        <v>Professional Services</v>
      </c>
      <c r="S255" s="1314" t="str">
        <f ca="1">IF(CostTrack[[#This Row],[Vendor - Contract]]="","",INDEX(VendorList[Secondary Category],MATCH(CostTrack[[#This Row],[Vendor - Contract]],VendorList[Vendor / Org. with Contract ID],0)))</f>
        <v>Other Professional Services</v>
      </c>
      <c r="T255" s="1314" t="str">
        <f ca="1">IF(CostTrack[[#This Row],[Vendor - Contract]]="","",INDEX(VendorList[Phase / Subproject],MATCH(CostTrack[[#This Row],[Vendor - Contract]],VendorList[Vendor / Org. with Contract ID],0)))</f>
        <v>--</v>
      </c>
      <c r="U255" s="1314" t="str">
        <f ca="1">IF(CostTrack[[#This Row],[Vendor - Contract]]="","",INDEX(VendorList[Phase / Subproject 2],MATCH(CostTrack[[#This Row],[Vendor - Contract]],VendorList[Vendor / Org. with Contract ID],0)))</f>
        <v>--</v>
      </c>
      <c r="V255" s="1314" t="str">
        <f ca="1">IF(CostTrack[[#This Row],[Vendor - Contract]]="","",INDEX(VendorList[Funding Source],MATCH(CostTrack[[#This Row],[Vendor - Contract]],VendorList[Vendor / Org. with Contract ID],0)))</f>
        <v>P-002360</v>
      </c>
      <c r="W255" s="1308">
        <v>44336</v>
      </c>
      <c r="X255" s="1315" t="str">
        <f ca="1">IF(CostTrack[[#This Row],[Release Date (CMS)]]="","*","")</f>
        <v/>
      </c>
      <c r="Y255" s="1308" t="s">
        <v>50</v>
      </c>
      <c r="Z255" s="683" t="s">
        <v>984</v>
      </c>
      <c r="AA255" s="1316">
        <f ca="1">IF(OR(CostTrack[[#This Row],[Release Date (CMS)]]&gt;=DATE(VALUE(REPLACE(CostTrack[[#This Row],[Fiscal Period]],3,3,"")),3,1),CostTrack[[#This Row],[Release Date (CMS)]]&lt;DATE(VALUE(LEFT(CostTrack[[#This Row],[Fiscal Period]],4)),4,1)),1,0)</f>
        <v>0</v>
      </c>
      <c r="AB255" s="1317">
        <v>18348</v>
      </c>
      <c r="AC255" s="1308">
        <v>44356</v>
      </c>
      <c r="AD255" s="402" t="str">
        <f ca="1">IF(CostTrack[[#This Row],[Reconciled Amount]]="","",IF(CostTrack[[#This Row],[Value]]&lt;&gt;CostTrack[[#This Row],[Reconciled Amount]],"Yes","No"))</f>
        <v>No</v>
      </c>
    </row>
    <row r="256" spans="2:30">
      <c r="B256" s="1306" t="s">
        <v>655</v>
      </c>
      <c r="C256" s="1307">
        <v>2731</v>
      </c>
      <c r="D256" s="1308">
        <v>44343</v>
      </c>
      <c r="E256" s="658">
        <v>1322</v>
      </c>
      <c r="F256" s="1309" t="s">
        <v>69</v>
      </c>
      <c r="G256" s="1310">
        <f ca="1">ROUND(IF(CostTrack[[#This Row],[Holdback (Y/N/R)]]="Yes",CostTrack[[#This Row],[Value]]*-0.1,IF(CostTrack[[#This Row],[Holdback (Y/N/R)]]="Release",CostTrack[[#This Row],[Value]],0)),2)</f>
        <v>0</v>
      </c>
      <c r="H256" s="1311">
        <f ca="1">IF(CostTrack[[#This Row],[Holdback (Y/N/R)]]="Release",CostTrack[[#This Row],[Value]],CostTrack[[#This Row],[Value]]+CostTrack[[#This Row],[Holdback Value]])</f>
        <v>1322</v>
      </c>
      <c r="I256" s="1312"/>
      <c r="J256" s="1312"/>
      <c r="K256" s="1313">
        <v>44287</v>
      </c>
      <c r="L256" s="1308">
        <v>44343</v>
      </c>
      <c r="M256" s="1308"/>
      <c r="N256" s="1312"/>
      <c r="O256" s="1308" t="s">
        <v>106</v>
      </c>
      <c r="P256" s="1308">
        <v>44343</v>
      </c>
      <c r="Q256" s="1314" t="str">
        <f ca="1">IF(CostTrack[[#This Row],[Vendor - Contract]]="","",INDEX(VendorList[PA ID],MATCH(CostTrack[[#This Row],[Vendor - Contract]],VendorList[Vendor / Org. with Contract ID],0)))</f>
        <v>200.050.F1</v>
      </c>
      <c r="R256" s="1314" t="str">
        <f ca="1">IF(CostTrack[[#This Row],[Vendor - Contract]]="","",INDEX(VendorList[Primary Category],MATCH(CostTrack[[#This Row],[Vendor - Contract]],VendorList[Vendor / Org. with Contract ID],0)))</f>
        <v>Professional Services</v>
      </c>
      <c r="S256" s="1314" t="str">
        <f ca="1">IF(CostTrack[[#This Row],[Vendor - Contract]]="","",INDEX(VendorList[Secondary Category],MATCH(CostTrack[[#This Row],[Vendor - Contract]],VendorList[Vendor / Org. with Contract ID],0)))</f>
        <v>Other Professional Services</v>
      </c>
      <c r="T256" s="1314" t="str">
        <f ca="1">IF(CostTrack[[#This Row],[Vendor - Contract]]="","",INDEX(VendorList[Phase / Subproject],MATCH(CostTrack[[#This Row],[Vendor - Contract]],VendorList[Vendor / Org. with Contract ID],0)))</f>
        <v>--</v>
      </c>
      <c r="U256" s="1314" t="str">
        <f ca="1">IF(CostTrack[[#This Row],[Vendor - Contract]]="","",INDEX(VendorList[Phase / Subproject 2],MATCH(CostTrack[[#This Row],[Vendor - Contract]],VendorList[Vendor / Org. with Contract ID],0)))</f>
        <v>--</v>
      </c>
      <c r="V256" s="1314" t="str">
        <f ca="1">IF(CostTrack[[#This Row],[Vendor - Contract]]="","",INDEX(VendorList[Funding Source],MATCH(CostTrack[[#This Row],[Vendor - Contract]],VendorList[Vendor / Org. with Contract ID],0)))</f>
        <v>P-002360</v>
      </c>
      <c r="W256" s="1308">
        <v>44343</v>
      </c>
      <c r="X256" s="1315" t="str">
        <f ca="1">IF(CostTrack[[#This Row],[Release Date (CMS)]]="","*","")</f>
        <v/>
      </c>
      <c r="Y256" s="1308" t="s">
        <v>50</v>
      </c>
      <c r="Z256" s="683" t="s">
        <v>985</v>
      </c>
      <c r="AA256" s="1316">
        <f ca="1">IF(OR(CostTrack[[#This Row],[Release Date (CMS)]]&gt;=DATE(VALUE(REPLACE(CostTrack[[#This Row],[Fiscal Period]],3,3,"")),3,1),CostTrack[[#This Row],[Release Date (CMS)]]&lt;DATE(VALUE(LEFT(CostTrack[[#This Row],[Fiscal Period]],4)),4,1)),1,0)</f>
        <v>0</v>
      </c>
      <c r="AB256" s="1317">
        <v>1322</v>
      </c>
      <c r="AC256" s="1308">
        <v>44356</v>
      </c>
      <c r="AD256" s="402" t="str">
        <f ca="1">IF(CostTrack[[#This Row],[Reconciled Amount]]="","",IF(CostTrack[[#This Row],[Value]]&lt;&gt;CostTrack[[#This Row],[Reconciled Amount]],"Yes","No"))</f>
        <v>No</v>
      </c>
    </row>
    <row r="257" spans="2:30">
      <c r="B257" s="1306" t="s">
        <v>662</v>
      </c>
      <c r="C257" s="1307">
        <v>3906</v>
      </c>
      <c r="D257" s="1308">
        <v>44314</v>
      </c>
      <c r="E257" s="658">
        <v>960</v>
      </c>
      <c r="F257" s="1309" t="s">
        <v>69</v>
      </c>
      <c r="G257" s="1310">
        <f ca="1">ROUND(IF(CostTrack[[#This Row],[Holdback (Y/N/R)]]="Yes",CostTrack[[#This Row],[Value]]*-0.1,IF(CostTrack[[#This Row],[Holdback (Y/N/R)]]="Release",CostTrack[[#This Row],[Value]],0)),2)</f>
        <v>0</v>
      </c>
      <c r="H257" s="1311">
        <f ca="1">IF(CostTrack[[#This Row],[Holdback (Y/N/R)]]="Release",CostTrack[[#This Row],[Value]],CostTrack[[#This Row],[Value]]+CostTrack[[#This Row],[Holdback Value]])</f>
        <v>960</v>
      </c>
      <c r="I257" s="1312"/>
      <c r="J257" s="1312"/>
      <c r="K257" s="1313">
        <v>44317</v>
      </c>
      <c r="L257" s="1308">
        <v>44315</v>
      </c>
      <c r="M257" s="1308"/>
      <c r="N257" s="1312"/>
      <c r="O257" s="1308" t="s">
        <v>106</v>
      </c>
      <c r="P257" s="1308">
        <v>44316</v>
      </c>
      <c r="Q257" s="1314" t="str">
        <f ca="1">IF(CostTrack[[#This Row],[Vendor - Contract]]="","",INDEX(VendorList[PA ID],MATCH(CostTrack[[#This Row],[Vendor - Contract]],VendorList[Vendor / Org. with Contract ID],0)))</f>
        <v>200.050.F1</v>
      </c>
      <c r="R257" s="1314" t="str">
        <f ca="1">IF(CostTrack[[#This Row],[Vendor - Contract]]="","",INDEX(VendorList[Primary Category],MATCH(CostTrack[[#This Row],[Vendor - Contract]],VendorList[Vendor / Org. with Contract ID],0)))</f>
        <v>Professional Services</v>
      </c>
      <c r="S257" s="1314" t="str">
        <f ca="1">IF(CostTrack[[#This Row],[Vendor - Contract]]="","",INDEX(VendorList[Secondary Category],MATCH(CostTrack[[#This Row],[Vendor - Contract]],VendorList[Vendor / Org. with Contract ID],0)))</f>
        <v>Other Professional Services</v>
      </c>
      <c r="T257" s="1314" t="str">
        <f ca="1">IF(CostTrack[[#This Row],[Vendor - Contract]]="","",INDEX(VendorList[Phase / Subproject],MATCH(CostTrack[[#This Row],[Vendor - Contract]],VendorList[Vendor / Org. with Contract ID],0)))</f>
        <v>--</v>
      </c>
      <c r="U257" s="1314" t="str">
        <f ca="1">IF(CostTrack[[#This Row],[Vendor - Contract]]="","",INDEX(VendorList[Phase / Subproject 2],MATCH(CostTrack[[#This Row],[Vendor - Contract]],VendorList[Vendor / Org. with Contract ID],0)))</f>
        <v>--</v>
      </c>
      <c r="V257" s="1314" t="str">
        <f ca="1">IF(CostTrack[[#This Row],[Vendor - Contract]]="","",INDEX(VendorList[Funding Source],MATCH(CostTrack[[#This Row],[Vendor - Contract]],VendorList[Vendor / Org. with Contract ID],0)))</f>
        <v>P-002360</v>
      </c>
      <c r="W257" s="1308">
        <v>44327</v>
      </c>
      <c r="X257" s="1315" t="str">
        <f ca="1">IF(CostTrack[[#This Row],[Release Date (CMS)]]="","*","")</f>
        <v/>
      </c>
      <c r="Y257" s="1308" t="s">
        <v>50</v>
      </c>
      <c r="Z257" s="683" t="s">
        <v>982</v>
      </c>
      <c r="AA257" s="1316">
        <f ca="1">IF(OR(CostTrack[[#This Row],[Release Date (CMS)]]&gt;=DATE(VALUE(REPLACE(CostTrack[[#This Row],[Fiscal Period]],3,3,"")),3,1),CostTrack[[#This Row],[Release Date (CMS)]]&lt;DATE(VALUE(LEFT(CostTrack[[#This Row],[Fiscal Period]],4)),4,1)),1,0)</f>
        <v>0</v>
      </c>
      <c r="AB257" s="1317">
        <v>960</v>
      </c>
      <c r="AC257" s="1308">
        <v>44336</v>
      </c>
      <c r="AD257" s="402" t="str">
        <f ca="1">IF(CostTrack[[#This Row],[Reconciled Amount]]="","",IF(CostTrack[[#This Row],[Value]]&lt;&gt;CostTrack[[#This Row],[Reconciled Amount]],"Yes","No"))</f>
        <v>No</v>
      </c>
    </row>
    <row r="258" spans="2:30" ht="55.9">
      <c r="B258" s="1306" t="s">
        <v>624</v>
      </c>
      <c r="C258" s="1307">
        <v>1601222</v>
      </c>
      <c r="D258" s="1308">
        <v>44323</v>
      </c>
      <c r="E258" s="658">
        <v>6900</v>
      </c>
      <c r="F258" s="1309" t="s">
        <v>69</v>
      </c>
      <c r="G258" s="1310">
        <f ca="1">ROUND(IF(CostTrack[[#This Row],[Holdback (Y/N/R)]]="Yes",CostTrack[[#This Row],[Value]]*-0.1,IF(CostTrack[[#This Row],[Holdback (Y/N/R)]]="Release",CostTrack[[#This Row],[Value]],0)),2)</f>
        <v>0</v>
      </c>
      <c r="H258" s="1311">
        <f ca="1">IF(CostTrack[[#This Row],[Holdback (Y/N/R)]]="Release",CostTrack[[#This Row],[Value]],CostTrack[[#This Row],[Value]]+CostTrack[[#This Row],[Holdback Value]])</f>
        <v>6900</v>
      </c>
      <c r="I258" s="1312"/>
      <c r="J258" s="1312"/>
      <c r="K258" s="1313">
        <v>44317</v>
      </c>
      <c r="L258" s="1308">
        <v>44323</v>
      </c>
      <c r="M258" s="1308"/>
      <c r="N258" s="1312"/>
      <c r="O258" s="1308" t="s">
        <v>106</v>
      </c>
      <c r="P258" s="1308">
        <v>44344</v>
      </c>
      <c r="Q258" s="1314" t="str">
        <f ca="1">IF(CostTrack[[#This Row],[Vendor - Contract]]="","",INDEX(VendorList[PA ID],MATCH(CostTrack[[#This Row],[Vendor - Contract]],VendorList[Vendor / Org. with Contract ID],0)))</f>
        <v>200.040.F1</v>
      </c>
      <c r="R258" s="1314" t="str">
        <f ca="1">IF(CostTrack[[#This Row],[Vendor - Contract]]="","",INDEX(VendorList[Primary Category],MATCH(CostTrack[[#This Row],[Vendor - Contract]],VendorList[Vendor / Org. with Contract ID],0)))</f>
        <v>Professional Services</v>
      </c>
      <c r="S258" s="1314" t="str">
        <f ca="1">IF(CostTrack[[#This Row],[Vendor - Contract]]="","",INDEX(VendorList[Secondary Category],MATCH(CostTrack[[#This Row],[Vendor - Contract]],VendorList[Vendor / Org. with Contract ID],0)))</f>
        <v>Commissioning</v>
      </c>
      <c r="T258" s="1314" t="str">
        <f ca="1">IF(CostTrack[[#This Row],[Vendor - Contract]]="","",INDEX(VendorList[Phase / Subproject],MATCH(CostTrack[[#This Row],[Vendor - Contract]],VendorList[Vendor / Org. with Contract ID],0)))</f>
        <v>--</v>
      </c>
      <c r="U258" s="1314" t="str">
        <f ca="1">IF(CostTrack[[#This Row],[Vendor - Contract]]="","",INDEX(VendorList[Phase / Subproject 2],MATCH(CostTrack[[#This Row],[Vendor - Contract]],VendorList[Vendor / Org. with Contract ID],0)))</f>
        <v>--</v>
      </c>
      <c r="V258" s="1314" t="str">
        <f ca="1">IF(CostTrack[[#This Row],[Vendor - Contract]]="","",INDEX(VendorList[Funding Source],MATCH(CostTrack[[#This Row],[Vendor - Contract]],VendorList[Vendor / Org. with Contract ID],0)))</f>
        <v>P-002360</v>
      </c>
      <c r="W258" s="1308">
        <v>44344</v>
      </c>
      <c r="X258" s="1315" t="str">
        <f ca="1">IF(CostTrack[[#This Row],[Release Date (CMS)]]="","*","")</f>
        <v/>
      </c>
      <c r="Y258" s="1308" t="s">
        <v>50</v>
      </c>
      <c r="Z258" s="683" t="s">
        <v>986</v>
      </c>
      <c r="AA258" s="1316">
        <f ca="1">IF(OR(CostTrack[[#This Row],[Release Date (CMS)]]&gt;=DATE(VALUE(REPLACE(CostTrack[[#This Row],[Fiscal Period]],3,3,"")),3,1),CostTrack[[#This Row],[Release Date (CMS)]]&lt;DATE(VALUE(LEFT(CostTrack[[#This Row],[Fiscal Period]],4)),4,1)),1,0)</f>
        <v>0</v>
      </c>
      <c r="AB258" s="1317">
        <v>6900</v>
      </c>
      <c r="AC258" s="1308">
        <v>44356</v>
      </c>
      <c r="AD258" s="402" t="str">
        <f ca="1">IF(CostTrack[[#This Row],[Reconciled Amount]]="","",IF(CostTrack[[#This Row],[Value]]&lt;&gt;CostTrack[[#This Row],[Reconciled Amount]],"Yes","No"))</f>
        <v>No</v>
      </c>
    </row>
    <row r="259" spans="2:30">
      <c r="B259" s="1306" t="s">
        <v>624</v>
      </c>
      <c r="C259" s="1312">
        <v>1608482</v>
      </c>
      <c r="D259" s="1308">
        <v>44349</v>
      </c>
      <c r="E259" s="658">
        <v>1100</v>
      </c>
      <c r="F259" s="1309" t="s">
        <v>69</v>
      </c>
      <c r="G259" s="1310">
        <f ca="1">ROUND(IF(CostTrack[[#This Row],[Holdback (Y/N/R)]]="Yes",CostTrack[[#This Row],[Value]]*-0.1,IF(CostTrack[[#This Row],[Holdback (Y/N/R)]]="Release",CostTrack[[#This Row],[Value]],0)),2)</f>
        <v>0</v>
      </c>
      <c r="H259" s="1311">
        <f ca="1">IF(CostTrack[[#This Row],[Holdback (Y/N/R)]]="Release",CostTrack[[#This Row],[Value]],CostTrack[[#This Row],[Value]]+CostTrack[[#This Row],[Holdback Value]])</f>
        <v>1100</v>
      </c>
      <c r="I259" s="1312"/>
      <c r="J259" s="1312"/>
      <c r="K259" s="1313">
        <v>44348</v>
      </c>
      <c r="L259" s="1308">
        <v>44349</v>
      </c>
      <c r="M259" s="1308"/>
      <c r="N259" s="1312"/>
      <c r="O259" s="1308" t="s">
        <v>106</v>
      </c>
      <c r="P259" s="1308">
        <v>44349</v>
      </c>
      <c r="Q259" s="1314" t="str">
        <f ca="1">IF(CostTrack[[#This Row],[Vendor - Contract]]="","",INDEX(VendorList[PA ID],MATCH(CostTrack[[#This Row],[Vendor - Contract]],VendorList[Vendor / Org. with Contract ID],0)))</f>
        <v>200.040.F1</v>
      </c>
      <c r="R259" s="1314" t="str">
        <f ca="1">IF(CostTrack[[#This Row],[Vendor - Contract]]="","",INDEX(VendorList[Primary Category],MATCH(CostTrack[[#This Row],[Vendor - Contract]],VendorList[Vendor / Org. with Contract ID],0)))</f>
        <v>Professional Services</v>
      </c>
      <c r="S259" s="1314" t="str">
        <f ca="1">IF(CostTrack[[#This Row],[Vendor - Contract]]="","",INDEX(VendorList[Secondary Category],MATCH(CostTrack[[#This Row],[Vendor - Contract]],VendorList[Vendor / Org. with Contract ID],0)))</f>
        <v>Commissioning</v>
      </c>
      <c r="T259" s="1314" t="str">
        <f ca="1">IF(CostTrack[[#This Row],[Vendor - Contract]]="","",INDEX(VendorList[Phase / Subproject],MATCH(CostTrack[[#This Row],[Vendor - Contract]],VendorList[Vendor / Org. with Contract ID],0)))</f>
        <v>--</v>
      </c>
      <c r="U259" s="1314" t="str">
        <f ca="1">IF(CostTrack[[#This Row],[Vendor - Contract]]="","",INDEX(VendorList[Phase / Subproject 2],MATCH(CostTrack[[#This Row],[Vendor - Contract]],VendorList[Vendor / Org. with Contract ID],0)))</f>
        <v>--</v>
      </c>
      <c r="V259" s="1314" t="str">
        <f ca="1">IF(CostTrack[[#This Row],[Vendor - Contract]]="","",INDEX(VendorList[Funding Source],MATCH(CostTrack[[#This Row],[Vendor - Contract]],VendorList[Vendor / Org. with Contract ID],0)))</f>
        <v>P-002360</v>
      </c>
      <c r="W259" s="1308">
        <v>44349</v>
      </c>
      <c r="X259" s="1315" t="str">
        <f ca="1">IF(CostTrack[[#This Row],[Release Date (CMS)]]="","*","")</f>
        <v/>
      </c>
      <c r="Y259" s="1308" t="s">
        <v>50</v>
      </c>
      <c r="Z259" s="713"/>
      <c r="AA259" s="1316">
        <f ca="1">IF(OR(CostTrack[[#This Row],[Release Date (CMS)]]&gt;=DATE(VALUE(REPLACE(CostTrack[[#This Row],[Fiscal Period]],3,3,"")),3,1),CostTrack[[#This Row],[Release Date (CMS)]]&lt;DATE(VALUE(LEFT(CostTrack[[#This Row],[Fiscal Period]],4)),4,1)),1,0)</f>
        <v>0</v>
      </c>
      <c r="AB259" s="1317">
        <v>1100</v>
      </c>
      <c r="AC259" s="1308">
        <v>44356</v>
      </c>
      <c r="AD259" s="402" t="str">
        <f ca="1">IF(CostTrack[[#This Row],[Reconciled Amount]]="","",IF(CostTrack[[#This Row],[Value]]&lt;&gt;CostTrack[[#This Row],[Reconciled Amount]],"Yes","No"))</f>
        <v>No</v>
      </c>
    </row>
    <row r="260" spans="2:30">
      <c r="B260" s="1306" t="s">
        <v>662</v>
      </c>
      <c r="C260" s="1312">
        <v>4090</v>
      </c>
      <c r="D260" s="1308">
        <v>44347</v>
      </c>
      <c r="E260" s="658">
        <v>720</v>
      </c>
      <c r="F260" s="1309" t="s">
        <v>69</v>
      </c>
      <c r="G260" s="1310">
        <f ca="1">ROUND(IF(CostTrack[[#This Row],[Holdback (Y/N/R)]]="Yes",CostTrack[[#This Row],[Value]]*-0.1,IF(CostTrack[[#This Row],[Holdback (Y/N/R)]]="Release",CostTrack[[#This Row],[Value]],0)),2)</f>
        <v>0</v>
      </c>
      <c r="H260" s="1311">
        <f ca="1">IF(CostTrack[[#This Row],[Holdback (Y/N/R)]]="Release",CostTrack[[#This Row],[Value]],CostTrack[[#This Row],[Value]]+CostTrack[[#This Row],[Holdback Value]])</f>
        <v>720</v>
      </c>
      <c r="I260" s="1312"/>
      <c r="J260" s="1312"/>
      <c r="K260" s="1313">
        <v>44348</v>
      </c>
      <c r="L260" s="1308">
        <v>44354</v>
      </c>
      <c r="M260" s="1308"/>
      <c r="N260" s="1312"/>
      <c r="O260" s="1308" t="s">
        <v>106</v>
      </c>
      <c r="P260" s="1308">
        <v>44367</v>
      </c>
      <c r="Q260" s="1314" t="str">
        <f ca="1">IF(CostTrack[[#This Row],[Vendor - Contract]]="","",INDEX(VendorList[PA ID],MATCH(CostTrack[[#This Row],[Vendor - Contract]],VendorList[Vendor / Org. with Contract ID],0)))</f>
        <v>200.050.F1</v>
      </c>
      <c r="R260" s="1314" t="str">
        <f ca="1">IF(CostTrack[[#This Row],[Vendor - Contract]]="","",INDEX(VendorList[Primary Category],MATCH(CostTrack[[#This Row],[Vendor - Contract]],VendorList[Vendor / Org. with Contract ID],0)))</f>
        <v>Professional Services</v>
      </c>
      <c r="S260" s="1314" t="str">
        <f ca="1">IF(CostTrack[[#This Row],[Vendor - Contract]]="","",INDEX(VendorList[Secondary Category],MATCH(CostTrack[[#This Row],[Vendor - Contract]],VendorList[Vendor / Org. with Contract ID],0)))</f>
        <v>Other Professional Services</v>
      </c>
      <c r="T260" s="1314" t="str">
        <f ca="1">IF(CostTrack[[#This Row],[Vendor - Contract]]="","",INDEX(VendorList[Phase / Subproject],MATCH(CostTrack[[#This Row],[Vendor - Contract]],VendorList[Vendor / Org. with Contract ID],0)))</f>
        <v>--</v>
      </c>
      <c r="U260" s="1314" t="str">
        <f ca="1">IF(CostTrack[[#This Row],[Vendor - Contract]]="","",INDEX(VendorList[Phase / Subproject 2],MATCH(CostTrack[[#This Row],[Vendor - Contract]],VendorList[Vendor / Org. with Contract ID],0)))</f>
        <v>--</v>
      </c>
      <c r="V260" s="1314" t="str">
        <f ca="1">IF(CostTrack[[#This Row],[Vendor - Contract]]="","",INDEX(VendorList[Funding Source],MATCH(CostTrack[[#This Row],[Vendor - Contract]],VendorList[Vendor / Org. with Contract ID],0)))</f>
        <v>P-002360</v>
      </c>
      <c r="W260" s="1308">
        <v>44354</v>
      </c>
      <c r="X260" s="1315" t="str">
        <f ca="1">IF(CostTrack[[#This Row],[Release Date (CMS)]]="","*","")</f>
        <v/>
      </c>
      <c r="Y260" s="1308" t="s">
        <v>50</v>
      </c>
      <c r="Z260" s="713"/>
      <c r="AA260" s="1316">
        <f ca="1">IF(OR(CostTrack[[#This Row],[Release Date (CMS)]]&gt;=DATE(VALUE(REPLACE(CostTrack[[#This Row],[Fiscal Period]],3,3,"")),3,1),CostTrack[[#This Row],[Release Date (CMS)]]&lt;DATE(VALUE(LEFT(CostTrack[[#This Row],[Fiscal Period]],4)),4,1)),1,0)</f>
        <v>0</v>
      </c>
      <c r="AB260" s="1317">
        <v>720</v>
      </c>
      <c r="AC260" s="1308">
        <v>44356</v>
      </c>
      <c r="AD260" s="402" t="str">
        <f ca="1">IF(CostTrack[[#This Row],[Reconciled Amount]]="","",IF(CostTrack[[#This Row],[Value]]&lt;&gt;CostTrack[[#This Row],[Reconciled Amount]],"Yes","No"))</f>
        <v>No</v>
      </c>
    </row>
    <row r="261" spans="2:30">
      <c r="B261" s="1306" t="s">
        <v>585</v>
      </c>
      <c r="C261" s="1312">
        <v>377</v>
      </c>
      <c r="D261" s="1308">
        <v>44354</v>
      </c>
      <c r="E261" s="658">
        <v>3200</v>
      </c>
      <c r="F261" s="1309" t="s">
        <v>69</v>
      </c>
      <c r="G261" s="1310">
        <f ca="1">ROUND(IF(CostTrack[[#This Row],[Holdback (Y/N/R)]]="Yes",CostTrack[[#This Row],[Value]]*-0.1,IF(CostTrack[[#This Row],[Holdback (Y/N/R)]]="Release",CostTrack[[#This Row],[Value]],0)),2)</f>
        <v>0</v>
      </c>
      <c r="H261" s="1311">
        <f ca="1">IF(CostTrack[[#This Row],[Holdback (Y/N/R)]]="Release",CostTrack[[#This Row],[Value]],CostTrack[[#This Row],[Value]]+CostTrack[[#This Row],[Holdback Value]])</f>
        <v>3200</v>
      </c>
      <c r="I261" s="1312"/>
      <c r="J261" s="1312"/>
      <c r="K261" s="1313">
        <v>44348</v>
      </c>
      <c r="L261" s="1308">
        <v>44355</v>
      </c>
      <c r="M261" s="1308"/>
      <c r="N261" s="1312"/>
      <c r="O261" s="1308" t="s">
        <v>106</v>
      </c>
      <c r="P261" s="1308">
        <v>44355</v>
      </c>
      <c r="Q261" s="1314" t="str">
        <f ca="1">IF(CostTrack[[#This Row],[Vendor - Contract]]="","",INDEX(VendorList[PA ID],MATCH(CostTrack[[#This Row],[Vendor - Contract]],VendorList[Vendor / Org. with Contract ID],0)))</f>
        <v>200.050.F1</v>
      </c>
      <c r="R261" s="1314" t="str">
        <f ca="1">IF(CostTrack[[#This Row],[Vendor - Contract]]="","",INDEX(VendorList[Primary Category],MATCH(CostTrack[[#This Row],[Vendor - Contract]],VendorList[Vendor / Org. with Contract ID],0)))</f>
        <v>Professional Services</v>
      </c>
      <c r="S261" s="1314" t="str">
        <f ca="1">IF(CostTrack[[#This Row],[Vendor - Contract]]="","",INDEX(VendorList[Secondary Category],MATCH(CostTrack[[#This Row],[Vendor - Contract]],VendorList[Vendor / Org. with Contract ID],0)))</f>
        <v>Other Professional Services</v>
      </c>
      <c r="T261" s="1314" t="str">
        <f ca="1">IF(CostTrack[[#This Row],[Vendor - Contract]]="","",INDEX(VendorList[Phase / Subproject],MATCH(CostTrack[[#This Row],[Vendor - Contract]],VendorList[Vendor / Org. with Contract ID],0)))</f>
        <v>--</v>
      </c>
      <c r="U261" s="1314" t="str">
        <f ca="1">IF(CostTrack[[#This Row],[Vendor - Contract]]="","",INDEX(VendorList[Phase / Subproject 2],MATCH(CostTrack[[#This Row],[Vendor - Contract]],VendorList[Vendor / Org. with Contract ID],0)))</f>
        <v>--</v>
      </c>
      <c r="V261" s="1314" t="str">
        <f ca="1">IF(CostTrack[[#This Row],[Vendor - Contract]]="","",INDEX(VendorList[Funding Source],MATCH(CostTrack[[#This Row],[Vendor - Contract]],VendorList[Vendor / Org. with Contract ID],0)))</f>
        <v>P-002360</v>
      </c>
      <c r="W261" s="1308">
        <v>44355</v>
      </c>
      <c r="X261" s="1315" t="str">
        <f ca="1">IF(CostTrack[[#This Row],[Release Date (CMS)]]="","*","")</f>
        <v/>
      </c>
      <c r="Y261" s="1308" t="s">
        <v>50</v>
      </c>
      <c r="Z261" s="713"/>
      <c r="AA261" s="1316">
        <f ca="1">IF(OR(CostTrack[[#This Row],[Release Date (CMS)]]&gt;=DATE(VALUE(REPLACE(CostTrack[[#This Row],[Fiscal Period]],3,3,"")),3,1),CostTrack[[#This Row],[Release Date (CMS)]]&lt;DATE(VALUE(LEFT(CostTrack[[#This Row],[Fiscal Period]],4)),4,1)),1,0)</f>
        <v>0</v>
      </c>
      <c r="AB261" s="1317">
        <v>3200</v>
      </c>
      <c r="AC261" s="1308">
        <v>44356</v>
      </c>
      <c r="AD261" s="402" t="str">
        <f ca="1">IF(CostTrack[[#This Row],[Reconciled Amount]]="","",IF(CostTrack[[#This Row],[Value]]&lt;&gt;CostTrack[[#This Row],[Reconciled Amount]],"Yes","No"))</f>
        <v>No</v>
      </c>
    </row>
    <row r="262" spans="2:30">
      <c r="B262" s="1306" t="s">
        <v>527</v>
      </c>
      <c r="C262" s="650" t="s">
        <v>987</v>
      </c>
      <c r="D262" s="1308">
        <v>44347</v>
      </c>
      <c r="E262" s="658">
        <v>117556.06</v>
      </c>
      <c r="F262" s="1309" t="s">
        <v>69</v>
      </c>
      <c r="G262" s="1310">
        <f ca="1">ROUND(IF(CostTrack[[#This Row],[Holdback (Y/N/R)]]="Yes",CostTrack[[#This Row],[Value]]*-0.1,IF(CostTrack[[#This Row],[Holdback (Y/N/R)]]="Release",CostTrack[[#This Row],[Value]],0)),2)</f>
        <v>0</v>
      </c>
      <c r="H262" s="1311">
        <f ca="1">IF(CostTrack[[#This Row],[Holdback (Y/N/R)]]="Release",CostTrack[[#This Row],[Value]],CostTrack[[#This Row],[Value]]+CostTrack[[#This Row],[Holdback Value]])</f>
        <v>117556.06</v>
      </c>
      <c r="I262" s="1312"/>
      <c r="J262" s="1312"/>
      <c r="K262" s="648">
        <v>44348</v>
      </c>
      <c r="L262" s="1308">
        <v>44355</v>
      </c>
      <c r="M262" s="1308"/>
      <c r="N262" s="1312"/>
      <c r="O262" s="1308" t="s">
        <v>106</v>
      </c>
      <c r="P262" s="1308">
        <v>44355</v>
      </c>
      <c r="Q262" s="1314" t="str">
        <f ca="1">IF(CostTrack[[#This Row],[Vendor - Contract]]="","",INDEX(VendorList[PA ID],MATCH(CostTrack[[#This Row],[Vendor - Contract]],VendorList[Vendor / Org. with Contract ID],0)))</f>
        <v>200.010.F1</v>
      </c>
      <c r="R262" s="1314" t="str">
        <f ca="1">IF(CostTrack[[#This Row],[Vendor - Contract]]="","",INDEX(VendorList[Primary Category],MATCH(CostTrack[[#This Row],[Vendor - Contract]],VendorList[Vendor / Org. with Contract ID],0)))</f>
        <v>Professional Services</v>
      </c>
      <c r="S262" s="1314" t="str">
        <f ca="1">IF(CostTrack[[#This Row],[Vendor - Contract]]="","",INDEX(VendorList[Secondary Category],MATCH(CostTrack[[#This Row],[Vendor - Contract]],VendorList[Vendor / Org. with Contract ID],0)))</f>
        <v>Prime Consultant</v>
      </c>
      <c r="T262" s="1314" t="str">
        <f ca="1">IF(CostTrack[[#This Row],[Vendor - Contract]]="","",INDEX(VendorList[Phase / Subproject],MATCH(CostTrack[[#This Row],[Vendor - Contract]],VendorList[Vendor / Org. with Contract ID],0)))</f>
        <v>--</v>
      </c>
      <c r="U262" s="1314" t="str">
        <f ca="1">IF(CostTrack[[#This Row],[Vendor - Contract]]="","",INDEX(VendorList[Phase / Subproject 2],MATCH(CostTrack[[#This Row],[Vendor - Contract]],VendorList[Vendor / Org. with Contract ID],0)))</f>
        <v>--</v>
      </c>
      <c r="V262" s="1314" t="str">
        <f ca="1">IF(CostTrack[[#This Row],[Vendor - Contract]]="","",INDEX(VendorList[Funding Source],MATCH(CostTrack[[#This Row],[Vendor - Contract]],VendorList[Vendor / Org. with Contract ID],0)))</f>
        <v>P-002360</v>
      </c>
      <c r="W262" s="267">
        <v>44355</v>
      </c>
      <c r="X262" s="1315" t="str">
        <f ca="1">IF(CostTrack[[#This Row],[Release Date (CMS)]]="","*","")</f>
        <v/>
      </c>
      <c r="Y262" s="1308" t="s">
        <v>50</v>
      </c>
      <c r="Z262" s="713"/>
      <c r="AA262" s="1316">
        <f ca="1">IF(OR(CostTrack[[#This Row],[Release Date (CMS)]]&gt;=DATE(VALUE(REPLACE(CostTrack[[#This Row],[Fiscal Period]],3,3,"")),3,1),CostTrack[[#This Row],[Release Date (CMS)]]&lt;DATE(VALUE(LEFT(CostTrack[[#This Row],[Fiscal Period]],4)),4,1)),1,0)</f>
        <v>0</v>
      </c>
      <c r="AB262" s="1317">
        <v>117556.06</v>
      </c>
      <c r="AC262" s="1308">
        <v>44364</v>
      </c>
      <c r="AD262" s="402" t="str">
        <f ca="1">IF(CostTrack[[#This Row],[Reconciled Amount]]="","",IF(CostTrack[[#This Row],[Value]]&lt;&gt;CostTrack[[#This Row],[Reconciled Amount]],"Yes","No"))</f>
        <v>No</v>
      </c>
    </row>
    <row r="263" spans="2:30">
      <c r="B263" s="1306" t="s">
        <v>528</v>
      </c>
      <c r="C263" s="1312">
        <v>60709295</v>
      </c>
      <c r="D263" s="1308">
        <v>44357</v>
      </c>
      <c r="E263" s="658">
        <v>2661</v>
      </c>
      <c r="F263" s="1309" t="s">
        <v>69</v>
      </c>
      <c r="G263" s="1310">
        <f ca="1">ROUND(IF(CostTrack[[#This Row],[Holdback (Y/N/R)]]="Yes",CostTrack[[#This Row],[Value]]*-0.1,IF(CostTrack[[#This Row],[Holdback (Y/N/R)]]="Release",CostTrack[[#This Row],[Value]],0)),2)</f>
        <v>0</v>
      </c>
      <c r="H263" s="1311">
        <f ca="1">IF(CostTrack[[#This Row],[Holdback (Y/N/R)]]="Release",CostTrack[[#This Row],[Value]],CostTrack[[#This Row],[Value]]+CostTrack[[#This Row],[Holdback Value]])</f>
        <v>2661</v>
      </c>
      <c r="I263" s="1312"/>
      <c r="J263" s="1312"/>
      <c r="K263" s="648">
        <v>44348</v>
      </c>
      <c r="L263" s="1308">
        <v>44361</v>
      </c>
      <c r="M263" s="1308"/>
      <c r="N263" s="1312"/>
      <c r="O263" s="1308" t="s">
        <v>106</v>
      </c>
      <c r="P263" s="1308">
        <v>44361</v>
      </c>
      <c r="Q263" s="1314" t="str">
        <f ca="1">IF(CostTrack[[#This Row],[Vendor - Contract]]="","",INDEX(VendorList[PA ID],MATCH(CostTrack[[#This Row],[Vendor - Contract]],VendorList[Vendor / Org. with Contract ID],0)))</f>
        <v>200.050.F1</v>
      </c>
      <c r="R263" s="1314" t="str">
        <f ca="1">IF(CostTrack[[#This Row],[Vendor - Contract]]="","",INDEX(VendorList[Primary Category],MATCH(CostTrack[[#This Row],[Vendor - Contract]],VendorList[Vendor / Org. with Contract ID],0)))</f>
        <v>Professional Services</v>
      </c>
      <c r="S263" s="1314" t="str">
        <f ca="1">IF(CostTrack[[#This Row],[Vendor - Contract]]="","",INDEX(VendorList[Secondary Category],MATCH(CostTrack[[#This Row],[Vendor - Contract]],VendorList[Vendor / Org. with Contract ID],0)))</f>
        <v>Other Professional Services</v>
      </c>
      <c r="T263" s="1314" t="str">
        <f ca="1">IF(CostTrack[[#This Row],[Vendor - Contract]]="","",INDEX(VendorList[Phase / Subproject],MATCH(CostTrack[[#This Row],[Vendor - Contract]],VendorList[Vendor / Org. with Contract ID],0)))</f>
        <v>--</v>
      </c>
      <c r="U263" s="1314" t="str">
        <f ca="1">IF(CostTrack[[#This Row],[Vendor - Contract]]="","",INDEX(VendorList[Phase / Subproject 2],MATCH(CostTrack[[#This Row],[Vendor - Contract]],VendorList[Vendor / Org. with Contract ID],0)))</f>
        <v>--</v>
      </c>
      <c r="V263" s="1314" t="str">
        <f ca="1">IF(CostTrack[[#This Row],[Vendor - Contract]]="","",INDEX(VendorList[Funding Source],MATCH(CostTrack[[#This Row],[Vendor - Contract]],VendorList[Vendor / Org. with Contract ID],0)))</f>
        <v>P-002360</v>
      </c>
      <c r="W263" s="1308">
        <v>44361</v>
      </c>
      <c r="X263" s="1315" t="str">
        <f ca="1">IF(CostTrack[[#This Row],[Release Date (CMS)]]="","*","")</f>
        <v/>
      </c>
      <c r="Y263" s="1308" t="s">
        <v>50</v>
      </c>
      <c r="Z263" s="713"/>
      <c r="AA263" s="1316">
        <f ca="1">IF(OR(CostTrack[[#This Row],[Release Date (CMS)]]&gt;=DATE(VALUE(REPLACE(CostTrack[[#This Row],[Fiscal Period]],3,3,"")),3,1),CostTrack[[#This Row],[Release Date (CMS)]]&lt;DATE(VALUE(LEFT(CostTrack[[#This Row],[Fiscal Period]],4)),4,1)),1,0)</f>
        <v>0</v>
      </c>
      <c r="AB263" s="1317">
        <v>2661</v>
      </c>
      <c r="AC263" s="1308">
        <v>44364</v>
      </c>
      <c r="AD263" s="402" t="str">
        <f ca="1">IF(CostTrack[[#This Row],[Reconciled Amount]]="","",IF(CostTrack[[#This Row],[Value]]&lt;&gt;CostTrack[[#This Row],[Reconciled Amount]],"Yes","No"))</f>
        <v>No</v>
      </c>
    </row>
    <row r="264" spans="2:30">
      <c r="B264" s="1306" t="s">
        <v>655</v>
      </c>
      <c r="C264" s="1312">
        <v>2743</v>
      </c>
      <c r="D264" s="1308">
        <v>44358</v>
      </c>
      <c r="E264" s="658">
        <v>1322</v>
      </c>
      <c r="F264" s="1309" t="s">
        <v>69</v>
      </c>
      <c r="G264" s="1310">
        <f ca="1">ROUND(IF(CostTrack[[#This Row],[Holdback (Y/N/R)]]="Yes",CostTrack[[#This Row],[Value]]*-0.1,IF(CostTrack[[#This Row],[Holdback (Y/N/R)]]="Release",CostTrack[[#This Row],[Value]],0)),2)</f>
        <v>0</v>
      </c>
      <c r="H264" s="1311">
        <f ca="1">IF(CostTrack[[#This Row],[Holdback (Y/N/R)]]="Release",CostTrack[[#This Row],[Value]],CostTrack[[#This Row],[Value]]+CostTrack[[#This Row],[Holdback Value]])</f>
        <v>1322</v>
      </c>
      <c r="I264" s="1312"/>
      <c r="J264" s="1312"/>
      <c r="K264" s="648">
        <v>44317</v>
      </c>
      <c r="L264" s="1308">
        <v>44361</v>
      </c>
      <c r="M264" s="1308"/>
      <c r="N264" s="1312"/>
      <c r="O264" s="1308" t="s">
        <v>106</v>
      </c>
      <c r="P264" s="1308">
        <v>44361</v>
      </c>
      <c r="Q264" s="1314" t="str">
        <f ca="1">IF(CostTrack[[#This Row],[Vendor - Contract]]="","",INDEX(VendorList[PA ID],MATCH(CostTrack[[#This Row],[Vendor - Contract]],VendorList[Vendor / Org. with Contract ID],0)))</f>
        <v>200.050.F1</v>
      </c>
      <c r="R264" s="1314" t="str">
        <f ca="1">IF(CostTrack[[#This Row],[Vendor - Contract]]="","",INDEX(VendorList[Primary Category],MATCH(CostTrack[[#This Row],[Vendor - Contract]],VendorList[Vendor / Org. with Contract ID],0)))</f>
        <v>Professional Services</v>
      </c>
      <c r="S264" s="1314" t="str">
        <f ca="1">IF(CostTrack[[#This Row],[Vendor - Contract]]="","",INDEX(VendorList[Secondary Category],MATCH(CostTrack[[#This Row],[Vendor - Contract]],VendorList[Vendor / Org. with Contract ID],0)))</f>
        <v>Other Professional Services</v>
      </c>
      <c r="T264" s="1314" t="str">
        <f ca="1">IF(CostTrack[[#This Row],[Vendor - Contract]]="","",INDEX(VendorList[Phase / Subproject],MATCH(CostTrack[[#This Row],[Vendor - Contract]],VendorList[Vendor / Org. with Contract ID],0)))</f>
        <v>--</v>
      </c>
      <c r="U264" s="1314" t="str">
        <f ca="1">IF(CostTrack[[#This Row],[Vendor - Contract]]="","",INDEX(VendorList[Phase / Subproject 2],MATCH(CostTrack[[#This Row],[Vendor - Contract]],VendorList[Vendor / Org. with Contract ID],0)))</f>
        <v>--</v>
      </c>
      <c r="V264" s="1314" t="str">
        <f ca="1">IF(CostTrack[[#This Row],[Vendor - Contract]]="","",INDEX(VendorList[Funding Source],MATCH(CostTrack[[#This Row],[Vendor - Contract]],VendorList[Vendor / Org. with Contract ID],0)))</f>
        <v>P-002360</v>
      </c>
      <c r="W264" s="1308">
        <v>44361</v>
      </c>
      <c r="X264" s="1315" t="str">
        <f ca="1">IF(CostTrack[[#This Row],[Release Date (CMS)]]="","*","")</f>
        <v/>
      </c>
      <c r="Y264" s="1308" t="s">
        <v>50</v>
      </c>
      <c r="Z264" s="713"/>
      <c r="AA264" s="1316">
        <f ca="1">IF(OR(CostTrack[[#This Row],[Release Date (CMS)]]&gt;=DATE(VALUE(REPLACE(CostTrack[[#This Row],[Fiscal Period]],3,3,"")),3,1),CostTrack[[#This Row],[Release Date (CMS)]]&lt;DATE(VALUE(LEFT(CostTrack[[#This Row],[Fiscal Period]],4)),4,1)),1,0)</f>
        <v>0</v>
      </c>
      <c r="AB264" s="1317">
        <v>1322</v>
      </c>
      <c r="AC264" s="1308">
        <v>44364</v>
      </c>
      <c r="AD264" s="402" t="str">
        <f ca="1">IF(CostTrack[[#This Row],[Reconciled Amount]]="","",IF(CostTrack[[#This Row],[Value]]&lt;&gt;CostTrack[[#This Row],[Reconciled Amount]],"Yes","No"))</f>
        <v>No</v>
      </c>
    </row>
    <row r="265" spans="2:30">
      <c r="B265" s="1306" t="s">
        <v>529</v>
      </c>
      <c r="C265" s="1312">
        <v>25659</v>
      </c>
      <c r="D265" s="1308">
        <v>44347</v>
      </c>
      <c r="E265" s="658">
        <v>2226369.09</v>
      </c>
      <c r="F265" s="1309" t="s">
        <v>65</v>
      </c>
      <c r="G265" s="1310">
        <f ca="1">ROUND(IF(CostTrack[[#This Row],[Holdback (Y/N/R)]]="Yes",CostTrack[[#This Row],[Value]]*-0.1,IF(CostTrack[[#This Row],[Holdback (Y/N/R)]]="Release",CostTrack[[#This Row],[Value]],0)),2)</f>
        <v>-222636.91</v>
      </c>
      <c r="H265" s="1311">
        <f ca="1">IF(CostTrack[[#This Row],[Holdback (Y/N/R)]]="Release",CostTrack[[#This Row],[Value]],CostTrack[[#This Row],[Value]]+CostTrack[[#This Row],[Holdback Value]])</f>
        <v>2003732.18</v>
      </c>
      <c r="I265" s="1312">
        <v>10</v>
      </c>
      <c r="J265" s="1312"/>
      <c r="K265" s="1313">
        <v>44348</v>
      </c>
      <c r="L265" s="1308">
        <v>44365</v>
      </c>
      <c r="M265" s="1308"/>
      <c r="N265" s="1312"/>
      <c r="O265" s="1308" t="s">
        <v>106</v>
      </c>
      <c r="P265" s="1308">
        <v>44365</v>
      </c>
      <c r="Q265" s="1314" t="str">
        <f ca="1">IF(CostTrack[[#This Row],[Vendor - Contract]]="","",INDEX(VendorList[PA ID],MATCH(CostTrack[[#This Row],[Vendor - Contract]],VendorList[Vendor / Org. with Contract ID],0)))</f>
        <v>300.030.F1</v>
      </c>
      <c r="R265" s="1314" t="str">
        <f ca="1">IF(CostTrack[[#This Row],[Vendor - Contract]]="","",INDEX(VendorList[Primary Category],MATCH(CostTrack[[#This Row],[Vendor - Contract]],VendorList[Vendor / Org. with Contract ID],0)))</f>
        <v>Construction</v>
      </c>
      <c r="S265" s="1314" t="str">
        <f ca="1">IF(CostTrack[[#This Row],[Vendor - Contract]]="","",INDEX(VendorList[Secondary Category],MATCH(CostTrack[[#This Row],[Vendor - Contract]],VendorList[Vendor / Org. with Contract ID],0)))</f>
        <v>Prime Contractor</v>
      </c>
      <c r="T265" s="1314" t="str">
        <f ca="1">IF(CostTrack[[#This Row],[Vendor - Contract]]="","",INDEX(VendorList[Phase / Subproject],MATCH(CostTrack[[#This Row],[Vendor - Contract]],VendorList[Vendor / Org. with Contract ID],0)))</f>
        <v>--</v>
      </c>
      <c r="U265" s="1314" t="str">
        <f ca="1">IF(CostTrack[[#This Row],[Vendor - Contract]]="","",INDEX(VendorList[Phase / Subproject 2],MATCH(CostTrack[[#This Row],[Vendor - Contract]],VendorList[Vendor / Org. with Contract ID],0)))</f>
        <v>--</v>
      </c>
      <c r="V265" s="1314" t="str">
        <f ca="1">IF(CostTrack[[#This Row],[Vendor - Contract]]="","",INDEX(VendorList[Funding Source],MATCH(CostTrack[[#This Row],[Vendor - Contract]],VendorList[Vendor / Org. with Contract ID],0)))</f>
        <v>P-002360</v>
      </c>
      <c r="W265" s="1308">
        <v>44365</v>
      </c>
      <c r="X265" s="1315" t="str">
        <f ca="1">IF(CostTrack[[#This Row],[Release Date (CMS)]]="","*","")</f>
        <v/>
      </c>
      <c r="Y265" s="1308" t="s">
        <v>50</v>
      </c>
      <c r="Z265" s="713"/>
      <c r="AA265" s="1316">
        <f ca="1">IF(OR(CostTrack[[#This Row],[Release Date (CMS)]]&gt;=DATE(VALUE(REPLACE(CostTrack[[#This Row],[Fiscal Period]],3,3,"")),3,1),CostTrack[[#This Row],[Release Date (CMS)]]&lt;DATE(VALUE(LEFT(CostTrack[[#This Row],[Fiscal Period]],4)),4,1)),1,0)</f>
        <v>0</v>
      </c>
      <c r="AB265" s="1317">
        <v>2226369.09</v>
      </c>
      <c r="AC265" s="1308">
        <v>44370</v>
      </c>
      <c r="AD265" s="402" t="str">
        <f ca="1">IF(CostTrack[[#This Row],[Reconciled Amount]]="","",IF(CostTrack[[#This Row],[Value]]&lt;&gt;CostTrack[[#This Row],[Reconciled Amount]],"Yes","No"))</f>
        <v>No</v>
      </c>
    </row>
    <row r="266" spans="2:30" ht="42">
      <c r="B266" s="1306" t="s">
        <v>736</v>
      </c>
      <c r="C266" s="650" t="s">
        <v>988</v>
      </c>
      <c r="D266" s="1308">
        <v>44377</v>
      </c>
      <c r="E266" s="505">
        <v>39290.89</v>
      </c>
      <c r="F266" s="1309" t="s">
        <v>69</v>
      </c>
      <c r="G266" s="1310">
        <f ca="1">ROUND(IF(CostTrack[[#This Row],[Holdback (Y/N/R)]]="Yes",CostTrack[[#This Row],[Value]]*-0.1,IF(CostTrack[[#This Row],[Holdback (Y/N/R)]]="Release",CostTrack[[#This Row],[Value]],0)),2)</f>
        <v>0</v>
      </c>
      <c r="H266" s="1311">
        <v>39290.89</v>
      </c>
      <c r="I266" s="1312"/>
      <c r="J266" s="1312"/>
      <c r="K266" s="1313">
        <v>44348</v>
      </c>
      <c r="L266" s="1308">
        <v>44382</v>
      </c>
      <c r="M266" s="1308"/>
      <c r="N266" s="1312"/>
      <c r="O266" s="1308" t="s">
        <v>106</v>
      </c>
      <c r="P266" s="1308">
        <v>44370</v>
      </c>
      <c r="Q266" s="1314" t="str">
        <f ca="1">IF(CostTrack[[#This Row],[Vendor - Contract]]="","",INDEX(VendorList[PA ID],MATCH(CostTrack[[#This Row],[Vendor - Contract]],VendorList[Vendor / Org. with Contract ID],0)))</f>
        <v>100.010.F1</v>
      </c>
      <c r="R266" s="1314" t="str">
        <f ca="1">IF(CostTrack[[#This Row],[Vendor - Contract]]="","",INDEX(VendorList[Primary Category],MATCH(CostTrack[[#This Row],[Vendor - Contract]],VendorList[Vendor / Org. with Contract ID],0)))</f>
        <v>Administration</v>
      </c>
      <c r="S266" s="1314" t="str">
        <f ca="1">IF(CostTrack[[#This Row],[Vendor - Contract]]="","",INDEX(VendorList[Secondary Category],MATCH(CostTrack[[#This Row],[Vendor - Contract]],VendorList[Vendor / Org. with Contract ID],0)))</f>
        <v>Staff Capitalization - INFRA</v>
      </c>
      <c r="T266" s="1314" t="str">
        <f ca="1">IF(CostTrack[[#This Row],[Vendor - Contract]]="","",INDEX(VendorList[Phase / Subproject],MATCH(CostTrack[[#This Row],[Vendor - Contract]],VendorList[Vendor / Org. with Contract ID],0)))</f>
        <v>--</v>
      </c>
      <c r="U266" s="1314" t="str">
        <f ca="1">IF(CostTrack[[#This Row],[Vendor - Contract]]="","",INDEX(VendorList[Phase / Subproject 2],MATCH(CostTrack[[#This Row],[Vendor - Contract]],VendorList[Vendor / Org. with Contract ID],0)))</f>
        <v>--</v>
      </c>
      <c r="V266" s="1314" t="str">
        <f ca="1">IF(CostTrack[[#This Row],[Vendor - Contract]]="","",INDEX(VendorList[Funding Source],MATCH(CostTrack[[#This Row],[Vendor - Contract]],VendorList[Vendor / Org. with Contract ID],0)))</f>
        <v>P-002360</v>
      </c>
      <c r="W266" s="267">
        <v>44370</v>
      </c>
      <c r="X266" s="1315" t="str">
        <f ca="1">IF(CostTrack[[#This Row],[Release Date (CMS)]]="","*","")</f>
        <v/>
      </c>
      <c r="Y266" s="1308" t="s">
        <v>50</v>
      </c>
      <c r="Z266" s="652" t="s">
        <v>989</v>
      </c>
      <c r="AA266" s="1316">
        <f ca="1">IF(OR(CostTrack[[#This Row],[Release Date (CMS)]]&gt;=DATE(VALUE(REPLACE(CostTrack[[#This Row],[Fiscal Period]],3,3,"")),3,1),CostTrack[[#This Row],[Release Date (CMS)]]&lt;DATE(VALUE(LEFT(CostTrack[[#This Row],[Fiscal Period]],4)),4,1)),1,0)</f>
        <v>0</v>
      </c>
      <c r="AB266" s="1317">
        <v>39290.89</v>
      </c>
      <c r="AC266" s="1308">
        <v>44400</v>
      </c>
      <c r="AD266" s="402" t="str">
        <f ca="1">IF(CostTrack[[#This Row],[Reconciled Amount]]="","",IF(CostTrack[[#This Row],[Value]]&lt;&gt;CostTrack[[#This Row],[Reconciled Amount]],"Yes","No"))</f>
        <v>No</v>
      </c>
    </row>
    <row r="267" spans="2:30" ht="27.95">
      <c r="B267" s="1306" t="s">
        <v>624</v>
      </c>
      <c r="C267" s="1312">
        <v>1618124</v>
      </c>
      <c r="D267" s="1308">
        <v>44382</v>
      </c>
      <c r="E267" s="658">
        <v>2850</v>
      </c>
      <c r="F267" s="1309" t="s">
        <v>69</v>
      </c>
      <c r="G267" s="1310">
        <f ca="1">ROUND(IF(CostTrack[[#This Row],[Holdback (Y/N/R)]]="Yes",CostTrack[[#This Row],[Value]]*-0.1,IF(CostTrack[[#This Row],[Holdback (Y/N/R)]]="Release",CostTrack[[#This Row],[Value]],0)),2)</f>
        <v>0</v>
      </c>
      <c r="H267" s="1311">
        <f ca="1">IF(CostTrack[[#This Row],[Holdback (Y/N/R)]]="Release",CostTrack[[#This Row],[Value]],CostTrack[[#This Row],[Value]]+CostTrack[[#This Row],[Holdback Value]])</f>
        <v>2850</v>
      </c>
      <c r="I267" s="1312"/>
      <c r="J267" s="1312"/>
      <c r="K267" s="1313">
        <v>44378</v>
      </c>
      <c r="L267" s="1308">
        <v>44383</v>
      </c>
      <c r="M267" s="1308"/>
      <c r="N267" s="1312"/>
      <c r="O267" s="1308" t="s">
        <v>106</v>
      </c>
      <c r="P267" s="1308">
        <v>44384</v>
      </c>
      <c r="Q267" s="1314" t="str">
        <f ca="1">IF(CostTrack[[#This Row],[Vendor - Contract]]="","",INDEX(VendorList[PA ID],MATCH(CostTrack[[#This Row],[Vendor - Contract]],VendorList[Vendor / Org. with Contract ID],0)))</f>
        <v>200.040.F1</v>
      </c>
      <c r="R267" s="1314" t="str">
        <f ca="1">IF(CostTrack[[#This Row],[Vendor - Contract]]="","",INDEX(VendorList[Primary Category],MATCH(CostTrack[[#This Row],[Vendor - Contract]],VendorList[Vendor / Org. with Contract ID],0)))</f>
        <v>Professional Services</v>
      </c>
      <c r="S267" s="1314" t="str">
        <f ca="1">IF(CostTrack[[#This Row],[Vendor - Contract]]="","",INDEX(VendorList[Secondary Category],MATCH(CostTrack[[#This Row],[Vendor - Contract]],VendorList[Vendor / Org. with Contract ID],0)))</f>
        <v>Commissioning</v>
      </c>
      <c r="T267" s="1314" t="str">
        <f ca="1">IF(CostTrack[[#This Row],[Vendor - Contract]]="","",INDEX(VendorList[Phase / Subproject],MATCH(CostTrack[[#This Row],[Vendor - Contract]],VendorList[Vendor / Org. with Contract ID],0)))</f>
        <v>--</v>
      </c>
      <c r="U267" s="1314" t="str">
        <f ca="1">IF(CostTrack[[#This Row],[Vendor - Contract]]="","",INDEX(VendorList[Phase / Subproject 2],MATCH(CostTrack[[#This Row],[Vendor - Contract]],VendorList[Vendor / Org. with Contract ID],0)))</f>
        <v>--</v>
      </c>
      <c r="V267" s="1314" t="str">
        <f ca="1">IF(CostTrack[[#This Row],[Vendor - Contract]]="","",INDEX(VendorList[Funding Source],MATCH(CostTrack[[#This Row],[Vendor - Contract]],VendorList[Vendor / Org. with Contract ID],0)))</f>
        <v>P-002360</v>
      </c>
      <c r="W267" s="1308">
        <v>44384</v>
      </c>
      <c r="X267" s="1315" t="str">
        <f ca="1">IF(CostTrack[[#This Row],[Release Date (CMS)]]="","*","")</f>
        <v/>
      </c>
      <c r="Y267" s="1308" t="s">
        <v>50</v>
      </c>
      <c r="Z267" s="652" t="s">
        <v>990</v>
      </c>
      <c r="AA267" s="1316">
        <f ca="1">IF(OR(CostTrack[[#This Row],[Release Date (CMS)]]&gt;=DATE(VALUE(REPLACE(CostTrack[[#This Row],[Fiscal Period]],3,3,"")),3,1),CostTrack[[#This Row],[Release Date (CMS)]]&lt;DATE(VALUE(LEFT(CostTrack[[#This Row],[Fiscal Period]],4)),4,1)),1,0)</f>
        <v>0</v>
      </c>
      <c r="AB267" s="1317">
        <v>2850</v>
      </c>
      <c r="AC267" s="1308">
        <v>44400</v>
      </c>
      <c r="AD267" s="402" t="str">
        <f ca="1">IF(CostTrack[[#This Row],[Reconciled Amount]]="","",IF(CostTrack[[#This Row],[Value]]&lt;&gt;CostTrack[[#This Row],[Reconciled Amount]],"Yes","No"))</f>
        <v>No</v>
      </c>
    </row>
    <row r="268" spans="2:30">
      <c r="B268" s="1306" t="s">
        <v>527</v>
      </c>
      <c r="C268" s="650" t="s">
        <v>991</v>
      </c>
      <c r="D268" s="1321">
        <v>44377</v>
      </c>
      <c r="E268" s="1317">
        <v>114758.04</v>
      </c>
      <c r="F268" s="1309" t="s">
        <v>69</v>
      </c>
      <c r="G268" s="1310">
        <f ca="1">ROUND(IF(CostTrack[[#This Row],[Holdback (Y/N/R)]]="Yes",CostTrack[[#This Row],[Value]]*-0.1,IF(CostTrack[[#This Row],[Holdback (Y/N/R)]]="Release",CostTrack[[#This Row],[Value]],0)),2)</f>
        <v>0</v>
      </c>
      <c r="H268" s="1311">
        <f ca="1">IF(CostTrack[[#This Row],[Holdback (Y/N/R)]]="Release",CostTrack[[#This Row],[Value]],CostTrack[[#This Row],[Value]]+CostTrack[[#This Row],[Holdback Value]])</f>
        <v>114758.04</v>
      </c>
      <c r="I268" s="1312"/>
      <c r="J268" s="1312"/>
      <c r="K268" s="1313">
        <v>44378</v>
      </c>
      <c r="L268" s="1308">
        <v>44386</v>
      </c>
      <c r="M268" s="1308"/>
      <c r="N268" s="1312"/>
      <c r="O268" s="1308" t="s">
        <v>106</v>
      </c>
      <c r="P268" s="1308">
        <v>44386</v>
      </c>
      <c r="Q268" s="1314" t="str">
        <f ca="1">IF(CostTrack[[#This Row],[Vendor - Contract]]="","",INDEX(VendorList[PA ID],MATCH(CostTrack[[#This Row],[Vendor - Contract]],VendorList[Vendor / Org. with Contract ID],0)))</f>
        <v>200.010.F1</v>
      </c>
      <c r="R268" s="1314" t="str">
        <f ca="1">IF(CostTrack[[#This Row],[Vendor - Contract]]="","",INDEX(VendorList[Primary Category],MATCH(CostTrack[[#This Row],[Vendor - Contract]],VendorList[Vendor / Org. with Contract ID],0)))</f>
        <v>Professional Services</v>
      </c>
      <c r="S268" s="1314" t="str">
        <f ca="1">IF(CostTrack[[#This Row],[Vendor - Contract]]="","",INDEX(VendorList[Secondary Category],MATCH(CostTrack[[#This Row],[Vendor - Contract]],VendorList[Vendor / Org. with Contract ID],0)))</f>
        <v>Prime Consultant</v>
      </c>
      <c r="T268" s="1314" t="str">
        <f ca="1">IF(CostTrack[[#This Row],[Vendor - Contract]]="","",INDEX(VendorList[Phase / Subproject],MATCH(CostTrack[[#This Row],[Vendor - Contract]],VendorList[Vendor / Org. with Contract ID],0)))</f>
        <v>--</v>
      </c>
      <c r="U268" s="1314" t="str">
        <f ca="1">IF(CostTrack[[#This Row],[Vendor - Contract]]="","",INDEX(VendorList[Phase / Subproject 2],MATCH(CostTrack[[#This Row],[Vendor - Contract]],VendorList[Vendor / Org. with Contract ID],0)))</f>
        <v>--</v>
      </c>
      <c r="V268" s="1314" t="str">
        <f ca="1">IF(CostTrack[[#This Row],[Vendor - Contract]]="","",INDEX(VendorList[Funding Source],MATCH(CostTrack[[#This Row],[Vendor - Contract]],VendorList[Vendor / Org. with Contract ID],0)))</f>
        <v>P-002360</v>
      </c>
      <c r="W268" s="1308">
        <v>44386</v>
      </c>
      <c r="X268" s="1315" t="str">
        <f ca="1">IF(CostTrack[[#This Row],[Release Date (CMS)]]="","*","")</f>
        <v/>
      </c>
      <c r="Y268" s="1308" t="s">
        <v>50</v>
      </c>
      <c r="Z268" s="713"/>
      <c r="AA268" s="1316">
        <f ca="1">IF(OR(CostTrack[[#This Row],[Release Date (CMS)]]&gt;=DATE(VALUE(REPLACE(CostTrack[[#This Row],[Fiscal Period]],3,3,"")),3,1),CostTrack[[#This Row],[Release Date (CMS)]]&lt;DATE(VALUE(LEFT(CostTrack[[#This Row],[Fiscal Period]],4)),4,1)),1,0)</f>
        <v>0</v>
      </c>
      <c r="AB268" s="1317">
        <v>114758.04</v>
      </c>
      <c r="AC268" s="1308">
        <v>44400</v>
      </c>
      <c r="AD268" s="402" t="str">
        <f ca="1">IF(CostTrack[[#This Row],[Reconciled Amount]]="","",IF(CostTrack[[#This Row],[Value]]&lt;&gt;CostTrack[[#This Row],[Reconciled Amount]],"Yes","No"))</f>
        <v>No</v>
      </c>
    </row>
    <row r="269" spans="2:30">
      <c r="B269" s="1306" t="s">
        <v>528</v>
      </c>
      <c r="C269" s="1312">
        <v>60714172</v>
      </c>
      <c r="D269" s="1321">
        <v>44392</v>
      </c>
      <c r="E269" s="1317">
        <v>5448.5</v>
      </c>
      <c r="F269" s="1309" t="s">
        <v>69</v>
      </c>
      <c r="G269" s="1310">
        <f ca="1">ROUND(IF(CostTrack[[#This Row],[Holdback (Y/N/R)]]="Yes",CostTrack[[#This Row],[Value]]*-0.1,IF(CostTrack[[#This Row],[Holdback (Y/N/R)]]="Release",CostTrack[[#This Row],[Value]],0)),2)</f>
        <v>0</v>
      </c>
      <c r="H269" s="1311">
        <f ca="1">IF(CostTrack[[#This Row],[Holdback (Y/N/R)]]="Release",CostTrack[[#This Row],[Value]],CostTrack[[#This Row],[Value]]+CostTrack[[#This Row],[Holdback Value]])</f>
        <v>5448.5</v>
      </c>
      <c r="I269" s="1312"/>
      <c r="J269" s="1312"/>
      <c r="K269" s="1313">
        <v>44378</v>
      </c>
      <c r="L269" s="1308">
        <v>44393</v>
      </c>
      <c r="M269" s="1308"/>
      <c r="N269" s="1312"/>
      <c r="O269" s="1308" t="s">
        <v>106</v>
      </c>
      <c r="P269" s="1308">
        <v>44393</v>
      </c>
      <c r="Q269" s="1314" t="str">
        <f ca="1">IF(CostTrack[[#This Row],[Vendor - Contract]]="","",INDEX(VendorList[PA ID],MATCH(CostTrack[[#This Row],[Vendor - Contract]],VendorList[Vendor / Org. with Contract ID],0)))</f>
        <v>200.050.F1</v>
      </c>
      <c r="R269" s="1314" t="str">
        <f ca="1">IF(CostTrack[[#This Row],[Vendor - Contract]]="","",INDEX(VendorList[Primary Category],MATCH(CostTrack[[#This Row],[Vendor - Contract]],VendorList[Vendor / Org. with Contract ID],0)))</f>
        <v>Professional Services</v>
      </c>
      <c r="S269" s="1314" t="str">
        <f ca="1">IF(CostTrack[[#This Row],[Vendor - Contract]]="","",INDEX(VendorList[Secondary Category],MATCH(CostTrack[[#This Row],[Vendor - Contract]],VendorList[Vendor / Org. with Contract ID],0)))</f>
        <v>Other Professional Services</v>
      </c>
      <c r="T269" s="1314" t="str">
        <f ca="1">IF(CostTrack[[#This Row],[Vendor - Contract]]="","",INDEX(VendorList[Phase / Subproject],MATCH(CostTrack[[#This Row],[Vendor - Contract]],VendorList[Vendor / Org. with Contract ID],0)))</f>
        <v>--</v>
      </c>
      <c r="U269" s="1314" t="str">
        <f ca="1">IF(CostTrack[[#This Row],[Vendor - Contract]]="","",INDEX(VendorList[Phase / Subproject 2],MATCH(CostTrack[[#This Row],[Vendor - Contract]],VendorList[Vendor / Org. with Contract ID],0)))</f>
        <v>--</v>
      </c>
      <c r="V269" s="1314" t="str">
        <f ca="1">IF(CostTrack[[#This Row],[Vendor - Contract]]="","",INDEX(VendorList[Funding Source],MATCH(CostTrack[[#This Row],[Vendor - Contract]],VendorList[Vendor / Org. with Contract ID],0)))</f>
        <v>P-002360</v>
      </c>
      <c r="W269" s="1308">
        <v>44393</v>
      </c>
      <c r="X269" s="1315" t="str">
        <f ca="1">IF(CostTrack[[#This Row],[Release Date (CMS)]]="","*","")</f>
        <v/>
      </c>
      <c r="Y269" s="1308" t="s">
        <v>50</v>
      </c>
      <c r="Z269" s="713"/>
      <c r="AA269" s="1316">
        <f ca="1">IF(OR(CostTrack[[#This Row],[Release Date (CMS)]]&gt;=DATE(VALUE(REPLACE(CostTrack[[#This Row],[Fiscal Period]],3,3,"")),3,1),CostTrack[[#This Row],[Release Date (CMS)]]&lt;DATE(VALUE(LEFT(CostTrack[[#This Row],[Fiscal Period]],4)),4,1)),1,0)</f>
        <v>0</v>
      </c>
      <c r="AB269" s="1317">
        <v>5448.5</v>
      </c>
      <c r="AC269" s="1308">
        <v>44400</v>
      </c>
      <c r="AD269" s="402" t="str">
        <f ca="1">IF(CostTrack[[#This Row],[Reconciled Amount]]="","",IF(CostTrack[[#This Row],[Value]]&lt;&gt;CostTrack[[#This Row],[Reconciled Amount]],"Yes","No"))</f>
        <v>No</v>
      </c>
    </row>
    <row r="270" spans="2:30">
      <c r="B270" s="1306" t="s">
        <v>529</v>
      </c>
      <c r="C270" s="650" t="s">
        <v>992</v>
      </c>
      <c r="D270" s="1321">
        <v>44377</v>
      </c>
      <c r="E270" s="1317">
        <v>1937025.36</v>
      </c>
      <c r="F270" s="1309" t="s">
        <v>65</v>
      </c>
      <c r="G270" s="1310">
        <f ca="1">ROUND(IF(CostTrack[[#This Row],[Holdback (Y/N/R)]]="Yes",CostTrack[[#This Row],[Value]]*-0.1,IF(CostTrack[[#This Row],[Holdback (Y/N/R)]]="Release",CostTrack[[#This Row],[Value]],0)),2)</f>
        <v>-193702.54</v>
      </c>
      <c r="H270" s="1311">
        <f ca="1">IF(CostTrack[[#This Row],[Holdback (Y/N/R)]]="Release",CostTrack[[#This Row],[Value]],CostTrack[[#This Row],[Value]]+CostTrack[[#This Row],[Holdback Value]])</f>
        <v>1743322.82</v>
      </c>
      <c r="I270" s="1312">
        <v>11</v>
      </c>
      <c r="J270" s="1312"/>
      <c r="K270" s="1313">
        <v>44378</v>
      </c>
      <c r="L270" s="1308">
        <v>44396</v>
      </c>
      <c r="M270" s="1308"/>
      <c r="N270" s="1312"/>
      <c r="O270" s="1308" t="s">
        <v>106</v>
      </c>
      <c r="P270" s="1308">
        <v>44396</v>
      </c>
      <c r="Q270" s="1314" t="str">
        <f ca="1">IF(CostTrack[[#This Row],[Vendor - Contract]]="","",INDEX(VendorList[PA ID],MATCH(CostTrack[[#This Row],[Vendor - Contract]],VendorList[Vendor / Org. with Contract ID],0)))</f>
        <v>300.030.F1</v>
      </c>
      <c r="R270" s="1314" t="str">
        <f ca="1">IF(CostTrack[[#This Row],[Vendor - Contract]]="","",INDEX(VendorList[Primary Category],MATCH(CostTrack[[#This Row],[Vendor - Contract]],VendorList[Vendor / Org. with Contract ID],0)))</f>
        <v>Construction</v>
      </c>
      <c r="S270" s="1314" t="str">
        <f ca="1">IF(CostTrack[[#This Row],[Vendor - Contract]]="","",INDEX(VendorList[Secondary Category],MATCH(CostTrack[[#This Row],[Vendor - Contract]],VendorList[Vendor / Org. with Contract ID],0)))</f>
        <v>Prime Contractor</v>
      </c>
      <c r="T270" s="1314" t="str">
        <f ca="1">IF(CostTrack[[#This Row],[Vendor - Contract]]="","",INDEX(VendorList[Phase / Subproject],MATCH(CostTrack[[#This Row],[Vendor - Contract]],VendorList[Vendor / Org. with Contract ID],0)))</f>
        <v>--</v>
      </c>
      <c r="U270" s="1314" t="str">
        <f ca="1">IF(CostTrack[[#This Row],[Vendor - Contract]]="","",INDEX(VendorList[Phase / Subproject 2],MATCH(CostTrack[[#This Row],[Vendor - Contract]],VendorList[Vendor / Org. with Contract ID],0)))</f>
        <v>--</v>
      </c>
      <c r="V270" s="1314" t="str">
        <f ca="1">IF(CostTrack[[#This Row],[Vendor - Contract]]="","",INDEX(VendorList[Funding Source],MATCH(CostTrack[[#This Row],[Vendor - Contract]],VendorList[Vendor / Org. with Contract ID],0)))</f>
        <v>P-002360</v>
      </c>
      <c r="W270" s="1308">
        <v>44396</v>
      </c>
      <c r="X270" s="1315" t="str">
        <f ca="1">IF(CostTrack[[#This Row],[Release Date (CMS)]]="","*","")</f>
        <v/>
      </c>
      <c r="Y270" s="1308" t="s">
        <v>50</v>
      </c>
      <c r="Z270" s="713"/>
      <c r="AA270" s="1316">
        <f ca="1">IF(OR(CostTrack[[#This Row],[Release Date (CMS)]]&gt;=DATE(VALUE(REPLACE(CostTrack[[#This Row],[Fiscal Period]],3,3,"")),3,1),CostTrack[[#This Row],[Release Date (CMS)]]&lt;DATE(VALUE(LEFT(CostTrack[[#This Row],[Fiscal Period]],4)),4,1)),1,0)</f>
        <v>0</v>
      </c>
      <c r="AB270" s="1317">
        <v>1937025.36</v>
      </c>
      <c r="AC270" s="1308">
        <v>44400</v>
      </c>
      <c r="AD270" s="402" t="str">
        <f ca="1">IF(CostTrack[[#This Row],[Reconciled Amount]]="","",IF(CostTrack[[#This Row],[Value]]&lt;&gt;CostTrack[[#This Row],[Reconciled Amount]],"Yes","No"))</f>
        <v>No</v>
      </c>
    </row>
    <row r="271" spans="2:30" ht="42">
      <c r="B271" s="1306" t="s">
        <v>736</v>
      </c>
      <c r="C271" s="1318">
        <v>44378</v>
      </c>
      <c r="D271" s="1321">
        <v>44408</v>
      </c>
      <c r="E271" s="1317">
        <v>46997.86</v>
      </c>
      <c r="F271" s="647" t="s">
        <v>69</v>
      </c>
      <c r="G271" s="1310">
        <f ca="1">ROUND(IF(CostTrack[[#This Row],[Holdback (Y/N/R)]]="Yes",CostTrack[[#This Row],[Value]]*-0.1,IF(CostTrack[[#This Row],[Holdback (Y/N/R)]]="Release",CostTrack[[#This Row],[Value]],0)),2)</f>
        <v>0</v>
      </c>
      <c r="H271" s="1311">
        <f ca="1">IF(CostTrack[[#This Row],[Holdback (Y/N/R)]]="Release",CostTrack[[#This Row],[Value]],CostTrack[[#This Row],[Value]]+CostTrack[[#This Row],[Holdback Value]])</f>
        <v>46997.86</v>
      </c>
      <c r="I271" s="1312"/>
      <c r="J271" s="1312"/>
      <c r="K271" s="1313">
        <v>44378</v>
      </c>
      <c r="L271" s="1308">
        <v>44408</v>
      </c>
      <c r="M271" s="1308"/>
      <c r="N271" s="1312"/>
      <c r="O271" s="267" t="s">
        <v>106</v>
      </c>
      <c r="P271" s="1308">
        <v>44408</v>
      </c>
      <c r="Q271" s="1314" t="str">
        <f ca="1">IF(CostTrack[[#This Row],[Vendor - Contract]]="","",INDEX(VendorList[PA ID],MATCH(CostTrack[[#This Row],[Vendor - Contract]],VendorList[Vendor / Org. with Contract ID],0)))</f>
        <v>100.010.F1</v>
      </c>
      <c r="R271" s="1314" t="str">
        <f ca="1">IF(CostTrack[[#This Row],[Vendor - Contract]]="","",INDEX(VendorList[Primary Category],MATCH(CostTrack[[#This Row],[Vendor - Contract]],VendorList[Vendor / Org. with Contract ID],0)))</f>
        <v>Administration</v>
      </c>
      <c r="S271" s="1314" t="str">
        <f ca="1">IF(CostTrack[[#This Row],[Vendor - Contract]]="","",INDEX(VendorList[Secondary Category],MATCH(CostTrack[[#This Row],[Vendor - Contract]],VendorList[Vendor / Org. with Contract ID],0)))</f>
        <v>Staff Capitalization - INFRA</v>
      </c>
      <c r="T271" s="1314" t="str">
        <f ca="1">IF(CostTrack[[#This Row],[Vendor - Contract]]="","",INDEX(VendorList[Phase / Subproject],MATCH(CostTrack[[#This Row],[Vendor - Contract]],VendorList[Vendor / Org. with Contract ID],0)))</f>
        <v>--</v>
      </c>
      <c r="U271" s="1314" t="str">
        <f ca="1">IF(CostTrack[[#This Row],[Vendor - Contract]]="","",INDEX(VendorList[Phase / Subproject 2],MATCH(CostTrack[[#This Row],[Vendor - Contract]],VendorList[Vendor / Org. with Contract ID],0)))</f>
        <v>--</v>
      </c>
      <c r="V271" s="1314" t="str">
        <f ca="1">IF(CostTrack[[#This Row],[Vendor - Contract]]="","",INDEX(VendorList[Funding Source],MATCH(CostTrack[[#This Row],[Vendor - Contract]],VendorList[Vendor / Org. with Contract ID],0)))</f>
        <v>P-002360</v>
      </c>
      <c r="W271" s="1308">
        <v>44408</v>
      </c>
      <c r="X271" s="1315" t="str">
        <f ca="1">IF(CostTrack[[#This Row],[Release Date (CMS)]]="","*","")</f>
        <v/>
      </c>
      <c r="Y271" s="1308" t="s">
        <v>50</v>
      </c>
      <c r="Z271" s="652" t="s">
        <v>993</v>
      </c>
      <c r="AA271" s="1316">
        <f ca="1">IF(OR(CostTrack[[#This Row],[Release Date (CMS)]]&gt;=DATE(VALUE(REPLACE(CostTrack[[#This Row],[Fiscal Period]],3,3,"")),3,1),CostTrack[[#This Row],[Release Date (CMS)]]&lt;DATE(VALUE(LEFT(CostTrack[[#This Row],[Fiscal Period]],4)),4,1)),1,0)</f>
        <v>0</v>
      </c>
      <c r="AB271" s="1317">
        <v>46997.86</v>
      </c>
      <c r="AC271" s="1308">
        <v>44421</v>
      </c>
      <c r="AD271" s="402" t="str">
        <f ca="1">IF(CostTrack[[#This Row],[Reconciled Amount]]="","",IF(CostTrack[[#This Row],[Value]]&lt;&gt;CostTrack[[#This Row],[Reconciled Amount]],"Yes","No"))</f>
        <v>No</v>
      </c>
    </row>
    <row r="272" spans="2:30" ht="51" customHeight="1">
      <c r="B272" s="1306" t="s">
        <v>731</v>
      </c>
      <c r="C272" s="1322">
        <v>44354</v>
      </c>
      <c r="D272" s="1308">
        <v>44354</v>
      </c>
      <c r="E272" s="658">
        <v>103.58</v>
      </c>
      <c r="F272" s="1309" t="s">
        <v>69</v>
      </c>
      <c r="G272" s="1310">
        <f ca="1">ROUND(IF(CostTrack[[#This Row],[Holdback (Y/N/R)]]="Yes",CostTrack[[#This Row],[Value]]*-0.1,IF(CostTrack[[#This Row],[Holdback (Y/N/R)]]="Release",CostTrack[[#This Row],[Value]],0)),2)</f>
        <v>0</v>
      </c>
      <c r="H272" s="1311">
        <f ca="1">IF(CostTrack[[#This Row],[Holdback (Y/N/R)]]="Release",CostTrack[[#This Row],[Value]],CostTrack[[#This Row],[Value]]+CostTrack[[#This Row],[Holdback Value]])</f>
        <v>103.58</v>
      </c>
      <c r="I272" s="1312"/>
      <c r="J272" s="1312"/>
      <c r="K272" s="1313">
        <v>44378</v>
      </c>
      <c r="L272" s="1308">
        <v>44412</v>
      </c>
      <c r="M272" s="1308"/>
      <c r="N272" s="1312"/>
      <c r="O272" s="1308" t="s">
        <v>106</v>
      </c>
      <c r="P272" s="1308">
        <v>44383</v>
      </c>
      <c r="Q272" s="1314" t="str">
        <f ca="1">IF(CostTrack[[#This Row],[Vendor - Contract]]="","",INDEX(VendorList[PA ID],MATCH(CostTrack[[#This Row],[Vendor - Contract]],VendorList[Vendor / Org. with Contract ID],0)))</f>
        <v>100.050.F1</v>
      </c>
      <c r="R272" s="1314" t="str">
        <f ca="1">IF(CostTrack[[#This Row],[Vendor - Contract]]="","",INDEX(VendorList[Primary Category],MATCH(CostTrack[[#This Row],[Vendor - Contract]],VendorList[Vendor / Org. with Contract ID],0)))</f>
        <v>Administration</v>
      </c>
      <c r="S272" s="1314" t="str">
        <f ca="1">IF(CostTrack[[#This Row],[Vendor - Contract]]="","",INDEX(VendorList[Secondary Category],MATCH(CostTrack[[#This Row],[Vendor - Contract]],VendorList[Vendor / Org. with Contract ID],0)))</f>
        <v>Other Administration</v>
      </c>
      <c r="T272" s="1314" t="str">
        <f ca="1">IF(CostTrack[[#This Row],[Vendor - Contract]]="","",INDEX(VendorList[Phase / Subproject],MATCH(CostTrack[[#This Row],[Vendor - Contract]],VendorList[Vendor / Org. with Contract ID],0)))</f>
        <v>--</v>
      </c>
      <c r="U272" s="1314" t="str">
        <f ca="1">IF(CostTrack[[#This Row],[Vendor - Contract]]="","",INDEX(VendorList[Phase / Subproject 2],MATCH(CostTrack[[#This Row],[Vendor - Contract]],VendorList[Vendor / Org. with Contract ID],0)))</f>
        <v>--</v>
      </c>
      <c r="V272" s="1314" t="str">
        <f ca="1">IF(CostTrack[[#This Row],[Vendor - Contract]]="","",INDEX(VendorList[Funding Source],MATCH(CostTrack[[#This Row],[Vendor - Contract]],VendorList[Vendor / Org. with Contract ID],0)))</f>
        <v>P-002360</v>
      </c>
      <c r="W272" s="1308">
        <v>44354</v>
      </c>
      <c r="X272" s="1315" t="str">
        <f ca="1">IF(CostTrack[[#This Row],[Release Date (CMS)]]="","*","")</f>
        <v/>
      </c>
      <c r="Y272" s="1308" t="s">
        <v>50</v>
      </c>
      <c r="Z272" s="652" t="s">
        <v>994</v>
      </c>
      <c r="AA272" s="1316">
        <f ca="1">IF(OR(CostTrack[[#This Row],[Release Date (CMS)]]&gt;=DATE(VALUE(REPLACE(CostTrack[[#This Row],[Fiscal Period]],3,3,"")),3,1),CostTrack[[#This Row],[Release Date (CMS)]]&lt;DATE(VALUE(LEFT(CostTrack[[#This Row],[Fiscal Period]],4)),4,1)),1,0)</f>
        <v>0</v>
      </c>
      <c r="AB272" s="1317">
        <v>103.58</v>
      </c>
      <c r="AC272" s="1308">
        <v>44421</v>
      </c>
      <c r="AD272" s="402" t="str">
        <f ca="1">IF(CostTrack[[#This Row],[Reconciled Amount]]="","",IF(CostTrack[[#This Row],[Value]]&lt;&gt;CostTrack[[#This Row],[Reconciled Amount]],"Yes","No"))</f>
        <v>No</v>
      </c>
    </row>
    <row r="273" spans="2:30">
      <c r="B273" s="1306" t="s">
        <v>527</v>
      </c>
      <c r="C273" s="650" t="s">
        <v>995</v>
      </c>
      <c r="D273" s="1308">
        <v>44408</v>
      </c>
      <c r="E273" s="658">
        <v>74577.73</v>
      </c>
      <c r="F273" s="1309" t="s">
        <v>69</v>
      </c>
      <c r="G273" s="1310">
        <f ca="1">ROUND(IF(CostTrack[[#This Row],[Holdback (Y/N/R)]]="Yes",CostTrack[[#This Row],[Value]]*-0.1,IF(CostTrack[[#This Row],[Holdback (Y/N/R)]]="Release",CostTrack[[#This Row],[Value]],0)),2)</f>
        <v>0</v>
      </c>
      <c r="H273" s="1311">
        <f ca="1">IF(CostTrack[[#This Row],[Holdback (Y/N/R)]]="Release",CostTrack[[#This Row],[Value]],CostTrack[[#This Row],[Value]]+CostTrack[[#This Row],[Holdback Value]])</f>
        <v>74577.73</v>
      </c>
      <c r="I273" s="1312"/>
      <c r="J273" s="1312"/>
      <c r="K273" s="1313">
        <v>44409</v>
      </c>
      <c r="L273" s="1308">
        <v>44413</v>
      </c>
      <c r="M273" s="1308"/>
      <c r="N273" s="1312"/>
      <c r="O273" s="1308" t="s">
        <v>106</v>
      </c>
      <c r="P273" s="1308">
        <v>44413</v>
      </c>
      <c r="Q273" s="1314" t="str">
        <f ca="1">IF(CostTrack[[#This Row],[Vendor - Contract]]="","",INDEX(VendorList[PA ID],MATCH(CostTrack[[#This Row],[Vendor - Contract]],VendorList[Vendor / Org. with Contract ID],0)))</f>
        <v>200.010.F1</v>
      </c>
      <c r="R273" s="1314" t="str">
        <f ca="1">IF(CostTrack[[#This Row],[Vendor - Contract]]="","",INDEX(VendorList[Primary Category],MATCH(CostTrack[[#This Row],[Vendor - Contract]],VendorList[Vendor / Org. with Contract ID],0)))</f>
        <v>Professional Services</v>
      </c>
      <c r="S273" s="1314" t="str">
        <f ca="1">IF(CostTrack[[#This Row],[Vendor - Contract]]="","",INDEX(VendorList[Secondary Category],MATCH(CostTrack[[#This Row],[Vendor - Contract]],VendorList[Vendor / Org. with Contract ID],0)))</f>
        <v>Prime Consultant</v>
      </c>
      <c r="T273" s="1314" t="str">
        <f ca="1">IF(CostTrack[[#This Row],[Vendor - Contract]]="","",INDEX(VendorList[Phase / Subproject],MATCH(CostTrack[[#This Row],[Vendor - Contract]],VendorList[Vendor / Org. with Contract ID],0)))</f>
        <v>--</v>
      </c>
      <c r="U273" s="1314" t="str">
        <f ca="1">IF(CostTrack[[#This Row],[Vendor - Contract]]="","",INDEX(VendorList[Phase / Subproject 2],MATCH(CostTrack[[#This Row],[Vendor - Contract]],VendorList[Vendor / Org. with Contract ID],0)))</f>
        <v>--</v>
      </c>
      <c r="V273" s="1314" t="str">
        <f ca="1">IF(CostTrack[[#This Row],[Vendor - Contract]]="","",INDEX(VendorList[Funding Source],MATCH(CostTrack[[#This Row],[Vendor - Contract]],VendorList[Vendor / Org. with Contract ID],0)))</f>
        <v>P-002360</v>
      </c>
      <c r="W273" s="1308">
        <v>44413</v>
      </c>
      <c r="X273" s="1315" t="str">
        <f ca="1">IF(CostTrack[[#This Row],[Release Date (CMS)]]="","*","")</f>
        <v/>
      </c>
      <c r="Y273" s="1308" t="s">
        <v>50</v>
      </c>
      <c r="Z273" s="713"/>
      <c r="AA273" s="1316">
        <f ca="1">IF(OR(CostTrack[[#This Row],[Release Date (CMS)]]&gt;=DATE(VALUE(REPLACE(CostTrack[[#This Row],[Fiscal Period]],3,3,"")),3,1),CostTrack[[#This Row],[Release Date (CMS)]]&lt;DATE(VALUE(LEFT(CostTrack[[#This Row],[Fiscal Period]],4)),4,1)),1,0)</f>
        <v>0</v>
      </c>
      <c r="AB273" s="1317">
        <v>74577.73</v>
      </c>
      <c r="AC273" s="1308">
        <v>44421</v>
      </c>
      <c r="AD273" s="402" t="str">
        <f ca="1">IF(CostTrack[[#This Row],[Reconciled Amount]]="","",IF(CostTrack[[#This Row],[Value]]&lt;&gt;CostTrack[[#This Row],[Reconciled Amount]],"Yes","No"))</f>
        <v>No</v>
      </c>
    </row>
    <row r="274" spans="2:30">
      <c r="B274" s="1306" t="s">
        <v>655</v>
      </c>
      <c r="C274" s="1312">
        <v>2760</v>
      </c>
      <c r="D274" s="1308">
        <v>44413</v>
      </c>
      <c r="E274" s="658">
        <v>1322</v>
      </c>
      <c r="F274" s="1309" t="s">
        <v>69</v>
      </c>
      <c r="G274" s="1310">
        <f ca="1">ROUND(IF(CostTrack[[#This Row],[Holdback (Y/N/R)]]="Yes",CostTrack[[#This Row],[Value]]*-0.1,IF(CostTrack[[#This Row],[Holdback (Y/N/R)]]="Release",CostTrack[[#This Row],[Value]],0)),2)</f>
        <v>0</v>
      </c>
      <c r="H274" s="1311">
        <f ca="1">IF(CostTrack[[#This Row],[Holdback (Y/N/R)]]="Release",CostTrack[[#This Row],[Value]],CostTrack[[#This Row],[Value]]+CostTrack[[#This Row],[Holdback Value]])</f>
        <v>1322</v>
      </c>
      <c r="I274" s="1312"/>
      <c r="J274" s="1312"/>
      <c r="K274" s="1313">
        <v>44348</v>
      </c>
      <c r="L274" s="1308">
        <v>44414</v>
      </c>
      <c r="M274" s="1308"/>
      <c r="N274" s="1312"/>
      <c r="O274" s="1308" t="s">
        <v>106</v>
      </c>
      <c r="P274" s="1308">
        <v>44414</v>
      </c>
      <c r="Q274" s="1314" t="str">
        <f ca="1">IF(CostTrack[[#This Row],[Vendor - Contract]]="","",INDEX(VendorList[PA ID],MATCH(CostTrack[[#This Row],[Vendor - Contract]],VendorList[Vendor / Org. with Contract ID],0)))</f>
        <v>200.050.F1</v>
      </c>
      <c r="R274" s="1314" t="str">
        <f ca="1">IF(CostTrack[[#This Row],[Vendor - Contract]]="","",INDEX(VendorList[Primary Category],MATCH(CostTrack[[#This Row],[Vendor - Contract]],VendorList[Vendor / Org. with Contract ID],0)))</f>
        <v>Professional Services</v>
      </c>
      <c r="S274" s="1314" t="str">
        <f ca="1">IF(CostTrack[[#This Row],[Vendor - Contract]]="","",INDEX(VendorList[Secondary Category],MATCH(CostTrack[[#This Row],[Vendor - Contract]],VendorList[Vendor / Org. with Contract ID],0)))</f>
        <v>Other Professional Services</v>
      </c>
      <c r="T274" s="1314" t="str">
        <f ca="1">IF(CostTrack[[#This Row],[Vendor - Contract]]="","",INDEX(VendorList[Phase / Subproject],MATCH(CostTrack[[#This Row],[Vendor - Contract]],VendorList[Vendor / Org. with Contract ID],0)))</f>
        <v>--</v>
      </c>
      <c r="U274" s="1314" t="str">
        <f ca="1">IF(CostTrack[[#This Row],[Vendor - Contract]]="","",INDEX(VendorList[Phase / Subproject 2],MATCH(CostTrack[[#This Row],[Vendor - Contract]],VendorList[Vendor / Org. with Contract ID],0)))</f>
        <v>--</v>
      </c>
      <c r="V274" s="1314" t="str">
        <f ca="1">IF(CostTrack[[#This Row],[Vendor - Contract]]="","",INDEX(VendorList[Funding Source],MATCH(CostTrack[[#This Row],[Vendor - Contract]],VendorList[Vendor / Org. with Contract ID],0)))</f>
        <v>P-002360</v>
      </c>
      <c r="W274" s="1308">
        <v>44414</v>
      </c>
      <c r="X274" s="1315" t="str">
        <f ca="1">IF(CostTrack[[#This Row],[Release Date (CMS)]]="","*","")</f>
        <v/>
      </c>
      <c r="Y274" s="1308" t="s">
        <v>50</v>
      </c>
      <c r="Z274" s="713"/>
      <c r="AA274" s="1316">
        <f ca="1">IF(OR(CostTrack[[#This Row],[Release Date (CMS)]]&gt;=DATE(VALUE(REPLACE(CostTrack[[#This Row],[Fiscal Period]],3,3,"")),3,1),CostTrack[[#This Row],[Release Date (CMS)]]&lt;DATE(VALUE(LEFT(CostTrack[[#This Row],[Fiscal Period]],4)),4,1)),1,0)</f>
        <v>0</v>
      </c>
      <c r="AB274" s="1317">
        <v>1322</v>
      </c>
      <c r="AC274" s="1308">
        <v>44421</v>
      </c>
      <c r="AD274" s="402" t="str">
        <f ca="1">IF(CostTrack[[#This Row],[Reconciled Amount]]="","",IF(CostTrack[[#This Row],[Value]]&lt;&gt;CostTrack[[#This Row],[Reconciled Amount]],"Yes","No"))</f>
        <v>No</v>
      </c>
    </row>
    <row r="275" spans="2:30">
      <c r="B275" s="1306" t="s">
        <v>655</v>
      </c>
      <c r="C275" s="1312">
        <v>2761</v>
      </c>
      <c r="D275" s="1308">
        <v>44413</v>
      </c>
      <c r="E275" s="658">
        <v>1322</v>
      </c>
      <c r="F275" s="1309" t="s">
        <v>69</v>
      </c>
      <c r="G275" s="1310">
        <f ca="1">ROUND(IF(CostTrack[[#This Row],[Holdback (Y/N/R)]]="Yes",CostTrack[[#This Row],[Value]]*-0.1,IF(CostTrack[[#This Row],[Holdback (Y/N/R)]]="Release",CostTrack[[#This Row],[Value]],0)),2)</f>
        <v>0</v>
      </c>
      <c r="H275" s="1311">
        <f ca="1">IF(CostTrack[[#This Row],[Holdback (Y/N/R)]]="Release",CostTrack[[#This Row],[Value]],CostTrack[[#This Row],[Value]]+CostTrack[[#This Row],[Holdback Value]])</f>
        <v>1322</v>
      </c>
      <c r="I275" s="1312"/>
      <c r="J275" s="1312"/>
      <c r="K275" s="1313">
        <v>44378</v>
      </c>
      <c r="L275" s="1308">
        <v>44414</v>
      </c>
      <c r="M275" s="1308"/>
      <c r="N275" s="1312"/>
      <c r="O275" s="1308" t="s">
        <v>106</v>
      </c>
      <c r="P275" s="1308">
        <v>44414</v>
      </c>
      <c r="Q275" s="1314" t="str">
        <f ca="1">IF(CostTrack[[#This Row],[Vendor - Contract]]="","",INDEX(VendorList[PA ID],MATCH(CostTrack[[#This Row],[Vendor - Contract]],VendorList[Vendor / Org. with Contract ID],0)))</f>
        <v>200.050.F1</v>
      </c>
      <c r="R275" s="1314" t="str">
        <f ca="1">IF(CostTrack[[#This Row],[Vendor - Contract]]="","",INDEX(VendorList[Primary Category],MATCH(CostTrack[[#This Row],[Vendor - Contract]],VendorList[Vendor / Org. with Contract ID],0)))</f>
        <v>Professional Services</v>
      </c>
      <c r="S275" s="1314" t="str">
        <f ca="1">IF(CostTrack[[#This Row],[Vendor - Contract]]="","",INDEX(VendorList[Secondary Category],MATCH(CostTrack[[#This Row],[Vendor - Contract]],VendorList[Vendor / Org. with Contract ID],0)))</f>
        <v>Other Professional Services</v>
      </c>
      <c r="T275" s="1314" t="str">
        <f ca="1">IF(CostTrack[[#This Row],[Vendor - Contract]]="","",INDEX(VendorList[Phase / Subproject],MATCH(CostTrack[[#This Row],[Vendor - Contract]],VendorList[Vendor / Org. with Contract ID],0)))</f>
        <v>--</v>
      </c>
      <c r="U275" s="1314" t="str">
        <f ca="1">IF(CostTrack[[#This Row],[Vendor - Contract]]="","",INDEX(VendorList[Phase / Subproject 2],MATCH(CostTrack[[#This Row],[Vendor - Contract]],VendorList[Vendor / Org. with Contract ID],0)))</f>
        <v>--</v>
      </c>
      <c r="V275" s="1314" t="str">
        <f ca="1">IF(CostTrack[[#This Row],[Vendor - Contract]]="","",INDEX(VendorList[Funding Source],MATCH(CostTrack[[#This Row],[Vendor - Contract]],VendorList[Vendor / Org. with Contract ID],0)))</f>
        <v>P-002360</v>
      </c>
      <c r="W275" s="1308">
        <v>44414</v>
      </c>
      <c r="X275" s="1315" t="str">
        <f ca="1">IF(CostTrack[[#This Row],[Release Date (CMS)]]="","*","")</f>
        <v/>
      </c>
      <c r="Y275" s="1308" t="s">
        <v>50</v>
      </c>
      <c r="Z275" s="713"/>
      <c r="AA275" s="1316">
        <f ca="1">IF(OR(CostTrack[[#This Row],[Release Date (CMS)]]&gt;=DATE(VALUE(REPLACE(CostTrack[[#This Row],[Fiscal Period]],3,3,"")),3,1),CostTrack[[#This Row],[Release Date (CMS)]]&lt;DATE(VALUE(LEFT(CostTrack[[#This Row],[Fiscal Period]],4)),4,1)),1,0)</f>
        <v>0</v>
      </c>
      <c r="AB275" s="1317">
        <v>1322</v>
      </c>
      <c r="AC275" s="1308">
        <v>44421</v>
      </c>
      <c r="AD275" s="402" t="str">
        <f ca="1">IF(CostTrack[[#This Row],[Reconciled Amount]]="","",IF(CostTrack[[#This Row],[Value]]&lt;&gt;CostTrack[[#This Row],[Reconciled Amount]],"Yes","No"))</f>
        <v>No</v>
      </c>
    </row>
    <row r="276" spans="2:30">
      <c r="B276" s="1306" t="s">
        <v>662</v>
      </c>
      <c r="C276" s="1312">
        <v>4456</v>
      </c>
      <c r="D276" s="1308">
        <v>44408</v>
      </c>
      <c r="E276" s="658">
        <v>1440</v>
      </c>
      <c r="F276" s="1309" t="s">
        <v>69</v>
      </c>
      <c r="G276" s="1310">
        <f ca="1">ROUND(IF(CostTrack[[#This Row],[Holdback (Y/N/R)]]="Yes",CostTrack[[#This Row],[Value]]*-0.1,IF(CostTrack[[#This Row],[Holdback (Y/N/R)]]="Release",CostTrack[[#This Row],[Value]],0)),2)</f>
        <v>0</v>
      </c>
      <c r="H276" s="1311">
        <f ca="1">IF(CostTrack[[#This Row],[Holdback (Y/N/R)]]="Release",CostTrack[[#This Row],[Value]],CostTrack[[#This Row],[Value]]+CostTrack[[#This Row],[Holdback Value]])</f>
        <v>1440</v>
      </c>
      <c r="I276" s="1312"/>
      <c r="J276" s="1312"/>
      <c r="K276" s="1313">
        <v>44409</v>
      </c>
      <c r="L276" s="1308">
        <v>44417</v>
      </c>
      <c r="M276" s="1308"/>
      <c r="N276" s="1312"/>
      <c r="O276" s="1308" t="s">
        <v>106</v>
      </c>
      <c r="P276" s="1308">
        <v>44417</v>
      </c>
      <c r="Q276" s="1314" t="str">
        <f ca="1">IF(CostTrack[[#This Row],[Vendor - Contract]]="","",INDEX(VendorList[PA ID],MATCH(CostTrack[[#This Row],[Vendor - Contract]],VendorList[Vendor / Org. with Contract ID],0)))</f>
        <v>200.050.F1</v>
      </c>
      <c r="R276" s="1314" t="str">
        <f ca="1">IF(CostTrack[[#This Row],[Vendor - Contract]]="","",INDEX(VendorList[Primary Category],MATCH(CostTrack[[#This Row],[Vendor - Contract]],VendorList[Vendor / Org. with Contract ID],0)))</f>
        <v>Professional Services</v>
      </c>
      <c r="S276" s="1314" t="str">
        <f ca="1">IF(CostTrack[[#This Row],[Vendor - Contract]]="","",INDEX(VendorList[Secondary Category],MATCH(CostTrack[[#This Row],[Vendor - Contract]],VendorList[Vendor / Org. with Contract ID],0)))</f>
        <v>Other Professional Services</v>
      </c>
      <c r="T276" s="1314" t="str">
        <f ca="1">IF(CostTrack[[#This Row],[Vendor - Contract]]="","",INDEX(VendorList[Phase / Subproject],MATCH(CostTrack[[#This Row],[Vendor - Contract]],VendorList[Vendor / Org. with Contract ID],0)))</f>
        <v>--</v>
      </c>
      <c r="U276" s="1314" t="str">
        <f ca="1">IF(CostTrack[[#This Row],[Vendor - Contract]]="","",INDEX(VendorList[Phase / Subproject 2],MATCH(CostTrack[[#This Row],[Vendor - Contract]],VendorList[Vendor / Org. with Contract ID],0)))</f>
        <v>--</v>
      </c>
      <c r="V276" s="1314" t="str">
        <f ca="1">IF(CostTrack[[#This Row],[Vendor - Contract]]="","",INDEX(VendorList[Funding Source],MATCH(CostTrack[[#This Row],[Vendor - Contract]],VendorList[Vendor / Org. with Contract ID],0)))</f>
        <v>P-002360</v>
      </c>
      <c r="W276" s="1308">
        <v>44418</v>
      </c>
      <c r="X276" s="1315" t="str">
        <f ca="1">IF(CostTrack[[#This Row],[Release Date (CMS)]]="","*","")</f>
        <v/>
      </c>
      <c r="Y276" s="1308" t="s">
        <v>50</v>
      </c>
      <c r="Z276" s="652"/>
      <c r="AA276" s="1316">
        <f ca="1">IF(OR(CostTrack[[#This Row],[Release Date (CMS)]]&gt;=DATE(VALUE(REPLACE(CostTrack[[#This Row],[Fiscal Period]],3,3,"")),3,1),CostTrack[[#This Row],[Release Date (CMS)]]&lt;DATE(VALUE(LEFT(CostTrack[[#This Row],[Fiscal Period]],4)),4,1)),1,0)</f>
        <v>0</v>
      </c>
      <c r="AB276" s="1317">
        <v>1440</v>
      </c>
      <c r="AC276" s="1308">
        <v>44421</v>
      </c>
      <c r="AD276" s="402" t="str">
        <f ca="1">IF(CostTrack[[#This Row],[Reconciled Amount]]="","",IF(CostTrack[[#This Row],[Value]]&lt;&gt;CostTrack[[#This Row],[Reconciled Amount]],"Yes","No"))</f>
        <v>No</v>
      </c>
    </row>
    <row r="277" spans="2:30" ht="55.9">
      <c r="B277" s="1306" t="s">
        <v>996</v>
      </c>
      <c r="C277" s="691" t="s">
        <v>997</v>
      </c>
      <c r="D277" s="1308">
        <v>44408</v>
      </c>
      <c r="E277" s="658">
        <v>1553.18</v>
      </c>
      <c r="F277" s="1309" t="s">
        <v>69</v>
      </c>
      <c r="G277" s="1310">
        <f ca="1">ROUND(IF(CostTrack[[#This Row],[Holdback (Y/N/R)]]="Yes",CostTrack[[#This Row],[Value]]*-0.1,IF(CostTrack[[#This Row],[Holdback (Y/N/R)]]="Release",CostTrack[[#This Row],[Value]],0)),2)</f>
        <v>0</v>
      </c>
      <c r="H277" s="1311">
        <f ca="1">IF(CostTrack[[#This Row],[Holdback (Y/N/R)]]="Release",CostTrack[[#This Row],[Value]],CostTrack[[#This Row],[Value]]+CostTrack[[#This Row],[Holdback Value]])</f>
        <v>1553.18</v>
      </c>
      <c r="I277" s="1312"/>
      <c r="J277" s="1312"/>
      <c r="K277" s="1313">
        <v>44378</v>
      </c>
      <c r="L277" s="1308">
        <v>44421</v>
      </c>
      <c r="M277" s="1308"/>
      <c r="N277" s="1312"/>
      <c r="O277" s="1308" t="s">
        <v>106</v>
      </c>
      <c r="P277" s="1308">
        <v>44414</v>
      </c>
      <c r="Q277" s="1314" t="str">
        <f ca="1">IF(CostTrack[[#This Row],[Vendor - Contract]]="","",INDEX(VendorList[PA ID],MATCH(CostTrack[[#This Row],[Vendor - Contract]],VendorList[Vendor / Org. with Contract ID],0)))</f>
        <v>100.050.F1</v>
      </c>
      <c r="R277" s="1314" t="str">
        <f ca="1">IF(CostTrack[[#This Row],[Vendor - Contract]]="","",INDEX(VendorList[Primary Category],MATCH(CostTrack[[#This Row],[Vendor - Contract]],VendorList[Vendor / Org. with Contract ID],0)))</f>
        <v>Administration</v>
      </c>
      <c r="S277" s="1314" t="str">
        <f ca="1">IF(CostTrack[[#This Row],[Vendor - Contract]]="","",INDEX(VendorList[Secondary Category],MATCH(CostTrack[[#This Row],[Vendor - Contract]],VendorList[Vendor / Org. with Contract ID],0)))</f>
        <v>Other Administration</v>
      </c>
      <c r="T277" s="1314" t="str">
        <f ca="1">IF(CostTrack[[#This Row],[Vendor - Contract]]="","",INDEX(VendorList[Phase / Subproject],MATCH(CostTrack[[#This Row],[Vendor - Contract]],VendorList[Vendor / Org. with Contract ID],0)))</f>
        <v>--</v>
      </c>
      <c r="U277" s="1314" t="str">
        <f ca="1">IF(CostTrack[[#This Row],[Vendor - Contract]]="","",INDEX(VendorList[Phase / Subproject 2],MATCH(CostTrack[[#This Row],[Vendor - Contract]],VendorList[Vendor / Org. with Contract ID],0)))</f>
        <v>--</v>
      </c>
      <c r="V277" s="1314" t="str">
        <f ca="1">IF(CostTrack[[#This Row],[Vendor - Contract]]="","",INDEX(VendorList[Funding Source],MATCH(CostTrack[[#This Row],[Vendor - Contract]],VendorList[Vendor / Org. with Contract ID],0)))</f>
        <v>P-002360</v>
      </c>
      <c r="W277" s="1308">
        <v>44414</v>
      </c>
      <c r="X277" s="1315" t="str">
        <f ca="1">IF(CostTrack[[#This Row],[Release Date (CMS)]]="","*","")</f>
        <v/>
      </c>
      <c r="Y277" s="1308" t="s">
        <v>50</v>
      </c>
      <c r="Z277" s="652" t="s">
        <v>998</v>
      </c>
      <c r="AA277" s="1316">
        <f ca="1">IF(OR(CostTrack[[#This Row],[Release Date (CMS)]]&gt;=DATE(VALUE(REPLACE(CostTrack[[#This Row],[Fiscal Period]],3,3,"")),3,1),CostTrack[[#This Row],[Release Date (CMS)]]&lt;DATE(VALUE(LEFT(CostTrack[[#This Row],[Fiscal Period]],4)),4,1)),1,0)</f>
        <v>0</v>
      </c>
      <c r="AB277" s="1317">
        <v>1553.18</v>
      </c>
      <c r="AC277" s="1308">
        <v>44421</v>
      </c>
      <c r="AD277" s="402" t="str">
        <f ca="1">IF(CostTrack[[#This Row],[Reconciled Amount]]="","",IF(CostTrack[[#This Row],[Value]]&lt;&gt;CostTrack[[#This Row],[Reconciled Amount]],"Yes","No"))</f>
        <v>No</v>
      </c>
    </row>
    <row r="278" spans="2:30">
      <c r="B278" s="1306" t="s">
        <v>529</v>
      </c>
      <c r="C278" s="1312">
        <v>25919</v>
      </c>
      <c r="D278" s="1308">
        <v>44408</v>
      </c>
      <c r="E278" s="658">
        <v>2227457.48</v>
      </c>
      <c r="F278" s="1309" t="s">
        <v>65</v>
      </c>
      <c r="G278" s="1310">
        <f ca="1">ROUND(IF(CostTrack[[#This Row],[Holdback (Y/N/R)]]="Yes",CostTrack[[#This Row],[Value]]*-0.1,IF(CostTrack[[#This Row],[Holdback (Y/N/R)]]="Release",CostTrack[[#This Row],[Value]],0)),2)</f>
        <v>-222745.75</v>
      </c>
      <c r="H278" s="1311">
        <f ca="1">IF(CostTrack[[#This Row],[Holdback (Y/N/R)]]="Release",CostTrack[[#This Row],[Value]],CostTrack[[#This Row],[Value]]+CostTrack[[#This Row],[Holdback Value]])</f>
        <v>2004711.73</v>
      </c>
      <c r="I278" s="1312">
        <v>12</v>
      </c>
      <c r="J278" s="1312"/>
      <c r="K278" s="1313">
        <v>44409</v>
      </c>
      <c r="L278" s="1308">
        <v>44424</v>
      </c>
      <c r="M278" s="1308"/>
      <c r="N278" s="1312"/>
      <c r="O278" s="1308" t="s">
        <v>106</v>
      </c>
      <c r="P278" s="1308">
        <v>44424</v>
      </c>
      <c r="Q278" s="1314" t="str">
        <f ca="1">IF(CostTrack[[#This Row],[Vendor - Contract]]="","",INDEX(VendorList[PA ID],MATCH(CostTrack[[#This Row],[Vendor - Contract]],VendorList[Vendor / Org. with Contract ID],0)))</f>
        <v>300.030.F1</v>
      </c>
      <c r="R278" s="1314" t="str">
        <f ca="1">IF(CostTrack[[#This Row],[Vendor - Contract]]="","",INDEX(VendorList[Primary Category],MATCH(CostTrack[[#This Row],[Vendor - Contract]],VendorList[Vendor / Org. with Contract ID],0)))</f>
        <v>Construction</v>
      </c>
      <c r="S278" s="1314" t="str">
        <f ca="1">IF(CostTrack[[#This Row],[Vendor - Contract]]="","",INDEX(VendorList[Secondary Category],MATCH(CostTrack[[#This Row],[Vendor - Contract]],VendorList[Vendor / Org. with Contract ID],0)))</f>
        <v>Prime Contractor</v>
      </c>
      <c r="T278" s="1314" t="str">
        <f ca="1">IF(CostTrack[[#This Row],[Vendor - Contract]]="","",INDEX(VendorList[Phase / Subproject],MATCH(CostTrack[[#This Row],[Vendor - Contract]],VendorList[Vendor / Org. with Contract ID],0)))</f>
        <v>--</v>
      </c>
      <c r="U278" s="1314" t="str">
        <f ca="1">IF(CostTrack[[#This Row],[Vendor - Contract]]="","",INDEX(VendorList[Phase / Subproject 2],MATCH(CostTrack[[#This Row],[Vendor - Contract]],VendorList[Vendor / Org. with Contract ID],0)))</f>
        <v>--</v>
      </c>
      <c r="V278" s="1314" t="str">
        <f ca="1">IF(CostTrack[[#This Row],[Vendor - Contract]]="","",INDEX(VendorList[Funding Source],MATCH(CostTrack[[#This Row],[Vendor - Contract]],VendorList[Vendor / Org. with Contract ID],0)))</f>
        <v>P-002360</v>
      </c>
      <c r="W278" s="1308">
        <v>44424</v>
      </c>
      <c r="X278" s="1315" t="str">
        <f ca="1">IF(CostTrack[[#This Row],[Release Date (CMS)]]="","*","")</f>
        <v/>
      </c>
      <c r="Y278" s="1308" t="s">
        <v>50</v>
      </c>
      <c r="Z278" s="713"/>
      <c r="AA278" s="1316">
        <f ca="1">IF(OR(CostTrack[[#This Row],[Release Date (CMS)]]&gt;=DATE(VALUE(REPLACE(CostTrack[[#This Row],[Fiscal Period]],3,3,"")),3,1),CostTrack[[#This Row],[Release Date (CMS)]]&lt;DATE(VALUE(LEFT(CostTrack[[#This Row],[Fiscal Period]],4)),4,1)),1,0)</f>
        <v>0</v>
      </c>
      <c r="AB278" s="1317">
        <v>2227457.48</v>
      </c>
      <c r="AC278" s="1308">
        <v>44455</v>
      </c>
      <c r="AD278" s="402" t="str">
        <f ca="1">IF(CostTrack[[#This Row],[Reconciled Amount]]="","",IF(CostTrack[[#This Row],[Value]]&lt;&gt;CostTrack[[#This Row],[Reconciled Amount]],"Yes","No"))</f>
        <v>No</v>
      </c>
    </row>
    <row r="279" spans="2:30">
      <c r="B279" s="1306" t="s">
        <v>528</v>
      </c>
      <c r="C279" s="1312">
        <v>60717707</v>
      </c>
      <c r="D279" s="1308">
        <v>44419</v>
      </c>
      <c r="E279" s="658">
        <v>4225.5</v>
      </c>
      <c r="F279" s="1309" t="s">
        <v>69</v>
      </c>
      <c r="G279" s="1310">
        <f ca="1">ROUND(IF(CostTrack[[#This Row],[Holdback (Y/N/R)]]="Yes",CostTrack[[#This Row],[Value]]*-0.1,IF(CostTrack[[#This Row],[Holdback (Y/N/R)]]="Release",CostTrack[[#This Row],[Value]],0)),2)</f>
        <v>0</v>
      </c>
      <c r="H279" s="1311">
        <f ca="1">IF(CostTrack[[#This Row],[Holdback (Y/N/R)]]="Release",CostTrack[[#This Row],[Value]],CostTrack[[#This Row],[Value]]+CostTrack[[#This Row],[Holdback Value]])</f>
        <v>4225.5</v>
      </c>
      <c r="I279" s="1312"/>
      <c r="J279" s="1312"/>
      <c r="K279" s="1313">
        <v>44409</v>
      </c>
      <c r="L279" s="1308">
        <v>44427</v>
      </c>
      <c r="M279" s="1308"/>
      <c r="N279" s="1312"/>
      <c r="O279" s="1308" t="s">
        <v>106</v>
      </c>
      <c r="P279" s="1308">
        <v>44427</v>
      </c>
      <c r="Q279" s="1314" t="str">
        <f ca="1">IF(CostTrack[[#This Row],[Vendor - Contract]]="","",INDEX(VendorList[PA ID],MATCH(CostTrack[[#This Row],[Vendor - Contract]],VendorList[Vendor / Org. with Contract ID],0)))</f>
        <v>200.050.F1</v>
      </c>
      <c r="R279" s="1314" t="str">
        <f ca="1">IF(CostTrack[[#This Row],[Vendor - Contract]]="","",INDEX(VendorList[Primary Category],MATCH(CostTrack[[#This Row],[Vendor - Contract]],VendorList[Vendor / Org. with Contract ID],0)))</f>
        <v>Professional Services</v>
      </c>
      <c r="S279" s="1314" t="str">
        <f ca="1">IF(CostTrack[[#This Row],[Vendor - Contract]]="","",INDEX(VendorList[Secondary Category],MATCH(CostTrack[[#This Row],[Vendor - Contract]],VendorList[Vendor / Org. with Contract ID],0)))</f>
        <v>Other Professional Services</v>
      </c>
      <c r="T279" s="1314" t="str">
        <f ca="1">IF(CostTrack[[#This Row],[Vendor - Contract]]="","",INDEX(VendorList[Phase / Subproject],MATCH(CostTrack[[#This Row],[Vendor - Contract]],VendorList[Vendor / Org. with Contract ID],0)))</f>
        <v>--</v>
      </c>
      <c r="U279" s="1314" t="str">
        <f ca="1">IF(CostTrack[[#This Row],[Vendor - Contract]]="","",INDEX(VendorList[Phase / Subproject 2],MATCH(CostTrack[[#This Row],[Vendor - Contract]],VendorList[Vendor / Org. with Contract ID],0)))</f>
        <v>--</v>
      </c>
      <c r="V279" s="1314" t="str">
        <f ca="1">IF(CostTrack[[#This Row],[Vendor - Contract]]="","",INDEX(VendorList[Funding Source],MATCH(CostTrack[[#This Row],[Vendor - Contract]],VendorList[Vendor / Org. with Contract ID],0)))</f>
        <v>P-002360</v>
      </c>
      <c r="W279" s="1308">
        <v>44427</v>
      </c>
      <c r="X279" s="1315" t="str">
        <f ca="1">IF(CostTrack[[#This Row],[Release Date (CMS)]]="","*","")</f>
        <v/>
      </c>
      <c r="Y279" s="1308" t="s">
        <v>50</v>
      </c>
      <c r="Z279" s="713"/>
      <c r="AA279" s="1316">
        <f ca="1">IF(OR(CostTrack[[#This Row],[Release Date (CMS)]]&gt;=DATE(VALUE(REPLACE(CostTrack[[#This Row],[Fiscal Period]],3,3,"")),3,1),CostTrack[[#This Row],[Release Date (CMS)]]&lt;DATE(VALUE(LEFT(CostTrack[[#This Row],[Fiscal Period]],4)),4,1)),1,0)</f>
        <v>0</v>
      </c>
      <c r="AB279" s="1317">
        <v>4225.5</v>
      </c>
      <c r="AC279" s="1308">
        <v>44455</v>
      </c>
      <c r="AD279" s="402" t="str">
        <f ca="1">IF(CostTrack[[#This Row],[Reconciled Amount]]="","",IF(CostTrack[[#This Row],[Value]]&lt;&gt;CostTrack[[#This Row],[Reconciled Amount]],"Yes","No"))</f>
        <v>No</v>
      </c>
    </row>
    <row r="280" spans="2:30" ht="52.5" customHeight="1">
      <c r="B280" s="1306" t="s">
        <v>736</v>
      </c>
      <c r="C280" s="650" t="s">
        <v>999</v>
      </c>
      <c r="D280" s="1308">
        <v>44439</v>
      </c>
      <c r="E280" s="505">
        <v>37878.870000000003</v>
      </c>
      <c r="F280" s="647" t="s">
        <v>69</v>
      </c>
      <c r="G280" s="1310">
        <f ca="1">ROUND(IF(CostTrack[[#This Row],[Holdback (Y/N/R)]]="Yes",CostTrack[[#This Row],[Value]]*-0.1,IF(CostTrack[[#This Row],[Holdback (Y/N/R)]]="Release",CostTrack[[#This Row],[Value]],0)),2)</f>
        <v>0</v>
      </c>
      <c r="H280" s="1311">
        <f ca="1">IF(CostTrack[[#This Row],[Holdback (Y/N/R)]]="Release",CostTrack[[#This Row],[Value]],CostTrack[[#This Row],[Value]]+CostTrack[[#This Row],[Holdback Value]])</f>
        <v>37878.870000000003</v>
      </c>
      <c r="I280" s="1312"/>
      <c r="J280" s="1312"/>
      <c r="K280" s="1313">
        <v>44409</v>
      </c>
      <c r="L280" s="1308">
        <v>44441</v>
      </c>
      <c r="M280" s="1308"/>
      <c r="N280" s="1312"/>
      <c r="O280" s="1308" t="s">
        <v>106</v>
      </c>
      <c r="P280" s="1308"/>
      <c r="Q280" s="1314" t="str">
        <f ca="1">IF(CostTrack[[#This Row],[Vendor - Contract]]="","",INDEX(VendorList[PA ID],MATCH(CostTrack[[#This Row],[Vendor - Contract]],VendorList[Vendor / Org. with Contract ID],0)))</f>
        <v>100.010.F1</v>
      </c>
      <c r="R280" s="1314" t="str">
        <f ca="1">IF(CostTrack[[#This Row],[Vendor - Contract]]="","",INDEX(VendorList[Primary Category],MATCH(CostTrack[[#This Row],[Vendor - Contract]],VendorList[Vendor / Org. with Contract ID],0)))</f>
        <v>Administration</v>
      </c>
      <c r="S280" s="1314" t="str">
        <f ca="1">IF(CostTrack[[#This Row],[Vendor - Contract]]="","",INDEX(VendorList[Secondary Category],MATCH(CostTrack[[#This Row],[Vendor - Contract]],VendorList[Vendor / Org. with Contract ID],0)))</f>
        <v>Staff Capitalization - INFRA</v>
      </c>
      <c r="T280" s="1314" t="str">
        <f ca="1">IF(CostTrack[[#This Row],[Vendor - Contract]]="","",INDEX(VendorList[Phase / Subproject],MATCH(CostTrack[[#This Row],[Vendor - Contract]],VendorList[Vendor / Org. with Contract ID],0)))</f>
        <v>--</v>
      </c>
      <c r="U280" s="1314" t="str">
        <f ca="1">IF(CostTrack[[#This Row],[Vendor - Contract]]="","",INDEX(VendorList[Phase / Subproject 2],MATCH(CostTrack[[#This Row],[Vendor - Contract]],VendorList[Vendor / Org. with Contract ID],0)))</f>
        <v>--</v>
      </c>
      <c r="V280" s="1314" t="str">
        <f ca="1">IF(CostTrack[[#This Row],[Vendor - Contract]]="","",INDEX(VendorList[Funding Source],MATCH(CostTrack[[#This Row],[Vendor - Contract]],VendorList[Vendor / Org. with Contract ID],0)))</f>
        <v>P-002360</v>
      </c>
      <c r="W280" s="1308">
        <v>44438</v>
      </c>
      <c r="X280" s="1315" t="str">
        <f ca="1">IF(CostTrack[[#This Row],[Release Date (CMS)]]="","*","")</f>
        <v/>
      </c>
      <c r="Y280" s="1308" t="s">
        <v>50</v>
      </c>
      <c r="Z280" s="652" t="s">
        <v>1000</v>
      </c>
      <c r="AA280" s="1316">
        <f ca="1">IF(OR(CostTrack[[#This Row],[Release Date (CMS)]]&gt;=DATE(VALUE(REPLACE(CostTrack[[#This Row],[Fiscal Period]],3,3,"")),3,1),CostTrack[[#This Row],[Release Date (CMS)]]&lt;DATE(VALUE(LEFT(CostTrack[[#This Row],[Fiscal Period]],4)),4,1)),1,0)</f>
        <v>0</v>
      </c>
      <c r="AB280" s="1317">
        <v>37878.870000000003</v>
      </c>
      <c r="AC280" s="1308">
        <v>44455</v>
      </c>
      <c r="AD280" s="402" t="str">
        <f ca="1">IF(CostTrack[[#This Row],[Reconciled Amount]]="","",IF(CostTrack[[#This Row],[Value]]&lt;&gt;CostTrack[[#This Row],[Reconciled Amount]],"Yes","No"))</f>
        <v>No</v>
      </c>
    </row>
    <row r="281" spans="2:30">
      <c r="B281" s="1306" t="s">
        <v>662</v>
      </c>
      <c r="C281" s="1312">
        <v>4621</v>
      </c>
      <c r="D281" s="1308">
        <v>44439</v>
      </c>
      <c r="E281" s="658">
        <v>1440</v>
      </c>
      <c r="F281" s="647" t="s">
        <v>69</v>
      </c>
      <c r="G281" s="1310">
        <f ca="1">ROUND(IF(CostTrack[[#This Row],[Holdback (Y/N/R)]]="Yes",CostTrack[[#This Row],[Value]]*-0.1,IF(CostTrack[[#This Row],[Holdback (Y/N/R)]]="Release",CostTrack[[#This Row],[Value]],0)),2)</f>
        <v>0</v>
      </c>
      <c r="H281" s="1311">
        <f ca="1">IF(CostTrack[[#This Row],[Holdback (Y/N/R)]]="Release",CostTrack[[#This Row],[Value]],CostTrack[[#This Row],[Value]]+CostTrack[[#This Row],[Holdback Value]])</f>
        <v>1440</v>
      </c>
      <c r="I281" s="1312"/>
      <c r="J281" s="1312"/>
      <c r="K281" s="648">
        <v>44440</v>
      </c>
      <c r="L281" s="1308">
        <v>44441</v>
      </c>
      <c r="M281" s="1308"/>
      <c r="N281" s="1312"/>
      <c r="O281" s="1308" t="s">
        <v>106</v>
      </c>
      <c r="P281" s="1308">
        <v>44441</v>
      </c>
      <c r="Q281" s="1314" t="str">
        <f ca="1">IF(CostTrack[[#This Row],[Vendor - Contract]]="","",INDEX(VendorList[PA ID],MATCH(CostTrack[[#This Row],[Vendor - Contract]],VendorList[Vendor / Org. with Contract ID],0)))</f>
        <v>200.050.F1</v>
      </c>
      <c r="R281" s="1314" t="str">
        <f ca="1">IF(CostTrack[[#This Row],[Vendor - Contract]]="","",INDEX(VendorList[Primary Category],MATCH(CostTrack[[#This Row],[Vendor - Contract]],VendorList[Vendor / Org. with Contract ID],0)))</f>
        <v>Professional Services</v>
      </c>
      <c r="S281" s="1314" t="str">
        <f ca="1">IF(CostTrack[[#This Row],[Vendor - Contract]]="","",INDEX(VendorList[Secondary Category],MATCH(CostTrack[[#This Row],[Vendor - Contract]],VendorList[Vendor / Org. with Contract ID],0)))</f>
        <v>Other Professional Services</v>
      </c>
      <c r="T281" s="1314" t="str">
        <f ca="1">IF(CostTrack[[#This Row],[Vendor - Contract]]="","",INDEX(VendorList[Phase / Subproject],MATCH(CostTrack[[#This Row],[Vendor - Contract]],VendorList[Vendor / Org. with Contract ID],0)))</f>
        <v>--</v>
      </c>
      <c r="U281" s="1314" t="str">
        <f ca="1">IF(CostTrack[[#This Row],[Vendor - Contract]]="","",INDEX(VendorList[Phase / Subproject 2],MATCH(CostTrack[[#This Row],[Vendor - Contract]],VendorList[Vendor / Org. with Contract ID],0)))</f>
        <v>--</v>
      </c>
      <c r="V281" s="1314" t="str">
        <f ca="1">IF(CostTrack[[#This Row],[Vendor - Contract]]="","",INDEX(VendorList[Funding Source],MATCH(CostTrack[[#This Row],[Vendor - Contract]],VendorList[Vendor / Org. with Contract ID],0)))</f>
        <v>P-002360</v>
      </c>
      <c r="W281" s="1308">
        <v>44441</v>
      </c>
      <c r="X281" s="1315" t="str">
        <f ca="1">IF(CostTrack[[#This Row],[Release Date (CMS)]]="","*","")</f>
        <v/>
      </c>
      <c r="Y281" s="1308" t="s">
        <v>50</v>
      </c>
      <c r="Z281" s="713"/>
      <c r="AA281" s="1316">
        <f ca="1">IF(OR(CostTrack[[#This Row],[Release Date (CMS)]]&gt;=DATE(VALUE(REPLACE(CostTrack[[#This Row],[Fiscal Period]],3,3,"")),3,1),CostTrack[[#This Row],[Release Date (CMS)]]&lt;DATE(VALUE(LEFT(CostTrack[[#This Row],[Fiscal Period]],4)),4,1)),1,0)</f>
        <v>0</v>
      </c>
      <c r="AB281" s="1317">
        <v>1440</v>
      </c>
      <c r="AC281" s="1308">
        <v>44455</v>
      </c>
      <c r="AD281" s="402" t="str">
        <f ca="1">IF(CostTrack[[#This Row],[Reconciled Amount]]="","",IF(CostTrack[[#This Row],[Value]]&lt;&gt;CostTrack[[#This Row],[Reconciled Amount]],"Yes","No"))</f>
        <v>No</v>
      </c>
    </row>
    <row r="282" spans="2:30">
      <c r="B282" s="1306" t="s">
        <v>655</v>
      </c>
      <c r="C282" s="1312">
        <v>2786</v>
      </c>
      <c r="D282" s="1308">
        <v>44442</v>
      </c>
      <c r="E282" s="658">
        <v>1322</v>
      </c>
      <c r="F282" s="1309" t="s">
        <v>69</v>
      </c>
      <c r="G282" s="1310">
        <f ca="1">ROUND(IF(CostTrack[[#This Row],[Holdback (Y/N/R)]]="Yes",CostTrack[[#This Row],[Value]]*-0.1,IF(CostTrack[[#This Row],[Holdback (Y/N/R)]]="Release",CostTrack[[#This Row],[Value]],0)),2)</f>
        <v>0</v>
      </c>
      <c r="H282" s="1311">
        <f ca="1">IF(CostTrack[[#This Row],[Holdback (Y/N/R)]]="Release",CostTrack[[#This Row],[Value]],CostTrack[[#This Row],[Value]]+CostTrack[[#This Row],[Holdback Value]])</f>
        <v>1322</v>
      </c>
      <c r="I282" s="1312"/>
      <c r="J282" s="1312"/>
      <c r="K282" s="648">
        <v>44409</v>
      </c>
      <c r="L282" s="1308">
        <v>44442</v>
      </c>
      <c r="M282" s="1308"/>
      <c r="N282" s="1312"/>
      <c r="O282" s="1308" t="s">
        <v>106</v>
      </c>
      <c r="P282" s="1308">
        <v>44442</v>
      </c>
      <c r="Q282" s="1314" t="str">
        <f ca="1">IF(CostTrack[[#This Row],[Vendor - Contract]]="","",INDEX(VendorList[PA ID],MATCH(CostTrack[[#This Row],[Vendor - Contract]],VendorList[Vendor / Org. with Contract ID],0)))</f>
        <v>200.050.F1</v>
      </c>
      <c r="R282" s="1314" t="str">
        <f ca="1">IF(CostTrack[[#This Row],[Vendor - Contract]]="","",INDEX(VendorList[Primary Category],MATCH(CostTrack[[#This Row],[Vendor - Contract]],VendorList[Vendor / Org. with Contract ID],0)))</f>
        <v>Professional Services</v>
      </c>
      <c r="S282" s="1314" t="str">
        <f ca="1">IF(CostTrack[[#This Row],[Vendor - Contract]]="","",INDEX(VendorList[Secondary Category],MATCH(CostTrack[[#This Row],[Vendor - Contract]],VendorList[Vendor / Org. with Contract ID],0)))</f>
        <v>Other Professional Services</v>
      </c>
      <c r="T282" s="1314" t="str">
        <f ca="1">IF(CostTrack[[#This Row],[Vendor - Contract]]="","",INDEX(VendorList[Phase / Subproject],MATCH(CostTrack[[#This Row],[Vendor - Contract]],VendorList[Vendor / Org. with Contract ID],0)))</f>
        <v>--</v>
      </c>
      <c r="U282" s="1314" t="str">
        <f ca="1">IF(CostTrack[[#This Row],[Vendor - Contract]]="","",INDEX(VendorList[Phase / Subproject 2],MATCH(CostTrack[[#This Row],[Vendor - Contract]],VendorList[Vendor / Org. with Contract ID],0)))</f>
        <v>--</v>
      </c>
      <c r="V282" s="1314" t="str">
        <f ca="1">IF(CostTrack[[#This Row],[Vendor - Contract]]="","",INDEX(VendorList[Funding Source],MATCH(CostTrack[[#This Row],[Vendor - Contract]],VendorList[Vendor / Org. with Contract ID],0)))</f>
        <v>P-002360</v>
      </c>
      <c r="W282" s="1308">
        <v>44446</v>
      </c>
      <c r="X282" s="1315" t="str">
        <f ca="1">IF(CostTrack[[#This Row],[Release Date (CMS)]]="","*","")</f>
        <v/>
      </c>
      <c r="Y282" s="1308" t="s">
        <v>50</v>
      </c>
      <c r="Z282" s="713"/>
      <c r="AA282" s="1316">
        <f ca="1">IF(OR(CostTrack[[#This Row],[Release Date (CMS)]]&gt;=DATE(VALUE(REPLACE(CostTrack[[#This Row],[Fiscal Period]],3,3,"")),3,1),CostTrack[[#This Row],[Release Date (CMS)]]&lt;DATE(VALUE(LEFT(CostTrack[[#This Row],[Fiscal Period]],4)),4,1)),1,0)</f>
        <v>0</v>
      </c>
      <c r="AB282" s="1317">
        <v>1322</v>
      </c>
      <c r="AC282" s="1308">
        <v>44455</v>
      </c>
      <c r="AD282" s="402" t="str">
        <f ca="1">IF(CostTrack[[#This Row],[Reconciled Amount]]="","",IF(CostTrack[[#This Row],[Value]]&lt;&gt;CostTrack[[#This Row],[Reconciled Amount]],"Yes","No"))</f>
        <v>No</v>
      </c>
    </row>
    <row r="283" spans="2:30">
      <c r="B283" s="1306" t="s">
        <v>527</v>
      </c>
      <c r="C283" s="650" t="s">
        <v>1001</v>
      </c>
      <c r="D283" s="1308">
        <v>44439</v>
      </c>
      <c r="E283" s="658">
        <v>85876.09</v>
      </c>
      <c r="F283" s="1309" t="s">
        <v>69</v>
      </c>
      <c r="G283" s="1310">
        <f ca="1">ROUND(IF(CostTrack[[#This Row],[Holdback (Y/N/R)]]="Yes",CostTrack[[#This Row],[Value]]*-0.1,IF(CostTrack[[#This Row],[Holdback (Y/N/R)]]="Release",CostTrack[[#This Row],[Value]],0)),2)</f>
        <v>0</v>
      </c>
      <c r="H283" s="1311">
        <f ca="1">IF(CostTrack[[#This Row],[Holdback (Y/N/R)]]="Release",CostTrack[[#This Row],[Value]],CostTrack[[#This Row],[Value]]+CostTrack[[#This Row],[Holdback Value]])</f>
        <v>85876.09</v>
      </c>
      <c r="I283" s="1312"/>
      <c r="J283" s="1312"/>
      <c r="K283" s="648">
        <v>44440</v>
      </c>
      <c r="L283" s="1308">
        <v>44442</v>
      </c>
      <c r="M283" s="1308"/>
      <c r="N283" s="1312"/>
      <c r="O283" s="1308" t="s">
        <v>106</v>
      </c>
      <c r="P283" s="1308">
        <v>44446</v>
      </c>
      <c r="Q283" s="1314" t="str">
        <f ca="1">IF(CostTrack[[#This Row],[Vendor - Contract]]="","",INDEX(VendorList[PA ID],MATCH(CostTrack[[#This Row],[Vendor - Contract]],VendorList[Vendor / Org. with Contract ID],0)))</f>
        <v>200.010.F1</v>
      </c>
      <c r="R283" s="1314" t="str">
        <f ca="1">IF(CostTrack[[#This Row],[Vendor - Contract]]="","",INDEX(VendorList[Primary Category],MATCH(CostTrack[[#This Row],[Vendor - Contract]],VendorList[Vendor / Org. with Contract ID],0)))</f>
        <v>Professional Services</v>
      </c>
      <c r="S283" s="1314" t="str">
        <f ca="1">IF(CostTrack[[#This Row],[Vendor - Contract]]="","",INDEX(VendorList[Secondary Category],MATCH(CostTrack[[#This Row],[Vendor - Contract]],VendorList[Vendor / Org. with Contract ID],0)))</f>
        <v>Prime Consultant</v>
      </c>
      <c r="T283" s="1314" t="str">
        <f ca="1">IF(CostTrack[[#This Row],[Vendor - Contract]]="","",INDEX(VendorList[Phase / Subproject],MATCH(CostTrack[[#This Row],[Vendor - Contract]],VendorList[Vendor / Org. with Contract ID],0)))</f>
        <v>--</v>
      </c>
      <c r="U283" s="1314" t="str">
        <f ca="1">IF(CostTrack[[#This Row],[Vendor - Contract]]="","",INDEX(VendorList[Phase / Subproject 2],MATCH(CostTrack[[#This Row],[Vendor - Contract]],VendorList[Vendor / Org. with Contract ID],0)))</f>
        <v>--</v>
      </c>
      <c r="V283" s="1314" t="str">
        <f ca="1">IF(CostTrack[[#This Row],[Vendor - Contract]]="","",INDEX(VendorList[Funding Source],MATCH(CostTrack[[#This Row],[Vendor - Contract]],VendorList[Vendor / Org. with Contract ID],0)))</f>
        <v>P-002360</v>
      </c>
      <c r="W283" s="1308">
        <v>44446</v>
      </c>
      <c r="X283" s="1315" t="str">
        <f ca="1">IF(CostTrack[[#This Row],[Release Date (CMS)]]="","*","")</f>
        <v/>
      </c>
      <c r="Y283" s="1308" t="s">
        <v>50</v>
      </c>
      <c r="Z283" s="713"/>
      <c r="AA283" s="1316">
        <f ca="1">IF(OR(CostTrack[[#This Row],[Release Date (CMS)]]&gt;=DATE(VALUE(REPLACE(CostTrack[[#This Row],[Fiscal Period]],3,3,"")),3,1),CostTrack[[#This Row],[Release Date (CMS)]]&lt;DATE(VALUE(LEFT(CostTrack[[#This Row],[Fiscal Period]],4)),4,1)),1,0)</f>
        <v>0</v>
      </c>
      <c r="AB283" s="1317">
        <v>85876.09</v>
      </c>
      <c r="AC283" s="1308">
        <v>44455</v>
      </c>
      <c r="AD283" s="402" t="str">
        <f ca="1">IF(CostTrack[[#This Row],[Reconciled Amount]]="","",IF(CostTrack[[#This Row],[Value]]&lt;&gt;CostTrack[[#This Row],[Reconciled Amount]],"Yes","No"))</f>
        <v>No</v>
      </c>
    </row>
    <row r="284" spans="2:30" ht="18" customHeight="1">
      <c r="B284" s="1306" t="s">
        <v>624</v>
      </c>
      <c r="C284" s="1312">
        <v>1634835</v>
      </c>
      <c r="D284" s="1308">
        <v>44442</v>
      </c>
      <c r="E284" s="658">
        <v>43869</v>
      </c>
      <c r="F284" s="1309" t="s">
        <v>69</v>
      </c>
      <c r="G284" s="1310">
        <f ca="1">ROUND(IF(CostTrack[[#This Row],[Holdback (Y/N/R)]]="Yes",CostTrack[[#This Row],[Value]]*-0.1,IF(CostTrack[[#This Row],[Holdback (Y/N/R)]]="Release",CostTrack[[#This Row],[Value]],0)),2)</f>
        <v>0</v>
      </c>
      <c r="H284" s="1311">
        <f ca="1">IF(CostTrack[[#This Row],[Holdback (Y/N/R)]]="Release",CostTrack[[#This Row],[Value]],CostTrack[[#This Row],[Value]]+CostTrack[[#This Row],[Holdback Value]])</f>
        <v>43869</v>
      </c>
      <c r="I284" s="1312"/>
      <c r="J284" s="1312"/>
      <c r="K284" s="648">
        <v>44440</v>
      </c>
      <c r="L284" s="1308">
        <v>44442</v>
      </c>
      <c r="M284" s="1308"/>
      <c r="N284" s="1312"/>
      <c r="O284" s="1308" t="s">
        <v>106</v>
      </c>
      <c r="P284" s="1308">
        <v>44446</v>
      </c>
      <c r="Q284" s="1314" t="str">
        <f ca="1">IF(CostTrack[[#This Row],[Vendor - Contract]]="","",INDEX(VendorList[PA ID],MATCH(CostTrack[[#This Row],[Vendor - Contract]],VendorList[Vendor / Org. with Contract ID],0)))</f>
        <v>200.040.F1</v>
      </c>
      <c r="R284" s="1314" t="str">
        <f ca="1">IF(CostTrack[[#This Row],[Vendor - Contract]]="","",INDEX(VendorList[Primary Category],MATCH(CostTrack[[#This Row],[Vendor - Contract]],VendorList[Vendor / Org. with Contract ID],0)))</f>
        <v>Professional Services</v>
      </c>
      <c r="S284" s="1314" t="str">
        <f ca="1">IF(CostTrack[[#This Row],[Vendor - Contract]]="","",INDEX(VendorList[Secondary Category],MATCH(CostTrack[[#This Row],[Vendor - Contract]],VendorList[Vendor / Org. with Contract ID],0)))</f>
        <v>Commissioning</v>
      </c>
      <c r="T284" s="1314" t="str">
        <f ca="1">IF(CostTrack[[#This Row],[Vendor - Contract]]="","",INDEX(VendorList[Phase / Subproject],MATCH(CostTrack[[#This Row],[Vendor - Contract]],VendorList[Vendor / Org. with Contract ID],0)))</f>
        <v>--</v>
      </c>
      <c r="U284" s="1314" t="str">
        <f ca="1">IF(CostTrack[[#This Row],[Vendor - Contract]]="","",INDEX(VendorList[Phase / Subproject 2],MATCH(CostTrack[[#This Row],[Vendor - Contract]],VendorList[Vendor / Org. with Contract ID],0)))</f>
        <v>--</v>
      </c>
      <c r="V284" s="1314" t="str">
        <f ca="1">IF(CostTrack[[#This Row],[Vendor - Contract]]="","",INDEX(VendorList[Funding Source],MATCH(CostTrack[[#This Row],[Vendor - Contract]],VendorList[Vendor / Org. with Contract ID],0)))</f>
        <v>P-002360</v>
      </c>
      <c r="W284" s="1308">
        <v>44446</v>
      </c>
      <c r="X284" s="1315" t="str">
        <f ca="1">IF(CostTrack[[#This Row],[Release Date (CMS)]]="","*","")</f>
        <v/>
      </c>
      <c r="Y284" s="1308" t="s">
        <v>50</v>
      </c>
      <c r="Z284" s="713"/>
      <c r="AA284" s="1316">
        <f ca="1">IF(OR(CostTrack[[#This Row],[Release Date (CMS)]]&gt;=DATE(VALUE(REPLACE(CostTrack[[#This Row],[Fiscal Period]],3,3,"")),3,1),CostTrack[[#This Row],[Release Date (CMS)]]&lt;DATE(VALUE(LEFT(CostTrack[[#This Row],[Fiscal Period]],4)),4,1)),1,0)</f>
        <v>0</v>
      </c>
      <c r="AB284" s="1317">
        <v>43869</v>
      </c>
      <c r="AC284" s="1308">
        <v>44455</v>
      </c>
      <c r="AD284" s="402" t="str">
        <f ca="1">IF(CostTrack[[#This Row],[Reconciled Amount]]="","",IF(CostTrack[[#This Row],[Value]]&lt;&gt;CostTrack[[#This Row],[Reconciled Amount]],"Yes","No"))</f>
        <v>No</v>
      </c>
    </row>
    <row r="285" spans="2:30" ht="18" customHeight="1">
      <c r="B285" s="1306" t="s">
        <v>529</v>
      </c>
      <c r="C285" s="650" t="s">
        <v>1002</v>
      </c>
      <c r="D285" s="1308">
        <v>44439</v>
      </c>
      <c r="E285" s="658">
        <v>1693662.29</v>
      </c>
      <c r="F285" s="1309" t="s">
        <v>65</v>
      </c>
      <c r="G285" s="1310">
        <f ca="1">ROUND(IF(CostTrack[[#This Row],[Holdback (Y/N/R)]]="Yes",CostTrack[[#This Row],[Value]]*-0.1,IF(CostTrack[[#This Row],[Holdback (Y/N/R)]]="Release",CostTrack[[#This Row],[Value]],0)),2)</f>
        <v>-169366.23</v>
      </c>
      <c r="H285" s="1311">
        <f ca="1">IF(CostTrack[[#This Row],[Holdback (Y/N/R)]]="Release",CostTrack[[#This Row],[Value]],CostTrack[[#This Row],[Value]]+CostTrack[[#This Row],[Holdback Value]])</f>
        <v>1524296.06</v>
      </c>
      <c r="I285" s="1312">
        <v>13</v>
      </c>
      <c r="J285" s="1312"/>
      <c r="K285" s="648">
        <v>44440</v>
      </c>
      <c r="L285" s="1308">
        <v>44454</v>
      </c>
      <c r="M285" s="1308"/>
      <c r="N285" s="1312"/>
      <c r="O285" s="1308" t="s">
        <v>106</v>
      </c>
      <c r="P285" s="1308">
        <v>44454</v>
      </c>
      <c r="Q285" s="1314" t="str">
        <f ca="1">IF(CostTrack[[#This Row],[Vendor - Contract]]="","",INDEX(VendorList[PA ID],MATCH(CostTrack[[#This Row],[Vendor - Contract]],VendorList[Vendor / Org. with Contract ID],0)))</f>
        <v>300.030.F1</v>
      </c>
      <c r="R285" s="1314" t="str">
        <f ca="1">IF(CostTrack[[#This Row],[Vendor - Contract]]="","",INDEX(VendorList[Primary Category],MATCH(CostTrack[[#This Row],[Vendor - Contract]],VendorList[Vendor / Org. with Contract ID],0)))</f>
        <v>Construction</v>
      </c>
      <c r="S285" s="1314" t="str">
        <f ca="1">IF(CostTrack[[#This Row],[Vendor - Contract]]="","",INDEX(VendorList[Secondary Category],MATCH(CostTrack[[#This Row],[Vendor - Contract]],VendorList[Vendor / Org. with Contract ID],0)))</f>
        <v>Prime Contractor</v>
      </c>
      <c r="T285" s="1314" t="str">
        <f ca="1">IF(CostTrack[[#This Row],[Vendor - Contract]]="","",INDEX(VendorList[Phase / Subproject],MATCH(CostTrack[[#This Row],[Vendor - Contract]],VendorList[Vendor / Org. with Contract ID],0)))</f>
        <v>--</v>
      </c>
      <c r="U285" s="1314" t="str">
        <f ca="1">IF(CostTrack[[#This Row],[Vendor - Contract]]="","",INDEX(VendorList[Phase / Subproject 2],MATCH(CostTrack[[#This Row],[Vendor - Contract]],VendorList[Vendor / Org. with Contract ID],0)))</f>
        <v>--</v>
      </c>
      <c r="V285" s="1314" t="str">
        <f ca="1">IF(CostTrack[[#This Row],[Vendor - Contract]]="","",INDEX(VendorList[Funding Source],MATCH(CostTrack[[#This Row],[Vendor - Contract]],VendorList[Vendor / Org. with Contract ID],0)))</f>
        <v>P-002360</v>
      </c>
      <c r="W285" s="1308">
        <v>44455</v>
      </c>
      <c r="X285" s="1315" t="str">
        <f ca="1">IF(CostTrack[[#This Row],[Release Date (CMS)]]="","*","")</f>
        <v/>
      </c>
      <c r="Y285" s="1308" t="s">
        <v>50</v>
      </c>
      <c r="Z285" s="713"/>
      <c r="AA285" s="1316">
        <f ca="1">IF(OR(CostTrack[[#This Row],[Release Date (CMS)]]&gt;=DATE(VALUE(REPLACE(CostTrack[[#This Row],[Fiscal Period]],3,3,"")),3,1),CostTrack[[#This Row],[Release Date (CMS)]]&lt;DATE(VALUE(LEFT(CostTrack[[#This Row],[Fiscal Period]],4)),4,1)),1,0)</f>
        <v>0</v>
      </c>
      <c r="AB285" s="1317">
        <v>1693662.29</v>
      </c>
      <c r="AC285" s="1308">
        <v>44462</v>
      </c>
      <c r="AD285" s="402" t="str">
        <f ca="1">IF(CostTrack[[#This Row],[Reconciled Amount]]="","",IF(CostTrack[[#This Row],[Value]]&lt;&gt;CostTrack[[#This Row],[Reconciled Amount]],"Yes","No"))</f>
        <v>No</v>
      </c>
    </row>
    <row r="286" spans="2:30" ht="42">
      <c r="B286" s="1306" t="s">
        <v>736</v>
      </c>
      <c r="C286" s="650" t="s">
        <v>1003</v>
      </c>
      <c r="D286" s="1308">
        <v>44469</v>
      </c>
      <c r="E286" s="658">
        <v>36325.57</v>
      </c>
      <c r="F286" s="1309" t="s">
        <v>69</v>
      </c>
      <c r="G286" s="1310">
        <f ca="1">ROUND(IF(CostTrack[[#This Row],[Holdback (Y/N/R)]]="Yes",CostTrack[[#This Row],[Value]]*-0.1,IF(CostTrack[[#This Row],[Holdback (Y/N/R)]]="Release",CostTrack[[#This Row],[Value]],0)),2)</f>
        <v>0</v>
      </c>
      <c r="H286" s="1311">
        <f ca="1">IF(CostTrack[[#This Row],[Holdback (Y/N/R)]]="Release",CostTrack[[#This Row],[Value]],CostTrack[[#This Row],[Value]]+CostTrack[[#This Row],[Holdback Value]])</f>
        <v>36325.57</v>
      </c>
      <c r="I286" s="1312"/>
      <c r="J286" s="1312"/>
      <c r="K286" s="1313">
        <v>44440</v>
      </c>
      <c r="L286" s="1308">
        <v>44469</v>
      </c>
      <c r="M286" s="1308"/>
      <c r="N286" s="1312"/>
      <c r="O286" s="1308" t="s">
        <v>106</v>
      </c>
      <c r="P286" s="1308">
        <v>44469</v>
      </c>
      <c r="Q286" s="1314" t="str">
        <f ca="1">IF(CostTrack[[#This Row],[Vendor - Contract]]="","",INDEX(VendorList[PA ID],MATCH(CostTrack[[#This Row],[Vendor - Contract]],VendorList[Vendor / Org. with Contract ID],0)))</f>
        <v>100.010.F1</v>
      </c>
      <c r="R286" s="1314" t="str">
        <f ca="1">IF(CostTrack[[#This Row],[Vendor - Contract]]="","",INDEX(VendorList[Primary Category],MATCH(CostTrack[[#This Row],[Vendor - Contract]],VendorList[Vendor / Org. with Contract ID],0)))</f>
        <v>Administration</v>
      </c>
      <c r="S286" s="1314" t="str">
        <f ca="1">IF(CostTrack[[#This Row],[Vendor - Contract]]="","",INDEX(VendorList[Secondary Category],MATCH(CostTrack[[#This Row],[Vendor - Contract]],VendorList[Vendor / Org. with Contract ID],0)))</f>
        <v>Staff Capitalization - INFRA</v>
      </c>
      <c r="T286" s="1314" t="str">
        <f ca="1">IF(CostTrack[[#This Row],[Vendor - Contract]]="","",INDEX(VendorList[Phase / Subproject],MATCH(CostTrack[[#This Row],[Vendor - Contract]],VendorList[Vendor / Org. with Contract ID],0)))</f>
        <v>--</v>
      </c>
      <c r="U286" s="1314" t="str">
        <f ca="1">IF(CostTrack[[#This Row],[Vendor - Contract]]="","",INDEX(VendorList[Phase / Subproject 2],MATCH(CostTrack[[#This Row],[Vendor - Contract]],VendorList[Vendor / Org. with Contract ID],0)))</f>
        <v>--</v>
      </c>
      <c r="V286" s="1314" t="str">
        <f ca="1">IF(CostTrack[[#This Row],[Vendor - Contract]]="","",INDEX(VendorList[Funding Source],MATCH(CostTrack[[#This Row],[Vendor - Contract]],VendorList[Vendor / Org. with Contract ID],0)))</f>
        <v>P-002360</v>
      </c>
      <c r="W286" s="703">
        <v>44469</v>
      </c>
      <c r="X286" s="1315" t="str">
        <f ca="1">IF(CostTrack[[#This Row],[Release Date (CMS)]]="","*","")</f>
        <v/>
      </c>
      <c r="Y286" s="1308" t="s">
        <v>50</v>
      </c>
      <c r="Z286" s="652" t="s">
        <v>1004</v>
      </c>
      <c r="AA286" s="1316">
        <f ca="1">IF(OR(CostTrack[[#This Row],[Release Date (CMS)]]&gt;=DATE(VALUE(REPLACE(CostTrack[[#This Row],[Fiscal Period]],3,3,"")),3,1),CostTrack[[#This Row],[Release Date (CMS)]]&lt;DATE(VALUE(LEFT(CostTrack[[#This Row],[Fiscal Period]],4)),4,1)),1,0)</f>
        <v>0</v>
      </c>
      <c r="AB286" s="1317">
        <v>36325.57</v>
      </c>
      <c r="AC286" s="1308">
        <v>44483</v>
      </c>
      <c r="AD286" s="402" t="str">
        <f ca="1">IF(CostTrack[[#This Row],[Reconciled Amount]]="","",IF(CostTrack[[#This Row],[Value]]&lt;&gt;CostTrack[[#This Row],[Reconciled Amount]],"Yes","No"))</f>
        <v>No</v>
      </c>
    </row>
    <row r="287" spans="2:30">
      <c r="B287" s="653" t="s">
        <v>528</v>
      </c>
      <c r="C287" s="650">
        <v>60722614</v>
      </c>
      <c r="D287" s="267">
        <v>44456</v>
      </c>
      <c r="E287" s="654">
        <v>5803.5</v>
      </c>
      <c r="F287" s="647" t="s">
        <v>69</v>
      </c>
      <c r="G287" s="406">
        <f ca="1">ROUND(IF(CostTrack[[#This Row],[Holdback (Y/N/R)]]="Yes",CostTrack[[#This Row],[Value]]*-0.1,IF(CostTrack[[#This Row],[Holdback (Y/N/R)]]="Release",CostTrack[[#This Row],[Value]],0)),2)</f>
        <v>0</v>
      </c>
      <c r="H287" s="407">
        <f ca="1">IF(CostTrack[[#This Row],[Holdback (Y/N/R)]]="Release",CostTrack[[#This Row],[Value]],CostTrack[[#This Row],[Value]]+CostTrack[[#This Row],[Holdback Value]])</f>
        <v>5803.5</v>
      </c>
      <c r="I287" s="650"/>
      <c r="J287" s="650"/>
      <c r="K287" s="648">
        <v>44440</v>
      </c>
      <c r="L287" s="267">
        <v>44462</v>
      </c>
      <c r="M287" s="267"/>
      <c r="N287" s="650"/>
      <c r="O287" s="267" t="s">
        <v>106</v>
      </c>
      <c r="P287" s="267">
        <v>44462</v>
      </c>
      <c r="Q287" s="243" t="str">
        <f ca="1">IF(CostTrack[[#This Row],[Vendor - Contract]]="","",INDEX(VendorList[PA ID],MATCH(CostTrack[[#This Row],[Vendor - Contract]],VendorList[Vendor / Org. with Contract ID],0)))</f>
        <v>200.050.F1</v>
      </c>
      <c r="R287" s="243" t="str">
        <f ca="1">IF(CostTrack[[#This Row],[Vendor - Contract]]="","",INDEX(VendorList[Primary Category],MATCH(CostTrack[[#This Row],[Vendor - Contract]],VendorList[Vendor / Org. with Contract ID],0)))</f>
        <v>Professional Services</v>
      </c>
      <c r="S287" s="243" t="str">
        <f ca="1">IF(CostTrack[[#This Row],[Vendor - Contract]]="","",INDEX(VendorList[Secondary Category],MATCH(CostTrack[[#This Row],[Vendor - Contract]],VendorList[Vendor / Org. with Contract ID],0)))</f>
        <v>Other Professional Services</v>
      </c>
      <c r="T287" s="243" t="str">
        <f ca="1">IF(CostTrack[[#This Row],[Vendor - Contract]]="","",INDEX(VendorList[Phase / Subproject],MATCH(CostTrack[[#This Row],[Vendor - Contract]],VendorList[Vendor / Org. with Contract ID],0)))</f>
        <v>--</v>
      </c>
      <c r="U287" s="243" t="str">
        <f ca="1">IF(CostTrack[[#This Row],[Vendor - Contract]]="","",INDEX(VendorList[Phase / Subproject 2],MATCH(CostTrack[[#This Row],[Vendor - Contract]],VendorList[Vendor / Org. with Contract ID],0)))</f>
        <v>--</v>
      </c>
      <c r="V287" s="243" t="str">
        <f ca="1">IF(CostTrack[[#This Row],[Vendor - Contract]]="","",INDEX(VendorList[Funding Source],MATCH(CostTrack[[#This Row],[Vendor - Contract]],VendorList[Vendor / Org. with Contract ID],0)))</f>
        <v>P-002360</v>
      </c>
      <c r="W287" s="267">
        <v>44462</v>
      </c>
      <c r="X287" s="251" t="str">
        <f ca="1">IF(CostTrack[[#This Row],[Release Date (CMS)]]="","*","")</f>
        <v/>
      </c>
      <c r="Y287" s="267" t="s">
        <v>50</v>
      </c>
      <c r="Z287" s="652"/>
      <c r="AA287" s="245">
        <f ca="1">IF(OR(CostTrack[[#This Row],[Release Date (CMS)]]&gt;=DATE(VALUE(REPLACE(CostTrack[[#This Row],[Fiscal Period]],3,3,"")),3,1),CostTrack[[#This Row],[Release Date (CMS)]]&lt;DATE(VALUE(LEFT(CostTrack[[#This Row],[Fiscal Period]],4)),4,1)),1,0)</f>
        <v>0</v>
      </c>
      <c r="AB287" s="655">
        <v>5803.5</v>
      </c>
      <c r="AC287" s="1308">
        <v>44483</v>
      </c>
      <c r="AD287" s="402" t="str">
        <f ca="1">IF(CostTrack[[#This Row],[Reconciled Amount]]="","",IF(CostTrack[[#This Row],[Value]]&lt;&gt;CostTrack[[#This Row],[Reconciled Amount]],"Yes","No"))</f>
        <v>No</v>
      </c>
    </row>
    <row r="288" spans="2:30">
      <c r="B288" s="1306" t="s">
        <v>624</v>
      </c>
      <c r="C288" s="1312">
        <v>1643496</v>
      </c>
      <c r="D288" s="1308">
        <v>44470</v>
      </c>
      <c r="E288" s="658">
        <v>3600</v>
      </c>
      <c r="F288" s="1309" t="s">
        <v>69</v>
      </c>
      <c r="G288" s="1310">
        <f ca="1">ROUND(IF(CostTrack[[#This Row],[Holdback (Y/N/R)]]="Yes",CostTrack[[#This Row],[Value]]*-0.1,IF(CostTrack[[#This Row],[Holdback (Y/N/R)]]="Release",CostTrack[[#This Row],[Value]],0)),2)</f>
        <v>0</v>
      </c>
      <c r="H288" s="1311">
        <f ca="1">IF(CostTrack[[#This Row],[Holdback (Y/N/R)]]="Release",CostTrack[[#This Row],[Value]],CostTrack[[#This Row],[Value]]+CostTrack[[#This Row],[Holdback Value]])</f>
        <v>3600</v>
      </c>
      <c r="I288" s="1312"/>
      <c r="J288" s="1312"/>
      <c r="K288" s="1313">
        <v>44440</v>
      </c>
      <c r="L288" s="1308">
        <v>44473</v>
      </c>
      <c r="M288" s="1308"/>
      <c r="N288" s="1312"/>
      <c r="O288" s="1308" t="s">
        <v>106</v>
      </c>
      <c r="P288" s="1308">
        <v>44473</v>
      </c>
      <c r="Q288" s="1314" t="str">
        <f ca="1">IF(CostTrack[[#This Row],[Vendor - Contract]]="","",INDEX(VendorList[PA ID],MATCH(CostTrack[[#This Row],[Vendor - Contract]],VendorList[Vendor / Org. with Contract ID],0)))</f>
        <v>200.040.F1</v>
      </c>
      <c r="R288" s="1314" t="str">
        <f ca="1">IF(CostTrack[[#This Row],[Vendor - Contract]]="","",INDEX(VendorList[Primary Category],MATCH(CostTrack[[#This Row],[Vendor - Contract]],VendorList[Vendor / Org. with Contract ID],0)))</f>
        <v>Professional Services</v>
      </c>
      <c r="S288" s="1314" t="str">
        <f ca="1">IF(CostTrack[[#This Row],[Vendor - Contract]]="","",INDEX(VendorList[Secondary Category],MATCH(CostTrack[[#This Row],[Vendor - Contract]],VendorList[Vendor / Org. with Contract ID],0)))</f>
        <v>Commissioning</v>
      </c>
      <c r="T288" s="1314" t="str">
        <f ca="1">IF(CostTrack[[#This Row],[Vendor - Contract]]="","",INDEX(VendorList[Phase / Subproject],MATCH(CostTrack[[#This Row],[Vendor - Contract]],VendorList[Vendor / Org. with Contract ID],0)))</f>
        <v>--</v>
      </c>
      <c r="U288" s="1314" t="str">
        <f ca="1">IF(CostTrack[[#This Row],[Vendor - Contract]]="","",INDEX(VendorList[Phase / Subproject 2],MATCH(CostTrack[[#This Row],[Vendor - Contract]],VendorList[Vendor / Org. with Contract ID],0)))</f>
        <v>--</v>
      </c>
      <c r="V288" s="1314" t="str">
        <f ca="1">IF(CostTrack[[#This Row],[Vendor - Contract]]="","",INDEX(VendorList[Funding Source],MATCH(CostTrack[[#This Row],[Vendor - Contract]],VendorList[Vendor / Org. with Contract ID],0)))</f>
        <v>P-002360</v>
      </c>
      <c r="W288" s="1308">
        <v>44473</v>
      </c>
      <c r="X288" s="1315" t="str">
        <f ca="1">IF(CostTrack[[#This Row],[Release Date (CMS)]]="","*","")</f>
        <v/>
      </c>
      <c r="Y288" s="1308" t="s">
        <v>50</v>
      </c>
      <c r="Z288" s="713"/>
      <c r="AA288" s="1316">
        <f ca="1">IF(OR(CostTrack[[#This Row],[Release Date (CMS)]]&gt;=DATE(VALUE(REPLACE(CostTrack[[#This Row],[Fiscal Period]],3,3,"")),3,1),CostTrack[[#This Row],[Release Date (CMS)]]&lt;DATE(VALUE(LEFT(CostTrack[[#This Row],[Fiscal Period]],4)),4,1)),1,0)</f>
        <v>0</v>
      </c>
      <c r="AB288" s="1317">
        <v>3600</v>
      </c>
      <c r="AC288" s="1308">
        <v>44483</v>
      </c>
      <c r="AD288" s="402" t="str">
        <f ca="1">IF(CostTrack[[#This Row],[Reconciled Amount]]="","",IF(CostTrack[[#This Row],[Value]]&lt;&gt;CostTrack[[#This Row],[Reconciled Amount]],"Yes","No"))</f>
        <v>No</v>
      </c>
    </row>
    <row r="289" spans="2:30">
      <c r="B289" s="1306" t="s">
        <v>662</v>
      </c>
      <c r="C289" s="1312">
        <v>4819</v>
      </c>
      <c r="D289" s="1308">
        <v>44469</v>
      </c>
      <c r="E289" s="658">
        <v>1440</v>
      </c>
      <c r="F289" s="1309" t="s">
        <v>69</v>
      </c>
      <c r="G289" s="1310">
        <f ca="1">ROUND(IF(CostTrack[[#This Row],[Holdback (Y/N/R)]]="Yes",CostTrack[[#This Row],[Value]]*-0.1,IF(CostTrack[[#This Row],[Holdback (Y/N/R)]]="Release",CostTrack[[#This Row],[Value]],0)),2)</f>
        <v>0</v>
      </c>
      <c r="H289" s="1311">
        <f ca="1">IF(CostTrack[[#This Row],[Holdback (Y/N/R)]]="Release",CostTrack[[#This Row],[Value]],CostTrack[[#This Row],[Value]]+CostTrack[[#This Row],[Holdback Value]])</f>
        <v>1440</v>
      </c>
      <c r="I289" s="1312"/>
      <c r="J289" s="1312"/>
      <c r="K289" s="1313">
        <v>44440</v>
      </c>
      <c r="L289" s="1308">
        <v>44475</v>
      </c>
      <c r="M289" s="1308"/>
      <c r="N289" s="1312"/>
      <c r="O289" s="1308" t="s">
        <v>106</v>
      </c>
      <c r="P289" s="1308">
        <v>44475</v>
      </c>
      <c r="Q289" s="1314" t="str">
        <f ca="1">IF(CostTrack[[#This Row],[Vendor - Contract]]="","",INDEX(VendorList[PA ID],MATCH(CostTrack[[#This Row],[Vendor - Contract]],VendorList[Vendor / Org. with Contract ID],0)))</f>
        <v>200.050.F1</v>
      </c>
      <c r="R289" s="1314" t="str">
        <f ca="1">IF(CostTrack[[#This Row],[Vendor - Contract]]="","",INDEX(VendorList[Primary Category],MATCH(CostTrack[[#This Row],[Vendor - Contract]],VendorList[Vendor / Org. with Contract ID],0)))</f>
        <v>Professional Services</v>
      </c>
      <c r="S289" s="1314" t="str">
        <f ca="1">IF(CostTrack[[#This Row],[Vendor - Contract]]="","",INDEX(VendorList[Secondary Category],MATCH(CostTrack[[#This Row],[Vendor - Contract]],VendorList[Vendor / Org. with Contract ID],0)))</f>
        <v>Other Professional Services</v>
      </c>
      <c r="T289" s="1314" t="str">
        <f ca="1">IF(CostTrack[[#This Row],[Vendor - Contract]]="","",INDEX(VendorList[Phase / Subproject],MATCH(CostTrack[[#This Row],[Vendor - Contract]],VendorList[Vendor / Org. with Contract ID],0)))</f>
        <v>--</v>
      </c>
      <c r="U289" s="1314" t="str">
        <f ca="1">IF(CostTrack[[#This Row],[Vendor - Contract]]="","",INDEX(VendorList[Phase / Subproject 2],MATCH(CostTrack[[#This Row],[Vendor - Contract]],VendorList[Vendor / Org. with Contract ID],0)))</f>
        <v>--</v>
      </c>
      <c r="V289" s="1314" t="str">
        <f ca="1">IF(CostTrack[[#This Row],[Vendor - Contract]]="","",INDEX(VendorList[Funding Source],MATCH(CostTrack[[#This Row],[Vendor - Contract]],VendorList[Vendor / Org. with Contract ID],0)))</f>
        <v>P-002360</v>
      </c>
      <c r="W289" s="1308">
        <v>44475</v>
      </c>
      <c r="X289" s="1315" t="str">
        <f ca="1">IF(CostTrack[[#This Row],[Release Date (CMS)]]="","*","")</f>
        <v/>
      </c>
      <c r="Y289" s="1308" t="s">
        <v>50</v>
      </c>
      <c r="Z289" s="713"/>
      <c r="AA289" s="1316">
        <f ca="1">IF(OR(CostTrack[[#This Row],[Release Date (CMS)]]&gt;=DATE(VALUE(REPLACE(CostTrack[[#This Row],[Fiscal Period]],3,3,"")),3,1),CostTrack[[#This Row],[Release Date (CMS)]]&lt;DATE(VALUE(LEFT(CostTrack[[#This Row],[Fiscal Period]],4)),4,1)),1,0)</f>
        <v>0</v>
      </c>
      <c r="AB289" s="1317">
        <v>1440</v>
      </c>
      <c r="AC289" s="1308">
        <v>44483</v>
      </c>
      <c r="AD289" s="402" t="str">
        <f ca="1">IF(CostTrack[[#This Row],[Reconciled Amount]]="","",IF(CostTrack[[#This Row],[Value]]&lt;&gt;CostTrack[[#This Row],[Reconciled Amount]],"Yes","No"))</f>
        <v>No</v>
      </c>
    </row>
    <row r="290" spans="2:30">
      <c r="B290" s="1306" t="s">
        <v>527</v>
      </c>
      <c r="C290" s="1312" t="s">
        <v>1005</v>
      </c>
      <c r="D290" s="1308">
        <v>44469</v>
      </c>
      <c r="E290" s="658">
        <v>64299.09</v>
      </c>
      <c r="F290" s="1309" t="s">
        <v>69</v>
      </c>
      <c r="G290" s="1310">
        <f ca="1">ROUND(IF(CostTrack[[#This Row],[Holdback (Y/N/R)]]="Yes",CostTrack[[#This Row],[Value]]*-0.1,IF(CostTrack[[#This Row],[Holdback (Y/N/R)]]="Release",CostTrack[[#This Row],[Value]],0)),2)</f>
        <v>0</v>
      </c>
      <c r="H290" s="1311">
        <f ca="1">IF(CostTrack[[#This Row],[Holdback (Y/N/R)]]="Release",CostTrack[[#This Row],[Value]],CostTrack[[#This Row],[Value]]+CostTrack[[#This Row],[Holdback Value]])</f>
        <v>64299.09</v>
      </c>
      <c r="I290" s="1312"/>
      <c r="J290" s="1312"/>
      <c r="K290" s="1313">
        <v>44440</v>
      </c>
      <c r="L290" s="1308">
        <v>44476</v>
      </c>
      <c r="M290" s="1308"/>
      <c r="N290" s="1312"/>
      <c r="O290" s="1308" t="s">
        <v>106</v>
      </c>
      <c r="P290" s="1308">
        <v>44476</v>
      </c>
      <c r="Q290" s="1314" t="str">
        <f ca="1">IF(CostTrack[[#This Row],[Vendor - Contract]]="","",INDEX(VendorList[PA ID],MATCH(CostTrack[[#This Row],[Vendor - Contract]],VendorList[Vendor / Org. with Contract ID],0)))</f>
        <v>200.010.F1</v>
      </c>
      <c r="R290" s="1314" t="str">
        <f ca="1">IF(CostTrack[[#This Row],[Vendor - Contract]]="","",INDEX(VendorList[Primary Category],MATCH(CostTrack[[#This Row],[Vendor - Contract]],VendorList[Vendor / Org. with Contract ID],0)))</f>
        <v>Professional Services</v>
      </c>
      <c r="S290" s="1314" t="str">
        <f ca="1">IF(CostTrack[[#This Row],[Vendor - Contract]]="","",INDEX(VendorList[Secondary Category],MATCH(CostTrack[[#This Row],[Vendor - Contract]],VendorList[Vendor / Org. with Contract ID],0)))</f>
        <v>Prime Consultant</v>
      </c>
      <c r="T290" s="1314" t="str">
        <f ca="1">IF(CostTrack[[#This Row],[Vendor - Contract]]="","",INDEX(VendorList[Phase / Subproject],MATCH(CostTrack[[#This Row],[Vendor - Contract]],VendorList[Vendor / Org. with Contract ID],0)))</f>
        <v>--</v>
      </c>
      <c r="U290" s="1314" t="str">
        <f ca="1">IF(CostTrack[[#This Row],[Vendor - Contract]]="","",INDEX(VendorList[Phase / Subproject 2],MATCH(CostTrack[[#This Row],[Vendor - Contract]],VendorList[Vendor / Org. with Contract ID],0)))</f>
        <v>--</v>
      </c>
      <c r="V290" s="1314" t="str">
        <f ca="1">IF(CostTrack[[#This Row],[Vendor - Contract]]="","",INDEX(VendorList[Funding Source],MATCH(CostTrack[[#This Row],[Vendor - Contract]],VendorList[Vendor / Org. with Contract ID],0)))</f>
        <v>P-002360</v>
      </c>
      <c r="W290" s="1308">
        <v>44477</v>
      </c>
      <c r="X290" s="1315" t="str">
        <f ca="1">IF(CostTrack[[#This Row],[Release Date (CMS)]]="","*","")</f>
        <v/>
      </c>
      <c r="Y290" s="1308" t="s">
        <v>50</v>
      </c>
      <c r="Z290" s="713"/>
      <c r="AA290" s="1316">
        <f ca="1">IF(OR(CostTrack[[#This Row],[Release Date (CMS)]]&gt;=DATE(VALUE(REPLACE(CostTrack[[#This Row],[Fiscal Period]],3,3,"")),3,1),CostTrack[[#This Row],[Release Date (CMS)]]&lt;DATE(VALUE(LEFT(CostTrack[[#This Row],[Fiscal Period]],4)),4,1)),1,0)</f>
        <v>0</v>
      </c>
      <c r="AB290" s="1317">
        <v>64299.09</v>
      </c>
      <c r="AC290" s="1308">
        <v>44483</v>
      </c>
      <c r="AD290" s="402" t="str">
        <f ca="1">IF(CostTrack[[#This Row],[Reconciled Amount]]="","",IF(CostTrack[[#This Row],[Value]]&lt;&gt;CostTrack[[#This Row],[Reconciled Amount]],"Yes","No"))</f>
        <v>No</v>
      </c>
    </row>
    <row r="291" spans="2:30" ht="55.9">
      <c r="B291" s="1306" t="s">
        <v>736</v>
      </c>
      <c r="C291" s="650" t="s">
        <v>1006</v>
      </c>
      <c r="D291" s="1308">
        <v>44500</v>
      </c>
      <c r="E291" s="658">
        <v>46806.44</v>
      </c>
      <c r="F291" s="1309" t="s">
        <v>69</v>
      </c>
      <c r="G291" s="1310">
        <f ca="1">ROUND(IF(CostTrack[[#This Row],[Holdback (Y/N/R)]]="Yes",CostTrack[[#This Row],[Value]]*-0.1,IF(CostTrack[[#This Row],[Holdback (Y/N/R)]]="Release",CostTrack[[#This Row],[Value]],0)),2)</f>
        <v>0</v>
      </c>
      <c r="H291" s="1311">
        <f ca="1">IF(CostTrack[[#This Row],[Holdback (Y/N/R)]]="Release",CostTrack[[#This Row],[Value]],CostTrack[[#This Row],[Value]]+CostTrack[[#This Row],[Holdback Value]])</f>
        <v>46806.44</v>
      </c>
      <c r="I291" s="1312"/>
      <c r="J291" s="1312"/>
      <c r="K291" s="1313">
        <v>44470</v>
      </c>
      <c r="L291" s="1308">
        <v>44511</v>
      </c>
      <c r="M291" s="1308"/>
      <c r="N291" s="1312"/>
      <c r="O291" s="1308" t="s">
        <v>106</v>
      </c>
      <c r="P291" s="1308">
        <v>44500</v>
      </c>
      <c r="Q291" s="1314" t="str">
        <f ca="1">IF(CostTrack[[#This Row],[Vendor - Contract]]="","",INDEX(VendorList[PA ID],MATCH(CostTrack[[#This Row],[Vendor - Contract]],VendorList[Vendor / Org. with Contract ID],0)))</f>
        <v>100.010.F1</v>
      </c>
      <c r="R291" s="1314" t="str">
        <f ca="1">IF(CostTrack[[#This Row],[Vendor - Contract]]="","",INDEX(VendorList[Primary Category],MATCH(CostTrack[[#This Row],[Vendor - Contract]],VendorList[Vendor / Org. with Contract ID],0)))</f>
        <v>Administration</v>
      </c>
      <c r="S291" s="1314" t="str">
        <f ca="1">IF(CostTrack[[#This Row],[Vendor - Contract]]="","",INDEX(VendorList[Secondary Category],MATCH(CostTrack[[#This Row],[Vendor - Contract]],VendorList[Vendor / Org. with Contract ID],0)))</f>
        <v>Staff Capitalization - INFRA</v>
      </c>
      <c r="T291" s="1314" t="str">
        <f ca="1">IF(CostTrack[[#This Row],[Vendor - Contract]]="","",INDEX(VendorList[Phase / Subproject],MATCH(CostTrack[[#This Row],[Vendor - Contract]],VendorList[Vendor / Org. with Contract ID],0)))</f>
        <v>--</v>
      </c>
      <c r="U291" s="1314" t="str">
        <f ca="1">IF(CostTrack[[#This Row],[Vendor - Contract]]="","",INDEX(VendorList[Phase / Subproject 2],MATCH(CostTrack[[#This Row],[Vendor - Contract]],VendorList[Vendor / Org. with Contract ID],0)))</f>
        <v>--</v>
      </c>
      <c r="V291" s="1314" t="str">
        <f ca="1">IF(CostTrack[[#This Row],[Vendor - Contract]]="","",INDEX(VendorList[Funding Source],MATCH(CostTrack[[#This Row],[Vendor - Contract]],VendorList[Vendor / Org. with Contract ID],0)))</f>
        <v>P-002360</v>
      </c>
      <c r="W291" s="1308">
        <v>44500</v>
      </c>
      <c r="X291" s="1315" t="str">
        <f ca="1">IF(CostTrack[[#This Row],[Release Date (CMS)]]="","*","")</f>
        <v/>
      </c>
      <c r="Y291" s="1308" t="s">
        <v>50</v>
      </c>
      <c r="Z291" s="713" t="s">
        <v>1007</v>
      </c>
      <c r="AA291" s="1316">
        <f ca="1">IF(OR(CostTrack[[#This Row],[Release Date (CMS)]]&gt;=DATE(VALUE(REPLACE(CostTrack[[#This Row],[Fiscal Period]],3,3,"")),3,1),CostTrack[[#This Row],[Release Date (CMS)]]&lt;DATE(VALUE(LEFT(CostTrack[[#This Row],[Fiscal Period]],4)),4,1)),1,0)</f>
        <v>0</v>
      </c>
      <c r="AB291" s="1317">
        <v>46806.44</v>
      </c>
      <c r="AC291" s="1308">
        <v>44515</v>
      </c>
      <c r="AD291" s="402" t="str">
        <f ca="1">IF(CostTrack[[#This Row],[Reconciled Amount]]="","",IF(CostTrack[[#This Row],[Value]]&lt;&gt;CostTrack[[#This Row],[Reconciled Amount]],"Yes","No"))</f>
        <v>No</v>
      </c>
    </row>
    <row r="292" spans="2:30" ht="27.95">
      <c r="B292" s="1306" t="s">
        <v>529</v>
      </c>
      <c r="C292" s="1312">
        <v>26196</v>
      </c>
      <c r="D292" s="1308">
        <v>44468</v>
      </c>
      <c r="E292" s="658">
        <v>2399234.37</v>
      </c>
      <c r="F292" s="1309" t="s">
        <v>65</v>
      </c>
      <c r="G292" s="1310">
        <f ca="1">ROUND(IF(CostTrack[[#This Row],[Holdback (Y/N/R)]]="Yes",CostTrack[[#This Row],[Value]]*-0.1,IF(CostTrack[[#This Row],[Holdback (Y/N/R)]]="Release",CostTrack[[#This Row],[Value]],0)),2)</f>
        <v>-239923.44</v>
      </c>
      <c r="H292" s="1311">
        <f ca="1">IF(CostTrack[[#This Row],[Holdback (Y/N/R)]]="Release",CostTrack[[#This Row],[Value]],CostTrack[[#This Row],[Value]]+CostTrack[[#This Row],[Holdback Value]])</f>
        <v>2159310.9300000002</v>
      </c>
      <c r="I292" s="1312">
        <v>14</v>
      </c>
      <c r="J292" s="1312"/>
      <c r="K292" s="1313">
        <v>44470</v>
      </c>
      <c r="L292" s="1308">
        <v>44484</v>
      </c>
      <c r="M292" s="1308"/>
      <c r="N292" s="1312"/>
      <c r="O292" s="1308" t="s">
        <v>106</v>
      </c>
      <c r="P292" s="1308">
        <v>44484</v>
      </c>
      <c r="Q292" s="1314" t="str">
        <f ca="1">IF(CostTrack[[#This Row],[Vendor - Contract]]="","",INDEX(VendorList[PA ID],MATCH(CostTrack[[#This Row],[Vendor - Contract]],VendorList[Vendor / Org. with Contract ID],0)))</f>
        <v>300.030.F1</v>
      </c>
      <c r="R292" s="1314" t="str">
        <f ca="1">IF(CostTrack[[#This Row],[Vendor - Contract]]="","",INDEX(VendorList[Primary Category],MATCH(CostTrack[[#This Row],[Vendor - Contract]],VendorList[Vendor / Org. with Contract ID],0)))</f>
        <v>Construction</v>
      </c>
      <c r="S292" s="1314" t="str">
        <f ca="1">IF(CostTrack[[#This Row],[Vendor - Contract]]="","",INDEX(VendorList[Secondary Category],MATCH(CostTrack[[#This Row],[Vendor - Contract]],VendorList[Vendor / Org. with Contract ID],0)))</f>
        <v>Prime Contractor</v>
      </c>
      <c r="T292" s="1314" t="str">
        <f ca="1">IF(CostTrack[[#This Row],[Vendor - Contract]]="","",INDEX(VendorList[Phase / Subproject],MATCH(CostTrack[[#This Row],[Vendor - Contract]],VendorList[Vendor / Org. with Contract ID],0)))</f>
        <v>--</v>
      </c>
      <c r="U292" s="1314" t="str">
        <f ca="1">IF(CostTrack[[#This Row],[Vendor - Contract]]="","",INDEX(VendorList[Phase / Subproject 2],MATCH(CostTrack[[#This Row],[Vendor - Contract]],VendorList[Vendor / Org. with Contract ID],0)))</f>
        <v>--</v>
      </c>
      <c r="V292" s="1314" t="str">
        <f ca="1">IF(CostTrack[[#This Row],[Vendor - Contract]]="","",INDEX(VendorList[Funding Source],MATCH(CostTrack[[#This Row],[Vendor - Contract]],VendorList[Vendor / Org. with Contract ID],0)))</f>
        <v>P-002360</v>
      </c>
      <c r="W292" s="1308">
        <v>44487</v>
      </c>
      <c r="X292" s="1315" t="str">
        <f ca="1">IF(CostTrack[[#This Row],[Release Date (CMS)]]="","*","")</f>
        <v/>
      </c>
      <c r="Y292" s="1308" t="s">
        <v>50</v>
      </c>
      <c r="Z292" s="713" t="s">
        <v>1008</v>
      </c>
      <c r="AA292" s="1316">
        <f ca="1">IF(OR(CostTrack[[#This Row],[Release Date (CMS)]]&gt;=DATE(VALUE(REPLACE(CostTrack[[#This Row],[Fiscal Period]],3,3,"")),3,1),CostTrack[[#This Row],[Release Date (CMS)]]&lt;DATE(VALUE(LEFT(CostTrack[[#This Row],[Fiscal Period]],4)),4,1)),1,0)</f>
        <v>0</v>
      </c>
      <c r="AB292" s="1317">
        <v>2399234.37</v>
      </c>
      <c r="AC292" s="1308">
        <v>44522</v>
      </c>
      <c r="AD292" s="402" t="str">
        <f ca="1">IF(CostTrack[[#This Row],[Reconciled Amount]]="","",IF(CostTrack[[#This Row],[Value]]&lt;&gt;CostTrack[[#This Row],[Reconciled Amount]],"Yes","No"))</f>
        <v>No</v>
      </c>
    </row>
    <row r="293" spans="2:30" ht="75" customHeight="1">
      <c r="B293" s="1306" t="s">
        <v>731</v>
      </c>
      <c r="C293" s="1323">
        <v>800042572</v>
      </c>
      <c r="D293" s="1308">
        <v>44496</v>
      </c>
      <c r="E293" s="658">
        <v>169.38</v>
      </c>
      <c r="F293" s="1309" t="s">
        <v>69</v>
      </c>
      <c r="G293" s="1310">
        <f ca="1">ROUND(IF(CostTrack[[#This Row],[Holdback (Y/N/R)]]="Yes",CostTrack[[#This Row],[Value]]*-0.1,IF(CostTrack[[#This Row],[Holdback (Y/N/R)]]="Release",CostTrack[[#This Row],[Value]],0)),2)</f>
        <v>0</v>
      </c>
      <c r="H293" s="1311">
        <f ca="1">IF(CostTrack[[#This Row],[Holdback (Y/N/R)]]="Release",CostTrack[[#This Row],[Value]],CostTrack[[#This Row],[Value]]+CostTrack[[#This Row],[Holdback Value]])</f>
        <v>169.38</v>
      </c>
      <c r="I293" s="1312"/>
      <c r="J293" s="1312"/>
      <c r="K293" s="1313"/>
      <c r="L293" s="1308">
        <v>44496</v>
      </c>
      <c r="M293" s="1308"/>
      <c r="N293" s="1312"/>
      <c r="O293" s="1308" t="s">
        <v>106</v>
      </c>
      <c r="P293" s="1308">
        <v>44496</v>
      </c>
      <c r="Q293" s="1314" t="str">
        <f ca="1">IF(CostTrack[[#This Row],[Vendor - Contract]]="","",INDEX(VendorList[PA ID],MATCH(CostTrack[[#This Row],[Vendor - Contract]],VendorList[Vendor / Org. with Contract ID],0)))</f>
        <v>100.050.F1</v>
      </c>
      <c r="R293" s="1314" t="str">
        <f ca="1">IF(CostTrack[[#This Row],[Vendor - Contract]]="","",INDEX(VendorList[Primary Category],MATCH(CostTrack[[#This Row],[Vendor - Contract]],VendorList[Vendor / Org. with Contract ID],0)))</f>
        <v>Administration</v>
      </c>
      <c r="S293" s="1314" t="str">
        <f ca="1">IF(CostTrack[[#This Row],[Vendor - Contract]]="","",INDEX(VendorList[Secondary Category],MATCH(CostTrack[[#This Row],[Vendor - Contract]],VendorList[Vendor / Org. with Contract ID],0)))</f>
        <v>Other Administration</v>
      </c>
      <c r="T293" s="1314" t="str">
        <f ca="1">IF(CostTrack[[#This Row],[Vendor - Contract]]="","",INDEX(VendorList[Phase / Subproject],MATCH(CostTrack[[#This Row],[Vendor - Contract]],VendorList[Vendor / Org. with Contract ID],0)))</f>
        <v>--</v>
      </c>
      <c r="U293" s="1314" t="str">
        <f ca="1">IF(CostTrack[[#This Row],[Vendor - Contract]]="","",INDEX(VendorList[Phase / Subproject 2],MATCH(CostTrack[[#This Row],[Vendor - Contract]],VendorList[Vendor / Org. with Contract ID],0)))</f>
        <v>--</v>
      </c>
      <c r="V293" s="1314" t="str">
        <f ca="1">IF(CostTrack[[#This Row],[Vendor - Contract]]="","",INDEX(VendorList[Funding Source],MATCH(CostTrack[[#This Row],[Vendor - Contract]],VendorList[Vendor / Org. with Contract ID],0)))</f>
        <v>P-002360</v>
      </c>
      <c r="W293" s="1308">
        <v>44496</v>
      </c>
      <c r="X293" s="1315" t="str">
        <f ca="1">IF(CostTrack[[#This Row],[Release Date (CMS)]]="","*","")</f>
        <v/>
      </c>
      <c r="Y293" s="1308" t="s">
        <v>50</v>
      </c>
      <c r="Z293" s="652" t="s">
        <v>1009</v>
      </c>
      <c r="AA293" s="1316">
        <f ca="1">IF(OR(CostTrack[[#This Row],[Release Date (CMS)]]&gt;=DATE(VALUE(REPLACE(CostTrack[[#This Row],[Fiscal Period]],3,3,"")),3,1),CostTrack[[#This Row],[Release Date (CMS)]]&lt;DATE(VALUE(LEFT(CostTrack[[#This Row],[Fiscal Period]],4)),4,1)),1,0)</f>
        <v>0</v>
      </c>
      <c r="AB293" s="1317">
        <v>169.38</v>
      </c>
      <c r="AC293" s="1308">
        <v>44522</v>
      </c>
      <c r="AD293" s="402" t="str">
        <f ca="1">IF(CostTrack[[#This Row],[Reconciled Amount]]="","",IF(CostTrack[[#This Row],[Value]]&lt;&gt;CostTrack[[#This Row],[Reconciled Amount]],"Yes","No"))</f>
        <v>No</v>
      </c>
    </row>
    <row r="294" spans="2:30">
      <c r="B294" s="1306" t="s">
        <v>655</v>
      </c>
      <c r="C294" s="1312">
        <v>2828</v>
      </c>
      <c r="D294" s="1308">
        <v>44498</v>
      </c>
      <c r="E294" s="658">
        <v>1322</v>
      </c>
      <c r="F294" s="1309" t="s">
        <v>69</v>
      </c>
      <c r="G294" s="1310">
        <f ca="1">ROUND(IF(CostTrack[[#This Row],[Holdback (Y/N/R)]]="Yes",CostTrack[[#This Row],[Value]]*-0.1,IF(CostTrack[[#This Row],[Holdback (Y/N/R)]]="Release",CostTrack[[#This Row],[Value]],0)),2)</f>
        <v>0</v>
      </c>
      <c r="H294" s="1311">
        <f ca="1">IF(CostTrack[[#This Row],[Holdback (Y/N/R)]]="Release",CostTrack[[#This Row],[Value]],CostTrack[[#This Row],[Value]]+CostTrack[[#This Row],[Holdback Value]])</f>
        <v>1322</v>
      </c>
      <c r="I294" s="1312"/>
      <c r="J294" s="1312"/>
      <c r="K294" s="1313">
        <v>44440</v>
      </c>
      <c r="L294" s="1308">
        <v>44498</v>
      </c>
      <c r="M294" s="1308"/>
      <c r="N294" s="1312"/>
      <c r="O294" s="1308" t="s">
        <v>106</v>
      </c>
      <c r="P294" s="1308">
        <v>44501</v>
      </c>
      <c r="Q294" s="1314" t="str">
        <f ca="1">IF(CostTrack[[#This Row],[Vendor - Contract]]="","",INDEX(VendorList[PA ID],MATCH(CostTrack[[#This Row],[Vendor - Contract]],VendorList[Vendor / Org. with Contract ID],0)))</f>
        <v>200.050.F1</v>
      </c>
      <c r="R294" s="1314" t="str">
        <f ca="1">IF(CostTrack[[#This Row],[Vendor - Contract]]="","",INDEX(VendorList[Primary Category],MATCH(CostTrack[[#This Row],[Vendor - Contract]],VendorList[Vendor / Org. with Contract ID],0)))</f>
        <v>Professional Services</v>
      </c>
      <c r="S294" s="1314" t="str">
        <f ca="1">IF(CostTrack[[#This Row],[Vendor - Contract]]="","",INDEX(VendorList[Secondary Category],MATCH(CostTrack[[#This Row],[Vendor - Contract]],VendorList[Vendor / Org. with Contract ID],0)))</f>
        <v>Other Professional Services</v>
      </c>
      <c r="T294" s="1314" t="str">
        <f ca="1">IF(CostTrack[[#This Row],[Vendor - Contract]]="","",INDEX(VendorList[Phase / Subproject],MATCH(CostTrack[[#This Row],[Vendor - Contract]],VendorList[Vendor / Org. with Contract ID],0)))</f>
        <v>--</v>
      </c>
      <c r="U294" s="1314" t="str">
        <f ca="1">IF(CostTrack[[#This Row],[Vendor - Contract]]="","",INDEX(VendorList[Phase / Subproject 2],MATCH(CostTrack[[#This Row],[Vendor - Contract]],VendorList[Vendor / Org. with Contract ID],0)))</f>
        <v>--</v>
      </c>
      <c r="V294" s="1314" t="str">
        <f ca="1">IF(CostTrack[[#This Row],[Vendor - Contract]]="","",INDEX(VendorList[Funding Source],MATCH(CostTrack[[#This Row],[Vendor - Contract]],VendorList[Vendor / Org. with Contract ID],0)))</f>
        <v>P-002360</v>
      </c>
      <c r="W294" s="1308">
        <v>44501</v>
      </c>
      <c r="X294" s="1315" t="str">
        <f ca="1">IF(CostTrack[[#This Row],[Release Date (CMS)]]="","*","")</f>
        <v/>
      </c>
      <c r="Y294" s="1308" t="s">
        <v>50</v>
      </c>
      <c r="Z294" s="713"/>
      <c r="AA294" s="1316">
        <f ca="1">IF(OR(CostTrack[[#This Row],[Release Date (CMS)]]&gt;=DATE(VALUE(REPLACE(CostTrack[[#This Row],[Fiscal Period]],3,3,"")),3,1),CostTrack[[#This Row],[Release Date (CMS)]]&lt;DATE(VALUE(LEFT(CostTrack[[#This Row],[Fiscal Period]],4)),4,1)),1,0)</f>
        <v>0</v>
      </c>
      <c r="AB294" s="1317">
        <v>1322</v>
      </c>
      <c r="AC294" s="1308">
        <v>44522</v>
      </c>
      <c r="AD294" s="402" t="str">
        <f ca="1">IF(CostTrack[[#This Row],[Reconciled Amount]]="","",IF(CostTrack[[#This Row],[Value]]&lt;&gt;CostTrack[[#This Row],[Reconciled Amount]],"Yes","No"))</f>
        <v>No</v>
      </c>
    </row>
    <row r="295" spans="2:30">
      <c r="B295" s="1306" t="s">
        <v>528</v>
      </c>
      <c r="C295" s="1312">
        <v>60728472</v>
      </c>
      <c r="D295" s="1308">
        <v>44495</v>
      </c>
      <c r="E295" s="658">
        <v>5044.5</v>
      </c>
      <c r="F295" s="1309" t="s">
        <v>69</v>
      </c>
      <c r="G295" s="1310">
        <f ca="1">ROUND(IF(CostTrack[[#This Row],[Holdback (Y/N/R)]]="Yes",CostTrack[[#This Row],[Value]]*-0.1,IF(CostTrack[[#This Row],[Holdback (Y/N/R)]]="Release",CostTrack[[#This Row],[Value]],0)),2)</f>
        <v>0</v>
      </c>
      <c r="H295" s="1311">
        <f ca="1">IF(CostTrack[[#This Row],[Holdback (Y/N/R)]]="Release",CostTrack[[#This Row],[Value]],CostTrack[[#This Row],[Value]]+CostTrack[[#This Row],[Holdback Value]])</f>
        <v>5044.5</v>
      </c>
      <c r="I295" s="1312"/>
      <c r="J295" s="1312"/>
      <c r="K295" s="1313"/>
      <c r="L295" s="1308">
        <v>44497</v>
      </c>
      <c r="M295" s="1308"/>
      <c r="N295" s="1312"/>
      <c r="O295" s="1308" t="s">
        <v>106</v>
      </c>
      <c r="P295" s="1308">
        <v>44497</v>
      </c>
      <c r="Q295" s="1314" t="str">
        <f ca="1">IF(CostTrack[[#This Row],[Vendor - Contract]]="","",INDEX(VendorList[PA ID],MATCH(CostTrack[[#This Row],[Vendor - Contract]],VendorList[Vendor / Org. with Contract ID],0)))</f>
        <v>200.050.F1</v>
      </c>
      <c r="R295" s="1314" t="str">
        <f ca="1">IF(CostTrack[[#This Row],[Vendor - Contract]]="","",INDEX(VendorList[Primary Category],MATCH(CostTrack[[#This Row],[Vendor - Contract]],VendorList[Vendor / Org. with Contract ID],0)))</f>
        <v>Professional Services</v>
      </c>
      <c r="S295" s="1314" t="str">
        <f ca="1">IF(CostTrack[[#This Row],[Vendor - Contract]]="","",INDEX(VendorList[Secondary Category],MATCH(CostTrack[[#This Row],[Vendor - Contract]],VendorList[Vendor / Org. with Contract ID],0)))</f>
        <v>Other Professional Services</v>
      </c>
      <c r="T295" s="1314" t="str">
        <f ca="1">IF(CostTrack[[#This Row],[Vendor - Contract]]="","",INDEX(VendorList[Phase / Subproject],MATCH(CostTrack[[#This Row],[Vendor - Contract]],VendorList[Vendor / Org. with Contract ID],0)))</f>
        <v>--</v>
      </c>
      <c r="U295" s="1314" t="str">
        <f ca="1">IF(CostTrack[[#This Row],[Vendor - Contract]]="","",INDEX(VendorList[Phase / Subproject 2],MATCH(CostTrack[[#This Row],[Vendor - Contract]],VendorList[Vendor / Org. with Contract ID],0)))</f>
        <v>--</v>
      </c>
      <c r="V295" s="1314" t="str">
        <f ca="1">IF(CostTrack[[#This Row],[Vendor - Contract]]="","",INDEX(VendorList[Funding Source],MATCH(CostTrack[[#This Row],[Vendor - Contract]],VendorList[Vendor / Org. with Contract ID],0)))</f>
        <v>P-002360</v>
      </c>
      <c r="W295" s="1308">
        <v>44498</v>
      </c>
      <c r="X295" s="1315" t="str">
        <f ca="1">IF(CostTrack[[#This Row],[Release Date (CMS)]]="","*","")</f>
        <v/>
      </c>
      <c r="Y295" s="1308" t="s">
        <v>50</v>
      </c>
      <c r="Z295" s="713"/>
      <c r="AA295" s="1316">
        <f ca="1">IF(OR(CostTrack[[#This Row],[Release Date (CMS)]]&gt;=DATE(VALUE(REPLACE(CostTrack[[#This Row],[Fiscal Period]],3,3,"")),3,1),CostTrack[[#This Row],[Release Date (CMS)]]&lt;DATE(VALUE(LEFT(CostTrack[[#This Row],[Fiscal Period]],4)),4,1)),1,0)</f>
        <v>0</v>
      </c>
      <c r="AB295" s="1317">
        <v>5044.5</v>
      </c>
      <c r="AC295" s="1308">
        <v>44522</v>
      </c>
      <c r="AD295" s="402" t="str">
        <f ca="1">IF(CostTrack[[#This Row],[Reconciled Amount]]="","",IF(CostTrack[[#This Row],[Value]]&lt;&gt;CostTrack[[#This Row],[Reconciled Amount]],"Yes","No"))</f>
        <v>No</v>
      </c>
    </row>
    <row r="296" spans="2:30" ht="51" customHeight="1">
      <c r="B296" s="1306" t="s">
        <v>527</v>
      </c>
      <c r="C296" s="1312" t="s">
        <v>1010</v>
      </c>
      <c r="D296" s="1308">
        <v>44500</v>
      </c>
      <c r="E296" s="658">
        <v>67371.89</v>
      </c>
      <c r="F296" s="1309" t="s">
        <v>69</v>
      </c>
      <c r="G296" s="1310">
        <f ca="1">ROUND(IF(CostTrack[[#This Row],[Holdback (Y/N/R)]]="Yes",CostTrack[[#This Row],[Value]]*-0.1,IF(CostTrack[[#This Row],[Holdback (Y/N/R)]]="Release",CostTrack[[#This Row],[Value]],0)),2)</f>
        <v>0</v>
      </c>
      <c r="H296" s="1311">
        <f ca="1">IF(CostTrack[[#This Row],[Holdback (Y/N/R)]]="Release",CostTrack[[#This Row],[Value]],CostTrack[[#This Row],[Value]]+CostTrack[[#This Row],[Holdback Value]])</f>
        <v>67371.89</v>
      </c>
      <c r="I296" s="1312"/>
      <c r="J296" s="1312"/>
      <c r="K296" s="1313"/>
      <c r="L296" s="1308">
        <v>44505</v>
      </c>
      <c r="M296" s="1308"/>
      <c r="N296" s="1312"/>
      <c r="O296" s="1308" t="s">
        <v>106</v>
      </c>
      <c r="P296" s="1308">
        <v>44509</v>
      </c>
      <c r="Q296" s="1314" t="str">
        <f ca="1">IF(CostTrack[[#This Row],[Vendor - Contract]]="","",INDEX(VendorList[PA ID],MATCH(CostTrack[[#This Row],[Vendor - Contract]],VendorList[Vendor / Org. with Contract ID],0)))</f>
        <v>200.010.F1</v>
      </c>
      <c r="R296" s="1314" t="str">
        <f ca="1">IF(CostTrack[[#This Row],[Vendor - Contract]]="","",INDEX(VendorList[Primary Category],MATCH(CostTrack[[#This Row],[Vendor - Contract]],VendorList[Vendor / Org. with Contract ID],0)))</f>
        <v>Professional Services</v>
      </c>
      <c r="S296" s="1314" t="str">
        <f ca="1">IF(CostTrack[[#This Row],[Vendor - Contract]]="","",INDEX(VendorList[Secondary Category],MATCH(CostTrack[[#This Row],[Vendor - Contract]],VendorList[Vendor / Org. with Contract ID],0)))</f>
        <v>Prime Consultant</v>
      </c>
      <c r="T296" s="1314" t="str">
        <f ca="1">IF(CostTrack[[#This Row],[Vendor - Contract]]="","",INDEX(VendorList[Phase / Subproject],MATCH(CostTrack[[#This Row],[Vendor - Contract]],VendorList[Vendor / Org. with Contract ID],0)))</f>
        <v>--</v>
      </c>
      <c r="U296" s="1314" t="str">
        <f ca="1">IF(CostTrack[[#This Row],[Vendor - Contract]]="","",INDEX(VendorList[Phase / Subproject 2],MATCH(CostTrack[[#This Row],[Vendor - Contract]],VendorList[Vendor / Org. with Contract ID],0)))</f>
        <v>--</v>
      </c>
      <c r="V296" s="1314" t="str">
        <f ca="1">IF(CostTrack[[#This Row],[Vendor - Contract]]="","",INDEX(VendorList[Funding Source],MATCH(CostTrack[[#This Row],[Vendor - Contract]],VendorList[Vendor / Org. with Contract ID],0)))</f>
        <v>P-002360</v>
      </c>
      <c r="W296" s="1308">
        <v>44515</v>
      </c>
      <c r="X296" s="1315" t="str">
        <f ca="1">IF(CostTrack[[#This Row],[Release Date (CMS)]]="","*","")</f>
        <v/>
      </c>
      <c r="Y296" s="1308" t="s">
        <v>50</v>
      </c>
      <c r="Z296" s="705" t="s">
        <v>1011</v>
      </c>
      <c r="AA296" s="1316">
        <f ca="1">IF(OR(CostTrack[[#This Row],[Release Date (CMS)]]&gt;=DATE(VALUE(REPLACE(CostTrack[[#This Row],[Fiscal Period]],3,3,"")),3,1),CostTrack[[#This Row],[Release Date (CMS)]]&lt;DATE(VALUE(LEFT(CostTrack[[#This Row],[Fiscal Period]],4)),4,1)),1,0)</f>
        <v>0</v>
      </c>
      <c r="AB296" s="1317">
        <v>67371.89</v>
      </c>
      <c r="AC296" s="1308">
        <v>44522</v>
      </c>
      <c r="AD296" s="402" t="str">
        <f ca="1">IF(CostTrack[[#This Row],[Reconciled Amount]]="","",IF(CostTrack[[#This Row],[Value]]&lt;&gt;CostTrack[[#This Row],[Reconciled Amount]],"Yes","No"))</f>
        <v>No</v>
      </c>
    </row>
    <row r="297" spans="2:30" ht="19.5" customHeight="1">
      <c r="B297" s="401" t="s">
        <v>655</v>
      </c>
      <c r="C297" s="261">
        <v>2844</v>
      </c>
      <c r="D297" s="262">
        <v>44510</v>
      </c>
      <c r="E297" s="283">
        <v>1722</v>
      </c>
      <c r="F297" s="266" t="s">
        <v>69</v>
      </c>
      <c r="G297" s="406">
        <f ca="1">ROUND(IF(CostTrack[[#This Row],[Holdback (Y/N/R)]]="Yes",CostTrack[[#This Row],[Value]]*-0.1,IF(CostTrack[[#This Row],[Holdback (Y/N/R)]]="Release",CostTrack[[#This Row],[Value]],0)),2)</f>
        <v>0</v>
      </c>
      <c r="H297" s="408">
        <f ca="1">IF(CostTrack[[#This Row],[Holdback (Y/N/R)]]="Release",CostTrack[[#This Row],[Value]],CostTrack[[#This Row],[Value]]+CostTrack[[#This Row],[Holdback Value]])</f>
        <v>1722</v>
      </c>
      <c r="I297" s="261"/>
      <c r="J297" s="261"/>
      <c r="K297" s="276">
        <v>44470</v>
      </c>
      <c r="L297" s="262">
        <v>44512</v>
      </c>
      <c r="M297" s="262"/>
      <c r="N297" s="261"/>
      <c r="O297" s="261" t="s">
        <v>106</v>
      </c>
      <c r="P297" s="262">
        <v>44515</v>
      </c>
      <c r="Q297" s="247" t="str">
        <f ca="1">IF(CostTrack[[#This Row],[Vendor - Contract]]="","",INDEX(VendorList[PA ID],MATCH(CostTrack[[#This Row],[Vendor - Contract]],VendorList[Vendor / Org. with Contract ID],0)))</f>
        <v>200.050.F1</v>
      </c>
      <c r="R297" s="247" t="str">
        <f ca="1">IF(CostTrack[[#This Row],[Vendor - Contract]]="","",INDEX(VendorList[Primary Category],MATCH(CostTrack[[#This Row],[Vendor - Contract]],VendorList[Vendor / Org. with Contract ID],0)))</f>
        <v>Professional Services</v>
      </c>
      <c r="S297" s="247" t="str">
        <f ca="1">IF(CostTrack[[#This Row],[Vendor - Contract]]="","",INDEX(VendorList[Secondary Category],MATCH(CostTrack[[#This Row],[Vendor - Contract]],VendorList[Vendor / Org. with Contract ID],0)))</f>
        <v>Other Professional Services</v>
      </c>
      <c r="T297" s="247" t="str">
        <f ca="1">IF(CostTrack[[#This Row],[Vendor - Contract]]="","",INDEX(VendorList[Phase / Subproject],MATCH(CostTrack[[#This Row],[Vendor - Contract]],VendorList[Vendor / Org. with Contract ID],0)))</f>
        <v>--</v>
      </c>
      <c r="U297" s="247" t="str">
        <f ca="1">IF(CostTrack[[#This Row],[Vendor - Contract]]="","",INDEX(VendorList[Phase / Subproject 2],MATCH(CostTrack[[#This Row],[Vendor - Contract]],VendorList[Vendor / Org. with Contract ID],0)))</f>
        <v>--</v>
      </c>
      <c r="V297" s="247" t="str">
        <f ca="1">IF(CostTrack[[#This Row],[Vendor - Contract]]="","",INDEX(VendorList[Funding Source],MATCH(CostTrack[[#This Row],[Vendor - Contract]],VendorList[Vendor / Org. with Contract ID],0)))</f>
        <v>P-002360</v>
      </c>
      <c r="W297" s="262">
        <v>44515</v>
      </c>
      <c r="X297" s="252" t="str">
        <f ca="1">IF(CostTrack[[#This Row],[Release Date (CMS)]]="","*","")</f>
        <v/>
      </c>
      <c r="Y297" s="268" t="s">
        <v>50</v>
      </c>
      <c r="Z297" s="269"/>
      <c r="AA297" s="1316">
        <f ca="1">IF(OR(CostTrack[[#This Row],[Release Date (CMS)]]&gt;=DATE(VALUE(REPLACE(CostTrack[[#This Row],[Fiscal Period]],3,3,"")),3,1),CostTrack[[#This Row],[Release Date (CMS)]]&lt;DATE(VALUE(LEFT(CostTrack[[#This Row],[Fiscal Period]],4)),4,1)),1,0)</f>
        <v>0</v>
      </c>
      <c r="AB297" s="294">
        <v>1722</v>
      </c>
      <c r="AC297" s="1308">
        <v>44522</v>
      </c>
      <c r="AD297" s="402" t="str">
        <f ca="1">IF(CostTrack[[#This Row],[Reconciled Amount]]="","",IF(CostTrack[[#This Row],[Value]]&lt;&gt;CostTrack[[#This Row],[Reconciled Amount]],"Yes","No"))</f>
        <v>No</v>
      </c>
    </row>
    <row r="298" spans="2:30" ht="32.1" customHeight="1">
      <c r="B298" s="706" t="s">
        <v>529</v>
      </c>
      <c r="C298" s="650" t="s">
        <v>1012</v>
      </c>
      <c r="D298" s="267">
        <v>44497</v>
      </c>
      <c r="E298" s="654">
        <v>2139777.91</v>
      </c>
      <c r="F298" s="647" t="s">
        <v>65</v>
      </c>
      <c r="G298" s="406">
        <f ca="1">ROUND(IF(CostTrack[[#This Row],[Holdback (Y/N/R)]]="Yes",CostTrack[[#This Row],[Value]]*-0.1,IF(CostTrack[[#This Row],[Holdback (Y/N/R)]]="Release",CostTrack[[#This Row],[Value]],0)),2)</f>
        <v>-213977.79</v>
      </c>
      <c r="H298" s="407">
        <f ca="1">IF(CostTrack[[#This Row],[Holdback (Y/N/R)]]="Release",CostTrack[[#This Row],[Value]],CostTrack[[#This Row],[Value]]+CostTrack[[#This Row],[Holdback Value]])</f>
        <v>1925800.12</v>
      </c>
      <c r="I298" s="650">
        <v>15</v>
      </c>
      <c r="J298" s="650"/>
      <c r="K298" s="648"/>
      <c r="L298" s="707">
        <v>44498</v>
      </c>
      <c r="M298" s="708">
        <v>44518</v>
      </c>
      <c r="N298" s="709" t="s">
        <v>177</v>
      </c>
      <c r="O298" s="210" t="s">
        <v>106</v>
      </c>
      <c r="P298" s="267">
        <v>44518</v>
      </c>
      <c r="Q298" s="243" t="str">
        <f ca="1">IF(CostTrack[[#This Row],[Vendor - Contract]]="","",INDEX(VendorList[PA ID],MATCH(CostTrack[[#This Row],[Vendor - Contract]],VendorList[Vendor / Org. with Contract ID],0)))</f>
        <v>300.030.F1</v>
      </c>
      <c r="R298" s="243" t="str">
        <f ca="1">IF(CostTrack[[#This Row],[Vendor - Contract]]="","",INDEX(VendorList[Primary Category],MATCH(CostTrack[[#This Row],[Vendor - Contract]],VendorList[Vendor / Org. with Contract ID],0)))</f>
        <v>Construction</v>
      </c>
      <c r="S298" s="243" t="str">
        <f ca="1">IF(CostTrack[[#This Row],[Vendor - Contract]]="","",INDEX(VendorList[Secondary Category],MATCH(CostTrack[[#This Row],[Vendor - Contract]],VendorList[Vendor / Org. with Contract ID],0)))</f>
        <v>Prime Contractor</v>
      </c>
      <c r="T298" s="243" t="str">
        <f ca="1">IF(CostTrack[[#This Row],[Vendor - Contract]]="","",INDEX(VendorList[Phase / Subproject],MATCH(CostTrack[[#This Row],[Vendor - Contract]],VendorList[Vendor / Org. with Contract ID],0)))</f>
        <v>--</v>
      </c>
      <c r="U298" s="243" t="str">
        <f ca="1">IF(CostTrack[[#This Row],[Vendor - Contract]]="","",INDEX(VendorList[Phase / Subproject 2],MATCH(CostTrack[[#This Row],[Vendor - Contract]],VendorList[Vendor / Org. with Contract ID],0)))</f>
        <v>--</v>
      </c>
      <c r="V298" s="243" t="str">
        <f ca="1">IF(CostTrack[[#This Row],[Vendor - Contract]]="","",INDEX(VendorList[Funding Source],MATCH(CostTrack[[#This Row],[Vendor - Contract]],VendorList[Vendor / Org. with Contract ID],0)))</f>
        <v>P-002360</v>
      </c>
      <c r="W298" s="267">
        <v>44518</v>
      </c>
      <c r="X298" s="251" t="str">
        <f ca="1">IF(CostTrack[[#This Row],[Release Date (CMS)]]="","*","")</f>
        <v/>
      </c>
      <c r="Y298" s="267" t="s">
        <v>50</v>
      </c>
      <c r="Z298" s="652" t="s">
        <v>1013</v>
      </c>
      <c r="AA298" s="245">
        <f ca="1">IF(OR(CostTrack[[#This Row],[Release Date (CMS)]]&gt;=DATE(VALUE(REPLACE(CostTrack[[#This Row],[Fiscal Period]],3,3,"")),3,1),CostTrack[[#This Row],[Release Date (CMS)]]&lt;DATE(VALUE(LEFT(CostTrack[[#This Row],[Fiscal Period]],4)),4,1)),1,0)</f>
        <v>0</v>
      </c>
      <c r="AB298" s="655">
        <v>2139777.91</v>
      </c>
      <c r="AC298" s="267">
        <v>44522</v>
      </c>
      <c r="AD298" s="402" t="str">
        <f ca="1">IF(CostTrack[[#This Row],[Reconciled Amount]]="","",IF(CostTrack[[#This Row],[Value]]&lt;&gt;CostTrack[[#This Row],[Reconciled Amount]],"Yes","No"))</f>
        <v>No</v>
      </c>
    </row>
    <row r="299" spans="2:30" ht="81" customHeight="1">
      <c r="B299" s="1324" t="s">
        <v>736</v>
      </c>
      <c r="C299" s="650" t="s">
        <v>1014</v>
      </c>
      <c r="D299" s="1308">
        <v>44530</v>
      </c>
      <c r="E299" s="505">
        <v>46532.39</v>
      </c>
      <c r="F299" s="1309" t="s">
        <v>69</v>
      </c>
      <c r="G299" s="1310">
        <f ca="1">ROUND(IF(CostTrack[[#This Row],[Holdback (Y/N/R)]]="Yes",CostTrack[[#This Row],[Value]]*-0.1,IF(CostTrack[[#This Row],[Holdback (Y/N/R)]]="Release",CostTrack[[#This Row],[Value]],0)),2)</f>
        <v>0</v>
      </c>
      <c r="H299" s="1311">
        <f ca="1">IF(CostTrack[[#This Row],[Holdback (Y/N/R)]]="Release",CostTrack[[#This Row],[Value]],CostTrack[[#This Row],[Value]]+CostTrack[[#This Row],[Holdback Value]])</f>
        <v>46532.39</v>
      </c>
      <c r="I299" s="1312"/>
      <c r="J299" s="1312"/>
      <c r="K299" s="1313"/>
      <c r="L299" s="1325">
        <v>44530</v>
      </c>
      <c r="M299" s="1326">
        <v>44530</v>
      </c>
      <c r="N299" s="1327"/>
      <c r="O299" s="1321" t="s">
        <v>106</v>
      </c>
      <c r="P299" s="1308">
        <v>44524</v>
      </c>
      <c r="Q299" s="1314" t="str">
        <f ca="1">IF(CostTrack[[#This Row],[Vendor - Contract]]="","",INDEX(VendorList[PA ID],MATCH(CostTrack[[#This Row],[Vendor - Contract]],VendorList[Vendor / Org. with Contract ID],0)))</f>
        <v>100.010.F1</v>
      </c>
      <c r="R299" s="1314" t="str">
        <f ca="1">IF(CostTrack[[#This Row],[Vendor - Contract]]="","",INDEX(VendorList[Primary Category],MATCH(CostTrack[[#This Row],[Vendor - Contract]],VendorList[Vendor / Org. with Contract ID],0)))</f>
        <v>Administration</v>
      </c>
      <c r="S299" s="1314" t="str">
        <f ca="1">IF(CostTrack[[#This Row],[Vendor - Contract]]="","",INDEX(VendorList[Secondary Category],MATCH(CostTrack[[#This Row],[Vendor - Contract]],VendorList[Vendor / Org. with Contract ID],0)))</f>
        <v>Staff Capitalization - INFRA</v>
      </c>
      <c r="T299" s="1314" t="str">
        <f ca="1">IF(CostTrack[[#This Row],[Vendor - Contract]]="","",INDEX(VendorList[Phase / Subproject],MATCH(CostTrack[[#This Row],[Vendor - Contract]],VendorList[Vendor / Org. with Contract ID],0)))</f>
        <v>--</v>
      </c>
      <c r="U299" s="1314" t="str">
        <f ca="1">IF(CostTrack[[#This Row],[Vendor - Contract]]="","",INDEX(VendorList[Phase / Subproject 2],MATCH(CostTrack[[#This Row],[Vendor - Contract]],VendorList[Vendor / Org. with Contract ID],0)))</f>
        <v>--</v>
      </c>
      <c r="V299" s="1314" t="str">
        <f ca="1">IF(CostTrack[[#This Row],[Vendor - Contract]]="","",INDEX(VendorList[Funding Source],MATCH(CostTrack[[#This Row],[Vendor - Contract]],VendorList[Vendor / Org. with Contract ID],0)))</f>
        <v>P-002360</v>
      </c>
      <c r="W299" s="1308">
        <v>44525</v>
      </c>
      <c r="X299" s="1315" t="str">
        <f ca="1">IF(CostTrack[[#This Row],[Release Date (CMS)]]="","*","")</f>
        <v/>
      </c>
      <c r="Y299" s="1308" t="s">
        <v>50</v>
      </c>
      <c r="Z299" s="652" t="s">
        <v>1015</v>
      </c>
      <c r="AA299" s="1316">
        <f ca="1">IF(OR(CostTrack[[#This Row],[Release Date (CMS)]]&gt;=DATE(VALUE(REPLACE(CostTrack[[#This Row],[Fiscal Period]],3,3,"")),3,1),CostTrack[[#This Row],[Release Date (CMS)]]&lt;DATE(VALUE(LEFT(CostTrack[[#This Row],[Fiscal Period]],4)),4,1)),1,0)</f>
        <v>0</v>
      </c>
      <c r="AB299" s="1317">
        <v>46532.39</v>
      </c>
      <c r="AC299" s="1308">
        <v>44545</v>
      </c>
      <c r="AD299" s="402" t="str">
        <f ca="1">IF(CostTrack[[#This Row],[Reconciled Amount]]="","",IF(CostTrack[[#This Row],[Value]]&lt;&gt;CostTrack[[#This Row],[Reconciled Amount]],"Yes","No"))</f>
        <v>No</v>
      </c>
    </row>
    <row r="300" spans="2:30" ht="55.5" customHeight="1">
      <c r="B300" s="1324" t="s">
        <v>528</v>
      </c>
      <c r="C300" s="1312">
        <v>60733450</v>
      </c>
      <c r="D300" s="1308">
        <v>44524</v>
      </c>
      <c r="E300" s="658">
        <v>2619.5</v>
      </c>
      <c r="F300" s="1309" t="s">
        <v>69</v>
      </c>
      <c r="G300" s="1310">
        <f ca="1">ROUND(IF(CostTrack[[#This Row],[Holdback (Y/N/R)]]="Yes",CostTrack[[#This Row],[Value]]*-0.1,IF(CostTrack[[#This Row],[Holdback (Y/N/R)]]="Release",CostTrack[[#This Row],[Value]],0)),2)</f>
        <v>0</v>
      </c>
      <c r="H300" s="1311">
        <f ca="1">IF(CostTrack[[#This Row],[Holdback (Y/N/R)]]="Release",CostTrack[[#This Row],[Value]],CostTrack[[#This Row],[Value]]+CostTrack[[#This Row],[Holdback Value]])</f>
        <v>2619.5</v>
      </c>
      <c r="I300" s="1312"/>
      <c r="J300" s="1312"/>
      <c r="K300" s="1313"/>
      <c r="L300" s="1325">
        <v>44525</v>
      </c>
      <c r="M300" s="1326">
        <v>44525</v>
      </c>
      <c r="N300" s="1327"/>
      <c r="O300" s="1321" t="s">
        <v>106</v>
      </c>
      <c r="P300" s="1308">
        <v>44525</v>
      </c>
      <c r="Q300" s="1314" t="str">
        <f ca="1">IF(CostTrack[[#This Row],[Vendor - Contract]]="","",INDEX(VendorList[PA ID],MATCH(CostTrack[[#This Row],[Vendor - Contract]],VendorList[Vendor / Org. with Contract ID],0)))</f>
        <v>200.050.F1</v>
      </c>
      <c r="R300" s="1314" t="str">
        <f ca="1">IF(CostTrack[[#This Row],[Vendor - Contract]]="","",INDEX(VendorList[Primary Category],MATCH(CostTrack[[#This Row],[Vendor - Contract]],VendorList[Vendor / Org. with Contract ID],0)))</f>
        <v>Professional Services</v>
      </c>
      <c r="S300" s="1314" t="str">
        <f ca="1">IF(CostTrack[[#This Row],[Vendor - Contract]]="","",INDEX(VendorList[Secondary Category],MATCH(CostTrack[[#This Row],[Vendor - Contract]],VendorList[Vendor / Org. with Contract ID],0)))</f>
        <v>Other Professional Services</v>
      </c>
      <c r="T300" s="1314" t="str">
        <f ca="1">IF(CostTrack[[#This Row],[Vendor - Contract]]="","",INDEX(VendorList[Phase / Subproject],MATCH(CostTrack[[#This Row],[Vendor - Contract]],VendorList[Vendor / Org. with Contract ID],0)))</f>
        <v>--</v>
      </c>
      <c r="U300" s="1314" t="str">
        <f ca="1">IF(CostTrack[[#This Row],[Vendor - Contract]]="","",INDEX(VendorList[Phase / Subproject 2],MATCH(CostTrack[[#This Row],[Vendor - Contract]],VendorList[Vendor / Org. with Contract ID],0)))</f>
        <v>--</v>
      </c>
      <c r="V300" s="1314" t="str">
        <f ca="1">IF(CostTrack[[#This Row],[Vendor - Contract]]="","",INDEX(VendorList[Funding Source],MATCH(CostTrack[[#This Row],[Vendor - Contract]],VendorList[Vendor / Org. with Contract ID],0)))</f>
        <v>P-002360</v>
      </c>
      <c r="W300" s="1308">
        <v>44526</v>
      </c>
      <c r="X300" s="1315" t="str">
        <f ca="1">IF(CostTrack[[#This Row],[Release Date (CMS)]]="","*","")</f>
        <v/>
      </c>
      <c r="Y300" s="1308" t="s">
        <v>50</v>
      </c>
      <c r="Z300" s="652" t="s">
        <v>1016</v>
      </c>
      <c r="AA300" s="1316">
        <f ca="1">IF(OR(CostTrack[[#This Row],[Release Date (CMS)]]&gt;=DATE(VALUE(REPLACE(CostTrack[[#This Row],[Fiscal Period]],3,3,"")),3,1),CostTrack[[#This Row],[Release Date (CMS)]]&lt;DATE(VALUE(LEFT(CostTrack[[#This Row],[Fiscal Period]],4)),4,1)),1,0)</f>
        <v>0</v>
      </c>
      <c r="AB300" s="1317">
        <v>2619.5</v>
      </c>
      <c r="AC300" s="1308">
        <v>44545</v>
      </c>
      <c r="AD300" s="402" t="str">
        <f ca="1">IF(CostTrack[[#This Row],[Reconciled Amount]]="","",IF(CostTrack[[#This Row],[Value]]&lt;&gt;CostTrack[[#This Row],[Reconciled Amount]],"Yes","No"))</f>
        <v>No</v>
      </c>
    </row>
    <row r="301" spans="2:30" ht="48.6" customHeight="1">
      <c r="B301" s="1324" t="s">
        <v>666</v>
      </c>
      <c r="C301" s="1312">
        <v>404301</v>
      </c>
      <c r="D301" s="1308">
        <v>44529</v>
      </c>
      <c r="E301" s="658">
        <v>5669.5</v>
      </c>
      <c r="F301" s="1309" t="s">
        <v>69</v>
      </c>
      <c r="G301" s="1310">
        <f ca="1">ROUND(IF(CostTrack[[#This Row],[Holdback (Y/N/R)]]="Yes",CostTrack[[#This Row],[Value]]*-0.1,IF(CostTrack[[#This Row],[Holdback (Y/N/R)]]="Release",CostTrack[[#This Row],[Value]],0)),2)</f>
        <v>0</v>
      </c>
      <c r="H301" s="1311">
        <f ca="1">IF(CostTrack[[#This Row],[Holdback (Y/N/R)]]="Release",CostTrack[[#This Row],[Value]],CostTrack[[#This Row],[Value]]+CostTrack[[#This Row],[Holdback Value]])</f>
        <v>5669.5</v>
      </c>
      <c r="I301" s="1312"/>
      <c r="J301" s="1312"/>
      <c r="K301" s="1313"/>
      <c r="L301" s="1325">
        <v>44529</v>
      </c>
      <c r="M301" s="1326">
        <v>44529</v>
      </c>
      <c r="N301" s="1327"/>
      <c r="O301" s="1321" t="s">
        <v>106</v>
      </c>
      <c r="P301" s="1326">
        <v>44529</v>
      </c>
      <c r="Q301" s="1314" t="str">
        <f ca="1">IF(CostTrack[[#This Row],[Vendor - Contract]]="","",INDEX(VendorList[PA ID],MATCH(CostTrack[[#This Row],[Vendor - Contract]],VendorList[Vendor / Org. with Contract ID],0)))</f>
        <v>200.050.F1</v>
      </c>
      <c r="R301" s="1314" t="str">
        <f ca="1">IF(CostTrack[[#This Row],[Vendor - Contract]]="","",INDEX(VendorList[Primary Category],MATCH(CostTrack[[#This Row],[Vendor - Contract]],VendorList[Vendor / Org. with Contract ID],0)))</f>
        <v>Professional Services</v>
      </c>
      <c r="S301" s="1314" t="str">
        <f ca="1">IF(CostTrack[[#This Row],[Vendor - Contract]]="","",INDEX(VendorList[Secondary Category],MATCH(CostTrack[[#This Row],[Vendor - Contract]],VendorList[Vendor / Org. with Contract ID],0)))</f>
        <v>Other Professional Services</v>
      </c>
      <c r="T301" s="1314" t="str">
        <f ca="1">IF(CostTrack[[#This Row],[Vendor - Contract]]="","",INDEX(VendorList[Phase / Subproject],MATCH(CostTrack[[#This Row],[Vendor - Contract]],VendorList[Vendor / Org. with Contract ID],0)))</f>
        <v>--</v>
      </c>
      <c r="U301" s="1314" t="str">
        <f ca="1">IF(CostTrack[[#This Row],[Vendor - Contract]]="","",INDEX(VendorList[Phase / Subproject 2],MATCH(CostTrack[[#This Row],[Vendor - Contract]],VendorList[Vendor / Org. with Contract ID],0)))</f>
        <v>--</v>
      </c>
      <c r="V301" s="1314" t="str">
        <f ca="1">IF(CostTrack[[#This Row],[Vendor - Contract]]="","",INDEX(VendorList[Funding Source],MATCH(CostTrack[[#This Row],[Vendor - Contract]],VendorList[Vendor / Org. with Contract ID],0)))</f>
        <v>P-002360</v>
      </c>
      <c r="W301" s="1326">
        <v>44530</v>
      </c>
      <c r="X301" s="1315" t="str">
        <f ca="1">IF(CostTrack[[#This Row],[Release Date (CMS)]]="","*","")</f>
        <v/>
      </c>
      <c r="Y301" s="1308" t="s">
        <v>50</v>
      </c>
      <c r="Z301" s="652" t="s">
        <v>1016</v>
      </c>
      <c r="AA301" s="1316">
        <f ca="1">IF(OR(CostTrack[[#This Row],[Release Date (CMS)]]&gt;=DATE(VALUE(REPLACE(CostTrack[[#This Row],[Fiscal Period]],3,3,"")),3,1),CostTrack[[#This Row],[Release Date (CMS)]]&lt;DATE(VALUE(LEFT(CostTrack[[#This Row],[Fiscal Period]],4)),4,1)),1,0)</f>
        <v>0</v>
      </c>
      <c r="AB301" s="1317">
        <v>5669.5</v>
      </c>
      <c r="AC301" s="1308">
        <v>44545</v>
      </c>
      <c r="AD301" s="402" t="str">
        <f ca="1">IF(CostTrack[[#This Row],[Reconciled Amount]]="","",IF(CostTrack[[#This Row],[Value]]&lt;&gt;CostTrack[[#This Row],[Reconciled Amount]],"Yes","No"))</f>
        <v>No</v>
      </c>
    </row>
    <row r="302" spans="2:30" ht="32.1" customHeight="1">
      <c r="B302" s="1324" t="s">
        <v>527</v>
      </c>
      <c r="C302" s="1312" t="s">
        <v>1017</v>
      </c>
      <c r="D302" s="1308">
        <v>44530</v>
      </c>
      <c r="E302" s="658">
        <v>51591.89</v>
      </c>
      <c r="F302" s="1309" t="s">
        <v>69</v>
      </c>
      <c r="G302" s="1310">
        <f ca="1">ROUND(IF(CostTrack[[#This Row],[Holdback (Y/N/R)]]="Yes",CostTrack[[#This Row],[Value]]*-0.1,IF(CostTrack[[#This Row],[Holdback (Y/N/R)]]="Release",CostTrack[[#This Row],[Value]],0)),2)</f>
        <v>0</v>
      </c>
      <c r="H302" s="1311">
        <f ca="1">IF(CostTrack[[#This Row],[Holdback (Y/N/R)]]="Release",CostTrack[[#This Row],[Value]],CostTrack[[#This Row],[Value]]+CostTrack[[#This Row],[Holdback Value]])</f>
        <v>51591.89</v>
      </c>
      <c r="I302" s="1312"/>
      <c r="J302" s="1312"/>
      <c r="K302" s="1313"/>
      <c r="L302" s="1325">
        <v>44532</v>
      </c>
      <c r="M302" s="1326">
        <v>44532</v>
      </c>
      <c r="N302" s="1327"/>
      <c r="O302" s="1321" t="s">
        <v>106</v>
      </c>
      <c r="P302" s="1326">
        <v>44532</v>
      </c>
      <c r="Q302" s="1314" t="str">
        <f ca="1">IF(CostTrack[[#This Row],[Vendor - Contract]]="","",INDEX(VendorList[PA ID],MATCH(CostTrack[[#This Row],[Vendor - Contract]],VendorList[Vendor / Org. with Contract ID],0)))</f>
        <v>200.010.F1</v>
      </c>
      <c r="R302" s="1314" t="str">
        <f ca="1">IF(CostTrack[[#This Row],[Vendor - Contract]]="","",INDEX(VendorList[Primary Category],MATCH(CostTrack[[#This Row],[Vendor - Contract]],VendorList[Vendor / Org. with Contract ID],0)))</f>
        <v>Professional Services</v>
      </c>
      <c r="S302" s="1314" t="str">
        <f ca="1">IF(CostTrack[[#This Row],[Vendor - Contract]]="","",INDEX(VendorList[Secondary Category],MATCH(CostTrack[[#This Row],[Vendor - Contract]],VendorList[Vendor / Org. with Contract ID],0)))</f>
        <v>Prime Consultant</v>
      </c>
      <c r="T302" s="1314" t="str">
        <f ca="1">IF(CostTrack[[#This Row],[Vendor - Contract]]="","",INDEX(VendorList[Phase / Subproject],MATCH(CostTrack[[#This Row],[Vendor - Contract]],VendorList[Vendor / Org. with Contract ID],0)))</f>
        <v>--</v>
      </c>
      <c r="U302" s="1314" t="str">
        <f ca="1">IF(CostTrack[[#This Row],[Vendor - Contract]]="","",INDEX(VendorList[Phase / Subproject 2],MATCH(CostTrack[[#This Row],[Vendor - Contract]],VendorList[Vendor / Org. with Contract ID],0)))</f>
        <v>--</v>
      </c>
      <c r="V302" s="1314" t="str">
        <f ca="1">IF(CostTrack[[#This Row],[Vendor - Contract]]="","",INDEX(VendorList[Funding Source],MATCH(CostTrack[[#This Row],[Vendor - Contract]],VendorList[Vendor / Org. with Contract ID],0)))</f>
        <v>P-002360</v>
      </c>
      <c r="W302" s="1326">
        <v>44532</v>
      </c>
      <c r="X302" s="1315" t="str">
        <f ca="1">IF(CostTrack[[#This Row],[Release Date (CMS)]]="","*","")</f>
        <v/>
      </c>
      <c r="Y302" s="1308" t="s">
        <v>50</v>
      </c>
      <c r="Z302" s="713"/>
      <c r="AA302" s="1316">
        <f ca="1">IF(OR(CostTrack[[#This Row],[Release Date (CMS)]]&gt;=DATE(VALUE(REPLACE(CostTrack[[#This Row],[Fiscal Period]],3,3,"")),3,1),CostTrack[[#This Row],[Release Date (CMS)]]&lt;DATE(VALUE(LEFT(CostTrack[[#This Row],[Fiscal Period]],4)),4,1)),1,0)</f>
        <v>0</v>
      </c>
      <c r="AB302" s="1317">
        <v>51591.89</v>
      </c>
      <c r="AC302" s="1308">
        <v>44545</v>
      </c>
      <c r="AD302" s="402" t="str">
        <f ca="1">IF(CostTrack[[#This Row],[Reconciled Amount]]="","",IF(CostTrack[[#This Row],[Value]]&lt;&gt;CostTrack[[#This Row],[Reconciled Amount]],"Yes","No"))</f>
        <v>No</v>
      </c>
    </row>
    <row r="303" spans="2:30" ht="63.75" customHeight="1">
      <c r="B303" s="1324" t="s">
        <v>731</v>
      </c>
      <c r="C303" s="1308">
        <v>44519</v>
      </c>
      <c r="D303" s="1308">
        <v>44519</v>
      </c>
      <c r="E303" s="658">
        <v>178.67</v>
      </c>
      <c r="F303" s="1309" t="s">
        <v>69</v>
      </c>
      <c r="G303" s="1310">
        <f ca="1">ROUND(IF(CostTrack[[#This Row],[Holdback (Y/N/R)]]="Yes",CostTrack[[#This Row],[Value]]*-0.1,IF(CostTrack[[#This Row],[Holdback (Y/N/R)]]="Release",CostTrack[[#This Row],[Value]],0)),2)</f>
        <v>0</v>
      </c>
      <c r="H303" s="1311">
        <f ca="1">IF(CostTrack[[#This Row],[Holdback (Y/N/R)]]="Release",CostTrack[[#This Row],[Value]],CostTrack[[#This Row],[Value]]+CostTrack[[#This Row],[Holdback Value]])</f>
        <v>178.67</v>
      </c>
      <c r="I303" s="1312"/>
      <c r="J303" s="1312"/>
      <c r="K303" s="1313"/>
      <c r="L303" s="1308">
        <v>44519</v>
      </c>
      <c r="M303" s="1321">
        <v>44519</v>
      </c>
      <c r="N303" s="1327"/>
      <c r="O303" s="1321" t="s">
        <v>106</v>
      </c>
      <c r="P303" s="1308">
        <v>44531</v>
      </c>
      <c r="Q303" s="1314" t="str">
        <f ca="1">IF(CostTrack[[#This Row],[Vendor - Contract]]="","",INDEX(VendorList[PA ID],MATCH(CostTrack[[#This Row],[Vendor - Contract]],VendorList[Vendor / Org. with Contract ID],0)))</f>
        <v>100.050.F1</v>
      </c>
      <c r="R303" s="1314" t="str">
        <f ca="1">IF(CostTrack[[#This Row],[Vendor - Contract]]="","",INDEX(VendorList[Primary Category],MATCH(CostTrack[[#This Row],[Vendor - Contract]],VendorList[Vendor / Org. with Contract ID],0)))</f>
        <v>Administration</v>
      </c>
      <c r="S303" s="1314" t="str">
        <f ca="1">IF(CostTrack[[#This Row],[Vendor - Contract]]="","",INDEX(VendorList[Secondary Category],MATCH(CostTrack[[#This Row],[Vendor - Contract]],VendorList[Vendor / Org. with Contract ID],0)))</f>
        <v>Other Administration</v>
      </c>
      <c r="T303" s="1314" t="str">
        <f ca="1">IF(CostTrack[[#This Row],[Vendor - Contract]]="","",INDEX(VendorList[Phase / Subproject],MATCH(CostTrack[[#This Row],[Vendor - Contract]],VendorList[Vendor / Org. with Contract ID],0)))</f>
        <v>--</v>
      </c>
      <c r="U303" s="1314" t="str">
        <f ca="1">IF(CostTrack[[#This Row],[Vendor - Contract]]="","",INDEX(VendorList[Phase / Subproject 2],MATCH(CostTrack[[#This Row],[Vendor - Contract]],VendorList[Vendor / Org. with Contract ID],0)))</f>
        <v>--</v>
      </c>
      <c r="V303" s="1314" t="str">
        <f ca="1">IF(CostTrack[[#This Row],[Vendor - Contract]]="","",INDEX(VendorList[Funding Source],MATCH(CostTrack[[#This Row],[Vendor - Contract]],VendorList[Vendor / Org. with Contract ID],0)))</f>
        <v>P-002360</v>
      </c>
      <c r="W303" s="1308">
        <v>44531</v>
      </c>
      <c r="X303" s="1315" t="str">
        <f ca="1">IF(CostTrack[[#This Row],[Release Date (CMS)]]="","*","")</f>
        <v/>
      </c>
      <c r="Y303" s="1308" t="s">
        <v>50</v>
      </c>
      <c r="Z303" s="710" t="s">
        <v>1018</v>
      </c>
      <c r="AA303" s="1316">
        <f ca="1">IF(OR(CostTrack[[#This Row],[Release Date (CMS)]]&gt;=DATE(VALUE(REPLACE(CostTrack[[#This Row],[Fiscal Period]],3,3,"")),3,1),CostTrack[[#This Row],[Release Date (CMS)]]&lt;DATE(VALUE(LEFT(CostTrack[[#This Row],[Fiscal Period]],4)),4,1)),1,0)</f>
        <v>0</v>
      </c>
      <c r="AB303" s="1317">
        <v>178.67</v>
      </c>
      <c r="AC303" s="1308">
        <v>44545</v>
      </c>
      <c r="AD303" s="402" t="str">
        <f ca="1">IF(CostTrack[[#This Row],[Reconciled Amount]]="","",IF(CostTrack[[#This Row],[Value]]&lt;&gt;CostTrack[[#This Row],[Reconciled Amount]],"Yes","No"))</f>
        <v>No</v>
      </c>
    </row>
    <row r="304" spans="2:30" ht="32.1" customHeight="1">
      <c r="B304" s="1324" t="s">
        <v>528</v>
      </c>
      <c r="C304" s="1323">
        <v>60734625</v>
      </c>
      <c r="D304" s="1322">
        <v>44533</v>
      </c>
      <c r="E304" s="658">
        <v>6502</v>
      </c>
      <c r="F304" s="1309" t="s">
        <v>69</v>
      </c>
      <c r="G304" s="1310">
        <f ca="1">ROUND(IF(CostTrack[[#This Row],[Holdback (Y/N/R)]]="Yes",CostTrack[[#This Row],[Value]]*-0.1,IF(CostTrack[[#This Row],[Holdback (Y/N/R)]]="Release",CostTrack[[#This Row],[Value]],0)),2)</f>
        <v>0</v>
      </c>
      <c r="H304" s="1311">
        <f ca="1">IF(CostTrack[[#This Row],[Holdback (Y/N/R)]]="Release",CostTrack[[#This Row],[Value]],CostTrack[[#This Row],[Value]]+CostTrack[[#This Row],[Holdback Value]])</f>
        <v>6502</v>
      </c>
      <c r="I304" s="1312"/>
      <c r="J304" s="1312"/>
      <c r="K304" s="1313"/>
      <c r="L304" s="1325">
        <v>44533</v>
      </c>
      <c r="M304" s="1325">
        <v>44533</v>
      </c>
      <c r="N304" s="1327"/>
      <c r="O304" s="1321" t="s">
        <v>106</v>
      </c>
      <c r="P304" s="1325">
        <v>44536</v>
      </c>
      <c r="Q304" s="1314" t="str">
        <f ca="1">IF(CostTrack[[#This Row],[Vendor - Contract]]="","",INDEX(VendorList[PA ID],MATCH(CostTrack[[#This Row],[Vendor - Contract]],VendorList[Vendor / Org. with Contract ID],0)))</f>
        <v>200.050.F1</v>
      </c>
      <c r="R304" s="1314" t="str">
        <f ca="1">IF(CostTrack[[#This Row],[Vendor - Contract]]="","",INDEX(VendorList[Primary Category],MATCH(CostTrack[[#This Row],[Vendor - Contract]],VendorList[Vendor / Org. with Contract ID],0)))</f>
        <v>Professional Services</v>
      </c>
      <c r="S304" s="1314" t="str">
        <f ca="1">IF(CostTrack[[#This Row],[Vendor - Contract]]="","",INDEX(VendorList[Secondary Category],MATCH(CostTrack[[#This Row],[Vendor - Contract]],VendorList[Vendor / Org. with Contract ID],0)))</f>
        <v>Other Professional Services</v>
      </c>
      <c r="T304" s="1314" t="str">
        <f ca="1">IF(CostTrack[[#This Row],[Vendor - Contract]]="","",INDEX(VendorList[Phase / Subproject],MATCH(CostTrack[[#This Row],[Vendor - Contract]],VendorList[Vendor / Org. with Contract ID],0)))</f>
        <v>--</v>
      </c>
      <c r="U304" s="1314" t="str">
        <f ca="1">IF(CostTrack[[#This Row],[Vendor - Contract]]="","",INDEX(VendorList[Phase / Subproject 2],MATCH(CostTrack[[#This Row],[Vendor - Contract]],VendorList[Vendor / Org. with Contract ID],0)))</f>
        <v>--</v>
      </c>
      <c r="V304" s="1314" t="str">
        <f ca="1">IF(CostTrack[[#This Row],[Vendor - Contract]]="","",INDEX(VendorList[Funding Source],MATCH(CostTrack[[#This Row],[Vendor - Contract]],VendorList[Vendor / Org. with Contract ID],0)))</f>
        <v>P-002360</v>
      </c>
      <c r="W304" s="1308">
        <v>44536</v>
      </c>
      <c r="X304" s="1315" t="str">
        <f ca="1">IF(CostTrack[[#This Row],[Release Date (CMS)]]="","*","")</f>
        <v/>
      </c>
      <c r="Y304" s="1308" t="s">
        <v>50</v>
      </c>
      <c r="Z304" s="713"/>
      <c r="AA304" s="1316">
        <f ca="1">IF(OR(CostTrack[[#This Row],[Release Date (CMS)]]&gt;=DATE(VALUE(REPLACE(CostTrack[[#This Row],[Fiscal Period]],3,3,"")),3,1),CostTrack[[#This Row],[Release Date (CMS)]]&lt;DATE(VALUE(LEFT(CostTrack[[#This Row],[Fiscal Period]],4)),4,1)),1,0)</f>
        <v>0</v>
      </c>
      <c r="AB304" s="1317">
        <v>6502</v>
      </c>
      <c r="AC304" s="1308">
        <v>44545</v>
      </c>
      <c r="AD304" s="402" t="str">
        <f ca="1">IF(CostTrack[[#This Row],[Reconciled Amount]]="","",IF(CostTrack[[#This Row],[Value]]&lt;&gt;CostTrack[[#This Row],[Reconciled Amount]],"Yes","No"))</f>
        <v>No</v>
      </c>
    </row>
    <row r="305" spans="2:30" ht="63.75" customHeight="1">
      <c r="B305" s="1324" t="s">
        <v>529</v>
      </c>
      <c r="C305" s="1322" t="s">
        <v>1019</v>
      </c>
      <c r="D305" s="1322">
        <v>44530</v>
      </c>
      <c r="E305" s="658">
        <v>2802662.05</v>
      </c>
      <c r="F305" s="1309" t="s">
        <v>65</v>
      </c>
      <c r="G305" s="1310">
        <f ca="1">ROUND(IF(CostTrack[[#This Row],[Holdback (Y/N/R)]]="Yes",CostTrack[[#This Row],[Value]]*-0.1,IF(CostTrack[[#This Row],[Holdback (Y/N/R)]]="Release",CostTrack[[#This Row],[Value]],0)),2)</f>
        <v>-280266.21000000002</v>
      </c>
      <c r="H305" s="1311">
        <f ca="1">IF(CostTrack[[#This Row],[Holdback (Y/N/R)]]="Release",CostTrack[[#This Row],[Value]],CostTrack[[#This Row],[Value]]+CostTrack[[#This Row],[Holdback Value]])</f>
        <v>2522395.84</v>
      </c>
      <c r="I305" s="1312"/>
      <c r="J305" s="1312"/>
      <c r="K305" s="1313"/>
      <c r="L305" s="1325">
        <v>44536</v>
      </c>
      <c r="M305" s="1325">
        <v>44536</v>
      </c>
      <c r="N305" s="1327"/>
      <c r="O305" s="1321" t="s">
        <v>106</v>
      </c>
      <c r="P305" s="1325">
        <v>44536</v>
      </c>
      <c r="Q305" s="1314" t="str">
        <f ca="1">IF(CostTrack[[#This Row],[Vendor - Contract]]="","",INDEX(VendorList[PA ID],MATCH(CostTrack[[#This Row],[Vendor - Contract]],VendorList[Vendor / Org. with Contract ID],0)))</f>
        <v>300.030.F1</v>
      </c>
      <c r="R305" s="1314" t="str">
        <f ca="1">IF(CostTrack[[#This Row],[Vendor - Contract]]="","",INDEX(VendorList[Primary Category],MATCH(CostTrack[[#This Row],[Vendor - Contract]],VendorList[Vendor / Org. with Contract ID],0)))</f>
        <v>Construction</v>
      </c>
      <c r="S305" s="1314" t="str">
        <f ca="1">IF(CostTrack[[#This Row],[Vendor - Contract]]="","",INDEX(VendorList[Secondary Category],MATCH(CostTrack[[#This Row],[Vendor - Contract]],VendorList[Vendor / Org. with Contract ID],0)))</f>
        <v>Prime Contractor</v>
      </c>
      <c r="T305" s="1314" t="str">
        <f ca="1">IF(CostTrack[[#This Row],[Vendor - Contract]]="","",INDEX(VendorList[Phase / Subproject],MATCH(CostTrack[[#This Row],[Vendor - Contract]],VendorList[Vendor / Org. with Contract ID],0)))</f>
        <v>--</v>
      </c>
      <c r="U305" s="1314" t="str">
        <f ca="1">IF(CostTrack[[#This Row],[Vendor - Contract]]="","",INDEX(VendorList[Phase / Subproject 2],MATCH(CostTrack[[#This Row],[Vendor - Contract]],VendorList[Vendor / Org. with Contract ID],0)))</f>
        <v>--</v>
      </c>
      <c r="V305" s="1314" t="str">
        <f ca="1">IF(CostTrack[[#This Row],[Vendor - Contract]]="","",INDEX(VendorList[Funding Source],MATCH(CostTrack[[#This Row],[Vendor - Contract]],VendorList[Vendor / Org. with Contract ID],0)))</f>
        <v>P-002360</v>
      </c>
      <c r="W305" s="1308">
        <v>44537</v>
      </c>
      <c r="X305" s="1315" t="str">
        <f ca="1">IF(CostTrack[[#This Row],[Release Date (CMS)]]="","*","")</f>
        <v/>
      </c>
      <c r="Y305" s="1308" t="s">
        <v>50</v>
      </c>
      <c r="Z305" s="652" t="s">
        <v>1020</v>
      </c>
      <c r="AA305" s="1316">
        <f ca="1">IF(OR(CostTrack[[#This Row],[Release Date (CMS)]]&gt;=DATE(VALUE(REPLACE(CostTrack[[#This Row],[Fiscal Period]],3,3,"")),3,1),CostTrack[[#This Row],[Release Date (CMS)]]&lt;DATE(VALUE(LEFT(CostTrack[[#This Row],[Fiscal Period]],4)),4,1)),1,0)</f>
        <v>0</v>
      </c>
      <c r="AB305" s="1317">
        <v>2802662.05</v>
      </c>
      <c r="AC305" s="1308">
        <v>44545</v>
      </c>
      <c r="AD305" s="402" t="str">
        <f ca="1">IF(CostTrack[[#This Row],[Reconciled Amount]]="","",IF(CostTrack[[#This Row],[Value]]&lt;&gt;CostTrack[[#This Row],[Reconciled Amount]],"Yes","No"))</f>
        <v>No</v>
      </c>
    </row>
    <row r="306" spans="2:30" ht="32.1" customHeight="1">
      <c r="B306" s="1324" t="s">
        <v>655</v>
      </c>
      <c r="C306" s="1312">
        <v>2857</v>
      </c>
      <c r="D306" s="1308">
        <v>44537</v>
      </c>
      <c r="E306" s="658">
        <v>1322</v>
      </c>
      <c r="F306" s="1309" t="s">
        <v>69</v>
      </c>
      <c r="G306" s="1310">
        <f ca="1">ROUND(IF(CostTrack[[#This Row],[Holdback (Y/N/R)]]="Yes",CostTrack[[#This Row],[Value]]*-0.1,IF(CostTrack[[#This Row],[Holdback (Y/N/R)]]="Release",CostTrack[[#This Row],[Value]],0)),2)</f>
        <v>0</v>
      </c>
      <c r="H306" s="1311">
        <f ca="1">IF(CostTrack[[#This Row],[Holdback (Y/N/R)]]="Release",CostTrack[[#This Row],[Value]],CostTrack[[#This Row],[Value]]+CostTrack[[#This Row],[Holdback Value]])</f>
        <v>1322</v>
      </c>
      <c r="I306" s="1312"/>
      <c r="J306" s="1312"/>
      <c r="K306" s="1313">
        <v>44501</v>
      </c>
      <c r="L306" s="1325">
        <v>44537</v>
      </c>
      <c r="M306" s="1326">
        <v>44538</v>
      </c>
      <c r="N306" s="1327"/>
      <c r="O306" s="1321" t="s">
        <v>106</v>
      </c>
      <c r="P306" s="1308">
        <v>44538</v>
      </c>
      <c r="Q306" s="1314" t="str">
        <f ca="1">IF(CostTrack[[#This Row],[Vendor - Contract]]="","",INDEX(VendorList[PA ID],MATCH(CostTrack[[#This Row],[Vendor - Contract]],VendorList[Vendor / Org. with Contract ID],0)))</f>
        <v>200.050.F1</v>
      </c>
      <c r="R306" s="1314" t="str">
        <f ca="1">IF(CostTrack[[#This Row],[Vendor - Contract]]="","",INDEX(VendorList[Primary Category],MATCH(CostTrack[[#This Row],[Vendor - Contract]],VendorList[Vendor / Org. with Contract ID],0)))</f>
        <v>Professional Services</v>
      </c>
      <c r="S306" s="1314" t="str">
        <f ca="1">IF(CostTrack[[#This Row],[Vendor - Contract]]="","",INDEX(VendorList[Secondary Category],MATCH(CostTrack[[#This Row],[Vendor - Contract]],VendorList[Vendor / Org. with Contract ID],0)))</f>
        <v>Other Professional Services</v>
      </c>
      <c r="T306" s="1314" t="str">
        <f ca="1">IF(CostTrack[[#This Row],[Vendor - Contract]]="","",INDEX(VendorList[Phase / Subproject],MATCH(CostTrack[[#This Row],[Vendor - Contract]],VendorList[Vendor / Org. with Contract ID],0)))</f>
        <v>--</v>
      </c>
      <c r="U306" s="1314" t="str">
        <f ca="1">IF(CostTrack[[#This Row],[Vendor - Contract]]="","",INDEX(VendorList[Phase / Subproject 2],MATCH(CostTrack[[#This Row],[Vendor - Contract]],VendorList[Vendor / Org. with Contract ID],0)))</f>
        <v>--</v>
      </c>
      <c r="V306" s="1314" t="str">
        <f ca="1">IF(CostTrack[[#This Row],[Vendor - Contract]]="","",INDEX(VendorList[Funding Source],MATCH(CostTrack[[#This Row],[Vendor - Contract]],VendorList[Vendor / Org. with Contract ID],0)))</f>
        <v>P-002360</v>
      </c>
      <c r="W306" s="1308">
        <v>44538</v>
      </c>
      <c r="X306" s="1315" t="str">
        <f ca="1">IF(CostTrack[[#This Row],[Release Date (CMS)]]="","*","")</f>
        <v/>
      </c>
      <c r="Y306" s="1308" t="s">
        <v>50</v>
      </c>
      <c r="Z306" s="713"/>
      <c r="AA306" s="1316">
        <f ca="1">IF(OR(CostTrack[[#This Row],[Release Date (CMS)]]&gt;=DATE(VALUE(REPLACE(CostTrack[[#This Row],[Fiscal Period]],3,3,"")),3,1),CostTrack[[#This Row],[Release Date (CMS)]]&lt;DATE(VALUE(LEFT(CostTrack[[#This Row],[Fiscal Period]],4)),4,1)),1,0)</f>
        <v>0</v>
      </c>
      <c r="AB306" s="1317">
        <v>1322</v>
      </c>
      <c r="AC306" s="1308">
        <v>44545</v>
      </c>
      <c r="AD306" s="402" t="str">
        <f ca="1">IF(CostTrack[[#This Row],[Reconciled Amount]]="","",IF(CostTrack[[#This Row],[Value]]&lt;&gt;CostTrack[[#This Row],[Reconciled Amount]],"Yes","No"))</f>
        <v>No</v>
      </c>
    </row>
    <row r="307" spans="2:30" ht="72" customHeight="1">
      <c r="B307" s="1324" t="s">
        <v>736</v>
      </c>
      <c r="C307" s="650" t="s">
        <v>1021</v>
      </c>
      <c r="D307" s="1308">
        <v>44561</v>
      </c>
      <c r="E307" s="658">
        <v>47410.23</v>
      </c>
      <c r="F307" s="1309" t="s">
        <v>69</v>
      </c>
      <c r="G307" s="1310">
        <f ca="1">ROUND(IF(CostTrack[[#This Row],[Holdback (Y/N/R)]]="Yes",CostTrack[[#This Row],[Value]]*-0.1,IF(CostTrack[[#This Row],[Holdback (Y/N/R)]]="Release",CostTrack[[#This Row],[Value]],0)),2)</f>
        <v>0</v>
      </c>
      <c r="H307" s="1311">
        <f ca="1">IF(CostTrack[[#This Row],[Holdback (Y/N/R)]]="Release",CostTrack[[#This Row],[Value]],CostTrack[[#This Row],[Value]]+CostTrack[[#This Row],[Holdback Value]])</f>
        <v>47410.23</v>
      </c>
      <c r="I307" s="1312"/>
      <c r="J307" s="1312"/>
      <c r="K307" s="1313">
        <v>44531</v>
      </c>
      <c r="L307" s="1325">
        <v>44568</v>
      </c>
      <c r="M307" s="1326">
        <v>44568</v>
      </c>
      <c r="N307" s="1327"/>
      <c r="O307" s="1321" t="s">
        <v>106</v>
      </c>
      <c r="P307" s="1308">
        <v>44561</v>
      </c>
      <c r="Q307" s="1314" t="str">
        <f ca="1">IF(CostTrack[[#This Row],[Vendor - Contract]]="","",INDEX(VendorList[PA ID],MATCH(CostTrack[[#This Row],[Vendor - Contract]],VendorList[Vendor / Org. with Contract ID],0)))</f>
        <v>100.010.F1</v>
      </c>
      <c r="R307" s="1314" t="str">
        <f ca="1">IF(CostTrack[[#This Row],[Vendor - Contract]]="","",INDEX(VendorList[Primary Category],MATCH(CostTrack[[#This Row],[Vendor - Contract]],VendorList[Vendor / Org. with Contract ID],0)))</f>
        <v>Administration</v>
      </c>
      <c r="S307" s="1314" t="str">
        <f ca="1">IF(CostTrack[[#This Row],[Vendor - Contract]]="","",INDEX(VendorList[Secondary Category],MATCH(CostTrack[[#This Row],[Vendor - Contract]],VendorList[Vendor / Org. with Contract ID],0)))</f>
        <v>Staff Capitalization - INFRA</v>
      </c>
      <c r="T307" s="1314" t="str">
        <f ca="1">IF(CostTrack[[#This Row],[Vendor - Contract]]="","",INDEX(VendorList[Phase / Subproject],MATCH(CostTrack[[#This Row],[Vendor - Contract]],VendorList[Vendor / Org. with Contract ID],0)))</f>
        <v>--</v>
      </c>
      <c r="U307" s="1314" t="str">
        <f ca="1">IF(CostTrack[[#This Row],[Vendor - Contract]]="","",INDEX(VendorList[Phase / Subproject 2],MATCH(CostTrack[[#This Row],[Vendor - Contract]],VendorList[Vendor / Org. with Contract ID],0)))</f>
        <v>--</v>
      </c>
      <c r="V307" s="1314" t="str">
        <f ca="1">IF(CostTrack[[#This Row],[Vendor - Contract]]="","",INDEX(VendorList[Funding Source],MATCH(CostTrack[[#This Row],[Vendor - Contract]],VendorList[Vendor / Org. with Contract ID],0)))</f>
        <v>P-002360</v>
      </c>
      <c r="W307" s="1308">
        <v>44561</v>
      </c>
      <c r="X307" s="1315" t="str">
        <f ca="1">IF(CostTrack[[#This Row],[Release Date (CMS)]]="","*","")</f>
        <v/>
      </c>
      <c r="Y307" s="1308" t="s">
        <v>50</v>
      </c>
      <c r="Z307" s="652" t="s">
        <v>1022</v>
      </c>
      <c r="AA307" s="1316">
        <f ca="1">IF(OR(CostTrack[[#This Row],[Release Date (CMS)]]&gt;=DATE(VALUE(REPLACE(CostTrack[[#This Row],[Fiscal Period]],3,3,"")),3,1),CostTrack[[#This Row],[Release Date (CMS)]]&lt;DATE(VALUE(LEFT(CostTrack[[#This Row],[Fiscal Period]],4)),4,1)),1,0)</f>
        <v>0</v>
      </c>
      <c r="AB307" s="1317">
        <v>47410.23</v>
      </c>
      <c r="AC307" s="1308">
        <v>44568</v>
      </c>
      <c r="AD307" s="402" t="str">
        <f ca="1">IF(CostTrack[[#This Row],[Reconciled Amount]]="","",IF(CostTrack[[#This Row],[Value]]&lt;&gt;CostTrack[[#This Row],[Reconciled Amount]],"Yes","No"))</f>
        <v>No</v>
      </c>
    </row>
    <row r="308" spans="2:30" ht="32.1" customHeight="1">
      <c r="B308" s="1324" t="s">
        <v>527</v>
      </c>
      <c r="C308" s="650" t="s">
        <v>1023</v>
      </c>
      <c r="D308" s="1308">
        <v>44561</v>
      </c>
      <c r="E308" s="658">
        <v>59893.39</v>
      </c>
      <c r="F308" s="1309" t="s">
        <v>69</v>
      </c>
      <c r="G308" s="1310">
        <f ca="1">ROUND(IF(CostTrack[[#This Row],[Holdback (Y/N/R)]]="Yes",CostTrack[[#This Row],[Value]]*-0.1,IF(CostTrack[[#This Row],[Holdback (Y/N/R)]]="Release",CostTrack[[#This Row],[Value]],0)),2)</f>
        <v>0</v>
      </c>
      <c r="H308" s="1311">
        <f ca="1">IF(CostTrack[[#This Row],[Holdback (Y/N/R)]]="Release",CostTrack[[#This Row],[Value]],CostTrack[[#This Row],[Value]]+CostTrack[[#This Row],[Holdback Value]])</f>
        <v>59893.39</v>
      </c>
      <c r="I308" s="1312"/>
      <c r="J308" s="1312"/>
      <c r="K308" s="1313">
        <v>44531</v>
      </c>
      <c r="L308" s="1325">
        <v>44568</v>
      </c>
      <c r="M308" s="1326">
        <v>44571</v>
      </c>
      <c r="N308" s="1327" t="s">
        <v>175</v>
      </c>
      <c r="O308" s="1321" t="s">
        <v>106</v>
      </c>
      <c r="P308" s="1308">
        <v>44571</v>
      </c>
      <c r="Q308" s="1314" t="str">
        <f ca="1">IF(CostTrack[[#This Row],[Vendor - Contract]]="","",INDEX(VendorList[PA ID],MATCH(CostTrack[[#This Row],[Vendor - Contract]],VendorList[Vendor / Org. with Contract ID],0)))</f>
        <v>200.010.F1</v>
      </c>
      <c r="R308" s="1314" t="str">
        <f ca="1">IF(CostTrack[[#This Row],[Vendor - Contract]]="","",INDEX(VendorList[Primary Category],MATCH(CostTrack[[#This Row],[Vendor - Contract]],VendorList[Vendor / Org. with Contract ID],0)))</f>
        <v>Professional Services</v>
      </c>
      <c r="S308" s="1314" t="str">
        <f ca="1">IF(CostTrack[[#This Row],[Vendor - Contract]]="","",INDEX(VendorList[Secondary Category],MATCH(CostTrack[[#This Row],[Vendor - Contract]],VendorList[Vendor / Org. with Contract ID],0)))</f>
        <v>Prime Consultant</v>
      </c>
      <c r="T308" s="1314" t="str">
        <f ca="1">IF(CostTrack[[#This Row],[Vendor - Contract]]="","",INDEX(VendorList[Phase / Subproject],MATCH(CostTrack[[#This Row],[Vendor - Contract]],VendorList[Vendor / Org. with Contract ID],0)))</f>
        <v>--</v>
      </c>
      <c r="U308" s="1314" t="str">
        <f ca="1">IF(CostTrack[[#This Row],[Vendor - Contract]]="","",INDEX(VendorList[Phase / Subproject 2],MATCH(CostTrack[[#This Row],[Vendor - Contract]],VendorList[Vendor / Org. with Contract ID],0)))</f>
        <v>--</v>
      </c>
      <c r="V308" s="1314" t="str">
        <f ca="1">IF(CostTrack[[#This Row],[Vendor - Contract]]="","",INDEX(VendorList[Funding Source],MATCH(CostTrack[[#This Row],[Vendor - Contract]],VendorList[Vendor / Org. with Contract ID],0)))</f>
        <v>P-002360</v>
      </c>
      <c r="W308" s="1308">
        <v>44572</v>
      </c>
      <c r="X308" s="1315" t="str">
        <f ca="1">IF(CostTrack[[#This Row],[Release Date (CMS)]]="","*","")</f>
        <v/>
      </c>
      <c r="Y308" s="1308" t="s">
        <v>50</v>
      </c>
      <c r="Z308" s="652" t="s">
        <v>1016</v>
      </c>
      <c r="AA308" s="1316">
        <f ca="1">IF(OR(CostTrack[[#This Row],[Release Date (CMS)]]&gt;=DATE(VALUE(REPLACE(CostTrack[[#This Row],[Fiscal Period]],3,3,"")),3,1),CostTrack[[#This Row],[Release Date (CMS)]]&lt;DATE(VALUE(LEFT(CostTrack[[#This Row],[Fiscal Period]],4)),4,1)),1,0)</f>
        <v>0</v>
      </c>
      <c r="AB308" s="1317">
        <v>59893.39</v>
      </c>
      <c r="AC308" s="1308">
        <v>44601</v>
      </c>
      <c r="AD308" s="402" t="str">
        <f ca="1">IF(CostTrack[[#This Row],[Reconciled Amount]]="","",IF(CostTrack[[#This Row],[Value]]&lt;&gt;CostTrack[[#This Row],[Reconciled Amount]],"Yes","No"))</f>
        <v>No</v>
      </c>
    </row>
    <row r="309" spans="2:30" ht="66" customHeight="1">
      <c r="B309" s="1324" t="s">
        <v>666</v>
      </c>
      <c r="C309" s="650" t="s">
        <v>1024</v>
      </c>
      <c r="D309" s="1308">
        <v>44574</v>
      </c>
      <c r="E309" s="658">
        <v>23528.38</v>
      </c>
      <c r="F309" s="1309" t="s">
        <v>69</v>
      </c>
      <c r="G309" s="1310">
        <f ca="1">ROUND(IF(CostTrack[[#This Row],[Holdback (Y/N/R)]]="Yes",CostTrack[[#This Row],[Value]]*-0.1,IF(CostTrack[[#This Row],[Holdback (Y/N/R)]]="Release",CostTrack[[#This Row],[Value]],0)),2)</f>
        <v>0</v>
      </c>
      <c r="H309" s="1311">
        <f ca="1">IF(CostTrack[[#This Row],[Holdback (Y/N/R)]]="Release",CostTrack[[#This Row],[Value]],CostTrack[[#This Row],[Value]]+CostTrack[[#This Row],[Holdback Value]])</f>
        <v>23528.38</v>
      </c>
      <c r="I309" s="1312"/>
      <c r="J309" s="1312"/>
      <c r="K309" s="1313"/>
      <c r="L309" s="1325">
        <v>44545</v>
      </c>
      <c r="M309" s="1326">
        <v>44574</v>
      </c>
      <c r="N309" s="1327" t="s">
        <v>175</v>
      </c>
      <c r="O309" s="1321" t="s">
        <v>106</v>
      </c>
      <c r="P309" s="1308">
        <v>44574</v>
      </c>
      <c r="Q309" s="1314" t="str">
        <f ca="1">IF(CostTrack[[#This Row],[Vendor - Contract]]="","",INDEX(VendorList[PA ID],MATCH(CostTrack[[#This Row],[Vendor - Contract]],VendorList[Vendor / Org. with Contract ID],0)))</f>
        <v>200.050.F1</v>
      </c>
      <c r="R309" s="1314" t="str">
        <f ca="1">IF(CostTrack[[#This Row],[Vendor - Contract]]="","",INDEX(VendorList[Primary Category],MATCH(CostTrack[[#This Row],[Vendor - Contract]],VendorList[Vendor / Org. with Contract ID],0)))</f>
        <v>Professional Services</v>
      </c>
      <c r="S309" s="1314" t="str">
        <f ca="1">IF(CostTrack[[#This Row],[Vendor - Contract]]="","",INDEX(VendorList[Secondary Category],MATCH(CostTrack[[#This Row],[Vendor - Contract]],VendorList[Vendor / Org. with Contract ID],0)))</f>
        <v>Other Professional Services</v>
      </c>
      <c r="T309" s="1314" t="str">
        <f ca="1">IF(CostTrack[[#This Row],[Vendor - Contract]]="","",INDEX(VendorList[Phase / Subproject],MATCH(CostTrack[[#This Row],[Vendor - Contract]],VendorList[Vendor / Org. with Contract ID],0)))</f>
        <v>--</v>
      </c>
      <c r="U309" s="1314" t="str">
        <f ca="1">IF(CostTrack[[#This Row],[Vendor - Contract]]="","",INDEX(VendorList[Phase / Subproject 2],MATCH(CostTrack[[#This Row],[Vendor - Contract]],VendorList[Vendor / Org. with Contract ID],0)))</f>
        <v>--</v>
      </c>
      <c r="V309" s="1314" t="str">
        <f ca="1">IF(CostTrack[[#This Row],[Vendor - Contract]]="","",INDEX(VendorList[Funding Source],MATCH(CostTrack[[#This Row],[Vendor - Contract]],VendorList[Vendor / Org. with Contract ID],0)))</f>
        <v>P-002360</v>
      </c>
      <c r="W309" s="1308">
        <v>44574</v>
      </c>
      <c r="X309" s="1315" t="str">
        <f ca="1">IF(CostTrack[[#This Row],[Release Date (CMS)]]="","*","")</f>
        <v/>
      </c>
      <c r="Y309" s="1308" t="s">
        <v>50</v>
      </c>
      <c r="Z309" s="652" t="s">
        <v>1025</v>
      </c>
      <c r="AA309" s="1316">
        <f ca="1">IF(OR(CostTrack[[#This Row],[Release Date (CMS)]]&gt;=DATE(VALUE(REPLACE(CostTrack[[#This Row],[Fiscal Period]],3,3,"")),3,1),CostTrack[[#This Row],[Release Date (CMS)]]&lt;DATE(VALUE(LEFT(CostTrack[[#This Row],[Fiscal Period]],4)),4,1)),1,0)</f>
        <v>0</v>
      </c>
      <c r="AB309" s="1317">
        <v>23528.38</v>
      </c>
      <c r="AC309" s="1308">
        <v>44601</v>
      </c>
      <c r="AD309" s="402" t="str">
        <f ca="1">IF(CostTrack[[#This Row],[Reconciled Amount]]="","",IF(CostTrack[[#This Row],[Value]]&lt;&gt;CostTrack[[#This Row],[Reconciled Amount]],"Yes","No"))</f>
        <v>No</v>
      </c>
    </row>
    <row r="310" spans="2:30" ht="32.1" customHeight="1">
      <c r="B310" s="1324" t="s">
        <v>529</v>
      </c>
      <c r="C310" s="1312">
        <v>26636</v>
      </c>
      <c r="D310" s="1308">
        <v>44550</v>
      </c>
      <c r="E310" s="658">
        <v>2586706.37</v>
      </c>
      <c r="F310" s="1309" t="s">
        <v>65</v>
      </c>
      <c r="G310" s="1310">
        <f ca="1">ROUND(IF(CostTrack[[#This Row],[Holdback (Y/N/R)]]="Yes",CostTrack[[#This Row],[Value]]*-0.1,IF(CostTrack[[#This Row],[Holdback (Y/N/R)]]="Release",CostTrack[[#This Row],[Value]],0)),2)</f>
        <v>-258670.64</v>
      </c>
      <c r="H310" s="1311">
        <f ca="1">IF(CostTrack[[#This Row],[Holdback (Y/N/R)]]="Release",CostTrack[[#This Row],[Value]],CostTrack[[#This Row],[Value]]+CostTrack[[#This Row],[Holdback Value]])</f>
        <v>2328035.73</v>
      </c>
      <c r="I310" s="1312">
        <v>17</v>
      </c>
      <c r="J310" s="1312"/>
      <c r="K310" s="1313"/>
      <c r="L310" s="1325">
        <v>44574</v>
      </c>
      <c r="M310" s="1326">
        <v>44574</v>
      </c>
      <c r="N310" s="1327"/>
      <c r="O310" s="1321" t="s">
        <v>106</v>
      </c>
      <c r="P310" s="1308">
        <v>44574</v>
      </c>
      <c r="Q310" s="1314" t="str">
        <f ca="1">IF(CostTrack[[#This Row],[Vendor - Contract]]="","",INDEX(VendorList[PA ID],MATCH(CostTrack[[#This Row],[Vendor - Contract]],VendorList[Vendor / Org. with Contract ID],0)))</f>
        <v>300.030.F1</v>
      </c>
      <c r="R310" s="1314" t="str">
        <f ca="1">IF(CostTrack[[#This Row],[Vendor - Contract]]="","",INDEX(VendorList[Primary Category],MATCH(CostTrack[[#This Row],[Vendor - Contract]],VendorList[Vendor / Org. with Contract ID],0)))</f>
        <v>Construction</v>
      </c>
      <c r="S310" s="1314" t="str">
        <f ca="1">IF(CostTrack[[#This Row],[Vendor - Contract]]="","",INDEX(VendorList[Secondary Category],MATCH(CostTrack[[#This Row],[Vendor - Contract]],VendorList[Vendor / Org. with Contract ID],0)))</f>
        <v>Prime Contractor</v>
      </c>
      <c r="T310" s="1314" t="str">
        <f ca="1">IF(CostTrack[[#This Row],[Vendor - Contract]]="","",INDEX(VendorList[Phase / Subproject],MATCH(CostTrack[[#This Row],[Vendor - Contract]],VendorList[Vendor / Org. with Contract ID],0)))</f>
        <v>--</v>
      </c>
      <c r="U310" s="1314" t="str">
        <f ca="1">IF(CostTrack[[#This Row],[Vendor - Contract]]="","",INDEX(VendorList[Phase / Subproject 2],MATCH(CostTrack[[#This Row],[Vendor - Contract]],VendorList[Vendor / Org. with Contract ID],0)))</f>
        <v>--</v>
      </c>
      <c r="V310" s="1314" t="str">
        <f ca="1">IF(CostTrack[[#This Row],[Vendor - Contract]]="","",INDEX(VendorList[Funding Source],MATCH(CostTrack[[#This Row],[Vendor - Contract]],VendorList[Vendor / Org. with Contract ID],0)))</f>
        <v>P-002360</v>
      </c>
      <c r="W310" s="1308">
        <v>44575</v>
      </c>
      <c r="X310" s="1315" t="str">
        <f ca="1">IF(CostTrack[[#This Row],[Release Date (CMS)]]="","*","")</f>
        <v/>
      </c>
      <c r="Y310" s="1308" t="s">
        <v>50</v>
      </c>
      <c r="Z310" s="652" t="s">
        <v>1016</v>
      </c>
      <c r="AA310" s="1316">
        <f ca="1">IF(OR(CostTrack[[#This Row],[Release Date (CMS)]]&gt;=DATE(VALUE(REPLACE(CostTrack[[#This Row],[Fiscal Period]],3,3,"")),3,1),CostTrack[[#This Row],[Release Date (CMS)]]&lt;DATE(VALUE(LEFT(CostTrack[[#This Row],[Fiscal Period]],4)),4,1)),1,0)</f>
        <v>0</v>
      </c>
      <c r="AB310" s="1317">
        <v>2586706.37</v>
      </c>
      <c r="AC310" s="1308">
        <v>44601</v>
      </c>
      <c r="AD310" s="402" t="str">
        <f ca="1">IF(CostTrack[[#This Row],[Reconciled Amount]]="","",IF(CostTrack[[#This Row],[Value]]&lt;&gt;CostTrack[[#This Row],[Reconciled Amount]],"Yes","No"))</f>
        <v>No</v>
      </c>
    </row>
    <row r="311" spans="2:30" ht="32.1" customHeight="1">
      <c r="B311" s="1324" t="s">
        <v>528</v>
      </c>
      <c r="C311" s="1312">
        <v>60741072</v>
      </c>
      <c r="D311" s="1308">
        <v>44580</v>
      </c>
      <c r="E311" s="658">
        <v>22717</v>
      </c>
      <c r="F311" s="1309" t="s">
        <v>69</v>
      </c>
      <c r="G311" s="1310">
        <f ca="1">ROUND(IF(CostTrack[[#This Row],[Holdback (Y/N/R)]]="Yes",CostTrack[[#This Row],[Value]]*-0.1,IF(CostTrack[[#This Row],[Holdback (Y/N/R)]]="Release",CostTrack[[#This Row],[Value]],0)),2)</f>
        <v>0</v>
      </c>
      <c r="H311" s="1311">
        <f ca="1">IF(CostTrack[[#This Row],[Holdback (Y/N/R)]]="Release",CostTrack[[#This Row],[Value]],CostTrack[[#This Row],[Value]]+CostTrack[[#This Row],[Holdback Value]])</f>
        <v>22717</v>
      </c>
      <c r="I311" s="1312"/>
      <c r="J311" s="1312"/>
      <c r="K311" s="1313"/>
      <c r="L311" s="1325">
        <v>44586</v>
      </c>
      <c r="M311" s="1326">
        <v>44586</v>
      </c>
      <c r="N311" s="1327"/>
      <c r="O311" s="1321" t="s">
        <v>106</v>
      </c>
      <c r="P311" s="1308">
        <v>44586</v>
      </c>
      <c r="Q311" s="1314" t="str">
        <f ca="1">IF(CostTrack[[#This Row],[Vendor - Contract]]="","",INDEX(VendorList[PA ID],MATCH(CostTrack[[#This Row],[Vendor - Contract]],VendorList[Vendor / Org. with Contract ID],0)))</f>
        <v>200.050.F1</v>
      </c>
      <c r="R311" s="1314" t="str">
        <f ca="1">IF(CostTrack[[#This Row],[Vendor - Contract]]="","",INDEX(VendorList[Primary Category],MATCH(CostTrack[[#This Row],[Vendor - Contract]],VendorList[Vendor / Org. with Contract ID],0)))</f>
        <v>Professional Services</v>
      </c>
      <c r="S311" s="1314" t="str">
        <f ca="1">IF(CostTrack[[#This Row],[Vendor - Contract]]="","",INDEX(VendorList[Secondary Category],MATCH(CostTrack[[#This Row],[Vendor - Contract]],VendorList[Vendor / Org. with Contract ID],0)))</f>
        <v>Other Professional Services</v>
      </c>
      <c r="T311" s="1314" t="str">
        <f ca="1">IF(CostTrack[[#This Row],[Vendor - Contract]]="","",INDEX(VendorList[Phase / Subproject],MATCH(CostTrack[[#This Row],[Vendor - Contract]],VendorList[Vendor / Org. with Contract ID],0)))</f>
        <v>--</v>
      </c>
      <c r="U311" s="1314" t="str">
        <f ca="1">IF(CostTrack[[#This Row],[Vendor - Contract]]="","",INDEX(VendorList[Phase / Subproject 2],MATCH(CostTrack[[#This Row],[Vendor - Contract]],VendorList[Vendor / Org. with Contract ID],0)))</f>
        <v>--</v>
      </c>
      <c r="V311" s="1314" t="str">
        <f ca="1">IF(CostTrack[[#This Row],[Vendor - Contract]]="","",INDEX(VendorList[Funding Source],MATCH(CostTrack[[#This Row],[Vendor - Contract]],VendorList[Vendor / Org. with Contract ID],0)))</f>
        <v>P-002360</v>
      </c>
      <c r="W311" s="1308">
        <v>44587</v>
      </c>
      <c r="X311" s="1315" t="str">
        <f ca="1">IF(CostTrack[[#This Row],[Release Date (CMS)]]="","*","")</f>
        <v/>
      </c>
      <c r="Y311" s="1308" t="s">
        <v>50</v>
      </c>
      <c r="Z311" s="713"/>
      <c r="AA311" s="1316">
        <f ca="1">IF(OR(CostTrack[[#This Row],[Release Date (CMS)]]&gt;=DATE(VALUE(REPLACE(CostTrack[[#This Row],[Fiscal Period]],3,3,"")),3,1),CostTrack[[#This Row],[Release Date (CMS)]]&lt;DATE(VALUE(LEFT(CostTrack[[#This Row],[Fiscal Period]],4)),4,1)),1,0)</f>
        <v>0</v>
      </c>
      <c r="AB311" s="1317">
        <v>22717</v>
      </c>
      <c r="AC311" s="1308">
        <v>44601</v>
      </c>
      <c r="AD311" s="402" t="str">
        <f ca="1">IF(CostTrack[[#This Row],[Reconciled Amount]]="","",IF(CostTrack[[#This Row],[Value]]&lt;&gt;CostTrack[[#This Row],[Reconciled Amount]],"Yes","No"))</f>
        <v>No</v>
      </c>
    </row>
    <row r="312" spans="2:30" ht="64.5" customHeight="1">
      <c r="B312" s="706" t="s">
        <v>736</v>
      </c>
      <c r="C312" s="711" t="s">
        <v>1026</v>
      </c>
      <c r="D312" s="1308">
        <v>44592</v>
      </c>
      <c r="E312" s="658">
        <v>44906.96</v>
      </c>
      <c r="F312" s="1309" t="s">
        <v>69</v>
      </c>
      <c r="G312" s="1310">
        <f ca="1">ROUND(IF(CostTrack[[#This Row],[Holdback (Y/N/R)]]="Yes",CostTrack[[#This Row],[Value]]*-0.1,IF(CostTrack[[#This Row],[Holdback (Y/N/R)]]="Release",CostTrack[[#This Row],[Value]],0)),2)</f>
        <v>0</v>
      </c>
      <c r="H312" s="1311">
        <f ca="1">IF(CostTrack[[#This Row],[Holdback (Y/N/R)]]="Release",CostTrack[[#This Row],[Value]],CostTrack[[#This Row],[Value]]+CostTrack[[#This Row],[Holdback Value]])</f>
        <v>44906.96</v>
      </c>
      <c r="I312" s="1312"/>
      <c r="J312" s="1312"/>
      <c r="K312" s="1313"/>
      <c r="L312" s="1325">
        <v>44592</v>
      </c>
      <c r="M312" s="1326">
        <v>44592</v>
      </c>
      <c r="N312" s="1327"/>
      <c r="O312" s="1321" t="s">
        <v>106</v>
      </c>
      <c r="P312" s="1308">
        <v>44592</v>
      </c>
      <c r="Q312" s="1314" t="str">
        <f ca="1">IF(CostTrack[[#This Row],[Vendor - Contract]]="","",INDEX(VendorList[PA ID],MATCH(CostTrack[[#This Row],[Vendor - Contract]],VendorList[Vendor / Org. with Contract ID],0)))</f>
        <v>100.010.F1</v>
      </c>
      <c r="R312" s="1314" t="str">
        <f ca="1">IF(CostTrack[[#This Row],[Vendor - Contract]]="","",INDEX(VendorList[Primary Category],MATCH(CostTrack[[#This Row],[Vendor - Contract]],VendorList[Vendor / Org. with Contract ID],0)))</f>
        <v>Administration</v>
      </c>
      <c r="S312" s="1314" t="str">
        <f ca="1">IF(CostTrack[[#This Row],[Vendor - Contract]]="","",INDEX(VendorList[Secondary Category],MATCH(CostTrack[[#This Row],[Vendor - Contract]],VendorList[Vendor / Org. with Contract ID],0)))</f>
        <v>Staff Capitalization - INFRA</v>
      </c>
      <c r="T312" s="1314" t="str">
        <f ca="1">IF(CostTrack[[#This Row],[Vendor - Contract]]="","",INDEX(VendorList[Phase / Subproject],MATCH(CostTrack[[#This Row],[Vendor - Contract]],VendorList[Vendor / Org. with Contract ID],0)))</f>
        <v>--</v>
      </c>
      <c r="U312" s="1314" t="str">
        <f ca="1">IF(CostTrack[[#This Row],[Vendor - Contract]]="","",INDEX(VendorList[Phase / Subproject 2],MATCH(CostTrack[[#This Row],[Vendor - Contract]],VendorList[Vendor / Org. with Contract ID],0)))</f>
        <v>--</v>
      </c>
      <c r="V312" s="1314" t="str">
        <f ca="1">IF(CostTrack[[#This Row],[Vendor - Contract]]="","",INDEX(VendorList[Funding Source],MATCH(CostTrack[[#This Row],[Vendor - Contract]],VendorList[Vendor / Org. with Contract ID],0)))</f>
        <v>P-002360</v>
      </c>
      <c r="W312" s="1308">
        <v>44591</v>
      </c>
      <c r="X312" s="1315" t="str">
        <f ca="1">IF(CostTrack[[#This Row],[Release Date (CMS)]]="","*","")</f>
        <v/>
      </c>
      <c r="Y312" s="1308" t="s">
        <v>50</v>
      </c>
      <c r="Z312" s="652" t="s">
        <v>1027</v>
      </c>
      <c r="AA312" s="1316">
        <f ca="1">IF(OR(CostTrack[[#This Row],[Release Date (CMS)]]&gt;=DATE(VALUE(REPLACE(CostTrack[[#This Row],[Fiscal Period]],3,3,"")),3,1),CostTrack[[#This Row],[Release Date (CMS)]]&lt;DATE(VALUE(LEFT(CostTrack[[#This Row],[Fiscal Period]],4)),4,1)),1,0)</f>
        <v>0</v>
      </c>
      <c r="AB312" s="1317">
        <v>44906.96</v>
      </c>
      <c r="AC312" s="1308">
        <v>44601</v>
      </c>
      <c r="AD312" s="402" t="str">
        <f ca="1">IF(CostTrack[[#This Row],[Reconciled Amount]]="","",IF(CostTrack[[#This Row],[Value]]&lt;&gt;CostTrack[[#This Row],[Reconciled Amount]],"Yes","No"))</f>
        <v>No</v>
      </c>
    </row>
    <row r="313" spans="2:30" ht="32.1" customHeight="1">
      <c r="B313" s="1324" t="s">
        <v>624</v>
      </c>
      <c r="C313" s="1312">
        <v>1678001</v>
      </c>
      <c r="D313" s="1308">
        <v>44596</v>
      </c>
      <c r="E313" s="658">
        <v>6450</v>
      </c>
      <c r="F313" s="1309" t="s">
        <v>69</v>
      </c>
      <c r="G313" s="1310">
        <f ca="1">ROUND(IF(CostTrack[[#This Row],[Holdback (Y/N/R)]]="Yes",CostTrack[[#This Row],[Value]]*-0.1,IF(CostTrack[[#This Row],[Holdback (Y/N/R)]]="Release",CostTrack[[#This Row],[Value]],0)),2)</f>
        <v>0</v>
      </c>
      <c r="H313" s="1311">
        <f ca="1">IF(CostTrack[[#This Row],[Holdback (Y/N/R)]]="Release",CostTrack[[#This Row],[Value]],CostTrack[[#This Row],[Value]]+CostTrack[[#This Row],[Holdback Value]])</f>
        <v>6450</v>
      </c>
      <c r="I313" s="1312"/>
      <c r="J313" s="1312"/>
      <c r="K313" s="1313"/>
      <c r="L313" s="1325">
        <v>44596</v>
      </c>
      <c r="M313" s="1326">
        <v>44596</v>
      </c>
      <c r="N313" s="1327"/>
      <c r="O313" s="1321" t="s">
        <v>106</v>
      </c>
      <c r="P313" s="1308">
        <v>44596</v>
      </c>
      <c r="Q313" s="1314" t="str">
        <f ca="1">IF(CostTrack[[#This Row],[Vendor - Contract]]="","",INDEX(VendorList[PA ID],MATCH(CostTrack[[#This Row],[Vendor - Contract]],VendorList[Vendor / Org. with Contract ID],0)))</f>
        <v>200.040.F1</v>
      </c>
      <c r="R313" s="1314" t="str">
        <f ca="1">IF(CostTrack[[#This Row],[Vendor - Contract]]="","",INDEX(VendorList[Primary Category],MATCH(CostTrack[[#This Row],[Vendor - Contract]],VendorList[Vendor / Org. with Contract ID],0)))</f>
        <v>Professional Services</v>
      </c>
      <c r="S313" s="1314" t="str">
        <f ca="1">IF(CostTrack[[#This Row],[Vendor - Contract]]="","",INDEX(VendorList[Secondary Category],MATCH(CostTrack[[#This Row],[Vendor - Contract]],VendorList[Vendor / Org. with Contract ID],0)))</f>
        <v>Commissioning</v>
      </c>
      <c r="T313" s="1314" t="str">
        <f ca="1">IF(CostTrack[[#This Row],[Vendor - Contract]]="","",INDEX(VendorList[Phase / Subproject],MATCH(CostTrack[[#This Row],[Vendor - Contract]],VendorList[Vendor / Org. with Contract ID],0)))</f>
        <v>--</v>
      </c>
      <c r="U313" s="1314" t="str">
        <f ca="1">IF(CostTrack[[#This Row],[Vendor - Contract]]="","",INDEX(VendorList[Phase / Subproject 2],MATCH(CostTrack[[#This Row],[Vendor - Contract]],VendorList[Vendor / Org. with Contract ID],0)))</f>
        <v>--</v>
      </c>
      <c r="V313" s="1314" t="str">
        <f ca="1">IF(CostTrack[[#This Row],[Vendor - Contract]]="","",INDEX(VendorList[Funding Source],MATCH(CostTrack[[#This Row],[Vendor - Contract]],VendorList[Vendor / Org. with Contract ID],0)))</f>
        <v>P-002360</v>
      </c>
      <c r="W313" s="1308">
        <v>44596</v>
      </c>
      <c r="X313" s="1315" t="str">
        <f ca="1">IF(CostTrack[[#This Row],[Release Date (CMS)]]="","*","")</f>
        <v/>
      </c>
      <c r="Y313" s="1308" t="s">
        <v>50</v>
      </c>
      <c r="Z313" s="713"/>
      <c r="AA313" s="1316">
        <f ca="1">IF(OR(CostTrack[[#This Row],[Release Date (CMS)]]&gt;=DATE(VALUE(REPLACE(CostTrack[[#This Row],[Fiscal Period]],3,3,"")),3,1),CostTrack[[#This Row],[Release Date (CMS)]]&lt;DATE(VALUE(LEFT(CostTrack[[#This Row],[Fiscal Period]],4)),4,1)),1,0)</f>
        <v>0</v>
      </c>
      <c r="AB313" s="1317">
        <v>6450</v>
      </c>
      <c r="AC313" s="1308">
        <v>44601</v>
      </c>
      <c r="AD313" s="402" t="str">
        <f ca="1">IF(CostTrack[[#This Row],[Reconciled Amount]]="","",IF(CostTrack[[#This Row],[Value]]&lt;&gt;CostTrack[[#This Row],[Reconciled Amount]],"Yes","No"))</f>
        <v>No</v>
      </c>
    </row>
    <row r="314" spans="2:30" ht="32.1" customHeight="1">
      <c r="B314" s="1324" t="s">
        <v>527</v>
      </c>
      <c r="C314" s="650" t="s">
        <v>1028</v>
      </c>
      <c r="D314" s="1308">
        <v>44592</v>
      </c>
      <c r="E314" s="658">
        <v>88377.98</v>
      </c>
      <c r="F314" s="1309" t="s">
        <v>69</v>
      </c>
      <c r="G314" s="1310">
        <f ca="1">ROUND(IF(CostTrack[[#This Row],[Holdback (Y/N/R)]]="Yes",CostTrack[[#This Row],[Value]]*-0.1,IF(CostTrack[[#This Row],[Holdback (Y/N/R)]]="Release",CostTrack[[#This Row],[Value]],0)),2)</f>
        <v>0</v>
      </c>
      <c r="H314" s="1311">
        <f ca="1">IF(CostTrack[[#This Row],[Holdback (Y/N/R)]]="Release",CostTrack[[#This Row],[Value]],CostTrack[[#This Row],[Value]]+CostTrack[[#This Row],[Holdback Value]])</f>
        <v>88377.98</v>
      </c>
      <c r="I314" s="1312"/>
      <c r="J314" s="1312"/>
      <c r="K314" s="1313"/>
      <c r="L314" s="1325">
        <v>44596</v>
      </c>
      <c r="M314" s="1326">
        <v>44596</v>
      </c>
      <c r="N314" s="1327"/>
      <c r="O314" s="1321" t="s">
        <v>106</v>
      </c>
      <c r="P314" s="1308">
        <v>44596</v>
      </c>
      <c r="Q314" s="1314" t="str">
        <f ca="1">IF(CostTrack[[#This Row],[Vendor - Contract]]="","",INDEX(VendorList[PA ID],MATCH(CostTrack[[#This Row],[Vendor - Contract]],VendorList[Vendor / Org. with Contract ID],0)))</f>
        <v>200.010.F1</v>
      </c>
      <c r="R314" s="1314" t="str">
        <f ca="1">IF(CostTrack[[#This Row],[Vendor - Contract]]="","",INDEX(VendorList[Primary Category],MATCH(CostTrack[[#This Row],[Vendor - Contract]],VendorList[Vendor / Org. with Contract ID],0)))</f>
        <v>Professional Services</v>
      </c>
      <c r="S314" s="1314" t="str">
        <f ca="1">IF(CostTrack[[#This Row],[Vendor - Contract]]="","",INDEX(VendorList[Secondary Category],MATCH(CostTrack[[#This Row],[Vendor - Contract]],VendorList[Vendor / Org. with Contract ID],0)))</f>
        <v>Prime Consultant</v>
      </c>
      <c r="T314" s="1314" t="str">
        <f ca="1">IF(CostTrack[[#This Row],[Vendor - Contract]]="","",INDEX(VendorList[Phase / Subproject],MATCH(CostTrack[[#This Row],[Vendor - Contract]],VendorList[Vendor / Org. with Contract ID],0)))</f>
        <v>--</v>
      </c>
      <c r="U314" s="1314" t="str">
        <f ca="1">IF(CostTrack[[#This Row],[Vendor - Contract]]="","",INDEX(VendorList[Phase / Subproject 2],MATCH(CostTrack[[#This Row],[Vendor - Contract]],VendorList[Vendor / Org. with Contract ID],0)))</f>
        <v>--</v>
      </c>
      <c r="V314" s="1314" t="str">
        <f ca="1">IF(CostTrack[[#This Row],[Vendor - Contract]]="","",INDEX(VendorList[Funding Source],MATCH(CostTrack[[#This Row],[Vendor - Contract]],VendorList[Vendor / Org. with Contract ID],0)))</f>
        <v>P-002360</v>
      </c>
      <c r="W314" s="1308">
        <v>44596</v>
      </c>
      <c r="X314" s="1315" t="str">
        <f ca="1">IF(CostTrack[[#This Row],[Release Date (CMS)]]="","*","")</f>
        <v/>
      </c>
      <c r="Y314" s="1308" t="s">
        <v>50</v>
      </c>
      <c r="Z314" s="713"/>
      <c r="AA314" s="1316">
        <f ca="1">IF(OR(CostTrack[[#This Row],[Release Date (CMS)]]&gt;=DATE(VALUE(REPLACE(CostTrack[[#This Row],[Fiscal Period]],3,3,"")),3,1),CostTrack[[#This Row],[Release Date (CMS)]]&lt;DATE(VALUE(LEFT(CostTrack[[#This Row],[Fiscal Period]],4)),4,1)),1,0)</f>
        <v>0</v>
      </c>
      <c r="AB314" s="1317">
        <v>88377.98</v>
      </c>
      <c r="AC314" s="1308">
        <v>44601</v>
      </c>
      <c r="AD314" s="402" t="str">
        <f ca="1">IF(CostTrack[[#This Row],[Reconciled Amount]]="","",IF(CostTrack[[#This Row],[Value]]&lt;&gt;CostTrack[[#This Row],[Reconciled Amount]],"Yes","No"))</f>
        <v>No</v>
      </c>
    </row>
    <row r="315" spans="2:30" ht="19.5" customHeight="1">
      <c r="B315" s="706" t="s">
        <v>655</v>
      </c>
      <c r="C315" s="650">
        <v>2875</v>
      </c>
      <c r="D315" s="267">
        <v>44582</v>
      </c>
      <c r="E315" s="654">
        <v>1322</v>
      </c>
      <c r="F315" s="647" t="s">
        <v>69</v>
      </c>
      <c r="G315" s="406">
        <f ca="1">ROUND(IF(CostTrack[[#This Row],[Holdback (Y/N/R)]]="Yes",CostTrack[[#This Row],[Value]]*-0.1,IF(CostTrack[[#This Row],[Holdback (Y/N/R)]]="Release",CostTrack[[#This Row],[Value]],0)),2)</f>
        <v>0</v>
      </c>
      <c r="H315" s="407">
        <f ca="1">IF(CostTrack[[#This Row],[Holdback (Y/N/R)]]="Release",CostTrack[[#This Row],[Value]],CostTrack[[#This Row],[Value]]+CostTrack[[#This Row],[Holdback Value]])</f>
        <v>1322</v>
      </c>
      <c r="I315" s="650"/>
      <c r="J315" s="650"/>
      <c r="K315" s="648"/>
      <c r="L315" s="707">
        <v>44582</v>
      </c>
      <c r="M315" s="708">
        <v>44582</v>
      </c>
      <c r="N315" s="709"/>
      <c r="O315" s="210" t="s">
        <v>106</v>
      </c>
      <c r="P315" s="267">
        <v>44582</v>
      </c>
      <c r="Q315" s="243" t="str">
        <f ca="1">IF(CostTrack[[#This Row],[Vendor - Contract]]="","",INDEX(VendorList[PA ID],MATCH(CostTrack[[#This Row],[Vendor - Contract]],VendorList[Vendor / Org. with Contract ID],0)))</f>
        <v>200.050.F1</v>
      </c>
      <c r="R315" s="243" t="str">
        <f ca="1">IF(CostTrack[[#This Row],[Vendor - Contract]]="","",INDEX(VendorList[Primary Category],MATCH(CostTrack[[#This Row],[Vendor - Contract]],VendorList[Vendor / Org. with Contract ID],0)))</f>
        <v>Professional Services</v>
      </c>
      <c r="S315" s="243" t="str">
        <f ca="1">IF(CostTrack[[#This Row],[Vendor - Contract]]="","",INDEX(VendorList[Secondary Category],MATCH(CostTrack[[#This Row],[Vendor - Contract]],VendorList[Vendor / Org. with Contract ID],0)))</f>
        <v>Other Professional Services</v>
      </c>
      <c r="T315" s="243" t="str">
        <f ca="1">IF(CostTrack[[#This Row],[Vendor - Contract]]="","",INDEX(VendorList[Phase / Subproject],MATCH(CostTrack[[#This Row],[Vendor - Contract]],VendorList[Vendor / Org. with Contract ID],0)))</f>
        <v>--</v>
      </c>
      <c r="U315" s="243" t="str">
        <f ca="1">IF(CostTrack[[#This Row],[Vendor - Contract]]="","",INDEX(VendorList[Phase / Subproject 2],MATCH(CostTrack[[#This Row],[Vendor - Contract]],VendorList[Vendor / Org. with Contract ID],0)))</f>
        <v>--</v>
      </c>
      <c r="V315" s="243" t="str">
        <f ca="1">IF(CostTrack[[#This Row],[Vendor - Contract]]="","",INDEX(VendorList[Funding Source],MATCH(CostTrack[[#This Row],[Vendor - Contract]],VendorList[Vendor / Org. with Contract ID],0)))</f>
        <v>P-002360</v>
      </c>
      <c r="W315" s="267">
        <v>44585</v>
      </c>
      <c r="X315" s="251" t="str">
        <f ca="1">IF(CostTrack[[#This Row],[Release Date (CMS)]]="","*","")</f>
        <v/>
      </c>
      <c r="Y315" s="267" t="s">
        <v>50</v>
      </c>
      <c r="Z315" s="652"/>
      <c r="AA315" s="245">
        <f ca="1">IF(OR(CostTrack[[#This Row],[Release Date (CMS)]]&gt;=DATE(VALUE(REPLACE(CostTrack[[#This Row],[Fiscal Period]],3,3,"")),3,1),CostTrack[[#This Row],[Release Date (CMS)]]&lt;DATE(VALUE(LEFT(CostTrack[[#This Row],[Fiscal Period]],4)),4,1)),1,0)</f>
        <v>0</v>
      </c>
      <c r="AB315" s="655">
        <v>1322</v>
      </c>
      <c r="AC315" s="267">
        <v>44601</v>
      </c>
      <c r="AD315" s="402" t="str">
        <f ca="1">IF(CostTrack[[#This Row],[Reconciled Amount]]="","",IF(CostTrack[[#This Row],[Value]]&lt;&gt;CostTrack[[#This Row],[Reconciled Amount]],"Yes","No"))</f>
        <v>No</v>
      </c>
    </row>
    <row r="316" spans="2:30" ht="69.75" customHeight="1">
      <c r="B316" s="706" t="s">
        <v>754</v>
      </c>
      <c r="C316" s="711" t="s">
        <v>1029</v>
      </c>
      <c r="D316" s="267">
        <v>44603</v>
      </c>
      <c r="E316" s="654">
        <v>380.67</v>
      </c>
      <c r="F316" s="647" t="s">
        <v>69</v>
      </c>
      <c r="G316" s="406">
        <f ca="1">ROUND(IF(CostTrack[[#This Row],[Holdback (Y/N/R)]]="Yes",CostTrack[[#This Row],[Value]]*-0.1,IF(CostTrack[[#This Row],[Holdback (Y/N/R)]]="Release",CostTrack[[#This Row],[Value]],0)),2)</f>
        <v>0</v>
      </c>
      <c r="H316" s="407">
        <f ca="1">IF(CostTrack[[#This Row],[Holdback (Y/N/R)]]="Release",CostTrack[[#This Row],[Value]],CostTrack[[#This Row],[Value]]+CostTrack[[#This Row],[Holdback Value]])</f>
        <v>380.67</v>
      </c>
      <c r="I316" s="650"/>
      <c r="J316" s="650"/>
      <c r="K316" s="648"/>
      <c r="L316" s="707">
        <v>44603</v>
      </c>
      <c r="M316" s="708">
        <v>44603</v>
      </c>
      <c r="N316" s="709"/>
      <c r="O316" s="712" t="s">
        <v>106</v>
      </c>
      <c r="P316" s="267">
        <v>44603</v>
      </c>
      <c r="Q316" s="243" t="str">
        <f ca="1">IF(CostTrack[[#This Row],[Vendor - Contract]]="","",INDEX(VendorList[PA ID],MATCH(CostTrack[[#This Row],[Vendor - Contract]],VendorList[Vendor / Org. with Contract ID],0)))</f>
        <v>100.050.F1</v>
      </c>
      <c r="R316" s="243" t="str">
        <f ca="1">IF(CostTrack[[#This Row],[Vendor - Contract]]="","",INDEX(VendorList[Primary Category],MATCH(CostTrack[[#This Row],[Vendor - Contract]],VendorList[Vendor / Org. with Contract ID],0)))</f>
        <v>Administration</v>
      </c>
      <c r="S316" s="243" t="str">
        <f ca="1">IF(CostTrack[[#This Row],[Vendor - Contract]]="","",INDEX(VendorList[Secondary Category],MATCH(CostTrack[[#This Row],[Vendor - Contract]],VendorList[Vendor / Org. with Contract ID],0)))</f>
        <v>Other Administration</v>
      </c>
      <c r="T316" s="243" t="str">
        <f ca="1">IF(CostTrack[[#This Row],[Vendor - Contract]]="","",INDEX(VendorList[Phase / Subproject],MATCH(CostTrack[[#This Row],[Vendor - Contract]],VendorList[Vendor / Org. with Contract ID],0)))</f>
        <v>--</v>
      </c>
      <c r="U316" s="243" t="str">
        <f ca="1">IF(CostTrack[[#This Row],[Vendor - Contract]]="","",INDEX(VendorList[Phase / Subproject 2],MATCH(CostTrack[[#This Row],[Vendor - Contract]],VendorList[Vendor / Org. with Contract ID],0)))</f>
        <v>--</v>
      </c>
      <c r="V316" s="243" t="str">
        <f ca="1">IF(CostTrack[[#This Row],[Vendor - Contract]]="","",INDEX(VendorList[Funding Source],MATCH(CostTrack[[#This Row],[Vendor - Contract]],VendorList[Vendor / Org. with Contract ID],0)))</f>
        <v>P-002360</v>
      </c>
      <c r="W316" s="267">
        <v>44603</v>
      </c>
      <c r="X316" s="251" t="str">
        <f ca="1">IF(CostTrack[[#This Row],[Release Date (CMS)]]="","*","")</f>
        <v/>
      </c>
      <c r="Y316" s="267" t="s">
        <v>50</v>
      </c>
      <c r="Z316" s="652" t="s">
        <v>1030</v>
      </c>
      <c r="AA316" s="245">
        <f ca="1">IF(OR(CostTrack[[#This Row],[Release Date (CMS)]]&gt;=DATE(VALUE(REPLACE(CostTrack[[#This Row],[Fiscal Period]],3,3,"")),3,1),CostTrack[[#This Row],[Release Date (CMS)]]&lt;DATE(VALUE(LEFT(CostTrack[[#This Row],[Fiscal Period]],4)),4,1)),1,0)</f>
        <v>0</v>
      </c>
      <c r="AB316" s="655">
        <v>380.67</v>
      </c>
      <c r="AC316" s="267">
        <v>44610</v>
      </c>
      <c r="AD316" s="402" t="str">
        <f ca="1">IF(CostTrack[[#This Row],[Reconciled Amount]]="","",IF(CostTrack[[#This Row],[Value]]&lt;&gt;CostTrack[[#This Row],[Reconciled Amount]],"Yes","No"))</f>
        <v>No</v>
      </c>
    </row>
    <row r="317" spans="2:30" ht="72.75" customHeight="1">
      <c r="B317" s="706" t="s">
        <v>529</v>
      </c>
      <c r="C317" s="650" t="s">
        <v>1031</v>
      </c>
      <c r="D317" s="267">
        <v>44588</v>
      </c>
      <c r="E317" s="654">
        <v>2039262.38</v>
      </c>
      <c r="F317" s="647" t="s">
        <v>65</v>
      </c>
      <c r="G317" s="406">
        <f ca="1">ROUND(IF(CostTrack[[#This Row],[Holdback (Y/N/R)]]="Yes",CostTrack[[#This Row],[Value]]*-0.1,IF(CostTrack[[#This Row],[Holdback (Y/N/R)]]="Release",CostTrack[[#This Row],[Value]],0)),2)</f>
        <v>-203926.24</v>
      </c>
      <c r="H317" s="407">
        <f ca="1">IF(CostTrack[[#This Row],[Holdback (Y/N/R)]]="Release",CostTrack[[#This Row],[Value]],CostTrack[[#This Row],[Value]]+CostTrack[[#This Row],[Holdback Value]])</f>
        <v>1835336.14</v>
      </c>
      <c r="I317" s="650">
        <v>18</v>
      </c>
      <c r="J317" s="650"/>
      <c r="K317" s="648"/>
      <c r="L317" s="707">
        <v>44607</v>
      </c>
      <c r="M317" s="708">
        <v>44621</v>
      </c>
      <c r="N317" s="709" t="s">
        <v>180</v>
      </c>
      <c r="O317" s="712" t="s">
        <v>106</v>
      </c>
      <c r="P317" s="267">
        <v>44621</v>
      </c>
      <c r="Q317" s="243" t="str">
        <f ca="1">IF(CostTrack[[#This Row],[Vendor - Contract]]="","",INDEX(VendorList[PA ID],MATCH(CostTrack[[#This Row],[Vendor - Contract]],VendorList[Vendor / Org. with Contract ID],0)))</f>
        <v>300.030.F1</v>
      </c>
      <c r="R317" s="243" t="str">
        <f ca="1">IF(CostTrack[[#This Row],[Vendor - Contract]]="","",INDEX(VendorList[Primary Category],MATCH(CostTrack[[#This Row],[Vendor - Contract]],VendorList[Vendor / Org. with Contract ID],0)))</f>
        <v>Construction</v>
      </c>
      <c r="S317" s="243" t="str">
        <f ca="1">IF(CostTrack[[#This Row],[Vendor - Contract]]="","",INDEX(VendorList[Secondary Category],MATCH(CostTrack[[#This Row],[Vendor - Contract]],VendorList[Vendor / Org. with Contract ID],0)))</f>
        <v>Prime Contractor</v>
      </c>
      <c r="T317" s="243" t="str">
        <f ca="1">IF(CostTrack[[#This Row],[Vendor - Contract]]="","",INDEX(VendorList[Phase / Subproject],MATCH(CostTrack[[#This Row],[Vendor - Contract]],VendorList[Vendor / Org. with Contract ID],0)))</f>
        <v>--</v>
      </c>
      <c r="U317" s="243" t="str">
        <f ca="1">IF(CostTrack[[#This Row],[Vendor - Contract]]="","",INDEX(VendorList[Phase / Subproject 2],MATCH(CostTrack[[#This Row],[Vendor - Contract]],VendorList[Vendor / Org. with Contract ID],0)))</f>
        <v>--</v>
      </c>
      <c r="V317" s="243" t="str">
        <f ca="1">IF(CostTrack[[#This Row],[Vendor - Contract]]="","",INDEX(VendorList[Funding Source],MATCH(CostTrack[[#This Row],[Vendor - Contract]],VendorList[Vendor / Org. with Contract ID],0)))</f>
        <v>P-002360</v>
      </c>
      <c r="W317" s="267">
        <v>44621</v>
      </c>
      <c r="X317" s="251" t="str">
        <f ca="1">IF(CostTrack[[#This Row],[Release Date (CMS)]]="","*","")</f>
        <v/>
      </c>
      <c r="Y317" s="267" t="s">
        <v>50</v>
      </c>
      <c r="Z317" s="652" t="s">
        <v>1032</v>
      </c>
      <c r="AA317" s="245">
        <f ca="1">IF(OR(CostTrack[[#This Row],[Release Date (CMS)]]&gt;=DATE(VALUE(REPLACE(CostTrack[[#This Row],[Fiscal Period]],3,3,"")),3,1),CostTrack[[#This Row],[Release Date (CMS)]]&lt;DATE(VALUE(LEFT(CostTrack[[#This Row],[Fiscal Period]],4)),4,1)),1,0)</f>
        <v>1</v>
      </c>
      <c r="AB317" s="655">
        <v>2039262.38</v>
      </c>
      <c r="AC317" s="267">
        <v>44636</v>
      </c>
      <c r="AD317" s="402" t="str">
        <f ca="1">IF(CostTrack[[#This Row],[Reconciled Amount]]="","",IF(CostTrack[[#This Row],[Value]]&lt;&gt;CostTrack[[#This Row],[Reconciled Amount]],"Yes","No"))</f>
        <v>No</v>
      </c>
    </row>
    <row r="318" spans="2:30" ht="19.5" customHeight="1">
      <c r="B318" s="706" t="s">
        <v>655</v>
      </c>
      <c r="C318" s="650">
        <v>2889</v>
      </c>
      <c r="D318" s="267">
        <v>44606</v>
      </c>
      <c r="E318" s="654">
        <v>1322</v>
      </c>
      <c r="F318" s="647" t="s">
        <v>69</v>
      </c>
      <c r="G318" s="406">
        <f ca="1">ROUND(IF(CostTrack[[#This Row],[Holdback (Y/N/R)]]="Yes",CostTrack[[#This Row],[Value]]*-0.1,IF(CostTrack[[#This Row],[Holdback (Y/N/R)]]="Release",CostTrack[[#This Row],[Value]],0)),2)</f>
        <v>0</v>
      </c>
      <c r="H318" s="407">
        <f ca="1">IF(CostTrack[[#This Row],[Holdback (Y/N/R)]]="Release",CostTrack[[#This Row],[Value]],CostTrack[[#This Row],[Value]]+CostTrack[[#This Row],[Holdback Value]])</f>
        <v>1322</v>
      </c>
      <c r="I318" s="650"/>
      <c r="J318" s="650"/>
      <c r="K318" s="648">
        <v>44562</v>
      </c>
      <c r="L318" s="707">
        <v>44607</v>
      </c>
      <c r="M318" s="708">
        <v>44607</v>
      </c>
      <c r="N318" s="709"/>
      <c r="O318" s="712" t="s">
        <v>106</v>
      </c>
      <c r="P318" s="267">
        <v>44608</v>
      </c>
      <c r="Q318" s="243" t="str">
        <f ca="1">IF(CostTrack[[#This Row],[Vendor - Contract]]="","",INDEX(VendorList[PA ID],MATCH(CostTrack[[#This Row],[Vendor - Contract]],VendorList[Vendor / Org. with Contract ID],0)))</f>
        <v>200.050.F1</v>
      </c>
      <c r="R318" s="243" t="str">
        <f ca="1">IF(CostTrack[[#This Row],[Vendor - Contract]]="","",INDEX(VendorList[Primary Category],MATCH(CostTrack[[#This Row],[Vendor - Contract]],VendorList[Vendor / Org. with Contract ID],0)))</f>
        <v>Professional Services</v>
      </c>
      <c r="S318" s="243" t="str">
        <f ca="1">IF(CostTrack[[#This Row],[Vendor - Contract]]="","",INDEX(VendorList[Secondary Category],MATCH(CostTrack[[#This Row],[Vendor - Contract]],VendorList[Vendor / Org. with Contract ID],0)))</f>
        <v>Other Professional Services</v>
      </c>
      <c r="T318" s="243" t="str">
        <f ca="1">IF(CostTrack[[#This Row],[Vendor - Contract]]="","",INDEX(VendorList[Phase / Subproject],MATCH(CostTrack[[#This Row],[Vendor - Contract]],VendorList[Vendor / Org. with Contract ID],0)))</f>
        <v>--</v>
      </c>
      <c r="U318" s="243" t="str">
        <f ca="1">IF(CostTrack[[#This Row],[Vendor - Contract]]="","",INDEX(VendorList[Phase / Subproject 2],MATCH(CostTrack[[#This Row],[Vendor - Contract]],VendorList[Vendor / Org. with Contract ID],0)))</f>
        <v>--</v>
      </c>
      <c r="V318" s="243" t="str">
        <f ca="1">IF(CostTrack[[#This Row],[Vendor - Contract]]="","",INDEX(VendorList[Funding Source],MATCH(CostTrack[[#This Row],[Vendor - Contract]],VendorList[Vendor / Org. with Contract ID],0)))</f>
        <v>P-002360</v>
      </c>
      <c r="W318" s="267">
        <v>44608</v>
      </c>
      <c r="X318" s="251" t="str">
        <f ca="1">IF(CostTrack[[#This Row],[Release Date (CMS)]]="","*","")</f>
        <v/>
      </c>
      <c r="Y318" s="267" t="s">
        <v>50</v>
      </c>
      <c r="Z318" s="652"/>
      <c r="AA318" s="245">
        <f ca="1">IF(OR(CostTrack[[#This Row],[Release Date (CMS)]]&gt;=DATE(VALUE(REPLACE(CostTrack[[#This Row],[Fiscal Period]],3,3,"")),3,1),CostTrack[[#This Row],[Release Date (CMS)]]&lt;DATE(VALUE(LEFT(CostTrack[[#This Row],[Fiscal Period]],4)),4,1)),1,0)</f>
        <v>0</v>
      </c>
      <c r="AB318" s="655">
        <v>1322</v>
      </c>
      <c r="AC318" s="267">
        <v>44610</v>
      </c>
      <c r="AD318" s="402" t="str">
        <f ca="1">IF(CostTrack[[#This Row],[Reconciled Amount]]="","",IF(CostTrack[[#This Row],[Value]]&lt;&gt;CostTrack[[#This Row],[Reconciled Amount]],"Yes","No"))</f>
        <v>No</v>
      </c>
    </row>
    <row r="319" spans="2:30" ht="80.25" customHeight="1">
      <c r="B319" s="1324" t="s">
        <v>731</v>
      </c>
      <c r="C319" s="1322" t="s">
        <v>1033</v>
      </c>
      <c r="D319" s="1308">
        <v>44609</v>
      </c>
      <c r="E319" s="658">
        <v>250.88</v>
      </c>
      <c r="F319" s="1309" t="s">
        <v>69</v>
      </c>
      <c r="G319" s="1310">
        <f ca="1">ROUND(IF(CostTrack[[#This Row],[Holdback (Y/N/R)]]="Yes",CostTrack[[#This Row],[Value]]*-0.1,IF(CostTrack[[#This Row],[Holdback (Y/N/R)]]="Release",CostTrack[[#This Row],[Value]],0)),2)</f>
        <v>0</v>
      </c>
      <c r="H319" s="1311">
        <f ca="1">IF(CostTrack[[#This Row],[Holdback (Y/N/R)]]="Release",CostTrack[[#This Row],[Value]],CostTrack[[#This Row],[Value]]+CostTrack[[#This Row],[Holdback Value]])</f>
        <v>250.88</v>
      </c>
      <c r="I319" s="1312"/>
      <c r="J319" s="1312"/>
      <c r="K319" s="1313"/>
      <c r="L319" s="1325">
        <v>44609</v>
      </c>
      <c r="M319" s="1326">
        <v>44609</v>
      </c>
      <c r="N319" s="1327"/>
      <c r="O319" s="1328" t="s">
        <v>106</v>
      </c>
      <c r="P319" s="1308">
        <v>44609</v>
      </c>
      <c r="Q319" s="1314" t="str">
        <f ca="1">IF(CostTrack[[#This Row],[Vendor - Contract]]="","",INDEX(VendorList[PA ID],MATCH(CostTrack[[#This Row],[Vendor - Contract]],VendorList[Vendor / Org. with Contract ID],0)))</f>
        <v>100.050.F1</v>
      </c>
      <c r="R319" s="1314" t="str">
        <f ca="1">IF(CostTrack[[#This Row],[Vendor - Contract]]="","",INDEX(VendorList[Primary Category],MATCH(CostTrack[[#This Row],[Vendor - Contract]],VendorList[Vendor / Org. with Contract ID],0)))</f>
        <v>Administration</v>
      </c>
      <c r="S319" s="1314" t="str">
        <f ca="1">IF(CostTrack[[#This Row],[Vendor - Contract]]="","",INDEX(VendorList[Secondary Category],MATCH(CostTrack[[#This Row],[Vendor - Contract]],VendorList[Vendor / Org. with Contract ID],0)))</f>
        <v>Other Administration</v>
      </c>
      <c r="T319" s="1314" t="str">
        <f ca="1">IF(CostTrack[[#This Row],[Vendor - Contract]]="","",INDEX(VendorList[Phase / Subproject],MATCH(CostTrack[[#This Row],[Vendor - Contract]],VendorList[Vendor / Org. with Contract ID],0)))</f>
        <v>--</v>
      </c>
      <c r="U319" s="1314" t="str">
        <f ca="1">IF(CostTrack[[#This Row],[Vendor - Contract]]="","",INDEX(VendorList[Phase / Subproject 2],MATCH(CostTrack[[#This Row],[Vendor - Contract]],VendorList[Vendor / Org. with Contract ID],0)))</f>
        <v>--</v>
      </c>
      <c r="V319" s="1314" t="str">
        <f ca="1">IF(CostTrack[[#This Row],[Vendor - Contract]]="","",INDEX(VendorList[Funding Source],MATCH(CostTrack[[#This Row],[Vendor - Contract]],VendorList[Vendor / Org. with Contract ID],0)))</f>
        <v>P-002360</v>
      </c>
      <c r="W319" s="1308">
        <v>44609</v>
      </c>
      <c r="X319" s="1315" t="str">
        <f ca="1">IF(CostTrack[[#This Row],[Release Date (CMS)]]="","*","")</f>
        <v/>
      </c>
      <c r="Y319" s="1308" t="s">
        <v>50</v>
      </c>
      <c r="Z319" s="652" t="s">
        <v>1034</v>
      </c>
      <c r="AA319" s="1316">
        <f ca="1">IF(OR(CostTrack[[#This Row],[Release Date (CMS)]]&gt;=DATE(VALUE(REPLACE(CostTrack[[#This Row],[Fiscal Period]],3,3,"")),3,1),CostTrack[[#This Row],[Release Date (CMS)]]&lt;DATE(VALUE(LEFT(CostTrack[[#This Row],[Fiscal Period]],4)),4,1)),1,0)</f>
        <v>0</v>
      </c>
      <c r="AB319" s="1317">
        <v>250.88</v>
      </c>
      <c r="AC319" s="1308">
        <v>44610</v>
      </c>
      <c r="AD319" s="402" t="str">
        <f ca="1">IF(CostTrack[[#This Row],[Reconciled Amount]]="","",IF(CostTrack[[#This Row],[Value]]&lt;&gt;CostTrack[[#This Row],[Reconciled Amount]],"Yes","No"))</f>
        <v>No</v>
      </c>
    </row>
    <row r="320" spans="2:30" ht="62.65" customHeight="1">
      <c r="B320" s="706" t="s">
        <v>754</v>
      </c>
      <c r="C320" s="1312">
        <v>800065756</v>
      </c>
      <c r="D320" s="267">
        <v>44616</v>
      </c>
      <c r="E320" s="654">
        <v>225.42</v>
      </c>
      <c r="F320" s="647" t="s">
        <v>69</v>
      </c>
      <c r="G320" s="406">
        <f ca="1">ROUND(IF(CostTrack[[#This Row],[Holdback (Y/N/R)]]="Yes",CostTrack[[#This Row],[Value]]*-0.1,IF(CostTrack[[#This Row],[Holdback (Y/N/R)]]="Release",CostTrack[[#This Row],[Value]],0)),2)</f>
        <v>0</v>
      </c>
      <c r="H320" s="407">
        <f ca="1">IF(CostTrack[[#This Row],[Holdback (Y/N/R)]]="Release",CostTrack[[#This Row],[Value]],CostTrack[[#This Row],[Value]]+CostTrack[[#This Row],[Holdback Value]])</f>
        <v>225.42</v>
      </c>
      <c r="I320" s="650"/>
      <c r="J320" s="650"/>
      <c r="K320" s="648"/>
      <c r="L320" s="707">
        <v>44616</v>
      </c>
      <c r="M320" s="708">
        <v>44616</v>
      </c>
      <c r="N320" s="709"/>
      <c r="O320" s="712" t="s">
        <v>106</v>
      </c>
      <c r="P320" s="267">
        <v>44616</v>
      </c>
      <c r="Q320" s="243" t="str">
        <f ca="1">IF(CostTrack[[#This Row],[Vendor - Contract]]="","",INDEX(VendorList[PA ID],MATCH(CostTrack[[#This Row],[Vendor - Contract]],VendorList[Vendor / Org. with Contract ID],0)))</f>
        <v>100.050.F1</v>
      </c>
      <c r="R320" s="243" t="str">
        <f ca="1">IF(CostTrack[[#This Row],[Vendor - Contract]]="","",INDEX(VendorList[Primary Category],MATCH(CostTrack[[#This Row],[Vendor - Contract]],VendorList[Vendor / Org. with Contract ID],0)))</f>
        <v>Administration</v>
      </c>
      <c r="S320" s="243" t="str">
        <f ca="1">IF(CostTrack[[#This Row],[Vendor - Contract]]="","",INDEX(VendorList[Secondary Category],MATCH(CostTrack[[#This Row],[Vendor - Contract]],VendorList[Vendor / Org. with Contract ID],0)))</f>
        <v>Other Administration</v>
      </c>
      <c r="T320" s="243" t="str">
        <f ca="1">IF(CostTrack[[#This Row],[Vendor - Contract]]="","",INDEX(VendorList[Phase / Subproject],MATCH(CostTrack[[#This Row],[Vendor - Contract]],VendorList[Vendor / Org. with Contract ID],0)))</f>
        <v>--</v>
      </c>
      <c r="U320" s="243" t="str">
        <f ca="1">IF(CostTrack[[#This Row],[Vendor - Contract]]="","",INDEX(VendorList[Phase / Subproject 2],MATCH(CostTrack[[#This Row],[Vendor - Contract]],VendorList[Vendor / Org. with Contract ID],0)))</f>
        <v>--</v>
      </c>
      <c r="V320" s="243" t="str">
        <f ca="1">IF(CostTrack[[#This Row],[Vendor - Contract]]="","",INDEX(VendorList[Funding Source],MATCH(CostTrack[[#This Row],[Vendor - Contract]],VendorList[Vendor / Org. with Contract ID],0)))</f>
        <v>P-002360</v>
      </c>
      <c r="W320" s="267">
        <v>44616</v>
      </c>
      <c r="X320" s="251" t="str">
        <f ca="1">IF(CostTrack[[#This Row],[Release Date (CMS)]]="","*","")</f>
        <v/>
      </c>
      <c r="Y320" s="267" t="s">
        <v>50</v>
      </c>
      <c r="Z320" s="652" t="s">
        <v>1035</v>
      </c>
      <c r="AA320" s="245">
        <f ca="1">IF(OR(CostTrack[[#This Row],[Release Date (CMS)]]&gt;=DATE(VALUE(REPLACE(CostTrack[[#This Row],[Fiscal Period]],3,3,"")),3,1),CostTrack[[#This Row],[Release Date (CMS)]]&lt;DATE(VALUE(LEFT(CostTrack[[#This Row],[Fiscal Period]],4)),4,1)),1,0)</f>
        <v>0</v>
      </c>
      <c r="AB320" s="655">
        <v>225.42</v>
      </c>
      <c r="AC320" s="267">
        <v>44636</v>
      </c>
      <c r="AD320" s="402" t="str">
        <f ca="1">IF(CostTrack[[#This Row],[Reconciled Amount]]="","",IF(CostTrack[[#This Row],[Value]]&lt;&gt;CostTrack[[#This Row],[Reconciled Amount]],"Yes","No"))</f>
        <v>No</v>
      </c>
    </row>
    <row r="321" spans="2:30" ht="19.5" customHeight="1">
      <c r="B321" s="1324" t="s">
        <v>528</v>
      </c>
      <c r="C321" s="1312">
        <v>60745444</v>
      </c>
      <c r="D321" s="1308">
        <v>44609</v>
      </c>
      <c r="E321" s="658">
        <v>11784.75</v>
      </c>
      <c r="F321" s="1309" t="s">
        <v>69</v>
      </c>
      <c r="G321" s="1310">
        <f ca="1">ROUND(IF(CostTrack[[#This Row],[Holdback (Y/N/R)]]="Yes",CostTrack[[#This Row],[Value]]*-0.1,IF(CostTrack[[#This Row],[Holdback (Y/N/R)]]="Release",CostTrack[[#This Row],[Value]],0)),2)</f>
        <v>0</v>
      </c>
      <c r="H321" s="1311">
        <f ca="1">IF(CostTrack[[#This Row],[Holdback (Y/N/R)]]="Release",CostTrack[[#This Row],[Value]],CostTrack[[#This Row],[Value]]+CostTrack[[#This Row],[Holdback Value]])</f>
        <v>11784.75</v>
      </c>
      <c r="I321" s="1312"/>
      <c r="J321" s="1312"/>
      <c r="K321" s="1313"/>
      <c r="L321" s="1325">
        <v>44610</v>
      </c>
      <c r="M321" s="1326">
        <v>44614</v>
      </c>
      <c r="N321" s="1327" t="s">
        <v>175</v>
      </c>
      <c r="O321" s="1328" t="s">
        <v>106</v>
      </c>
      <c r="P321" s="1308">
        <v>44614</v>
      </c>
      <c r="Q321" s="1314" t="str">
        <f ca="1">IF(CostTrack[[#This Row],[Vendor - Contract]]="","",INDEX(VendorList[PA ID],MATCH(CostTrack[[#This Row],[Vendor - Contract]],VendorList[Vendor / Org. with Contract ID],0)))</f>
        <v>200.050.F1</v>
      </c>
      <c r="R321" s="1314" t="str">
        <f ca="1">IF(CostTrack[[#This Row],[Vendor - Contract]]="","",INDEX(VendorList[Primary Category],MATCH(CostTrack[[#This Row],[Vendor - Contract]],VendorList[Vendor / Org. with Contract ID],0)))</f>
        <v>Professional Services</v>
      </c>
      <c r="S321" s="1314" t="str">
        <f ca="1">IF(CostTrack[[#This Row],[Vendor - Contract]]="","",INDEX(VendorList[Secondary Category],MATCH(CostTrack[[#This Row],[Vendor - Contract]],VendorList[Vendor / Org. with Contract ID],0)))</f>
        <v>Other Professional Services</v>
      </c>
      <c r="T321" s="1314" t="str">
        <f ca="1">IF(CostTrack[[#This Row],[Vendor - Contract]]="","",INDEX(VendorList[Phase / Subproject],MATCH(CostTrack[[#This Row],[Vendor - Contract]],VendorList[Vendor / Org. with Contract ID],0)))</f>
        <v>--</v>
      </c>
      <c r="U321" s="1314" t="str">
        <f ca="1">IF(CostTrack[[#This Row],[Vendor - Contract]]="","",INDEX(VendorList[Phase / Subproject 2],MATCH(CostTrack[[#This Row],[Vendor - Contract]],VendorList[Vendor / Org. with Contract ID],0)))</f>
        <v>--</v>
      </c>
      <c r="V321" s="1314" t="str">
        <f ca="1">IF(CostTrack[[#This Row],[Vendor - Contract]]="","",INDEX(VendorList[Funding Source],MATCH(CostTrack[[#This Row],[Vendor - Contract]],VendorList[Vendor / Org. with Contract ID],0)))</f>
        <v>P-002360</v>
      </c>
      <c r="W321" s="1308">
        <v>44614</v>
      </c>
      <c r="X321" s="1315" t="str">
        <f ca="1">IF(CostTrack[[#This Row],[Release Date (CMS)]]="","*","")</f>
        <v/>
      </c>
      <c r="Y321" s="1308" t="s">
        <v>50</v>
      </c>
      <c r="Z321" s="713"/>
      <c r="AA321" s="1316">
        <f ca="1">IF(OR(CostTrack[[#This Row],[Release Date (CMS)]]&gt;=DATE(VALUE(REPLACE(CostTrack[[#This Row],[Fiscal Period]],3,3,"")),3,1),CostTrack[[#This Row],[Release Date (CMS)]]&lt;DATE(VALUE(LEFT(CostTrack[[#This Row],[Fiscal Period]],4)),4,1)),1,0)</f>
        <v>0</v>
      </c>
      <c r="AB321" s="1317">
        <v>11784.75</v>
      </c>
      <c r="AC321" s="1308">
        <v>44636</v>
      </c>
      <c r="AD321" s="402" t="str">
        <f ca="1">IF(CostTrack[[#This Row],[Reconciled Amount]]="","",IF(CostTrack[[#This Row],[Value]]&lt;&gt;CostTrack[[#This Row],[Reconciled Amount]],"Yes","No"))</f>
        <v>No</v>
      </c>
    </row>
    <row r="322" spans="2:30" ht="43.15" customHeight="1">
      <c r="B322" s="706" t="s">
        <v>736</v>
      </c>
      <c r="C322" s="650" t="s">
        <v>1036</v>
      </c>
      <c r="D322" s="267">
        <v>44620</v>
      </c>
      <c r="E322" s="505">
        <v>43494.16</v>
      </c>
      <c r="F322" s="647" t="s">
        <v>69</v>
      </c>
      <c r="G322" s="406">
        <f ca="1">ROUND(IF(CostTrack[[#This Row],[Holdback (Y/N/R)]]="Yes",CostTrack[[#This Row],[Value]]*-0.1,IF(CostTrack[[#This Row],[Holdback (Y/N/R)]]="Release",CostTrack[[#This Row],[Value]],0)),2)</f>
        <v>0</v>
      </c>
      <c r="H322" s="407">
        <f ca="1">IF(CostTrack[[#This Row],[Holdback (Y/N/R)]]="Release",CostTrack[[#This Row],[Value]],CostTrack[[#This Row],[Value]]+CostTrack[[#This Row],[Holdback Value]])</f>
        <v>43494.16</v>
      </c>
      <c r="I322" s="650"/>
      <c r="J322" s="650"/>
      <c r="K322" s="648"/>
      <c r="L322" s="707">
        <v>44620</v>
      </c>
      <c r="M322" s="708">
        <v>44620</v>
      </c>
      <c r="N322" s="709"/>
      <c r="O322" s="712" t="s">
        <v>106</v>
      </c>
      <c r="P322" s="267">
        <v>44620</v>
      </c>
      <c r="Q322" s="243" t="str">
        <f ca="1">IF(CostTrack[[#This Row],[Vendor - Contract]]="","",INDEX(VendorList[PA ID],MATCH(CostTrack[[#This Row],[Vendor - Contract]],VendorList[Vendor / Org. with Contract ID],0)))</f>
        <v>100.010.F1</v>
      </c>
      <c r="R322" s="243" t="str">
        <f ca="1">IF(CostTrack[[#This Row],[Vendor - Contract]]="","",INDEX(VendorList[Primary Category],MATCH(CostTrack[[#This Row],[Vendor - Contract]],VendorList[Vendor / Org. with Contract ID],0)))</f>
        <v>Administration</v>
      </c>
      <c r="S322" s="243" t="str">
        <f ca="1">IF(CostTrack[[#This Row],[Vendor - Contract]]="","",INDEX(VendorList[Secondary Category],MATCH(CostTrack[[#This Row],[Vendor - Contract]],VendorList[Vendor / Org. with Contract ID],0)))</f>
        <v>Staff Capitalization - INFRA</v>
      </c>
      <c r="T322" s="243" t="str">
        <f ca="1">IF(CostTrack[[#This Row],[Vendor - Contract]]="","",INDEX(VendorList[Phase / Subproject],MATCH(CostTrack[[#This Row],[Vendor - Contract]],VendorList[Vendor / Org. with Contract ID],0)))</f>
        <v>--</v>
      </c>
      <c r="U322" s="243" t="str">
        <f ca="1">IF(CostTrack[[#This Row],[Vendor - Contract]]="","",INDEX(VendorList[Phase / Subproject 2],MATCH(CostTrack[[#This Row],[Vendor - Contract]],VendorList[Vendor / Org. with Contract ID],0)))</f>
        <v>--</v>
      </c>
      <c r="V322" s="243" t="str">
        <f ca="1">IF(CostTrack[[#This Row],[Vendor - Contract]]="","",INDEX(VendorList[Funding Source],MATCH(CostTrack[[#This Row],[Vendor - Contract]],VendorList[Vendor / Org. with Contract ID],0)))</f>
        <v>P-002360</v>
      </c>
      <c r="W322" s="267">
        <v>44620</v>
      </c>
      <c r="X322" s="251" t="str">
        <f ca="1">IF(CostTrack[[#This Row],[Release Date (CMS)]]="","*","")</f>
        <v/>
      </c>
      <c r="Y322" s="267" t="s">
        <v>50</v>
      </c>
      <c r="Z322" s="652" t="s">
        <v>1037</v>
      </c>
      <c r="AA322" s="245">
        <f ca="1">IF(OR(CostTrack[[#This Row],[Release Date (CMS)]]&gt;=DATE(VALUE(REPLACE(CostTrack[[#This Row],[Fiscal Period]],3,3,"")),3,1),CostTrack[[#This Row],[Release Date (CMS)]]&lt;DATE(VALUE(LEFT(CostTrack[[#This Row],[Fiscal Period]],4)),4,1)),1,0)</f>
        <v>0</v>
      </c>
      <c r="AB322" s="655">
        <v>43494.16</v>
      </c>
      <c r="AC322" s="267">
        <v>44636</v>
      </c>
      <c r="AD322" s="402" t="str">
        <f ca="1">IF(CostTrack[[#This Row],[Reconciled Amount]]="","",IF(CostTrack[[#This Row],[Value]]&lt;&gt;CostTrack[[#This Row],[Reconciled Amount]],"Yes","No"))</f>
        <v>No</v>
      </c>
    </row>
    <row r="323" spans="2:30" ht="34.15" customHeight="1">
      <c r="B323" s="1324" t="s">
        <v>662</v>
      </c>
      <c r="C323" s="1312">
        <v>5138</v>
      </c>
      <c r="D323" s="1308">
        <v>44530</v>
      </c>
      <c r="E323" s="658">
        <v>960</v>
      </c>
      <c r="F323" s="1309" t="s">
        <v>69</v>
      </c>
      <c r="G323" s="1310">
        <f ca="1">ROUND(IF(CostTrack[[#This Row],[Holdback (Y/N/R)]]="Yes",CostTrack[[#This Row],[Value]]*-0.1,IF(CostTrack[[#This Row],[Holdback (Y/N/R)]]="Release",CostTrack[[#This Row],[Value]],0)),2)</f>
        <v>0</v>
      </c>
      <c r="H323" s="1311">
        <f ca="1">IF(CostTrack[[#This Row],[Holdback (Y/N/R)]]="Release",CostTrack[[#This Row],[Value]],CostTrack[[#This Row],[Value]]+CostTrack[[#This Row],[Holdback Value]])</f>
        <v>960</v>
      </c>
      <c r="I323" s="1312"/>
      <c r="J323" s="1312"/>
      <c r="K323" s="1313"/>
      <c r="L323" s="1325">
        <v>44540</v>
      </c>
      <c r="M323" s="1326">
        <v>44620</v>
      </c>
      <c r="N323" s="1327" t="s">
        <v>181</v>
      </c>
      <c r="O323" s="1328" t="s">
        <v>106</v>
      </c>
      <c r="P323" s="1308">
        <v>44620</v>
      </c>
      <c r="Q323" s="1314" t="str">
        <f ca="1">IF(CostTrack[[#This Row],[Vendor - Contract]]="","",INDEX(VendorList[PA ID],MATCH(CostTrack[[#This Row],[Vendor - Contract]],VendorList[Vendor / Org. with Contract ID],0)))</f>
        <v>200.050.F1</v>
      </c>
      <c r="R323" s="1314" t="str">
        <f ca="1">IF(CostTrack[[#This Row],[Vendor - Contract]]="","",INDEX(VendorList[Primary Category],MATCH(CostTrack[[#This Row],[Vendor - Contract]],VendorList[Vendor / Org. with Contract ID],0)))</f>
        <v>Professional Services</v>
      </c>
      <c r="S323" s="1314" t="str">
        <f ca="1">IF(CostTrack[[#This Row],[Vendor - Contract]]="","",INDEX(VendorList[Secondary Category],MATCH(CostTrack[[#This Row],[Vendor - Contract]],VendorList[Vendor / Org. with Contract ID],0)))</f>
        <v>Other Professional Services</v>
      </c>
      <c r="T323" s="1314" t="str">
        <f ca="1">IF(CostTrack[[#This Row],[Vendor - Contract]]="","",INDEX(VendorList[Phase / Subproject],MATCH(CostTrack[[#This Row],[Vendor - Contract]],VendorList[Vendor / Org. with Contract ID],0)))</f>
        <v>--</v>
      </c>
      <c r="U323" s="1314" t="str">
        <f ca="1">IF(CostTrack[[#This Row],[Vendor - Contract]]="","",INDEX(VendorList[Phase / Subproject 2],MATCH(CostTrack[[#This Row],[Vendor - Contract]],VendorList[Vendor / Org. with Contract ID],0)))</f>
        <v>--</v>
      </c>
      <c r="V323" s="1314" t="str">
        <f ca="1">IF(CostTrack[[#This Row],[Vendor - Contract]]="","",INDEX(VendorList[Funding Source],MATCH(CostTrack[[#This Row],[Vendor - Contract]],VendorList[Vendor / Org. with Contract ID],0)))</f>
        <v>P-002360</v>
      </c>
      <c r="W323" s="1308">
        <v>44621</v>
      </c>
      <c r="X323" s="1315" t="str">
        <f ca="1">IF(CostTrack[[#This Row],[Release Date (CMS)]]="","*","")</f>
        <v/>
      </c>
      <c r="Y323" s="1308" t="s">
        <v>50</v>
      </c>
      <c r="Z323" s="713" t="s">
        <v>1038</v>
      </c>
      <c r="AA323" s="1316">
        <f ca="1">IF(OR(CostTrack[[#This Row],[Release Date (CMS)]]&gt;=DATE(VALUE(REPLACE(CostTrack[[#This Row],[Fiscal Period]],3,3,"")),3,1),CostTrack[[#This Row],[Release Date (CMS)]]&lt;DATE(VALUE(LEFT(CostTrack[[#This Row],[Fiscal Period]],4)),4,1)),1,0)</f>
        <v>1</v>
      </c>
      <c r="AB323" s="1317">
        <v>960</v>
      </c>
      <c r="AC323" s="1308">
        <v>44636</v>
      </c>
      <c r="AD323" s="402" t="str">
        <f ca="1">IF(CostTrack[[#This Row],[Reconciled Amount]]="","",IF(CostTrack[[#This Row],[Value]]&lt;&gt;CostTrack[[#This Row],[Reconciled Amount]],"Yes","No"))</f>
        <v>No</v>
      </c>
    </row>
    <row r="324" spans="2:30" ht="34.15" customHeight="1">
      <c r="B324" s="1324" t="s">
        <v>655</v>
      </c>
      <c r="C324" s="1312">
        <v>2905</v>
      </c>
      <c r="D324" s="1308">
        <v>44622</v>
      </c>
      <c r="E324" s="658">
        <v>914</v>
      </c>
      <c r="F324" s="1309" t="s">
        <v>69</v>
      </c>
      <c r="G324" s="1310">
        <f ca="1">ROUND(IF(CostTrack[[#This Row],[Holdback (Y/N/R)]]="Yes",CostTrack[[#This Row],[Value]]*-0.1,IF(CostTrack[[#This Row],[Holdback (Y/N/R)]]="Release",CostTrack[[#This Row],[Value]],0)),2)</f>
        <v>0</v>
      </c>
      <c r="H324" s="1311">
        <f ca="1">IF(CostTrack[[#This Row],[Holdback (Y/N/R)]]="Release",CostTrack[[#This Row],[Value]],CostTrack[[#This Row],[Value]]+CostTrack[[#This Row],[Holdback Value]])</f>
        <v>914</v>
      </c>
      <c r="I324" s="1312"/>
      <c r="J324" s="1312"/>
      <c r="K324" s="1313">
        <v>44593</v>
      </c>
      <c r="L324" s="1325">
        <v>44623</v>
      </c>
      <c r="M324" s="1326">
        <v>44623</v>
      </c>
      <c r="N324" s="1327"/>
      <c r="O324" s="1328" t="s">
        <v>106</v>
      </c>
      <c r="P324" s="1308">
        <v>44623</v>
      </c>
      <c r="Q324" s="1314" t="str">
        <f ca="1">IF(CostTrack[[#This Row],[Vendor - Contract]]="","",INDEX(VendorList[PA ID],MATCH(CostTrack[[#This Row],[Vendor - Contract]],VendorList[Vendor / Org. with Contract ID],0)))</f>
        <v>200.050.F1</v>
      </c>
      <c r="R324" s="1314" t="str">
        <f ca="1">IF(CostTrack[[#This Row],[Vendor - Contract]]="","",INDEX(VendorList[Primary Category],MATCH(CostTrack[[#This Row],[Vendor - Contract]],VendorList[Vendor / Org. with Contract ID],0)))</f>
        <v>Professional Services</v>
      </c>
      <c r="S324" s="1314" t="str">
        <f ca="1">IF(CostTrack[[#This Row],[Vendor - Contract]]="","",INDEX(VendorList[Secondary Category],MATCH(CostTrack[[#This Row],[Vendor - Contract]],VendorList[Vendor / Org. with Contract ID],0)))</f>
        <v>Other Professional Services</v>
      </c>
      <c r="T324" s="1314" t="str">
        <f ca="1">IF(CostTrack[[#This Row],[Vendor - Contract]]="","",INDEX(VendorList[Phase / Subproject],MATCH(CostTrack[[#This Row],[Vendor - Contract]],VendorList[Vendor / Org. with Contract ID],0)))</f>
        <v>--</v>
      </c>
      <c r="U324" s="1314" t="str">
        <f ca="1">IF(CostTrack[[#This Row],[Vendor - Contract]]="","",INDEX(VendorList[Phase / Subproject 2],MATCH(CostTrack[[#This Row],[Vendor - Contract]],VendorList[Vendor / Org. with Contract ID],0)))</f>
        <v>--</v>
      </c>
      <c r="V324" s="1314" t="str">
        <f ca="1">IF(CostTrack[[#This Row],[Vendor - Contract]]="","",INDEX(VendorList[Funding Source],MATCH(CostTrack[[#This Row],[Vendor - Contract]],VendorList[Vendor / Org. with Contract ID],0)))</f>
        <v>P-002360</v>
      </c>
      <c r="W324" s="1308">
        <v>44627</v>
      </c>
      <c r="X324" s="1315" t="str">
        <f ca="1">IF(CostTrack[[#This Row],[Release Date (CMS)]]="","*","")</f>
        <v/>
      </c>
      <c r="Y324" s="1308" t="s">
        <v>50</v>
      </c>
      <c r="Z324" s="713"/>
      <c r="AA324" s="1316">
        <f ca="1">IF(OR(CostTrack[[#This Row],[Release Date (CMS)]]&gt;=DATE(VALUE(REPLACE(CostTrack[[#This Row],[Fiscal Period]],3,3,"")),3,1),CostTrack[[#This Row],[Release Date (CMS)]]&lt;DATE(VALUE(LEFT(CostTrack[[#This Row],[Fiscal Period]],4)),4,1)),1,0)</f>
        <v>1</v>
      </c>
      <c r="AB324" s="1317">
        <v>914</v>
      </c>
      <c r="AC324" s="1308">
        <v>44636</v>
      </c>
      <c r="AD324" s="402" t="str">
        <f ca="1">IF(CostTrack[[#This Row],[Reconciled Amount]]="","",IF(CostTrack[[#This Row],[Value]]&lt;&gt;CostTrack[[#This Row],[Reconciled Amount]],"Yes","No"))</f>
        <v>No</v>
      </c>
    </row>
    <row r="325" spans="2:30" ht="34.15" customHeight="1">
      <c r="B325" s="1324" t="s">
        <v>527</v>
      </c>
      <c r="C325" s="1312" t="s">
        <v>1039</v>
      </c>
      <c r="D325" s="1308">
        <v>44620</v>
      </c>
      <c r="E325" s="658">
        <v>58867.040000000001</v>
      </c>
      <c r="F325" s="1309" t="s">
        <v>69</v>
      </c>
      <c r="G325" s="1310">
        <f ca="1">ROUND(IF(CostTrack[[#This Row],[Holdback (Y/N/R)]]="Yes",CostTrack[[#This Row],[Value]]*-0.1,IF(CostTrack[[#This Row],[Holdback (Y/N/R)]]="Release",CostTrack[[#This Row],[Value]],0)),2)</f>
        <v>0</v>
      </c>
      <c r="H325" s="1311">
        <f ca="1">IF(CostTrack[[#This Row],[Holdback (Y/N/R)]]="Release",CostTrack[[#This Row],[Value]],CostTrack[[#This Row],[Value]]+CostTrack[[#This Row],[Holdback Value]])</f>
        <v>58867.040000000001</v>
      </c>
      <c r="I325" s="1312"/>
      <c r="J325" s="1312"/>
      <c r="K325" s="1313"/>
      <c r="L325" s="1325">
        <v>44623</v>
      </c>
      <c r="M325" s="1326">
        <v>44624</v>
      </c>
      <c r="N325" s="1327"/>
      <c r="O325" s="1328" t="s">
        <v>106</v>
      </c>
      <c r="P325" s="1308">
        <v>44624</v>
      </c>
      <c r="Q325" s="1314" t="str">
        <f ca="1">IF(CostTrack[[#This Row],[Vendor - Contract]]="","",INDEX(VendorList[PA ID],MATCH(CostTrack[[#This Row],[Vendor - Contract]],VendorList[Vendor / Org. with Contract ID],0)))</f>
        <v>200.010.F1</v>
      </c>
      <c r="R325" s="1314" t="str">
        <f ca="1">IF(CostTrack[[#This Row],[Vendor - Contract]]="","",INDEX(VendorList[Primary Category],MATCH(CostTrack[[#This Row],[Vendor - Contract]],VendorList[Vendor / Org. with Contract ID],0)))</f>
        <v>Professional Services</v>
      </c>
      <c r="S325" s="1314" t="str">
        <f ca="1">IF(CostTrack[[#This Row],[Vendor - Contract]]="","",INDEX(VendorList[Secondary Category],MATCH(CostTrack[[#This Row],[Vendor - Contract]],VendorList[Vendor / Org. with Contract ID],0)))</f>
        <v>Prime Consultant</v>
      </c>
      <c r="T325" s="1314" t="str">
        <f ca="1">IF(CostTrack[[#This Row],[Vendor - Contract]]="","",INDEX(VendorList[Phase / Subproject],MATCH(CostTrack[[#This Row],[Vendor - Contract]],VendorList[Vendor / Org. with Contract ID],0)))</f>
        <v>--</v>
      </c>
      <c r="U325" s="1314" t="str">
        <f ca="1">IF(CostTrack[[#This Row],[Vendor - Contract]]="","",INDEX(VendorList[Phase / Subproject 2],MATCH(CostTrack[[#This Row],[Vendor - Contract]],VendorList[Vendor / Org. with Contract ID],0)))</f>
        <v>--</v>
      </c>
      <c r="V325" s="1314" t="str">
        <f ca="1">IF(CostTrack[[#This Row],[Vendor - Contract]]="","",INDEX(VendorList[Funding Source],MATCH(CostTrack[[#This Row],[Vendor - Contract]],VendorList[Vendor / Org. with Contract ID],0)))</f>
        <v>P-002360</v>
      </c>
      <c r="W325" s="1308">
        <v>44624</v>
      </c>
      <c r="X325" s="1315" t="str">
        <f ca="1">IF(CostTrack[[#This Row],[Release Date (CMS)]]="","*","")</f>
        <v/>
      </c>
      <c r="Y325" s="1308" t="s">
        <v>50</v>
      </c>
      <c r="Z325" s="713"/>
      <c r="AA325" s="1316">
        <f ca="1">IF(OR(CostTrack[[#This Row],[Release Date (CMS)]]&gt;=DATE(VALUE(REPLACE(CostTrack[[#This Row],[Fiscal Period]],3,3,"")),3,1),CostTrack[[#This Row],[Release Date (CMS)]]&lt;DATE(VALUE(LEFT(CostTrack[[#This Row],[Fiscal Period]],4)),4,1)),1,0)</f>
        <v>1</v>
      </c>
      <c r="AB325" s="1317">
        <v>58867.040000000001</v>
      </c>
      <c r="AC325" s="1308">
        <v>44636</v>
      </c>
      <c r="AD325" s="402" t="str">
        <f ca="1">IF(CostTrack[[#This Row],[Reconciled Amount]]="","",IF(CostTrack[[#This Row],[Value]]&lt;&gt;CostTrack[[#This Row],[Reconciled Amount]],"Yes","No"))</f>
        <v>No</v>
      </c>
    </row>
    <row r="326" spans="2:30" ht="34.15" customHeight="1">
      <c r="B326" s="1324" t="s">
        <v>624</v>
      </c>
      <c r="C326" s="1312">
        <v>1686416</v>
      </c>
      <c r="D326" s="1308">
        <v>44624</v>
      </c>
      <c r="E326" s="658">
        <v>5095</v>
      </c>
      <c r="F326" s="1309" t="s">
        <v>69</v>
      </c>
      <c r="G326" s="1310">
        <f ca="1">ROUND(IF(CostTrack[[#This Row],[Holdback (Y/N/R)]]="Yes",CostTrack[[#This Row],[Value]]*-0.1,IF(CostTrack[[#This Row],[Holdback (Y/N/R)]]="Release",CostTrack[[#This Row],[Value]],0)),2)</f>
        <v>0</v>
      </c>
      <c r="H326" s="1311">
        <f ca="1">IF(CostTrack[[#This Row],[Holdback (Y/N/R)]]="Release",CostTrack[[#This Row],[Value]],CostTrack[[#This Row],[Value]]+CostTrack[[#This Row],[Holdback Value]])</f>
        <v>5095</v>
      </c>
      <c r="I326" s="1312"/>
      <c r="J326" s="1312"/>
      <c r="K326" s="1313"/>
      <c r="L326" s="1325">
        <v>44624</v>
      </c>
      <c r="M326" s="1326">
        <v>44624</v>
      </c>
      <c r="N326" s="1327"/>
      <c r="O326" s="1328" t="s">
        <v>106</v>
      </c>
      <c r="P326" s="1308">
        <v>44627</v>
      </c>
      <c r="Q326" s="1314" t="str">
        <f ca="1">IF(CostTrack[[#This Row],[Vendor - Contract]]="","",INDEX(VendorList[PA ID],MATCH(CostTrack[[#This Row],[Vendor - Contract]],VendorList[Vendor / Org. with Contract ID],0)))</f>
        <v>200.040.F1</v>
      </c>
      <c r="R326" s="1314" t="str">
        <f ca="1">IF(CostTrack[[#This Row],[Vendor - Contract]]="","",INDEX(VendorList[Primary Category],MATCH(CostTrack[[#This Row],[Vendor - Contract]],VendorList[Vendor / Org. with Contract ID],0)))</f>
        <v>Professional Services</v>
      </c>
      <c r="S326" s="1314" t="str">
        <f ca="1">IF(CostTrack[[#This Row],[Vendor - Contract]]="","",INDEX(VendorList[Secondary Category],MATCH(CostTrack[[#This Row],[Vendor - Contract]],VendorList[Vendor / Org. with Contract ID],0)))</f>
        <v>Commissioning</v>
      </c>
      <c r="T326" s="1314" t="str">
        <f ca="1">IF(CostTrack[[#This Row],[Vendor - Contract]]="","",INDEX(VendorList[Phase / Subproject],MATCH(CostTrack[[#This Row],[Vendor - Contract]],VendorList[Vendor / Org. with Contract ID],0)))</f>
        <v>--</v>
      </c>
      <c r="U326" s="1314" t="str">
        <f ca="1">IF(CostTrack[[#This Row],[Vendor - Contract]]="","",INDEX(VendorList[Phase / Subproject 2],MATCH(CostTrack[[#This Row],[Vendor - Contract]],VendorList[Vendor / Org. with Contract ID],0)))</f>
        <v>--</v>
      </c>
      <c r="V326" s="1314" t="str">
        <f ca="1">IF(CostTrack[[#This Row],[Vendor - Contract]]="","",INDEX(VendorList[Funding Source],MATCH(CostTrack[[#This Row],[Vendor - Contract]],VendorList[Vendor / Org. with Contract ID],0)))</f>
        <v>P-002360</v>
      </c>
      <c r="W326" s="1308">
        <v>44627</v>
      </c>
      <c r="X326" s="1315" t="str">
        <f ca="1">IF(CostTrack[[#This Row],[Release Date (CMS)]]="","*","")</f>
        <v/>
      </c>
      <c r="Y326" s="1308" t="s">
        <v>50</v>
      </c>
      <c r="Z326" s="713"/>
      <c r="AA326" s="1316">
        <f ca="1">IF(OR(CostTrack[[#This Row],[Release Date (CMS)]]&gt;=DATE(VALUE(REPLACE(CostTrack[[#This Row],[Fiscal Period]],3,3,"")),3,1),CostTrack[[#This Row],[Release Date (CMS)]]&lt;DATE(VALUE(LEFT(CostTrack[[#This Row],[Fiscal Period]],4)),4,1)),1,0)</f>
        <v>1</v>
      </c>
      <c r="AB326" s="1317">
        <v>5095</v>
      </c>
      <c r="AC326" s="1308">
        <v>44636</v>
      </c>
      <c r="AD326" s="402" t="str">
        <f ca="1">IF(CostTrack[[#This Row],[Reconciled Amount]]="","",IF(CostTrack[[#This Row],[Value]]&lt;&gt;CostTrack[[#This Row],[Reconciled Amount]],"Yes","No"))</f>
        <v>No</v>
      </c>
    </row>
    <row r="327" spans="2:30" ht="34.15" customHeight="1">
      <c r="B327" s="1324" t="s">
        <v>528</v>
      </c>
      <c r="C327" s="1312">
        <v>60747484</v>
      </c>
      <c r="D327" s="1308">
        <v>44627</v>
      </c>
      <c r="E327" s="658">
        <v>5310.5</v>
      </c>
      <c r="F327" s="1309" t="s">
        <v>69</v>
      </c>
      <c r="G327" s="1310">
        <f ca="1">ROUND(IF(CostTrack[[#This Row],[Holdback (Y/N/R)]]="Yes",CostTrack[[#This Row],[Value]]*-0.1,IF(CostTrack[[#This Row],[Holdback (Y/N/R)]]="Release",CostTrack[[#This Row],[Value]],0)),2)</f>
        <v>0</v>
      </c>
      <c r="H327" s="1311">
        <f ca="1">IF(CostTrack[[#This Row],[Holdback (Y/N/R)]]="Release",CostTrack[[#This Row],[Value]],CostTrack[[#This Row],[Value]]+CostTrack[[#This Row],[Holdback Value]])</f>
        <v>5310.5</v>
      </c>
      <c r="I327" s="1312"/>
      <c r="J327" s="1312"/>
      <c r="K327" s="1313"/>
      <c r="L327" s="1325">
        <v>44629</v>
      </c>
      <c r="M327" s="1326">
        <v>44629</v>
      </c>
      <c r="N327" s="1327"/>
      <c r="O327" s="1328" t="s">
        <v>106</v>
      </c>
      <c r="P327" s="1308">
        <v>44629</v>
      </c>
      <c r="Q327" s="1314" t="str">
        <f ca="1">IF(CostTrack[[#This Row],[Vendor - Contract]]="","",INDEX(VendorList[PA ID],MATCH(CostTrack[[#This Row],[Vendor - Contract]],VendorList[Vendor / Org. with Contract ID],0)))</f>
        <v>200.050.F1</v>
      </c>
      <c r="R327" s="1314" t="str">
        <f ca="1">IF(CostTrack[[#This Row],[Vendor - Contract]]="","",INDEX(VendorList[Primary Category],MATCH(CostTrack[[#This Row],[Vendor - Contract]],VendorList[Vendor / Org. with Contract ID],0)))</f>
        <v>Professional Services</v>
      </c>
      <c r="S327" s="1314" t="str">
        <f ca="1">IF(CostTrack[[#This Row],[Vendor - Contract]]="","",INDEX(VendorList[Secondary Category],MATCH(CostTrack[[#This Row],[Vendor - Contract]],VendorList[Vendor / Org. with Contract ID],0)))</f>
        <v>Other Professional Services</v>
      </c>
      <c r="T327" s="1314" t="str">
        <f ca="1">IF(CostTrack[[#This Row],[Vendor - Contract]]="","",INDEX(VendorList[Phase / Subproject],MATCH(CostTrack[[#This Row],[Vendor - Contract]],VendorList[Vendor / Org. with Contract ID],0)))</f>
        <v>--</v>
      </c>
      <c r="U327" s="1314" t="str">
        <f ca="1">IF(CostTrack[[#This Row],[Vendor - Contract]]="","",INDEX(VendorList[Phase / Subproject 2],MATCH(CostTrack[[#This Row],[Vendor - Contract]],VendorList[Vendor / Org. with Contract ID],0)))</f>
        <v>--</v>
      </c>
      <c r="V327" s="1314" t="str">
        <f ca="1">IF(CostTrack[[#This Row],[Vendor - Contract]]="","",INDEX(VendorList[Funding Source],MATCH(CostTrack[[#This Row],[Vendor - Contract]],VendorList[Vendor / Org. with Contract ID],0)))</f>
        <v>P-002360</v>
      </c>
      <c r="W327" s="1308">
        <v>44630</v>
      </c>
      <c r="X327" s="1315" t="str">
        <f ca="1">IF(CostTrack[[#This Row],[Release Date (CMS)]]="","*","")</f>
        <v/>
      </c>
      <c r="Y327" s="1308" t="s">
        <v>50</v>
      </c>
      <c r="Z327" s="713"/>
      <c r="AA327" s="1316">
        <f ca="1">IF(OR(CostTrack[[#This Row],[Release Date (CMS)]]&gt;=DATE(VALUE(REPLACE(CostTrack[[#This Row],[Fiscal Period]],3,3,"")),3,1),CostTrack[[#This Row],[Release Date (CMS)]]&lt;DATE(VALUE(LEFT(CostTrack[[#This Row],[Fiscal Period]],4)),4,1)),1,0)</f>
        <v>1</v>
      </c>
      <c r="AB327" s="1317">
        <v>5310.5</v>
      </c>
      <c r="AC327" s="1308">
        <v>44636</v>
      </c>
      <c r="AD327" s="402" t="str">
        <f ca="1">IF(CostTrack[[#This Row],[Reconciled Amount]]="","",IF(CostTrack[[#This Row],[Value]]&lt;&gt;CostTrack[[#This Row],[Reconciled Amount]],"Yes","No"))</f>
        <v>No</v>
      </c>
    </row>
    <row r="328" spans="2:30" ht="34.15" customHeight="1">
      <c r="B328" s="1324" t="s">
        <v>666</v>
      </c>
      <c r="C328" s="1312">
        <v>415095</v>
      </c>
      <c r="D328" s="1308">
        <v>44630</v>
      </c>
      <c r="E328" s="658">
        <v>11737.88</v>
      </c>
      <c r="F328" s="1309" t="s">
        <v>69</v>
      </c>
      <c r="G328" s="1310">
        <f ca="1">ROUND(IF(CostTrack[[#This Row],[Holdback (Y/N/R)]]="Yes",CostTrack[[#This Row],[Value]]*-0.1,IF(CostTrack[[#This Row],[Holdback (Y/N/R)]]="Release",CostTrack[[#This Row],[Value]],0)),2)</f>
        <v>0</v>
      </c>
      <c r="H328" s="1311">
        <f ca="1">IF(CostTrack[[#This Row],[Holdback (Y/N/R)]]="Release",CostTrack[[#This Row],[Value]],CostTrack[[#This Row],[Value]]+CostTrack[[#This Row],[Holdback Value]])</f>
        <v>11737.88</v>
      </c>
      <c r="I328" s="1312"/>
      <c r="J328" s="1312"/>
      <c r="K328" s="1313"/>
      <c r="L328" s="1325">
        <v>44630</v>
      </c>
      <c r="M328" s="1326">
        <v>44630</v>
      </c>
      <c r="N328" s="1327"/>
      <c r="O328" s="1328" t="s">
        <v>106</v>
      </c>
      <c r="P328" s="1308">
        <v>44630</v>
      </c>
      <c r="Q328" s="1314" t="str">
        <f ca="1">IF(CostTrack[[#This Row],[Vendor - Contract]]="","",INDEX(VendorList[PA ID],MATCH(CostTrack[[#This Row],[Vendor - Contract]],VendorList[Vendor / Org. with Contract ID],0)))</f>
        <v>200.050.F1</v>
      </c>
      <c r="R328" s="1314" t="str">
        <f ca="1">IF(CostTrack[[#This Row],[Vendor - Contract]]="","",INDEX(VendorList[Primary Category],MATCH(CostTrack[[#This Row],[Vendor - Contract]],VendorList[Vendor / Org. with Contract ID],0)))</f>
        <v>Professional Services</v>
      </c>
      <c r="S328" s="1314" t="str">
        <f ca="1">IF(CostTrack[[#This Row],[Vendor - Contract]]="","",INDEX(VendorList[Secondary Category],MATCH(CostTrack[[#This Row],[Vendor - Contract]],VendorList[Vendor / Org. with Contract ID],0)))</f>
        <v>Other Professional Services</v>
      </c>
      <c r="T328" s="1314" t="str">
        <f ca="1">IF(CostTrack[[#This Row],[Vendor - Contract]]="","",INDEX(VendorList[Phase / Subproject],MATCH(CostTrack[[#This Row],[Vendor - Contract]],VendorList[Vendor / Org. with Contract ID],0)))</f>
        <v>--</v>
      </c>
      <c r="U328" s="1314" t="str">
        <f ca="1">IF(CostTrack[[#This Row],[Vendor - Contract]]="","",INDEX(VendorList[Phase / Subproject 2],MATCH(CostTrack[[#This Row],[Vendor - Contract]],VendorList[Vendor / Org. with Contract ID],0)))</f>
        <v>--</v>
      </c>
      <c r="V328" s="1314" t="str">
        <f ca="1">IF(CostTrack[[#This Row],[Vendor - Contract]]="","",INDEX(VendorList[Funding Source],MATCH(CostTrack[[#This Row],[Vendor - Contract]],VendorList[Vendor / Org. with Contract ID],0)))</f>
        <v>P-002360</v>
      </c>
      <c r="W328" s="1308">
        <v>44630</v>
      </c>
      <c r="X328" s="1315" t="str">
        <f ca="1">IF(CostTrack[[#This Row],[Release Date (CMS)]]="","*","")</f>
        <v/>
      </c>
      <c r="Y328" s="1308" t="s">
        <v>50</v>
      </c>
      <c r="Z328" s="713"/>
      <c r="AA328" s="1316">
        <f ca="1">IF(OR(CostTrack[[#This Row],[Release Date (CMS)]]&gt;=DATE(VALUE(REPLACE(CostTrack[[#This Row],[Fiscal Period]],3,3,"")),3,1),CostTrack[[#This Row],[Release Date (CMS)]]&lt;DATE(VALUE(LEFT(CostTrack[[#This Row],[Fiscal Period]],4)),4,1)),1,0)</f>
        <v>1</v>
      </c>
      <c r="AB328" s="1317">
        <v>11737.88</v>
      </c>
      <c r="AC328" s="1308">
        <v>44636</v>
      </c>
      <c r="AD328" s="402" t="str">
        <f ca="1">IF(CostTrack[[#This Row],[Reconciled Amount]]="","",IF(CostTrack[[#This Row],[Value]]&lt;&gt;CostTrack[[#This Row],[Reconciled Amount]],"Yes","No"))</f>
        <v>No</v>
      </c>
    </row>
    <row r="329" spans="2:30" ht="34.15" customHeight="1">
      <c r="B329" s="1324" t="s">
        <v>529</v>
      </c>
      <c r="C329" s="650" t="s">
        <v>1040</v>
      </c>
      <c r="D329" s="1308">
        <v>44620</v>
      </c>
      <c r="E329" s="658">
        <v>2932099.84</v>
      </c>
      <c r="F329" s="1309" t="s">
        <v>65</v>
      </c>
      <c r="G329" s="1310">
        <f ca="1">ROUND(IF(CostTrack[[#This Row],[Holdback (Y/N/R)]]="Yes",CostTrack[[#This Row],[Value]]*-0.1,IF(CostTrack[[#This Row],[Holdback (Y/N/R)]]="Release",CostTrack[[#This Row],[Value]],0)),2)</f>
        <v>-293209.98</v>
      </c>
      <c r="H329" s="1311">
        <f ca="1">IF(CostTrack[[#This Row],[Holdback (Y/N/R)]]="Release",CostTrack[[#This Row],[Value]],CostTrack[[#This Row],[Value]]+CostTrack[[#This Row],[Holdback Value]])</f>
        <v>2638889.86</v>
      </c>
      <c r="I329" s="1312"/>
      <c r="J329" s="1312"/>
      <c r="K329" s="1313"/>
      <c r="L329" s="1325">
        <v>44631</v>
      </c>
      <c r="M329" s="1326">
        <v>44631</v>
      </c>
      <c r="N329" s="1327"/>
      <c r="O329" s="1328" t="s">
        <v>106</v>
      </c>
      <c r="P329" s="1308">
        <v>44634</v>
      </c>
      <c r="Q329" s="1314" t="str">
        <f ca="1">IF(CostTrack[[#This Row],[Vendor - Contract]]="","",INDEX(VendorList[PA ID],MATCH(CostTrack[[#This Row],[Vendor - Contract]],VendorList[Vendor / Org. with Contract ID],0)))</f>
        <v>300.030.F1</v>
      </c>
      <c r="R329" s="1314" t="str">
        <f ca="1">IF(CostTrack[[#This Row],[Vendor - Contract]]="","",INDEX(VendorList[Primary Category],MATCH(CostTrack[[#This Row],[Vendor - Contract]],VendorList[Vendor / Org. with Contract ID],0)))</f>
        <v>Construction</v>
      </c>
      <c r="S329" s="1314" t="str">
        <f ca="1">IF(CostTrack[[#This Row],[Vendor - Contract]]="","",INDEX(VendorList[Secondary Category],MATCH(CostTrack[[#This Row],[Vendor - Contract]],VendorList[Vendor / Org. with Contract ID],0)))</f>
        <v>Prime Contractor</v>
      </c>
      <c r="T329" s="1314" t="str">
        <f ca="1">IF(CostTrack[[#This Row],[Vendor - Contract]]="","",INDEX(VendorList[Phase / Subproject],MATCH(CostTrack[[#This Row],[Vendor - Contract]],VendorList[Vendor / Org. with Contract ID],0)))</f>
        <v>--</v>
      </c>
      <c r="U329" s="1314" t="str">
        <f ca="1">IF(CostTrack[[#This Row],[Vendor - Contract]]="","",INDEX(VendorList[Phase / Subproject 2],MATCH(CostTrack[[#This Row],[Vendor - Contract]],VendorList[Vendor / Org. with Contract ID],0)))</f>
        <v>--</v>
      </c>
      <c r="V329" s="1314" t="str">
        <f ca="1">IF(CostTrack[[#This Row],[Vendor - Contract]]="","",INDEX(VendorList[Funding Source],MATCH(CostTrack[[#This Row],[Vendor - Contract]],VendorList[Vendor / Org. with Contract ID],0)))</f>
        <v>P-002360</v>
      </c>
      <c r="W329" s="1308">
        <v>44634</v>
      </c>
      <c r="X329" s="1315" t="str">
        <f ca="1">IF(CostTrack[[#This Row],[Release Date (CMS)]]="","*","")</f>
        <v/>
      </c>
      <c r="Y329" s="1308" t="s">
        <v>50</v>
      </c>
      <c r="Z329" s="713"/>
      <c r="AA329" s="1316">
        <f ca="1">IF(OR(CostTrack[[#This Row],[Release Date (CMS)]]&gt;=DATE(VALUE(REPLACE(CostTrack[[#This Row],[Fiscal Period]],3,3,"")),3,1),CostTrack[[#This Row],[Release Date (CMS)]]&lt;DATE(VALUE(LEFT(CostTrack[[#This Row],[Fiscal Period]],4)),4,1)),1,0)</f>
        <v>1</v>
      </c>
      <c r="AB329" s="1317">
        <v>2932099.84</v>
      </c>
      <c r="AC329" s="1308">
        <v>44636</v>
      </c>
      <c r="AD329" s="402" t="str">
        <f ca="1">IF(CostTrack[[#This Row],[Reconciled Amount]]="","",IF(CostTrack[[#This Row],[Value]]&lt;&gt;CostTrack[[#This Row],[Reconciled Amount]],"Yes","No"))</f>
        <v>No</v>
      </c>
    </row>
    <row r="330" spans="2:30" ht="103.5" customHeight="1">
      <c r="B330" s="1329" t="s">
        <v>529</v>
      </c>
      <c r="C330" s="1330">
        <v>27066</v>
      </c>
      <c r="D330" s="1331">
        <v>44636</v>
      </c>
      <c r="E330" s="1332">
        <v>117491.75</v>
      </c>
      <c r="F330" s="1333" t="s">
        <v>100</v>
      </c>
      <c r="G330" s="1310">
        <f ca="1">ROUND(IF(CostTrack[[#This Row],[Holdback (Y/N/R)]]="Yes",CostTrack[[#This Row],[Value]]*-0.1,IF(CostTrack[[#This Row],[Holdback (Y/N/R)]]="Release",CostTrack[[#This Row],[Value]],0)),2)</f>
        <v>117491.75</v>
      </c>
      <c r="H330" s="1311">
        <f ca="1">IF(CostTrack[[#This Row],[Holdback (Y/N/R)]]="Release",CostTrack[[#This Row],[Value]],CostTrack[[#This Row],[Value]]+CostTrack[[#This Row],[Holdback Value]])</f>
        <v>117491.75</v>
      </c>
      <c r="I330" s="650" t="s">
        <v>1041</v>
      </c>
      <c r="J330" s="1312"/>
      <c r="K330" s="1313"/>
      <c r="L330" s="1325">
        <v>44636</v>
      </c>
      <c r="M330" s="1326">
        <v>44636</v>
      </c>
      <c r="N330" s="1327"/>
      <c r="O330" s="1328" t="s">
        <v>106</v>
      </c>
      <c r="P330" s="1308">
        <v>44636</v>
      </c>
      <c r="Q330" s="1314" t="str">
        <f ca="1">IF(CostTrack[[#This Row],[Vendor - Contract]]="","",INDEX(VendorList[PA ID],MATCH(CostTrack[[#This Row],[Vendor - Contract]],VendorList[Vendor / Org. with Contract ID],0)))</f>
        <v>300.030.F1</v>
      </c>
      <c r="R330" s="1314" t="str">
        <f ca="1">IF(CostTrack[[#This Row],[Vendor - Contract]]="","",INDEX(VendorList[Primary Category],MATCH(CostTrack[[#This Row],[Vendor - Contract]],VendorList[Vendor / Org. with Contract ID],0)))</f>
        <v>Construction</v>
      </c>
      <c r="S330" s="1314" t="str">
        <f ca="1">IF(CostTrack[[#This Row],[Vendor - Contract]]="","",INDEX(VendorList[Secondary Category],MATCH(CostTrack[[#This Row],[Vendor - Contract]],VendorList[Vendor / Org. with Contract ID],0)))</f>
        <v>Prime Contractor</v>
      </c>
      <c r="T330" s="1314" t="str">
        <f ca="1">IF(CostTrack[[#This Row],[Vendor - Contract]]="","",INDEX(VendorList[Phase / Subproject],MATCH(CostTrack[[#This Row],[Vendor - Contract]],VendorList[Vendor / Org. with Contract ID],0)))</f>
        <v>--</v>
      </c>
      <c r="U330" s="1314" t="str">
        <f ca="1">IF(CostTrack[[#This Row],[Vendor - Contract]]="","",INDEX(VendorList[Phase / Subproject 2],MATCH(CostTrack[[#This Row],[Vendor - Contract]],VendorList[Vendor / Org. with Contract ID],0)))</f>
        <v>--</v>
      </c>
      <c r="V330" s="1314" t="str">
        <f ca="1">IF(CostTrack[[#This Row],[Vendor - Contract]]="","",INDEX(VendorList[Funding Source],MATCH(CostTrack[[#This Row],[Vendor - Contract]],VendorList[Vendor / Org. with Contract ID],0)))</f>
        <v>P-002360</v>
      </c>
      <c r="W330" s="1308">
        <v>44636</v>
      </c>
      <c r="X330" s="1315" t="str">
        <f ca="1">IF(CostTrack[[#This Row],[Release Date (CMS)]]="","*","")</f>
        <v/>
      </c>
      <c r="Y330" s="1308" t="s">
        <v>50</v>
      </c>
      <c r="Z330" s="652" t="s">
        <v>1042</v>
      </c>
      <c r="AA330" s="1316">
        <f ca="1">IF(OR(CostTrack[[#This Row],[Release Date (CMS)]]&gt;=DATE(VALUE(REPLACE(CostTrack[[#This Row],[Fiscal Period]],3,3,"")),3,1),CostTrack[[#This Row],[Release Date (CMS)]]&lt;DATE(VALUE(LEFT(CostTrack[[#This Row],[Fiscal Period]],4)),4,1)),1,0)</f>
        <v>1</v>
      </c>
      <c r="AB330" s="1317">
        <v>117491.75</v>
      </c>
      <c r="AC330" s="1308">
        <v>44642</v>
      </c>
      <c r="AD330" s="402" t="str">
        <f ca="1">IF(CostTrack[[#This Row],[Reconciled Amount]]="","",IF(CostTrack[[#This Row],[Value]]&lt;&gt;CostTrack[[#This Row],[Reconciled Amount]],"Yes","No"))</f>
        <v>No</v>
      </c>
    </row>
    <row r="331" spans="2:30" ht="94.5" customHeight="1">
      <c r="B331" s="1324" t="s">
        <v>736</v>
      </c>
      <c r="C331" s="650" t="s">
        <v>1043</v>
      </c>
      <c r="D331" s="1308">
        <v>44651</v>
      </c>
      <c r="E331" s="658">
        <v>49628.31</v>
      </c>
      <c r="F331" s="1309" t="s">
        <v>69</v>
      </c>
      <c r="G331" s="1310">
        <f ca="1">ROUND(IF(CostTrack[[#This Row],[Holdback (Y/N/R)]]="Yes",CostTrack[[#This Row],[Value]]*-0.1,IF(CostTrack[[#This Row],[Holdback (Y/N/R)]]="Release",CostTrack[[#This Row],[Value]],0)),2)</f>
        <v>0</v>
      </c>
      <c r="H331" s="1311">
        <f ca="1">IF(CostTrack[[#This Row],[Holdback (Y/N/R)]]="Release",CostTrack[[#This Row],[Value]],CostTrack[[#This Row],[Value]]+CostTrack[[#This Row],[Holdback Value]])</f>
        <v>49628.31</v>
      </c>
      <c r="I331" s="1312"/>
      <c r="J331" s="1312"/>
      <c r="K331" s="1313"/>
      <c r="L331" s="1325">
        <v>44651</v>
      </c>
      <c r="M331" s="1326">
        <v>44651</v>
      </c>
      <c r="N331" s="1327"/>
      <c r="O331" s="1328" t="s">
        <v>106</v>
      </c>
      <c r="P331" s="1308">
        <v>44651</v>
      </c>
      <c r="Q331" s="1314" t="str">
        <f ca="1">IF(CostTrack[[#This Row],[Vendor - Contract]]="","",INDEX(VendorList[PA ID],MATCH(CostTrack[[#This Row],[Vendor - Contract]],VendorList[Vendor / Org. with Contract ID],0)))</f>
        <v>100.010.F1</v>
      </c>
      <c r="R331" s="1314" t="str">
        <f ca="1">IF(CostTrack[[#This Row],[Vendor - Contract]]="","",INDEX(VendorList[Primary Category],MATCH(CostTrack[[#This Row],[Vendor - Contract]],VendorList[Vendor / Org. with Contract ID],0)))</f>
        <v>Administration</v>
      </c>
      <c r="S331" s="1314" t="str">
        <f ca="1">IF(CostTrack[[#This Row],[Vendor - Contract]]="","",INDEX(VendorList[Secondary Category],MATCH(CostTrack[[#This Row],[Vendor - Contract]],VendorList[Vendor / Org. with Contract ID],0)))</f>
        <v>Staff Capitalization - INFRA</v>
      </c>
      <c r="T331" s="1314" t="str">
        <f ca="1">IF(CostTrack[[#This Row],[Vendor - Contract]]="","",INDEX(VendorList[Phase / Subproject],MATCH(CostTrack[[#This Row],[Vendor - Contract]],VendorList[Vendor / Org. with Contract ID],0)))</f>
        <v>--</v>
      </c>
      <c r="U331" s="1314" t="str">
        <f ca="1">IF(CostTrack[[#This Row],[Vendor - Contract]]="","",INDEX(VendorList[Phase / Subproject 2],MATCH(CostTrack[[#This Row],[Vendor - Contract]],VendorList[Vendor / Org. with Contract ID],0)))</f>
        <v>--</v>
      </c>
      <c r="V331" s="1314" t="str">
        <f ca="1">IF(CostTrack[[#This Row],[Vendor - Contract]]="","",INDEX(VendorList[Funding Source],MATCH(CostTrack[[#This Row],[Vendor - Contract]],VendorList[Vendor / Org. with Contract ID],0)))</f>
        <v>P-002360</v>
      </c>
      <c r="W331" s="1308">
        <v>44651</v>
      </c>
      <c r="X331" s="1315" t="str">
        <f ca="1">IF(CostTrack[[#This Row],[Release Date (CMS)]]="","*","")</f>
        <v/>
      </c>
      <c r="Y331" s="1308" t="s">
        <v>50</v>
      </c>
      <c r="Z331" s="652" t="s">
        <v>1037</v>
      </c>
      <c r="AA331" s="1316">
        <f ca="1">IF(OR(CostTrack[[#This Row],[Release Date (CMS)]]&gt;=DATE(VALUE(REPLACE(CostTrack[[#This Row],[Fiscal Period]],3,3,"")),3,1),CostTrack[[#This Row],[Release Date (CMS)]]&lt;DATE(VALUE(LEFT(CostTrack[[#This Row],[Fiscal Period]],4)),4,1)),1,0)</f>
        <v>1</v>
      </c>
      <c r="AB331" s="1317">
        <v>49628.31</v>
      </c>
      <c r="AC331" s="1308">
        <v>44642</v>
      </c>
      <c r="AD331" s="402" t="str">
        <f ca="1">IF(CostTrack[[#This Row],[Reconciled Amount]]="","",IF(CostTrack[[#This Row],[Value]]&lt;&gt;CostTrack[[#This Row],[Reconciled Amount]],"Yes","No"))</f>
        <v>No</v>
      </c>
    </row>
    <row r="332" spans="2:30" ht="21.6" customHeight="1">
      <c r="B332" s="1324" t="s">
        <v>754</v>
      </c>
      <c r="C332" s="1312">
        <v>800072518</v>
      </c>
      <c r="D332" s="1308">
        <v>44641</v>
      </c>
      <c r="E332" s="658">
        <v>79.14</v>
      </c>
      <c r="F332" s="1309" t="s">
        <v>69</v>
      </c>
      <c r="G332" s="1310">
        <f ca="1">ROUND(IF(CostTrack[[#This Row],[Holdback (Y/N/R)]]="Yes",CostTrack[[#This Row],[Value]]*-0.1,IF(CostTrack[[#This Row],[Holdback (Y/N/R)]]="Release",CostTrack[[#This Row],[Value]],0)),2)</f>
        <v>0</v>
      </c>
      <c r="H332" s="1311">
        <f ca="1">IF(CostTrack[[#This Row],[Holdback (Y/N/R)]]="Release",CostTrack[[#This Row],[Value]],CostTrack[[#This Row],[Value]]+CostTrack[[#This Row],[Holdback Value]])</f>
        <v>79.14</v>
      </c>
      <c r="I332" s="1312"/>
      <c r="J332" s="1312"/>
      <c r="K332" s="1313"/>
      <c r="L332" s="1325">
        <v>44641</v>
      </c>
      <c r="M332" s="1326">
        <v>44641</v>
      </c>
      <c r="N332" s="1327"/>
      <c r="O332" s="1328" t="s">
        <v>106</v>
      </c>
      <c r="P332" s="1308">
        <v>44641</v>
      </c>
      <c r="Q332" s="1314" t="str">
        <f ca="1">IF(CostTrack[[#This Row],[Vendor - Contract]]="","",INDEX(VendorList[PA ID],MATCH(CostTrack[[#This Row],[Vendor - Contract]],VendorList[Vendor / Org. with Contract ID],0)))</f>
        <v>100.050.F1</v>
      </c>
      <c r="R332" s="1314" t="str">
        <f ca="1">IF(CostTrack[[#This Row],[Vendor - Contract]]="","",INDEX(VendorList[Primary Category],MATCH(CostTrack[[#This Row],[Vendor - Contract]],VendorList[Vendor / Org. with Contract ID],0)))</f>
        <v>Administration</v>
      </c>
      <c r="S332" s="1314" t="str">
        <f ca="1">IF(CostTrack[[#This Row],[Vendor - Contract]]="","",INDEX(VendorList[Secondary Category],MATCH(CostTrack[[#This Row],[Vendor - Contract]],VendorList[Vendor / Org. with Contract ID],0)))</f>
        <v>Other Administration</v>
      </c>
      <c r="T332" s="1314" t="str">
        <f ca="1">IF(CostTrack[[#This Row],[Vendor - Contract]]="","",INDEX(VendorList[Phase / Subproject],MATCH(CostTrack[[#This Row],[Vendor - Contract]],VendorList[Vendor / Org. with Contract ID],0)))</f>
        <v>--</v>
      </c>
      <c r="U332" s="1314" t="str">
        <f ca="1">IF(CostTrack[[#This Row],[Vendor - Contract]]="","",INDEX(VendorList[Phase / Subproject 2],MATCH(CostTrack[[#This Row],[Vendor - Contract]],VendorList[Vendor / Org. with Contract ID],0)))</f>
        <v>--</v>
      </c>
      <c r="V332" s="1314" t="str">
        <f ca="1">IF(CostTrack[[#This Row],[Vendor - Contract]]="","",INDEX(VendorList[Funding Source],MATCH(CostTrack[[#This Row],[Vendor - Contract]],VendorList[Vendor / Org. with Contract ID],0)))</f>
        <v>P-002360</v>
      </c>
      <c r="W332" s="1308">
        <v>44641</v>
      </c>
      <c r="X332" s="1315" t="str">
        <f ca="1">IF(CostTrack[[#This Row],[Release Date (CMS)]]="","*","")</f>
        <v/>
      </c>
      <c r="Y332" s="1308" t="s">
        <v>50</v>
      </c>
      <c r="Z332" s="652"/>
      <c r="AA332" s="1316">
        <f ca="1">IF(OR(CostTrack[[#This Row],[Release Date (CMS)]]&gt;=DATE(VALUE(REPLACE(CostTrack[[#This Row],[Fiscal Period]],3,3,"")),3,1),CostTrack[[#This Row],[Release Date (CMS)]]&lt;DATE(VALUE(LEFT(CostTrack[[#This Row],[Fiscal Period]],4)),4,1)),1,0)</f>
        <v>1</v>
      </c>
      <c r="AB332" s="1317">
        <v>79.14</v>
      </c>
      <c r="AC332" s="1308">
        <v>44642</v>
      </c>
      <c r="AD332" s="402" t="str">
        <f ca="1">IF(CostTrack[[#This Row],[Reconciled Amount]]="","",IF(CostTrack[[#This Row],[Value]]&lt;&gt;CostTrack[[#This Row],[Reconciled Amount]],"Yes","No"))</f>
        <v>No</v>
      </c>
    </row>
    <row r="333" spans="2:30" ht="28.35" customHeight="1">
      <c r="B333" s="1324" t="s">
        <v>527</v>
      </c>
      <c r="C333" s="1312" t="s">
        <v>1044</v>
      </c>
      <c r="D333" s="1308">
        <v>44651</v>
      </c>
      <c r="E333" s="658">
        <v>372169.86</v>
      </c>
      <c r="F333" s="1309" t="s">
        <v>69</v>
      </c>
      <c r="G333" s="1310">
        <f ca="1">ROUND(IF(CostTrack[[#This Row],[Holdback (Y/N/R)]]="Yes",CostTrack[[#This Row],[Value]]*-0.1,IF(CostTrack[[#This Row],[Holdback (Y/N/R)]]="Release",CostTrack[[#This Row],[Value]],0)),2)</f>
        <v>0</v>
      </c>
      <c r="H333" s="1311">
        <f ca="1">IF(CostTrack[[#This Row],[Holdback (Y/N/R)]]="Release",CostTrack[[#This Row],[Value]],CostTrack[[#This Row],[Value]]+CostTrack[[#This Row],[Holdback Value]])</f>
        <v>372169.86</v>
      </c>
      <c r="I333" s="1312"/>
      <c r="J333" s="1312"/>
      <c r="K333" s="1313"/>
      <c r="L333" s="1325">
        <v>44635</v>
      </c>
      <c r="M333" s="1326">
        <v>44635</v>
      </c>
      <c r="N333" s="1327"/>
      <c r="O333" s="1328" t="s">
        <v>106</v>
      </c>
      <c r="P333" s="1308">
        <v>44636</v>
      </c>
      <c r="Q333" s="1314" t="str">
        <f ca="1">IF(CostTrack[[#This Row],[Vendor - Contract]]="","",INDEX(VendorList[PA ID],MATCH(CostTrack[[#This Row],[Vendor - Contract]],VendorList[Vendor / Org. with Contract ID],0)))</f>
        <v>200.010.F1</v>
      </c>
      <c r="R333" s="1314" t="str">
        <f ca="1">IF(CostTrack[[#This Row],[Vendor - Contract]]="","",INDEX(VendorList[Primary Category],MATCH(CostTrack[[#This Row],[Vendor - Contract]],VendorList[Vendor / Org. with Contract ID],0)))</f>
        <v>Professional Services</v>
      </c>
      <c r="S333" s="1314" t="str">
        <f ca="1">IF(CostTrack[[#This Row],[Vendor - Contract]]="","",INDEX(VendorList[Secondary Category],MATCH(CostTrack[[#This Row],[Vendor - Contract]],VendorList[Vendor / Org. with Contract ID],0)))</f>
        <v>Prime Consultant</v>
      </c>
      <c r="T333" s="1314" t="str">
        <f ca="1">IF(CostTrack[[#This Row],[Vendor - Contract]]="","",INDEX(VendorList[Phase / Subproject],MATCH(CostTrack[[#This Row],[Vendor - Contract]],VendorList[Vendor / Org. with Contract ID],0)))</f>
        <v>--</v>
      </c>
      <c r="U333" s="1314" t="str">
        <f ca="1">IF(CostTrack[[#This Row],[Vendor - Contract]]="","",INDEX(VendorList[Phase / Subproject 2],MATCH(CostTrack[[#This Row],[Vendor - Contract]],VendorList[Vendor / Org. with Contract ID],0)))</f>
        <v>--</v>
      </c>
      <c r="V333" s="1314" t="str">
        <f ca="1">IF(CostTrack[[#This Row],[Vendor - Contract]]="","",INDEX(VendorList[Funding Source],MATCH(CostTrack[[#This Row],[Vendor - Contract]],VendorList[Vendor / Org. with Contract ID],0)))</f>
        <v>P-002360</v>
      </c>
      <c r="W333" s="1308">
        <v>44651</v>
      </c>
      <c r="X333" s="1315" t="str">
        <f ca="1">IF(CostTrack[[#This Row],[Release Date (CMS)]]="","*","")</f>
        <v/>
      </c>
      <c r="Y333" s="1308" t="s">
        <v>50</v>
      </c>
      <c r="Z333" s="713" t="s">
        <v>1045</v>
      </c>
      <c r="AA333" s="1316">
        <f ca="1">IF(OR(CostTrack[[#This Row],[Release Date (CMS)]]&gt;=DATE(VALUE(REPLACE(CostTrack[[#This Row],[Fiscal Period]],3,3,"")),3,1),CostTrack[[#This Row],[Release Date (CMS)]]&lt;DATE(VALUE(LEFT(CostTrack[[#This Row],[Fiscal Period]],4)),4,1)),1,0)</f>
        <v>1</v>
      </c>
      <c r="AB333" s="1317">
        <v>372169.86</v>
      </c>
      <c r="AC333" s="1308">
        <v>44673</v>
      </c>
      <c r="AD333" s="402" t="str">
        <f ca="1">IF(CostTrack[[#This Row],[Reconciled Amount]]="","",IF(CostTrack[[#This Row],[Value]]&lt;&gt;CostTrack[[#This Row],[Reconciled Amount]],"Yes","No"))</f>
        <v>No</v>
      </c>
    </row>
    <row r="334" spans="2:30" ht="28.35" customHeight="1">
      <c r="B334" s="1324" t="s">
        <v>527</v>
      </c>
      <c r="C334" s="1312" t="s">
        <v>1046</v>
      </c>
      <c r="D334" s="1308">
        <v>44712</v>
      </c>
      <c r="E334" s="658">
        <v>372169.86</v>
      </c>
      <c r="F334" s="1309" t="s">
        <v>69</v>
      </c>
      <c r="G334" s="1310">
        <f ca="1">ROUND(IF(CostTrack[[#This Row],[Holdback (Y/N/R)]]="Yes",CostTrack[[#This Row],[Value]]*-0.1,IF(CostTrack[[#This Row],[Holdback (Y/N/R)]]="Release",CostTrack[[#This Row],[Value]],0)),2)</f>
        <v>0</v>
      </c>
      <c r="H334" s="1311">
        <f ca="1">IF(CostTrack[[#This Row],[Holdback (Y/N/R)]]="Release",CostTrack[[#This Row],[Value]],CostTrack[[#This Row],[Value]]+CostTrack[[#This Row],[Holdback Value]])</f>
        <v>372169.86</v>
      </c>
      <c r="I334" s="1312"/>
      <c r="J334" s="1312"/>
      <c r="K334" s="1313"/>
      <c r="L334" s="1325">
        <v>44659</v>
      </c>
      <c r="M334" s="1326">
        <v>44659</v>
      </c>
      <c r="N334" s="1327"/>
      <c r="O334" s="1328" t="s">
        <v>106</v>
      </c>
      <c r="P334" s="1308">
        <v>44659</v>
      </c>
      <c r="Q334" s="1314" t="str">
        <f ca="1">IF(CostTrack[[#This Row],[Vendor - Contract]]="","",INDEX(VendorList[PA ID],MATCH(CostTrack[[#This Row],[Vendor - Contract]],VendorList[Vendor / Org. with Contract ID],0)))</f>
        <v>200.010.F1</v>
      </c>
      <c r="R334" s="1314" t="str">
        <f ca="1">IF(CostTrack[[#This Row],[Vendor - Contract]]="","",INDEX(VendorList[Primary Category],MATCH(CostTrack[[#This Row],[Vendor - Contract]],VendorList[Vendor / Org. with Contract ID],0)))</f>
        <v>Professional Services</v>
      </c>
      <c r="S334" s="1314" t="str">
        <f ca="1">IF(CostTrack[[#This Row],[Vendor - Contract]]="","",INDEX(VendorList[Secondary Category],MATCH(CostTrack[[#This Row],[Vendor - Contract]],VendorList[Vendor / Org. with Contract ID],0)))</f>
        <v>Prime Consultant</v>
      </c>
      <c r="T334" s="1314" t="str">
        <f ca="1">IF(CostTrack[[#This Row],[Vendor - Contract]]="","",INDEX(VendorList[Phase / Subproject],MATCH(CostTrack[[#This Row],[Vendor - Contract]],VendorList[Vendor / Org. with Contract ID],0)))</f>
        <v>--</v>
      </c>
      <c r="U334" s="1314" t="str">
        <f ca="1">IF(CostTrack[[#This Row],[Vendor - Contract]]="","",INDEX(VendorList[Phase / Subproject 2],MATCH(CostTrack[[#This Row],[Vendor - Contract]],VendorList[Vendor / Org. with Contract ID],0)))</f>
        <v>--</v>
      </c>
      <c r="V334" s="1314" t="str">
        <f ca="1">IF(CostTrack[[#This Row],[Vendor - Contract]]="","",INDEX(VendorList[Funding Source],MATCH(CostTrack[[#This Row],[Vendor - Contract]],VendorList[Vendor / Org. with Contract ID],0)))</f>
        <v>P-002360</v>
      </c>
      <c r="W334" s="1308">
        <v>44672</v>
      </c>
      <c r="X334" s="1315" t="str">
        <f ca="1">IF(CostTrack[[#This Row],[Release Date (CMS)]]="","*","")</f>
        <v/>
      </c>
      <c r="Y334" s="1308" t="s">
        <v>53</v>
      </c>
      <c r="Z334" s="652" t="s">
        <v>1047</v>
      </c>
      <c r="AA334" s="1316">
        <f ca="1">IF(OR(CostTrack[[#This Row],[Release Date (CMS)]]&gt;=DATE(VALUE(REPLACE(CostTrack[[#This Row],[Fiscal Period]],3,3,"")),3,1),CostTrack[[#This Row],[Release Date (CMS)]]&lt;DATE(VALUE(LEFT(CostTrack[[#This Row],[Fiscal Period]],4)),4,1)),1,0)</f>
        <v>0</v>
      </c>
      <c r="AB334" s="1317">
        <v>372169.86</v>
      </c>
      <c r="AC334" s="1308">
        <v>44673</v>
      </c>
      <c r="AD334" s="402" t="str">
        <f ca="1">IF(CostTrack[[#This Row],[Reconciled Amount]]="","",IF(CostTrack[[#This Row],[Value]]&lt;&gt;CostTrack[[#This Row],[Reconciled Amount]],"Yes","No"))</f>
        <v>No</v>
      </c>
    </row>
    <row r="335" spans="2:30" ht="58.5" customHeight="1">
      <c r="B335" s="1324" t="s">
        <v>527</v>
      </c>
      <c r="C335" s="1312" t="s">
        <v>1044</v>
      </c>
      <c r="D335" s="1308">
        <v>44712</v>
      </c>
      <c r="E335" s="658">
        <v>-372169.86</v>
      </c>
      <c r="F335" s="1309" t="s">
        <v>69</v>
      </c>
      <c r="G335" s="1310">
        <f ca="1">ROUND(IF(CostTrack[[#This Row],[Holdback (Y/N/R)]]="Yes",CostTrack[[#This Row],[Value]]*-0.1,IF(CostTrack[[#This Row],[Holdback (Y/N/R)]]="Release",CostTrack[[#This Row],[Value]],0)),2)</f>
        <v>0</v>
      </c>
      <c r="H335" s="1311">
        <f ca="1">IF(CostTrack[[#This Row],[Holdback (Y/N/R)]]="Release",CostTrack[[#This Row],[Value]],CostTrack[[#This Row],[Value]]+CostTrack[[#This Row],[Holdback Value]])</f>
        <v>-372169.86</v>
      </c>
      <c r="I335" s="1312"/>
      <c r="J335" s="1312"/>
      <c r="K335" s="1313"/>
      <c r="L335" s="1325">
        <v>44659</v>
      </c>
      <c r="M335" s="1326">
        <v>44659</v>
      </c>
      <c r="N335" s="1327"/>
      <c r="O335" s="1328" t="s">
        <v>106</v>
      </c>
      <c r="P335" s="1308">
        <v>44659</v>
      </c>
      <c r="Q335" s="1314" t="str">
        <f ca="1">IF(CostTrack[[#This Row],[Vendor - Contract]]="","",INDEX(VendorList[PA ID],MATCH(CostTrack[[#This Row],[Vendor - Contract]],VendorList[Vendor / Org. with Contract ID],0)))</f>
        <v>200.010.F1</v>
      </c>
      <c r="R335" s="1314" t="str">
        <f ca="1">IF(CostTrack[[#This Row],[Vendor - Contract]]="","",INDEX(VendorList[Primary Category],MATCH(CostTrack[[#This Row],[Vendor - Contract]],VendorList[Vendor / Org. with Contract ID],0)))</f>
        <v>Professional Services</v>
      </c>
      <c r="S335" s="1314" t="str">
        <f ca="1">IF(CostTrack[[#This Row],[Vendor - Contract]]="","",INDEX(VendorList[Secondary Category],MATCH(CostTrack[[#This Row],[Vendor - Contract]],VendorList[Vendor / Org. with Contract ID],0)))</f>
        <v>Prime Consultant</v>
      </c>
      <c r="T335" s="1314" t="str">
        <f ca="1">IF(CostTrack[[#This Row],[Vendor - Contract]]="","",INDEX(VendorList[Phase / Subproject],MATCH(CostTrack[[#This Row],[Vendor - Contract]],VendorList[Vendor / Org. with Contract ID],0)))</f>
        <v>--</v>
      </c>
      <c r="U335" s="1314" t="str">
        <f ca="1">IF(CostTrack[[#This Row],[Vendor - Contract]]="","",INDEX(VendorList[Phase / Subproject 2],MATCH(CostTrack[[#This Row],[Vendor - Contract]],VendorList[Vendor / Org. with Contract ID],0)))</f>
        <v>--</v>
      </c>
      <c r="V335" s="1314" t="str">
        <f ca="1">IF(CostTrack[[#This Row],[Vendor - Contract]]="","",INDEX(VendorList[Funding Source],MATCH(CostTrack[[#This Row],[Vendor - Contract]],VendorList[Vendor / Org. with Contract ID],0)))</f>
        <v>P-002360</v>
      </c>
      <c r="W335" s="1308">
        <v>44672</v>
      </c>
      <c r="X335" s="1315" t="str">
        <f ca="1">IF(CostTrack[[#This Row],[Release Date (CMS)]]="","*","")</f>
        <v/>
      </c>
      <c r="Y335" s="1308" t="s">
        <v>53</v>
      </c>
      <c r="Z335" s="652" t="s">
        <v>1048</v>
      </c>
      <c r="AA335" s="1316">
        <f ca="1">IF(OR(CostTrack[[#This Row],[Release Date (CMS)]]&gt;=DATE(VALUE(REPLACE(CostTrack[[#This Row],[Fiscal Period]],3,3,"")),3,1),CostTrack[[#This Row],[Release Date (CMS)]]&lt;DATE(VALUE(LEFT(CostTrack[[#This Row],[Fiscal Period]],4)),4,1)),1,0)</f>
        <v>0</v>
      </c>
      <c r="AB335" s="1317">
        <v>-372169.86</v>
      </c>
      <c r="AC335" s="1308">
        <v>44673</v>
      </c>
      <c r="AD335" s="402" t="str">
        <f ca="1">IF(CostTrack[[#This Row],[Reconciled Amount]]="","",IF(CostTrack[[#This Row],[Value]]&lt;&gt;CostTrack[[#This Row],[Reconciled Amount]],"Yes","No"))</f>
        <v>No</v>
      </c>
    </row>
    <row r="336" spans="2:30" ht="27" customHeight="1">
      <c r="B336" s="1324" t="s">
        <v>528</v>
      </c>
      <c r="C336" s="650" t="s">
        <v>1049</v>
      </c>
      <c r="D336" s="1308">
        <v>44651</v>
      </c>
      <c r="E336" s="658">
        <v>13834</v>
      </c>
      <c r="F336" s="1309" t="s">
        <v>69</v>
      </c>
      <c r="G336" s="1310">
        <f ca="1">ROUND(IF(CostTrack[[#This Row],[Holdback (Y/N/R)]]="Yes",CostTrack[[#This Row],[Value]]*-0.1,IF(CostTrack[[#This Row],[Holdback (Y/N/R)]]="Release",CostTrack[[#This Row],[Value]],0)),2)</f>
        <v>0</v>
      </c>
      <c r="H336" s="1311">
        <f ca="1">IF(CostTrack[[#This Row],[Holdback (Y/N/R)]]="Release",CostTrack[[#This Row],[Value]],CostTrack[[#This Row],[Value]]+CostTrack[[#This Row],[Holdback Value]])</f>
        <v>13834</v>
      </c>
      <c r="I336" s="1312"/>
      <c r="J336" s="1312"/>
      <c r="K336" s="1313"/>
      <c r="L336" s="1325">
        <v>44608</v>
      </c>
      <c r="M336" s="1326">
        <v>44608</v>
      </c>
      <c r="N336" s="1327"/>
      <c r="O336" s="1328" t="s">
        <v>106</v>
      </c>
      <c r="P336" s="1308">
        <v>44635</v>
      </c>
      <c r="Q336" s="1314" t="str">
        <f ca="1">IF(CostTrack[[#This Row],[Vendor - Contract]]="","",INDEX(VendorList[PA ID],MATCH(CostTrack[[#This Row],[Vendor - Contract]],VendorList[Vendor / Org. with Contract ID],0)))</f>
        <v>200.050.F1</v>
      </c>
      <c r="R336" s="1314" t="str">
        <f ca="1">IF(CostTrack[[#This Row],[Vendor - Contract]]="","",INDEX(VendorList[Primary Category],MATCH(CostTrack[[#This Row],[Vendor - Contract]],VendorList[Vendor / Org. with Contract ID],0)))</f>
        <v>Professional Services</v>
      </c>
      <c r="S336" s="1314" t="str">
        <f ca="1">IF(CostTrack[[#This Row],[Vendor - Contract]]="","",INDEX(VendorList[Secondary Category],MATCH(CostTrack[[#This Row],[Vendor - Contract]],VendorList[Vendor / Org. with Contract ID],0)))</f>
        <v>Other Professional Services</v>
      </c>
      <c r="T336" s="1314" t="str">
        <f ca="1">IF(CostTrack[[#This Row],[Vendor - Contract]]="","",INDEX(VendorList[Phase / Subproject],MATCH(CostTrack[[#This Row],[Vendor - Contract]],VendorList[Vendor / Org. with Contract ID],0)))</f>
        <v>--</v>
      </c>
      <c r="U336" s="1314" t="str">
        <f ca="1">IF(CostTrack[[#This Row],[Vendor - Contract]]="","",INDEX(VendorList[Phase / Subproject 2],MATCH(CostTrack[[#This Row],[Vendor - Contract]],VendorList[Vendor / Org. with Contract ID],0)))</f>
        <v>--</v>
      </c>
      <c r="V336" s="1314" t="str">
        <f ca="1">IF(CostTrack[[#This Row],[Vendor - Contract]]="","",INDEX(VendorList[Funding Source],MATCH(CostTrack[[#This Row],[Vendor - Contract]],VendorList[Vendor / Org. with Contract ID],0)))</f>
        <v>P-002360</v>
      </c>
      <c r="W336" s="1308">
        <v>44645</v>
      </c>
      <c r="X336" s="1315" t="str">
        <f ca="1">IF(CostTrack[[#This Row],[Release Date (CMS)]]="","*","")</f>
        <v/>
      </c>
      <c r="Y336" s="1308" t="s">
        <v>50</v>
      </c>
      <c r="Z336" s="713" t="s">
        <v>1050</v>
      </c>
      <c r="AA336" s="1316">
        <f ca="1">IF(OR(CostTrack[[#This Row],[Release Date (CMS)]]&gt;=DATE(VALUE(REPLACE(CostTrack[[#This Row],[Fiscal Period]],3,3,"")),3,1),CostTrack[[#This Row],[Release Date (CMS)]]&lt;DATE(VALUE(LEFT(CostTrack[[#This Row],[Fiscal Period]],4)),4,1)),1,0)</f>
        <v>1</v>
      </c>
      <c r="AB336" s="1317">
        <v>13834</v>
      </c>
      <c r="AC336" s="1308">
        <v>44686</v>
      </c>
      <c r="AD336" s="402" t="str">
        <f ca="1">IF(CostTrack[[#This Row],[Reconciled Amount]]="","",IF(CostTrack[[#This Row],[Value]]&lt;&gt;CostTrack[[#This Row],[Reconciled Amount]],"Yes","No"))</f>
        <v>No</v>
      </c>
    </row>
    <row r="337" spans="2:30" ht="65.099999999999994" customHeight="1">
      <c r="B337" s="1324" t="s">
        <v>528</v>
      </c>
      <c r="C337" s="1312" t="s">
        <v>1051</v>
      </c>
      <c r="D337" s="1308">
        <v>44671</v>
      </c>
      <c r="E337" s="658">
        <v>13834</v>
      </c>
      <c r="F337" s="1309" t="s">
        <v>69</v>
      </c>
      <c r="G337" s="1310">
        <f ca="1">ROUND(IF(CostTrack[[#This Row],[Holdback (Y/N/R)]]="Yes",CostTrack[[#This Row],[Value]]*-0.1,IF(CostTrack[[#This Row],[Holdback (Y/N/R)]]="Release",CostTrack[[#This Row],[Value]],0)),2)</f>
        <v>0</v>
      </c>
      <c r="H337" s="1311">
        <f ca="1">IF(CostTrack[[#This Row],[Holdback (Y/N/R)]]="Release",CostTrack[[#This Row],[Value]],CostTrack[[#This Row],[Value]]+CostTrack[[#This Row],[Holdback Value]])</f>
        <v>13834</v>
      </c>
      <c r="I337" s="1312"/>
      <c r="J337" s="1312"/>
      <c r="K337" s="1313"/>
      <c r="L337" s="1325">
        <v>44683</v>
      </c>
      <c r="M337" s="1326">
        <v>44683</v>
      </c>
      <c r="N337" s="1327"/>
      <c r="O337" s="1328" t="s">
        <v>106</v>
      </c>
      <c r="P337" s="1308">
        <v>44683</v>
      </c>
      <c r="Q337" s="1314" t="str">
        <f ca="1">IF(CostTrack[[#This Row],[Vendor - Contract]]="","",INDEX(VendorList[PA ID],MATCH(CostTrack[[#This Row],[Vendor - Contract]],VendorList[Vendor / Org. with Contract ID],0)))</f>
        <v>200.050.F1</v>
      </c>
      <c r="R337" s="1314" t="str">
        <f ca="1">IF(CostTrack[[#This Row],[Vendor - Contract]]="","",INDEX(VendorList[Primary Category],MATCH(CostTrack[[#This Row],[Vendor - Contract]],VendorList[Vendor / Org. with Contract ID],0)))</f>
        <v>Professional Services</v>
      </c>
      <c r="S337" s="1314" t="str">
        <f ca="1">IF(CostTrack[[#This Row],[Vendor - Contract]]="","",INDEX(VendorList[Secondary Category],MATCH(CostTrack[[#This Row],[Vendor - Contract]],VendorList[Vendor / Org. with Contract ID],0)))</f>
        <v>Other Professional Services</v>
      </c>
      <c r="T337" s="1314" t="str">
        <f ca="1">IF(CostTrack[[#This Row],[Vendor - Contract]]="","",INDEX(VendorList[Phase / Subproject],MATCH(CostTrack[[#This Row],[Vendor - Contract]],VendorList[Vendor / Org. with Contract ID],0)))</f>
        <v>--</v>
      </c>
      <c r="U337" s="1314" t="str">
        <f ca="1">IF(CostTrack[[#This Row],[Vendor - Contract]]="","",INDEX(VendorList[Phase / Subproject 2],MATCH(CostTrack[[#This Row],[Vendor - Contract]],VendorList[Vendor / Org. with Contract ID],0)))</f>
        <v>--</v>
      </c>
      <c r="V337" s="1314" t="str">
        <f ca="1">IF(CostTrack[[#This Row],[Vendor - Contract]]="","",INDEX(VendorList[Funding Source],MATCH(CostTrack[[#This Row],[Vendor - Contract]],VendorList[Vendor / Org. with Contract ID],0)))</f>
        <v>P-002360</v>
      </c>
      <c r="W337" s="1308">
        <v>44684</v>
      </c>
      <c r="X337" s="1315" t="str">
        <f ca="1">IF(CostTrack[[#This Row],[Release Date (CMS)]]="","*","")</f>
        <v/>
      </c>
      <c r="Y337" s="1308" t="s">
        <v>53</v>
      </c>
      <c r="Z337" s="713" t="s">
        <v>1052</v>
      </c>
      <c r="AA337" s="1316">
        <f ca="1">IF(OR(CostTrack[[#This Row],[Release Date (CMS)]]&gt;=DATE(VALUE(REPLACE(CostTrack[[#This Row],[Fiscal Period]],3,3,"")),3,1),CostTrack[[#This Row],[Release Date (CMS)]]&lt;DATE(VALUE(LEFT(CostTrack[[#This Row],[Fiscal Period]],4)),4,1)),1,0)</f>
        <v>0</v>
      </c>
      <c r="AB337" s="1317">
        <v>13834</v>
      </c>
      <c r="AC337" s="1308">
        <v>44686</v>
      </c>
      <c r="AD337" s="402" t="str">
        <f ca="1">IF(CostTrack[[#This Row],[Reconciled Amount]]="","",IF(CostTrack[[#This Row],[Value]]&lt;&gt;CostTrack[[#This Row],[Reconciled Amount]],"Yes","No"))</f>
        <v>No</v>
      </c>
    </row>
    <row r="338" spans="2:30" ht="43.5" customHeight="1">
      <c r="B338" s="1324" t="s">
        <v>528</v>
      </c>
      <c r="C338" s="650" t="s">
        <v>1049</v>
      </c>
      <c r="D338" s="1308">
        <v>44671</v>
      </c>
      <c r="E338" s="658">
        <v>-13834</v>
      </c>
      <c r="F338" s="1309" t="s">
        <v>69</v>
      </c>
      <c r="G338" s="1310">
        <f ca="1">ROUND(IF(CostTrack[[#This Row],[Holdback (Y/N/R)]]="Yes",CostTrack[[#This Row],[Value]]*-0.1,IF(CostTrack[[#This Row],[Holdback (Y/N/R)]]="Release",CostTrack[[#This Row],[Value]],0)),2)</f>
        <v>0</v>
      </c>
      <c r="H338" s="1311">
        <f ca="1">IF(CostTrack[[#This Row],[Holdback (Y/N/R)]]="Release",CostTrack[[#This Row],[Value]],CostTrack[[#This Row],[Value]]+CostTrack[[#This Row],[Holdback Value]])</f>
        <v>-13834</v>
      </c>
      <c r="I338" s="1312"/>
      <c r="J338" s="1312"/>
      <c r="K338" s="1313"/>
      <c r="L338" s="1325">
        <v>44683</v>
      </c>
      <c r="M338" s="1326">
        <v>44683</v>
      </c>
      <c r="N338" s="1327"/>
      <c r="O338" s="1328" t="s">
        <v>106</v>
      </c>
      <c r="P338" s="1308">
        <v>44683</v>
      </c>
      <c r="Q338" s="1314" t="str">
        <f ca="1">IF(CostTrack[[#This Row],[Vendor - Contract]]="","",INDEX(VendorList[PA ID],MATCH(CostTrack[[#This Row],[Vendor - Contract]],VendorList[Vendor / Org. with Contract ID],0)))</f>
        <v>200.050.F1</v>
      </c>
      <c r="R338" s="1314" t="str">
        <f ca="1">IF(CostTrack[[#This Row],[Vendor - Contract]]="","",INDEX(VendorList[Primary Category],MATCH(CostTrack[[#This Row],[Vendor - Contract]],VendorList[Vendor / Org. with Contract ID],0)))</f>
        <v>Professional Services</v>
      </c>
      <c r="S338" s="1314" t="str">
        <f ca="1">IF(CostTrack[[#This Row],[Vendor - Contract]]="","",INDEX(VendorList[Secondary Category],MATCH(CostTrack[[#This Row],[Vendor - Contract]],VendorList[Vendor / Org. with Contract ID],0)))</f>
        <v>Other Professional Services</v>
      </c>
      <c r="T338" s="1314" t="str">
        <f ca="1">IF(CostTrack[[#This Row],[Vendor - Contract]]="","",INDEX(VendorList[Phase / Subproject],MATCH(CostTrack[[#This Row],[Vendor - Contract]],VendorList[Vendor / Org. with Contract ID],0)))</f>
        <v>--</v>
      </c>
      <c r="U338" s="1314" t="str">
        <f ca="1">IF(CostTrack[[#This Row],[Vendor - Contract]]="","",INDEX(VendorList[Phase / Subproject 2],MATCH(CostTrack[[#This Row],[Vendor - Contract]],VendorList[Vendor / Org. with Contract ID],0)))</f>
        <v>--</v>
      </c>
      <c r="V338" s="1314" t="str">
        <f ca="1">IF(CostTrack[[#This Row],[Vendor - Contract]]="","",INDEX(VendorList[Funding Source],MATCH(CostTrack[[#This Row],[Vendor - Contract]],VendorList[Vendor / Org. with Contract ID],0)))</f>
        <v>P-002360</v>
      </c>
      <c r="W338" s="1308">
        <v>44684</v>
      </c>
      <c r="X338" s="1315" t="str">
        <f ca="1">IF(CostTrack[[#This Row],[Release Date (CMS)]]="","*","")</f>
        <v/>
      </c>
      <c r="Y338" s="1308" t="s">
        <v>53</v>
      </c>
      <c r="Z338" s="713" t="s">
        <v>1053</v>
      </c>
      <c r="AA338" s="1316">
        <f ca="1">IF(OR(CostTrack[[#This Row],[Release Date (CMS)]]&gt;=DATE(VALUE(REPLACE(CostTrack[[#This Row],[Fiscal Period]],3,3,"")),3,1),CostTrack[[#This Row],[Release Date (CMS)]]&lt;DATE(VALUE(LEFT(CostTrack[[#This Row],[Fiscal Period]],4)),4,1)),1,0)</f>
        <v>0</v>
      </c>
      <c r="AB338" s="1317">
        <v>-13834</v>
      </c>
      <c r="AC338" s="1308">
        <v>44686</v>
      </c>
      <c r="AD338" s="402" t="str">
        <f ca="1">IF(CostTrack[[#This Row],[Reconciled Amount]]="","",IF(CostTrack[[#This Row],[Value]]&lt;&gt;CostTrack[[#This Row],[Reconciled Amount]],"Yes","No"))</f>
        <v>No</v>
      </c>
    </row>
    <row r="339" spans="2:30" ht="54" customHeight="1">
      <c r="B339" s="1324" t="s">
        <v>528</v>
      </c>
      <c r="C339" s="1312">
        <v>60753656</v>
      </c>
      <c r="D339" s="1308">
        <v>44671</v>
      </c>
      <c r="E339" s="658">
        <v>445.75</v>
      </c>
      <c r="F339" s="1309" t="s">
        <v>69</v>
      </c>
      <c r="G339" s="1310">
        <f ca="1">ROUND(IF(CostTrack[[#This Row],[Holdback (Y/N/R)]]="Yes",CostTrack[[#This Row],[Value]]*-0.1,IF(CostTrack[[#This Row],[Holdback (Y/N/R)]]="Release",CostTrack[[#This Row],[Value]],0)),2)</f>
        <v>0</v>
      </c>
      <c r="H339" s="1311">
        <f ca="1">IF(CostTrack[[#This Row],[Holdback (Y/N/R)]]="Release",CostTrack[[#This Row],[Value]],CostTrack[[#This Row],[Value]]+CostTrack[[#This Row],[Holdback Value]])</f>
        <v>445.75</v>
      </c>
      <c r="I339" s="1312"/>
      <c r="J339" s="1312"/>
      <c r="K339" s="1313"/>
      <c r="L339" s="1325">
        <v>44683</v>
      </c>
      <c r="M339" s="1326">
        <v>44683</v>
      </c>
      <c r="N339" s="1327"/>
      <c r="O339" s="1328" t="s">
        <v>106</v>
      </c>
      <c r="P339" s="1308">
        <v>44683</v>
      </c>
      <c r="Q339" s="1314" t="str">
        <f ca="1">IF(CostTrack[[#This Row],[Vendor - Contract]]="","",INDEX(VendorList[PA ID],MATCH(CostTrack[[#This Row],[Vendor - Contract]],VendorList[Vendor / Org. with Contract ID],0)))</f>
        <v>200.050.F1</v>
      </c>
      <c r="R339" s="1314" t="str">
        <f ca="1">IF(CostTrack[[#This Row],[Vendor - Contract]]="","",INDEX(VendorList[Primary Category],MATCH(CostTrack[[#This Row],[Vendor - Contract]],VendorList[Vendor / Org. with Contract ID],0)))</f>
        <v>Professional Services</v>
      </c>
      <c r="S339" s="1314" t="str">
        <f ca="1">IF(CostTrack[[#This Row],[Vendor - Contract]]="","",INDEX(VendorList[Secondary Category],MATCH(CostTrack[[#This Row],[Vendor - Contract]],VendorList[Vendor / Org. with Contract ID],0)))</f>
        <v>Other Professional Services</v>
      </c>
      <c r="T339" s="1314" t="str">
        <f ca="1">IF(CostTrack[[#This Row],[Vendor - Contract]]="","",INDEX(VendorList[Phase / Subproject],MATCH(CostTrack[[#This Row],[Vendor - Contract]],VendorList[Vendor / Org. with Contract ID],0)))</f>
        <v>--</v>
      </c>
      <c r="U339" s="1314" t="str">
        <f ca="1">IF(CostTrack[[#This Row],[Vendor - Contract]]="","",INDEX(VendorList[Phase / Subproject 2],MATCH(CostTrack[[#This Row],[Vendor - Contract]],VendorList[Vendor / Org. with Contract ID],0)))</f>
        <v>--</v>
      </c>
      <c r="V339" s="1314" t="str">
        <f ca="1">IF(CostTrack[[#This Row],[Vendor - Contract]]="","",INDEX(VendorList[Funding Source],MATCH(CostTrack[[#This Row],[Vendor - Contract]],VendorList[Vendor / Org. with Contract ID],0)))</f>
        <v>P-002360</v>
      </c>
      <c r="W339" s="1308">
        <v>44683</v>
      </c>
      <c r="X339" s="1315" t="str">
        <f ca="1">IF(CostTrack[[#This Row],[Release Date (CMS)]]="","*","")</f>
        <v/>
      </c>
      <c r="Y339" s="1308" t="s">
        <v>53</v>
      </c>
      <c r="Z339" s="713" t="s">
        <v>1054</v>
      </c>
      <c r="AA339" s="1316">
        <f ca="1">IF(OR(CostTrack[[#This Row],[Release Date (CMS)]]&gt;=DATE(VALUE(REPLACE(CostTrack[[#This Row],[Fiscal Period]],3,3,"")),3,1),CostTrack[[#This Row],[Release Date (CMS)]]&lt;DATE(VALUE(LEFT(CostTrack[[#This Row],[Fiscal Period]],4)),4,1)),1,0)</f>
        <v>0</v>
      </c>
      <c r="AB339" s="1317">
        <v>445.75</v>
      </c>
      <c r="AC339" s="1308">
        <v>44686</v>
      </c>
      <c r="AD339" s="402" t="str">
        <f ca="1">IF(CostTrack[[#This Row],[Reconciled Amount]]="","",IF(CostTrack[[#This Row],[Value]]&lt;&gt;CostTrack[[#This Row],[Reconciled Amount]],"Yes","No"))</f>
        <v>No</v>
      </c>
    </row>
    <row r="340" spans="2:30" ht="45.75" customHeight="1">
      <c r="B340" s="706" t="s">
        <v>754</v>
      </c>
      <c r="C340" s="650">
        <v>800074434</v>
      </c>
      <c r="D340" s="267">
        <v>44643</v>
      </c>
      <c r="E340" s="654">
        <v>39.57</v>
      </c>
      <c r="F340" s="647" t="s">
        <v>69</v>
      </c>
      <c r="G340" s="406">
        <f ca="1">ROUND(IF(CostTrack[[#This Row],[Holdback (Y/N/R)]]="Yes",CostTrack[[#This Row],[Value]]*-0.1,IF(CostTrack[[#This Row],[Holdback (Y/N/R)]]="Release",CostTrack[[#This Row],[Value]],0)),2)</f>
        <v>0</v>
      </c>
      <c r="H340" s="407">
        <f ca="1">IF(CostTrack[[#This Row],[Holdback (Y/N/R)]]="Release",CostTrack[[#This Row],[Value]],CostTrack[[#This Row],[Value]]+CostTrack[[#This Row],[Holdback Value]])</f>
        <v>39.57</v>
      </c>
      <c r="I340" s="650"/>
      <c r="J340" s="650"/>
      <c r="K340" s="648"/>
      <c r="L340" s="707">
        <v>44644</v>
      </c>
      <c r="M340" s="708">
        <v>44644</v>
      </c>
      <c r="N340" s="709"/>
      <c r="O340" s="712" t="s">
        <v>106</v>
      </c>
      <c r="P340" s="267">
        <v>44644</v>
      </c>
      <c r="Q340" s="243" t="str">
        <f ca="1">IF(CostTrack[[#This Row],[Vendor - Contract]]="","",INDEX(VendorList[PA ID],MATCH(CostTrack[[#This Row],[Vendor - Contract]],VendorList[Vendor / Org. with Contract ID],0)))</f>
        <v>100.050.F1</v>
      </c>
      <c r="R340" s="243" t="str">
        <f ca="1">IF(CostTrack[[#This Row],[Vendor - Contract]]="","",INDEX(VendorList[Primary Category],MATCH(CostTrack[[#This Row],[Vendor - Contract]],VendorList[Vendor / Org. with Contract ID],0)))</f>
        <v>Administration</v>
      </c>
      <c r="S340" s="243" t="str">
        <f ca="1">IF(CostTrack[[#This Row],[Vendor - Contract]]="","",INDEX(VendorList[Secondary Category],MATCH(CostTrack[[#This Row],[Vendor - Contract]],VendorList[Vendor / Org. with Contract ID],0)))</f>
        <v>Other Administration</v>
      </c>
      <c r="T340" s="243" t="str">
        <f ca="1">IF(CostTrack[[#This Row],[Vendor - Contract]]="","",INDEX(VendorList[Phase / Subproject],MATCH(CostTrack[[#This Row],[Vendor - Contract]],VendorList[Vendor / Org. with Contract ID],0)))</f>
        <v>--</v>
      </c>
      <c r="U340" s="243" t="str">
        <f ca="1">IF(CostTrack[[#This Row],[Vendor - Contract]]="","",INDEX(VendorList[Phase / Subproject 2],MATCH(CostTrack[[#This Row],[Vendor - Contract]],VendorList[Vendor / Org. with Contract ID],0)))</f>
        <v>--</v>
      </c>
      <c r="V340" s="243" t="str">
        <f ca="1">IF(CostTrack[[#This Row],[Vendor - Contract]]="","",INDEX(VendorList[Funding Source],MATCH(CostTrack[[#This Row],[Vendor - Contract]],VendorList[Vendor / Org. with Contract ID],0)))</f>
        <v>P-002360</v>
      </c>
      <c r="W340" s="267">
        <v>44644</v>
      </c>
      <c r="X340" s="251" t="str">
        <f ca="1">IF(CostTrack[[#This Row],[Release Date (CMS)]]="","*","")</f>
        <v/>
      </c>
      <c r="Y340" s="267" t="s">
        <v>50</v>
      </c>
      <c r="Z340" s="652" t="s">
        <v>1055</v>
      </c>
      <c r="AA340" s="245">
        <f ca="1">IF(OR(CostTrack[[#This Row],[Release Date (CMS)]]&gt;=DATE(VALUE(REPLACE(CostTrack[[#This Row],[Fiscal Period]],3,3,"")),3,1),CostTrack[[#This Row],[Release Date (CMS)]]&lt;DATE(VALUE(LEFT(CostTrack[[#This Row],[Fiscal Period]],4)),4,1)),1,0)</f>
        <v>1</v>
      </c>
      <c r="AB340" s="655">
        <v>39.57</v>
      </c>
      <c r="AC340" s="267">
        <v>44673</v>
      </c>
      <c r="AD340" s="402" t="str">
        <f ca="1">IF(CostTrack[[#This Row],[Reconciled Amount]]="","",IF(CostTrack[[#This Row],[Value]]&lt;&gt;CostTrack[[#This Row],[Reconciled Amount]],"Yes","No"))</f>
        <v>No</v>
      </c>
    </row>
    <row r="341" spans="2:30" ht="39.6" customHeight="1">
      <c r="B341" s="706" t="s">
        <v>666</v>
      </c>
      <c r="C341" s="650" t="s">
        <v>1056</v>
      </c>
      <c r="D341" s="267">
        <v>44645</v>
      </c>
      <c r="E341" s="654">
        <v>11835.5</v>
      </c>
      <c r="F341" s="647" t="s">
        <v>69</v>
      </c>
      <c r="G341" s="406">
        <f ca="1">ROUND(IF(CostTrack[[#This Row],[Holdback (Y/N/R)]]="Yes",CostTrack[[#This Row],[Value]]*-0.1,IF(CostTrack[[#This Row],[Holdback (Y/N/R)]]="Release",CostTrack[[#This Row],[Value]],0)),2)</f>
        <v>0</v>
      </c>
      <c r="H341" s="407">
        <f ca="1">IF(CostTrack[[#This Row],[Holdback (Y/N/R)]]="Release",CostTrack[[#This Row],[Value]],CostTrack[[#This Row],[Value]]+CostTrack[[#This Row],[Holdback Value]])</f>
        <v>11835.5</v>
      </c>
      <c r="I341" s="650"/>
      <c r="J341" s="650"/>
      <c r="K341" s="648"/>
      <c r="L341" s="707" t="s">
        <v>1057</v>
      </c>
      <c r="M341" s="708">
        <v>44645</v>
      </c>
      <c r="N341" s="709"/>
      <c r="O341" s="712" t="s">
        <v>106</v>
      </c>
      <c r="P341" s="267">
        <v>44645</v>
      </c>
      <c r="Q341" s="243" t="str">
        <f ca="1">IF(CostTrack[[#This Row],[Vendor - Contract]]="","",INDEX(VendorList[PA ID],MATCH(CostTrack[[#This Row],[Vendor - Contract]],VendorList[Vendor / Org. with Contract ID],0)))</f>
        <v>200.050.F1</v>
      </c>
      <c r="R341" s="243" t="str">
        <f ca="1">IF(CostTrack[[#This Row],[Vendor - Contract]]="","",INDEX(VendorList[Primary Category],MATCH(CostTrack[[#This Row],[Vendor - Contract]],VendorList[Vendor / Org. with Contract ID],0)))</f>
        <v>Professional Services</v>
      </c>
      <c r="S341" s="243" t="str">
        <f ca="1">IF(CostTrack[[#This Row],[Vendor - Contract]]="","",INDEX(VendorList[Secondary Category],MATCH(CostTrack[[#This Row],[Vendor - Contract]],VendorList[Vendor / Org. with Contract ID],0)))</f>
        <v>Other Professional Services</v>
      </c>
      <c r="T341" s="243" t="str">
        <f ca="1">IF(CostTrack[[#This Row],[Vendor - Contract]]="","",INDEX(VendorList[Phase / Subproject],MATCH(CostTrack[[#This Row],[Vendor - Contract]],VendorList[Vendor / Org. with Contract ID],0)))</f>
        <v>--</v>
      </c>
      <c r="U341" s="243" t="str">
        <f ca="1">IF(CostTrack[[#This Row],[Vendor - Contract]]="","",INDEX(VendorList[Phase / Subproject 2],MATCH(CostTrack[[#This Row],[Vendor - Contract]],VendorList[Vendor / Org. with Contract ID],0)))</f>
        <v>--</v>
      </c>
      <c r="V341" s="243" t="str">
        <f ca="1">IF(CostTrack[[#This Row],[Vendor - Contract]]="","",INDEX(VendorList[Funding Source],MATCH(CostTrack[[#This Row],[Vendor - Contract]],VendorList[Vendor / Org. with Contract ID],0)))</f>
        <v>P-002360</v>
      </c>
      <c r="W341" s="267">
        <v>44645</v>
      </c>
      <c r="X341" s="251" t="str">
        <f ca="1">IF(CostTrack[[#This Row],[Release Date (CMS)]]="","*","")</f>
        <v/>
      </c>
      <c r="Y341" s="267" t="s">
        <v>50</v>
      </c>
      <c r="Z341" s="652" t="s">
        <v>1058</v>
      </c>
      <c r="AA341" s="245">
        <f ca="1">IF(OR(CostTrack[[#This Row],[Release Date (CMS)]]&gt;=DATE(VALUE(REPLACE(CostTrack[[#This Row],[Fiscal Period]],3,3,"")),3,1),CostTrack[[#This Row],[Release Date (CMS)]]&lt;DATE(VALUE(LEFT(CostTrack[[#This Row],[Fiscal Period]],4)),4,1)),1,0)</f>
        <v>1</v>
      </c>
      <c r="AB341" s="655">
        <v>11835.5</v>
      </c>
      <c r="AC341" s="267">
        <v>44706</v>
      </c>
      <c r="AD341" s="402" t="str">
        <f ca="1">IF(CostTrack[[#This Row],[Reconciled Amount]]="","",IF(CostTrack[[#This Row],[Value]]&lt;&gt;CostTrack[[#This Row],[Reconciled Amount]],"Yes","No"))</f>
        <v>No</v>
      </c>
    </row>
    <row r="342" spans="2:30" ht="39.6" customHeight="1">
      <c r="B342" s="1324" t="s">
        <v>666</v>
      </c>
      <c r="C342" s="1312">
        <v>418853</v>
      </c>
      <c r="D342" s="1308">
        <v>44651</v>
      </c>
      <c r="E342" s="658">
        <v>10572.5</v>
      </c>
      <c r="F342" s="1309" t="s">
        <v>69</v>
      </c>
      <c r="G342" s="1310">
        <f ca="1">ROUND(IF(CostTrack[[#This Row],[Holdback (Y/N/R)]]="Yes",CostTrack[[#This Row],[Value]]*-0.1,IF(CostTrack[[#This Row],[Holdback (Y/N/R)]]="Release",CostTrack[[#This Row],[Value]],0)),2)</f>
        <v>0</v>
      </c>
      <c r="H342" s="1311">
        <f ca="1">IF(CostTrack[[#This Row],[Holdback (Y/N/R)]]="Release",CostTrack[[#This Row],[Value]],CostTrack[[#This Row],[Value]]+CostTrack[[#This Row],[Holdback Value]])</f>
        <v>10572.5</v>
      </c>
      <c r="I342" s="1312"/>
      <c r="J342" s="1312"/>
      <c r="K342" s="1313"/>
      <c r="L342" s="1325">
        <v>44652</v>
      </c>
      <c r="M342" s="1326">
        <v>44652</v>
      </c>
      <c r="N342" s="1327"/>
      <c r="O342" s="1328" t="s">
        <v>106</v>
      </c>
      <c r="P342" s="1308">
        <v>44656</v>
      </c>
      <c r="Q342" s="1314" t="str">
        <f ca="1">IF(CostTrack[[#This Row],[Vendor - Contract]]="","",INDEX(VendorList[PA ID],MATCH(CostTrack[[#This Row],[Vendor - Contract]],VendorList[Vendor / Org. with Contract ID],0)))</f>
        <v>200.050.F1</v>
      </c>
      <c r="R342" s="1314" t="str">
        <f ca="1">IF(CostTrack[[#This Row],[Vendor - Contract]]="","",INDEX(VendorList[Primary Category],MATCH(CostTrack[[#This Row],[Vendor - Contract]],VendorList[Vendor / Org. with Contract ID],0)))</f>
        <v>Professional Services</v>
      </c>
      <c r="S342" s="1314" t="str">
        <f ca="1">IF(CostTrack[[#This Row],[Vendor - Contract]]="","",INDEX(VendorList[Secondary Category],MATCH(CostTrack[[#This Row],[Vendor - Contract]],VendorList[Vendor / Org. with Contract ID],0)))</f>
        <v>Other Professional Services</v>
      </c>
      <c r="T342" s="1314" t="str">
        <f ca="1">IF(CostTrack[[#This Row],[Vendor - Contract]]="","",INDEX(VendorList[Phase / Subproject],MATCH(CostTrack[[#This Row],[Vendor - Contract]],VendorList[Vendor / Org. with Contract ID],0)))</f>
        <v>--</v>
      </c>
      <c r="U342" s="1314" t="str">
        <f ca="1">IF(CostTrack[[#This Row],[Vendor - Contract]]="","",INDEX(VendorList[Phase / Subproject 2],MATCH(CostTrack[[#This Row],[Vendor - Contract]],VendorList[Vendor / Org. with Contract ID],0)))</f>
        <v>--</v>
      </c>
      <c r="V342" s="1314" t="str">
        <f ca="1">IF(CostTrack[[#This Row],[Vendor - Contract]]="","",INDEX(VendorList[Funding Source],MATCH(CostTrack[[#This Row],[Vendor - Contract]],VendorList[Vendor / Org. with Contract ID],0)))</f>
        <v>P-002360</v>
      </c>
      <c r="W342" s="1308">
        <v>44663</v>
      </c>
      <c r="X342" s="1315" t="str">
        <f ca="1">IF(CostTrack[[#This Row],[Release Date (CMS)]]="","*","")</f>
        <v/>
      </c>
      <c r="Y342" s="1308" t="s">
        <v>53</v>
      </c>
      <c r="Z342" s="713" t="s">
        <v>1059</v>
      </c>
      <c r="AA342" s="1316">
        <f ca="1">IF(OR(CostTrack[[#This Row],[Release Date (CMS)]]&gt;=DATE(VALUE(REPLACE(CostTrack[[#This Row],[Fiscal Period]],3,3,"")),3,1),CostTrack[[#This Row],[Release Date (CMS)]]&lt;DATE(VALUE(LEFT(CostTrack[[#This Row],[Fiscal Period]],4)),4,1)),1,0)</f>
        <v>0</v>
      </c>
      <c r="AB342" s="1317">
        <v>10572.5</v>
      </c>
      <c r="AC342" s="1308">
        <v>44706</v>
      </c>
      <c r="AD342" s="402" t="str">
        <f ca="1">IF(CostTrack[[#This Row],[Reconciled Amount]]="","",IF(CostTrack[[#This Row],[Value]]&lt;&gt;CostTrack[[#This Row],[Reconciled Amount]],"Yes","No"))</f>
        <v>No</v>
      </c>
    </row>
    <row r="343" spans="2:30" ht="52.15" customHeight="1">
      <c r="B343" s="1324" t="s">
        <v>666</v>
      </c>
      <c r="C343" s="1312" t="s">
        <v>1056</v>
      </c>
      <c r="D343" s="1308">
        <v>44651</v>
      </c>
      <c r="E343" s="658">
        <v>-10572.5</v>
      </c>
      <c r="F343" s="1309" t="s">
        <v>69</v>
      </c>
      <c r="G343" s="1310">
        <f ca="1">ROUND(IF(CostTrack[[#This Row],[Holdback (Y/N/R)]]="Yes",CostTrack[[#This Row],[Value]]*-0.1,IF(CostTrack[[#This Row],[Holdback (Y/N/R)]]="Release",CostTrack[[#This Row],[Value]],0)),2)</f>
        <v>0</v>
      </c>
      <c r="H343" s="1311">
        <f ca="1">IF(CostTrack[[#This Row],[Holdback (Y/N/R)]]="Release",CostTrack[[#This Row],[Value]],CostTrack[[#This Row],[Value]]+CostTrack[[#This Row],[Holdback Value]])</f>
        <v>-10572.5</v>
      </c>
      <c r="I343" s="1312"/>
      <c r="J343" s="1312"/>
      <c r="K343" s="1313"/>
      <c r="L343" s="1325">
        <v>44652</v>
      </c>
      <c r="M343" s="1326">
        <v>44652</v>
      </c>
      <c r="N343" s="1327"/>
      <c r="O343" s="1328" t="s">
        <v>106</v>
      </c>
      <c r="P343" s="1308">
        <v>44656</v>
      </c>
      <c r="Q343" s="1314" t="str">
        <f ca="1">IF(CostTrack[[#This Row],[Vendor - Contract]]="","",INDEX(VendorList[PA ID],MATCH(CostTrack[[#This Row],[Vendor - Contract]],VendorList[Vendor / Org. with Contract ID],0)))</f>
        <v>200.050.F1</v>
      </c>
      <c r="R343" s="1314" t="str">
        <f ca="1">IF(CostTrack[[#This Row],[Vendor - Contract]]="","",INDEX(VendorList[Primary Category],MATCH(CostTrack[[#This Row],[Vendor - Contract]],VendorList[Vendor / Org. with Contract ID],0)))</f>
        <v>Professional Services</v>
      </c>
      <c r="S343" s="1314" t="str">
        <f ca="1">IF(CostTrack[[#This Row],[Vendor - Contract]]="","",INDEX(VendorList[Secondary Category],MATCH(CostTrack[[#This Row],[Vendor - Contract]],VendorList[Vendor / Org. with Contract ID],0)))</f>
        <v>Other Professional Services</v>
      </c>
      <c r="T343" s="1314" t="str">
        <f ca="1">IF(CostTrack[[#This Row],[Vendor - Contract]]="","",INDEX(VendorList[Phase / Subproject],MATCH(CostTrack[[#This Row],[Vendor - Contract]],VendorList[Vendor / Org. with Contract ID],0)))</f>
        <v>--</v>
      </c>
      <c r="U343" s="1314" t="str">
        <f ca="1">IF(CostTrack[[#This Row],[Vendor - Contract]]="","",INDEX(VendorList[Phase / Subproject 2],MATCH(CostTrack[[#This Row],[Vendor - Contract]],VendorList[Vendor / Org. with Contract ID],0)))</f>
        <v>--</v>
      </c>
      <c r="V343" s="1314" t="str">
        <f ca="1">IF(CostTrack[[#This Row],[Vendor - Contract]]="","",INDEX(VendorList[Funding Source],MATCH(CostTrack[[#This Row],[Vendor - Contract]],VendorList[Vendor / Org. with Contract ID],0)))</f>
        <v>P-002360</v>
      </c>
      <c r="W343" s="1308">
        <v>44663</v>
      </c>
      <c r="X343" s="1315" t="str">
        <f ca="1">IF(CostTrack[[#This Row],[Release Date (CMS)]]="","*","")</f>
        <v/>
      </c>
      <c r="Y343" s="1308" t="s">
        <v>53</v>
      </c>
      <c r="Z343" s="713" t="s">
        <v>1060</v>
      </c>
      <c r="AA343" s="1316">
        <f ca="1">IF(OR(CostTrack[[#This Row],[Release Date (CMS)]]&gt;=DATE(VALUE(REPLACE(CostTrack[[#This Row],[Fiscal Period]],3,3,"")),3,1),CostTrack[[#This Row],[Release Date (CMS)]]&lt;DATE(VALUE(LEFT(CostTrack[[#This Row],[Fiscal Period]],4)),4,1)),1,0)</f>
        <v>0</v>
      </c>
      <c r="AB343" s="1317">
        <v>-10572.5</v>
      </c>
      <c r="AC343" s="1308">
        <v>44706</v>
      </c>
      <c r="AD343" s="402" t="str">
        <f ca="1">IF(CostTrack[[#This Row],[Reconciled Amount]]="","",IF(CostTrack[[#This Row],[Value]]&lt;&gt;CostTrack[[#This Row],[Reconciled Amount]],"Yes","No"))</f>
        <v>No</v>
      </c>
    </row>
    <row r="344" spans="2:30" ht="52.15" customHeight="1">
      <c r="B344" s="1324" t="s">
        <v>666</v>
      </c>
      <c r="C344" s="1312" t="s">
        <v>1056</v>
      </c>
      <c r="D344" s="1308">
        <v>44665</v>
      </c>
      <c r="E344" s="658">
        <v>-1263</v>
      </c>
      <c r="F344" s="1309" t="s">
        <v>69</v>
      </c>
      <c r="G344" s="1310">
        <f ca="1">ROUND(IF(CostTrack[[#This Row],[Holdback (Y/N/R)]]="Yes",CostTrack[[#This Row],[Value]]*-0.1,IF(CostTrack[[#This Row],[Holdback (Y/N/R)]]="Release",CostTrack[[#This Row],[Value]],0)),2)</f>
        <v>0</v>
      </c>
      <c r="H344" s="1311">
        <f ca="1">IF(CostTrack[[#This Row],[Holdback (Y/N/R)]]="Release",CostTrack[[#This Row],[Value]],CostTrack[[#This Row],[Value]]+CostTrack[[#This Row],[Holdback Value]])</f>
        <v>-1263</v>
      </c>
      <c r="I344" s="1312"/>
      <c r="J344" s="1312"/>
      <c r="K344" s="1313"/>
      <c r="L344" s="1325">
        <v>44665</v>
      </c>
      <c r="M344" s="1326">
        <v>44665</v>
      </c>
      <c r="N344" s="1327"/>
      <c r="O344" s="1328" t="s">
        <v>106</v>
      </c>
      <c r="P344" s="1308">
        <v>44665</v>
      </c>
      <c r="Q344" s="1314" t="str">
        <f ca="1">IF(CostTrack[[#This Row],[Vendor - Contract]]="","",INDEX(VendorList[PA ID],MATCH(CostTrack[[#This Row],[Vendor - Contract]],VendorList[Vendor / Org. with Contract ID],0)))</f>
        <v>200.050.F1</v>
      </c>
      <c r="R344" s="1314" t="str">
        <f ca="1">IF(CostTrack[[#This Row],[Vendor - Contract]]="","",INDEX(VendorList[Primary Category],MATCH(CostTrack[[#This Row],[Vendor - Contract]],VendorList[Vendor / Org. with Contract ID],0)))</f>
        <v>Professional Services</v>
      </c>
      <c r="S344" s="1314" t="str">
        <f ca="1">IF(CostTrack[[#This Row],[Vendor - Contract]]="","",INDEX(VendorList[Secondary Category],MATCH(CostTrack[[#This Row],[Vendor - Contract]],VendorList[Vendor / Org. with Contract ID],0)))</f>
        <v>Other Professional Services</v>
      </c>
      <c r="T344" s="1314" t="str">
        <f ca="1">IF(CostTrack[[#This Row],[Vendor - Contract]]="","",INDEX(VendorList[Phase / Subproject],MATCH(CostTrack[[#This Row],[Vendor - Contract]],VendorList[Vendor / Org. with Contract ID],0)))</f>
        <v>--</v>
      </c>
      <c r="U344" s="1314" t="str">
        <f ca="1">IF(CostTrack[[#This Row],[Vendor - Contract]]="","",INDEX(VendorList[Phase / Subproject 2],MATCH(CostTrack[[#This Row],[Vendor - Contract]],VendorList[Vendor / Org. with Contract ID],0)))</f>
        <v>--</v>
      </c>
      <c r="V344" s="1314" t="str">
        <f ca="1">IF(CostTrack[[#This Row],[Vendor - Contract]]="","",INDEX(VendorList[Funding Source],MATCH(CostTrack[[#This Row],[Vendor - Contract]],VendorList[Vendor / Org. with Contract ID],0)))</f>
        <v>P-002360</v>
      </c>
      <c r="W344" s="1308">
        <v>44690</v>
      </c>
      <c r="X344" s="1315" t="str">
        <f ca="1">IF(CostTrack[[#This Row],[Release Date (CMS)]]="","*","")</f>
        <v/>
      </c>
      <c r="Y344" s="1308" t="s">
        <v>53</v>
      </c>
      <c r="Z344" s="713" t="s">
        <v>1061</v>
      </c>
      <c r="AA344" s="1316">
        <f ca="1">IF(OR(CostTrack[[#This Row],[Release Date (CMS)]]&gt;=DATE(VALUE(REPLACE(CostTrack[[#This Row],[Fiscal Period]],3,3,"")),3,1),CostTrack[[#This Row],[Release Date (CMS)]]&lt;DATE(VALUE(LEFT(CostTrack[[#This Row],[Fiscal Period]],4)),4,1)),1,0)</f>
        <v>0</v>
      </c>
      <c r="AB344" s="655">
        <v>-1263</v>
      </c>
      <c r="AC344" s="1308">
        <v>44706</v>
      </c>
      <c r="AD344" s="402" t="str">
        <f ca="1">IF(CostTrack[[#This Row],[Reconciled Amount]]="","",IF(CostTrack[[#This Row],[Value]]&lt;&gt;CostTrack[[#This Row],[Reconciled Amount]],"Yes","No"))</f>
        <v>No</v>
      </c>
    </row>
    <row r="345" spans="2:30" ht="78.75" customHeight="1">
      <c r="B345" s="1324" t="s">
        <v>1062</v>
      </c>
      <c r="C345" s="650" t="s">
        <v>1056</v>
      </c>
      <c r="D345" s="1308">
        <v>44665</v>
      </c>
      <c r="E345" s="658">
        <v>1263</v>
      </c>
      <c r="F345" s="1309" t="s">
        <v>69</v>
      </c>
      <c r="G345" s="1310">
        <f ca="1">ROUND(IF(CostTrack[[#This Row],[Holdback (Y/N/R)]]="Yes",CostTrack[[#This Row],[Value]]*-0.1,IF(CostTrack[[#This Row],[Holdback (Y/N/R)]]="Release",CostTrack[[#This Row],[Value]],0)),2)</f>
        <v>0</v>
      </c>
      <c r="H345" s="1311">
        <f ca="1">IF(CostTrack[[#This Row],[Holdback (Y/N/R)]]="Release",CostTrack[[#This Row],[Value]],CostTrack[[#This Row],[Value]]+CostTrack[[#This Row],[Holdback Value]])</f>
        <v>1263</v>
      </c>
      <c r="I345" s="1312"/>
      <c r="J345" s="1312"/>
      <c r="K345" s="1313"/>
      <c r="L345" s="1325">
        <v>44665</v>
      </c>
      <c r="M345" s="1326">
        <v>44665</v>
      </c>
      <c r="N345" s="1327"/>
      <c r="O345" s="1328" t="s">
        <v>106</v>
      </c>
      <c r="P345" s="1308">
        <v>44665</v>
      </c>
      <c r="Q345" s="1314" t="str">
        <f ca="1">IF(CostTrack[[#This Row],[Vendor - Contract]]="","",INDEX(VendorList[PA ID],MATCH(CostTrack[[#This Row],[Vendor - Contract]],VendorList[Vendor / Org. with Contract ID],0)))</f>
        <v>100.040.F1</v>
      </c>
      <c r="R345" s="1314" t="str">
        <f ca="1">IF(CostTrack[[#This Row],[Vendor - Contract]]="","",INDEX(VendorList[Primary Category],MATCH(CostTrack[[#This Row],[Vendor - Contract]],VendorList[Vendor / Org. with Contract ID],0)))</f>
        <v>Administration</v>
      </c>
      <c r="S345" s="1314" t="str">
        <f ca="1">IF(CostTrack[[#This Row],[Vendor - Contract]]="","",INDEX(VendorList[Secondary Category],MATCH(CostTrack[[#This Row],[Vendor - Contract]],VendorList[Vendor / Org. with Contract ID],0)))</f>
        <v>Accrual Write Off</v>
      </c>
      <c r="T345" s="1314" t="str">
        <f ca="1">IF(CostTrack[[#This Row],[Vendor - Contract]]="","",INDEX(VendorList[Phase / Subproject],MATCH(CostTrack[[#This Row],[Vendor - Contract]],VendorList[Vendor / Org. with Contract ID],0)))</f>
        <v>--</v>
      </c>
      <c r="U345" s="1314" t="str">
        <f ca="1">IF(CostTrack[[#This Row],[Vendor - Contract]]="","",INDEX(VendorList[Phase / Subproject 2],MATCH(CostTrack[[#This Row],[Vendor - Contract]],VendorList[Vendor / Org. with Contract ID],0)))</f>
        <v>--</v>
      </c>
      <c r="V345" s="1314" t="str">
        <f ca="1">IF(CostTrack[[#This Row],[Vendor - Contract]]="","",INDEX(VendorList[Funding Source],MATCH(CostTrack[[#This Row],[Vendor - Contract]],VendorList[Vendor / Org. with Contract ID],0)))</f>
        <v>P-002360</v>
      </c>
      <c r="W345" s="1308">
        <v>44690</v>
      </c>
      <c r="X345" s="1315" t="str">
        <f ca="1">IF(CostTrack[[#This Row],[Release Date (CMS)]]="","*","")</f>
        <v/>
      </c>
      <c r="Y345" s="1308" t="s">
        <v>53</v>
      </c>
      <c r="Z345" s="713" t="s">
        <v>1063</v>
      </c>
      <c r="AA345" s="1316">
        <f ca="1">IF(OR(CostTrack[[#This Row],[Release Date (CMS)]]&gt;=DATE(VALUE(REPLACE(CostTrack[[#This Row],[Fiscal Period]],3,3,"")),3,1),CostTrack[[#This Row],[Release Date (CMS)]]&lt;DATE(VALUE(LEFT(CostTrack[[#This Row],[Fiscal Period]],4)),4,1)),1,0)</f>
        <v>0</v>
      </c>
      <c r="AB345" s="1317">
        <v>1263</v>
      </c>
      <c r="AC345" s="1308">
        <v>44706</v>
      </c>
      <c r="AD345" s="402" t="str">
        <f ca="1">IF(CostTrack[[#This Row],[Reconciled Amount]]="","",IF(CostTrack[[#This Row],[Value]]&lt;&gt;CostTrack[[#This Row],[Reconciled Amount]],"Yes","No"))</f>
        <v>No</v>
      </c>
    </row>
    <row r="346" spans="2:30" ht="41.1" customHeight="1">
      <c r="B346" s="706" t="s">
        <v>529</v>
      </c>
      <c r="C346" s="650" t="s">
        <v>1064</v>
      </c>
      <c r="D346" s="267">
        <v>44645</v>
      </c>
      <c r="E346" s="654">
        <v>3000000</v>
      </c>
      <c r="F346" s="647" t="s">
        <v>65</v>
      </c>
      <c r="G346" s="406">
        <f ca="1">ROUND(IF(CostTrack[[#This Row],[Holdback (Y/N/R)]]="Yes",CostTrack[[#This Row],[Value]]*-0.1,IF(CostTrack[[#This Row],[Holdback (Y/N/R)]]="Release",CostTrack[[#This Row],[Value]],0)),2)</f>
        <v>-300000</v>
      </c>
      <c r="H346" s="407">
        <f ca="1">IF(CostTrack[[#This Row],[Holdback (Y/N/R)]]="Release",CostTrack[[#This Row],[Value]],CostTrack[[#This Row],[Value]]+CostTrack[[#This Row],[Holdback Value]])</f>
        <v>2700000</v>
      </c>
      <c r="I346" s="650" t="s">
        <v>1065</v>
      </c>
      <c r="J346" s="650"/>
      <c r="K346" s="648"/>
      <c r="L346" s="707">
        <v>44645</v>
      </c>
      <c r="M346" s="708">
        <v>44650</v>
      </c>
      <c r="N346" s="709"/>
      <c r="O346" s="712" t="s">
        <v>106</v>
      </c>
      <c r="P346" s="267">
        <v>44650</v>
      </c>
      <c r="Q346" s="243" t="str">
        <f ca="1">IF(CostTrack[[#This Row],[Vendor - Contract]]="","",INDEX(VendorList[PA ID],MATCH(CostTrack[[#This Row],[Vendor - Contract]],VendorList[Vendor / Org. with Contract ID],0)))</f>
        <v>300.030.F1</v>
      </c>
      <c r="R346" s="243" t="str">
        <f ca="1">IF(CostTrack[[#This Row],[Vendor - Contract]]="","",INDEX(VendorList[Primary Category],MATCH(CostTrack[[#This Row],[Vendor - Contract]],VendorList[Vendor / Org. with Contract ID],0)))</f>
        <v>Construction</v>
      </c>
      <c r="S346" s="243" t="str">
        <f ca="1">IF(CostTrack[[#This Row],[Vendor - Contract]]="","",INDEX(VendorList[Secondary Category],MATCH(CostTrack[[#This Row],[Vendor - Contract]],VendorList[Vendor / Org. with Contract ID],0)))</f>
        <v>Prime Contractor</v>
      </c>
      <c r="T346" s="243" t="str">
        <f ca="1">IF(CostTrack[[#This Row],[Vendor - Contract]]="","",INDEX(VendorList[Phase / Subproject],MATCH(CostTrack[[#This Row],[Vendor - Contract]],VendorList[Vendor / Org. with Contract ID],0)))</f>
        <v>--</v>
      </c>
      <c r="U346" s="243" t="str">
        <f ca="1">IF(CostTrack[[#This Row],[Vendor - Contract]]="","",INDEX(VendorList[Phase / Subproject 2],MATCH(CostTrack[[#This Row],[Vendor - Contract]],VendorList[Vendor / Org. with Contract ID],0)))</f>
        <v>--</v>
      </c>
      <c r="V346" s="243" t="str">
        <f ca="1">IF(CostTrack[[#This Row],[Vendor - Contract]]="","",INDEX(VendorList[Funding Source],MATCH(CostTrack[[#This Row],[Vendor - Contract]],VendorList[Vendor / Org. with Contract ID],0)))</f>
        <v>P-002360</v>
      </c>
      <c r="W346" s="267">
        <v>44651</v>
      </c>
      <c r="X346" s="251" t="str">
        <f ca="1">IF(CostTrack[[#This Row],[Release Date (CMS)]]="","*","")</f>
        <v/>
      </c>
      <c r="Y346" s="267" t="s">
        <v>50</v>
      </c>
      <c r="Z346" s="713" t="s">
        <v>1066</v>
      </c>
      <c r="AA346" s="245">
        <f ca="1">IF(OR(CostTrack[[#This Row],[Release Date (CMS)]]&gt;=DATE(VALUE(REPLACE(CostTrack[[#This Row],[Fiscal Period]],3,3,"")),3,1),CostTrack[[#This Row],[Release Date (CMS)]]&lt;DATE(VALUE(LEFT(CostTrack[[#This Row],[Fiscal Period]],4)),4,1)),1,0)</f>
        <v>1</v>
      </c>
      <c r="AB346" s="655">
        <v>3000000</v>
      </c>
      <c r="AC346" s="267">
        <v>44686</v>
      </c>
      <c r="AD346" s="402" t="str">
        <f ca="1">IF(CostTrack[[#This Row],[Reconciled Amount]]="","",IF(CostTrack[[#This Row],[Value]]&lt;&gt;CostTrack[[#This Row],[Reconciled Amount]],"Yes","No"))</f>
        <v>No</v>
      </c>
    </row>
    <row r="347" spans="2:30" ht="58.9" customHeight="1">
      <c r="B347" s="1324" t="s">
        <v>529</v>
      </c>
      <c r="C347" s="1312" t="s">
        <v>1067</v>
      </c>
      <c r="D347" s="1308">
        <v>44644</v>
      </c>
      <c r="E347" s="658">
        <v>3000000</v>
      </c>
      <c r="F347" s="1309" t="s">
        <v>65</v>
      </c>
      <c r="G347" s="1310">
        <f ca="1">ROUND(IF(CostTrack[[#This Row],[Holdback (Y/N/R)]]="Yes",CostTrack[[#This Row],[Value]]*-0.1,IF(CostTrack[[#This Row],[Holdback (Y/N/R)]]="Release",CostTrack[[#This Row],[Value]],0)),2)</f>
        <v>-300000</v>
      </c>
      <c r="H347" s="1311">
        <f ca="1">IF(CostTrack[[#This Row],[Holdback (Y/N/R)]]="Release",CostTrack[[#This Row],[Value]],CostTrack[[#This Row],[Value]]+CostTrack[[#This Row],[Holdback Value]])</f>
        <v>2700000</v>
      </c>
      <c r="I347" s="1312" t="s">
        <v>1065</v>
      </c>
      <c r="J347" s="1312"/>
      <c r="K347" s="1313"/>
      <c r="L347" s="1325">
        <v>44671</v>
      </c>
      <c r="M347" s="1326">
        <v>44671</v>
      </c>
      <c r="N347" s="1327"/>
      <c r="O347" s="1328" t="s">
        <v>106</v>
      </c>
      <c r="P347" s="1308">
        <v>44671</v>
      </c>
      <c r="Q347" s="1314" t="str">
        <f ca="1">IF(CostTrack[[#This Row],[Vendor - Contract]]="","",INDEX(VendorList[PA ID],MATCH(CostTrack[[#This Row],[Vendor - Contract]],VendorList[Vendor / Org. with Contract ID],0)))</f>
        <v>300.030.F1</v>
      </c>
      <c r="R347" s="1314" t="str">
        <f ca="1">IF(CostTrack[[#This Row],[Vendor - Contract]]="","",INDEX(VendorList[Primary Category],MATCH(CostTrack[[#This Row],[Vendor - Contract]],VendorList[Vendor / Org. with Contract ID],0)))</f>
        <v>Construction</v>
      </c>
      <c r="S347" s="1314" t="str">
        <f ca="1">IF(CostTrack[[#This Row],[Vendor - Contract]]="","",INDEX(VendorList[Secondary Category],MATCH(CostTrack[[#This Row],[Vendor - Contract]],VendorList[Vendor / Org. with Contract ID],0)))</f>
        <v>Prime Contractor</v>
      </c>
      <c r="T347" s="1314" t="str">
        <f ca="1">IF(CostTrack[[#This Row],[Vendor - Contract]]="","",INDEX(VendorList[Phase / Subproject],MATCH(CostTrack[[#This Row],[Vendor - Contract]],VendorList[Vendor / Org. with Contract ID],0)))</f>
        <v>--</v>
      </c>
      <c r="U347" s="1314" t="str">
        <f ca="1">IF(CostTrack[[#This Row],[Vendor - Contract]]="","",INDEX(VendorList[Phase / Subproject 2],MATCH(CostTrack[[#This Row],[Vendor - Contract]],VendorList[Vendor / Org. with Contract ID],0)))</f>
        <v>--</v>
      </c>
      <c r="V347" s="1314" t="str">
        <f ca="1">IF(CostTrack[[#This Row],[Vendor - Contract]]="","",INDEX(VendorList[Funding Source],MATCH(CostTrack[[#This Row],[Vendor - Contract]],VendorList[Vendor / Org. with Contract ID],0)))</f>
        <v>P-002360</v>
      </c>
      <c r="W347" s="267">
        <v>44677</v>
      </c>
      <c r="X347" s="1315" t="str">
        <f ca="1">IF(CostTrack[[#This Row],[Release Date (CMS)]]="","*","")</f>
        <v/>
      </c>
      <c r="Y347" s="1308" t="s">
        <v>53</v>
      </c>
      <c r="Z347" s="713" t="s">
        <v>1068</v>
      </c>
      <c r="AA347" s="1316">
        <f ca="1">IF(OR(CostTrack[[#This Row],[Release Date (CMS)]]&gt;=DATE(VALUE(REPLACE(CostTrack[[#This Row],[Fiscal Period]],3,3,"")),3,1),CostTrack[[#This Row],[Release Date (CMS)]]&lt;DATE(VALUE(LEFT(CostTrack[[#This Row],[Fiscal Period]],4)),4,1)),1,0)</f>
        <v>0</v>
      </c>
      <c r="AB347" s="1317">
        <v>3000000</v>
      </c>
      <c r="AC347" s="1308">
        <v>44686</v>
      </c>
      <c r="AD347" s="402" t="str">
        <f ca="1">IF(CostTrack[[#This Row],[Reconciled Amount]]="","",IF(CostTrack[[#This Row],[Value]]&lt;&gt;CostTrack[[#This Row],[Reconciled Amount]],"Yes","No"))</f>
        <v>No</v>
      </c>
    </row>
    <row r="348" spans="2:30" ht="41.1" customHeight="1">
      <c r="B348" s="1324" t="s">
        <v>529</v>
      </c>
      <c r="C348" s="1312" t="s">
        <v>1064</v>
      </c>
      <c r="D348" s="1308">
        <v>44644</v>
      </c>
      <c r="E348" s="658">
        <v>-3000000</v>
      </c>
      <c r="F348" s="1309" t="s">
        <v>65</v>
      </c>
      <c r="G348" s="1310">
        <f ca="1">ROUND(IF(CostTrack[[#This Row],[Holdback (Y/N/R)]]="Yes",CostTrack[[#This Row],[Value]]*-0.1,IF(CostTrack[[#This Row],[Holdback (Y/N/R)]]="Release",CostTrack[[#This Row],[Value]],0)),2)</f>
        <v>300000</v>
      </c>
      <c r="H348" s="1311">
        <f ca="1">IF(CostTrack[[#This Row],[Holdback (Y/N/R)]]="Release",CostTrack[[#This Row],[Value]],CostTrack[[#This Row],[Value]]+CostTrack[[#This Row],[Holdback Value]])</f>
        <v>-2700000</v>
      </c>
      <c r="I348" s="1312" t="s">
        <v>1065</v>
      </c>
      <c r="J348" s="1312"/>
      <c r="K348" s="1313"/>
      <c r="L348" s="1325">
        <v>44671</v>
      </c>
      <c r="M348" s="1326">
        <v>44671</v>
      </c>
      <c r="N348" s="1327"/>
      <c r="O348" s="1328" t="s">
        <v>106</v>
      </c>
      <c r="P348" s="1308">
        <v>44671</v>
      </c>
      <c r="Q348" s="1314" t="str">
        <f ca="1">IF(CostTrack[[#This Row],[Vendor - Contract]]="","",INDEX(VendorList[PA ID],MATCH(CostTrack[[#This Row],[Vendor - Contract]],VendorList[Vendor / Org. with Contract ID],0)))</f>
        <v>300.030.F1</v>
      </c>
      <c r="R348" s="1314" t="str">
        <f ca="1">IF(CostTrack[[#This Row],[Vendor - Contract]]="","",INDEX(VendorList[Primary Category],MATCH(CostTrack[[#This Row],[Vendor - Contract]],VendorList[Vendor / Org. with Contract ID],0)))</f>
        <v>Construction</v>
      </c>
      <c r="S348" s="1314" t="str">
        <f ca="1">IF(CostTrack[[#This Row],[Vendor - Contract]]="","",INDEX(VendorList[Secondary Category],MATCH(CostTrack[[#This Row],[Vendor - Contract]],VendorList[Vendor / Org. with Contract ID],0)))</f>
        <v>Prime Contractor</v>
      </c>
      <c r="T348" s="1314" t="str">
        <f ca="1">IF(CostTrack[[#This Row],[Vendor - Contract]]="","",INDEX(VendorList[Phase / Subproject],MATCH(CostTrack[[#This Row],[Vendor - Contract]],VendorList[Vendor / Org. with Contract ID],0)))</f>
        <v>--</v>
      </c>
      <c r="U348" s="1314" t="str">
        <f ca="1">IF(CostTrack[[#This Row],[Vendor - Contract]]="","",INDEX(VendorList[Phase / Subproject 2],MATCH(CostTrack[[#This Row],[Vendor - Contract]],VendorList[Vendor / Org. with Contract ID],0)))</f>
        <v>--</v>
      </c>
      <c r="V348" s="1314" t="str">
        <f ca="1">IF(CostTrack[[#This Row],[Vendor - Contract]]="","",INDEX(VendorList[Funding Source],MATCH(CostTrack[[#This Row],[Vendor - Contract]],VendorList[Vendor / Org. with Contract ID],0)))</f>
        <v>P-002360</v>
      </c>
      <c r="W348" s="1308">
        <v>44677</v>
      </c>
      <c r="X348" s="1315" t="str">
        <f ca="1">IF(CostTrack[[#This Row],[Release Date (CMS)]]="","*","")</f>
        <v/>
      </c>
      <c r="Y348" s="1308" t="s">
        <v>53</v>
      </c>
      <c r="Z348" s="652" t="s">
        <v>1069</v>
      </c>
      <c r="AA348" s="1316">
        <f ca="1">IF(OR(CostTrack[[#This Row],[Release Date (CMS)]]&gt;=DATE(VALUE(REPLACE(CostTrack[[#This Row],[Fiscal Period]],3,3,"")),3,1),CostTrack[[#This Row],[Release Date (CMS)]]&lt;DATE(VALUE(LEFT(CostTrack[[#This Row],[Fiscal Period]],4)),4,1)),1,0)</f>
        <v>0</v>
      </c>
      <c r="AB348" s="1317">
        <v>-3000000</v>
      </c>
      <c r="AC348" s="1308">
        <v>44686</v>
      </c>
      <c r="AD348" s="402" t="str">
        <f ca="1">IF(CostTrack[[#This Row],[Reconciled Amount]]="","",IF(CostTrack[[#This Row],[Value]]&lt;&gt;CostTrack[[#This Row],[Reconciled Amount]],"Yes","No"))</f>
        <v>No</v>
      </c>
    </row>
    <row r="349" spans="2:30" ht="50.1" customHeight="1">
      <c r="B349" s="1324" t="s">
        <v>529</v>
      </c>
      <c r="C349" s="1312" t="s">
        <v>1070</v>
      </c>
      <c r="D349" s="1308">
        <v>44644</v>
      </c>
      <c r="E349" s="658">
        <v>449256.68</v>
      </c>
      <c r="F349" s="1309" t="s">
        <v>65</v>
      </c>
      <c r="G349" s="1310">
        <f ca="1">ROUND(IF(CostTrack[[#This Row],[Holdback (Y/N/R)]]="Yes",CostTrack[[#This Row],[Value]]*-0.1,IF(CostTrack[[#This Row],[Holdback (Y/N/R)]]="Release",CostTrack[[#This Row],[Value]],0)),2)</f>
        <v>-44925.67</v>
      </c>
      <c r="H349" s="1311">
        <f ca="1">IF(CostTrack[[#This Row],[Holdback (Y/N/R)]]="Release",CostTrack[[#This Row],[Value]],CostTrack[[#This Row],[Value]]+CostTrack[[#This Row],[Holdback Value]])</f>
        <v>404331.01</v>
      </c>
      <c r="I349" s="1312" t="s">
        <v>1065</v>
      </c>
      <c r="J349" s="1312"/>
      <c r="K349" s="1313"/>
      <c r="L349" s="1325">
        <v>44671</v>
      </c>
      <c r="M349" s="1326">
        <v>44671</v>
      </c>
      <c r="N349" s="1327"/>
      <c r="O349" s="1328" t="s">
        <v>106</v>
      </c>
      <c r="P349" s="1308">
        <v>44671</v>
      </c>
      <c r="Q349" s="1314" t="str">
        <f ca="1">IF(CostTrack[[#This Row],[Vendor - Contract]]="","",INDEX(VendorList[PA ID],MATCH(CostTrack[[#This Row],[Vendor - Contract]],VendorList[Vendor / Org. with Contract ID],0)))</f>
        <v>300.030.F1</v>
      </c>
      <c r="R349" s="1314" t="str">
        <f ca="1">IF(CostTrack[[#This Row],[Vendor - Contract]]="","",INDEX(VendorList[Primary Category],MATCH(CostTrack[[#This Row],[Vendor - Contract]],VendorList[Vendor / Org. with Contract ID],0)))</f>
        <v>Construction</v>
      </c>
      <c r="S349" s="1314" t="str">
        <f ca="1">IF(CostTrack[[#This Row],[Vendor - Contract]]="","",INDEX(VendorList[Secondary Category],MATCH(CostTrack[[#This Row],[Vendor - Contract]],VendorList[Vendor / Org. with Contract ID],0)))</f>
        <v>Prime Contractor</v>
      </c>
      <c r="T349" s="1314" t="str">
        <f ca="1">IF(CostTrack[[#This Row],[Vendor - Contract]]="","",INDEX(VendorList[Phase / Subproject],MATCH(CostTrack[[#This Row],[Vendor - Contract]],VendorList[Vendor / Org. with Contract ID],0)))</f>
        <v>--</v>
      </c>
      <c r="U349" s="1314" t="str">
        <f ca="1">IF(CostTrack[[#This Row],[Vendor - Contract]]="","",INDEX(VendorList[Phase / Subproject 2],MATCH(CostTrack[[#This Row],[Vendor - Contract]],VendorList[Vendor / Org. with Contract ID],0)))</f>
        <v>--</v>
      </c>
      <c r="V349" s="1314" t="str">
        <f ca="1">IF(CostTrack[[#This Row],[Vendor - Contract]]="","",INDEX(VendorList[Funding Source],MATCH(CostTrack[[#This Row],[Vendor - Contract]],VendorList[Vendor / Org. with Contract ID],0)))</f>
        <v>P-002360</v>
      </c>
      <c r="W349" s="1308">
        <v>44677</v>
      </c>
      <c r="X349" s="1315" t="str">
        <f ca="1">IF(CostTrack[[#This Row],[Release Date (CMS)]]="","*","")</f>
        <v/>
      </c>
      <c r="Y349" s="1308" t="s">
        <v>53</v>
      </c>
      <c r="Z349" s="713" t="s">
        <v>1071</v>
      </c>
      <c r="AA349" s="1316">
        <f ca="1">IF(OR(CostTrack[[#This Row],[Release Date (CMS)]]&gt;=DATE(VALUE(REPLACE(CostTrack[[#This Row],[Fiscal Period]],3,3,"")),3,1),CostTrack[[#This Row],[Release Date (CMS)]]&lt;DATE(VALUE(LEFT(CostTrack[[#This Row],[Fiscal Period]],4)),4,1)),1,0)</f>
        <v>0</v>
      </c>
      <c r="AB349" s="1317">
        <v>449256.68</v>
      </c>
      <c r="AC349" s="1308">
        <v>44686</v>
      </c>
      <c r="AD349" s="402" t="str">
        <f ca="1">IF(CostTrack[[#This Row],[Reconciled Amount]]="","",IF(CostTrack[[#This Row],[Value]]&lt;&gt;CostTrack[[#This Row],[Reconciled Amount]],"Yes","No"))</f>
        <v>No</v>
      </c>
    </row>
    <row r="350" spans="2:30" ht="82.35" customHeight="1">
      <c r="B350" s="1324" t="s">
        <v>731</v>
      </c>
      <c r="C350" s="650">
        <v>800077123</v>
      </c>
      <c r="D350" s="1308">
        <v>44645</v>
      </c>
      <c r="E350" s="658">
        <v>192.06</v>
      </c>
      <c r="F350" s="1309" t="s">
        <v>69</v>
      </c>
      <c r="G350" s="1310">
        <f ca="1">ROUND(IF(CostTrack[[#This Row],[Holdback (Y/N/R)]]="Yes",CostTrack[[#This Row],[Value]]*-0.1,IF(CostTrack[[#This Row],[Holdback (Y/N/R)]]="Release",CostTrack[[#This Row],[Value]],0)),2)</f>
        <v>0</v>
      </c>
      <c r="H350" s="1311">
        <f ca="1">IF(CostTrack[[#This Row],[Holdback (Y/N/R)]]="Release",CostTrack[[#This Row],[Value]],CostTrack[[#This Row],[Value]]+CostTrack[[#This Row],[Holdback Value]])</f>
        <v>192.06</v>
      </c>
      <c r="I350" s="1312"/>
      <c r="J350" s="1312"/>
      <c r="K350" s="1313"/>
      <c r="L350" s="1325">
        <v>44650</v>
      </c>
      <c r="M350" s="1326">
        <v>44650</v>
      </c>
      <c r="N350" s="1327"/>
      <c r="O350" s="1328" t="s">
        <v>106</v>
      </c>
      <c r="P350" s="1308">
        <v>44650</v>
      </c>
      <c r="Q350" s="1314" t="str">
        <f ca="1">IF(CostTrack[[#This Row],[Vendor - Contract]]="","",INDEX(VendorList[PA ID],MATCH(CostTrack[[#This Row],[Vendor - Contract]],VendorList[Vendor / Org. with Contract ID],0)))</f>
        <v>100.050.F1</v>
      </c>
      <c r="R350" s="1314" t="str">
        <f ca="1">IF(CostTrack[[#This Row],[Vendor - Contract]]="","",INDEX(VendorList[Primary Category],MATCH(CostTrack[[#This Row],[Vendor - Contract]],VendorList[Vendor / Org. with Contract ID],0)))</f>
        <v>Administration</v>
      </c>
      <c r="S350" s="1314" t="str">
        <f ca="1">IF(CostTrack[[#This Row],[Vendor - Contract]]="","",INDEX(VendorList[Secondary Category],MATCH(CostTrack[[#This Row],[Vendor - Contract]],VendorList[Vendor / Org. with Contract ID],0)))</f>
        <v>Other Administration</v>
      </c>
      <c r="T350" s="1314" t="str">
        <f ca="1">IF(CostTrack[[#This Row],[Vendor - Contract]]="","",INDEX(VendorList[Phase / Subproject],MATCH(CostTrack[[#This Row],[Vendor - Contract]],VendorList[Vendor / Org. with Contract ID],0)))</f>
        <v>--</v>
      </c>
      <c r="U350" s="1314" t="str">
        <f ca="1">IF(CostTrack[[#This Row],[Vendor - Contract]]="","",INDEX(VendorList[Phase / Subproject 2],MATCH(CostTrack[[#This Row],[Vendor - Contract]],VendorList[Vendor / Org. with Contract ID],0)))</f>
        <v>--</v>
      </c>
      <c r="V350" s="1314" t="str">
        <f ca="1">IF(CostTrack[[#This Row],[Vendor - Contract]]="","",INDEX(VendorList[Funding Source],MATCH(CostTrack[[#This Row],[Vendor - Contract]],VendorList[Vendor / Org. with Contract ID],0)))</f>
        <v>P-002360</v>
      </c>
      <c r="W350" s="1308">
        <v>44650</v>
      </c>
      <c r="X350" s="1315" t="str">
        <f ca="1">IF(CostTrack[[#This Row],[Release Date (CMS)]]="","*","")</f>
        <v/>
      </c>
      <c r="Y350" s="1308" t="s">
        <v>50</v>
      </c>
      <c r="Z350" s="652" t="s">
        <v>1055</v>
      </c>
      <c r="AA350" s="1316">
        <f ca="1">IF(OR(CostTrack[[#This Row],[Release Date (CMS)]]&gt;=DATE(VALUE(REPLACE(CostTrack[[#This Row],[Fiscal Period]],3,3,"")),3,1),CostTrack[[#This Row],[Release Date (CMS)]]&lt;DATE(VALUE(LEFT(CostTrack[[#This Row],[Fiscal Period]],4)),4,1)),1,0)</f>
        <v>1</v>
      </c>
      <c r="AB350" s="1317">
        <v>192.06</v>
      </c>
      <c r="AC350" s="1308">
        <v>44673</v>
      </c>
      <c r="AD350" s="402" t="str">
        <f ca="1">IF(CostTrack[[#This Row],[Reconciled Amount]]="","",IF(CostTrack[[#This Row],[Value]]&lt;&gt;CostTrack[[#This Row],[Reconciled Amount]],"Yes","No"))</f>
        <v>No</v>
      </c>
    </row>
    <row r="351" spans="2:30" ht="41.1" customHeight="1">
      <c r="B351" s="1324" t="s">
        <v>624</v>
      </c>
      <c r="C351" s="1312">
        <v>1694050</v>
      </c>
      <c r="D351" s="1308">
        <v>44651</v>
      </c>
      <c r="E351" s="658">
        <v>1000</v>
      </c>
      <c r="F351" s="1309" t="s">
        <v>69</v>
      </c>
      <c r="G351" s="1310">
        <f ca="1">ROUND(IF(CostTrack[[#This Row],[Holdback (Y/N/R)]]="Yes",CostTrack[[#This Row],[Value]]*-0.1,IF(CostTrack[[#This Row],[Holdback (Y/N/R)]]="Release",CostTrack[[#This Row],[Value]],0)),2)</f>
        <v>0</v>
      </c>
      <c r="H351" s="1311">
        <f ca="1">IF(CostTrack[[#This Row],[Holdback (Y/N/R)]]="Release",CostTrack[[#This Row],[Value]],CostTrack[[#This Row],[Value]]+CostTrack[[#This Row],[Holdback Value]])</f>
        <v>1000</v>
      </c>
      <c r="I351" s="1312"/>
      <c r="J351" s="1312"/>
      <c r="K351" s="1313"/>
      <c r="L351" s="1325">
        <v>44652</v>
      </c>
      <c r="M351" s="1326">
        <v>44652</v>
      </c>
      <c r="N351" s="1327"/>
      <c r="O351" s="1328" t="s">
        <v>106</v>
      </c>
      <c r="P351" s="1308">
        <v>44656</v>
      </c>
      <c r="Q351" s="1314" t="str">
        <f ca="1">IF(CostTrack[[#This Row],[Vendor - Contract]]="","",INDEX(VendorList[PA ID],MATCH(CostTrack[[#This Row],[Vendor - Contract]],VendorList[Vendor / Org. with Contract ID],0)))</f>
        <v>200.040.F1</v>
      </c>
      <c r="R351" s="1314" t="str">
        <f ca="1">IF(CostTrack[[#This Row],[Vendor - Contract]]="","",INDEX(VendorList[Primary Category],MATCH(CostTrack[[#This Row],[Vendor - Contract]],VendorList[Vendor / Org. with Contract ID],0)))</f>
        <v>Professional Services</v>
      </c>
      <c r="S351" s="1314" t="str">
        <f ca="1">IF(CostTrack[[#This Row],[Vendor - Contract]]="","",INDEX(VendorList[Secondary Category],MATCH(CostTrack[[#This Row],[Vendor - Contract]],VendorList[Vendor / Org. with Contract ID],0)))</f>
        <v>Commissioning</v>
      </c>
      <c r="T351" s="1314" t="str">
        <f ca="1">IF(CostTrack[[#This Row],[Vendor - Contract]]="","",INDEX(VendorList[Phase / Subproject],MATCH(CostTrack[[#This Row],[Vendor - Contract]],VendorList[Vendor / Org. with Contract ID],0)))</f>
        <v>--</v>
      </c>
      <c r="U351" s="1314" t="str">
        <f ca="1">IF(CostTrack[[#This Row],[Vendor - Contract]]="","",INDEX(VendorList[Phase / Subproject 2],MATCH(CostTrack[[#This Row],[Vendor - Contract]],VendorList[Vendor / Org. with Contract ID],0)))</f>
        <v>--</v>
      </c>
      <c r="V351" s="1314" t="str">
        <f ca="1">IF(CostTrack[[#This Row],[Vendor - Contract]]="","",INDEX(VendorList[Funding Source],MATCH(CostTrack[[#This Row],[Vendor - Contract]],VendorList[Vendor / Org. with Contract ID],0)))</f>
        <v>P-002360</v>
      </c>
      <c r="W351" s="1308">
        <v>44673</v>
      </c>
      <c r="X351" s="1315" t="str">
        <f ca="1">IF(CostTrack[[#This Row],[Release Date (CMS)]]="","*","")</f>
        <v/>
      </c>
      <c r="Y351" s="1308" t="s">
        <v>53</v>
      </c>
      <c r="Z351" s="713" t="s">
        <v>1072</v>
      </c>
      <c r="AA351" s="1316">
        <f ca="1">IF(OR(CostTrack[[#This Row],[Release Date (CMS)]]&gt;=DATE(VALUE(REPLACE(CostTrack[[#This Row],[Fiscal Period]],3,3,"")),3,1),CostTrack[[#This Row],[Release Date (CMS)]]&lt;DATE(VALUE(LEFT(CostTrack[[#This Row],[Fiscal Period]],4)),4,1)),1,0)</f>
        <v>0</v>
      </c>
      <c r="AB351" s="1317">
        <v>1000</v>
      </c>
      <c r="AC351" s="1308">
        <v>44686</v>
      </c>
      <c r="AD351" s="402" t="str">
        <f ca="1">IF(CostTrack[[#This Row],[Reconciled Amount]]="","",IF(CostTrack[[#This Row],[Value]]&lt;&gt;CostTrack[[#This Row],[Reconciled Amount]],"Yes","No"))</f>
        <v>No</v>
      </c>
    </row>
    <row r="352" spans="2:30" ht="41.1" customHeight="1">
      <c r="B352" s="1324" t="s">
        <v>655</v>
      </c>
      <c r="C352" s="1312">
        <v>2916</v>
      </c>
      <c r="D352" s="1308">
        <v>44651</v>
      </c>
      <c r="E352" s="658">
        <v>914</v>
      </c>
      <c r="F352" s="1309" t="s">
        <v>69</v>
      </c>
      <c r="G352" s="1310">
        <f ca="1">ROUND(IF(CostTrack[[#This Row],[Holdback (Y/N/R)]]="Yes",CostTrack[[#This Row],[Value]]*-0.1,IF(CostTrack[[#This Row],[Holdback (Y/N/R)]]="Release",CostTrack[[#This Row],[Value]],0)),2)</f>
        <v>0</v>
      </c>
      <c r="H352" s="1311">
        <f ca="1">IF(CostTrack[[#This Row],[Holdback (Y/N/R)]]="Release",CostTrack[[#This Row],[Value]],CostTrack[[#This Row],[Value]]+CostTrack[[#This Row],[Holdback Value]])</f>
        <v>914</v>
      </c>
      <c r="I352" s="1312"/>
      <c r="J352" s="1312"/>
      <c r="K352" s="1313"/>
      <c r="L352" s="1325">
        <v>44651</v>
      </c>
      <c r="M352" s="1326">
        <v>44651</v>
      </c>
      <c r="N352" s="1327"/>
      <c r="O352" s="1328" t="s">
        <v>106</v>
      </c>
      <c r="P352" s="1308">
        <v>44656</v>
      </c>
      <c r="Q352" s="1314" t="str">
        <f ca="1">IF(CostTrack[[#This Row],[Vendor - Contract]]="","",INDEX(VendorList[PA ID],MATCH(CostTrack[[#This Row],[Vendor - Contract]],VendorList[Vendor / Org. with Contract ID],0)))</f>
        <v>200.050.F1</v>
      </c>
      <c r="R352" s="1314" t="str">
        <f ca="1">IF(CostTrack[[#This Row],[Vendor - Contract]]="","",INDEX(VendorList[Primary Category],MATCH(CostTrack[[#This Row],[Vendor - Contract]],VendorList[Vendor / Org. with Contract ID],0)))</f>
        <v>Professional Services</v>
      </c>
      <c r="S352" s="1314" t="str">
        <f ca="1">IF(CostTrack[[#This Row],[Vendor - Contract]]="","",INDEX(VendorList[Secondary Category],MATCH(CostTrack[[#This Row],[Vendor - Contract]],VendorList[Vendor / Org. with Contract ID],0)))</f>
        <v>Other Professional Services</v>
      </c>
      <c r="T352" s="1314" t="str">
        <f ca="1">IF(CostTrack[[#This Row],[Vendor - Contract]]="","",INDEX(VendorList[Phase / Subproject],MATCH(CostTrack[[#This Row],[Vendor - Contract]],VendorList[Vendor / Org. with Contract ID],0)))</f>
        <v>--</v>
      </c>
      <c r="U352" s="1314" t="str">
        <f ca="1">IF(CostTrack[[#This Row],[Vendor - Contract]]="","",INDEX(VendorList[Phase / Subproject 2],MATCH(CostTrack[[#This Row],[Vendor - Contract]],VendorList[Vendor / Org. with Contract ID],0)))</f>
        <v>--</v>
      </c>
      <c r="V352" s="1314" t="str">
        <f ca="1">IF(CostTrack[[#This Row],[Vendor - Contract]]="","",INDEX(VendorList[Funding Source],MATCH(CostTrack[[#This Row],[Vendor - Contract]],VendorList[Vendor / Org. with Contract ID],0)))</f>
        <v>P-002360</v>
      </c>
      <c r="W352" s="1308">
        <v>44673</v>
      </c>
      <c r="X352" s="1315" t="str">
        <f ca="1">IF(CostTrack[[#This Row],[Release Date (CMS)]]="","*","")</f>
        <v/>
      </c>
      <c r="Y352" s="1308" t="s">
        <v>53</v>
      </c>
      <c r="Z352" s="713" t="s">
        <v>1072</v>
      </c>
      <c r="AA352" s="1316">
        <f ca="1">IF(OR(CostTrack[[#This Row],[Release Date (CMS)]]&gt;=DATE(VALUE(REPLACE(CostTrack[[#This Row],[Fiscal Period]],3,3,"")),3,1),CostTrack[[#This Row],[Release Date (CMS)]]&lt;DATE(VALUE(LEFT(CostTrack[[#This Row],[Fiscal Period]],4)),4,1)),1,0)</f>
        <v>0</v>
      </c>
      <c r="AB352" s="1317">
        <v>914</v>
      </c>
      <c r="AC352" s="1308">
        <v>44686</v>
      </c>
      <c r="AD352" s="402" t="str">
        <f ca="1">IF(CostTrack[[#This Row],[Reconciled Amount]]="","",IF(CostTrack[[#This Row],[Value]]&lt;&gt;CostTrack[[#This Row],[Reconciled Amount]],"Yes","No"))</f>
        <v>No</v>
      </c>
    </row>
    <row r="353" spans="2:30" ht="41.1" customHeight="1">
      <c r="B353" s="1324" t="s">
        <v>662</v>
      </c>
      <c r="C353" s="1312">
        <v>5809</v>
      </c>
      <c r="D353" s="1308">
        <v>44649</v>
      </c>
      <c r="E353" s="658">
        <v>510</v>
      </c>
      <c r="F353" s="1309" t="s">
        <v>69</v>
      </c>
      <c r="G353" s="1310">
        <f ca="1">ROUND(IF(CostTrack[[#This Row],[Holdback (Y/N/R)]]="Yes",CostTrack[[#This Row],[Value]]*-0.1,IF(CostTrack[[#This Row],[Holdback (Y/N/R)]]="Release",CostTrack[[#This Row],[Value]],0)),2)</f>
        <v>0</v>
      </c>
      <c r="H353" s="1311">
        <f ca="1">IF(CostTrack[[#This Row],[Holdback (Y/N/R)]]="Release",CostTrack[[#This Row],[Value]],CostTrack[[#This Row],[Value]]+CostTrack[[#This Row],[Holdback Value]])</f>
        <v>510</v>
      </c>
      <c r="I353" s="1312"/>
      <c r="J353" s="1312"/>
      <c r="K353" s="1313"/>
      <c r="L353" s="1325">
        <v>44650</v>
      </c>
      <c r="M353" s="1326">
        <v>44650</v>
      </c>
      <c r="N353" s="1327"/>
      <c r="O353" s="1328" t="s">
        <v>106</v>
      </c>
      <c r="P353" s="1308">
        <v>44656</v>
      </c>
      <c r="Q353" s="1314" t="str">
        <f ca="1">IF(CostTrack[[#This Row],[Vendor - Contract]]="","",INDEX(VendorList[PA ID],MATCH(CostTrack[[#This Row],[Vendor - Contract]],VendorList[Vendor / Org. with Contract ID],0)))</f>
        <v>200.050.F1</v>
      </c>
      <c r="R353" s="1314" t="str">
        <f ca="1">IF(CostTrack[[#This Row],[Vendor - Contract]]="","",INDEX(VendorList[Primary Category],MATCH(CostTrack[[#This Row],[Vendor - Contract]],VendorList[Vendor / Org. with Contract ID],0)))</f>
        <v>Professional Services</v>
      </c>
      <c r="S353" s="1314" t="str">
        <f ca="1">IF(CostTrack[[#This Row],[Vendor - Contract]]="","",INDEX(VendorList[Secondary Category],MATCH(CostTrack[[#This Row],[Vendor - Contract]],VendorList[Vendor / Org. with Contract ID],0)))</f>
        <v>Other Professional Services</v>
      </c>
      <c r="T353" s="1314" t="str">
        <f ca="1">IF(CostTrack[[#This Row],[Vendor - Contract]]="","",INDEX(VendorList[Phase / Subproject],MATCH(CostTrack[[#This Row],[Vendor - Contract]],VendorList[Vendor / Org. with Contract ID],0)))</f>
        <v>--</v>
      </c>
      <c r="U353" s="1314" t="str">
        <f ca="1">IF(CostTrack[[#This Row],[Vendor - Contract]]="","",INDEX(VendorList[Phase / Subproject 2],MATCH(CostTrack[[#This Row],[Vendor - Contract]],VendorList[Vendor / Org. with Contract ID],0)))</f>
        <v>--</v>
      </c>
      <c r="V353" s="1314" t="str">
        <f ca="1">IF(CostTrack[[#This Row],[Vendor - Contract]]="","",INDEX(VendorList[Funding Source],MATCH(CostTrack[[#This Row],[Vendor - Contract]],VendorList[Vendor / Org. with Contract ID],0)))</f>
        <v>P-002360</v>
      </c>
      <c r="W353" s="1308">
        <v>44673</v>
      </c>
      <c r="X353" s="1315" t="str">
        <f ca="1">IF(CostTrack[[#This Row],[Release Date (CMS)]]="","*","")</f>
        <v/>
      </c>
      <c r="Y353" s="1308" t="s">
        <v>53</v>
      </c>
      <c r="Z353" s="713" t="s">
        <v>1072</v>
      </c>
      <c r="AA353" s="1316">
        <f ca="1">IF(OR(CostTrack[[#This Row],[Release Date (CMS)]]&gt;=DATE(VALUE(REPLACE(CostTrack[[#This Row],[Fiscal Period]],3,3,"")),3,1),CostTrack[[#This Row],[Release Date (CMS)]]&lt;DATE(VALUE(LEFT(CostTrack[[#This Row],[Fiscal Period]],4)),4,1)),1,0)</f>
        <v>0</v>
      </c>
      <c r="AB353" s="1317">
        <v>510</v>
      </c>
      <c r="AC353" s="1308">
        <v>44686</v>
      </c>
      <c r="AD353" s="402" t="str">
        <f ca="1">IF(CostTrack[[#This Row],[Reconciled Amount]]="","",IF(CostTrack[[#This Row],[Value]]&lt;&gt;CostTrack[[#This Row],[Reconciled Amount]],"Yes","No"))</f>
        <v>No</v>
      </c>
    </row>
    <row r="354" spans="2:30" ht="101.1" customHeight="1">
      <c r="B354" s="1324" t="s">
        <v>1073</v>
      </c>
      <c r="C354" s="1312">
        <v>9000027253</v>
      </c>
      <c r="D354" s="1308">
        <v>44664</v>
      </c>
      <c r="E354" s="658">
        <v>13082.4</v>
      </c>
      <c r="F354" s="1309" t="s">
        <v>69</v>
      </c>
      <c r="G354" s="1310">
        <f ca="1">ROUND(IF(CostTrack[[#This Row],[Holdback (Y/N/R)]]="Yes",CostTrack[[#This Row],[Value]]*-0.1,IF(CostTrack[[#This Row],[Holdback (Y/N/R)]]="Release",CostTrack[[#This Row],[Value]],0)),2)</f>
        <v>0</v>
      </c>
      <c r="H354" s="1311">
        <f ca="1">IF(CostTrack[[#This Row],[Holdback (Y/N/R)]]="Release",CostTrack[[#This Row],[Value]],CostTrack[[#This Row],[Value]]+CostTrack[[#This Row],[Holdback Value]])</f>
        <v>13082.4</v>
      </c>
      <c r="I354" s="1312"/>
      <c r="J354" s="1312"/>
      <c r="K354" s="1313"/>
      <c r="L354" s="1325">
        <v>44644</v>
      </c>
      <c r="M354" s="1326">
        <v>44644</v>
      </c>
      <c r="N354" s="1327"/>
      <c r="O354" s="1328" t="s">
        <v>106</v>
      </c>
      <c r="P354" s="1308">
        <v>44644</v>
      </c>
      <c r="Q354" s="1314" t="str">
        <f ca="1">IF(CostTrack[[#This Row],[Vendor - Contract]]="","",INDEX(VendorList[PA ID],MATCH(CostTrack[[#This Row],[Vendor - Contract]],VendorList[Vendor / Org. with Contract ID],0)))</f>
        <v>400.020.F1</v>
      </c>
      <c r="R354" s="1314" t="str">
        <f ca="1">IF(CostTrack[[#This Row],[Vendor - Contract]]="","",INDEX(VendorList[Primary Category],MATCH(CostTrack[[#This Row],[Vendor - Contract]],VendorList[Vendor / Org. with Contract ID],0)))</f>
        <v>FE_IT</v>
      </c>
      <c r="S354" s="1314" t="str">
        <f ca="1">IF(CostTrack[[#This Row],[Vendor - Contract]]="","",INDEX(VendorList[Secondary Category],MATCH(CostTrack[[#This Row],[Vendor - Contract]],VendorList[Vendor / Org. with Contract ID],0)))</f>
        <v>Information Technology</v>
      </c>
      <c r="T354" s="1314" t="str">
        <f ca="1">IF(CostTrack[[#This Row],[Vendor - Contract]]="","",INDEX(VendorList[Phase / Subproject],MATCH(CostTrack[[#This Row],[Vendor - Contract]],VendorList[Vendor / Org. with Contract ID],0)))</f>
        <v>--</v>
      </c>
      <c r="U354" s="1314" t="str">
        <f ca="1">IF(CostTrack[[#This Row],[Vendor - Contract]]="","",INDEX(VendorList[Phase / Subproject 2],MATCH(CostTrack[[#This Row],[Vendor - Contract]],VendorList[Vendor / Org. with Contract ID],0)))</f>
        <v>--</v>
      </c>
      <c r="V354" s="1314" t="str">
        <f ca="1">IF(CostTrack[[#This Row],[Vendor - Contract]]="","",INDEX(VendorList[Funding Source],MATCH(CostTrack[[#This Row],[Vendor - Contract]],VendorList[Vendor / Org. with Contract ID],0)))</f>
        <v>P-002360</v>
      </c>
      <c r="W354" s="1308">
        <v>44651</v>
      </c>
      <c r="X354" s="1315" t="str">
        <f ca="1">IF(CostTrack[[#This Row],[Release Date (CMS)]]="","*","")</f>
        <v/>
      </c>
      <c r="Y354" s="1308" t="s">
        <v>50</v>
      </c>
      <c r="Z354" s="713" t="s">
        <v>1074</v>
      </c>
      <c r="AA354" s="1316">
        <f ca="1">IF(OR(CostTrack[[#This Row],[Release Date (CMS)]]&gt;=DATE(VALUE(REPLACE(CostTrack[[#This Row],[Fiscal Period]],3,3,"")),3,1),CostTrack[[#This Row],[Release Date (CMS)]]&lt;DATE(VALUE(LEFT(CostTrack[[#This Row],[Fiscal Period]],4)),4,1)),1,0)</f>
        <v>1</v>
      </c>
      <c r="AB354" s="1317">
        <v>13082.4</v>
      </c>
      <c r="AC354" s="1308">
        <v>44673</v>
      </c>
      <c r="AD354" s="402" t="str">
        <f ca="1">IF(CostTrack[[#This Row],[Reconciled Amount]]="","",IF(CostTrack[[#This Row],[Value]]&lt;&gt;CostTrack[[#This Row],[Reconciled Amount]],"Yes","No"))</f>
        <v>No</v>
      </c>
    </row>
    <row r="355" spans="2:30" ht="37.35" customHeight="1">
      <c r="B355" s="1324" t="s">
        <v>662</v>
      </c>
      <c r="C355" s="1312">
        <v>5863</v>
      </c>
      <c r="D355" s="1308">
        <v>44669</v>
      </c>
      <c r="E355" s="658">
        <v>340</v>
      </c>
      <c r="F355" s="1309" t="s">
        <v>69</v>
      </c>
      <c r="G355" s="1310">
        <f ca="1">ROUND(IF(CostTrack[[#This Row],[Holdback (Y/N/R)]]="Yes",CostTrack[[#This Row],[Value]]*-0.1,IF(CostTrack[[#This Row],[Holdback (Y/N/R)]]="Release",CostTrack[[#This Row],[Value]],0)),2)</f>
        <v>0</v>
      </c>
      <c r="H355" s="1311">
        <f ca="1">IF(CostTrack[[#This Row],[Holdback (Y/N/R)]]="Release",CostTrack[[#This Row],[Value]],CostTrack[[#This Row],[Value]]+CostTrack[[#This Row],[Holdback Value]])</f>
        <v>340</v>
      </c>
      <c r="I355" s="1312"/>
      <c r="J355" s="1312"/>
      <c r="K355" s="1313"/>
      <c r="L355" s="1325">
        <v>44638</v>
      </c>
      <c r="M355" s="1326">
        <v>44639</v>
      </c>
      <c r="N355" s="1327"/>
      <c r="O355" s="1328" t="s">
        <v>106</v>
      </c>
      <c r="P355" s="1308">
        <v>44639</v>
      </c>
      <c r="Q355" s="1314" t="str">
        <f ca="1">IF(CostTrack[[#This Row],[Vendor - Contract]]="","",INDEX(VendorList[PA ID],MATCH(CostTrack[[#This Row],[Vendor - Contract]],VendorList[Vendor / Org. with Contract ID],0)))</f>
        <v>200.050.F1</v>
      </c>
      <c r="R355" s="1314" t="str">
        <f ca="1">IF(CostTrack[[#This Row],[Vendor - Contract]]="","",INDEX(VendorList[Primary Category],MATCH(CostTrack[[#This Row],[Vendor - Contract]],VendorList[Vendor / Org. with Contract ID],0)))</f>
        <v>Professional Services</v>
      </c>
      <c r="S355" s="1314" t="str">
        <f ca="1">IF(CostTrack[[#This Row],[Vendor - Contract]]="","",INDEX(VendorList[Secondary Category],MATCH(CostTrack[[#This Row],[Vendor - Contract]],VendorList[Vendor / Org. with Contract ID],0)))</f>
        <v>Other Professional Services</v>
      </c>
      <c r="T355" s="1314" t="str">
        <f ca="1">IF(CostTrack[[#This Row],[Vendor - Contract]]="","",INDEX(VendorList[Phase / Subproject],MATCH(CostTrack[[#This Row],[Vendor - Contract]],VendorList[Vendor / Org. with Contract ID],0)))</f>
        <v>--</v>
      </c>
      <c r="U355" s="1314" t="str">
        <f ca="1">IF(CostTrack[[#This Row],[Vendor - Contract]]="","",INDEX(VendorList[Phase / Subproject 2],MATCH(CostTrack[[#This Row],[Vendor - Contract]],VendorList[Vendor / Org. with Contract ID],0)))</f>
        <v>--</v>
      </c>
      <c r="V355" s="1314" t="str">
        <f ca="1">IF(CostTrack[[#This Row],[Vendor - Contract]]="","",INDEX(VendorList[Funding Source],MATCH(CostTrack[[#This Row],[Vendor - Contract]],VendorList[Vendor / Org. with Contract ID],0)))</f>
        <v>P-002360</v>
      </c>
      <c r="W355" s="1308">
        <v>44676</v>
      </c>
      <c r="X355" s="1315" t="str">
        <f ca="1">IF(CostTrack[[#This Row],[Release Date (CMS)]]="","*","")</f>
        <v/>
      </c>
      <c r="Y355" s="1308" t="s">
        <v>53</v>
      </c>
      <c r="Z355" s="713"/>
      <c r="AA355" s="1316">
        <f ca="1">IF(OR(CostTrack[[#This Row],[Release Date (CMS)]]&gt;=DATE(VALUE(REPLACE(CostTrack[[#This Row],[Fiscal Period]],3,3,"")),3,1),CostTrack[[#This Row],[Release Date (CMS)]]&lt;DATE(VALUE(LEFT(CostTrack[[#This Row],[Fiscal Period]],4)),4,1)),1,0)</f>
        <v>0</v>
      </c>
      <c r="AB355" s="1317">
        <v>340</v>
      </c>
      <c r="AC355" s="1308">
        <v>44686</v>
      </c>
      <c r="AD355" s="402" t="str">
        <f ca="1">IF(CostTrack[[#This Row],[Reconciled Amount]]="","",IF(CostTrack[[#This Row],[Value]]&lt;&gt;CostTrack[[#This Row],[Reconciled Amount]],"Yes","No"))</f>
        <v>No</v>
      </c>
    </row>
    <row r="356" spans="2:30" ht="48" customHeight="1">
      <c r="B356" s="1324" t="s">
        <v>731</v>
      </c>
      <c r="C356" s="1312">
        <v>800005518</v>
      </c>
      <c r="D356" s="1308">
        <v>44679</v>
      </c>
      <c r="E356" s="658">
        <v>187.78</v>
      </c>
      <c r="F356" s="1309" t="s">
        <v>69</v>
      </c>
      <c r="G356" s="1310">
        <f ca="1">ROUND(IF(CostTrack[[#This Row],[Holdback (Y/N/R)]]="Yes",CostTrack[[#This Row],[Value]]*-0.1,IF(CostTrack[[#This Row],[Holdback (Y/N/R)]]="Release",CostTrack[[#This Row],[Value]],0)),2)</f>
        <v>0</v>
      </c>
      <c r="H356" s="1311">
        <f ca="1">IF(CostTrack[[#This Row],[Holdback (Y/N/R)]]="Release",CostTrack[[#This Row],[Value]],CostTrack[[#This Row],[Value]]+CostTrack[[#This Row],[Holdback Value]])</f>
        <v>187.78</v>
      </c>
      <c r="I356" s="1312"/>
      <c r="J356" s="1312"/>
      <c r="K356" s="1313"/>
      <c r="L356" s="1325">
        <v>44679</v>
      </c>
      <c r="M356" s="1326">
        <v>44679</v>
      </c>
      <c r="N356" s="1327"/>
      <c r="O356" s="1328" t="s">
        <v>106</v>
      </c>
      <c r="P356" s="1308">
        <v>44679</v>
      </c>
      <c r="Q356" s="1314" t="str">
        <f ca="1">IF(CostTrack[[#This Row],[Vendor - Contract]]="","",INDEX(VendorList[PA ID],MATCH(CostTrack[[#This Row],[Vendor - Contract]],VendorList[Vendor / Org. with Contract ID],0)))</f>
        <v>100.050.F1</v>
      </c>
      <c r="R356" s="1314" t="str">
        <f ca="1">IF(CostTrack[[#This Row],[Vendor - Contract]]="","",INDEX(VendorList[Primary Category],MATCH(CostTrack[[#This Row],[Vendor - Contract]],VendorList[Vendor / Org. with Contract ID],0)))</f>
        <v>Administration</v>
      </c>
      <c r="S356" s="1314" t="str">
        <f ca="1">IF(CostTrack[[#This Row],[Vendor - Contract]]="","",INDEX(VendorList[Secondary Category],MATCH(CostTrack[[#This Row],[Vendor - Contract]],VendorList[Vendor / Org. with Contract ID],0)))</f>
        <v>Other Administration</v>
      </c>
      <c r="T356" s="1314" t="str">
        <f ca="1">IF(CostTrack[[#This Row],[Vendor - Contract]]="","",INDEX(VendorList[Phase / Subproject],MATCH(CostTrack[[#This Row],[Vendor - Contract]],VendorList[Vendor / Org. with Contract ID],0)))</f>
        <v>--</v>
      </c>
      <c r="U356" s="1314" t="str">
        <f ca="1">IF(CostTrack[[#This Row],[Vendor - Contract]]="","",INDEX(VendorList[Phase / Subproject 2],MATCH(CostTrack[[#This Row],[Vendor - Contract]],VendorList[Vendor / Org. with Contract ID],0)))</f>
        <v>--</v>
      </c>
      <c r="V356" s="1314" t="str">
        <f ca="1">IF(CostTrack[[#This Row],[Vendor - Contract]]="","",INDEX(VendorList[Funding Source],MATCH(CostTrack[[#This Row],[Vendor - Contract]],VendorList[Vendor / Org. with Contract ID],0)))</f>
        <v>P-002360</v>
      </c>
      <c r="W356" s="1308">
        <v>44690</v>
      </c>
      <c r="X356" s="1315" t="str">
        <f ca="1">IF(CostTrack[[#This Row],[Release Date (CMS)]]="","*","")</f>
        <v/>
      </c>
      <c r="Y356" s="1308" t="s">
        <v>53</v>
      </c>
      <c r="Z356" s="652" t="s">
        <v>1075</v>
      </c>
      <c r="AA356" s="1316">
        <f ca="1">IF(OR(CostTrack[[#This Row],[Release Date (CMS)]]&gt;=DATE(VALUE(REPLACE(CostTrack[[#This Row],[Fiscal Period]],3,3,"")),3,1),CostTrack[[#This Row],[Release Date (CMS)]]&lt;DATE(VALUE(LEFT(CostTrack[[#This Row],[Fiscal Period]],4)),4,1)),1,0)</f>
        <v>0</v>
      </c>
      <c r="AB356" s="1317">
        <v>187.78</v>
      </c>
      <c r="AC356" s="1308">
        <v>44706</v>
      </c>
      <c r="AD356" s="402" t="str">
        <f ca="1">IF(CostTrack[[#This Row],[Reconciled Amount]]="","",IF(CostTrack[[#This Row],[Value]]&lt;&gt;CostTrack[[#This Row],[Reconciled Amount]],"Yes","No"))</f>
        <v>No</v>
      </c>
    </row>
    <row r="357" spans="2:30" ht="31.5" customHeight="1">
      <c r="B357" s="1324" t="s">
        <v>662</v>
      </c>
      <c r="C357" s="1312">
        <v>6012</v>
      </c>
      <c r="D357" s="1308">
        <v>44681</v>
      </c>
      <c r="E357" s="658">
        <v>340</v>
      </c>
      <c r="F357" s="1309" t="s">
        <v>69</v>
      </c>
      <c r="G357" s="1310">
        <f ca="1">ROUND(IF(CostTrack[[#This Row],[Holdback (Y/N/R)]]="Yes",CostTrack[[#This Row],[Value]]*-0.1,IF(CostTrack[[#This Row],[Holdback (Y/N/R)]]="Release",CostTrack[[#This Row],[Value]],0)),2)</f>
        <v>0</v>
      </c>
      <c r="H357" s="1311">
        <f ca="1">IF(CostTrack[[#This Row],[Holdback (Y/N/R)]]="Release",CostTrack[[#This Row],[Value]],CostTrack[[#This Row],[Value]]+CostTrack[[#This Row],[Holdback Value]])</f>
        <v>340</v>
      </c>
      <c r="I357" s="1312"/>
      <c r="J357" s="1312"/>
      <c r="K357" s="1313"/>
      <c r="L357" s="1325">
        <v>44684</v>
      </c>
      <c r="M357" s="1326">
        <v>44686</v>
      </c>
      <c r="N357" s="1327"/>
      <c r="O357" s="1328" t="s">
        <v>106</v>
      </c>
      <c r="P357" s="1308">
        <v>44686</v>
      </c>
      <c r="Q357" s="1314" t="str">
        <f ca="1">IF(CostTrack[[#This Row],[Vendor - Contract]]="","",INDEX(VendorList[PA ID],MATCH(CostTrack[[#This Row],[Vendor - Contract]],VendorList[Vendor / Org. with Contract ID],0)))</f>
        <v>200.050.F1</v>
      </c>
      <c r="R357" s="1314" t="str">
        <f ca="1">IF(CostTrack[[#This Row],[Vendor - Contract]]="","",INDEX(VendorList[Primary Category],MATCH(CostTrack[[#This Row],[Vendor - Contract]],VendorList[Vendor / Org. with Contract ID],0)))</f>
        <v>Professional Services</v>
      </c>
      <c r="S357" s="1314" t="str">
        <f ca="1">IF(CostTrack[[#This Row],[Vendor - Contract]]="","",INDEX(VendorList[Secondary Category],MATCH(CostTrack[[#This Row],[Vendor - Contract]],VendorList[Vendor / Org. with Contract ID],0)))</f>
        <v>Other Professional Services</v>
      </c>
      <c r="T357" s="1314" t="str">
        <f ca="1">IF(CostTrack[[#This Row],[Vendor - Contract]]="","",INDEX(VendorList[Phase / Subproject],MATCH(CostTrack[[#This Row],[Vendor - Contract]],VendorList[Vendor / Org. with Contract ID],0)))</f>
        <v>--</v>
      </c>
      <c r="U357" s="1314" t="str">
        <f ca="1">IF(CostTrack[[#This Row],[Vendor - Contract]]="","",INDEX(VendorList[Phase / Subproject 2],MATCH(CostTrack[[#This Row],[Vendor - Contract]],VendorList[Vendor / Org. with Contract ID],0)))</f>
        <v>--</v>
      </c>
      <c r="V357" s="1314" t="str">
        <f ca="1">IF(CostTrack[[#This Row],[Vendor - Contract]]="","",INDEX(VendorList[Funding Source],MATCH(CostTrack[[#This Row],[Vendor - Contract]],VendorList[Vendor / Org. with Contract ID],0)))</f>
        <v>P-002360</v>
      </c>
      <c r="W357" s="1308">
        <v>44686</v>
      </c>
      <c r="X357" s="1315" t="str">
        <f ca="1">IF(CostTrack[[#This Row],[Release Date (CMS)]]="","*","")</f>
        <v/>
      </c>
      <c r="Y357" s="1308" t="s">
        <v>53</v>
      </c>
      <c r="Z357" s="713"/>
      <c r="AA357" s="1316">
        <f ca="1">IF(OR(CostTrack[[#This Row],[Release Date (CMS)]]&gt;=DATE(VALUE(REPLACE(CostTrack[[#This Row],[Fiscal Period]],3,3,"")),3,1),CostTrack[[#This Row],[Release Date (CMS)]]&lt;DATE(VALUE(LEFT(CostTrack[[#This Row],[Fiscal Period]],4)),4,1)),1,0)</f>
        <v>0</v>
      </c>
      <c r="AB357" s="1317">
        <v>340</v>
      </c>
      <c r="AC357" s="1308">
        <v>44706</v>
      </c>
      <c r="AD357" s="402" t="str">
        <f ca="1">IF(CostTrack[[#This Row],[Reconciled Amount]]="","",IF(CostTrack[[#This Row],[Value]]&lt;&gt;CostTrack[[#This Row],[Reconciled Amount]],"Yes","No"))</f>
        <v>No</v>
      </c>
    </row>
    <row r="358" spans="2:30" ht="38.1" customHeight="1">
      <c r="B358" s="1324" t="s">
        <v>527</v>
      </c>
      <c r="C358" s="650" t="s">
        <v>1076</v>
      </c>
      <c r="D358" s="1308">
        <v>44681</v>
      </c>
      <c r="E358" s="658">
        <v>76652.89</v>
      </c>
      <c r="F358" s="1309" t="s">
        <v>69</v>
      </c>
      <c r="G358" s="1310">
        <f ca="1">ROUND(IF(CostTrack[[#This Row],[Holdback (Y/N/R)]]="Yes",CostTrack[[#This Row],[Value]]*-0.1,IF(CostTrack[[#This Row],[Holdback (Y/N/R)]]="Release",CostTrack[[#This Row],[Value]],0)),2)</f>
        <v>0</v>
      </c>
      <c r="H358" s="1311">
        <f ca="1">IF(CostTrack[[#This Row],[Holdback (Y/N/R)]]="Release",CostTrack[[#This Row],[Value]],CostTrack[[#This Row],[Value]]+CostTrack[[#This Row],[Holdback Value]])</f>
        <v>76652.89</v>
      </c>
      <c r="I358" s="1312"/>
      <c r="J358" s="1312"/>
      <c r="K358" s="1313"/>
      <c r="L358" s="1325">
        <v>44686</v>
      </c>
      <c r="M358" s="1326">
        <v>44690</v>
      </c>
      <c r="N358" s="1327" t="s">
        <v>175</v>
      </c>
      <c r="O358" s="1328" t="s">
        <v>106</v>
      </c>
      <c r="P358" s="267">
        <v>44690</v>
      </c>
      <c r="Q358" s="1314" t="str">
        <f ca="1">IF(CostTrack[[#This Row],[Vendor - Contract]]="","",INDEX(VendorList[PA ID],MATCH(CostTrack[[#This Row],[Vendor - Contract]],VendorList[Vendor / Org. with Contract ID],0)))</f>
        <v>200.010.F1</v>
      </c>
      <c r="R358" s="1314" t="str">
        <f ca="1">IF(CostTrack[[#This Row],[Vendor - Contract]]="","",INDEX(VendorList[Primary Category],MATCH(CostTrack[[#This Row],[Vendor - Contract]],VendorList[Vendor / Org. with Contract ID],0)))</f>
        <v>Professional Services</v>
      </c>
      <c r="S358" s="1314" t="str">
        <f ca="1">IF(CostTrack[[#This Row],[Vendor - Contract]]="","",INDEX(VendorList[Secondary Category],MATCH(CostTrack[[#This Row],[Vendor - Contract]],VendorList[Vendor / Org. with Contract ID],0)))</f>
        <v>Prime Consultant</v>
      </c>
      <c r="T358" s="1314" t="str">
        <f ca="1">IF(CostTrack[[#This Row],[Vendor - Contract]]="","",INDEX(VendorList[Phase / Subproject],MATCH(CostTrack[[#This Row],[Vendor - Contract]],VendorList[Vendor / Org. with Contract ID],0)))</f>
        <v>--</v>
      </c>
      <c r="U358" s="1314" t="str">
        <f ca="1">IF(CostTrack[[#This Row],[Vendor - Contract]]="","",INDEX(VendorList[Phase / Subproject 2],MATCH(CostTrack[[#This Row],[Vendor - Contract]],VendorList[Vendor / Org. with Contract ID],0)))</f>
        <v>--</v>
      </c>
      <c r="V358" s="1314" t="str">
        <f ca="1">IF(CostTrack[[#This Row],[Vendor - Contract]]="","",INDEX(VendorList[Funding Source],MATCH(CostTrack[[#This Row],[Vendor - Contract]],VendorList[Vendor / Org. with Contract ID],0)))</f>
        <v>P-002360</v>
      </c>
      <c r="W358" s="267">
        <v>44690</v>
      </c>
      <c r="X358" s="1315" t="str">
        <f ca="1">IF(CostTrack[[#This Row],[Release Date (CMS)]]="","*","")</f>
        <v/>
      </c>
      <c r="Y358" s="1308" t="s">
        <v>53</v>
      </c>
      <c r="Z358" s="713"/>
      <c r="AA358" s="1316">
        <f ca="1">IF(OR(CostTrack[[#This Row],[Release Date (CMS)]]&gt;=DATE(VALUE(REPLACE(CostTrack[[#This Row],[Fiscal Period]],3,3,"")),3,1),CostTrack[[#This Row],[Release Date (CMS)]]&lt;DATE(VALUE(LEFT(CostTrack[[#This Row],[Fiscal Period]],4)),4,1)),1,0)</f>
        <v>0</v>
      </c>
      <c r="AB358" s="1317">
        <v>76652.89</v>
      </c>
      <c r="AC358" s="1308">
        <v>44706</v>
      </c>
      <c r="AD358" s="402" t="str">
        <f ca="1">IF(CostTrack[[#This Row],[Reconciled Amount]]="","",IF(CostTrack[[#This Row],[Value]]&lt;&gt;CostTrack[[#This Row],[Reconciled Amount]],"Yes","No"))</f>
        <v>No</v>
      </c>
    </row>
    <row r="359" spans="2:30" ht="32.1" customHeight="1">
      <c r="B359" s="1324" t="s">
        <v>528</v>
      </c>
      <c r="C359" s="1312">
        <v>60756453</v>
      </c>
      <c r="D359" s="1308">
        <v>44691</v>
      </c>
      <c r="E359" s="658">
        <v>7618</v>
      </c>
      <c r="F359" s="1309" t="s">
        <v>69</v>
      </c>
      <c r="G359" s="1310">
        <f ca="1">ROUND(IF(CostTrack[[#This Row],[Holdback (Y/N/R)]]="Yes",CostTrack[[#This Row],[Value]]*-0.1,IF(CostTrack[[#This Row],[Holdback (Y/N/R)]]="Release",CostTrack[[#This Row],[Value]],0)),2)</f>
        <v>0</v>
      </c>
      <c r="H359" s="1311">
        <f ca="1">IF(CostTrack[[#This Row],[Holdback (Y/N/R)]]="Release",CostTrack[[#This Row],[Value]],CostTrack[[#This Row],[Value]]+CostTrack[[#This Row],[Holdback Value]])</f>
        <v>7618</v>
      </c>
      <c r="I359" s="1312"/>
      <c r="J359" s="1312"/>
      <c r="K359" s="1313"/>
      <c r="L359" s="1325">
        <v>44692</v>
      </c>
      <c r="M359" s="1326">
        <v>44692</v>
      </c>
      <c r="N359" s="1327"/>
      <c r="O359" s="1328" t="s">
        <v>106</v>
      </c>
      <c r="P359" s="1308">
        <v>44699</v>
      </c>
      <c r="Q359" s="1314" t="str">
        <f ca="1">IF(CostTrack[[#This Row],[Vendor - Contract]]="","",INDEX(VendorList[PA ID],MATCH(CostTrack[[#This Row],[Vendor - Contract]],VendorList[Vendor / Org. with Contract ID],0)))</f>
        <v>200.050.F1</v>
      </c>
      <c r="R359" s="1314" t="str">
        <f ca="1">IF(CostTrack[[#This Row],[Vendor - Contract]]="","",INDEX(VendorList[Primary Category],MATCH(CostTrack[[#This Row],[Vendor - Contract]],VendorList[Vendor / Org. with Contract ID],0)))</f>
        <v>Professional Services</v>
      </c>
      <c r="S359" s="1314" t="str">
        <f ca="1">IF(CostTrack[[#This Row],[Vendor - Contract]]="","",INDEX(VendorList[Secondary Category],MATCH(CostTrack[[#This Row],[Vendor - Contract]],VendorList[Vendor / Org. with Contract ID],0)))</f>
        <v>Other Professional Services</v>
      </c>
      <c r="T359" s="1314" t="str">
        <f ca="1">IF(CostTrack[[#This Row],[Vendor - Contract]]="","",INDEX(VendorList[Phase / Subproject],MATCH(CostTrack[[#This Row],[Vendor - Contract]],VendorList[Vendor / Org. with Contract ID],0)))</f>
        <v>--</v>
      </c>
      <c r="U359" s="1314" t="str">
        <f ca="1">IF(CostTrack[[#This Row],[Vendor - Contract]]="","",INDEX(VendorList[Phase / Subproject 2],MATCH(CostTrack[[#This Row],[Vendor - Contract]],VendorList[Vendor / Org. with Contract ID],0)))</f>
        <v>--</v>
      </c>
      <c r="V359" s="1314" t="str">
        <f ca="1">IF(CostTrack[[#This Row],[Vendor - Contract]]="","",INDEX(VendorList[Funding Source],MATCH(CostTrack[[#This Row],[Vendor - Contract]],VendorList[Vendor / Org. with Contract ID],0)))</f>
        <v>P-002360</v>
      </c>
      <c r="W359" s="1308">
        <v>44699</v>
      </c>
      <c r="X359" s="1315" t="str">
        <f ca="1">IF(CostTrack[[#This Row],[Release Date (CMS)]]="","*","")</f>
        <v/>
      </c>
      <c r="Y359" s="1308" t="s">
        <v>53</v>
      </c>
      <c r="Z359" s="713"/>
      <c r="AA359" s="1316">
        <f ca="1">IF(OR(CostTrack[[#This Row],[Release Date (CMS)]]&gt;=DATE(VALUE(REPLACE(CostTrack[[#This Row],[Fiscal Period]],3,3,"")),3,1),CostTrack[[#This Row],[Release Date (CMS)]]&lt;DATE(VALUE(LEFT(CostTrack[[#This Row],[Fiscal Period]],4)),4,1)),1,0)</f>
        <v>0</v>
      </c>
      <c r="AB359" s="1317">
        <v>7618</v>
      </c>
      <c r="AC359" s="1308">
        <v>44706</v>
      </c>
      <c r="AD359" s="402" t="str">
        <f ca="1">IF(CostTrack[[#This Row],[Reconciled Amount]]="","",IF(CostTrack[[#This Row],[Value]]&lt;&gt;CostTrack[[#This Row],[Reconciled Amount]],"Yes","No"))</f>
        <v>No</v>
      </c>
    </row>
    <row r="360" spans="2:30" ht="32.1" customHeight="1">
      <c r="B360" s="1324" t="s">
        <v>529</v>
      </c>
      <c r="C360" s="650" t="s">
        <v>1077</v>
      </c>
      <c r="D360" s="1308">
        <v>44679</v>
      </c>
      <c r="E360" s="658">
        <v>4248930.6100000003</v>
      </c>
      <c r="F360" s="1309" t="s">
        <v>65</v>
      </c>
      <c r="G360" s="1310">
        <f ca="1">ROUND(IF(CostTrack[[#This Row],[Holdback (Y/N/R)]]="Yes",CostTrack[[#This Row],[Value]]*-0.1,IF(CostTrack[[#This Row],[Holdback (Y/N/R)]]="Release",CostTrack[[#This Row],[Value]],0)),2)</f>
        <v>-424893.06</v>
      </c>
      <c r="H360" s="1311">
        <f ca="1">IF(CostTrack[[#This Row],[Holdback (Y/N/R)]]="Release",CostTrack[[#This Row],[Value]],CostTrack[[#This Row],[Value]]+CostTrack[[#This Row],[Holdback Value]])</f>
        <v>3824037.5500000003</v>
      </c>
      <c r="I360" s="650" t="s">
        <v>1078</v>
      </c>
      <c r="J360" s="1312"/>
      <c r="K360" s="1313"/>
      <c r="L360" s="1325">
        <v>44694</v>
      </c>
      <c r="M360" s="1326">
        <v>44705</v>
      </c>
      <c r="N360" s="1327" t="s">
        <v>175</v>
      </c>
      <c r="O360" s="1328" t="s">
        <v>106</v>
      </c>
      <c r="P360" s="1308">
        <v>44705</v>
      </c>
      <c r="Q360" s="1314" t="str">
        <f ca="1">IF(CostTrack[[#This Row],[Vendor - Contract]]="","",INDEX(VendorList[PA ID],MATCH(CostTrack[[#This Row],[Vendor - Contract]],VendorList[Vendor / Org. with Contract ID],0)))</f>
        <v>300.030.F1</v>
      </c>
      <c r="R360" s="1314" t="str">
        <f ca="1">IF(CostTrack[[#This Row],[Vendor - Contract]]="","",INDEX(VendorList[Primary Category],MATCH(CostTrack[[#This Row],[Vendor - Contract]],VendorList[Vendor / Org. with Contract ID],0)))</f>
        <v>Construction</v>
      </c>
      <c r="S360" s="1314" t="str">
        <f ca="1">IF(CostTrack[[#This Row],[Vendor - Contract]]="","",INDEX(VendorList[Secondary Category],MATCH(CostTrack[[#This Row],[Vendor - Contract]],VendorList[Vendor / Org. with Contract ID],0)))</f>
        <v>Prime Contractor</v>
      </c>
      <c r="T360" s="1314" t="str">
        <f ca="1">IF(CostTrack[[#This Row],[Vendor - Contract]]="","",INDEX(VendorList[Phase / Subproject],MATCH(CostTrack[[#This Row],[Vendor - Contract]],VendorList[Vendor / Org. with Contract ID],0)))</f>
        <v>--</v>
      </c>
      <c r="U360" s="1314" t="str">
        <f ca="1">IF(CostTrack[[#This Row],[Vendor - Contract]]="","",INDEX(VendorList[Phase / Subproject 2],MATCH(CostTrack[[#This Row],[Vendor - Contract]],VendorList[Vendor / Org. with Contract ID],0)))</f>
        <v>--</v>
      </c>
      <c r="V360" s="1314" t="str">
        <f ca="1">IF(CostTrack[[#This Row],[Vendor - Contract]]="","",INDEX(VendorList[Funding Source],MATCH(CostTrack[[#This Row],[Vendor - Contract]],VendorList[Vendor / Org. with Contract ID],0)))</f>
        <v>P-002360</v>
      </c>
      <c r="W360" s="1308">
        <v>44705</v>
      </c>
      <c r="X360" s="1315" t="str">
        <f ca="1">IF(CostTrack[[#This Row],[Release Date (CMS)]]="","*","")</f>
        <v/>
      </c>
      <c r="Y360" s="1308" t="s">
        <v>53</v>
      </c>
      <c r="Z360" s="713"/>
      <c r="AA360" s="1316">
        <f ca="1">IF(OR(CostTrack[[#This Row],[Release Date (CMS)]]&gt;=DATE(VALUE(REPLACE(CostTrack[[#This Row],[Fiscal Period]],3,3,"")),3,1),CostTrack[[#This Row],[Release Date (CMS)]]&lt;DATE(VALUE(LEFT(CostTrack[[#This Row],[Fiscal Period]],4)),4,1)),1,0)</f>
        <v>0</v>
      </c>
      <c r="AB360" s="1317">
        <v>4248930.6100000003</v>
      </c>
      <c r="AC360" s="1308">
        <v>44714</v>
      </c>
      <c r="AD360" s="402" t="str">
        <f ca="1">IF(CostTrack[[#This Row],[Reconciled Amount]]="","",IF(CostTrack[[#This Row],[Value]]&lt;&gt;CostTrack[[#This Row],[Reconciled Amount]],"Yes","No"))</f>
        <v>No</v>
      </c>
    </row>
    <row r="361" spans="2:30" ht="34.15" customHeight="1">
      <c r="B361" s="1324" t="s">
        <v>662</v>
      </c>
      <c r="C361" s="1312">
        <v>6067</v>
      </c>
      <c r="D361" s="1308">
        <v>44701</v>
      </c>
      <c r="E361" s="658">
        <v>510</v>
      </c>
      <c r="F361" s="1309" t="s">
        <v>69</v>
      </c>
      <c r="G361" s="1310">
        <f ca="1">ROUND(IF(CostTrack[[#This Row],[Holdback (Y/N/R)]]="Yes",CostTrack[[#This Row],[Value]]*-0.1,IF(CostTrack[[#This Row],[Holdback (Y/N/R)]]="Release",CostTrack[[#This Row],[Value]],0)),2)</f>
        <v>0</v>
      </c>
      <c r="H361" s="1311">
        <f ca="1">IF(CostTrack[[#This Row],[Holdback (Y/N/R)]]="Release",CostTrack[[#This Row],[Value]],CostTrack[[#This Row],[Value]]+CostTrack[[#This Row],[Holdback Value]])</f>
        <v>510</v>
      </c>
      <c r="I361" s="1312"/>
      <c r="J361" s="1312"/>
      <c r="K361" s="1313"/>
      <c r="L361" s="1325">
        <v>44705</v>
      </c>
      <c r="M361" s="1326">
        <v>44705</v>
      </c>
      <c r="N361" s="1327"/>
      <c r="O361" s="1328" t="s">
        <v>106</v>
      </c>
      <c r="P361" s="1308">
        <v>44706</v>
      </c>
      <c r="Q361" s="1314" t="str">
        <f ca="1">IF(CostTrack[[#This Row],[Vendor - Contract]]="","",INDEX(VendorList[PA ID],MATCH(CostTrack[[#This Row],[Vendor - Contract]],VendorList[Vendor / Org. with Contract ID],0)))</f>
        <v>200.050.F1</v>
      </c>
      <c r="R361" s="1314" t="str">
        <f ca="1">IF(CostTrack[[#This Row],[Vendor - Contract]]="","",INDEX(VendorList[Primary Category],MATCH(CostTrack[[#This Row],[Vendor - Contract]],VendorList[Vendor / Org. with Contract ID],0)))</f>
        <v>Professional Services</v>
      </c>
      <c r="S361" s="1314" t="str">
        <f ca="1">IF(CostTrack[[#This Row],[Vendor - Contract]]="","",INDEX(VendorList[Secondary Category],MATCH(CostTrack[[#This Row],[Vendor - Contract]],VendorList[Vendor / Org. with Contract ID],0)))</f>
        <v>Other Professional Services</v>
      </c>
      <c r="T361" s="1314" t="str">
        <f ca="1">IF(CostTrack[[#This Row],[Vendor - Contract]]="","",INDEX(VendorList[Phase / Subproject],MATCH(CostTrack[[#This Row],[Vendor - Contract]],VendorList[Vendor / Org. with Contract ID],0)))</f>
        <v>--</v>
      </c>
      <c r="U361" s="1314" t="str">
        <f ca="1">IF(CostTrack[[#This Row],[Vendor - Contract]]="","",INDEX(VendorList[Phase / Subproject 2],MATCH(CostTrack[[#This Row],[Vendor - Contract]],VendorList[Vendor / Org. with Contract ID],0)))</f>
        <v>--</v>
      </c>
      <c r="V361" s="1314" t="str">
        <f ca="1">IF(CostTrack[[#This Row],[Vendor - Contract]]="","",INDEX(VendorList[Funding Source],MATCH(CostTrack[[#This Row],[Vendor - Contract]],VendorList[Vendor / Org. with Contract ID],0)))</f>
        <v>P-002360</v>
      </c>
      <c r="W361" s="1308">
        <v>44706</v>
      </c>
      <c r="X361" s="1315" t="str">
        <f ca="1">IF(CostTrack[[#This Row],[Release Date (CMS)]]="","*","")</f>
        <v/>
      </c>
      <c r="Y361" s="1308" t="s">
        <v>53</v>
      </c>
      <c r="Z361" s="713"/>
      <c r="AA361" s="1316">
        <f ca="1">IF(OR(CostTrack[[#This Row],[Release Date (CMS)]]&gt;=DATE(VALUE(REPLACE(CostTrack[[#This Row],[Fiscal Period]],3,3,"")),3,1),CostTrack[[#This Row],[Release Date (CMS)]]&lt;DATE(VALUE(LEFT(CostTrack[[#This Row],[Fiscal Period]],4)),4,1)),1,0)</f>
        <v>0</v>
      </c>
      <c r="AB361" s="1317">
        <v>510</v>
      </c>
      <c r="AC361" s="1308">
        <v>44714</v>
      </c>
      <c r="AD361" s="402" t="str">
        <f ca="1">IF(CostTrack[[#This Row],[Reconciled Amount]]="","",IF(CostTrack[[#This Row],[Value]]&lt;&gt;CostTrack[[#This Row],[Reconciled Amount]],"Yes","No"))</f>
        <v>No</v>
      </c>
    </row>
    <row r="362" spans="2:30" ht="45.75" customHeight="1">
      <c r="B362" s="1324" t="s">
        <v>736</v>
      </c>
      <c r="C362" s="650" t="s">
        <v>1079</v>
      </c>
      <c r="D362" s="1308">
        <v>44712</v>
      </c>
      <c r="E362" s="658">
        <v>114783.4</v>
      </c>
      <c r="F362" s="1309" t="s">
        <v>69</v>
      </c>
      <c r="G362" s="1310">
        <f ca="1">ROUND(IF(CostTrack[[#This Row],[Holdback (Y/N/R)]]="Yes",CostTrack[[#This Row],[Value]]*-0.1,IF(CostTrack[[#This Row],[Holdback (Y/N/R)]]="Release",CostTrack[[#This Row],[Value]],0)),2)</f>
        <v>0</v>
      </c>
      <c r="H362" s="1311">
        <f ca="1">IF(CostTrack[[#This Row],[Holdback (Y/N/R)]]="Release",CostTrack[[#This Row],[Value]],CostTrack[[#This Row],[Value]]+CostTrack[[#This Row],[Holdback Value]])</f>
        <v>114783.4</v>
      </c>
      <c r="I362" s="1312"/>
      <c r="J362" s="1312"/>
      <c r="K362" s="1313"/>
      <c r="L362" s="1325">
        <v>44712</v>
      </c>
      <c r="M362" s="1326">
        <v>44712</v>
      </c>
      <c r="N362" s="1327"/>
      <c r="O362" s="1328" t="s">
        <v>106</v>
      </c>
      <c r="P362" s="1308">
        <v>44712</v>
      </c>
      <c r="Q362" s="1314" t="str">
        <f ca="1">IF(CostTrack[[#This Row],[Vendor - Contract]]="","",INDEX(VendorList[PA ID],MATCH(CostTrack[[#This Row],[Vendor - Contract]],VendorList[Vendor / Org. with Contract ID],0)))</f>
        <v>100.010.F1</v>
      </c>
      <c r="R362" s="1314" t="str">
        <f ca="1">IF(CostTrack[[#This Row],[Vendor - Contract]]="","",INDEX(VendorList[Primary Category],MATCH(CostTrack[[#This Row],[Vendor - Contract]],VendorList[Vendor / Org. with Contract ID],0)))</f>
        <v>Administration</v>
      </c>
      <c r="S362" s="1314" t="str">
        <f ca="1">IF(CostTrack[[#This Row],[Vendor - Contract]]="","",INDEX(VendorList[Secondary Category],MATCH(CostTrack[[#This Row],[Vendor - Contract]],VendorList[Vendor / Org. with Contract ID],0)))</f>
        <v>Staff Capitalization - INFRA</v>
      </c>
      <c r="T362" s="1314" t="str">
        <f ca="1">IF(CostTrack[[#This Row],[Vendor - Contract]]="","",INDEX(VendorList[Phase / Subproject],MATCH(CostTrack[[#This Row],[Vendor - Contract]],VendorList[Vendor / Org. with Contract ID],0)))</f>
        <v>--</v>
      </c>
      <c r="U362" s="1314" t="str">
        <f ca="1">IF(CostTrack[[#This Row],[Vendor - Contract]]="","",INDEX(VendorList[Phase / Subproject 2],MATCH(CostTrack[[#This Row],[Vendor - Contract]],VendorList[Vendor / Org. with Contract ID],0)))</f>
        <v>--</v>
      </c>
      <c r="V362" s="1314" t="str">
        <f ca="1">IF(CostTrack[[#This Row],[Vendor - Contract]]="","",INDEX(VendorList[Funding Source],MATCH(CostTrack[[#This Row],[Vendor - Contract]],VendorList[Vendor / Org. with Contract ID],0)))</f>
        <v>P-002360</v>
      </c>
      <c r="W362" s="1308">
        <v>44712</v>
      </c>
      <c r="X362" s="1315" t="str">
        <f ca="1">IF(CostTrack[[#This Row],[Release Date (CMS)]]="","*","")</f>
        <v/>
      </c>
      <c r="Y362" s="1308" t="s">
        <v>53</v>
      </c>
      <c r="Z362" s="652" t="s">
        <v>1080</v>
      </c>
      <c r="AA362" s="1316">
        <f ca="1">IF(OR(CostTrack[[#This Row],[Release Date (CMS)]]&gt;=DATE(VALUE(REPLACE(CostTrack[[#This Row],[Fiscal Period]],3,3,"")),3,1),CostTrack[[#This Row],[Release Date (CMS)]]&lt;DATE(VALUE(LEFT(CostTrack[[#This Row],[Fiscal Period]],4)),4,1)),1,0)</f>
        <v>0</v>
      </c>
      <c r="AB362" s="1317">
        <v>114783.4</v>
      </c>
      <c r="AC362" s="1308">
        <v>44714</v>
      </c>
      <c r="AD362" s="402" t="str">
        <f ca="1">IF(CostTrack[[#This Row],[Reconciled Amount]]="","",IF(CostTrack[[#This Row],[Value]]&lt;&gt;CostTrack[[#This Row],[Reconciled Amount]],"Yes","No"))</f>
        <v>No</v>
      </c>
    </row>
    <row r="363" spans="2:30" ht="34.15" customHeight="1">
      <c r="B363" s="1324" t="s">
        <v>666</v>
      </c>
      <c r="C363" s="1312">
        <v>424760</v>
      </c>
      <c r="D363" s="1308">
        <v>44712</v>
      </c>
      <c r="E363" s="658">
        <v>3262.75</v>
      </c>
      <c r="F363" s="1309" t="s">
        <v>69</v>
      </c>
      <c r="G363" s="1310">
        <f ca="1">ROUND(IF(CostTrack[[#This Row],[Holdback (Y/N/R)]]="Yes",CostTrack[[#This Row],[Value]]*-0.1,IF(CostTrack[[#This Row],[Holdback (Y/N/R)]]="Release",CostTrack[[#This Row],[Value]],0)),2)</f>
        <v>0</v>
      </c>
      <c r="H363" s="1311">
        <f ca="1">IF(CostTrack[[#This Row],[Holdback (Y/N/R)]]="Release",CostTrack[[#This Row],[Value]],CostTrack[[#This Row],[Value]]+CostTrack[[#This Row],[Holdback Value]])</f>
        <v>3262.75</v>
      </c>
      <c r="I363" s="1312"/>
      <c r="J363" s="1312"/>
      <c r="K363" s="1313"/>
      <c r="L363" s="1325">
        <v>44713</v>
      </c>
      <c r="M363" s="1326">
        <v>44713</v>
      </c>
      <c r="N363" s="1327"/>
      <c r="O363" s="1328" t="s">
        <v>106</v>
      </c>
      <c r="P363" s="1308">
        <v>44714</v>
      </c>
      <c r="Q363" s="1314" t="str">
        <f ca="1">IF(CostTrack[[#This Row],[Vendor - Contract]]="","",INDEX(VendorList[PA ID],MATCH(CostTrack[[#This Row],[Vendor - Contract]],VendorList[Vendor / Org. with Contract ID],0)))</f>
        <v>200.050.F1</v>
      </c>
      <c r="R363" s="1314" t="str">
        <f ca="1">IF(CostTrack[[#This Row],[Vendor - Contract]]="","",INDEX(VendorList[Primary Category],MATCH(CostTrack[[#This Row],[Vendor - Contract]],VendorList[Vendor / Org. with Contract ID],0)))</f>
        <v>Professional Services</v>
      </c>
      <c r="S363" s="1314" t="str">
        <f ca="1">IF(CostTrack[[#This Row],[Vendor - Contract]]="","",INDEX(VendorList[Secondary Category],MATCH(CostTrack[[#This Row],[Vendor - Contract]],VendorList[Vendor / Org. with Contract ID],0)))</f>
        <v>Other Professional Services</v>
      </c>
      <c r="T363" s="1314" t="str">
        <f ca="1">IF(CostTrack[[#This Row],[Vendor - Contract]]="","",INDEX(VendorList[Phase / Subproject],MATCH(CostTrack[[#This Row],[Vendor - Contract]],VendorList[Vendor / Org. with Contract ID],0)))</f>
        <v>--</v>
      </c>
      <c r="U363" s="1314" t="str">
        <f ca="1">IF(CostTrack[[#This Row],[Vendor - Contract]]="","",INDEX(VendorList[Phase / Subproject 2],MATCH(CostTrack[[#This Row],[Vendor - Contract]],VendorList[Vendor / Org. with Contract ID],0)))</f>
        <v>--</v>
      </c>
      <c r="V363" s="1314" t="str">
        <f ca="1">IF(CostTrack[[#This Row],[Vendor - Contract]]="","",INDEX(VendorList[Funding Source],MATCH(CostTrack[[#This Row],[Vendor - Contract]],VendorList[Vendor / Org. with Contract ID],0)))</f>
        <v>P-002360</v>
      </c>
      <c r="W363" s="1308">
        <v>44714</v>
      </c>
      <c r="X363" s="1315" t="str">
        <f ca="1">IF(CostTrack[[#This Row],[Release Date (CMS)]]="","*","")</f>
        <v/>
      </c>
      <c r="Y363" s="1308" t="s">
        <v>53</v>
      </c>
      <c r="Z363" s="713"/>
      <c r="AA363" s="1316">
        <f ca="1">IF(OR(CostTrack[[#This Row],[Release Date (CMS)]]&gt;=DATE(VALUE(REPLACE(CostTrack[[#This Row],[Fiscal Period]],3,3,"")),3,1),CostTrack[[#This Row],[Release Date (CMS)]]&lt;DATE(VALUE(LEFT(CostTrack[[#This Row],[Fiscal Period]],4)),4,1)),1,0)</f>
        <v>0</v>
      </c>
      <c r="AB363" s="1317">
        <v>3262.75</v>
      </c>
      <c r="AC363" s="1308">
        <v>44736</v>
      </c>
      <c r="AD363" s="402" t="str">
        <f ca="1">IF(CostTrack[[#This Row],[Reconciled Amount]]="","",IF(CostTrack[[#This Row],[Value]]&lt;&gt;CostTrack[[#This Row],[Reconciled Amount]],"Yes","No"))</f>
        <v>No</v>
      </c>
    </row>
    <row r="364" spans="2:30" ht="34.15" customHeight="1">
      <c r="B364" s="1324" t="s">
        <v>655</v>
      </c>
      <c r="C364" s="1312">
        <v>2954</v>
      </c>
      <c r="D364" s="1308">
        <v>44711</v>
      </c>
      <c r="E364" s="658">
        <v>914</v>
      </c>
      <c r="F364" s="1309" t="s">
        <v>69</v>
      </c>
      <c r="G364" s="1310">
        <f ca="1">ROUND(IF(CostTrack[[#This Row],[Holdback (Y/N/R)]]="Yes",CostTrack[[#This Row],[Value]]*-0.1,IF(CostTrack[[#This Row],[Holdback (Y/N/R)]]="Release",CostTrack[[#This Row],[Value]],0)),2)</f>
        <v>0</v>
      </c>
      <c r="H364" s="1311">
        <f ca="1">IF(CostTrack[[#This Row],[Holdback (Y/N/R)]]="Release",CostTrack[[#This Row],[Value]],CostTrack[[#This Row],[Value]]+CostTrack[[#This Row],[Holdback Value]])</f>
        <v>914</v>
      </c>
      <c r="I364" s="1312"/>
      <c r="J364" s="1312"/>
      <c r="K364" s="1313"/>
      <c r="L364" s="1325">
        <v>44712</v>
      </c>
      <c r="M364" s="1326">
        <v>44714</v>
      </c>
      <c r="N364" s="1327"/>
      <c r="O364" s="1328" t="s">
        <v>106</v>
      </c>
      <c r="P364" s="1308">
        <v>44714</v>
      </c>
      <c r="Q364" s="1314" t="str">
        <f ca="1">IF(CostTrack[[#This Row],[Vendor - Contract]]="","",INDEX(VendorList[PA ID],MATCH(CostTrack[[#This Row],[Vendor - Contract]],VendorList[Vendor / Org. with Contract ID],0)))</f>
        <v>200.050.F1</v>
      </c>
      <c r="R364" s="1314" t="str">
        <f ca="1">IF(CostTrack[[#This Row],[Vendor - Contract]]="","",INDEX(VendorList[Primary Category],MATCH(CostTrack[[#This Row],[Vendor - Contract]],VendorList[Vendor / Org. with Contract ID],0)))</f>
        <v>Professional Services</v>
      </c>
      <c r="S364" s="1314" t="str">
        <f ca="1">IF(CostTrack[[#This Row],[Vendor - Contract]]="","",INDEX(VendorList[Secondary Category],MATCH(CostTrack[[#This Row],[Vendor - Contract]],VendorList[Vendor / Org. with Contract ID],0)))</f>
        <v>Other Professional Services</v>
      </c>
      <c r="T364" s="1314" t="str">
        <f ca="1">IF(CostTrack[[#This Row],[Vendor - Contract]]="","",INDEX(VendorList[Phase / Subproject],MATCH(CostTrack[[#This Row],[Vendor - Contract]],VendorList[Vendor / Org. with Contract ID],0)))</f>
        <v>--</v>
      </c>
      <c r="U364" s="1314" t="str">
        <f ca="1">IF(CostTrack[[#This Row],[Vendor - Contract]]="","",INDEX(VendorList[Phase / Subproject 2],MATCH(CostTrack[[#This Row],[Vendor - Contract]],VendorList[Vendor / Org. with Contract ID],0)))</f>
        <v>--</v>
      </c>
      <c r="V364" s="1314" t="str">
        <f ca="1">IF(CostTrack[[#This Row],[Vendor - Contract]]="","",INDEX(VendorList[Funding Source],MATCH(CostTrack[[#This Row],[Vendor - Contract]],VendorList[Vendor / Org. with Contract ID],0)))</f>
        <v>P-002360</v>
      </c>
      <c r="W364" s="1308">
        <v>44715</v>
      </c>
      <c r="X364" s="1315" t="str">
        <f ca="1">IF(CostTrack[[#This Row],[Release Date (CMS)]]="","*","")</f>
        <v/>
      </c>
      <c r="Y364" s="1308" t="s">
        <v>53</v>
      </c>
      <c r="Z364" s="713"/>
      <c r="AA364" s="1316">
        <f ca="1">IF(OR(CostTrack[[#This Row],[Release Date (CMS)]]&gt;=DATE(VALUE(REPLACE(CostTrack[[#This Row],[Fiscal Period]],3,3,"")),3,1),CostTrack[[#This Row],[Release Date (CMS)]]&lt;DATE(VALUE(LEFT(CostTrack[[#This Row],[Fiscal Period]],4)),4,1)),1,0)</f>
        <v>0</v>
      </c>
      <c r="AB364" s="1317">
        <v>914</v>
      </c>
      <c r="AC364" s="1308">
        <v>44736</v>
      </c>
      <c r="AD364" s="402" t="str">
        <f ca="1">IF(CostTrack[[#This Row],[Reconciled Amount]]="","",IF(CostTrack[[#This Row],[Value]]&lt;&gt;CostTrack[[#This Row],[Reconciled Amount]],"Yes","No"))</f>
        <v>No</v>
      </c>
    </row>
    <row r="365" spans="2:30" ht="46.35" customHeight="1">
      <c r="B365" s="1324" t="s">
        <v>731</v>
      </c>
      <c r="C365" s="1312">
        <v>800016830</v>
      </c>
      <c r="D365" s="1308">
        <v>44711</v>
      </c>
      <c r="E365" s="658">
        <v>162.97</v>
      </c>
      <c r="F365" s="1309" t="s">
        <v>69</v>
      </c>
      <c r="G365" s="1310">
        <f ca="1">ROUND(IF(CostTrack[[#This Row],[Holdback (Y/N/R)]]="Yes",CostTrack[[#This Row],[Value]]*-0.1,IF(CostTrack[[#This Row],[Holdback (Y/N/R)]]="Release",CostTrack[[#This Row],[Value]],0)),2)</f>
        <v>0</v>
      </c>
      <c r="H365" s="1311">
        <f ca="1">IF(CostTrack[[#This Row],[Holdback (Y/N/R)]]="Release",CostTrack[[#This Row],[Value]],CostTrack[[#This Row],[Value]]+CostTrack[[#This Row],[Holdback Value]])</f>
        <v>162.97</v>
      </c>
      <c r="I365" s="1312"/>
      <c r="J365" s="1312"/>
      <c r="K365" s="1313"/>
      <c r="L365" s="1325">
        <v>44720</v>
      </c>
      <c r="M365" s="1326">
        <v>44720</v>
      </c>
      <c r="N365" s="1327"/>
      <c r="O365" s="1328" t="s">
        <v>106</v>
      </c>
      <c r="P365" s="1308">
        <v>44711</v>
      </c>
      <c r="Q365" s="1314" t="str">
        <f ca="1">IF(CostTrack[[#This Row],[Vendor - Contract]]="","",INDEX(VendorList[PA ID],MATCH(CostTrack[[#This Row],[Vendor - Contract]],VendorList[Vendor / Org. with Contract ID],0)))</f>
        <v>100.050.F1</v>
      </c>
      <c r="R365" s="1314" t="str">
        <f ca="1">IF(CostTrack[[#This Row],[Vendor - Contract]]="","",INDEX(VendorList[Primary Category],MATCH(CostTrack[[#This Row],[Vendor - Contract]],VendorList[Vendor / Org. with Contract ID],0)))</f>
        <v>Administration</v>
      </c>
      <c r="S365" s="1314" t="str">
        <f ca="1">IF(CostTrack[[#This Row],[Vendor - Contract]]="","",INDEX(VendorList[Secondary Category],MATCH(CostTrack[[#This Row],[Vendor - Contract]],VendorList[Vendor / Org. with Contract ID],0)))</f>
        <v>Other Administration</v>
      </c>
      <c r="T365" s="1314" t="str">
        <f ca="1">IF(CostTrack[[#This Row],[Vendor - Contract]]="","",INDEX(VendorList[Phase / Subproject],MATCH(CostTrack[[#This Row],[Vendor - Contract]],VendorList[Vendor / Org. with Contract ID],0)))</f>
        <v>--</v>
      </c>
      <c r="U365" s="1314" t="str">
        <f ca="1">IF(CostTrack[[#This Row],[Vendor - Contract]]="","",INDEX(VendorList[Phase / Subproject 2],MATCH(CostTrack[[#This Row],[Vendor - Contract]],VendorList[Vendor / Org. with Contract ID],0)))</f>
        <v>--</v>
      </c>
      <c r="V365" s="1314" t="str">
        <f ca="1">IF(CostTrack[[#This Row],[Vendor - Contract]]="","",INDEX(VendorList[Funding Source],MATCH(CostTrack[[#This Row],[Vendor - Contract]],VendorList[Vendor / Org. with Contract ID],0)))</f>
        <v>P-002360</v>
      </c>
      <c r="W365" s="1308">
        <v>44739</v>
      </c>
      <c r="X365" s="1315" t="str">
        <f ca="1">IF(CostTrack[[#This Row],[Release Date (CMS)]]="","*","")</f>
        <v/>
      </c>
      <c r="Y365" s="1308" t="s">
        <v>53</v>
      </c>
      <c r="Z365" s="652" t="s">
        <v>1081</v>
      </c>
      <c r="AA365" s="1316">
        <f ca="1">IF(OR(CostTrack[[#This Row],[Release Date (CMS)]]&gt;=DATE(VALUE(REPLACE(CostTrack[[#This Row],[Fiscal Period]],3,3,"")),3,1),CostTrack[[#This Row],[Release Date (CMS)]]&lt;DATE(VALUE(LEFT(CostTrack[[#This Row],[Fiscal Period]],4)),4,1)),1,0)</f>
        <v>0</v>
      </c>
      <c r="AB365" s="1317">
        <v>162.97</v>
      </c>
      <c r="AC365" s="1308">
        <v>44736</v>
      </c>
      <c r="AD365" s="402" t="str">
        <f ca="1">IF(CostTrack[[#This Row],[Reconciled Amount]]="","",IF(CostTrack[[#This Row],[Value]]&lt;&gt;CostTrack[[#This Row],[Reconciled Amount]],"Yes","No"))</f>
        <v>No</v>
      </c>
    </row>
    <row r="366" spans="2:30" ht="34.15" customHeight="1">
      <c r="B366" s="1324" t="s">
        <v>662</v>
      </c>
      <c r="C366" s="1312">
        <v>6211</v>
      </c>
      <c r="D366" s="1308">
        <v>44712</v>
      </c>
      <c r="E366" s="658">
        <v>1020</v>
      </c>
      <c r="F366" s="1309" t="s">
        <v>69</v>
      </c>
      <c r="G366" s="1310">
        <f ca="1">ROUND(IF(CostTrack[[#This Row],[Holdback (Y/N/R)]]="Yes",CostTrack[[#This Row],[Value]]*-0.1,IF(CostTrack[[#This Row],[Holdback (Y/N/R)]]="Release",CostTrack[[#This Row],[Value]],0)),2)</f>
        <v>0</v>
      </c>
      <c r="H366" s="1311">
        <f ca="1">IF(CostTrack[[#This Row],[Holdback (Y/N/R)]]="Release",CostTrack[[#This Row],[Value]],CostTrack[[#This Row],[Value]]+CostTrack[[#This Row],[Holdback Value]])</f>
        <v>1020</v>
      </c>
      <c r="I366" s="1312"/>
      <c r="J366" s="1312"/>
      <c r="K366" s="1313"/>
      <c r="L366" s="1325">
        <v>44719</v>
      </c>
      <c r="M366" s="1326">
        <v>44720</v>
      </c>
      <c r="N366" s="1327"/>
      <c r="O366" s="1328" t="s">
        <v>106</v>
      </c>
      <c r="P366" s="1308">
        <v>44722</v>
      </c>
      <c r="Q366" s="1314" t="str">
        <f ca="1">IF(CostTrack[[#This Row],[Vendor - Contract]]="","",INDEX(VendorList[PA ID],MATCH(CostTrack[[#This Row],[Vendor - Contract]],VendorList[Vendor / Org. with Contract ID],0)))</f>
        <v>200.050.F1</v>
      </c>
      <c r="R366" s="1314" t="str">
        <f ca="1">IF(CostTrack[[#This Row],[Vendor - Contract]]="","",INDEX(VendorList[Primary Category],MATCH(CostTrack[[#This Row],[Vendor - Contract]],VendorList[Vendor / Org. with Contract ID],0)))</f>
        <v>Professional Services</v>
      </c>
      <c r="S366" s="1314" t="str">
        <f ca="1">IF(CostTrack[[#This Row],[Vendor - Contract]]="","",INDEX(VendorList[Secondary Category],MATCH(CostTrack[[#This Row],[Vendor - Contract]],VendorList[Vendor / Org. with Contract ID],0)))</f>
        <v>Other Professional Services</v>
      </c>
      <c r="T366" s="1314" t="str">
        <f ca="1">IF(CostTrack[[#This Row],[Vendor - Contract]]="","",INDEX(VendorList[Phase / Subproject],MATCH(CostTrack[[#This Row],[Vendor - Contract]],VendorList[Vendor / Org. with Contract ID],0)))</f>
        <v>--</v>
      </c>
      <c r="U366" s="1314" t="str">
        <f ca="1">IF(CostTrack[[#This Row],[Vendor - Contract]]="","",INDEX(VendorList[Phase / Subproject 2],MATCH(CostTrack[[#This Row],[Vendor - Contract]],VendorList[Vendor / Org. with Contract ID],0)))</f>
        <v>--</v>
      </c>
      <c r="V366" s="1314" t="str">
        <f ca="1">IF(CostTrack[[#This Row],[Vendor - Contract]]="","",INDEX(VendorList[Funding Source],MATCH(CostTrack[[#This Row],[Vendor - Contract]],VendorList[Vendor / Org. with Contract ID],0)))</f>
        <v>P-002360</v>
      </c>
      <c r="W366" s="1308">
        <v>44722</v>
      </c>
      <c r="X366" s="1315" t="str">
        <f ca="1">IF(CostTrack[[#This Row],[Release Date (CMS)]]="","*","")</f>
        <v/>
      </c>
      <c r="Y366" s="1308" t="s">
        <v>53</v>
      </c>
      <c r="Z366" s="695"/>
      <c r="AA366" s="1316">
        <f ca="1">IF(OR(CostTrack[[#This Row],[Release Date (CMS)]]&gt;=DATE(VALUE(REPLACE(CostTrack[[#This Row],[Fiscal Period]],3,3,"")),3,1),CostTrack[[#This Row],[Release Date (CMS)]]&lt;DATE(VALUE(LEFT(CostTrack[[#This Row],[Fiscal Period]],4)),4,1)),1,0)</f>
        <v>0</v>
      </c>
      <c r="AB366" s="1317">
        <v>1020</v>
      </c>
      <c r="AC366" s="1308">
        <v>44736</v>
      </c>
      <c r="AD366" s="402" t="str">
        <f ca="1">IF(CostTrack[[#This Row],[Reconciled Amount]]="","",IF(CostTrack[[#This Row],[Value]]&lt;&gt;CostTrack[[#This Row],[Reconciled Amount]],"Yes","No"))</f>
        <v>No</v>
      </c>
    </row>
    <row r="367" spans="2:30" ht="34.15" customHeight="1">
      <c r="B367" s="1324" t="s">
        <v>624</v>
      </c>
      <c r="C367" s="1312">
        <v>1711430</v>
      </c>
      <c r="D367" s="1308">
        <v>44715</v>
      </c>
      <c r="E367" s="658">
        <v>4300</v>
      </c>
      <c r="F367" s="1309" t="s">
        <v>69</v>
      </c>
      <c r="G367" s="1310">
        <f ca="1">ROUND(IF(CostTrack[[#This Row],[Holdback (Y/N/R)]]="Yes",CostTrack[[#This Row],[Value]]*-0.1,IF(CostTrack[[#This Row],[Holdback (Y/N/R)]]="Release",CostTrack[[#This Row],[Value]],0)),2)</f>
        <v>0</v>
      </c>
      <c r="H367" s="1311">
        <f ca="1">IF(CostTrack[[#This Row],[Holdback (Y/N/R)]]="Release",CostTrack[[#This Row],[Value]],CostTrack[[#This Row],[Value]]+CostTrack[[#This Row],[Holdback Value]])</f>
        <v>4300</v>
      </c>
      <c r="I367" s="1312"/>
      <c r="J367" s="1312"/>
      <c r="K367" s="1313"/>
      <c r="L367" s="1325">
        <v>44718</v>
      </c>
      <c r="M367" s="1326">
        <v>44718</v>
      </c>
      <c r="N367" s="1327"/>
      <c r="O367" s="1328" t="s">
        <v>106</v>
      </c>
      <c r="P367" s="1308">
        <v>44721</v>
      </c>
      <c r="Q367" s="1314" t="str">
        <f ca="1">IF(CostTrack[[#This Row],[Vendor - Contract]]="","",INDEX(VendorList[PA ID],MATCH(CostTrack[[#This Row],[Vendor - Contract]],VendorList[Vendor / Org. with Contract ID],0)))</f>
        <v>200.040.F1</v>
      </c>
      <c r="R367" s="1314" t="str">
        <f ca="1">IF(CostTrack[[#This Row],[Vendor - Contract]]="","",INDEX(VendorList[Primary Category],MATCH(CostTrack[[#This Row],[Vendor - Contract]],VendorList[Vendor / Org. with Contract ID],0)))</f>
        <v>Professional Services</v>
      </c>
      <c r="S367" s="1314" t="str">
        <f ca="1">IF(CostTrack[[#This Row],[Vendor - Contract]]="","",INDEX(VendorList[Secondary Category],MATCH(CostTrack[[#This Row],[Vendor - Contract]],VendorList[Vendor / Org. with Contract ID],0)))</f>
        <v>Commissioning</v>
      </c>
      <c r="T367" s="1314" t="str">
        <f ca="1">IF(CostTrack[[#This Row],[Vendor - Contract]]="","",INDEX(VendorList[Phase / Subproject],MATCH(CostTrack[[#This Row],[Vendor - Contract]],VendorList[Vendor / Org. with Contract ID],0)))</f>
        <v>--</v>
      </c>
      <c r="U367" s="1314" t="str">
        <f ca="1">IF(CostTrack[[#This Row],[Vendor - Contract]]="","",INDEX(VendorList[Phase / Subproject 2],MATCH(CostTrack[[#This Row],[Vendor - Contract]],VendorList[Vendor / Org. with Contract ID],0)))</f>
        <v>--</v>
      </c>
      <c r="V367" s="1314" t="str">
        <f ca="1">IF(CostTrack[[#This Row],[Vendor - Contract]]="","",INDEX(VendorList[Funding Source],MATCH(CostTrack[[#This Row],[Vendor - Contract]],VendorList[Vendor / Org. with Contract ID],0)))</f>
        <v>P-002360</v>
      </c>
      <c r="W367" s="1308">
        <v>44721</v>
      </c>
      <c r="X367" s="1315" t="str">
        <f ca="1">IF(CostTrack[[#This Row],[Release Date (CMS)]]="","*","")</f>
        <v/>
      </c>
      <c r="Y367" s="1308" t="s">
        <v>53</v>
      </c>
      <c r="Z367" s="695"/>
      <c r="AA367" s="1316">
        <f ca="1">IF(OR(CostTrack[[#This Row],[Release Date (CMS)]]&gt;=DATE(VALUE(REPLACE(CostTrack[[#This Row],[Fiscal Period]],3,3,"")),3,1),CostTrack[[#This Row],[Release Date (CMS)]]&lt;DATE(VALUE(LEFT(CostTrack[[#This Row],[Fiscal Period]],4)),4,1)),1,0)</f>
        <v>0</v>
      </c>
      <c r="AB367" s="1317">
        <v>4300</v>
      </c>
      <c r="AC367" s="1308">
        <v>44736</v>
      </c>
      <c r="AD367" s="402" t="str">
        <f ca="1">IF(CostTrack[[#This Row],[Reconciled Amount]]="","",IF(CostTrack[[#This Row],[Value]]&lt;&gt;CostTrack[[#This Row],[Reconciled Amount]],"Yes","No"))</f>
        <v>No</v>
      </c>
    </row>
    <row r="368" spans="2:30" ht="39.6" customHeight="1">
      <c r="B368" s="1324" t="s">
        <v>527</v>
      </c>
      <c r="C368" s="650" t="s">
        <v>1082</v>
      </c>
      <c r="D368" s="1308">
        <v>44712</v>
      </c>
      <c r="E368" s="658">
        <v>68554.990000000005</v>
      </c>
      <c r="F368" s="1309" t="s">
        <v>69</v>
      </c>
      <c r="G368" s="1310">
        <f ca="1">ROUND(IF(CostTrack[[#This Row],[Holdback (Y/N/R)]]="Yes",CostTrack[[#This Row],[Value]]*-0.1,IF(CostTrack[[#This Row],[Holdback (Y/N/R)]]="Release",CostTrack[[#This Row],[Value]],0)),2)</f>
        <v>0</v>
      </c>
      <c r="H368" s="1311">
        <f ca="1">IF(CostTrack[[#This Row],[Holdback (Y/N/R)]]="Release",CostTrack[[#This Row],[Value]],CostTrack[[#This Row],[Value]]+CostTrack[[#This Row],[Holdback Value]])</f>
        <v>68554.990000000005</v>
      </c>
      <c r="I368" s="1312"/>
      <c r="J368" s="1312"/>
      <c r="K368" s="1313"/>
      <c r="L368" s="1325">
        <v>44714</v>
      </c>
      <c r="M368" s="1326">
        <v>44714</v>
      </c>
      <c r="N368" s="1327"/>
      <c r="O368" s="1328" t="s">
        <v>106</v>
      </c>
      <c r="P368" s="1308">
        <v>44725</v>
      </c>
      <c r="Q368" s="1314" t="str">
        <f ca="1">IF(CostTrack[[#This Row],[Vendor - Contract]]="","",INDEX(VendorList[PA ID],MATCH(CostTrack[[#This Row],[Vendor - Contract]],VendorList[Vendor / Org. with Contract ID],0)))</f>
        <v>200.010.F1</v>
      </c>
      <c r="R368" s="1314" t="str">
        <f ca="1">IF(CostTrack[[#This Row],[Vendor - Contract]]="","",INDEX(VendorList[Primary Category],MATCH(CostTrack[[#This Row],[Vendor - Contract]],VendorList[Vendor / Org. with Contract ID],0)))</f>
        <v>Professional Services</v>
      </c>
      <c r="S368" s="1314" t="str">
        <f ca="1">IF(CostTrack[[#This Row],[Vendor - Contract]]="","",INDEX(VendorList[Secondary Category],MATCH(CostTrack[[#This Row],[Vendor - Contract]],VendorList[Vendor / Org. with Contract ID],0)))</f>
        <v>Prime Consultant</v>
      </c>
      <c r="T368" s="1314" t="str">
        <f ca="1">IF(CostTrack[[#This Row],[Vendor - Contract]]="","",INDEX(VendorList[Phase / Subproject],MATCH(CostTrack[[#This Row],[Vendor - Contract]],VendorList[Vendor / Org. with Contract ID],0)))</f>
        <v>--</v>
      </c>
      <c r="U368" s="1314" t="str">
        <f ca="1">IF(CostTrack[[#This Row],[Vendor - Contract]]="","",INDEX(VendorList[Phase / Subproject 2],MATCH(CostTrack[[#This Row],[Vendor - Contract]],VendorList[Vendor / Org. with Contract ID],0)))</f>
        <v>--</v>
      </c>
      <c r="V368" s="1314" t="str">
        <f ca="1">IF(CostTrack[[#This Row],[Vendor - Contract]]="","",INDEX(VendorList[Funding Source],MATCH(CostTrack[[#This Row],[Vendor - Contract]],VendorList[Vendor / Org. with Contract ID],0)))</f>
        <v>P-002360</v>
      </c>
      <c r="W368" s="1308">
        <v>44725</v>
      </c>
      <c r="X368" s="1315" t="str">
        <f ca="1">IF(CostTrack[[#This Row],[Release Date (CMS)]]="","*","")</f>
        <v/>
      </c>
      <c r="Y368" s="1308" t="s">
        <v>53</v>
      </c>
      <c r="Z368" s="695"/>
      <c r="AA368" s="1316">
        <f ca="1">IF(OR(CostTrack[[#This Row],[Release Date (CMS)]]&gt;=DATE(VALUE(REPLACE(CostTrack[[#This Row],[Fiscal Period]],3,3,"")),3,1),CostTrack[[#This Row],[Release Date (CMS)]]&lt;DATE(VALUE(LEFT(CostTrack[[#This Row],[Fiscal Period]],4)),4,1)),1,0)</f>
        <v>0</v>
      </c>
      <c r="AB368" s="1317">
        <v>68554.990000000005</v>
      </c>
      <c r="AC368" s="1308">
        <v>44736</v>
      </c>
      <c r="AD368" s="402" t="str">
        <f ca="1">IF(CostTrack[[#This Row],[Reconciled Amount]]="","",IF(CostTrack[[#This Row],[Value]]&lt;&gt;CostTrack[[#This Row],[Reconciled Amount]],"Yes","No"))</f>
        <v>No</v>
      </c>
    </row>
    <row r="369" spans="2:30" ht="39.6" customHeight="1">
      <c r="B369" s="1324" t="s">
        <v>731</v>
      </c>
      <c r="C369" s="1312">
        <v>800019390</v>
      </c>
      <c r="D369" s="1308">
        <v>44728</v>
      </c>
      <c r="E369" s="658">
        <v>110.42</v>
      </c>
      <c r="F369" s="1309" t="s">
        <v>69</v>
      </c>
      <c r="G369" s="1310">
        <f ca="1">ROUND(IF(CostTrack[[#This Row],[Holdback (Y/N/R)]]="Yes",CostTrack[[#This Row],[Value]]*-0.1,IF(CostTrack[[#This Row],[Holdback (Y/N/R)]]="Release",CostTrack[[#This Row],[Value]],0)),2)</f>
        <v>0</v>
      </c>
      <c r="H369" s="1311">
        <f ca="1">IF(CostTrack[[#This Row],[Holdback (Y/N/R)]]="Release",CostTrack[[#This Row],[Value]],CostTrack[[#This Row],[Value]]+CostTrack[[#This Row],[Holdback Value]])</f>
        <v>110.42</v>
      </c>
      <c r="I369" s="1312"/>
      <c r="J369" s="1312"/>
      <c r="K369" s="1313"/>
      <c r="L369" s="1325">
        <v>44728</v>
      </c>
      <c r="M369" s="1326">
        <v>44728</v>
      </c>
      <c r="N369" s="1327"/>
      <c r="O369" s="1328" t="s">
        <v>106</v>
      </c>
      <c r="P369" s="1308">
        <v>44728</v>
      </c>
      <c r="Q369" s="1314" t="str">
        <f ca="1">IF(CostTrack[[#This Row],[Vendor - Contract]]="","",INDEX(VendorList[PA ID],MATCH(CostTrack[[#This Row],[Vendor - Contract]],VendorList[Vendor / Org. with Contract ID],0)))</f>
        <v>100.050.F1</v>
      </c>
      <c r="R369" s="1314" t="str">
        <f ca="1">IF(CostTrack[[#This Row],[Vendor - Contract]]="","",INDEX(VendorList[Primary Category],MATCH(CostTrack[[#This Row],[Vendor - Contract]],VendorList[Vendor / Org. with Contract ID],0)))</f>
        <v>Administration</v>
      </c>
      <c r="S369" s="1314" t="str">
        <f ca="1">IF(CostTrack[[#This Row],[Vendor - Contract]]="","",INDEX(VendorList[Secondary Category],MATCH(CostTrack[[#This Row],[Vendor - Contract]],VendorList[Vendor / Org. with Contract ID],0)))</f>
        <v>Other Administration</v>
      </c>
      <c r="T369" s="1314" t="str">
        <f ca="1">IF(CostTrack[[#This Row],[Vendor - Contract]]="","",INDEX(VendorList[Phase / Subproject],MATCH(CostTrack[[#This Row],[Vendor - Contract]],VendorList[Vendor / Org. with Contract ID],0)))</f>
        <v>--</v>
      </c>
      <c r="U369" s="1314" t="str">
        <f ca="1">IF(CostTrack[[#This Row],[Vendor - Contract]]="","",INDEX(VendorList[Phase / Subproject 2],MATCH(CostTrack[[#This Row],[Vendor - Contract]],VendorList[Vendor / Org. with Contract ID],0)))</f>
        <v>--</v>
      </c>
      <c r="V369" s="1314" t="str">
        <f ca="1">IF(CostTrack[[#This Row],[Vendor - Contract]]="","",INDEX(VendorList[Funding Source],MATCH(CostTrack[[#This Row],[Vendor - Contract]],VendorList[Vendor / Org. with Contract ID],0)))</f>
        <v>P-002360</v>
      </c>
      <c r="W369" s="1308">
        <v>44728</v>
      </c>
      <c r="X369" s="1315" t="str">
        <f ca="1">IF(CostTrack[[#This Row],[Release Date (CMS)]]="","*","")</f>
        <v/>
      </c>
      <c r="Y369" s="1308" t="s">
        <v>53</v>
      </c>
      <c r="Z369" s="652" t="s">
        <v>1083</v>
      </c>
      <c r="AA369" s="1316">
        <f ca="1">IF(OR(CostTrack[[#This Row],[Release Date (CMS)]]&gt;=DATE(VALUE(REPLACE(CostTrack[[#This Row],[Fiscal Period]],3,3,"")),3,1),CostTrack[[#This Row],[Release Date (CMS)]]&lt;DATE(VALUE(LEFT(CostTrack[[#This Row],[Fiscal Period]],4)),4,1)),1,0)</f>
        <v>0</v>
      </c>
      <c r="AB369" s="1317">
        <v>110.42</v>
      </c>
      <c r="AC369" s="1308">
        <v>44736</v>
      </c>
      <c r="AD369" s="402" t="str">
        <f ca="1">IF(CostTrack[[#This Row],[Reconciled Amount]]="","",IF(CostTrack[[#This Row],[Value]]&lt;&gt;CostTrack[[#This Row],[Reconciled Amount]],"Yes","No"))</f>
        <v>No</v>
      </c>
    </row>
    <row r="370" spans="2:30" ht="39.6" customHeight="1">
      <c r="B370" s="1324" t="s">
        <v>662</v>
      </c>
      <c r="C370" s="1312">
        <v>6321</v>
      </c>
      <c r="D370" s="1308">
        <v>44733</v>
      </c>
      <c r="E370" s="658">
        <v>1020</v>
      </c>
      <c r="F370" s="1309" t="s">
        <v>69</v>
      </c>
      <c r="G370" s="1310">
        <f ca="1">ROUND(IF(CostTrack[[#This Row],[Holdback (Y/N/R)]]="Yes",CostTrack[[#This Row],[Value]]*-0.1,IF(CostTrack[[#This Row],[Holdback (Y/N/R)]]="Release",CostTrack[[#This Row],[Value]],0)),2)</f>
        <v>0</v>
      </c>
      <c r="H370" s="1311">
        <f ca="1">IF(CostTrack[[#This Row],[Holdback (Y/N/R)]]="Release",CostTrack[[#This Row],[Value]],CostTrack[[#This Row],[Value]]+CostTrack[[#This Row],[Holdback Value]])</f>
        <v>1020</v>
      </c>
      <c r="I370" s="1312"/>
      <c r="J370" s="1312"/>
      <c r="K370" s="1313"/>
      <c r="L370" s="1325">
        <v>44733</v>
      </c>
      <c r="M370" s="1326">
        <v>44733</v>
      </c>
      <c r="N370" s="1327"/>
      <c r="O370" s="1328" t="s">
        <v>106</v>
      </c>
      <c r="P370" s="1308">
        <v>44733</v>
      </c>
      <c r="Q370" s="1314" t="str">
        <f ca="1">IF(CostTrack[[#This Row],[Vendor - Contract]]="","",INDEX(VendorList[PA ID],MATCH(CostTrack[[#This Row],[Vendor - Contract]],VendorList[Vendor / Org. with Contract ID],0)))</f>
        <v>200.050.F1</v>
      </c>
      <c r="R370" s="1314" t="str">
        <f ca="1">IF(CostTrack[[#This Row],[Vendor - Contract]]="","",INDEX(VendorList[Primary Category],MATCH(CostTrack[[#This Row],[Vendor - Contract]],VendorList[Vendor / Org. with Contract ID],0)))</f>
        <v>Professional Services</v>
      </c>
      <c r="S370" s="1314" t="str">
        <f ca="1">IF(CostTrack[[#This Row],[Vendor - Contract]]="","",INDEX(VendorList[Secondary Category],MATCH(CostTrack[[#This Row],[Vendor - Contract]],VendorList[Vendor / Org. with Contract ID],0)))</f>
        <v>Other Professional Services</v>
      </c>
      <c r="T370" s="1314" t="str">
        <f ca="1">IF(CostTrack[[#This Row],[Vendor - Contract]]="","",INDEX(VendorList[Phase / Subproject],MATCH(CostTrack[[#This Row],[Vendor - Contract]],VendorList[Vendor / Org. with Contract ID],0)))</f>
        <v>--</v>
      </c>
      <c r="U370" s="1314" t="str">
        <f ca="1">IF(CostTrack[[#This Row],[Vendor - Contract]]="","",INDEX(VendorList[Phase / Subproject 2],MATCH(CostTrack[[#This Row],[Vendor - Contract]],VendorList[Vendor / Org. with Contract ID],0)))</f>
        <v>--</v>
      </c>
      <c r="V370" s="1314" t="str">
        <f ca="1">IF(CostTrack[[#This Row],[Vendor - Contract]]="","",INDEX(VendorList[Funding Source],MATCH(CostTrack[[#This Row],[Vendor - Contract]],VendorList[Vendor / Org. with Contract ID],0)))</f>
        <v>P-002360</v>
      </c>
      <c r="W370" s="1308">
        <v>44733</v>
      </c>
      <c r="X370" s="1315" t="str">
        <f ca="1">IF(CostTrack[[#This Row],[Release Date (CMS)]]="","*","")</f>
        <v/>
      </c>
      <c r="Y370" s="1308" t="s">
        <v>53</v>
      </c>
      <c r="Z370" s="713"/>
      <c r="AA370" s="1316">
        <f ca="1">IF(OR(CostTrack[[#This Row],[Release Date (CMS)]]&gt;=DATE(VALUE(REPLACE(CostTrack[[#This Row],[Fiscal Period]],3,3,"")),3,1),CostTrack[[#This Row],[Release Date (CMS)]]&lt;DATE(VALUE(LEFT(CostTrack[[#This Row],[Fiscal Period]],4)),4,1)),1,0)</f>
        <v>0</v>
      </c>
      <c r="AB370" s="1317">
        <v>1020</v>
      </c>
      <c r="AC370" s="1308">
        <v>44736</v>
      </c>
      <c r="AD370" s="402" t="str">
        <f ca="1">IF(CostTrack[[#This Row],[Reconciled Amount]]="","",IF(CostTrack[[#This Row],[Value]]&lt;&gt;CostTrack[[#This Row],[Reconciled Amount]],"Yes","No"))</f>
        <v>No</v>
      </c>
    </row>
    <row r="371" spans="2:30" ht="39.6" customHeight="1">
      <c r="B371" s="1324" t="s">
        <v>528</v>
      </c>
      <c r="C371" s="1312">
        <v>60761278</v>
      </c>
      <c r="D371" s="1308">
        <v>44725</v>
      </c>
      <c r="E371" s="658">
        <v>5732.5</v>
      </c>
      <c r="F371" s="1309" t="s">
        <v>69</v>
      </c>
      <c r="G371" s="1310">
        <f ca="1">ROUND(IF(CostTrack[[#This Row],[Holdback (Y/N/R)]]="Yes",CostTrack[[#This Row],[Value]]*-0.1,IF(CostTrack[[#This Row],[Holdback (Y/N/R)]]="Release",CostTrack[[#This Row],[Value]],0)),2)</f>
        <v>0</v>
      </c>
      <c r="H371" s="1311">
        <f ca="1">IF(CostTrack[[#This Row],[Holdback (Y/N/R)]]="Release",CostTrack[[#This Row],[Value]],CostTrack[[#This Row],[Value]]+CostTrack[[#This Row],[Holdback Value]])</f>
        <v>5732.5</v>
      </c>
      <c r="I371" s="1312"/>
      <c r="J371" s="1312"/>
      <c r="K371" s="1313"/>
      <c r="L371" s="1325">
        <v>44732</v>
      </c>
      <c r="M371" s="1326">
        <v>44732</v>
      </c>
      <c r="N371" s="1327"/>
      <c r="O371" s="1328" t="s">
        <v>106</v>
      </c>
      <c r="P371" s="1308">
        <v>44733</v>
      </c>
      <c r="Q371" s="1314" t="str">
        <f ca="1">IF(CostTrack[[#This Row],[Vendor - Contract]]="","",INDEX(VendorList[PA ID],MATCH(CostTrack[[#This Row],[Vendor - Contract]],VendorList[Vendor / Org. with Contract ID],0)))</f>
        <v>200.050.F1</v>
      </c>
      <c r="R371" s="1314" t="str">
        <f ca="1">IF(CostTrack[[#This Row],[Vendor - Contract]]="","",INDEX(VendorList[Primary Category],MATCH(CostTrack[[#This Row],[Vendor - Contract]],VendorList[Vendor / Org. with Contract ID],0)))</f>
        <v>Professional Services</v>
      </c>
      <c r="S371" s="1314" t="str">
        <f ca="1">IF(CostTrack[[#This Row],[Vendor - Contract]]="","",INDEX(VendorList[Secondary Category],MATCH(CostTrack[[#This Row],[Vendor - Contract]],VendorList[Vendor / Org. with Contract ID],0)))</f>
        <v>Other Professional Services</v>
      </c>
      <c r="T371" s="1314" t="str">
        <f ca="1">IF(CostTrack[[#This Row],[Vendor - Contract]]="","",INDEX(VendorList[Phase / Subproject],MATCH(CostTrack[[#This Row],[Vendor - Contract]],VendorList[Vendor / Org. with Contract ID],0)))</f>
        <v>--</v>
      </c>
      <c r="U371" s="1314" t="str">
        <f ca="1">IF(CostTrack[[#This Row],[Vendor - Contract]]="","",INDEX(VendorList[Phase / Subproject 2],MATCH(CostTrack[[#This Row],[Vendor - Contract]],VendorList[Vendor / Org. with Contract ID],0)))</f>
        <v>--</v>
      </c>
      <c r="V371" s="1314" t="str">
        <f ca="1">IF(CostTrack[[#This Row],[Vendor - Contract]]="","",INDEX(VendorList[Funding Source],MATCH(CostTrack[[#This Row],[Vendor - Contract]],VendorList[Vendor / Org. with Contract ID],0)))</f>
        <v>P-002360</v>
      </c>
      <c r="W371" s="1308">
        <v>44733</v>
      </c>
      <c r="X371" s="1315" t="str">
        <f ca="1">IF(CostTrack[[#This Row],[Release Date (CMS)]]="","*","")</f>
        <v/>
      </c>
      <c r="Y371" s="1308" t="s">
        <v>53</v>
      </c>
      <c r="Z371" s="713"/>
      <c r="AA371" s="1316">
        <f ca="1">IF(OR(CostTrack[[#This Row],[Release Date (CMS)]]&gt;=DATE(VALUE(REPLACE(CostTrack[[#This Row],[Fiscal Period]],3,3,"")),3,1),CostTrack[[#This Row],[Release Date (CMS)]]&lt;DATE(VALUE(LEFT(CostTrack[[#This Row],[Fiscal Period]],4)),4,1)),1,0)</f>
        <v>0</v>
      </c>
      <c r="AB371" s="1317">
        <v>5732.5</v>
      </c>
      <c r="AC371" s="1308">
        <v>44736</v>
      </c>
      <c r="AD371" s="402" t="str">
        <f ca="1">IF(CostTrack[[#This Row],[Reconciled Amount]]="","",IF(CostTrack[[#This Row],[Value]]&lt;&gt;CostTrack[[#This Row],[Reconciled Amount]],"Yes","No"))</f>
        <v>No</v>
      </c>
    </row>
    <row r="372" spans="2:30" ht="39.6" customHeight="1">
      <c r="B372" s="1324" t="s">
        <v>529</v>
      </c>
      <c r="C372" s="1312" t="s">
        <v>1084</v>
      </c>
      <c r="D372" s="1308">
        <v>44712</v>
      </c>
      <c r="E372" s="658">
        <v>5935207.5300000003</v>
      </c>
      <c r="F372" s="1309" t="s">
        <v>65</v>
      </c>
      <c r="G372" s="1310">
        <f ca="1">ROUND(IF(CostTrack[[#This Row],[Holdback (Y/N/R)]]="Yes",CostTrack[[#This Row],[Value]]*-0.1,IF(CostTrack[[#This Row],[Holdback (Y/N/R)]]="Release",CostTrack[[#This Row],[Value]],0)),2)</f>
        <v>-593520.75</v>
      </c>
      <c r="H372" s="1311">
        <f ca="1">IF(CostTrack[[#This Row],[Holdback (Y/N/R)]]="Release",CostTrack[[#This Row],[Value]],CostTrack[[#This Row],[Value]]+CostTrack[[#This Row],[Holdback Value]])</f>
        <v>5341686.78</v>
      </c>
      <c r="I372" s="1312" t="s">
        <v>1085</v>
      </c>
      <c r="J372" s="1312"/>
      <c r="K372" s="1313"/>
      <c r="L372" s="1325">
        <v>44734</v>
      </c>
      <c r="M372" s="1326">
        <v>44734</v>
      </c>
      <c r="N372" s="1327"/>
      <c r="O372" s="1328" t="s">
        <v>106</v>
      </c>
      <c r="P372" s="1308">
        <v>44735</v>
      </c>
      <c r="Q372" s="1314" t="str">
        <f ca="1">IF(CostTrack[[#This Row],[Vendor - Contract]]="","",INDEX(VendorList[PA ID],MATCH(CostTrack[[#This Row],[Vendor - Contract]],VendorList[Vendor / Org. with Contract ID],0)))</f>
        <v>300.030.F1</v>
      </c>
      <c r="R372" s="1314" t="str">
        <f ca="1">IF(CostTrack[[#This Row],[Vendor - Contract]]="","",INDEX(VendorList[Primary Category],MATCH(CostTrack[[#This Row],[Vendor - Contract]],VendorList[Vendor / Org. with Contract ID],0)))</f>
        <v>Construction</v>
      </c>
      <c r="S372" s="1314" t="str">
        <f ca="1">IF(CostTrack[[#This Row],[Vendor - Contract]]="","",INDEX(VendorList[Secondary Category],MATCH(CostTrack[[#This Row],[Vendor - Contract]],VendorList[Vendor / Org. with Contract ID],0)))</f>
        <v>Prime Contractor</v>
      </c>
      <c r="T372" s="1314" t="str">
        <f ca="1">IF(CostTrack[[#This Row],[Vendor - Contract]]="","",INDEX(VendorList[Phase / Subproject],MATCH(CostTrack[[#This Row],[Vendor - Contract]],VendorList[Vendor / Org. with Contract ID],0)))</f>
        <v>--</v>
      </c>
      <c r="U372" s="1314" t="str">
        <f ca="1">IF(CostTrack[[#This Row],[Vendor - Contract]]="","",INDEX(VendorList[Phase / Subproject 2],MATCH(CostTrack[[#This Row],[Vendor - Contract]],VendorList[Vendor / Org. with Contract ID],0)))</f>
        <v>--</v>
      </c>
      <c r="V372" s="1314" t="str">
        <f ca="1">IF(CostTrack[[#This Row],[Vendor - Contract]]="","",INDEX(VendorList[Funding Source],MATCH(CostTrack[[#This Row],[Vendor - Contract]],VendorList[Vendor / Org. with Contract ID],0)))</f>
        <v>P-002360</v>
      </c>
      <c r="W372" s="1308">
        <v>44735</v>
      </c>
      <c r="X372" s="1315" t="str">
        <f ca="1">IF(CostTrack[[#This Row],[Release Date (CMS)]]="","*","")</f>
        <v/>
      </c>
      <c r="Y372" s="1308" t="s">
        <v>53</v>
      </c>
      <c r="Z372" s="713"/>
      <c r="AA372" s="1316">
        <f ca="1">IF(OR(CostTrack[[#This Row],[Release Date (CMS)]]&gt;=DATE(VALUE(REPLACE(CostTrack[[#This Row],[Fiscal Period]],3,3,"")),3,1),CostTrack[[#This Row],[Release Date (CMS)]]&lt;DATE(VALUE(LEFT(CostTrack[[#This Row],[Fiscal Period]],4)),4,1)),1,0)</f>
        <v>0</v>
      </c>
      <c r="AB372" s="1317">
        <v>5935207.5300000003</v>
      </c>
      <c r="AC372" s="1308">
        <v>44750</v>
      </c>
      <c r="AD372" s="402" t="str">
        <f ca="1">IF(CostTrack[[#This Row],[Reconciled Amount]]="","",IF(CostTrack[[#This Row],[Value]]&lt;&gt;CostTrack[[#This Row],[Reconciled Amount]],"Yes","No"))</f>
        <v>No</v>
      </c>
    </row>
    <row r="373" spans="2:30" ht="39.6" customHeight="1">
      <c r="B373" s="1324" t="s">
        <v>1086</v>
      </c>
      <c r="C373" s="1312">
        <v>87911</v>
      </c>
      <c r="D373" s="1308">
        <v>44729</v>
      </c>
      <c r="E373" s="658">
        <v>400</v>
      </c>
      <c r="F373" s="1309" t="s">
        <v>69</v>
      </c>
      <c r="G373" s="1310">
        <f ca="1">ROUND(IF(CostTrack[[#This Row],[Holdback (Y/N/R)]]="Yes",CostTrack[[#This Row],[Value]]*-0.1,IF(CostTrack[[#This Row],[Holdback (Y/N/R)]]="Release",CostTrack[[#This Row],[Value]],0)),2)</f>
        <v>0</v>
      </c>
      <c r="H373" s="1311">
        <f ca="1">IF(CostTrack[[#This Row],[Holdback (Y/N/R)]]="Release",CostTrack[[#This Row],[Value]],CostTrack[[#This Row],[Value]]+CostTrack[[#This Row],[Holdback Value]])</f>
        <v>400</v>
      </c>
      <c r="I373" s="1312"/>
      <c r="J373" s="1312"/>
      <c r="K373" s="1313"/>
      <c r="L373" s="1325">
        <v>44733</v>
      </c>
      <c r="M373" s="1326">
        <v>44734</v>
      </c>
      <c r="N373" s="1327"/>
      <c r="O373" s="1328" t="s">
        <v>106</v>
      </c>
      <c r="P373" s="1308">
        <v>44734</v>
      </c>
      <c r="Q373" s="1314" t="str">
        <f ca="1">IF(CostTrack[[#This Row],[Vendor - Contract]]="","",INDEX(VendorList[PA ID],MATCH(CostTrack[[#This Row],[Vendor - Contract]],VendorList[Vendor / Org. with Contract ID],0)))</f>
        <v>200.050.F1</v>
      </c>
      <c r="R373" s="1314" t="str">
        <f ca="1">IF(CostTrack[[#This Row],[Vendor - Contract]]="","",INDEX(VendorList[Primary Category],MATCH(CostTrack[[#This Row],[Vendor - Contract]],VendorList[Vendor / Org. with Contract ID],0)))</f>
        <v>Professional Services</v>
      </c>
      <c r="S373" s="1314" t="str">
        <f ca="1">IF(CostTrack[[#This Row],[Vendor - Contract]]="","",INDEX(VendorList[Secondary Category],MATCH(CostTrack[[#This Row],[Vendor - Contract]],VendorList[Vendor / Org. with Contract ID],0)))</f>
        <v>Other Professional Services</v>
      </c>
      <c r="T373" s="1314" t="str">
        <f ca="1">IF(CostTrack[[#This Row],[Vendor - Contract]]="","",INDEX(VendorList[Phase / Subproject],MATCH(CostTrack[[#This Row],[Vendor - Contract]],VendorList[Vendor / Org. with Contract ID],0)))</f>
        <v>--</v>
      </c>
      <c r="U373" s="1314" t="str">
        <f ca="1">IF(CostTrack[[#This Row],[Vendor - Contract]]="","",INDEX(VendorList[Phase / Subproject 2],MATCH(CostTrack[[#This Row],[Vendor - Contract]],VendorList[Vendor / Org. with Contract ID],0)))</f>
        <v>--</v>
      </c>
      <c r="V373" s="1314" t="str">
        <f ca="1">IF(CostTrack[[#This Row],[Vendor - Contract]]="","",INDEX(VendorList[Funding Source],MATCH(CostTrack[[#This Row],[Vendor - Contract]],VendorList[Vendor / Org. with Contract ID],0)))</f>
        <v>P-002360</v>
      </c>
      <c r="W373" s="1308">
        <v>44749</v>
      </c>
      <c r="X373" s="1315" t="str">
        <f ca="1">IF(CostTrack[[#This Row],[Release Date (CMS)]]="","*","")</f>
        <v/>
      </c>
      <c r="Y373" s="1308" t="s">
        <v>53</v>
      </c>
      <c r="Z373" s="652"/>
      <c r="AA373" s="1316">
        <f ca="1">IF(OR(CostTrack[[#This Row],[Release Date (CMS)]]&gt;=DATE(VALUE(REPLACE(CostTrack[[#This Row],[Fiscal Period]],3,3,"")),3,1),CostTrack[[#This Row],[Release Date (CMS)]]&lt;DATE(VALUE(LEFT(CostTrack[[#This Row],[Fiscal Period]],4)),4,1)),1,0)</f>
        <v>0</v>
      </c>
      <c r="AB373" s="1317">
        <v>400</v>
      </c>
      <c r="AC373" s="1308">
        <v>44750</v>
      </c>
      <c r="AD373" s="402" t="str">
        <f ca="1">IF(CostTrack[[#This Row],[Reconciled Amount]]="","",IF(CostTrack[[#This Row],[Value]]&lt;&gt;CostTrack[[#This Row],[Reconciled Amount]],"Yes","No"))</f>
        <v>No</v>
      </c>
    </row>
    <row r="374" spans="2:30" ht="75" customHeight="1">
      <c r="B374" s="706" t="s">
        <v>1087</v>
      </c>
      <c r="C374" s="691" t="s">
        <v>1088</v>
      </c>
      <c r="D374" s="267">
        <v>44713</v>
      </c>
      <c r="E374" s="654">
        <v>13333.91</v>
      </c>
      <c r="F374" s="647" t="s">
        <v>69</v>
      </c>
      <c r="G374" s="406">
        <f ca="1">ROUND(IF(CostTrack[[#This Row],[Holdback (Y/N/R)]]="Yes",CostTrack[[#This Row],[Value]]*-0.1,IF(CostTrack[[#This Row],[Holdback (Y/N/R)]]="Release",CostTrack[[#This Row],[Value]],0)),2)</f>
        <v>0</v>
      </c>
      <c r="H374" s="407">
        <f ca="1">IF(CostTrack[[#This Row],[Holdback (Y/N/R)]]="Release",CostTrack[[#This Row],[Value]],CostTrack[[#This Row],[Value]]+CostTrack[[#This Row],[Holdback Value]])</f>
        <v>13333.91</v>
      </c>
      <c r="I374" s="650"/>
      <c r="J374" s="650"/>
      <c r="K374" s="648">
        <v>44743</v>
      </c>
      <c r="L374" s="707">
        <v>44734</v>
      </c>
      <c r="M374" s="708">
        <v>44734</v>
      </c>
      <c r="N374" s="709"/>
      <c r="O374" s="712" t="s">
        <v>106</v>
      </c>
      <c r="P374" s="267">
        <v>44735</v>
      </c>
      <c r="Q374" s="243" t="str">
        <f ca="1">IF(CostTrack[[#This Row],[Vendor - Contract]]="","",INDEX(VendorList[PA ID],MATCH(CostTrack[[#This Row],[Vendor - Contract]],VendorList[Vendor / Org. with Contract ID],0)))</f>
        <v>300.040.F1</v>
      </c>
      <c r="R374" s="243" t="str">
        <f ca="1">IF(CostTrack[[#This Row],[Vendor - Contract]]="","",INDEX(VendorList[Primary Category],MATCH(CostTrack[[#This Row],[Vendor - Contract]],VendorList[Vendor / Org. with Contract ID],0)))</f>
        <v>Construction</v>
      </c>
      <c r="S374" s="243" t="str">
        <f ca="1">IF(CostTrack[[#This Row],[Vendor - Contract]]="","",INDEX(VendorList[Secondary Category],MATCH(CostTrack[[#This Row],[Vendor - Contract]],VendorList[Vendor / Org. with Contract ID],0)))</f>
        <v>Other Contractor</v>
      </c>
      <c r="T374" s="243" t="str">
        <f ca="1">IF(CostTrack[[#This Row],[Vendor - Contract]]="","",INDEX(VendorList[Phase / Subproject],MATCH(CostTrack[[#This Row],[Vendor - Contract]],VendorList[Vendor / Org. with Contract ID],0)))</f>
        <v>--</v>
      </c>
      <c r="U374" s="243" t="str">
        <f ca="1">IF(CostTrack[[#This Row],[Vendor - Contract]]="","",INDEX(VendorList[Phase / Subproject 2],MATCH(CostTrack[[#This Row],[Vendor - Contract]],VendorList[Vendor / Org. with Contract ID],0)))</f>
        <v>--</v>
      </c>
      <c r="V374" s="243" t="str">
        <f ca="1">IF(CostTrack[[#This Row],[Vendor - Contract]]="","",INDEX(VendorList[Funding Source],MATCH(CostTrack[[#This Row],[Vendor - Contract]],VendorList[Vendor / Org. with Contract ID],0)))</f>
        <v>P-002360</v>
      </c>
      <c r="W374" s="267">
        <v>44735</v>
      </c>
      <c r="X374" s="251" t="str">
        <f ca="1">IF(CostTrack[[#This Row],[Release Date (CMS)]]="","*","")</f>
        <v/>
      </c>
      <c r="Y374" s="267" t="s">
        <v>53</v>
      </c>
      <c r="Z374" s="652" t="s">
        <v>1089</v>
      </c>
      <c r="AA374" s="245">
        <f ca="1">IF(OR(CostTrack[[#This Row],[Release Date (CMS)]]&gt;=DATE(VALUE(REPLACE(CostTrack[[#This Row],[Fiscal Period]],3,3,"")),3,1),CostTrack[[#This Row],[Release Date (CMS)]]&lt;DATE(VALUE(LEFT(CostTrack[[#This Row],[Fiscal Period]],4)),4,1)),1,0)</f>
        <v>0</v>
      </c>
      <c r="AB374" s="655">
        <v>13333.91</v>
      </c>
      <c r="AC374" s="267">
        <v>44736</v>
      </c>
      <c r="AD374" s="402" t="str">
        <f ca="1">IF(CostTrack[[#This Row],[Reconciled Amount]]="","",IF(CostTrack[[#This Row],[Value]]&lt;&gt;CostTrack[[#This Row],[Reconciled Amount]],"Yes","No"))</f>
        <v>No</v>
      </c>
    </row>
    <row r="375" spans="2:30" ht="79.150000000000006" customHeight="1">
      <c r="B375" s="1324" t="s">
        <v>731</v>
      </c>
      <c r="C375" s="1312">
        <v>800021870</v>
      </c>
      <c r="D375" s="1308">
        <v>44739</v>
      </c>
      <c r="E375" s="658">
        <v>167.67</v>
      </c>
      <c r="F375" s="1309" t="s">
        <v>69</v>
      </c>
      <c r="G375" s="1310">
        <f ca="1">ROUND(IF(CostTrack[[#This Row],[Holdback (Y/N/R)]]="Yes",CostTrack[[#This Row],[Value]]*-0.1,IF(CostTrack[[#This Row],[Holdback (Y/N/R)]]="Release",CostTrack[[#This Row],[Value]],0)),2)</f>
        <v>0</v>
      </c>
      <c r="H375" s="1311">
        <f ca="1">IF(CostTrack[[#This Row],[Holdback (Y/N/R)]]="Release",CostTrack[[#This Row],[Value]],CostTrack[[#This Row],[Value]]+CostTrack[[#This Row],[Holdback Value]])</f>
        <v>167.67</v>
      </c>
      <c r="I375" s="1312"/>
      <c r="J375" s="1312"/>
      <c r="K375" s="1313"/>
      <c r="L375" s="1325">
        <v>44736</v>
      </c>
      <c r="M375" s="1326">
        <v>44736</v>
      </c>
      <c r="N375" s="1327"/>
      <c r="O375" s="1328" t="s">
        <v>106</v>
      </c>
      <c r="P375" s="1308">
        <v>44735</v>
      </c>
      <c r="Q375" s="1314" t="str">
        <f ca="1">IF(CostTrack[[#This Row],[Vendor - Contract]]="","",INDEX(VendorList[PA ID],MATCH(CostTrack[[#This Row],[Vendor - Contract]],VendorList[Vendor / Org. with Contract ID],0)))</f>
        <v>100.050.F1</v>
      </c>
      <c r="R375" s="1314" t="str">
        <f ca="1">IF(CostTrack[[#This Row],[Vendor - Contract]]="","",INDEX(VendorList[Primary Category],MATCH(CostTrack[[#This Row],[Vendor - Contract]],VendorList[Vendor / Org. with Contract ID],0)))</f>
        <v>Administration</v>
      </c>
      <c r="S375" s="1314" t="str">
        <f ca="1">IF(CostTrack[[#This Row],[Vendor - Contract]]="","",INDEX(VendorList[Secondary Category],MATCH(CostTrack[[#This Row],[Vendor - Contract]],VendorList[Vendor / Org. with Contract ID],0)))</f>
        <v>Other Administration</v>
      </c>
      <c r="T375" s="1314" t="str">
        <f ca="1">IF(CostTrack[[#This Row],[Vendor - Contract]]="","",INDEX(VendorList[Phase / Subproject],MATCH(CostTrack[[#This Row],[Vendor - Contract]],VendorList[Vendor / Org. with Contract ID],0)))</f>
        <v>--</v>
      </c>
      <c r="U375" s="1314" t="str">
        <f ca="1">IF(CostTrack[[#This Row],[Vendor - Contract]]="","",INDEX(VendorList[Phase / Subproject 2],MATCH(CostTrack[[#This Row],[Vendor - Contract]],VendorList[Vendor / Org. with Contract ID],0)))</f>
        <v>--</v>
      </c>
      <c r="V375" s="1314" t="str">
        <f ca="1">IF(CostTrack[[#This Row],[Vendor - Contract]]="","",INDEX(VendorList[Funding Source],MATCH(CostTrack[[#This Row],[Vendor - Contract]],VendorList[Vendor / Org. with Contract ID],0)))</f>
        <v>P-002360</v>
      </c>
      <c r="W375" s="1308">
        <v>44739</v>
      </c>
      <c r="X375" s="1315" t="str">
        <f ca="1">IF(CostTrack[[#This Row],[Release Date (CMS)]]="","*","")</f>
        <v/>
      </c>
      <c r="Y375" s="1308" t="s">
        <v>53</v>
      </c>
      <c r="Z375" s="652" t="s">
        <v>1090</v>
      </c>
      <c r="AA375" s="1316">
        <f ca="1">IF(OR(CostTrack[[#This Row],[Release Date (CMS)]]&gt;=DATE(VALUE(REPLACE(CostTrack[[#This Row],[Fiscal Period]],3,3,"")),3,1),CostTrack[[#This Row],[Release Date (CMS)]]&lt;DATE(VALUE(LEFT(CostTrack[[#This Row],[Fiscal Period]],4)),4,1)),1,0)</f>
        <v>0</v>
      </c>
      <c r="AB375" s="1317">
        <v>167.67</v>
      </c>
      <c r="AC375" s="1308">
        <v>44750</v>
      </c>
      <c r="AD375" s="402" t="str">
        <f ca="1">IF(CostTrack[[#This Row],[Reconciled Amount]]="","",IF(CostTrack[[#This Row],[Value]]&lt;&gt;CostTrack[[#This Row],[Reconciled Amount]],"Yes","No"))</f>
        <v>No</v>
      </c>
    </row>
    <row r="376" spans="2:30" ht="39.6" customHeight="1">
      <c r="B376" s="1324" t="s">
        <v>624</v>
      </c>
      <c r="C376" s="1312">
        <v>1719049</v>
      </c>
      <c r="D376" s="1308">
        <v>44742</v>
      </c>
      <c r="E376" s="658">
        <v>4600</v>
      </c>
      <c r="F376" s="1309" t="s">
        <v>69</v>
      </c>
      <c r="G376" s="1310">
        <f ca="1">ROUND(IF(CostTrack[[#This Row],[Holdback (Y/N/R)]]="Yes",CostTrack[[#This Row],[Value]]*-0.1,IF(CostTrack[[#This Row],[Holdback (Y/N/R)]]="Release",CostTrack[[#This Row],[Value]],0)),2)</f>
        <v>0</v>
      </c>
      <c r="H376" s="1311">
        <f ca="1">IF(CostTrack[[#This Row],[Holdback (Y/N/R)]]="Release",CostTrack[[#This Row],[Value]],CostTrack[[#This Row],[Value]]+CostTrack[[#This Row],[Holdback Value]])</f>
        <v>4600</v>
      </c>
      <c r="I376" s="1312"/>
      <c r="J376" s="1312"/>
      <c r="K376" s="1313"/>
      <c r="L376" s="1325">
        <v>44746</v>
      </c>
      <c r="M376" s="1326">
        <v>44746</v>
      </c>
      <c r="N376" s="1327"/>
      <c r="O376" s="1328" t="s">
        <v>106</v>
      </c>
      <c r="P376" s="1308">
        <v>44748</v>
      </c>
      <c r="Q376" s="1314" t="str">
        <f ca="1">IF(CostTrack[[#This Row],[Vendor - Contract]]="","",INDEX(VendorList[PA ID],MATCH(CostTrack[[#This Row],[Vendor - Contract]],VendorList[Vendor / Org. with Contract ID],0)))</f>
        <v>200.040.F1</v>
      </c>
      <c r="R376" s="1314" t="str">
        <f ca="1">IF(CostTrack[[#This Row],[Vendor - Contract]]="","",INDEX(VendorList[Primary Category],MATCH(CostTrack[[#This Row],[Vendor - Contract]],VendorList[Vendor / Org. with Contract ID],0)))</f>
        <v>Professional Services</v>
      </c>
      <c r="S376" s="1314" t="str">
        <f ca="1">IF(CostTrack[[#This Row],[Vendor - Contract]]="","",INDEX(VendorList[Secondary Category],MATCH(CostTrack[[#This Row],[Vendor - Contract]],VendorList[Vendor / Org. with Contract ID],0)))</f>
        <v>Commissioning</v>
      </c>
      <c r="T376" s="1314" t="str">
        <f ca="1">IF(CostTrack[[#This Row],[Vendor - Contract]]="","",INDEX(VendorList[Phase / Subproject],MATCH(CostTrack[[#This Row],[Vendor - Contract]],VendorList[Vendor / Org. with Contract ID],0)))</f>
        <v>--</v>
      </c>
      <c r="U376" s="1314" t="str">
        <f ca="1">IF(CostTrack[[#This Row],[Vendor - Contract]]="","",INDEX(VendorList[Phase / Subproject 2],MATCH(CostTrack[[#This Row],[Vendor - Contract]],VendorList[Vendor / Org. with Contract ID],0)))</f>
        <v>--</v>
      </c>
      <c r="V376" s="1314" t="str">
        <f ca="1">IF(CostTrack[[#This Row],[Vendor - Contract]]="","",INDEX(VendorList[Funding Source],MATCH(CostTrack[[#This Row],[Vendor - Contract]],VendorList[Vendor / Org. with Contract ID],0)))</f>
        <v>P-002360</v>
      </c>
      <c r="W376" s="1308">
        <v>44748</v>
      </c>
      <c r="X376" s="1315" t="str">
        <f ca="1">IF(CostTrack[[#This Row],[Release Date (CMS)]]="","*","")</f>
        <v/>
      </c>
      <c r="Y376" s="1308" t="s">
        <v>53</v>
      </c>
      <c r="Z376" s="713"/>
      <c r="AA376" s="1316">
        <f ca="1">IF(OR(CostTrack[[#This Row],[Release Date (CMS)]]&gt;=DATE(VALUE(REPLACE(CostTrack[[#This Row],[Fiscal Period]],3,3,"")),3,1),CostTrack[[#This Row],[Release Date (CMS)]]&lt;DATE(VALUE(LEFT(CostTrack[[#This Row],[Fiscal Period]],4)),4,1)),1,0)</f>
        <v>0</v>
      </c>
      <c r="AB376" s="1317">
        <v>4600</v>
      </c>
      <c r="AC376" s="1308">
        <v>44750</v>
      </c>
      <c r="AD376" s="402" t="str">
        <f ca="1">IF(CostTrack[[#This Row],[Reconciled Amount]]="","",IF(CostTrack[[#This Row],[Value]]&lt;&gt;CostTrack[[#This Row],[Reconciled Amount]],"Yes","No"))</f>
        <v>No</v>
      </c>
    </row>
    <row r="377" spans="2:30" ht="39.6" customHeight="1">
      <c r="B377" s="1324" t="s">
        <v>655</v>
      </c>
      <c r="C377" s="1312">
        <v>2980</v>
      </c>
      <c r="D377" s="1308">
        <v>44742</v>
      </c>
      <c r="E377" s="658">
        <v>914</v>
      </c>
      <c r="F377" s="1309" t="s">
        <v>69</v>
      </c>
      <c r="G377" s="1310">
        <f ca="1">ROUND(IF(CostTrack[[#This Row],[Holdback (Y/N/R)]]="Yes",CostTrack[[#This Row],[Value]]*-0.1,IF(CostTrack[[#This Row],[Holdback (Y/N/R)]]="Release",CostTrack[[#This Row],[Value]],0)),2)</f>
        <v>0</v>
      </c>
      <c r="H377" s="1311">
        <f ca="1">IF(CostTrack[[#This Row],[Holdback (Y/N/R)]]="Release",CostTrack[[#This Row],[Value]],CostTrack[[#This Row],[Value]]+CostTrack[[#This Row],[Holdback Value]])</f>
        <v>914</v>
      </c>
      <c r="I377" s="1312"/>
      <c r="J377" s="1312"/>
      <c r="K377" s="1313"/>
      <c r="L377" s="1325">
        <v>44742</v>
      </c>
      <c r="M377" s="1326">
        <v>44742</v>
      </c>
      <c r="N377" s="1327"/>
      <c r="O377" s="1328" t="s">
        <v>106</v>
      </c>
      <c r="P377" s="1308">
        <v>44746</v>
      </c>
      <c r="Q377" s="1314" t="str">
        <f ca="1">IF(CostTrack[[#This Row],[Vendor - Contract]]="","",INDEX(VendorList[PA ID],MATCH(CostTrack[[#This Row],[Vendor - Contract]],VendorList[Vendor / Org. with Contract ID],0)))</f>
        <v>200.050.F1</v>
      </c>
      <c r="R377" s="1314" t="str">
        <f ca="1">IF(CostTrack[[#This Row],[Vendor - Contract]]="","",INDEX(VendorList[Primary Category],MATCH(CostTrack[[#This Row],[Vendor - Contract]],VendorList[Vendor / Org. with Contract ID],0)))</f>
        <v>Professional Services</v>
      </c>
      <c r="S377" s="1314" t="str">
        <f ca="1">IF(CostTrack[[#This Row],[Vendor - Contract]]="","",INDEX(VendorList[Secondary Category],MATCH(CostTrack[[#This Row],[Vendor - Contract]],VendorList[Vendor / Org. with Contract ID],0)))</f>
        <v>Other Professional Services</v>
      </c>
      <c r="T377" s="1314" t="str">
        <f ca="1">IF(CostTrack[[#This Row],[Vendor - Contract]]="","",INDEX(VendorList[Phase / Subproject],MATCH(CostTrack[[#This Row],[Vendor - Contract]],VendorList[Vendor / Org. with Contract ID],0)))</f>
        <v>--</v>
      </c>
      <c r="U377" s="1314" t="str">
        <f ca="1">IF(CostTrack[[#This Row],[Vendor - Contract]]="","",INDEX(VendorList[Phase / Subproject 2],MATCH(CostTrack[[#This Row],[Vendor - Contract]],VendorList[Vendor / Org. with Contract ID],0)))</f>
        <v>--</v>
      </c>
      <c r="V377" s="1314" t="str">
        <f ca="1">IF(CostTrack[[#This Row],[Vendor - Contract]]="","",INDEX(VendorList[Funding Source],MATCH(CostTrack[[#This Row],[Vendor - Contract]],VendorList[Vendor / Org. with Contract ID],0)))</f>
        <v>P-002360</v>
      </c>
      <c r="W377" s="1308">
        <v>44746</v>
      </c>
      <c r="X377" s="1315" t="str">
        <f ca="1">IF(CostTrack[[#This Row],[Release Date (CMS)]]="","*","")</f>
        <v/>
      </c>
      <c r="Y377" s="1308" t="s">
        <v>53</v>
      </c>
      <c r="Z377" s="713"/>
      <c r="AA377" s="1316">
        <f ca="1">IF(OR(CostTrack[[#This Row],[Release Date (CMS)]]&gt;=DATE(VALUE(REPLACE(CostTrack[[#This Row],[Fiscal Period]],3,3,"")),3,1),CostTrack[[#This Row],[Release Date (CMS)]]&lt;DATE(VALUE(LEFT(CostTrack[[#This Row],[Fiscal Period]],4)),4,1)),1,0)</f>
        <v>0</v>
      </c>
      <c r="AB377" s="1317">
        <v>914</v>
      </c>
      <c r="AC377" s="1308">
        <v>44767</v>
      </c>
      <c r="AD377" s="402" t="str">
        <f ca="1">IF(CostTrack[[#This Row],[Reconciled Amount]]="","",IF(CostTrack[[#This Row],[Value]]&lt;&gt;CostTrack[[#This Row],[Reconciled Amount]],"Yes","No"))</f>
        <v>No</v>
      </c>
    </row>
    <row r="378" spans="2:30" ht="39.6" customHeight="1">
      <c r="B378" s="1324" t="s">
        <v>718</v>
      </c>
      <c r="C378" s="1312">
        <v>557462</v>
      </c>
      <c r="D378" s="1308">
        <v>44740</v>
      </c>
      <c r="E378" s="658">
        <v>314</v>
      </c>
      <c r="F378" s="1309" t="s">
        <v>69</v>
      </c>
      <c r="G378" s="1310">
        <f ca="1">ROUND(IF(CostTrack[[#This Row],[Holdback (Y/N/R)]]="Yes",CostTrack[[#This Row],[Value]]*-0.1,IF(CostTrack[[#This Row],[Holdback (Y/N/R)]]="Release",CostTrack[[#This Row],[Value]],0)),2)</f>
        <v>0</v>
      </c>
      <c r="H378" s="1311">
        <f ca="1">IF(CostTrack[[#This Row],[Holdback (Y/N/R)]]="Release",CostTrack[[#This Row],[Value]],CostTrack[[#This Row],[Value]]+CostTrack[[#This Row],[Holdback Value]])</f>
        <v>314</v>
      </c>
      <c r="I378" s="1312"/>
      <c r="J378" s="1312"/>
      <c r="K378" s="1313"/>
      <c r="L378" s="1325">
        <v>44741</v>
      </c>
      <c r="M378" s="1326">
        <v>44746</v>
      </c>
      <c r="N378" s="1327"/>
      <c r="O378" s="1328" t="s">
        <v>106</v>
      </c>
      <c r="P378" s="1308">
        <v>44746</v>
      </c>
      <c r="Q378" s="1314" t="str">
        <f ca="1">IF(CostTrack[[#This Row],[Vendor - Contract]]="","",INDEX(VendorList[PA ID],MATCH(CostTrack[[#This Row],[Vendor - Contract]],VendorList[Vendor / Org. with Contract ID],0)))</f>
        <v>300.040.F1</v>
      </c>
      <c r="R378" s="1314" t="str">
        <f ca="1">IF(CostTrack[[#This Row],[Vendor - Contract]]="","",INDEX(VendorList[Primary Category],MATCH(CostTrack[[#This Row],[Vendor - Contract]],VendorList[Vendor / Org. with Contract ID],0)))</f>
        <v>Construction</v>
      </c>
      <c r="S378" s="1314" t="str">
        <f ca="1">IF(CostTrack[[#This Row],[Vendor - Contract]]="","",INDEX(VendorList[Secondary Category],MATCH(CostTrack[[#This Row],[Vendor - Contract]],VendorList[Vendor / Org. with Contract ID],0)))</f>
        <v>Other Contractor</v>
      </c>
      <c r="T378" s="1314" t="str">
        <f ca="1">IF(CostTrack[[#This Row],[Vendor - Contract]]="","",INDEX(VendorList[Phase / Subproject],MATCH(CostTrack[[#This Row],[Vendor - Contract]],VendorList[Vendor / Org. with Contract ID],0)))</f>
        <v>--</v>
      </c>
      <c r="U378" s="1314" t="str">
        <f ca="1">IF(CostTrack[[#This Row],[Vendor - Contract]]="","",INDEX(VendorList[Phase / Subproject 2],MATCH(CostTrack[[#This Row],[Vendor - Contract]],VendorList[Vendor / Org. with Contract ID],0)))</f>
        <v>--</v>
      </c>
      <c r="V378" s="1314" t="str">
        <f ca="1">IF(CostTrack[[#This Row],[Vendor - Contract]]="","",INDEX(VendorList[Funding Source],MATCH(CostTrack[[#This Row],[Vendor - Contract]],VendorList[Vendor / Org. with Contract ID],0)))</f>
        <v>P-002360</v>
      </c>
      <c r="W378" s="1308">
        <v>44746</v>
      </c>
      <c r="X378" s="1315" t="str">
        <f ca="1">IF(CostTrack[[#This Row],[Release Date (CMS)]]="","*","")</f>
        <v/>
      </c>
      <c r="Y378" s="1308" t="s">
        <v>53</v>
      </c>
      <c r="Z378" s="713" t="s">
        <v>1091</v>
      </c>
      <c r="AA378" s="1316">
        <f ca="1">IF(OR(CostTrack[[#This Row],[Release Date (CMS)]]&gt;=DATE(VALUE(REPLACE(CostTrack[[#This Row],[Fiscal Period]],3,3,"")),3,1),CostTrack[[#This Row],[Release Date (CMS)]]&lt;DATE(VALUE(LEFT(CostTrack[[#This Row],[Fiscal Period]],4)),4,1)),1,0)</f>
        <v>0</v>
      </c>
      <c r="AB378" s="1317">
        <v>314</v>
      </c>
      <c r="AC378" s="1308">
        <v>44750</v>
      </c>
      <c r="AD378" s="402" t="str">
        <f ca="1">IF(CostTrack[[#This Row],[Reconciled Amount]]="","",IF(CostTrack[[#This Row],[Value]]&lt;&gt;CostTrack[[#This Row],[Reconciled Amount]],"Yes","No"))</f>
        <v>No</v>
      </c>
    </row>
    <row r="379" spans="2:30" ht="39.6" customHeight="1">
      <c r="B379" s="1324" t="s">
        <v>662</v>
      </c>
      <c r="C379" s="1312">
        <v>6377</v>
      </c>
      <c r="D379" s="1308">
        <v>44742</v>
      </c>
      <c r="E379" s="658">
        <v>510</v>
      </c>
      <c r="F379" s="1309" t="s">
        <v>69</v>
      </c>
      <c r="G379" s="1310">
        <f ca="1">ROUND(IF(CostTrack[[#This Row],[Holdback (Y/N/R)]]="Yes",CostTrack[[#This Row],[Value]]*-0.1,IF(CostTrack[[#This Row],[Holdback (Y/N/R)]]="Release",CostTrack[[#This Row],[Value]],0)),2)</f>
        <v>0</v>
      </c>
      <c r="H379" s="1311">
        <f ca="1">IF(CostTrack[[#This Row],[Holdback (Y/N/R)]]="Release",CostTrack[[#This Row],[Value]],CostTrack[[#This Row],[Value]]+CostTrack[[#This Row],[Holdback Value]])</f>
        <v>510</v>
      </c>
      <c r="I379" s="1312"/>
      <c r="J379" s="1312"/>
      <c r="K379" s="1313"/>
      <c r="L379" s="1325">
        <v>44747</v>
      </c>
      <c r="M379" s="1326">
        <v>44747</v>
      </c>
      <c r="N379" s="1327"/>
      <c r="O379" s="1328" t="s">
        <v>106</v>
      </c>
      <c r="P379" s="1308">
        <v>44749</v>
      </c>
      <c r="Q379" s="1314" t="str">
        <f ca="1">IF(CostTrack[[#This Row],[Vendor - Contract]]="","",INDEX(VendorList[PA ID],MATCH(CostTrack[[#This Row],[Vendor - Contract]],VendorList[Vendor / Org. with Contract ID],0)))</f>
        <v>200.050.F1</v>
      </c>
      <c r="R379" s="1314" t="str">
        <f ca="1">IF(CostTrack[[#This Row],[Vendor - Contract]]="","",INDEX(VendorList[Primary Category],MATCH(CostTrack[[#This Row],[Vendor - Contract]],VendorList[Vendor / Org. with Contract ID],0)))</f>
        <v>Professional Services</v>
      </c>
      <c r="S379" s="1314" t="str">
        <f ca="1">IF(CostTrack[[#This Row],[Vendor - Contract]]="","",INDEX(VendorList[Secondary Category],MATCH(CostTrack[[#This Row],[Vendor - Contract]],VendorList[Vendor / Org. with Contract ID],0)))</f>
        <v>Other Professional Services</v>
      </c>
      <c r="T379" s="1314" t="str">
        <f ca="1">IF(CostTrack[[#This Row],[Vendor - Contract]]="","",INDEX(VendorList[Phase / Subproject],MATCH(CostTrack[[#This Row],[Vendor - Contract]],VendorList[Vendor / Org. with Contract ID],0)))</f>
        <v>--</v>
      </c>
      <c r="U379" s="1314" t="str">
        <f ca="1">IF(CostTrack[[#This Row],[Vendor - Contract]]="","",INDEX(VendorList[Phase / Subproject 2],MATCH(CostTrack[[#This Row],[Vendor - Contract]],VendorList[Vendor / Org. with Contract ID],0)))</f>
        <v>--</v>
      </c>
      <c r="V379" s="1314" t="str">
        <f ca="1">IF(CostTrack[[#This Row],[Vendor - Contract]]="","",INDEX(VendorList[Funding Source],MATCH(CostTrack[[#This Row],[Vendor - Contract]],VendorList[Vendor / Org. with Contract ID],0)))</f>
        <v>P-002360</v>
      </c>
      <c r="W379" s="1308">
        <v>44749</v>
      </c>
      <c r="X379" s="1315" t="str">
        <f ca="1">IF(CostTrack[[#This Row],[Release Date (CMS)]]="","*","")</f>
        <v/>
      </c>
      <c r="Y379" s="1308" t="s">
        <v>53</v>
      </c>
      <c r="Z379" s="713"/>
      <c r="AA379" s="1316">
        <f ca="1">IF(OR(CostTrack[[#This Row],[Release Date (CMS)]]&gt;=DATE(VALUE(REPLACE(CostTrack[[#This Row],[Fiscal Period]],3,3,"")),3,1),CostTrack[[#This Row],[Release Date (CMS)]]&lt;DATE(VALUE(LEFT(CostTrack[[#This Row],[Fiscal Period]],4)),4,1)),1,0)</f>
        <v>0</v>
      </c>
      <c r="AB379" s="1317">
        <v>510</v>
      </c>
      <c r="AC379" s="1308">
        <v>44767</v>
      </c>
      <c r="AD379" s="402" t="str">
        <f ca="1">IF(CostTrack[[#This Row],[Reconciled Amount]]="","",IF(CostTrack[[#This Row],[Value]]&lt;&gt;CostTrack[[#This Row],[Reconciled Amount]],"Yes","No"))</f>
        <v>No</v>
      </c>
    </row>
    <row r="380" spans="2:30" ht="39.6" customHeight="1">
      <c r="B380" s="1324" t="s">
        <v>736</v>
      </c>
      <c r="C380" s="650" t="s">
        <v>1092</v>
      </c>
      <c r="D380" s="1308">
        <v>44742</v>
      </c>
      <c r="E380" s="658">
        <v>52791.82</v>
      </c>
      <c r="F380" s="1309" t="s">
        <v>69</v>
      </c>
      <c r="G380" s="1310">
        <f ca="1">ROUND(IF(CostTrack[[#This Row],[Holdback (Y/N/R)]]="Yes",CostTrack[[#This Row],[Value]]*-0.1,IF(CostTrack[[#This Row],[Holdback (Y/N/R)]]="Release",CostTrack[[#This Row],[Value]],0)),2)</f>
        <v>0</v>
      </c>
      <c r="H380" s="1311">
        <f ca="1">IF(CostTrack[[#This Row],[Holdback (Y/N/R)]]="Release",CostTrack[[#This Row],[Value]],CostTrack[[#This Row],[Value]]+CostTrack[[#This Row],[Holdback Value]])</f>
        <v>52791.82</v>
      </c>
      <c r="I380" s="1312"/>
      <c r="J380" s="1312"/>
      <c r="K380" s="1313"/>
      <c r="L380" s="1325">
        <v>44742</v>
      </c>
      <c r="M380" s="708">
        <v>44742</v>
      </c>
      <c r="N380" s="1327"/>
      <c r="O380" s="1328" t="s">
        <v>106</v>
      </c>
      <c r="P380" s="1308">
        <v>44742</v>
      </c>
      <c r="Q380" s="1314" t="str">
        <f ca="1">IF(CostTrack[[#This Row],[Vendor - Contract]]="","",INDEX(VendorList[PA ID],MATCH(CostTrack[[#This Row],[Vendor - Contract]],VendorList[Vendor / Org. with Contract ID],0)))</f>
        <v>100.010.F1</v>
      </c>
      <c r="R380" s="1314" t="str">
        <f ca="1">IF(CostTrack[[#This Row],[Vendor - Contract]]="","",INDEX(VendorList[Primary Category],MATCH(CostTrack[[#This Row],[Vendor - Contract]],VendorList[Vendor / Org. with Contract ID],0)))</f>
        <v>Administration</v>
      </c>
      <c r="S380" s="1314" t="str">
        <f ca="1">IF(CostTrack[[#This Row],[Vendor - Contract]]="","",INDEX(VendorList[Secondary Category],MATCH(CostTrack[[#This Row],[Vendor - Contract]],VendorList[Vendor / Org. with Contract ID],0)))</f>
        <v>Staff Capitalization - INFRA</v>
      </c>
      <c r="T380" s="1314" t="str">
        <f ca="1">IF(CostTrack[[#This Row],[Vendor - Contract]]="","",INDEX(VendorList[Phase / Subproject],MATCH(CostTrack[[#This Row],[Vendor - Contract]],VendorList[Vendor / Org. with Contract ID],0)))</f>
        <v>--</v>
      </c>
      <c r="U380" s="1314" t="str">
        <f ca="1">IF(CostTrack[[#This Row],[Vendor - Contract]]="","",INDEX(VendorList[Phase / Subproject 2],MATCH(CostTrack[[#This Row],[Vendor - Contract]],VendorList[Vendor / Org. with Contract ID],0)))</f>
        <v>--</v>
      </c>
      <c r="V380" s="1314" t="str">
        <f ca="1">IF(CostTrack[[#This Row],[Vendor - Contract]]="","",INDEX(VendorList[Funding Source],MATCH(CostTrack[[#This Row],[Vendor - Contract]],VendorList[Vendor / Org. with Contract ID],0)))</f>
        <v>P-002360</v>
      </c>
      <c r="W380" s="1308">
        <v>44742</v>
      </c>
      <c r="X380" s="1315" t="str">
        <f ca="1">IF(CostTrack[[#This Row],[Release Date (CMS)]]="","*","")</f>
        <v/>
      </c>
      <c r="Y380" s="1308" t="s">
        <v>53</v>
      </c>
      <c r="Z380" s="652" t="s">
        <v>1093</v>
      </c>
      <c r="AA380" s="1316">
        <f ca="1">IF(OR(CostTrack[[#This Row],[Release Date (CMS)]]&gt;=DATE(VALUE(REPLACE(CostTrack[[#This Row],[Fiscal Period]],3,3,"")),3,1),CostTrack[[#This Row],[Release Date (CMS)]]&lt;DATE(VALUE(LEFT(CostTrack[[#This Row],[Fiscal Period]],4)),4,1)),1,0)</f>
        <v>0</v>
      </c>
      <c r="AB380" s="1317">
        <v>52791.82</v>
      </c>
      <c r="AC380" s="1308">
        <v>44750</v>
      </c>
      <c r="AD380" s="402" t="str">
        <f ca="1">IF(CostTrack[[#This Row],[Reconciled Amount]]="","",IF(CostTrack[[#This Row],[Value]]&lt;&gt;CostTrack[[#This Row],[Reconciled Amount]],"Yes","No"))</f>
        <v>No</v>
      </c>
    </row>
    <row r="381" spans="2:30" ht="39.6" customHeight="1">
      <c r="B381" s="1324" t="s">
        <v>527</v>
      </c>
      <c r="C381" s="1312" t="s">
        <v>1094</v>
      </c>
      <c r="D381" s="1308">
        <v>44742</v>
      </c>
      <c r="E381" s="658">
        <v>71854.94</v>
      </c>
      <c r="F381" s="1309" t="s">
        <v>69</v>
      </c>
      <c r="G381" s="1310">
        <f ca="1">ROUND(IF(CostTrack[[#This Row],[Holdback (Y/N/R)]]="Yes",CostTrack[[#This Row],[Value]]*-0.1,IF(CostTrack[[#This Row],[Holdback (Y/N/R)]]="Release",CostTrack[[#This Row],[Value]],0)),2)</f>
        <v>0</v>
      </c>
      <c r="H381" s="1311">
        <f ca="1">IF(CostTrack[[#This Row],[Holdback (Y/N/R)]]="Release",CostTrack[[#This Row],[Value]],CostTrack[[#This Row],[Value]]+CostTrack[[#This Row],[Holdback Value]])</f>
        <v>71854.94</v>
      </c>
      <c r="I381" s="1312"/>
      <c r="J381" s="1312"/>
      <c r="K381" s="1313"/>
      <c r="L381" s="1325">
        <v>44750</v>
      </c>
      <c r="M381" s="1326">
        <v>44750</v>
      </c>
      <c r="N381" s="1327"/>
      <c r="O381" s="1328" t="s">
        <v>106</v>
      </c>
      <c r="P381" s="1308">
        <v>44750</v>
      </c>
      <c r="Q381" s="1314" t="str">
        <f ca="1">IF(CostTrack[[#This Row],[Vendor - Contract]]="","",INDEX(VendorList[PA ID],MATCH(CostTrack[[#This Row],[Vendor - Contract]],VendorList[Vendor / Org. with Contract ID],0)))</f>
        <v>200.010.F1</v>
      </c>
      <c r="R381" s="1314" t="str">
        <f ca="1">IF(CostTrack[[#This Row],[Vendor - Contract]]="","",INDEX(VendorList[Primary Category],MATCH(CostTrack[[#This Row],[Vendor - Contract]],VendorList[Vendor / Org. with Contract ID],0)))</f>
        <v>Professional Services</v>
      </c>
      <c r="S381" s="1314" t="str">
        <f ca="1">IF(CostTrack[[#This Row],[Vendor - Contract]]="","",INDEX(VendorList[Secondary Category],MATCH(CostTrack[[#This Row],[Vendor - Contract]],VendorList[Vendor / Org. with Contract ID],0)))</f>
        <v>Prime Consultant</v>
      </c>
      <c r="T381" s="1314" t="str">
        <f ca="1">IF(CostTrack[[#This Row],[Vendor - Contract]]="","",INDEX(VendorList[Phase / Subproject],MATCH(CostTrack[[#This Row],[Vendor - Contract]],VendorList[Vendor / Org. with Contract ID],0)))</f>
        <v>--</v>
      </c>
      <c r="U381" s="1314" t="str">
        <f ca="1">IF(CostTrack[[#This Row],[Vendor - Contract]]="","",INDEX(VendorList[Phase / Subproject 2],MATCH(CostTrack[[#This Row],[Vendor - Contract]],VendorList[Vendor / Org. with Contract ID],0)))</f>
        <v>--</v>
      </c>
      <c r="V381" s="1314" t="str">
        <f ca="1">IF(CostTrack[[#This Row],[Vendor - Contract]]="","",INDEX(VendorList[Funding Source],MATCH(CostTrack[[#This Row],[Vendor - Contract]],VendorList[Vendor / Org. with Contract ID],0)))</f>
        <v>P-002360</v>
      </c>
      <c r="W381" s="1308">
        <v>44750</v>
      </c>
      <c r="X381" s="1315" t="str">
        <f ca="1">IF(CostTrack[[#This Row],[Release Date (CMS)]]="","*","")</f>
        <v/>
      </c>
      <c r="Y381" s="1308" t="s">
        <v>53</v>
      </c>
      <c r="Z381" s="713"/>
      <c r="AA381" s="1316">
        <f ca="1">IF(OR(CostTrack[[#This Row],[Release Date (CMS)]]&gt;=DATE(VALUE(REPLACE(CostTrack[[#This Row],[Fiscal Period]],3,3,"")),3,1),CostTrack[[#This Row],[Release Date (CMS)]]&lt;DATE(VALUE(LEFT(CostTrack[[#This Row],[Fiscal Period]],4)),4,1)),1,0)</f>
        <v>0</v>
      </c>
      <c r="AB381" s="1317">
        <v>71854.94</v>
      </c>
      <c r="AC381" s="1308">
        <v>44767</v>
      </c>
      <c r="AD381" s="402" t="str">
        <f ca="1">IF(CostTrack[[#This Row],[Reconciled Amount]]="","",IF(CostTrack[[#This Row],[Value]]&lt;&gt;CostTrack[[#This Row],[Reconciled Amount]],"Yes","No"))</f>
        <v>No</v>
      </c>
    </row>
    <row r="382" spans="2:30" ht="72" customHeight="1">
      <c r="B382" s="1324" t="s">
        <v>1087</v>
      </c>
      <c r="C382" s="1334" t="s">
        <v>1095</v>
      </c>
      <c r="D382" s="1308">
        <v>44744</v>
      </c>
      <c r="E382" s="658">
        <v>13333.91</v>
      </c>
      <c r="F382" s="1309" t="s">
        <v>69</v>
      </c>
      <c r="G382" s="1310">
        <f ca="1">ROUND(IF(CostTrack[[#This Row],[Holdback (Y/N/R)]]="Yes",CostTrack[[#This Row],[Value]]*-0.1,IF(CostTrack[[#This Row],[Holdback (Y/N/R)]]="Release",CostTrack[[#This Row],[Value]],0)),2)</f>
        <v>0</v>
      </c>
      <c r="H382" s="1311">
        <f ca="1">IF(CostTrack[[#This Row],[Holdback (Y/N/R)]]="Release",CostTrack[[#This Row],[Value]],CostTrack[[#This Row],[Value]]+CostTrack[[#This Row],[Holdback Value]])</f>
        <v>13333.91</v>
      </c>
      <c r="I382" s="1312"/>
      <c r="J382" s="1312"/>
      <c r="K382" s="1313">
        <v>44774</v>
      </c>
      <c r="L382" s="1325">
        <v>44761</v>
      </c>
      <c r="M382" s="1326">
        <v>44761</v>
      </c>
      <c r="N382" s="1327"/>
      <c r="O382" s="1328" t="s">
        <v>106</v>
      </c>
      <c r="P382" s="1308">
        <v>44761</v>
      </c>
      <c r="Q382" s="1314" t="str">
        <f ca="1">IF(CostTrack[[#This Row],[Vendor - Contract]]="","",INDEX(VendorList[PA ID],MATCH(CostTrack[[#This Row],[Vendor - Contract]],VendorList[Vendor / Org. with Contract ID],0)))</f>
        <v>300.040.F1</v>
      </c>
      <c r="R382" s="1314" t="str">
        <f ca="1">IF(CostTrack[[#This Row],[Vendor - Contract]]="","",INDEX(VendorList[Primary Category],MATCH(CostTrack[[#This Row],[Vendor - Contract]],VendorList[Vendor / Org. with Contract ID],0)))</f>
        <v>Construction</v>
      </c>
      <c r="S382" s="1314" t="str">
        <f ca="1">IF(CostTrack[[#This Row],[Vendor - Contract]]="","",INDEX(VendorList[Secondary Category],MATCH(CostTrack[[#This Row],[Vendor - Contract]],VendorList[Vendor / Org. with Contract ID],0)))</f>
        <v>Other Contractor</v>
      </c>
      <c r="T382" s="1314" t="str">
        <f ca="1">IF(CostTrack[[#This Row],[Vendor - Contract]]="","",INDEX(VendorList[Phase / Subproject],MATCH(CostTrack[[#This Row],[Vendor - Contract]],VendorList[Vendor / Org. with Contract ID],0)))</f>
        <v>--</v>
      </c>
      <c r="U382" s="1314" t="str">
        <f ca="1">IF(CostTrack[[#This Row],[Vendor - Contract]]="","",INDEX(VendorList[Phase / Subproject 2],MATCH(CostTrack[[#This Row],[Vendor - Contract]],VendorList[Vendor / Org. with Contract ID],0)))</f>
        <v>--</v>
      </c>
      <c r="V382" s="1314" t="str">
        <f ca="1">IF(CostTrack[[#This Row],[Vendor - Contract]]="","",INDEX(VendorList[Funding Source],MATCH(CostTrack[[#This Row],[Vendor - Contract]],VendorList[Vendor / Org. with Contract ID],0)))</f>
        <v>P-002360</v>
      </c>
      <c r="W382" s="1308">
        <v>44773</v>
      </c>
      <c r="X382" s="1315" t="str">
        <f ca="1">IF(CostTrack[[#This Row],[Release Date (CMS)]]="","*","")</f>
        <v/>
      </c>
      <c r="Y382" s="1308" t="s">
        <v>53</v>
      </c>
      <c r="Z382" s="652" t="s">
        <v>1096</v>
      </c>
      <c r="AA382" s="1316">
        <f ca="1">IF(OR(CostTrack[[#This Row],[Release Date (CMS)]]&gt;=DATE(VALUE(REPLACE(CostTrack[[#This Row],[Fiscal Period]],3,3,"")),3,1),CostTrack[[#This Row],[Release Date (CMS)]]&lt;DATE(VALUE(LEFT(CostTrack[[#This Row],[Fiscal Period]],4)),4,1)),1,0)</f>
        <v>0</v>
      </c>
      <c r="AB382" s="1317">
        <v>13333.91</v>
      </c>
      <c r="AC382" s="1308">
        <v>44767</v>
      </c>
      <c r="AD382" s="402" t="str">
        <f ca="1">IF(CostTrack[[#This Row],[Reconciled Amount]]="","",IF(CostTrack[[#This Row],[Value]]&lt;&gt;CostTrack[[#This Row],[Reconciled Amount]],"Yes","No"))</f>
        <v>No</v>
      </c>
    </row>
    <row r="383" spans="2:30" ht="37.35" customHeight="1">
      <c r="B383" s="1324" t="s">
        <v>529</v>
      </c>
      <c r="C383" s="1312" t="s">
        <v>1097</v>
      </c>
      <c r="D383" s="1308">
        <v>44741</v>
      </c>
      <c r="E383" s="658">
        <v>5718631.6100000003</v>
      </c>
      <c r="F383" s="1309" t="s">
        <v>65</v>
      </c>
      <c r="G383" s="1310">
        <f ca="1">ROUND(IF(CostTrack[[#This Row],[Holdback (Y/N/R)]]="Yes",CostTrack[[#This Row],[Value]]*-0.1,IF(CostTrack[[#This Row],[Holdback (Y/N/R)]]="Release",CostTrack[[#This Row],[Value]],0)),2)</f>
        <v>-571863.16</v>
      </c>
      <c r="H383" s="1311">
        <f ca="1">IF(CostTrack[[#This Row],[Holdback (Y/N/R)]]="Release",CostTrack[[#This Row],[Value]],CostTrack[[#This Row],[Value]]+CostTrack[[#This Row],[Holdback Value]])</f>
        <v>5146768.45</v>
      </c>
      <c r="I383" s="650" t="s">
        <v>1098</v>
      </c>
      <c r="J383" s="1312"/>
      <c r="K383" s="1313"/>
      <c r="L383" s="1325">
        <v>44762</v>
      </c>
      <c r="M383" s="1326">
        <v>44762</v>
      </c>
      <c r="N383" s="1327"/>
      <c r="O383" s="1328" t="s">
        <v>106</v>
      </c>
      <c r="P383" s="1308">
        <v>44763</v>
      </c>
      <c r="Q383" s="1314" t="str">
        <f ca="1">IF(CostTrack[[#This Row],[Vendor - Contract]]="","",INDEX(VendorList[PA ID],MATCH(CostTrack[[#This Row],[Vendor - Contract]],VendorList[Vendor / Org. with Contract ID],0)))</f>
        <v>300.030.F1</v>
      </c>
      <c r="R383" s="1314" t="str">
        <f ca="1">IF(CostTrack[[#This Row],[Vendor - Contract]]="","",INDEX(VendorList[Primary Category],MATCH(CostTrack[[#This Row],[Vendor - Contract]],VendorList[Vendor / Org. with Contract ID],0)))</f>
        <v>Construction</v>
      </c>
      <c r="S383" s="1314" t="str">
        <f ca="1">IF(CostTrack[[#This Row],[Vendor - Contract]]="","",INDEX(VendorList[Secondary Category],MATCH(CostTrack[[#This Row],[Vendor - Contract]],VendorList[Vendor / Org. with Contract ID],0)))</f>
        <v>Prime Contractor</v>
      </c>
      <c r="T383" s="1314" t="str">
        <f ca="1">IF(CostTrack[[#This Row],[Vendor - Contract]]="","",INDEX(VendorList[Phase / Subproject],MATCH(CostTrack[[#This Row],[Vendor - Contract]],VendorList[Vendor / Org. with Contract ID],0)))</f>
        <v>--</v>
      </c>
      <c r="U383" s="1314" t="str">
        <f ca="1">IF(CostTrack[[#This Row],[Vendor - Contract]]="","",INDEX(VendorList[Phase / Subproject 2],MATCH(CostTrack[[#This Row],[Vendor - Contract]],VendorList[Vendor / Org. with Contract ID],0)))</f>
        <v>--</v>
      </c>
      <c r="V383" s="1314" t="str">
        <f ca="1">IF(CostTrack[[#This Row],[Vendor - Contract]]="","",INDEX(VendorList[Funding Source],MATCH(CostTrack[[#This Row],[Vendor - Contract]],VendorList[Vendor / Org. with Contract ID],0)))</f>
        <v>P-002360</v>
      </c>
      <c r="W383" s="1308">
        <v>44763</v>
      </c>
      <c r="X383" s="1315" t="str">
        <f ca="1">IF(CostTrack[[#This Row],[Release Date (CMS)]]="","*","")</f>
        <v/>
      </c>
      <c r="Y383" s="1308" t="s">
        <v>53</v>
      </c>
      <c r="Z383" s="713"/>
      <c r="AA383" s="1316">
        <f ca="1">IF(OR(CostTrack[[#This Row],[Release Date (CMS)]]&gt;=DATE(VALUE(REPLACE(CostTrack[[#This Row],[Fiscal Period]],3,3,"")),3,1),CostTrack[[#This Row],[Release Date (CMS)]]&lt;DATE(VALUE(LEFT(CostTrack[[#This Row],[Fiscal Period]],4)),4,1)),1,0)</f>
        <v>0</v>
      </c>
      <c r="AB383" s="1317">
        <v>5718631.6100000003</v>
      </c>
      <c r="AC383" s="1308">
        <v>44767</v>
      </c>
      <c r="AD383" s="402" t="str">
        <f ca="1">IF(CostTrack[[#This Row],[Reconciled Amount]]="","",IF(CostTrack[[#This Row],[Value]]&lt;&gt;CostTrack[[#This Row],[Reconciled Amount]],"Yes","No"))</f>
        <v>No</v>
      </c>
    </row>
    <row r="384" spans="2:30" ht="79.150000000000006" customHeight="1">
      <c r="B384" s="1324" t="s">
        <v>736</v>
      </c>
      <c r="C384" s="650" t="s">
        <v>1099</v>
      </c>
      <c r="D384" s="1308">
        <v>44773</v>
      </c>
      <c r="E384" s="658">
        <v>54810.87</v>
      </c>
      <c r="F384" s="1309" t="s">
        <v>69</v>
      </c>
      <c r="G384" s="1310">
        <f ca="1">ROUND(IF(CostTrack[[#This Row],[Holdback (Y/N/R)]]="Yes",CostTrack[[#This Row],[Value]]*-0.1,IF(CostTrack[[#This Row],[Holdback (Y/N/R)]]="Release",CostTrack[[#This Row],[Value]],0)),2)</f>
        <v>0</v>
      </c>
      <c r="H384" s="1311">
        <f ca="1">IF(CostTrack[[#This Row],[Holdback (Y/N/R)]]="Release",CostTrack[[#This Row],[Value]],CostTrack[[#This Row],[Value]]+CostTrack[[#This Row],[Holdback Value]])</f>
        <v>54810.87</v>
      </c>
      <c r="I384" s="1312"/>
      <c r="J384" s="1312"/>
      <c r="K384" s="1313"/>
      <c r="L384" s="707">
        <v>44767</v>
      </c>
      <c r="M384" s="1326">
        <v>44767</v>
      </c>
      <c r="N384" s="1327"/>
      <c r="O384" s="1328" t="s">
        <v>106</v>
      </c>
      <c r="P384" s="1308">
        <v>44773</v>
      </c>
      <c r="Q384" s="1314" t="str">
        <f ca="1">IF(CostTrack[[#This Row],[Vendor - Contract]]="","",INDEX(VendorList[PA ID],MATCH(CostTrack[[#This Row],[Vendor - Contract]],VendorList[Vendor / Org. with Contract ID],0)))</f>
        <v>100.010.F1</v>
      </c>
      <c r="R384" s="1314" t="str">
        <f ca="1">IF(CostTrack[[#This Row],[Vendor - Contract]]="","",INDEX(VendorList[Primary Category],MATCH(CostTrack[[#This Row],[Vendor - Contract]],VendorList[Vendor / Org. with Contract ID],0)))</f>
        <v>Administration</v>
      </c>
      <c r="S384" s="1314" t="str">
        <f ca="1">IF(CostTrack[[#This Row],[Vendor - Contract]]="","",INDEX(VendorList[Secondary Category],MATCH(CostTrack[[#This Row],[Vendor - Contract]],VendorList[Vendor / Org. with Contract ID],0)))</f>
        <v>Staff Capitalization - INFRA</v>
      </c>
      <c r="T384" s="1314" t="str">
        <f ca="1">IF(CostTrack[[#This Row],[Vendor - Contract]]="","",INDEX(VendorList[Phase / Subproject],MATCH(CostTrack[[#This Row],[Vendor - Contract]],VendorList[Vendor / Org. with Contract ID],0)))</f>
        <v>--</v>
      </c>
      <c r="U384" s="1314" t="str">
        <f ca="1">IF(CostTrack[[#This Row],[Vendor - Contract]]="","",INDEX(VendorList[Phase / Subproject 2],MATCH(CostTrack[[#This Row],[Vendor - Contract]],VendorList[Vendor / Org. with Contract ID],0)))</f>
        <v>--</v>
      </c>
      <c r="V384" s="1314" t="str">
        <f ca="1">IF(CostTrack[[#This Row],[Vendor - Contract]]="","",INDEX(VendorList[Funding Source],MATCH(CostTrack[[#This Row],[Vendor - Contract]],VendorList[Vendor / Org. with Contract ID],0)))</f>
        <v>P-002360</v>
      </c>
      <c r="W384" s="1308">
        <v>44773</v>
      </c>
      <c r="X384" s="1315" t="str">
        <f ca="1">IF(CostTrack[[#This Row],[Release Date (CMS)]]="","*","")</f>
        <v/>
      </c>
      <c r="Y384" s="1308" t="s">
        <v>53</v>
      </c>
      <c r="Z384" s="652" t="s">
        <v>1100</v>
      </c>
      <c r="AA384" s="1316">
        <f ca="1">IF(OR(CostTrack[[#This Row],[Release Date (CMS)]]&gt;=DATE(VALUE(REPLACE(CostTrack[[#This Row],[Fiscal Period]],3,3,"")),3,1),CostTrack[[#This Row],[Release Date (CMS)]]&lt;DATE(VALUE(LEFT(CostTrack[[#This Row],[Fiscal Period]],4)),4,1)),1,0)</f>
        <v>0</v>
      </c>
      <c r="AB384" s="1317">
        <v>54810.87</v>
      </c>
      <c r="AC384" s="1308">
        <v>44767</v>
      </c>
      <c r="AD384" s="402" t="str">
        <f ca="1">IF(CostTrack[[#This Row],[Reconciled Amount]]="","",IF(CostTrack[[#This Row],[Value]]&lt;&gt;CostTrack[[#This Row],[Reconciled Amount]],"Yes","No"))</f>
        <v>No</v>
      </c>
    </row>
    <row r="385" spans="2:30" ht="37.35" customHeight="1">
      <c r="B385" s="1324" t="s">
        <v>662</v>
      </c>
      <c r="C385" s="1312">
        <v>6521</v>
      </c>
      <c r="D385" s="1308">
        <v>44767</v>
      </c>
      <c r="E385" s="658">
        <v>1020</v>
      </c>
      <c r="F385" s="1309" t="s">
        <v>69</v>
      </c>
      <c r="G385" s="1310">
        <f ca="1">ROUND(IF(CostTrack[[#This Row],[Holdback (Y/N/R)]]="Yes",CostTrack[[#This Row],[Value]]*-0.1,IF(CostTrack[[#This Row],[Holdback (Y/N/R)]]="Release",CostTrack[[#This Row],[Value]],0)),2)</f>
        <v>0</v>
      </c>
      <c r="H385" s="1311">
        <f ca="1">IF(CostTrack[[#This Row],[Holdback (Y/N/R)]]="Release",CostTrack[[#This Row],[Value]],CostTrack[[#This Row],[Value]]+CostTrack[[#This Row],[Holdback Value]])</f>
        <v>1020</v>
      </c>
      <c r="I385" s="1312"/>
      <c r="J385" s="1312"/>
      <c r="K385" s="1313"/>
      <c r="L385" s="1325">
        <v>44768</v>
      </c>
      <c r="M385" s="1326">
        <v>44768</v>
      </c>
      <c r="N385" s="1327"/>
      <c r="O385" s="1328" t="s">
        <v>106</v>
      </c>
      <c r="P385" s="1308">
        <v>44768</v>
      </c>
      <c r="Q385" s="1314" t="str">
        <f ca="1">IF(CostTrack[[#This Row],[Vendor - Contract]]="","",INDEX(VendorList[PA ID],MATCH(CostTrack[[#This Row],[Vendor - Contract]],VendorList[Vendor / Org. with Contract ID],0)))</f>
        <v>200.050.F1</v>
      </c>
      <c r="R385" s="1314" t="str">
        <f ca="1">IF(CostTrack[[#This Row],[Vendor - Contract]]="","",INDEX(VendorList[Primary Category],MATCH(CostTrack[[#This Row],[Vendor - Contract]],VendorList[Vendor / Org. with Contract ID],0)))</f>
        <v>Professional Services</v>
      </c>
      <c r="S385" s="1314" t="str">
        <f ca="1">IF(CostTrack[[#This Row],[Vendor - Contract]]="","",INDEX(VendorList[Secondary Category],MATCH(CostTrack[[#This Row],[Vendor - Contract]],VendorList[Vendor / Org. with Contract ID],0)))</f>
        <v>Other Professional Services</v>
      </c>
      <c r="T385" s="1314" t="str">
        <f ca="1">IF(CostTrack[[#This Row],[Vendor - Contract]]="","",INDEX(VendorList[Phase / Subproject],MATCH(CostTrack[[#This Row],[Vendor - Contract]],VendorList[Vendor / Org. with Contract ID],0)))</f>
        <v>--</v>
      </c>
      <c r="U385" s="1314" t="str">
        <f ca="1">IF(CostTrack[[#This Row],[Vendor - Contract]]="","",INDEX(VendorList[Phase / Subproject 2],MATCH(CostTrack[[#This Row],[Vendor - Contract]],VendorList[Vendor / Org. with Contract ID],0)))</f>
        <v>--</v>
      </c>
      <c r="V385" s="1314" t="str">
        <f ca="1">IF(CostTrack[[#This Row],[Vendor - Contract]]="","",INDEX(VendorList[Funding Source],MATCH(CostTrack[[#This Row],[Vendor - Contract]],VendorList[Vendor / Org. with Contract ID],0)))</f>
        <v>P-002360</v>
      </c>
      <c r="W385" s="1308">
        <v>44769</v>
      </c>
      <c r="X385" s="1315" t="str">
        <f ca="1">IF(CostTrack[[#This Row],[Release Date (CMS)]]="","*","")</f>
        <v/>
      </c>
      <c r="Y385" s="1308" t="s">
        <v>53</v>
      </c>
      <c r="Z385" s="713"/>
      <c r="AA385" s="1316">
        <f ca="1">IF(OR(CostTrack[[#This Row],[Release Date (CMS)]]&gt;=DATE(VALUE(REPLACE(CostTrack[[#This Row],[Fiscal Period]],3,3,"")),3,1),CostTrack[[#This Row],[Release Date (CMS)]]&lt;DATE(VALUE(LEFT(CostTrack[[#This Row],[Fiscal Period]],4)),4,1)),1,0)</f>
        <v>0</v>
      </c>
      <c r="AB385" s="1317">
        <v>1020</v>
      </c>
      <c r="AC385" s="1308">
        <v>44788</v>
      </c>
      <c r="AD385" s="402" t="str">
        <f ca="1">IF(CostTrack[[#This Row],[Reconciled Amount]]="","",IF(CostTrack[[#This Row],[Value]]&lt;&gt;CostTrack[[#This Row],[Reconciled Amount]],"Yes","No"))</f>
        <v>No</v>
      </c>
    </row>
    <row r="386" spans="2:30" ht="37.35" customHeight="1">
      <c r="B386" s="1324" t="s">
        <v>528</v>
      </c>
      <c r="C386" s="1312">
        <v>60767066</v>
      </c>
      <c r="D386" s="1308">
        <v>44763</v>
      </c>
      <c r="E386" s="658">
        <v>5827</v>
      </c>
      <c r="F386" s="1309" t="s">
        <v>69</v>
      </c>
      <c r="G386" s="1310">
        <f ca="1">ROUND(IF(CostTrack[[#This Row],[Holdback (Y/N/R)]]="Yes",CostTrack[[#This Row],[Value]]*-0.1,IF(CostTrack[[#This Row],[Holdback (Y/N/R)]]="Release",CostTrack[[#This Row],[Value]],0)),2)</f>
        <v>0</v>
      </c>
      <c r="H386" s="1311">
        <f ca="1">IF(CostTrack[[#This Row],[Holdback (Y/N/R)]]="Release",CostTrack[[#This Row],[Value]],CostTrack[[#This Row],[Value]]+CostTrack[[#This Row],[Holdback Value]])</f>
        <v>5827</v>
      </c>
      <c r="I386" s="1312"/>
      <c r="J386" s="1312"/>
      <c r="K386" s="1313"/>
      <c r="L386" s="1325">
        <v>44770</v>
      </c>
      <c r="M386" s="1326">
        <v>44770</v>
      </c>
      <c r="N386" s="1327"/>
      <c r="O386" s="1328" t="s">
        <v>106</v>
      </c>
      <c r="P386" s="1308">
        <v>44771</v>
      </c>
      <c r="Q386" s="1314" t="str">
        <f ca="1">IF(CostTrack[[#This Row],[Vendor - Contract]]="","",INDEX(VendorList[PA ID],MATCH(CostTrack[[#This Row],[Vendor - Contract]],VendorList[Vendor / Org. with Contract ID],0)))</f>
        <v>200.050.F1</v>
      </c>
      <c r="R386" s="1314" t="str">
        <f ca="1">IF(CostTrack[[#This Row],[Vendor - Contract]]="","",INDEX(VendorList[Primary Category],MATCH(CostTrack[[#This Row],[Vendor - Contract]],VendorList[Vendor / Org. with Contract ID],0)))</f>
        <v>Professional Services</v>
      </c>
      <c r="S386" s="1314" t="str">
        <f ca="1">IF(CostTrack[[#This Row],[Vendor - Contract]]="","",INDEX(VendorList[Secondary Category],MATCH(CostTrack[[#This Row],[Vendor - Contract]],VendorList[Vendor / Org. with Contract ID],0)))</f>
        <v>Other Professional Services</v>
      </c>
      <c r="T386" s="1314" t="str">
        <f ca="1">IF(CostTrack[[#This Row],[Vendor - Contract]]="","",INDEX(VendorList[Phase / Subproject],MATCH(CostTrack[[#This Row],[Vendor - Contract]],VendorList[Vendor / Org. with Contract ID],0)))</f>
        <v>--</v>
      </c>
      <c r="U386" s="1314" t="str">
        <f ca="1">IF(CostTrack[[#This Row],[Vendor - Contract]]="","",INDEX(VendorList[Phase / Subproject 2],MATCH(CostTrack[[#This Row],[Vendor - Contract]],VendorList[Vendor / Org. with Contract ID],0)))</f>
        <v>--</v>
      </c>
      <c r="V386" s="1314" t="str">
        <f ca="1">IF(CostTrack[[#This Row],[Vendor - Contract]]="","",INDEX(VendorList[Funding Source],MATCH(CostTrack[[#This Row],[Vendor - Contract]],VendorList[Vendor / Org. with Contract ID],0)))</f>
        <v>P-002360</v>
      </c>
      <c r="W386" s="1308">
        <v>44771</v>
      </c>
      <c r="X386" s="1315" t="str">
        <f ca="1">IF(CostTrack[[#This Row],[Release Date (CMS)]]="","*","")</f>
        <v/>
      </c>
      <c r="Y386" s="1308" t="s">
        <v>53</v>
      </c>
      <c r="Z386" s="713"/>
      <c r="AA386" s="1316">
        <f ca="1">IF(OR(CostTrack[[#This Row],[Release Date (CMS)]]&gt;=DATE(VALUE(REPLACE(CostTrack[[#This Row],[Fiscal Period]],3,3,"")),3,1),CostTrack[[#This Row],[Release Date (CMS)]]&lt;DATE(VALUE(LEFT(CostTrack[[#This Row],[Fiscal Period]],4)),4,1)),1,0)</f>
        <v>0</v>
      </c>
      <c r="AB386" s="1317">
        <v>5827</v>
      </c>
      <c r="AC386" s="1308">
        <v>44788</v>
      </c>
      <c r="AD386" s="402" t="str">
        <f ca="1">IF(CostTrack[[#This Row],[Reconciled Amount]]="","",IF(CostTrack[[#This Row],[Value]]&lt;&gt;CostTrack[[#This Row],[Reconciled Amount]],"Yes","No"))</f>
        <v>No</v>
      </c>
    </row>
    <row r="387" spans="2:30" ht="37.35" customHeight="1">
      <c r="B387" s="1324" t="s">
        <v>662</v>
      </c>
      <c r="C387" s="1312">
        <v>6548</v>
      </c>
      <c r="D387" s="1308">
        <v>44773</v>
      </c>
      <c r="E387" s="658">
        <v>510</v>
      </c>
      <c r="F387" s="1309" t="s">
        <v>69</v>
      </c>
      <c r="G387" s="1310">
        <f ca="1">ROUND(IF(CostTrack[[#This Row],[Holdback (Y/N/R)]]="Yes",CostTrack[[#This Row],[Value]]*-0.1,IF(CostTrack[[#This Row],[Holdback (Y/N/R)]]="Release",CostTrack[[#This Row],[Value]],0)),2)</f>
        <v>0</v>
      </c>
      <c r="H387" s="1311">
        <f ca="1">IF(CostTrack[[#This Row],[Holdback (Y/N/R)]]="Release",CostTrack[[#This Row],[Value]],CostTrack[[#This Row],[Value]]+CostTrack[[#This Row],[Holdback Value]])</f>
        <v>510</v>
      </c>
      <c r="I387" s="1312"/>
      <c r="J387" s="1312"/>
      <c r="K387" s="1313"/>
      <c r="L387" s="1325">
        <v>44776</v>
      </c>
      <c r="M387" s="1326">
        <v>44776</v>
      </c>
      <c r="N387" s="1327"/>
      <c r="O387" s="1328" t="s">
        <v>106</v>
      </c>
      <c r="P387" s="1308">
        <v>44777</v>
      </c>
      <c r="Q387" s="1314" t="str">
        <f ca="1">IF(CostTrack[[#This Row],[Vendor - Contract]]="","",INDEX(VendorList[PA ID],MATCH(CostTrack[[#This Row],[Vendor - Contract]],VendorList[Vendor / Org. with Contract ID],0)))</f>
        <v>200.050.F1</v>
      </c>
      <c r="R387" s="1314" t="str">
        <f ca="1">IF(CostTrack[[#This Row],[Vendor - Contract]]="","",INDEX(VendorList[Primary Category],MATCH(CostTrack[[#This Row],[Vendor - Contract]],VendorList[Vendor / Org. with Contract ID],0)))</f>
        <v>Professional Services</v>
      </c>
      <c r="S387" s="1314" t="str">
        <f ca="1">IF(CostTrack[[#This Row],[Vendor - Contract]]="","",INDEX(VendorList[Secondary Category],MATCH(CostTrack[[#This Row],[Vendor - Contract]],VendorList[Vendor / Org. with Contract ID],0)))</f>
        <v>Other Professional Services</v>
      </c>
      <c r="T387" s="1314" t="str">
        <f ca="1">IF(CostTrack[[#This Row],[Vendor - Contract]]="","",INDEX(VendorList[Phase / Subproject],MATCH(CostTrack[[#This Row],[Vendor - Contract]],VendorList[Vendor / Org. with Contract ID],0)))</f>
        <v>--</v>
      </c>
      <c r="U387" s="1314" t="str">
        <f ca="1">IF(CostTrack[[#This Row],[Vendor - Contract]]="","",INDEX(VendorList[Phase / Subproject 2],MATCH(CostTrack[[#This Row],[Vendor - Contract]],VendorList[Vendor / Org. with Contract ID],0)))</f>
        <v>--</v>
      </c>
      <c r="V387" s="1314" t="str">
        <f ca="1">IF(CostTrack[[#This Row],[Vendor - Contract]]="","",INDEX(VendorList[Funding Source],MATCH(CostTrack[[#This Row],[Vendor - Contract]],VendorList[Vendor / Org. with Contract ID],0)))</f>
        <v>P-002360</v>
      </c>
      <c r="W387" s="1308">
        <v>44777</v>
      </c>
      <c r="X387" s="1315" t="str">
        <f ca="1">IF(CostTrack[[#This Row],[Release Date (CMS)]]="","*","")</f>
        <v/>
      </c>
      <c r="Y387" s="1308" t="s">
        <v>53</v>
      </c>
      <c r="Z387" s="713"/>
      <c r="AA387" s="1316">
        <f ca="1">IF(OR(CostTrack[[#This Row],[Release Date (CMS)]]&gt;=DATE(VALUE(REPLACE(CostTrack[[#This Row],[Fiscal Period]],3,3,"")),3,1),CostTrack[[#This Row],[Release Date (CMS)]]&lt;DATE(VALUE(LEFT(CostTrack[[#This Row],[Fiscal Period]],4)),4,1)),1,0)</f>
        <v>0</v>
      </c>
      <c r="AB387" s="1317">
        <v>510</v>
      </c>
      <c r="AC387" s="1308">
        <v>44788</v>
      </c>
      <c r="AD387" s="402" t="str">
        <f ca="1">IF(CostTrack[[#This Row],[Reconciled Amount]]="","",IF(CostTrack[[#This Row],[Value]]&lt;&gt;CostTrack[[#This Row],[Reconciled Amount]],"Yes","No"))</f>
        <v>No</v>
      </c>
    </row>
    <row r="388" spans="2:30" ht="37.35" customHeight="1">
      <c r="B388" s="1324" t="s">
        <v>527</v>
      </c>
      <c r="C388" s="1312" t="s">
        <v>1101</v>
      </c>
      <c r="D388" s="1308">
        <v>44773</v>
      </c>
      <c r="E388" s="658">
        <v>50911.89</v>
      </c>
      <c r="F388" s="1309" t="s">
        <v>69</v>
      </c>
      <c r="G388" s="1310">
        <f ca="1">ROUND(IF(CostTrack[[#This Row],[Holdback (Y/N/R)]]="Yes",CostTrack[[#This Row],[Value]]*-0.1,IF(CostTrack[[#This Row],[Holdback (Y/N/R)]]="Release",CostTrack[[#This Row],[Value]],0)),2)</f>
        <v>0</v>
      </c>
      <c r="H388" s="1311">
        <f ca="1">IF(CostTrack[[#This Row],[Holdback (Y/N/R)]]="Release",CostTrack[[#This Row],[Value]],CostTrack[[#This Row],[Value]]+CostTrack[[#This Row],[Holdback Value]])</f>
        <v>50911.89</v>
      </c>
      <c r="I388" s="1312"/>
      <c r="J388" s="1312"/>
      <c r="K388" s="1313"/>
      <c r="L388" s="1325">
        <v>44778</v>
      </c>
      <c r="M388" s="1326">
        <v>44781</v>
      </c>
      <c r="N388" s="1327" t="s">
        <v>175</v>
      </c>
      <c r="O388" s="1328" t="s">
        <v>106</v>
      </c>
      <c r="P388" s="1308">
        <v>44781</v>
      </c>
      <c r="Q388" s="1314" t="str">
        <f ca="1">IF(CostTrack[[#This Row],[Vendor - Contract]]="","",INDEX(VendorList[PA ID],MATCH(CostTrack[[#This Row],[Vendor - Contract]],VendorList[Vendor / Org. with Contract ID],0)))</f>
        <v>200.010.F1</v>
      </c>
      <c r="R388" s="1314" t="str">
        <f ca="1">IF(CostTrack[[#This Row],[Vendor - Contract]]="","",INDEX(VendorList[Primary Category],MATCH(CostTrack[[#This Row],[Vendor - Contract]],VendorList[Vendor / Org. with Contract ID],0)))</f>
        <v>Professional Services</v>
      </c>
      <c r="S388" s="1314" t="str">
        <f ca="1">IF(CostTrack[[#This Row],[Vendor - Contract]]="","",INDEX(VendorList[Secondary Category],MATCH(CostTrack[[#This Row],[Vendor - Contract]],VendorList[Vendor / Org. with Contract ID],0)))</f>
        <v>Prime Consultant</v>
      </c>
      <c r="T388" s="1314" t="str">
        <f ca="1">IF(CostTrack[[#This Row],[Vendor - Contract]]="","",INDEX(VendorList[Phase / Subproject],MATCH(CostTrack[[#This Row],[Vendor - Contract]],VendorList[Vendor / Org. with Contract ID],0)))</f>
        <v>--</v>
      </c>
      <c r="U388" s="1314" t="str">
        <f ca="1">IF(CostTrack[[#This Row],[Vendor - Contract]]="","",INDEX(VendorList[Phase / Subproject 2],MATCH(CostTrack[[#This Row],[Vendor - Contract]],VendorList[Vendor / Org. with Contract ID],0)))</f>
        <v>--</v>
      </c>
      <c r="V388" s="1314" t="str">
        <f ca="1">IF(CostTrack[[#This Row],[Vendor - Contract]]="","",INDEX(VendorList[Funding Source],MATCH(CostTrack[[#This Row],[Vendor - Contract]],VendorList[Vendor / Org. with Contract ID],0)))</f>
        <v>P-002360</v>
      </c>
      <c r="W388" s="1308">
        <v>44781</v>
      </c>
      <c r="X388" s="1315" t="str">
        <f ca="1">IF(CostTrack[[#This Row],[Release Date (CMS)]]="","*","")</f>
        <v/>
      </c>
      <c r="Y388" s="1308" t="s">
        <v>53</v>
      </c>
      <c r="Z388" s="713"/>
      <c r="AA388" s="1316">
        <f ca="1">IF(OR(CostTrack[[#This Row],[Release Date (CMS)]]&gt;=DATE(VALUE(REPLACE(CostTrack[[#This Row],[Fiscal Period]],3,3,"")),3,1),CostTrack[[#This Row],[Release Date (CMS)]]&lt;DATE(VALUE(LEFT(CostTrack[[#This Row],[Fiscal Period]],4)),4,1)),1,0)</f>
        <v>0</v>
      </c>
      <c r="AB388" s="1317">
        <v>50911.89</v>
      </c>
      <c r="AC388" s="1308">
        <v>44788</v>
      </c>
      <c r="AD388" s="402" t="str">
        <f ca="1">IF(CostTrack[[#This Row],[Reconciled Amount]]="","",IF(CostTrack[[#This Row],[Value]]&lt;&gt;CostTrack[[#This Row],[Reconciled Amount]],"Yes","No"))</f>
        <v>No</v>
      </c>
    </row>
    <row r="389" spans="2:30" ht="37.35" customHeight="1">
      <c r="B389" s="1324" t="s">
        <v>624</v>
      </c>
      <c r="C389" s="1312">
        <v>1727194</v>
      </c>
      <c r="D389" s="1308">
        <v>44778</v>
      </c>
      <c r="E389" s="658">
        <v>2100</v>
      </c>
      <c r="F389" s="1309" t="s">
        <v>69</v>
      </c>
      <c r="G389" s="1310">
        <f ca="1">ROUND(IF(CostTrack[[#This Row],[Holdback (Y/N/R)]]="Yes",CostTrack[[#This Row],[Value]]*-0.1,IF(CostTrack[[#This Row],[Holdback (Y/N/R)]]="Release",CostTrack[[#This Row],[Value]],0)),2)</f>
        <v>0</v>
      </c>
      <c r="H389" s="1311">
        <f ca="1">IF(CostTrack[[#This Row],[Holdback (Y/N/R)]]="Release",CostTrack[[#This Row],[Value]],CostTrack[[#This Row],[Value]]+CostTrack[[#This Row],[Holdback Value]])</f>
        <v>2100</v>
      </c>
      <c r="I389" s="1312"/>
      <c r="J389" s="1312"/>
      <c r="K389" s="1313"/>
      <c r="L389" s="1325">
        <v>44778</v>
      </c>
      <c r="M389" s="1326">
        <v>44778</v>
      </c>
      <c r="N389" s="1327"/>
      <c r="O389" s="1328" t="s">
        <v>106</v>
      </c>
      <c r="P389" s="1308">
        <v>44778</v>
      </c>
      <c r="Q389" s="1314" t="str">
        <f ca="1">IF(CostTrack[[#This Row],[Vendor - Contract]]="","",INDEX(VendorList[PA ID],MATCH(CostTrack[[#This Row],[Vendor - Contract]],VendorList[Vendor / Org. with Contract ID],0)))</f>
        <v>200.040.F1</v>
      </c>
      <c r="R389" s="1314" t="str">
        <f ca="1">IF(CostTrack[[#This Row],[Vendor - Contract]]="","",INDEX(VendorList[Primary Category],MATCH(CostTrack[[#This Row],[Vendor - Contract]],VendorList[Vendor / Org. with Contract ID],0)))</f>
        <v>Professional Services</v>
      </c>
      <c r="S389" s="1314" t="str">
        <f ca="1">IF(CostTrack[[#This Row],[Vendor - Contract]]="","",INDEX(VendorList[Secondary Category],MATCH(CostTrack[[#This Row],[Vendor - Contract]],VendorList[Vendor / Org. with Contract ID],0)))</f>
        <v>Commissioning</v>
      </c>
      <c r="T389" s="1314" t="str">
        <f ca="1">IF(CostTrack[[#This Row],[Vendor - Contract]]="","",INDEX(VendorList[Phase / Subproject],MATCH(CostTrack[[#This Row],[Vendor - Contract]],VendorList[Vendor / Org. with Contract ID],0)))</f>
        <v>--</v>
      </c>
      <c r="U389" s="1314" t="str">
        <f ca="1">IF(CostTrack[[#This Row],[Vendor - Contract]]="","",INDEX(VendorList[Phase / Subproject 2],MATCH(CostTrack[[#This Row],[Vendor - Contract]],VendorList[Vendor / Org. with Contract ID],0)))</f>
        <v>--</v>
      </c>
      <c r="V389" s="1314" t="str">
        <f ca="1">IF(CostTrack[[#This Row],[Vendor - Contract]]="","",INDEX(VendorList[Funding Source],MATCH(CostTrack[[#This Row],[Vendor - Contract]],VendorList[Vendor / Org. with Contract ID],0)))</f>
        <v>P-002360</v>
      </c>
      <c r="W389" s="1308">
        <v>44781</v>
      </c>
      <c r="X389" s="1315" t="str">
        <f ca="1">IF(CostTrack[[#This Row],[Release Date (CMS)]]="","*","")</f>
        <v/>
      </c>
      <c r="Y389" s="1308" t="s">
        <v>53</v>
      </c>
      <c r="Z389" s="713"/>
      <c r="AA389" s="1316">
        <f ca="1">IF(OR(CostTrack[[#This Row],[Release Date (CMS)]]&gt;=DATE(VALUE(REPLACE(CostTrack[[#This Row],[Fiscal Period]],3,3,"")),3,1),CostTrack[[#This Row],[Release Date (CMS)]]&lt;DATE(VALUE(LEFT(CostTrack[[#This Row],[Fiscal Period]],4)),4,1)),1,0)</f>
        <v>0</v>
      </c>
      <c r="AB389" s="1317">
        <v>2100</v>
      </c>
      <c r="AC389" s="1308">
        <v>44788</v>
      </c>
      <c r="AD389" s="402" t="str">
        <f ca="1">IF(CostTrack[[#This Row],[Reconciled Amount]]="","",IF(CostTrack[[#This Row],[Value]]&lt;&gt;CostTrack[[#This Row],[Reconciled Amount]],"Yes","No"))</f>
        <v>No</v>
      </c>
    </row>
    <row r="390" spans="2:30" ht="37.35" customHeight="1">
      <c r="B390" s="1324" t="s">
        <v>734</v>
      </c>
      <c r="C390" s="1312">
        <v>1012</v>
      </c>
      <c r="D390" s="1308">
        <v>44780</v>
      </c>
      <c r="E390" s="658">
        <v>2347.8000000000002</v>
      </c>
      <c r="F390" s="1309" t="s">
        <v>69</v>
      </c>
      <c r="G390" s="1310">
        <f ca="1">ROUND(IF(CostTrack[[#This Row],[Holdback (Y/N/R)]]="Yes",CostTrack[[#This Row],[Value]]*-0.1,IF(CostTrack[[#This Row],[Holdback (Y/N/R)]]="Release",CostTrack[[#This Row],[Value]],0)),2)</f>
        <v>0</v>
      </c>
      <c r="H390" s="1311">
        <f ca="1">IF(CostTrack[[#This Row],[Holdback (Y/N/R)]]="Release",CostTrack[[#This Row],[Value]],CostTrack[[#This Row],[Value]]+CostTrack[[#This Row],[Holdback Value]])</f>
        <v>2347.8000000000002</v>
      </c>
      <c r="I390" s="1312"/>
      <c r="J390" s="1312"/>
      <c r="K390" s="1313"/>
      <c r="L390" s="1325">
        <v>44780</v>
      </c>
      <c r="M390" s="1326">
        <v>44781</v>
      </c>
      <c r="N390" s="1327"/>
      <c r="O390" s="1328" t="s">
        <v>106</v>
      </c>
      <c r="P390" s="1308">
        <v>44781</v>
      </c>
      <c r="Q390" s="1314" t="str">
        <f ca="1">IF(CostTrack[[#This Row],[Vendor - Contract]]="","",INDEX(VendorList[PA ID],MATCH(CostTrack[[#This Row],[Vendor - Contract]],VendorList[Vendor / Org. with Contract ID],0)))</f>
        <v>200.050.F1</v>
      </c>
      <c r="R390" s="1314" t="str">
        <f ca="1">IF(CostTrack[[#This Row],[Vendor - Contract]]="","",INDEX(VendorList[Primary Category],MATCH(CostTrack[[#This Row],[Vendor - Contract]],VendorList[Vendor / Org. with Contract ID],0)))</f>
        <v>Professional Services</v>
      </c>
      <c r="S390" s="1314" t="str">
        <f ca="1">IF(CostTrack[[#This Row],[Vendor - Contract]]="","",INDEX(VendorList[Secondary Category],MATCH(CostTrack[[#This Row],[Vendor - Contract]],VendorList[Vendor / Org. with Contract ID],0)))</f>
        <v>Other Professional Services</v>
      </c>
      <c r="T390" s="1314" t="str">
        <f ca="1">IF(CostTrack[[#This Row],[Vendor - Contract]]="","",INDEX(VendorList[Phase / Subproject],MATCH(CostTrack[[#This Row],[Vendor - Contract]],VendorList[Vendor / Org. with Contract ID],0)))</f>
        <v>--</v>
      </c>
      <c r="U390" s="1314" t="str">
        <f ca="1">IF(CostTrack[[#This Row],[Vendor - Contract]]="","",INDEX(VendorList[Phase / Subproject 2],MATCH(CostTrack[[#This Row],[Vendor - Contract]],VendorList[Vendor / Org. with Contract ID],0)))</f>
        <v>--</v>
      </c>
      <c r="V390" s="1314" t="str">
        <f ca="1">IF(CostTrack[[#This Row],[Vendor - Contract]]="","",INDEX(VendorList[Funding Source],MATCH(CostTrack[[#This Row],[Vendor - Contract]],VendorList[Vendor / Org. with Contract ID],0)))</f>
        <v>P-002360</v>
      </c>
      <c r="W390" s="1308">
        <v>44781</v>
      </c>
      <c r="X390" s="1315" t="str">
        <f ca="1">IF(CostTrack[[#This Row],[Release Date (CMS)]]="","*","")</f>
        <v/>
      </c>
      <c r="Y390" s="1308" t="s">
        <v>53</v>
      </c>
      <c r="Z390" s="713"/>
      <c r="AA390" s="1316">
        <f ca="1">IF(OR(CostTrack[[#This Row],[Release Date (CMS)]]&gt;=DATE(VALUE(REPLACE(CostTrack[[#This Row],[Fiscal Period]],3,3,"")),3,1),CostTrack[[#This Row],[Release Date (CMS)]]&lt;DATE(VALUE(LEFT(CostTrack[[#This Row],[Fiscal Period]],4)),4,1)),1,0)</f>
        <v>0</v>
      </c>
      <c r="AB390" s="1317">
        <v>2347.8000000000002</v>
      </c>
      <c r="AC390" s="1308">
        <v>44788</v>
      </c>
      <c r="AD390" s="402" t="str">
        <f ca="1">IF(CostTrack[[#This Row],[Reconciled Amount]]="","",IF(CostTrack[[#This Row],[Value]]&lt;&gt;CostTrack[[#This Row],[Reconciled Amount]],"Yes","No"))</f>
        <v>No</v>
      </c>
    </row>
    <row r="391" spans="2:30" ht="37.35" customHeight="1">
      <c r="B391" s="1324" t="s">
        <v>655</v>
      </c>
      <c r="C391" s="1312">
        <v>2990</v>
      </c>
      <c r="D391" s="1308">
        <v>44781</v>
      </c>
      <c r="E391" s="658">
        <v>914</v>
      </c>
      <c r="F391" s="1309" t="s">
        <v>69</v>
      </c>
      <c r="G391" s="1310">
        <f ca="1">ROUND(IF(CostTrack[[#This Row],[Holdback (Y/N/R)]]="Yes",CostTrack[[#This Row],[Value]]*-0.1,IF(CostTrack[[#This Row],[Holdback (Y/N/R)]]="Release",CostTrack[[#This Row],[Value]],0)),2)</f>
        <v>0</v>
      </c>
      <c r="H391" s="1311">
        <f ca="1">IF(CostTrack[[#This Row],[Holdback (Y/N/R)]]="Release",CostTrack[[#This Row],[Value]],CostTrack[[#This Row],[Value]]+CostTrack[[#This Row],[Holdback Value]])</f>
        <v>914</v>
      </c>
      <c r="I391" s="1312"/>
      <c r="J391" s="1312"/>
      <c r="K391" s="1313">
        <v>44713</v>
      </c>
      <c r="L391" s="1325">
        <v>44782</v>
      </c>
      <c r="M391" s="1326">
        <v>44782</v>
      </c>
      <c r="N391" s="1327"/>
      <c r="O391" s="1328" t="s">
        <v>106</v>
      </c>
      <c r="P391" s="1308">
        <v>44782</v>
      </c>
      <c r="Q391" s="1314" t="str">
        <f ca="1">IF(CostTrack[[#This Row],[Vendor - Contract]]="","",INDEX(VendorList[PA ID],MATCH(CostTrack[[#This Row],[Vendor - Contract]],VendorList[Vendor / Org. with Contract ID],0)))</f>
        <v>200.050.F1</v>
      </c>
      <c r="R391" s="1314" t="str">
        <f ca="1">IF(CostTrack[[#This Row],[Vendor - Contract]]="","",INDEX(VendorList[Primary Category],MATCH(CostTrack[[#This Row],[Vendor - Contract]],VendorList[Vendor / Org. with Contract ID],0)))</f>
        <v>Professional Services</v>
      </c>
      <c r="S391" s="1314" t="str">
        <f ca="1">IF(CostTrack[[#This Row],[Vendor - Contract]]="","",INDEX(VendorList[Secondary Category],MATCH(CostTrack[[#This Row],[Vendor - Contract]],VendorList[Vendor / Org. with Contract ID],0)))</f>
        <v>Other Professional Services</v>
      </c>
      <c r="T391" s="1314" t="str">
        <f ca="1">IF(CostTrack[[#This Row],[Vendor - Contract]]="","",INDEX(VendorList[Phase / Subproject],MATCH(CostTrack[[#This Row],[Vendor - Contract]],VendorList[Vendor / Org. with Contract ID],0)))</f>
        <v>--</v>
      </c>
      <c r="U391" s="1314" t="str">
        <f ca="1">IF(CostTrack[[#This Row],[Vendor - Contract]]="","",INDEX(VendorList[Phase / Subproject 2],MATCH(CostTrack[[#This Row],[Vendor - Contract]],VendorList[Vendor / Org. with Contract ID],0)))</f>
        <v>--</v>
      </c>
      <c r="V391" s="1314" t="str">
        <f ca="1">IF(CostTrack[[#This Row],[Vendor - Contract]]="","",INDEX(VendorList[Funding Source],MATCH(CostTrack[[#This Row],[Vendor - Contract]],VendorList[Vendor / Org. with Contract ID],0)))</f>
        <v>P-002360</v>
      </c>
      <c r="W391" s="1308">
        <v>44782</v>
      </c>
      <c r="X391" s="1315" t="str">
        <f ca="1">IF(CostTrack[[#This Row],[Release Date (CMS)]]="","*","")</f>
        <v/>
      </c>
      <c r="Y391" s="1308" t="s">
        <v>53</v>
      </c>
      <c r="Z391" s="713"/>
      <c r="AA391" s="1316">
        <f ca="1">IF(OR(CostTrack[[#This Row],[Release Date (CMS)]]&gt;=DATE(VALUE(REPLACE(CostTrack[[#This Row],[Fiscal Period]],3,3,"")),3,1),CostTrack[[#This Row],[Release Date (CMS)]]&lt;DATE(VALUE(LEFT(CostTrack[[#This Row],[Fiscal Period]],4)),4,1)),1,0)</f>
        <v>0</v>
      </c>
      <c r="AB391" s="1317">
        <v>914</v>
      </c>
      <c r="AC391" s="1308">
        <v>44788</v>
      </c>
      <c r="AD391" s="402" t="str">
        <f ca="1">IF(CostTrack[[#This Row],[Reconciled Amount]]="","",IF(CostTrack[[#This Row],[Value]]&lt;&gt;CostTrack[[#This Row],[Reconciled Amount]],"Yes","No"))</f>
        <v>No</v>
      </c>
    </row>
    <row r="392" spans="2:30" ht="37.35" customHeight="1">
      <c r="B392" s="1324" t="s">
        <v>655</v>
      </c>
      <c r="C392" s="1312">
        <v>2991</v>
      </c>
      <c r="D392" s="1308">
        <v>44781</v>
      </c>
      <c r="E392" s="658">
        <v>1114</v>
      </c>
      <c r="F392" s="1309" t="s">
        <v>69</v>
      </c>
      <c r="G392" s="1310">
        <f ca="1">ROUND(IF(CostTrack[[#This Row],[Holdback (Y/N/R)]]="Yes",CostTrack[[#This Row],[Value]]*-0.1,IF(CostTrack[[#This Row],[Holdback (Y/N/R)]]="Release",CostTrack[[#This Row],[Value]],0)),2)</f>
        <v>0</v>
      </c>
      <c r="H392" s="1311">
        <f ca="1">IF(CostTrack[[#This Row],[Holdback (Y/N/R)]]="Release",CostTrack[[#This Row],[Value]],CostTrack[[#This Row],[Value]]+CostTrack[[#This Row],[Holdback Value]])</f>
        <v>1114</v>
      </c>
      <c r="I392" s="1312"/>
      <c r="J392" s="1312"/>
      <c r="K392" s="1313">
        <v>44743</v>
      </c>
      <c r="L392" s="1325">
        <v>44782</v>
      </c>
      <c r="M392" s="1326">
        <v>44782</v>
      </c>
      <c r="N392" s="1327"/>
      <c r="O392" s="1328" t="s">
        <v>106</v>
      </c>
      <c r="P392" s="1308">
        <v>44782</v>
      </c>
      <c r="Q392" s="1314" t="str">
        <f ca="1">IF(CostTrack[[#This Row],[Vendor - Contract]]="","",INDEX(VendorList[PA ID],MATCH(CostTrack[[#This Row],[Vendor - Contract]],VendorList[Vendor / Org. with Contract ID],0)))</f>
        <v>200.050.F1</v>
      </c>
      <c r="R392" s="1314" t="str">
        <f ca="1">IF(CostTrack[[#This Row],[Vendor - Contract]]="","",INDEX(VendorList[Primary Category],MATCH(CostTrack[[#This Row],[Vendor - Contract]],VendorList[Vendor / Org. with Contract ID],0)))</f>
        <v>Professional Services</v>
      </c>
      <c r="S392" s="1314" t="str">
        <f ca="1">IF(CostTrack[[#This Row],[Vendor - Contract]]="","",INDEX(VendorList[Secondary Category],MATCH(CostTrack[[#This Row],[Vendor - Contract]],VendorList[Vendor / Org. with Contract ID],0)))</f>
        <v>Other Professional Services</v>
      </c>
      <c r="T392" s="1314" t="str">
        <f ca="1">IF(CostTrack[[#This Row],[Vendor - Contract]]="","",INDEX(VendorList[Phase / Subproject],MATCH(CostTrack[[#This Row],[Vendor - Contract]],VendorList[Vendor / Org. with Contract ID],0)))</f>
        <v>--</v>
      </c>
      <c r="U392" s="1314" t="str">
        <f ca="1">IF(CostTrack[[#This Row],[Vendor - Contract]]="","",INDEX(VendorList[Phase / Subproject 2],MATCH(CostTrack[[#This Row],[Vendor - Contract]],VendorList[Vendor / Org. with Contract ID],0)))</f>
        <v>--</v>
      </c>
      <c r="V392" s="1314" t="str">
        <f ca="1">IF(CostTrack[[#This Row],[Vendor - Contract]]="","",INDEX(VendorList[Funding Source],MATCH(CostTrack[[#This Row],[Vendor - Contract]],VendorList[Vendor / Org. with Contract ID],0)))</f>
        <v>P-002360</v>
      </c>
      <c r="W392" s="1308">
        <v>44782</v>
      </c>
      <c r="X392" s="1315" t="str">
        <f ca="1">IF(CostTrack[[#This Row],[Release Date (CMS)]]="","*","")</f>
        <v/>
      </c>
      <c r="Y392" s="1308" t="s">
        <v>53</v>
      </c>
      <c r="Z392" s="713"/>
      <c r="AA392" s="1316">
        <f ca="1">IF(OR(CostTrack[[#This Row],[Release Date (CMS)]]&gt;=DATE(VALUE(REPLACE(CostTrack[[#This Row],[Fiscal Period]],3,3,"")),3,1),CostTrack[[#This Row],[Release Date (CMS)]]&lt;DATE(VALUE(LEFT(CostTrack[[#This Row],[Fiscal Period]],4)),4,1)),1,0)</f>
        <v>0</v>
      </c>
      <c r="AB392" s="1317">
        <v>1114</v>
      </c>
      <c r="AC392" s="1308">
        <v>44788</v>
      </c>
      <c r="AD392" s="402" t="str">
        <f ca="1">IF(CostTrack[[#This Row],[Reconciled Amount]]="","",IF(CostTrack[[#This Row],[Value]]&lt;&gt;CostTrack[[#This Row],[Reconciled Amount]],"Yes","No"))</f>
        <v>No</v>
      </c>
    </row>
    <row r="393" spans="2:30" ht="63" customHeight="1">
      <c r="B393" s="1324" t="s">
        <v>711</v>
      </c>
      <c r="C393" s="1312">
        <v>4384449</v>
      </c>
      <c r="D393" s="1308">
        <v>44778</v>
      </c>
      <c r="E393" s="658">
        <v>131.97999999999999</v>
      </c>
      <c r="F393" s="1309" t="s">
        <v>69</v>
      </c>
      <c r="G393" s="1310">
        <f ca="1">ROUND(IF(CostTrack[[#This Row],[Holdback (Y/N/R)]]="Yes",CostTrack[[#This Row],[Value]]*-0.1,IF(CostTrack[[#This Row],[Holdback (Y/N/R)]]="Release",CostTrack[[#This Row],[Value]],0)),2)</f>
        <v>0</v>
      </c>
      <c r="H393" s="1311">
        <f ca="1">IF(CostTrack[[#This Row],[Holdback (Y/N/R)]]="Release",CostTrack[[#This Row],[Value]],CostTrack[[#This Row],[Value]]+CostTrack[[#This Row],[Holdback Value]])</f>
        <v>131.97999999999999</v>
      </c>
      <c r="I393" s="1312"/>
      <c r="J393" s="1312"/>
      <c r="K393" s="1313"/>
      <c r="L393" s="1325">
        <v>44778</v>
      </c>
      <c r="M393" s="1326">
        <v>44778</v>
      </c>
      <c r="N393" s="1327"/>
      <c r="O393" s="1328" t="s">
        <v>106</v>
      </c>
      <c r="P393" s="1308">
        <v>44781</v>
      </c>
      <c r="Q393" s="1314" t="str">
        <f ca="1">IF(CostTrack[[#This Row],[Vendor - Contract]]="","",INDEX(VendorList[PA ID],MATCH(CostTrack[[#This Row],[Vendor - Contract]],VendorList[Vendor / Org. with Contract ID],0)))</f>
        <v>300.040.F1</v>
      </c>
      <c r="R393" s="1314" t="str">
        <f ca="1">IF(CostTrack[[#This Row],[Vendor - Contract]]="","",INDEX(VendorList[Primary Category],MATCH(CostTrack[[#This Row],[Vendor - Contract]],VendorList[Vendor / Org. with Contract ID],0)))</f>
        <v>Construction</v>
      </c>
      <c r="S393" s="1314" t="str">
        <f ca="1">IF(CostTrack[[#This Row],[Vendor - Contract]]="","",INDEX(VendorList[Secondary Category],MATCH(CostTrack[[#This Row],[Vendor - Contract]],VendorList[Vendor / Org. with Contract ID],0)))</f>
        <v>Other Contractor</v>
      </c>
      <c r="T393" s="1314" t="str">
        <f ca="1">IF(CostTrack[[#This Row],[Vendor - Contract]]="","",INDEX(VendorList[Phase / Subproject],MATCH(CostTrack[[#This Row],[Vendor - Contract]],VendorList[Vendor / Org. with Contract ID],0)))</f>
        <v>--</v>
      </c>
      <c r="U393" s="1314" t="str">
        <f ca="1">IF(CostTrack[[#This Row],[Vendor - Contract]]="","",INDEX(VendorList[Phase / Subproject 2],MATCH(CostTrack[[#This Row],[Vendor - Contract]],VendorList[Vendor / Org. with Contract ID],0)))</f>
        <v>--</v>
      </c>
      <c r="V393" s="1314" t="str">
        <f ca="1">IF(CostTrack[[#This Row],[Vendor - Contract]]="","",INDEX(VendorList[Funding Source],MATCH(CostTrack[[#This Row],[Vendor - Contract]],VendorList[Vendor / Org. with Contract ID],0)))</f>
        <v>P-002360</v>
      </c>
      <c r="W393" s="1308">
        <v>44783</v>
      </c>
      <c r="X393" s="1315" t="str">
        <f ca="1">IF(CostTrack[[#This Row],[Release Date (CMS)]]="","*","")</f>
        <v/>
      </c>
      <c r="Y393" s="1308" t="s">
        <v>53</v>
      </c>
      <c r="Z393" s="758" t="s">
        <v>1102</v>
      </c>
      <c r="AA393" s="1316">
        <f ca="1">IF(OR(CostTrack[[#This Row],[Release Date (CMS)]]&gt;=DATE(VALUE(REPLACE(CostTrack[[#This Row],[Fiscal Period]],3,3,"")),3,1),CostTrack[[#This Row],[Release Date (CMS)]]&lt;DATE(VALUE(LEFT(CostTrack[[#This Row],[Fiscal Period]],4)),4,1)),1,0)</f>
        <v>0</v>
      </c>
      <c r="AB393" s="1317">
        <v>131.97999999999999</v>
      </c>
      <c r="AC393" s="1308">
        <v>44788</v>
      </c>
      <c r="AD393" s="402" t="str">
        <f ca="1">IF(CostTrack[[#This Row],[Reconciled Amount]]="","",IF(CostTrack[[#This Row],[Value]]&lt;&gt;CostTrack[[#This Row],[Reconciled Amount]],"Yes","No"))</f>
        <v>No</v>
      </c>
    </row>
    <row r="394" spans="2:30" ht="63" customHeight="1">
      <c r="B394" s="1324" t="s">
        <v>1087</v>
      </c>
      <c r="C394" s="1334" t="s">
        <v>1103</v>
      </c>
      <c r="D394" s="1308">
        <v>44775</v>
      </c>
      <c r="E394" s="658">
        <v>13333.91</v>
      </c>
      <c r="F394" s="1309" t="s">
        <v>69</v>
      </c>
      <c r="G394" s="1310">
        <f ca="1">ROUND(IF(CostTrack[[#This Row],[Holdback (Y/N/R)]]="Yes",CostTrack[[#This Row],[Value]]*-0.1,IF(CostTrack[[#This Row],[Holdback (Y/N/R)]]="Release",CostTrack[[#This Row],[Value]],0)),2)</f>
        <v>0</v>
      </c>
      <c r="H394" s="1311">
        <f ca="1">IF(CostTrack[[#This Row],[Holdback (Y/N/R)]]="Release",CostTrack[[#This Row],[Value]],CostTrack[[#This Row],[Value]]+CostTrack[[#This Row],[Holdback Value]])</f>
        <v>13333.91</v>
      </c>
      <c r="I394" s="1312"/>
      <c r="J394" s="1312"/>
      <c r="K394" s="1313">
        <v>44805</v>
      </c>
      <c r="L394" s="1325">
        <v>44791</v>
      </c>
      <c r="M394" s="1326">
        <v>44791</v>
      </c>
      <c r="N394" s="1327"/>
      <c r="O394" s="1328" t="s">
        <v>106</v>
      </c>
      <c r="P394" s="1308">
        <v>44791</v>
      </c>
      <c r="Q394" s="1314" t="str">
        <f ca="1">IF(CostTrack[[#This Row],[Vendor - Contract]]="","",INDEX(VendorList[PA ID],MATCH(CostTrack[[#This Row],[Vendor - Contract]],VendorList[Vendor / Org. with Contract ID],0)))</f>
        <v>300.040.F1</v>
      </c>
      <c r="R394" s="1314" t="str">
        <f ca="1">IF(CostTrack[[#This Row],[Vendor - Contract]]="","",INDEX(VendorList[Primary Category],MATCH(CostTrack[[#This Row],[Vendor - Contract]],VendorList[Vendor / Org. with Contract ID],0)))</f>
        <v>Construction</v>
      </c>
      <c r="S394" s="1314" t="str">
        <f ca="1">IF(CostTrack[[#This Row],[Vendor - Contract]]="","",INDEX(VendorList[Secondary Category],MATCH(CostTrack[[#This Row],[Vendor - Contract]],VendorList[Vendor / Org. with Contract ID],0)))</f>
        <v>Other Contractor</v>
      </c>
      <c r="T394" s="1314" t="str">
        <f ca="1">IF(CostTrack[[#This Row],[Vendor - Contract]]="","",INDEX(VendorList[Phase / Subproject],MATCH(CostTrack[[#This Row],[Vendor - Contract]],VendorList[Vendor / Org. with Contract ID],0)))</f>
        <v>--</v>
      </c>
      <c r="U394" s="1314" t="str">
        <f ca="1">IF(CostTrack[[#This Row],[Vendor - Contract]]="","",INDEX(VendorList[Phase / Subproject 2],MATCH(CostTrack[[#This Row],[Vendor - Contract]],VendorList[Vendor / Org. with Contract ID],0)))</f>
        <v>--</v>
      </c>
      <c r="V394" s="1314" t="str">
        <f ca="1">IF(CostTrack[[#This Row],[Vendor - Contract]]="","",INDEX(VendorList[Funding Source],MATCH(CostTrack[[#This Row],[Vendor - Contract]],VendorList[Vendor / Org. with Contract ID],0)))</f>
        <v>P-002360</v>
      </c>
      <c r="W394" s="1308">
        <v>44791</v>
      </c>
      <c r="X394" s="1315" t="str">
        <f ca="1">IF(CostTrack[[#This Row],[Release Date (CMS)]]="","*","")</f>
        <v/>
      </c>
      <c r="Y394" s="1308" t="s">
        <v>53</v>
      </c>
      <c r="Z394" s="652" t="s">
        <v>1104</v>
      </c>
      <c r="AA394" s="1316">
        <f ca="1">IF(OR(CostTrack[[#This Row],[Release Date (CMS)]]&gt;=DATE(VALUE(REPLACE(CostTrack[[#This Row],[Fiscal Period]],3,3,"")),3,1),CostTrack[[#This Row],[Release Date (CMS)]]&lt;DATE(VALUE(LEFT(CostTrack[[#This Row],[Fiscal Period]],4)),4,1)),1,0)</f>
        <v>0</v>
      </c>
      <c r="AB394" s="1317">
        <v>13333.91</v>
      </c>
      <c r="AC394" s="1308">
        <v>44796</v>
      </c>
      <c r="AD394" s="402" t="str">
        <f ca="1">IF(CostTrack[[#This Row],[Reconciled Amount]]="","",IF(CostTrack[[#This Row],[Value]]&lt;&gt;CostTrack[[#This Row],[Reconciled Amount]],"Yes","No"))</f>
        <v>No</v>
      </c>
    </row>
    <row r="395" spans="2:30" ht="63" customHeight="1">
      <c r="B395" s="1324" t="s">
        <v>528</v>
      </c>
      <c r="C395" s="1312">
        <v>60770577</v>
      </c>
      <c r="D395" s="1308">
        <v>44791</v>
      </c>
      <c r="E395" s="658">
        <v>2906.5</v>
      </c>
      <c r="F395" s="1309" t="s">
        <v>69</v>
      </c>
      <c r="G395" s="1310">
        <f ca="1">ROUND(IF(CostTrack[[#This Row],[Holdback (Y/N/R)]]="Yes",CostTrack[[#This Row],[Value]]*-0.1,IF(CostTrack[[#This Row],[Holdback (Y/N/R)]]="Release",CostTrack[[#This Row],[Value]],0)),2)</f>
        <v>0</v>
      </c>
      <c r="H395" s="1311">
        <f ca="1">IF(CostTrack[[#This Row],[Holdback (Y/N/R)]]="Release",CostTrack[[#This Row],[Value]],CostTrack[[#This Row],[Value]]+CostTrack[[#This Row],[Holdback Value]])</f>
        <v>2906.5</v>
      </c>
      <c r="I395" s="1312"/>
      <c r="J395" s="1312"/>
      <c r="K395" s="1313"/>
      <c r="L395" s="1325">
        <v>44792</v>
      </c>
      <c r="M395" s="1326">
        <v>44792</v>
      </c>
      <c r="N395" s="1327"/>
      <c r="O395" s="1328" t="s">
        <v>106</v>
      </c>
      <c r="P395" s="1308">
        <v>44792</v>
      </c>
      <c r="Q395" s="1314" t="str">
        <f ca="1">IF(CostTrack[[#This Row],[Vendor - Contract]]="","",INDEX(VendorList[PA ID],MATCH(CostTrack[[#This Row],[Vendor - Contract]],VendorList[Vendor / Org. with Contract ID],0)))</f>
        <v>200.050.F1</v>
      </c>
      <c r="R395" s="1314" t="str">
        <f ca="1">IF(CostTrack[[#This Row],[Vendor - Contract]]="","",INDEX(VendorList[Primary Category],MATCH(CostTrack[[#This Row],[Vendor - Contract]],VendorList[Vendor / Org. with Contract ID],0)))</f>
        <v>Professional Services</v>
      </c>
      <c r="S395" s="1314" t="str">
        <f ca="1">IF(CostTrack[[#This Row],[Vendor - Contract]]="","",INDEX(VendorList[Secondary Category],MATCH(CostTrack[[#This Row],[Vendor - Contract]],VendorList[Vendor / Org. with Contract ID],0)))</f>
        <v>Other Professional Services</v>
      </c>
      <c r="T395" s="1314" t="str">
        <f ca="1">IF(CostTrack[[#This Row],[Vendor - Contract]]="","",INDEX(VendorList[Phase / Subproject],MATCH(CostTrack[[#This Row],[Vendor - Contract]],VendorList[Vendor / Org. with Contract ID],0)))</f>
        <v>--</v>
      </c>
      <c r="U395" s="1314" t="str">
        <f ca="1">IF(CostTrack[[#This Row],[Vendor - Contract]]="","",INDEX(VendorList[Phase / Subproject 2],MATCH(CostTrack[[#This Row],[Vendor - Contract]],VendorList[Vendor / Org. with Contract ID],0)))</f>
        <v>--</v>
      </c>
      <c r="V395" s="1314" t="str">
        <f ca="1">IF(CostTrack[[#This Row],[Vendor - Contract]]="","",INDEX(VendorList[Funding Source],MATCH(CostTrack[[#This Row],[Vendor - Contract]],VendorList[Vendor / Org. with Contract ID],0)))</f>
        <v>P-002360</v>
      </c>
      <c r="W395" s="1308">
        <v>44792</v>
      </c>
      <c r="X395" s="1315" t="str">
        <f ca="1">IF(CostTrack[[#This Row],[Release Date (CMS)]]="","*","")</f>
        <v/>
      </c>
      <c r="Y395" s="1308" t="s">
        <v>53</v>
      </c>
      <c r="Z395" s="713"/>
      <c r="AA395" s="1316">
        <f ca="1">IF(OR(CostTrack[[#This Row],[Release Date (CMS)]]&gt;=DATE(VALUE(REPLACE(CostTrack[[#This Row],[Fiscal Period]],3,3,"")),3,1),CostTrack[[#This Row],[Release Date (CMS)]]&lt;DATE(VALUE(LEFT(CostTrack[[#This Row],[Fiscal Period]],4)),4,1)),1,0)</f>
        <v>0</v>
      </c>
      <c r="AB395" s="1317">
        <v>2906.5</v>
      </c>
      <c r="AC395" s="1308">
        <v>44796</v>
      </c>
      <c r="AD395" s="402" t="str">
        <f ca="1">IF(CostTrack[[#This Row],[Reconciled Amount]]="","",IF(CostTrack[[#This Row],[Value]]&lt;&gt;CostTrack[[#This Row],[Reconciled Amount]],"Yes","No"))</f>
        <v>No</v>
      </c>
    </row>
    <row r="396" spans="2:30" ht="63" customHeight="1">
      <c r="B396" s="1324" t="s">
        <v>529</v>
      </c>
      <c r="C396" s="1312" t="s">
        <v>1105</v>
      </c>
      <c r="D396" s="1308">
        <v>44771</v>
      </c>
      <c r="E396" s="658">
        <v>6187296.6200000001</v>
      </c>
      <c r="F396" s="1309" t="s">
        <v>65</v>
      </c>
      <c r="G396" s="1310">
        <f ca="1">ROUND(IF(CostTrack[[#This Row],[Holdback (Y/N/R)]]="Yes",CostTrack[[#This Row],[Value]]*-0.1,IF(CostTrack[[#This Row],[Holdback (Y/N/R)]]="Release",CostTrack[[#This Row],[Value]],0)),2)</f>
        <v>-618729.66</v>
      </c>
      <c r="H396" s="1311">
        <f ca="1">IF(CostTrack[[#This Row],[Holdback (Y/N/R)]]="Release",CostTrack[[#This Row],[Value]],CostTrack[[#This Row],[Value]]+CostTrack[[#This Row],[Holdback Value]])</f>
        <v>5568566.96</v>
      </c>
      <c r="I396" s="650" t="s">
        <v>1106</v>
      </c>
      <c r="J396" s="1312"/>
      <c r="K396" s="1313"/>
      <c r="L396" s="1325">
        <v>44792</v>
      </c>
      <c r="M396" s="1326">
        <v>44795</v>
      </c>
      <c r="N396" s="1327"/>
      <c r="O396" s="1328" t="s">
        <v>106</v>
      </c>
      <c r="P396" s="1308">
        <v>44795</v>
      </c>
      <c r="Q396" s="1314" t="str">
        <f ca="1">IF(CostTrack[[#This Row],[Vendor - Contract]]="","",INDEX(VendorList[PA ID],MATCH(CostTrack[[#This Row],[Vendor - Contract]],VendorList[Vendor / Org. with Contract ID],0)))</f>
        <v>300.030.F1</v>
      </c>
      <c r="R396" s="1314" t="str">
        <f ca="1">IF(CostTrack[[#This Row],[Vendor - Contract]]="","",INDEX(VendorList[Primary Category],MATCH(CostTrack[[#This Row],[Vendor - Contract]],VendorList[Vendor / Org. with Contract ID],0)))</f>
        <v>Construction</v>
      </c>
      <c r="S396" s="1314" t="str">
        <f ca="1">IF(CostTrack[[#This Row],[Vendor - Contract]]="","",INDEX(VendorList[Secondary Category],MATCH(CostTrack[[#This Row],[Vendor - Contract]],VendorList[Vendor / Org. with Contract ID],0)))</f>
        <v>Prime Contractor</v>
      </c>
      <c r="T396" s="1314" t="str">
        <f ca="1">IF(CostTrack[[#This Row],[Vendor - Contract]]="","",INDEX(VendorList[Phase / Subproject],MATCH(CostTrack[[#This Row],[Vendor - Contract]],VendorList[Vendor / Org. with Contract ID],0)))</f>
        <v>--</v>
      </c>
      <c r="U396" s="1314" t="str">
        <f ca="1">IF(CostTrack[[#This Row],[Vendor - Contract]]="","",INDEX(VendorList[Phase / Subproject 2],MATCH(CostTrack[[#This Row],[Vendor - Contract]],VendorList[Vendor / Org. with Contract ID],0)))</f>
        <v>--</v>
      </c>
      <c r="V396" s="1314" t="str">
        <f ca="1">IF(CostTrack[[#This Row],[Vendor - Contract]]="","",INDEX(VendorList[Funding Source],MATCH(CostTrack[[#This Row],[Vendor - Contract]],VendorList[Vendor / Org. with Contract ID],0)))</f>
        <v>P-002360</v>
      </c>
      <c r="W396" s="1308">
        <v>44795</v>
      </c>
      <c r="X396" s="1315" t="str">
        <f ca="1">IF(CostTrack[[#This Row],[Release Date (CMS)]]="","*","")</f>
        <v/>
      </c>
      <c r="Y396" s="1308" t="s">
        <v>53</v>
      </c>
      <c r="Z396" s="713"/>
      <c r="AA396" s="1316">
        <f ca="1">IF(OR(CostTrack[[#This Row],[Release Date (CMS)]]&gt;=DATE(VALUE(REPLACE(CostTrack[[#This Row],[Fiscal Period]],3,3,"")),3,1),CostTrack[[#This Row],[Release Date (CMS)]]&lt;DATE(VALUE(LEFT(CostTrack[[#This Row],[Fiscal Period]],4)),4,1)),1,0)</f>
        <v>0</v>
      </c>
      <c r="AB396" s="1317">
        <v>6187296.6200000001</v>
      </c>
      <c r="AC396" s="1308">
        <v>44798</v>
      </c>
      <c r="AD396" s="402" t="str">
        <f ca="1">IF(CostTrack[[#This Row],[Reconciled Amount]]="","",IF(CostTrack[[#This Row],[Value]]&lt;&gt;CostTrack[[#This Row],[Reconciled Amount]],"Yes","No"))</f>
        <v>No</v>
      </c>
    </row>
    <row r="397" spans="2:30" ht="63" customHeight="1">
      <c r="B397" s="1324" t="s">
        <v>731</v>
      </c>
      <c r="C397" s="1312">
        <v>800037766</v>
      </c>
      <c r="D397" s="1308">
        <v>44796</v>
      </c>
      <c r="E397" s="658">
        <v>70.48</v>
      </c>
      <c r="F397" s="1309" t="s">
        <v>69</v>
      </c>
      <c r="G397" s="1310">
        <f ca="1">ROUND(IF(CostTrack[[#This Row],[Holdback (Y/N/R)]]="Yes",CostTrack[[#This Row],[Value]]*-0.1,IF(CostTrack[[#This Row],[Holdback (Y/N/R)]]="Release",CostTrack[[#This Row],[Value]],0)),2)</f>
        <v>0</v>
      </c>
      <c r="H397" s="1311">
        <f ca="1">IF(CostTrack[[#This Row],[Holdback (Y/N/R)]]="Release",CostTrack[[#This Row],[Value]],CostTrack[[#This Row],[Value]]+CostTrack[[#This Row],[Holdback Value]])</f>
        <v>70.48</v>
      </c>
      <c r="I397" s="1312"/>
      <c r="J397" s="1312"/>
      <c r="K397" s="1313"/>
      <c r="L397" s="1325">
        <v>44797</v>
      </c>
      <c r="M397" s="1326">
        <v>44797</v>
      </c>
      <c r="N397" s="1327"/>
      <c r="O397" s="1328" t="s">
        <v>106</v>
      </c>
      <c r="P397" s="1308">
        <v>44796</v>
      </c>
      <c r="Q397" s="1314" t="str">
        <f ca="1">IF(CostTrack[[#This Row],[Vendor - Contract]]="","",INDEX(VendorList[PA ID],MATCH(CostTrack[[#This Row],[Vendor - Contract]],VendorList[Vendor / Org. with Contract ID],0)))</f>
        <v>100.050.F1</v>
      </c>
      <c r="R397" s="1314" t="str">
        <f ca="1">IF(CostTrack[[#This Row],[Vendor - Contract]]="","",INDEX(VendorList[Primary Category],MATCH(CostTrack[[#This Row],[Vendor - Contract]],VendorList[Vendor / Org. with Contract ID],0)))</f>
        <v>Administration</v>
      </c>
      <c r="S397" s="1314" t="str">
        <f ca="1">IF(CostTrack[[#This Row],[Vendor - Contract]]="","",INDEX(VendorList[Secondary Category],MATCH(CostTrack[[#This Row],[Vendor - Contract]],VendorList[Vendor / Org. with Contract ID],0)))</f>
        <v>Other Administration</v>
      </c>
      <c r="T397" s="1314" t="str">
        <f ca="1">IF(CostTrack[[#This Row],[Vendor - Contract]]="","",INDEX(VendorList[Phase / Subproject],MATCH(CostTrack[[#This Row],[Vendor - Contract]],VendorList[Vendor / Org. with Contract ID],0)))</f>
        <v>--</v>
      </c>
      <c r="U397" s="1314" t="str">
        <f ca="1">IF(CostTrack[[#This Row],[Vendor - Contract]]="","",INDEX(VendorList[Phase / Subproject 2],MATCH(CostTrack[[#This Row],[Vendor - Contract]],VendorList[Vendor / Org. with Contract ID],0)))</f>
        <v>--</v>
      </c>
      <c r="V397" s="1314" t="str">
        <f ca="1">IF(CostTrack[[#This Row],[Vendor - Contract]]="","",INDEX(VendorList[Funding Source],MATCH(CostTrack[[#This Row],[Vendor - Contract]],VendorList[Vendor / Org. with Contract ID],0)))</f>
        <v>P-002360</v>
      </c>
      <c r="W397" s="1308">
        <v>44796</v>
      </c>
      <c r="X397" s="1315" t="str">
        <f ca="1">IF(CostTrack[[#This Row],[Release Date (CMS)]]="","*","")</f>
        <v/>
      </c>
      <c r="Y397" s="1308" t="s">
        <v>53</v>
      </c>
      <c r="Z397" s="713" t="s">
        <v>1107</v>
      </c>
      <c r="AA397" s="1316">
        <f ca="1">IF(OR(CostTrack[[#This Row],[Release Date (CMS)]]&gt;=DATE(VALUE(REPLACE(CostTrack[[#This Row],[Fiscal Period]],3,3,"")),3,1),CostTrack[[#This Row],[Release Date (CMS)]]&lt;DATE(VALUE(LEFT(CostTrack[[#This Row],[Fiscal Period]],4)),4,1)),1,0)</f>
        <v>0</v>
      </c>
      <c r="AB397" s="1317">
        <v>70.48</v>
      </c>
      <c r="AC397" s="1308">
        <v>44798</v>
      </c>
      <c r="AD397" s="402" t="str">
        <f ca="1">IF(CostTrack[[#This Row],[Reconciled Amount]]="","",IF(CostTrack[[#This Row],[Value]]&lt;&gt;CostTrack[[#This Row],[Reconciled Amount]],"Yes","No"))</f>
        <v>No</v>
      </c>
    </row>
    <row r="398" spans="2:30" ht="42.75" customHeight="1">
      <c r="B398" s="1324" t="s">
        <v>736</v>
      </c>
      <c r="C398" s="650" t="s">
        <v>1108</v>
      </c>
      <c r="D398" s="1308">
        <v>44804</v>
      </c>
      <c r="E398" s="658">
        <v>60358.6</v>
      </c>
      <c r="F398" s="1309" t="s">
        <v>69</v>
      </c>
      <c r="G398" s="1310">
        <f ca="1">ROUND(IF(CostTrack[[#This Row],[Holdback (Y/N/R)]]="Yes",CostTrack[[#This Row],[Value]]*-0.1,IF(CostTrack[[#This Row],[Holdback (Y/N/R)]]="Release",CostTrack[[#This Row],[Value]],0)),2)</f>
        <v>0</v>
      </c>
      <c r="H398" s="1311">
        <f ca="1">IF(CostTrack[[#This Row],[Holdback (Y/N/R)]]="Release",CostTrack[[#This Row],[Value]],CostTrack[[#This Row],[Value]]+CostTrack[[#This Row],[Holdback Value]])</f>
        <v>60358.6</v>
      </c>
      <c r="I398" s="1312"/>
      <c r="J398" s="1312"/>
      <c r="K398" s="1313"/>
      <c r="L398" s="1325">
        <v>44804</v>
      </c>
      <c r="M398" s="1326">
        <v>44804</v>
      </c>
      <c r="N398" s="1327"/>
      <c r="O398" s="1328" t="s">
        <v>106</v>
      </c>
      <c r="P398" s="1308">
        <v>44804</v>
      </c>
      <c r="Q398" s="1314" t="str">
        <f ca="1">IF(CostTrack[[#This Row],[Vendor - Contract]]="","",INDEX(VendorList[PA ID],MATCH(CostTrack[[#This Row],[Vendor - Contract]],VendorList[Vendor / Org. with Contract ID],0)))</f>
        <v>100.010.F1</v>
      </c>
      <c r="R398" s="1314" t="str">
        <f ca="1">IF(CostTrack[[#This Row],[Vendor - Contract]]="","",INDEX(VendorList[Primary Category],MATCH(CostTrack[[#This Row],[Vendor - Contract]],VendorList[Vendor / Org. with Contract ID],0)))</f>
        <v>Administration</v>
      </c>
      <c r="S398" s="1314" t="str">
        <f ca="1">IF(CostTrack[[#This Row],[Vendor - Contract]]="","",INDEX(VendorList[Secondary Category],MATCH(CostTrack[[#This Row],[Vendor - Contract]],VendorList[Vendor / Org. with Contract ID],0)))</f>
        <v>Staff Capitalization - INFRA</v>
      </c>
      <c r="T398" s="1314" t="str">
        <f ca="1">IF(CostTrack[[#This Row],[Vendor - Contract]]="","",INDEX(VendorList[Phase / Subproject],MATCH(CostTrack[[#This Row],[Vendor - Contract]],VendorList[Vendor / Org. with Contract ID],0)))</f>
        <v>--</v>
      </c>
      <c r="U398" s="1314" t="str">
        <f ca="1">IF(CostTrack[[#This Row],[Vendor - Contract]]="","",INDEX(VendorList[Phase / Subproject 2],MATCH(CostTrack[[#This Row],[Vendor - Contract]],VendorList[Vendor / Org. with Contract ID],0)))</f>
        <v>--</v>
      </c>
      <c r="V398" s="1314" t="str">
        <f ca="1">IF(CostTrack[[#This Row],[Vendor - Contract]]="","",INDEX(VendorList[Funding Source],MATCH(CostTrack[[#This Row],[Vendor - Contract]],VendorList[Vendor / Org. with Contract ID],0)))</f>
        <v>P-002360</v>
      </c>
      <c r="W398" s="1308">
        <v>44804</v>
      </c>
      <c r="X398" s="1315" t="str">
        <f ca="1">IF(CostTrack[[#This Row],[Release Date (CMS)]]="","*","")</f>
        <v/>
      </c>
      <c r="Y398" s="1308" t="s">
        <v>53</v>
      </c>
      <c r="Z398" s="652" t="s">
        <v>1109</v>
      </c>
      <c r="AA398" s="1316">
        <f ca="1">IF(OR(CostTrack[[#This Row],[Release Date (CMS)]]&gt;=DATE(VALUE(REPLACE(CostTrack[[#This Row],[Fiscal Period]],3,3,"")),3,1),CostTrack[[#This Row],[Release Date (CMS)]]&lt;DATE(VALUE(LEFT(CostTrack[[#This Row],[Fiscal Period]],4)),4,1)),1,0)</f>
        <v>0</v>
      </c>
      <c r="AB398" s="1317">
        <v>60358.6</v>
      </c>
      <c r="AC398" s="1308">
        <v>44798</v>
      </c>
      <c r="AD398" s="402" t="str">
        <f ca="1">IF(CostTrack[[#This Row],[Reconciled Amount]]="","",IF(CostTrack[[#This Row],[Value]]&lt;&gt;CostTrack[[#This Row],[Reconciled Amount]],"Yes","No"))</f>
        <v>No</v>
      </c>
    </row>
    <row r="399" spans="2:30" ht="32.1" customHeight="1">
      <c r="B399" s="1324" t="s">
        <v>734</v>
      </c>
      <c r="C399" s="1312">
        <v>1021</v>
      </c>
      <c r="D399" s="1308">
        <v>44804</v>
      </c>
      <c r="E399" s="658">
        <v>2260.8000000000002</v>
      </c>
      <c r="F399" s="1309" t="s">
        <v>69</v>
      </c>
      <c r="G399" s="1310">
        <f ca="1">ROUND(IF(CostTrack[[#This Row],[Holdback (Y/N/R)]]="Yes",CostTrack[[#This Row],[Value]]*-0.1,IF(CostTrack[[#This Row],[Holdback (Y/N/R)]]="Release",CostTrack[[#This Row],[Value]],0)),2)</f>
        <v>0</v>
      </c>
      <c r="H399" s="1311">
        <f ca="1">IF(CostTrack[[#This Row],[Holdback (Y/N/R)]]="Release",CostTrack[[#This Row],[Value]],CostTrack[[#This Row],[Value]]+CostTrack[[#This Row],[Holdback Value]])</f>
        <v>2260.8000000000002</v>
      </c>
      <c r="I399" s="1312"/>
      <c r="J399" s="1312"/>
      <c r="K399" s="1313"/>
      <c r="L399" s="1325">
        <v>44805</v>
      </c>
      <c r="M399" s="1326">
        <v>44806</v>
      </c>
      <c r="N399" s="1327"/>
      <c r="O399" s="1328" t="s">
        <v>106</v>
      </c>
      <c r="P399" s="1308">
        <v>44806</v>
      </c>
      <c r="Q399" s="1314" t="str">
        <f ca="1">IF(CostTrack[[#This Row],[Vendor - Contract]]="","",INDEX(VendorList[PA ID],MATCH(CostTrack[[#This Row],[Vendor - Contract]],VendorList[Vendor / Org. with Contract ID],0)))</f>
        <v>200.050.F1</v>
      </c>
      <c r="R399" s="1314" t="str">
        <f ca="1">IF(CostTrack[[#This Row],[Vendor - Contract]]="","",INDEX(VendorList[Primary Category],MATCH(CostTrack[[#This Row],[Vendor - Contract]],VendorList[Vendor / Org. with Contract ID],0)))</f>
        <v>Professional Services</v>
      </c>
      <c r="S399" s="1314" t="str">
        <f ca="1">IF(CostTrack[[#This Row],[Vendor - Contract]]="","",INDEX(VendorList[Secondary Category],MATCH(CostTrack[[#This Row],[Vendor - Contract]],VendorList[Vendor / Org. with Contract ID],0)))</f>
        <v>Other Professional Services</v>
      </c>
      <c r="T399" s="1314" t="str">
        <f ca="1">IF(CostTrack[[#This Row],[Vendor - Contract]]="","",INDEX(VendorList[Phase / Subproject],MATCH(CostTrack[[#This Row],[Vendor - Contract]],VendorList[Vendor / Org. with Contract ID],0)))</f>
        <v>--</v>
      </c>
      <c r="U399" s="1314" t="str">
        <f ca="1">IF(CostTrack[[#This Row],[Vendor - Contract]]="","",INDEX(VendorList[Phase / Subproject 2],MATCH(CostTrack[[#This Row],[Vendor - Contract]],VendorList[Vendor / Org. with Contract ID],0)))</f>
        <v>--</v>
      </c>
      <c r="V399" s="1314" t="str">
        <f ca="1">IF(CostTrack[[#This Row],[Vendor - Contract]]="","",INDEX(VendorList[Funding Source],MATCH(CostTrack[[#This Row],[Vendor - Contract]],VendorList[Vendor / Org. with Contract ID],0)))</f>
        <v>P-002360</v>
      </c>
      <c r="W399" s="1308">
        <v>44810</v>
      </c>
      <c r="X399" s="1315" t="str">
        <f ca="1">IF(CostTrack[[#This Row],[Release Date (CMS)]]="","*","")</f>
        <v/>
      </c>
      <c r="Y399" s="1308" t="s">
        <v>53</v>
      </c>
      <c r="Z399" s="713"/>
      <c r="AA399" s="1316">
        <f ca="1">IF(OR(CostTrack[[#This Row],[Release Date (CMS)]]&gt;=DATE(VALUE(REPLACE(CostTrack[[#This Row],[Fiscal Period]],3,3,"")),3,1),CostTrack[[#This Row],[Release Date (CMS)]]&lt;DATE(VALUE(LEFT(CostTrack[[#This Row],[Fiscal Period]],4)),4,1)),1,0)</f>
        <v>0</v>
      </c>
      <c r="AB399" s="1317">
        <v>2260.8000000000002</v>
      </c>
      <c r="AC399" s="1308">
        <v>44817</v>
      </c>
      <c r="AD399" s="402" t="str">
        <f ca="1">IF(CostTrack[[#This Row],[Reconciled Amount]]="","",IF(CostTrack[[#This Row],[Value]]&lt;&gt;CostTrack[[#This Row],[Reconciled Amount]],"Yes","No"))</f>
        <v>No</v>
      </c>
    </row>
    <row r="400" spans="2:30" ht="32.1" customHeight="1">
      <c r="B400" s="1324" t="s">
        <v>662</v>
      </c>
      <c r="C400" s="1312">
        <v>6707</v>
      </c>
      <c r="D400" s="1308">
        <v>44796</v>
      </c>
      <c r="E400" s="658">
        <v>1020</v>
      </c>
      <c r="F400" s="1309" t="s">
        <v>69</v>
      </c>
      <c r="G400" s="1310">
        <f ca="1">ROUND(IF(CostTrack[[#This Row],[Holdback (Y/N/R)]]="Yes",CostTrack[[#This Row],[Value]]*-0.1,IF(CostTrack[[#This Row],[Holdback (Y/N/R)]]="Release",CostTrack[[#This Row],[Value]],0)),2)</f>
        <v>0</v>
      </c>
      <c r="H400" s="1311">
        <f ca="1">IF(CostTrack[[#This Row],[Holdback (Y/N/R)]]="Release",CostTrack[[#This Row],[Value]],CostTrack[[#This Row],[Value]]+CostTrack[[#This Row],[Holdback Value]])</f>
        <v>1020</v>
      </c>
      <c r="I400" s="1312"/>
      <c r="J400" s="1312"/>
      <c r="K400" s="1313"/>
      <c r="L400" s="1325">
        <v>44803</v>
      </c>
      <c r="M400" s="1326">
        <v>44803</v>
      </c>
      <c r="N400" s="1327"/>
      <c r="O400" s="1328" t="s">
        <v>106</v>
      </c>
      <c r="P400" s="1308">
        <v>44804</v>
      </c>
      <c r="Q400" s="1314" t="str">
        <f ca="1">IF(CostTrack[[#This Row],[Vendor - Contract]]="","",INDEX(VendorList[PA ID],MATCH(CostTrack[[#This Row],[Vendor - Contract]],VendorList[Vendor / Org. with Contract ID],0)))</f>
        <v>200.050.F1</v>
      </c>
      <c r="R400" s="1314" t="str">
        <f ca="1">IF(CostTrack[[#This Row],[Vendor - Contract]]="","",INDEX(VendorList[Primary Category],MATCH(CostTrack[[#This Row],[Vendor - Contract]],VendorList[Vendor / Org. with Contract ID],0)))</f>
        <v>Professional Services</v>
      </c>
      <c r="S400" s="1314" t="str">
        <f ca="1">IF(CostTrack[[#This Row],[Vendor - Contract]]="","",INDEX(VendorList[Secondary Category],MATCH(CostTrack[[#This Row],[Vendor - Contract]],VendorList[Vendor / Org. with Contract ID],0)))</f>
        <v>Other Professional Services</v>
      </c>
      <c r="T400" s="1314" t="str">
        <f ca="1">IF(CostTrack[[#This Row],[Vendor - Contract]]="","",INDEX(VendorList[Phase / Subproject],MATCH(CostTrack[[#This Row],[Vendor - Contract]],VendorList[Vendor / Org. with Contract ID],0)))</f>
        <v>--</v>
      </c>
      <c r="U400" s="1314" t="str">
        <f ca="1">IF(CostTrack[[#This Row],[Vendor - Contract]]="","",INDEX(VendorList[Phase / Subproject 2],MATCH(CostTrack[[#This Row],[Vendor - Contract]],VendorList[Vendor / Org. with Contract ID],0)))</f>
        <v>--</v>
      </c>
      <c r="V400" s="1314" t="str">
        <f ca="1">IF(CostTrack[[#This Row],[Vendor - Contract]]="","",INDEX(VendorList[Funding Source],MATCH(CostTrack[[#This Row],[Vendor - Contract]],VendorList[Vendor / Org. with Contract ID],0)))</f>
        <v>P-002360</v>
      </c>
      <c r="W400" s="267">
        <v>44805</v>
      </c>
      <c r="X400" s="1315" t="str">
        <f ca="1">IF(CostTrack[[#This Row],[Release Date (CMS)]]="","*","")</f>
        <v/>
      </c>
      <c r="Y400" s="1308" t="s">
        <v>53</v>
      </c>
      <c r="Z400" s="652" t="s">
        <v>1110</v>
      </c>
      <c r="AA400" s="1316">
        <f ca="1">IF(OR(CostTrack[[#This Row],[Release Date (CMS)]]&gt;=DATE(VALUE(REPLACE(CostTrack[[#This Row],[Fiscal Period]],3,3,"")),3,1),CostTrack[[#This Row],[Release Date (CMS)]]&lt;DATE(VALUE(LEFT(CostTrack[[#This Row],[Fiscal Period]],4)),4,1)),1,0)</f>
        <v>0</v>
      </c>
      <c r="AB400" s="1317">
        <v>1020</v>
      </c>
      <c r="AC400" s="1308">
        <v>44817</v>
      </c>
      <c r="AD400" s="402" t="str">
        <f ca="1">IF(CostTrack[[#This Row],[Reconciled Amount]]="","",IF(CostTrack[[#This Row],[Value]]&lt;&gt;CostTrack[[#This Row],[Reconciled Amount]],"Yes","No"))</f>
        <v>No</v>
      </c>
    </row>
    <row r="401" spans="2:30" ht="32.1" customHeight="1">
      <c r="B401" s="765" t="s">
        <v>662</v>
      </c>
      <c r="C401" s="1312">
        <v>6725</v>
      </c>
      <c r="D401" s="1308">
        <v>44804</v>
      </c>
      <c r="E401" s="658">
        <v>510</v>
      </c>
      <c r="F401" s="1309" t="s">
        <v>69</v>
      </c>
      <c r="G401" s="1310">
        <f ca="1">ROUND(IF(CostTrack[[#This Row],[Holdback (Y/N/R)]]="Yes",CostTrack[[#This Row],[Value]]*-0.1,IF(CostTrack[[#This Row],[Holdback (Y/N/R)]]="Release",CostTrack[[#This Row],[Value]],0)),2)</f>
        <v>0</v>
      </c>
      <c r="H401" s="1311">
        <f ca="1">IF(CostTrack[[#This Row],[Holdback (Y/N/R)]]="Release",CostTrack[[#This Row],[Value]],CostTrack[[#This Row],[Value]]+CostTrack[[#This Row],[Holdback Value]])</f>
        <v>510</v>
      </c>
      <c r="I401" s="1312"/>
      <c r="J401" s="1312"/>
      <c r="K401" s="1313"/>
      <c r="L401" s="1325">
        <v>44805</v>
      </c>
      <c r="M401" s="1326">
        <v>44805</v>
      </c>
      <c r="N401" s="1327"/>
      <c r="O401" s="1328" t="s">
        <v>106</v>
      </c>
      <c r="P401" s="1308">
        <v>44806</v>
      </c>
      <c r="Q401" s="1314" t="str">
        <f ca="1">IF(CostTrack[[#This Row],[Vendor - Contract]]="","",INDEX(VendorList[PA ID],MATCH(CostTrack[[#This Row],[Vendor - Contract]],VendorList[Vendor / Org. with Contract ID],0)))</f>
        <v>200.050.F1</v>
      </c>
      <c r="R401" s="1314" t="str">
        <f ca="1">IF(CostTrack[[#This Row],[Vendor - Contract]]="","",INDEX(VendorList[Primary Category],MATCH(CostTrack[[#This Row],[Vendor - Contract]],VendorList[Vendor / Org. with Contract ID],0)))</f>
        <v>Professional Services</v>
      </c>
      <c r="S401" s="1314" t="str">
        <f ca="1">IF(CostTrack[[#This Row],[Vendor - Contract]]="","",INDEX(VendorList[Secondary Category],MATCH(CostTrack[[#This Row],[Vendor - Contract]],VendorList[Vendor / Org. with Contract ID],0)))</f>
        <v>Other Professional Services</v>
      </c>
      <c r="T401" s="1314" t="str">
        <f ca="1">IF(CostTrack[[#This Row],[Vendor - Contract]]="","",INDEX(VendorList[Phase / Subproject],MATCH(CostTrack[[#This Row],[Vendor - Contract]],VendorList[Vendor / Org. with Contract ID],0)))</f>
        <v>--</v>
      </c>
      <c r="U401" s="1314" t="str">
        <f ca="1">IF(CostTrack[[#This Row],[Vendor - Contract]]="","",INDEX(VendorList[Phase / Subproject 2],MATCH(CostTrack[[#This Row],[Vendor - Contract]],VendorList[Vendor / Org. with Contract ID],0)))</f>
        <v>--</v>
      </c>
      <c r="V401" s="1314" t="str">
        <f ca="1">IF(CostTrack[[#This Row],[Vendor - Contract]]="","",INDEX(VendorList[Funding Source],MATCH(CostTrack[[#This Row],[Vendor - Contract]],VendorList[Vendor / Org. with Contract ID],0)))</f>
        <v>P-002360</v>
      </c>
      <c r="W401" s="1308">
        <v>44811</v>
      </c>
      <c r="X401" s="1315" t="str">
        <f ca="1">IF(CostTrack[[#This Row],[Release Date (CMS)]]="","*","")</f>
        <v/>
      </c>
      <c r="Y401" s="1308" t="s">
        <v>53</v>
      </c>
      <c r="Z401" s="766" t="s">
        <v>1111</v>
      </c>
      <c r="AA401" s="1316">
        <f ca="1">IF(OR(CostTrack[[#This Row],[Release Date (CMS)]]&gt;=DATE(VALUE(REPLACE(CostTrack[[#This Row],[Fiscal Period]],3,3,"")),3,1),CostTrack[[#This Row],[Release Date (CMS)]]&lt;DATE(VALUE(LEFT(CostTrack[[#This Row],[Fiscal Period]],4)),4,1)),1,0)</f>
        <v>0</v>
      </c>
      <c r="AB401" s="1317">
        <v>510</v>
      </c>
      <c r="AC401" s="1308">
        <v>44817</v>
      </c>
      <c r="AD401" s="402" t="str">
        <f ca="1">IF(CostTrack[[#This Row],[Reconciled Amount]]="","",IF(CostTrack[[#This Row],[Value]]&lt;&gt;CostTrack[[#This Row],[Reconciled Amount]],"Yes","No"))</f>
        <v>No</v>
      </c>
    </row>
    <row r="402" spans="2:30" ht="32.1" customHeight="1">
      <c r="B402" s="706" t="s">
        <v>666</v>
      </c>
      <c r="C402" s="650" t="s">
        <v>1112</v>
      </c>
      <c r="D402" s="1308">
        <v>44833</v>
      </c>
      <c r="E402" s="658">
        <v>29662</v>
      </c>
      <c r="F402" s="1309" t="s">
        <v>69</v>
      </c>
      <c r="G402" s="1310">
        <f ca="1">ROUND(IF(CostTrack[[#This Row],[Holdback (Y/N/R)]]="Yes",CostTrack[[#This Row],[Value]]*-0.1,IF(CostTrack[[#This Row],[Holdback (Y/N/R)]]="Release",CostTrack[[#This Row],[Value]],0)),2)</f>
        <v>0</v>
      </c>
      <c r="H402" s="1311">
        <f ca="1">IF(CostTrack[[#This Row],[Holdback (Y/N/R)]]="Release",CostTrack[[#This Row],[Value]],CostTrack[[#This Row],[Value]]+CostTrack[[#This Row],[Holdback Value]])</f>
        <v>29662</v>
      </c>
      <c r="I402" s="1312"/>
      <c r="J402" s="1312"/>
      <c r="K402" s="1313"/>
      <c r="L402" s="1325">
        <v>44803</v>
      </c>
      <c r="M402" s="1326">
        <v>44837</v>
      </c>
      <c r="N402" s="1327"/>
      <c r="O402" s="1328" t="s">
        <v>106</v>
      </c>
      <c r="P402" s="1308">
        <v>44837</v>
      </c>
      <c r="Q402" s="1314" t="str">
        <f ca="1">IF(CostTrack[[#This Row],[Vendor - Contract]]="","",INDEX(VendorList[PA ID],MATCH(CostTrack[[#This Row],[Vendor - Contract]],VendorList[Vendor / Org. with Contract ID],0)))</f>
        <v>200.050.F1</v>
      </c>
      <c r="R402" s="1314" t="str">
        <f ca="1">IF(CostTrack[[#This Row],[Vendor - Contract]]="","",INDEX(VendorList[Primary Category],MATCH(CostTrack[[#This Row],[Vendor - Contract]],VendorList[Vendor / Org. with Contract ID],0)))</f>
        <v>Professional Services</v>
      </c>
      <c r="S402" s="1314" t="str">
        <f ca="1">IF(CostTrack[[#This Row],[Vendor - Contract]]="","",INDEX(VendorList[Secondary Category],MATCH(CostTrack[[#This Row],[Vendor - Contract]],VendorList[Vendor / Org. with Contract ID],0)))</f>
        <v>Other Professional Services</v>
      </c>
      <c r="T402" s="1314" t="str">
        <f ca="1">IF(CostTrack[[#This Row],[Vendor - Contract]]="","",INDEX(VendorList[Phase / Subproject],MATCH(CostTrack[[#This Row],[Vendor - Contract]],VendorList[Vendor / Org. with Contract ID],0)))</f>
        <v>--</v>
      </c>
      <c r="U402" s="1314" t="str">
        <f ca="1">IF(CostTrack[[#This Row],[Vendor - Contract]]="","",INDEX(VendorList[Phase / Subproject 2],MATCH(CostTrack[[#This Row],[Vendor - Contract]],VendorList[Vendor / Org. with Contract ID],0)))</f>
        <v>--</v>
      </c>
      <c r="V402" s="1314" t="str">
        <f ca="1">IF(CostTrack[[#This Row],[Vendor - Contract]]="","",INDEX(VendorList[Funding Source],MATCH(CostTrack[[#This Row],[Vendor - Contract]],VendorList[Vendor / Org. with Contract ID],0)))</f>
        <v>P-002360</v>
      </c>
      <c r="W402" s="1308">
        <v>44837</v>
      </c>
      <c r="X402" s="1315" t="str">
        <f ca="1">IF(CostTrack[[#This Row],[Release Date (CMS)]]="","*","")</f>
        <v/>
      </c>
      <c r="Y402" s="1308" t="s">
        <v>53</v>
      </c>
      <c r="Z402" s="758"/>
      <c r="AA402" s="1316">
        <f ca="1">IF(OR(CostTrack[[#This Row],[Release Date (CMS)]]&gt;=DATE(VALUE(REPLACE(CostTrack[[#This Row],[Fiscal Period]],3,3,"")),3,1),CostTrack[[#This Row],[Release Date (CMS)]]&lt;DATE(VALUE(LEFT(CostTrack[[#This Row],[Fiscal Period]],4)),4,1)),1,0)</f>
        <v>0</v>
      </c>
      <c r="AB402" s="1317">
        <v>29662</v>
      </c>
      <c r="AC402" s="1308">
        <v>44887</v>
      </c>
      <c r="AD402" s="402" t="str">
        <f ca="1">IF(CostTrack[[#This Row],[Reconciled Amount]]="","",IF(CostTrack[[#This Row],[Value]]&lt;&gt;CostTrack[[#This Row],[Reconciled Amount]],"Yes","No"))</f>
        <v>No</v>
      </c>
    </row>
    <row r="403" spans="2:30" ht="46.35" customHeight="1">
      <c r="B403" s="765" t="s">
        <v>1113</v>
      </c>
      <c r="C403" s="1312">
        <v>4781187</v>
      </c>
      <c r="D403" s="1308">
        <v>44770</v>
      </c>
      <c r="E403" s="658">
        <v>4000</v>
      </c>
      <c r="F403" s="1309" t="s">
        <v>69</v>
      </c>
      <c r="G403" s="1310">
        <f ca="1">ROUND(IF(CostTrack[[#This Row],[Holdback (Y/N/R)]]="Yes",CostTrack[[#This Row],[Value]]*-0.1,IF(CostTrack[[#This Row],[Holdback (Y/N/R)]]="Release",CostTrack[[#This Row],[Value]],0)),2)</f>
        <v>0</v>
      </c>
      <c r="H403" s="1311">
        <f ca="1">IF(CostTrack[[#This Row],[Holdback (Y/N/R)]]="Release",CostTrack[[#This Row],[Value]],CostTrack[[#This Row],[Value]]+CostTrack[[#This Row],[Holdback Value]])</f>
        <v>4000</v>
      </c>
      <c r="I403" s="1312"/>
      <c r="J403" s="1312"/>
      <c r="K403" s="1313"/>
      <c r="L403" s="1325">
        <v>44790</v>
      </c>
      <c r="M403" s="1326">
        <v>44824</v>
      </c>
      <c r="N403" s="1327" t="s">
        <v>175</v>
      </c>
      <c r="O403" s="1328" t="s">
        <v>106</v>
      </c>
      <c r="P403" s="1308">
        <v>44824</v>
      </c>
      <c r="Q403" s="1314" t="str">
        <f ca="1">IF(CostTrack[[#This Row],[Vendor - Contract]]="","",INDEX(VendorList[PA ID],MATCH(CostTrack[[#This Row],[Vendor - Contract]],VendorList[Vendor / Org. with Contract ID],0)))</f>
        <v>200.050.F1</v>
      </c>
      <c r="R403" s="1314" t="str">
        <f ca="1">IF(CostTrack[[#This Row],[Vendor - Contract]]="","",INDEX(VendorList[Primary Category],MATCH(CostTrack[[#This Row],[Vendor - Contract]],VendorList[Vendor / Org. with Contract ID],0)))</f>
        <v>Professional Services</v>
      </c>
      <c r="S403" s="1314" t="str">
        <f ca="1">IF(CostTrack[[#This Row],[Vendor - Contract]]="","",INDEX(VendorList[Secondary Category],MATCH(CostTrack[[#This Row],[Vendor - Contract]],VendorList[Vendor / Org. with Contract ID],0)))</f>
        <v>Other Professional Services</v>
      </c>
      <c r="T403" s="1314" t="str">
        <f ca="1">IF(CostTrack[[#This Row],[Vendor - Contract]]="","",INDEX(VendorList[Phase / Subproject],MATCH(CostTrack[[#This Row],[Vendor - Contract]],VendorList[Vendor / Org. with Contract ID],0)))</f>
        <v>--</v>
      </c>
      <c r="U403" s="1314" t="str">
        <f ca="1">IF(CostTrack[[#This Row],[Vendor - Contract]]="","",INDEX(VendorList[Phase / Subproject 2],MATCH(CostTrack[[#This Row],[Vendor - Contract]],VendorList[Vendor / Org. with Contract ID],0)))</f>
        <v>--</v>
      </c>
      <c r="V403" s="1314" t="str">
        <f ca="1">IF(CostTrack[[#This Row],[Vendor - Contract]]="","",INDEX(VendorList[Funding Source],MATCH(CostTrack[[#This Row],[Vendor - Contract]],VendorList[Vendor / Org. with Contract ID],0)))</f>
        <v>P-002360</v>
      </c>
      <c r="W403" s="1308">
        <v>44825</v>
      </c>
      <c r="X403" s="1315" t="str">
        <f ca="1">IF(CostTrack[[#This Row],[Release Date (CMS)]]="","*","")</f>
        <v/>
      </c>
      <c r="Y403" s="1308" t="s">
        <v>53</v>
      </c>
      <c r="Z403" s="695" t="s">
        <v>1114</v>
      </c>
      <c r="AA403" s="1316">
        <f ca="1">IF(OR(CostTrack[[#This Row],[Release Date (CMS)]]&gt;=DATE(VALUE(REPLACE(CostTrack[[#This Row],[Fiscal Period]],3,3,"")),3,1),CostTrack[[#This Row],[Release Date (CMS)]]&lt;DATE(VALUE(LEFT(CostTrack[[#This Row],[Fiscal Period]],4)),4,1)),1,0)</f>
        <v>0</v>
      </c>
      <c r="AB403" s="1317">
        <v>4000</v>
      </c>
      <c r="AC403" s="1308">
        <v>44826</v>
      </c>
      <c r="AD403" s="402" t="str">
        <f ca="1">IF(CostTrack[[#This Row],[Reconciled Amount]]="","",IF(CostTrack[[#This Row],[Value]]&lt;&gt;CostTrack[[#This Row],[Reconciled Amount]],"Yes","No"))</f>
        <v>No</v>
      </c>
    </row>
    <row r="404" spans="2:30" ht="57.6" customHeight="1">
      <c r="B404" s="765" t="s">
        <v>1113</v>
      </c>
      <c r="C404" s="1312">
        <v>4794000</v>
      </c>
      <c r="D404" s="1308">
        <v>44799</v>
      </c>
      <c r="E404" s="658">
        <v>3200</v>
      </c>
      <c r="F404" s="1309" t="s">
        <v>69</v>
      </c>
      <c r="G404" s="1310">
        <f ca="1">ROUND(IF(CostTrack[[#This Row],[Holdback (Y/N/R)]]="Yes",CostTrack[[#This Row],[Value]]*-0.1,IF(CostTrack[[#This Row],[Holdback (Y/N/R)]]="Release",CostTrack[[#This Row],[Value]],0)),2)</f>
        <v>0</v>
      </c>
      <c r="H404" s="1311">
        <f ca="1">IF(CostTrack[[#This Row],[Holdback (Y/N/R)]]="Release",CostTrack[[#This Row],[Value]],CostTrack[[#This Row],[Value]]+CostTrack[[#This Row],[Holdback Value]])</f>
        <v>3200</v>
      </c>
      <c r="I404" s="1312"/>
      <c r="J404" s="1312"/>
      <c r="K404" s="1313"/>
      <c r="L404" s="1325">
        <v>44812</v>
      </c>
      <c r="M404" s="1326">
        <v>44824</v>
      </c>
      <c r="N404" s="1327" t="s">
        <v>175</v>
      </c>
      <c r="O404" s="1328" t="s">
        <v>106</v>
      </c>
      <c r="P404" s="1308">
        <v>44824</v>
      </c>
      <c r="Q404" s="1314" t="str">
        <f ca="1">IF(CostTrack[[#This Row],[Vendor - Contract]]="","",INDEX(VendorList[PA ID],MATCH(CostTrack[[#This Row],[Vendor - Contract]],VendorList[Vendor / Org. with Contract ID],0)))</f>
        <v>200.050.F1</v>
      </c>
      <c r="R404" s="1314" t="str">
        <f ca="1">IF(CostTrack[[#This Row],[Vendor - Contract]]="","",INDEX(VendorList[Primary Category],MATCH(CostTrack[[#This Row],[Vendor - Contract]],VendorList[Vendor / Org. with Contract ID],0)))</f>
        <v>Professional Services</v>
      </c>
      <c r="S404" s="1314" t="str">
        <f ca="1">IF(CostTrack[[#This Row],[Vendor - Contract]]="","",INDEX(VendorList[Secondary Category],MATCH(CostTrack[[#This Row],[Vendor - Contract]],VendorList[Vendor / Org. with Contract ID],0)))</f>
        <v>Other Professional Services</v>
      </c>
      <c r="T404" s="1314" t="str">
        <f ca="1">IF(CostTrack[[#This Row],[Vendor - Contract]]="","",INDEX(VendorList[Phase / Subproject],MATCH(CostTrack[[#This Row],[Vendor - Contract]],VendorList[Vendor / Org. with Contract ID],0)))</f>
        <v>--</v>
      </c>
      <c r="U404" s="1314" t="str">
        <f ca="1">IF(CostTrack[[#This Row],[Vendor - Contract]]="","",INDEX(VendorList[Phase / Subproject 2],MATCH(CostTrack[[#This Row],[Vendor - Contract]],VendorList[Vendor / Org. with Contract ID],0)))</f>
        <v>--</v>
      </c>
      <c r="V404" s="1314" t="str">
        <f ca="1">IF(CostTrack[[#This Row],[Vendor - Contract]]="","",INDEX(VendorList[Funding Source],MATCH(CostTrack[[#This Row],[Vendor - Contract]],VendorList[Vendor / Org. with Contract ID],0)))</f>
        <v>P-002360</v>
      </c>
      <c r="W404" s="1308">
        <v>44825</v>
      </c>
      <c r="X404" s="1315" t="str">
        <f ca="1">IF(CostTrack[[#This Row],[Release Date (CMS)]]="","*","")</f>
        <v/>
      </c>
      <c r="Y404" s="1308" t="s">
        <v>53</v>
      </c>
      <c r="Z404" s="652"/>
      <c r="AA404" s="1316">
        <f ca="1">IF(OR(CostTrack[[#This Row],[Release Date (CMS)]]&gt;=DATE(VALUE(REPLACE(CostTrack[[#This Row],[Fiscal Period]],3,3,"")),3,1),CostTrack[[#This Row],[Release Date (CMS)]]&lt;DATE(VALUE(LEFT(CostTrack[[#This Row],[Fiscal Period]],4)),4,1)),1,0)</f>
        <v>0</v>
      </c>
      <c r="AB404" s="1317">
        <v>3200</v>
      </c>
      <c r="AC404" s="1308">
        <v>44826</v>
      </c>
      <c r="AD404" s="402" t="str">
        <f ca="1">IF(CostTrack[[#This Row],[Reconciled Amount]]="","",IF(CostTrack[[#This Row],[Value]]&lt;&gt;CostTrack[[#This Row],[Reconciled Amount]],"Yes","No"))</f>
        <v>No</v>
      </c>
    </row>
    <row r="405" spans="2:30" ht="32.1" customHeight="1">
      <c r="B405" s="1324" t="s">
        <v>655</v>
      </c>
      <c r="C405" s="1312">
        <v>3020</v>
      </c>
      <c r="D405" s="1308">
        <v>44811</v>
      </c>
      <c r="E405" s="658">
        <v>914</v>
      </c>
      <c r="F405" s="1309" t="s">
        <v>69</v>
      </c>
      <c r="G405" s="1310">
        <f ca="1">ROUND(IF(CostTrack[[#This Row],[Holdback (Y/N/R)]]="Yes",CostTrack[[#This Row],[Value]]*-0.1,IF(CostTrack[[#This Row],[Holdback (Y/N/R)]]="Release",CostTrack[[#This Row],[Value]],0)),2)</f>
        <v>0</v>
      </c>
      <c r="H405" s="1311">
        <f ca="1">IF(CostTrack[[#This Row],[Holdback (Y/N/R)]]="Release",CostTrack[[#This Row],[Value]],CostTrack[[#This Row],[Value]]+CostTrack[[#This Row],[Holdback Value]])</f>
        <v>914</v>
      </c>
      <c r="I405" s="1312"/>
      <c r="J405" s="1312"/>
      <c r="K405" s="1313">
        <v>44774</v>
      </c>
      <c r="L405" s="1325">
        <v>44811</v>
      </c>
      <c r="M405" s="1326">
        <v>44811</v>
      </c>
      <c r="N405" s="1327"/>
      <c r="O405" s="1328" t="s">
        <v>106</v>
      </c>
      <c r="P405" s="1308">
        <v>44811</v>
      </c>
      <c r="Q405" s="1314" t="str">
        <f ca="1">IF(CostTrack[[#This Row],[Vendor - Contract]]="","",INDEX(VendorList[PA ID],MATCH(CostTrack[[#This Row],[Vendor - Contract]],VendorList[Vendor / Org. with Contract ID],0)))</f>
        <v>200.050.F1</v>
      </c>
      <c r="R405" s="1314" t="str">
        <f ca="1">IF(CostTrack[[#This Row],[Vendor - Contract]]="","",INDEX(VendorList[Primary Category],MATCH(CostTrack[[#This Row],[Vendor - Contract]],VendorList[Vendor / Org. with Contract ID],0)))</f>
        <v>Professional Services</v>
      </c>
      <c r="S405" s="1314" t="str">
        <f ca="1">IF(CostTrack[[#This Row],[Vendor - Contract]]="","",INDEX(VendorList[Secondary Category],MATCH(CostTrack[[#This Row],[Vendor - Contract]],VendorList[Vendor / Org. with Contract ID],0)))</f>
        <v>Other Professional Services</v>
      </c>
      <c r="T405" s="1314" t="str">
        <f ca="1">IF(CostTrack[[#This Row],[Vendor - Contract]]="","",INDEX(VendorList[Phase / Subproject],MATCH(CostTrack[[#This Row],[Vendor - Contract]],VendorList[Vendor / Org. with Contract ID],0)))</f>
        <v>--</v>
      </c>
      <c r="U405" s="1314" t="str">
        <f ca="1">IF(CostTrack[[#This Row],[Vendor - Contract]]="","",INDEX(VendorList[Phase / Subproject 2],MATCH(CostTrack[[#This Row],[Vendor - Contract]],VendorList[Vendor / Org. with Contract ID],0)))</f>
        <v>--</v>
      </c>
      <c r="V405" s="1314" t="str">
        <f ca="1">IF(CostTrack[[#This Row],[Vendor - Contract]]="","",INDEX(VendorList[Funding Source],MATCH(CostTrack[[#This Row],[Vendor - Contract]],VendorList[Vendor / Org. with Contract ID],0)))</f>
        <v>P-002360</v>
      </c>
      <c r="W405" s="1308">
        <v>44812</v>
      </c>
      <c r="X405" s="1315" t="str">
        <f ca="1">IF(CostTrack[[#This Row],[Release Date (CMS)]]="","*","")</f>
        <v/>
      </c>
      <c r="Y405" s="1308" t="s">
        <v>53</v>
      </c>
      <c r="Z405" s="713"/>
      <c r="AA405" s="1316">
        <f ca="1">IF(OR(CostTrack[[#This Row],[Release Date (CMS)]]&gt;=DATE(VALUE(REPLACE(CostTrack[[#This Row],[Fiscal Period]],3,3,"")),3,1),CostTrack[[#This Row],[Release Date (CMS)]]&lt;DATE(VALUE(LEFT(CostTrack[[#This Row],[Fiscal Period]],4)),4,1)),1,0)</f>
        <v>0</v>
      </c>
      <c r="AB405" s="1317">
        <v>914</v>
      </c>
      <c r="AC405" s="1308">
        <v>44817</v>
      </c>
      <c r="AD405" s="402" t="str">
        <f ca="1">IF(CostTrack[[#This Row],[Reconciled Amount]]="","",IF(CostTrack[[#This Row],[Value]]&lt;&gt;CostTrack[[#This Row],[Reconciled Amount]],"Yes","No"))</f>
        <v>No</v>
      </c>
    </row>
    <row r="406" spans="2:30" ht="78.75" customHeight="1">
      <c r="B406" s="1324" t="s">
        <v>711</v>
      </c>
      <c r="C406" s="1312">
        <v>4400858</v>
      </c>
      <c r="D406" s="1308">
        <v>44804</v>
      </c>
      <c r="E406" s="658">
        <v>91.58</v>
      </c>
      <c r="F406" s="1309" t="s">
        <v>69</v>
      </c>
      <c r="G406" s="1310">
        <f ca="1">ROUND(IF(CostTrack[[#This Row],[Holdback (Y/N/R)]]="Yes",CostTrack[[#This Row],[Value]]*-0.1,IF(CostTrack[[#This Row],[Holdback (Y/N/R)]]="Release",CostTrack[[#This Row],[Value]],0)),2)</f>
        <v>0</v>
      </c>
      <c r="H406" s="1311">
        <f ca="1">IF(CostTrack[[#This Row],[Holdback (Y/N/R)]]="Release",CostTrack[[#This Row],[Value]],CostTrack[[#This Row],[Value]]+CostTrack[[#This Row],[Holdback Value]])</f>
        <v>91.58</v>
      </c>
      <c r="I406" s="1312"/>
      <c r="J406" s="1312"/>
      <c r="K406" s="1313"/>
      <c r="L406" s="1325">
        <v>44812</v>
      </c>
      <c r="M406" s="1326">
        <v>44812</v>
      </c>
      <c r="N406" s="1327"/>
      <c r="O406" s="1328" t="s">
        <v>106</v>
      </c>
      <c r="P406" s="1308">
        <v>44812</v>
      </c>
      <c r="Q406" s="1314" t="str">
        <f ca="1">IF(CostTrack[[#This Row],[Vendor - Contract]]="","",INDEX(VendorList[PA ID],MATCH(CostTrack[[#This Row],[Vendor - Contract]],VendorList[Vendor / Org. with Contract ID],0)))</f>
        <v>300.040.F1</v>
      </c>
      <c r="R406" s="1314" t="str">
        <f ca="1">IF(CostTrack[[#This Row],[Vendor - Contract]]="","",INDEX(VendorList[Primary Category],MATCH(CostTrack[[#This Row],[Vendor - Contract]],VendorList[Vendor / Org. with Contract ID],0)))</f>
        <v>Construction</v>
      </c>
      <c r="S406" s="1314" t="str">
        <f ca="1">IF(CostTrack[[#This Row],[Vendor - Contract]]="","",INDEX(VendorList[Secondary Category],MATCH(CostTrack[[#This Row],[Vendor - Contract]],VendorList[Vendor / Org. with Contract ID],0)))</f>
        <v>Other Contractor</v>
      </c>
      <c r="T406" s="1314" t="str">
        <f ca="1">IF(CostTrack[[#This Row],[Vendor - Contract]]="","",INDEX(VendorList[Phase / Subproject],MATCH(CostTrack[[#This Row],[Vendor - Contract]],VendorList[Vendor / Org. with Contract ID],0)))</f>
        <v>--</v>
      </c>
      <c r="U406" s="1314" t="str">
        <f ca="1">IF(CostTrack[[#This Row],[Vendor - Contract]]="","",INDEX(VendorList[Phase / Subproject 2],MATCH(CostTrack[[#This Row],[Vendor - Contract]],VendorList[Vendor / Org. with Contract ID],0)))</f>
        <v>--</v>
      </c>
      <c r="V406" s="1314" t="str">
        <f ca="1">IF(CostTrack[[#This Row],[Vendor - Contract]]="","",INDEX(VendorList[Funding Source],MATCH(CostTrack[[#This Row],[Vendor - Contract]],VendorList[Vendor / Org. with Contract ID],0)))</f>
        <v>P-002360</v>
      </c>
      <c r="W406" s="1308">
        <v>44813</v>
      </c>
      <c r="X406" s="1315" t="str">
        <f ca="1">IF(CostTrack[[#This Row],[Release Date (CMS)]]="","*","")</f>
        <v/>
      </c>
      <c r="Y406" s="1308" t="s">
        <v>53</v>
      </c>
      <c r="Z406" s="758"/>
      <c r="AA406" s="1316">
        <f ca="1">IF(OR(CostTrack[[#This Row],[Release Date (CMS)]]&gt;=DATE(VALUE(REPLACE(CostTrack[[#This Row],[Fiscal Period]],3,3,"")),3,1),CostTrack[[#This Row],[Release Date (CMS)]]&lt;DATE(VALUE(LEFT(CostTrack[[#This Row],[Fiscal Period]],4)),4,1)),1,0)</f>
        <v>0</v>
      </c>
      <c r="AB406" s="1317">
        <v>91.58</v>
      </c>
      <c r="AC406" s="1308">
        <v>44817</v>
      </c>
      <c r="AD406" s="402" t="str">
        <f ca="1">IF(CostTrack[[#This Row],[Reconciled Amount]]="","",IF(CostTrack[[#This Row],[Value]]&lt;&gt;CostTrack[[#This Row],[Reconciled Amount]],"Yes","No"))</f>
        <v>No</v>
      </c>
    </row>
    <row r="407" spans="2:30" ht="43.5" customHeight="1">
      <c r="B407" s="1324" t="s">
        <v>527</v>
      </c>
      <c r="C407" s="1312" t="s">
        <v>1115</v>
      </c>
      <c r="D407" s="1308">
        <v>44804</v>
      </c>
      <c r="E407" s="658">
        <v>51721.84</v>
      </c>
      <c r="F407" s="1309" t="s">
        <v>69</v>
      </c>
      <c r="G407" s="1310">
        <f ca="1">ROUND(IF(CostTrack[[#This Row],[Holdback (Y/N/R)]]="Yes",CostTrack[[#This Row],[Value]]*-0.1,IF(CostTrack[[#This Row],[Holdback (Y/N/R)]]="Release",CostTrack[[#This Row],[Value]],0)),2)</f>
        <v>0</v>
      </c>
      <c r="H407" s="1311">
        <f ca="1">IF(CostTrack[[#This Row],[Holdback (Y/N/R)]]="Release",CostTrack[[#This Row],[Value]],CostTrack[[#This Row],[Value]]+CostTrack[[#This Row],[Holdback Value]])</f>
        <v>51721.84</v>
      </c>
      <c r="I407" s="1312"/>
      <c r="J407" s="1312"/>
      <c r="K407" s="1313"/>
      <c r="L407" s="1325">
        <v>44816</v>
      </c>
      <c r="M407" s="1326">
        <v>44816</v>
      </c>
      <c r="N407" s="1327"/>
      <c r="O407" s="1328" t="s">
        <v>106</v>
      </c>
      <c r="P407" s="1308">
        <v>44816</v>
      </c>
      <c r="Q407" s="1314" t="str">
        <f ca="1">IF(CostTrack[[#This Row],[Vendor - Contract]]="","",INDEX(VendorList[PA ID],MATCH(CostTrack[[#This Row],[Vendor - Contract]],VendorList[Vendor / Org. with Contract ID],0)))</f>
        <v>200.010.F1</v>
      </c>
      <c r="R407" s="1314" t="str">
        <f ca="1">IF(CostTrack[[#This Row],[Vendor - Contract]]="","",INDEX(VendorList[Primary Category],MATCH(CostTrack[[#This Row],[Vendor - Contract]],VendorList[Vendor / Org. with Contract ID],0)))</f>
        <v>Professional Services</v>
      </c>
      <c r="S407" s="1314" t="str">
        <f ca="1">IF(CostTrack[[#This Row],[Vendor - Contract]]="","",INDEX(VendorList[Secondary Category],MATCH(CostTrack[[#This Row],[Vendor - Contract]],VendorList[Vendor / Org. with Contract ID],0)))</f>
        <v>Prime Consultant</v>
      </c>
      <c r="T407" s="1314" t="str">
        <f ca="1">IF(CostTrack[[#This Row],[Vendor - Contract]]="","",INDEX(VendorList[Phase / Subproject],MATCH(CostTrack[[#This Row],[Vendor - Contract]],VendorList[Vendor / Org. with Contract ID],0)))</f>
        <v>--</v>
      </c>
      <c r="U407" s="1314" t="str">
        <f ca="1">IF(CostTrack[[#This Row],[Vendor - Contract]]="","",INDEX(VendorList[Phase / Subproject 2],MATCH(CostTrack[[#This Row],[Vendor - Contract]],VendorList[Vendor / Org. with Contract ID],0)))</f>
        <v>--</v>
      </c>
      <c r="V407" s="1314" t="str">
        <f ca="1">IF(CostTrack[[#This Row],[Vendor - Contract]]="","",INDEX(VendorList[Funding Source],MATCH(CostTrack[[#This Row],[Vendor - Contract]],VendorList[Vendor / Org. with Contract ID],0)))</f>
        <v>P-002360</v>
      </c>
      <c r="W407" s="1308">
        <v>44816</v>
      </c>
      <c r="X407" s="1315" t="str">
        <f ca="1">IF(CostTrack[[#This Row],[Release Date (CMS)]]="","*","")</f>
        <v/>
      </c>
      <c r="Y407" s="1308" t="s">
        <v>53</v>
      </c>
      <c r="Z407" s="713"/>
      <c r="AA407" s="1316">
        <f ca="1">IF(OR(CostTrack[[#This Row],[Release Date (CMS)]]&gt;=DATE(VALUE(REPLACE(CostTrack[[#This Row],[Fiscal Period]],3,3,"")),3,1),CostTrack[[#This Row],[Release Date (CMS)]]&lt;DATE(VALUE(LEFT(CostTrack[[#This Row],[Fiscal Period]],4)),4,1)),1,0)</f>
        <v>0</v>
      </c>
      <c r="AB407" s="1317">
        <v>51721.84</v>
      </c>
      <c r="AC407" s="1308">
        <v>44826</v>
      </c>
      <c r="AD407" s="402" t="str">
        <f ca="1">IF(CostTrack[[#This Row],[Reconciled Amount]]="","",IF(CostTrack[[#This Row],[Value]]&lt;&gt;CostTrack[[#This Row],[Reconciled Amount]],"Yes","No"))</f>
        <v>No</v>
      </c>
    </row>
    <row r="408" spans="2:30" ht="46.35" customHeight="1">
      <c r="B408" s="1324" t="s">
        <v>662</v>
      </c>
      <c r="C408" s="1312">
        <v>6737</v>
      </c>
      <c r="D408" s="1308">
        <v>44804</v>
      </c>
      <c r="E408" s="658">
        <v>510</v>
      </c>
      <c r="F408" s="1309" t="s">
        <v>69</v>
      </c>
      <c r="G408" s="1310">
        <f ca="1">ROUND(IF(CostTrack[[#This Row],[Holdback (Y/N/R)]]="Yes",CostTrack[[#This Row],[Value]]*-0.1,IF(CostTrack[[#This Row],[Holdback (Y/N/R)]]="Release",CostTrack[[#This Row],[Value]],0)),2)</f>
        <v>0</v>
      </c>
      <c r="H408" s="1311">
        <f ca="1">IF(CostTrack[[#This Row],[Holdback (Y/N/R)]]="Release",CostTrack[[#This Row],[Value]],CostTrack[[#This Row],[Value]]+CostTrack[[#This Row],[Holdback Value]])</f>
        <v>510</v>
      </c>
      <c r="I408" s="1312"/>
      <c r="J408" s="1312"/>
      <c r="K408" s="1313"/>
      <c r="L408" s="1325">
        <v>44816</v>
      </c>
      <c r="M408" s="1326">
        <v>44816</v>
      </c>
      <c r="N408" s="1327"/>
      <c r="O408" s="1328" t="s">
        <v>106</v>
      </c>
      <c r="P408" s="1308">
        <v>44816</v>
      </c>
      <c r="Q408" s="1314" t="str">
        <f ca="1">IF(CostTrack[[#This Row],[Vendor - Contract]]="","",INDEX(VendorList[PA ID],MATCH(CostTrack[[#This Row],[Vendor - Contract]],VendorList[Vendor / Org. with Contract ID],0)))</f>
        <v>200.050.F1</v>
      </c>
      <c r="R408" s="1314" t="str">
        <f ca="1">IF(CostTrack[[#This Row],[Vendor - Contract]]="","",INDEX(VendorList[Primary Category],MATCH(CostTrack[[#This Row],[Vendor - Contract]],VendorList[Vendor / Org. with Contract ID],0)))</f>
        <v>Professional Services</v>
      </c>
      <c r="S408" s="1314" t="str">
        <f ca="1">IF(CostTrack[[#This Row],[Vendor - Contract]]="","",INDEX(VendorList[Secondary Category],MATCH(CostTrack[[#This Row],[Vendor - Contract]],VendorList[Vendor / Org. with Contract ID],0)))</f>
        <v>Other Professional Services</v>
      </c>
      <c r="T408" s="1314" t="str">
        <f ca="1">IF(CostTrack[[#This Row],[Vendor - Contract]]="","",INDEX(VendorList[Phase / Subproject],MATCH(CostTrack[[#This Row],[Vendor - Contract]],VendorList[Vendor / Org. with Contract ID],0)))</f>
        <v>--</v>
      </c>
      <c r="U408" s="1314" t="str">
        <f ca="1">IF(CostTrack[[#This Row],[Vendor - Contract]]="","",INDEX(VendorList[Phase / Subproject 2],MATCH(CostTrack[[#This Row],[Vendor - Contract]],VendorList[Vendor / Org. with Contract ID],0)))</f>
        <v>--</v>
      </c>
      <c r="V408" s="1314" t="str">
        <f ca="1">IF(CostTrack[[#This Row],[Vendor - Contract]]="","",INDEX(VendorList[Funding Source],MATCH(CostTrack[[#This Row],[Vendor - Contract]],VendorList[Vendor / Org. with Contract ID],0)))</f>
        <v>P-002360</v>
      </c>
      <c r="W408" s="1308">
        <v>44816</v>
      </c>
      <c r="X408" s="1315" t="str">
        <f ca="1">IF(CostTrack[[#This Row],[Release Date (CMS)]]="","*","")</f>
        <v/>
      </c>
      <c r="Y408" s="1308" t="s">
        <v>53</v>
      </c>
      <c r="Z408" s="713"/>
      <c r="AA408" s="1316">
        <f ca="1">IF(OR(CostTrack[[#This Row],[Release Date (CMS)]]&gt;=DATE(VALUE(REPLACE(CostTrack[[#This Row],[Fiscal Period]],3,3,"")),3,1),CostTrack[[#This Row],[Release Date (CMS)]]&lt;DATE(VALUE(LEFT(CostTrack[[#This Row],[Fiscal Period]],4)),4,1)),1,0)</f>
        <v>0</v>
      </c>
      <c r="AB408" s="1317">
        <v>510</v>
      </c>
      <c r="AC408" s="1308">
        <v>44826</v>
      </c>
      <c r="AD408" s="402" t="str">
        <f ca="1">IF(CostTrack[[#This Row],[Reconciled Amount]]="","",IF(CostTrack[[#This Row],[Value]]&lt;&gt;CostTrack[[#This Row],[Reconciled Amount]],"Yes","No"))</f>
        <v>No</v>
      </c>
    </row>
    <row r="409" spans="2:30" ht="46.35" customHeight="1">
      <c r="B409" s="1324" t="s">
        <v>1087</v>
      </c>
      <c r="C409" s="691" t="s">
        <v>1116</v>
      </c>
      <c r="D409" s="1308">
        <v>44805</v>
      </c>
      <c r="E409" s="658">
        <v>13333.91</v>
      </c>
      <c r="F409" s="1309" t="s">
        <v>69</v>
      </c>
      <c r="G409" s="1310">
        <f ca="1">ROUND(IF(CostTrack[[#This Row],[Holdback (Y/N/R)]]="Yes",CostTrack[[#This Row],[Value]]*-0.1,IF(CostTrack[[#This Row],[Holdback (Y/N/R)]]="Release",CostTrack[[#This Row],[Value]],0)),2)</f>
        <v>0</v>
      </c>
      <c r="H409" s="1311">
        <f ca="1">IF(CostTrack[[#This Row],[Holdback (Y/N/R)]]="Release",CostTrack[[#This Row],[Value]],CostTrack[[#This Row],[Value]]+CostTrack[[#This Row],[Holdback Value]])</f>
        <v>13333.91</v>
      </c>
      <c r="I409" s="1312"/>
      <c r="J409" s="1312"/>
      <c r="K409" s="1313"/>
      <c r="L409" s="1325">
        <v>44824</v>
      </c>
      <c r="M409" s="1326">
        <v>44824</v>
      </c>
      <c r="N409" s="1327"/>
      <c r="O409" s="1328" t="s">
        <v>106</v>
      </c>
      <c r="P409" s="1308">
        <v>44824</v>
      </c>
      <c r="Q409" s="1314" t="str">
        <f ca="1">IF(CostTrack[[#This Row],[Vendor - Contract]]="","",INDEX(VendorList[PA ID],MATCH(CostTrack[[#This Row],[Vendor - Contract]],VendorList[Vendor / Org. with Contract ID],0)))</f>
        <v>300.040.F1</v>
      </c>
      <c r="R409" s="1314" t="str">
        <f ca="1">IF(CostTrack[[#This Row],[Vendor - Contract]]="","",INDEX(VendorList[Primary Category],MATCH(CostTrack[[#This Row],[Vendor - Contract]],VendorList[Vendor / Org. with Contract ID],0)))</f>
        <v>Construction</v>
      </c>
      <c r="S409" s="1314" t="str">
        <f ca="1">IF(CostTrack[[#This Row],[Vendor - Contract]]="","",INDEX(VendorList[Secondary Category],MATCH(CostTrack[[#This Row],[Vendor - Contract]],VendorList[Vendor / Org. with Contract ID],0)))</f>
        <v>Other Contractor</v>
      </c>
      <c r="T409" s="1314" t="str">
        <f ca="1">IF(CostTrack[[#This Row],[Vendor - Contract]]="","",INDEX(VendorList[Phase / Subproject],MATCH(CostTrack[[#This Row],[Vendor - Contract]],VendorList[Vendor / Org. with Contract ID],0)))</f>
        <v>--</v>
      </c>
      <c r="U409" s="1314" t="str">
        <f ca="1">IF(CostTrack[[#This Row],[Vendor - Contract]]="","",INDEX(VendorList[Phase / Subproject 2],MATCH(CostTrack[[#This Row],[Vendor - Contract]],VendorList[Vendor / Org. with Contract ID],0)))</f>
        <v>--</v>
      </c>
      <c r="V409" s="1314" t="str">
        <f ca="1">IF(CostTrack[[#This Row],[Vendor - Contract]]="","",INDEX(VendorList[Funding Source],MATCH(CostTrack[[#This Row],[Vendor - Contract]],VendorList[Vendor / Org. with Contract ID],0)))</f>
        <v>P-002360</v>
      </c>
      <c r="W409" s="1308">
        <v>44824</v>
      </c>
      <c r="X409" s="1315" t="str">
        <f ca="1">IF(CostTrack[[#This Row],[Release Date (CMS)]]="","*","")</f>
        <v/>
      </c>
      <c r="Y409" s="1308" t="s">
        <v>53</v>
      </c>
      <c r="Z409" s="652" t="s">
        <v>1117</v>
      </c>
      <c r="AA409" s="1316">
        <f ca="1">IF(OR(CostTrack[[#This Row],[Release Date (CMS)]]&gt;=DATE(VALUE(REPLACE(CostTrack[[#This Row],[Fiscal Period]],3,3,"")),3,1),CostTrack[[#This Row],[Release Date (CMS)]]&lt;DATE(VALUE(LEFT(CostTrack[[#This Row],[Fiscal Period]],4)),4,1)),1,0)</f>
        <v>0</v>
      </c>
      <c r="AB409" s="1317">
        <v>13333.91</v>
      </c>
      <c r="AC409" s="1308">
        <v>44826</v>
      </c>
      <c r="AD409" s="402" t="str">
        <f ca="1">IF(CostTrack[[#This Row],[Reconciled Amount]]="","",IF(CostTrack[[#This Row],[Value]]&lt;&gt;CostTrack[[#This Row],[Reconciled Amount]],"Yes","No"))</f>
        <v>No</v>
      </c>
    </row>
    <row r="410" spans="2:30" ht="46.35" customHeight="1">
      <c r="B410" s="1324" t="s">
        <v>731</v>
      </c>
      <c r="C410" s="1312">
        <v>800043832</v>
      </c>
      <c r="D410" s="1308">
        <v>44819</v>
      </c>
      <c r="E410" s="658">
        <v>51.76</v>
      </c>
      <c r="F410" s="1309" t="s">
        <v>69</v>
      </c>
      <c r="G410" s="1310">
        <f ca="1">ROUND(IF(CostTrack[[#This Row],[Holdback (Y/N/R)]]="Yes",CostTrack[[#This Row],[Value]]*-0.1,IF(CostTrack[[#This Row],[Holdback (Y/N/R)]]="Release",CostTrack[[#This Row],[Value]],0)),2)</f>
        <v>0</v>
      </c>
      <c r="H410" s="1311">
        <f ca="1">IF(CostTrack[[#This Row],[Holdback (Y/N/R)]]="Release",CostTrack[[#This Row],[Value]],CostTrack[[#This Row],[Value]]+CostTrack[[#This Row],[Holdback Value]])</f>
        <v>51.76</v>
      </c>
      <c r="I410" s="1312"/>
      <c r="J410" s="1312"/>
      <c r="K410" s="1313"/>
      <c r="L410" s="1325">
        <v>44820</v>
      </c>
      <c r="M410" s="1326">
        <v>44820</v>
      </c>
      <c r="N410" s="1327"/>
      <c r="O410" s="1328" t="s">
        <v>106</v>
      </c>
      <c r="P410" s="1308">
        <v>44820</v>
      </c>
      <c r="Q410" s="1314" t="str">
        <f ca="1">IF(CostTrack[[#This Row],[Vendor - Contract]]="","",INDEX(VendorList[PA ID],MATCH(CostTrack[[#This Row],[Vendor - Contract]],VendorList[Vendor / Org. with Contract ID],0)))</f>
        <v>100.050.F1</v>
      </c>
      <c r="R410" s="1314" t="str">
        <f ca="1">IF(CostTrack[[#This Row],[Vendor - Contract]]="","",INDEX(VendorList[Primary Category],MATCH(CostTrack[[#This Row],[Vendor - Contract]],VendorList[Vendor / Org. with Contract ID],0)))</f>
        <v>Administration</v>
      </c>
      <c r="S410" s="1314" t="str">
        <f ca="1">IF(CostTrack[[#This Row],[Vendor - Contract]]="","",INDEX(VendorList[Secondary Category],MATCH(CostTrack[[#This Row],[Vendor - Contract]],VendorList[Vendor / Org. with Contract ID],0)))</f>
        <v>Other Administration</v>
      </c>
      <c r="T410" s="1314" t="str">
        <f ca="1">IF(CostTrack[[#This Row],[Vendor - Contract]]="","",INDEX(VendorList[Phase / Subproject],MATCH(CostTrack[[#This Row],[Vendor - Contract]],VendorList[Vendor / Org. with Contract ID],0)))</f>
        <v>--</v>
      </c>
      <c r="U410" s="1314" t="str">
        <f ca="1">IF(CostTrack[[#This Row],[Vendor - Contract]]="","",INDEX(VendorList[Phase / Subproject 2],MATCH(CostTrack[[#This Row],[Vendor - Contract]],VendorList[Vendor / Org. with Contract ID],0)))</f>
        <v>--</v>
      </c>
      <c r="V410" s="1314" t="str">
        <f ca="1">IF(CostTrack[[#This Row],[Vendor - Contract]]="","",INDEX(VendorList[Funding Source],MATCH(CostTrack[[#This Row],[Vendor - Contract]],VendorList[Vendor / Org. with Contract ID],0)))</f>
        <v>P-002360</v>
      </c>
      <c r="W410" s="1308">
        <v>44820</v>
      </c>
      <c r="X410" s="1315" t="str">
        <f ca="1">IF(CostTrack[[#This Row],[Release Date (CMS)]]="","*","")</f>
        <v/>
      </c>
      <c r="Y410" s="1308" t="s">
        <v>53</v>
      </c>
      <c r="Z410" s="652" t="s">
        <v>1118</v>
      </c>
      <c r="AA410" s="1316">
        <f ca="1">IF(OR(CostTrack[[#This Row],[Release Date (CMS)]]&gt;=DATE(VALUE(REPLACE(CostTrack[[#This Row],[Fiscal Period]],3,3,"")),3,1),CostTrack[[#This Row],[Release Date (CMS)]]&lt;DATE(VALUE(LEFT(CostTrack[[#This Row],[Fiscal Period]],4)),4,1)),1,0)</f>
        <v>0</v>
      </c>
      <c r="AB410" s="1317">
        <v>51.76</v>
      </c>
      <c r="AC410" s="1308">
        <v>44826</v>
      </c>
      <c r="AD410" s="402" t="str">
        <f ca="1">IF(CostTrack[[#This Row],[Reconciled Amount]]="","",IF(CostTrack[[#This Row],[Value]]&lt;&gt;CostTrack[[#This Row],[Reconciled Amount]],"Yes","No"))</f>
        <v>No</v>
      </c>
    </row>
    <row r="411" spans="2:30" ht="46.35" customHeight="1">
      <c r="B411" s="1324" t="s">
        <v>528</v>
      </c>
      <c r="C411" s="1312">
        <v>60774136</v>
      </c>
      <c r="D411" s="1308">
        <v>44816</v>
      </c>
      <c r="E411" s="658">
        <v>2620.5</v>
      </c>
      <c r="F411" s="1309" t="s">
        <v>69</v>
      </c>
      <c r="G411" s="1310">
        <f ca="1">ROUND(IF(CostTrack[[#This Row],[Holdback (Y/N/R)]]="Yes",CostTrack[[#This Row],[Value]]*-0.1,IF(CostTrack[[#This Row],[Holdback (Y/N/R)]]="Release",CostTrack[[#This Row],[Value]],0)),2)</f>
        <v>0</v>
      </c>
      <c r="H411" s="1311">
        <f ca="1">IF(CostTrack[[#This Row],[Holdback (Y/N/R)]]="Release",CostTrack[[#This Row],[Value]],CostTrack[[#This Row],[Value]]+CostTrack[[#This Row],[Holdback Value]])</f>
        <v>2620.5</v>
      </c>
      <c r="I411" s="1312"/>
      <c r="J411" s="1312"/>
      <c r="K411" s="1313"/>
      <c r="L411" s="1325">
        <v>44826</v>
      </c>
      <c r="M411" s="1326">
        <v>44826</v>
      </c>
      <c r="N411" s="1327"/>
      <c r="O411" s="1328" t="s">
        <v>106</v>
      </c>
      <c r="P411" s="1308">
        <v>44826</v>
      </c>
      <c r="Q411" s="1314" t="str">
        <f ca="1">IF(CostTrack[[#This Row],[Vendor - Contract]]="","",INDEX(VendorList[PA ID],MATCH(CostTrack[[#This Row],[Vendor - Contract]],VendorList[Vendor / Org. with Contract ID],0)))</f>
        <v>200.050.F1</v>
      </c>
      <c r="R411" s="1314" t="str">
        <f ca="1">IF(CostTrack[[#This Row],[Vendor - Contract]]="","",INDEX(VendorList[Primary Category],MATCH(CostTrack[[#This Row],[Vendor - Contract]],VendorList[Vendor / Org. with Contract ID],0)))</f>
        <v>Professional Services</v>
      </c>
      <c r="S411" s="1314" t="str">
        <f ca="1">IF(CostTrack[[#This Row],[Vendor - Contract]]="","",INDEX(VendorList[Secondary Category],MATCH(CostTrack[[#This Row],[Vendor - Contract]],VendorList[Vendor / Org. with Contract ID],0)))</f>
        <v>Other Professional Services</v>
      </c>
      <c r="T411" s="1314" t="str">
        <f ca="1">IF(CostTrack[[#This Row],[Vendor - Contract]]="","",INDEX(VendorList[Phase / Subproject],MATCH(CostTrack[[#This Row],[Vendor - Contract]],VendorList[Vendor / Org. with Contract ID],0)))</f>
        <v>--</v>
      </c>
      <c r="U411" s="1314" t="str">
        <f ca="1">IF(CostTrack[[#This Row],[Vendor - Contract]]="","",INDEX(VendorList[Phase / Subproject 2],MATCH(CostTrack[[#This Row],[Vendor - Contract]],VendorList[Vendor / Org. with Contract ID],0)))</f>
        <v>--</v>
      </c>
      <c r="V411" s="1314" t="str">
        <f ca="1">IF(CostTrack[[#This Row],[Vendor - Contract]]="","",INDEX(VendorList[Funding Source],MATCH(CostTrack[[#This Row],[Vendor - Contract]],VendorList[Vendor / Org. with Contract ID],0)))</f>
        <v>P-002360</v>
      </c>
      <c r="W411" s="1308">
        <v>44827</v>
      </c>
      <c r="X411" s="1315" t="str">
        <f ca="1">IF(CostTrack[[#This Row],[Release Date (CMS)]]="","*","")</f>
        <v/>
      </c>
      <c r="Y411" s="1308" t="s">
        <v>53</v>
      </c>
      <c r="Z411" s="713"/>
      <c r="AA411" s="1316">
        <f ca="1">IF(OR(CostTrack[[#This Row],[Release Date (CMS)]]&gt;=DATE(VALUE(REPLACE(CostTrack[[#This Row],[Fiscal Period]],3,3,"")),3,1),CostTrack[[#This Row],[Release Date (CMS)]]&lt;DATE(VALUE(LEFT(CostTrack[[#This Row],[Fiscal Period]],4)),4,1)),1,0)</f>
        <v>0</v>
      </c>
      <c r="AB411" s="1317">
        <v>2620.5</v>
      </c>
      <c r="AC411" s="1308">
        <v>44887</v>
      </c>
      <c r="AD411" s="402" t="str">
        <f ca="1">IF(CostTrack[[#This Row],[Reconciled Amount]]="","",IF(CostTrack[[#This Row],[Value]]&lt;&gt;CostTrack[[#This Row],[Reconciled Amount]],"Yes","No"))</f>
        <v>No</v>
      </c>
    </row>
    <row r="412" spans="2:30" ht="32.1" customHeight="1">
      <c r="B412" s="1324" t="s">
        <v>529</v>
      </c>
      <c r="C412" s="650" t="s">
        <v>1119</v>
      </c>
      <c r="D412" s="1308">
        <v>44802</v>
      </c>
      <c r="E412" s="658">
        <v>9415272.6400000006</v>
      </c>
      <c r="F412" s="1309" t="s">
        <v>65</v>
      </c>
      <c r="G412" s="1310">
        <f ca="1">ROUND(IF(CostTrack[[#This Row],[Holdback (Y/N/R)]]="Yes",CostTrack[[#This Row],[Value]]*-0.1,IF(CostTrack[[#This Row],[Holdback (Y/N/R)]]="Release",CostTrack[[#This Row],[Value]],0)),2)</f>
        <v>-941527.26</v>
      </c>
      <c r="H412" s="1311">
        <f ca="1">IF(CostTrack[[#This Row],[Holdback (Y/N/R)]]="Release",CostTrack[[#This Row],[Value]],CostTrack[[#This Row],[Value]]+CostTrack[[#This Row],[Holdback Value]])</f>
        <v>8473745.3800000008</v>
      </c>
      <c r="I412" s="650" t="s">
        <v>1120</v>
      </c>
      <c r="J412" s="1312"/>
      <c r="K412" s="1313"/>
      <c r="L412" s="1325">
        <v>44830</v>
      </c>
      <c r="M412" s="1326">
        <v>44830</v>
      </c>
      <c r="N412" s="1327"/>
      <c r="O412" s="1328" t="s">
        <v>106</v>
      </c>
      <c r="P412" s="1308">
        <v>44830</v>
      </c>
      <c r="Q412" s="1314" t="str">
        <f ca="1">IF(CostTrack[[#This Row],[Vendor - Contract]]="","",INDEX(VendorList[PA ID],MATCH(CostTrack[[#This Row],[Vendor - Contract]],VendorList[Vendor / Org. with Contract ID],0)))</f>
        <v>300.030.F1</v>
      </c>
      <c r="R412" s="1314" t="str">
        <f ca="1">IF(CostTrack[[#This Row],[Vendor - Contract]]="","",INDEX(VendorList[Primary Category],MATCH(CostTrack[[#This Row],[Vendor - Contract]],VendorList[Vendor / Org. with Contract ID],0)))</f>
        <v>Construction</v>
      </c>
      <c r="S412" s="1314" t="str">
        <f ca="1">IF(CostTrack[[#This Row],[Vendor - Contract]]="","",INDEX(VendorList[Secondary Category],MATCH(CostTrack[[#This Row],[Vendor - Contract]],VendorList[Vendor / Org. with Contract ID],0)))</f>
        <v>Prime Contractor</v>
      </c>
      <c r="T412" s="1314" t="str">
        <f ca="1">IF(CostTrack[[#This Row],[Vendor - Contract]]="","",INDEX(VendorList[Phase / Subproject],MATCH(CostTrack[[#This Row],[Vendor - Contract]],VendorList[Vendor / Org. with Contract ID],0)))</f>
        <v>--</v>
      </c>
      <c r="U412" s="1314" t="str">
        <f ca="1">IF(CostTrack[[#This Row],[Vendor - Contract]]="","",INDEX(VendorList[Phase / Subproject 2],MATCH(CostTrack[[#This Row],[Vendor - Contract]],VendorList[Vendor / Org. with Contract ID],0)))</f>
        <v>--</v>
      </c>
      <c r="V412" s="1314" t="str">
        <f ca="1">IF(CostTrack[[#This Row],[Vendor - Contract]]="","",INDEX(VendorList[Funding Source],MATCH(CostTrack[[#This Row],[Vendor - Contract]],VendorList[Vendor / Org. with Contract ID],0)))</f>
        <v>P-002360</v>
      </c>
      <c r="W412" s="1308">
        <v>44831</v>
      </c>
      <c r="X412" s="1315" t="str">
        <f ca="1">IF(CostTrack[[#This Row],[Release Date (CMS)]]="","*","")</f>
        <v/>
      </c>
      <c r="Y412" s="1308" t="s">
        <v>53</v>
      </c>
      <c r="Z412" s="713"/>
      <c r="AA412" s="1316">
        <f ca="1">IF(OR(CostTrack[[#This Row],[Release Date (CMS)]]&gt;=DATE(VALUE(REPLACE(CostTrack[[#This Row],[Fiscal Period]],3,3,"")),3,1),CostTrack[[#This Row],[Release Date (CMS)]]&lt;DATE(VALUE(LEFT(CostTrack[[#This Row],[Fiscal Period]],4)),4,1)),1,0)</f>
        <v>0</v>
      </c>
      <c r="AB412" s="1317">
        <v>9415272.6400000006</v>
      </c>
      <c r="AC412" s="1308">
        <v>44887</v>
      </c>
      <c r="AD412" s="402" t="str">
        <f ca="1">IF(CostTrack[[#This Row],[Reconciled Amount]]="","",IF(CostTrack[[#This Row],[Value]]&lt;&gt;CostTrack[[#This Row],[Reconciled Amount]],"Yes","No"))</f>
        <v>No</v>
      </c>
    </row>
    <row r="413" spans="2:30" ht="32.1" customHeight="1">
      <c r="B413" s="1324" t="s">
        <v>662</v>
      </c>
      <c r="C413" s="1312">
        <v>6853</v>
      </c>
      <c r="D413" s="1308">
        <v>44831</v>
      </c>
      <c r="E413" s="658">
        <v>510</v>
      </c>
      <c r="F413" s="1309" t="s">
        <v>69</v>
      </c>
      <c r="G413" s="1310">
        <f ca="1">ROUND(IF(CostTrack[[#This Row],[Holdback (Y/N/R)]]="Yes",CostTrack[[#This Row],[Value]]*-0.1,IF(CostTrack[[#This Row],[Holdback (Y/N/R)]]="Release",CostTrack[[#This Row],[Value]],0)),2)</f>
        <v>0</v>
      </c>
      <c r="H413" s="1311">
        <f ca="1">IF(CostTrack[[#This Row],[Holdback (Y/N/R)]]="Release",CostTrack[[#This Row],[Value]],CostTrack[[#This Row],[Value]]+CostTrack[[#This Row],[Holdback Value]])</f>
        <v>510</v>
      </c>
      <c r="I413" s="1312"/>
      <c r="J413" s="1312"/>
      <c r="K413" s="1313"/>
      <c r="L413" s="1325">
        <v>44831</v>
      </c>
      <c r="M413" s="1326">
        <v>44831</v>
      </c>
      <c r="N413" s="1327"/>
      <c r="O413" s="1328" t="s">
        <v>106</v>
      </c>
      <c r="P413" s="1308">
        <v>44832</v>
      </c>
      <c r="Q413" s="1314" t="str">
        <f ca="1">IF(CostTrack[[#This Row],[Vendor - Contract]]="","",INDEX(VendorList[PA ID],MATCH(CostTrack[[#This Row],[Vendor - Contract]],VendorList[Vendor / Org. with Contract ID],0)))</f>
        <v>200.050.F1</v>
      </c>
      <c r="R413" s="1314" t="str">
        <f ca="1">IF(CostTrack[[#This Row],[Vendor - Contract]]="","",INDEX(VendorList[Primary Category],MATCH(CostTrack[[#This Row],[Vendor - Contract]],VendorList[Vendor / Org. with Contract ID],0)))</f>
        <v>Professional Services</v>
      </c>
      <c r="S413" s="1314" t="str">
        <f ca="1">IF(CostTrack[[#This Row],[Vendor - Contract]]="","",INDEX(VendorList[Secondary Category],MATCH(CostTrack[[#This Row],[Vendor - Contract]],VendorList[Vendor / Org. with Contract ID],0)))</f>
        <v>Other Professional Services</v>
      </c>
      <c r="T413" s="1314" t="str">
        <f ca="1">IF(CostTrack[[#This Row],[Vendor - Contract]]="","",INDEX(VendorList[Phase / Subproject],MATCH(CostTrack[[#This Row],[Vendor - Contract]],VendorList[Vendor / Org. with Contract ID],0)))</f>
        <v>--</v>
      </c>
      <c r="U413" s="1314" t="str">
        <f ca="1">IF(CostTrack[[#This Row],[Vendor - Contract]]="","",INDEX(VendorList[Phase / Subproject 2],MATCH(CostTrack[[#This Row],[Vendor - Contract]],VendorList[Vendor / Org. with Contract ID],0)))</f>
        <v>--</v>
      </c>
      <c r="V413" s="1314" t="str">
        <f ca="1">IF(CostTrack[[#This Row],[Vendor - Contract]]="","",INDEX(VendorList[Funding Source],MATCH(CostTrack[[#This Row],[Vendor - Contract]],VendorList[Vendor / Org. with Contract ID],0)))</f>
        <v>P-002360</v>
      </c>
      <c r="W413" s="1308">
        <v>44832</v>
      </c>
      <c r="X413" s="1315" t="str">
        <f ca="1">IF(CostTrack[[#This Row],[Release Date (CMS)]]="","*","")</f>
        <v/>
      </c>
      <c r="Y413" s="1308" t="s">
        <v>53</v>
      </c>
      <c r="Z413" s="713"/>
      <c r="AA413" s="1316">
        <f ca="1">IF(OR(CostTrack[[#This Row],[Release Date (CMS)]]&gt;=DATE(VALUE(REPLACE(CostTrack[[#This Row],[Fiscal Period]],3,3,"")),3,1),CostTrack[[#This Row],[Release Date (CMS)]]&lt;DATE(VALUE(LEFT(CostTrack[[#This Row],[Fiscal Period]],4)),4,1)),1,0)</f>
        <v>0</v>
      </c>
      <c r="AB413" s="1317">
        <v>510</v>
      </c>
      <c r="AC413" s="1308">
        <v>44887</v>
      </c>
      <c r="AD413" s="402" t="str">
        <f ca="1">IF(CostTrack[[#This Row],[Reconciled Amount]]="","",IF(CostTrack[[#This Row],[Value]]&lt;&gt;CostTrack[[#This Row],[Reconciled Amount]],"Yes","No"))</f>
        <v>No</v>
      </c>
    </row>
    <row r="414" spans="2:30" ht="32.1" customHeight="1">
      <c r="B414" s="1324" t="s">
        <v>666</v>
      </c>
      <c r="C414" s="1312">
        <v>437235</v>
      </c>
      <c r="D414" s="1308">
        <v>44833</v>
      </c>
      <c r="E414" s="658">
        <v>24490</v>
      </c>
      <c r="F414" s="1309" t="s">
        <v>69</v>
      </c>
      <c r="G414" s="1310">
        <f ca="1">ROUND(IF(CostTrack[[#This Row],[Holdback (Y/N/R)]]="Yes",CostTrack[[#This Row],[Value]]*-0.1,IF(CostTrack[[#This Row],[Holdback (Y/N/R)]]="Release",CostTrack[[#This Row],[Value]],0)),2)</f>
        <v>0</v>
      </c>
      <c r="H414" s="1311">
        <f ca="1">IF(CostTrack[[#This Row],[Holdback (Y/N/R)]]="Release",CostTrack[[#This Row],[Value]],CostTrack[[#This Row],[Value]]+CostTrack[[#This Row],[Holdback Value]])</f>
        <v>24490</v>
      </c>
      <c r="I414" s="1312"/>
      <c r="J414" s="1312"/>
      <c r="K414" s="1313"/>
      <c r="L414" s="1325">
        <v>44803</v>
      </c>
      <c r="M414" s="1326">
        <v>44837</v>
      </c>
      <c r="N414" s="1327"/>
      <c r="O414" s="1328" t="s">
        <v>106</v>
      </c>
      <c r="P414" s="1308">
        <v>44837</v>
      </c>
      <c r="Q414" s="1314" t="str">
        <f ca="1">IF(CostTrack[[#This Row],[Vendor - Contract]]="","",INDEX(VendorList[PA ID],MATCH(CostTrack[[#This Row],[Vendor - Contract]],VendorList[Vendor / Org. with Contract ID],0)))</f>
        <v>200.050.F1</v>
      </c>
      <c r="R414" s="1314" t="str">
        <f ca="1">IF(CostTrack[[#This Row],[Vendor - Contract]]="","",INDEX(VendorList[Primary Category],MATCH(CostTrack[[#This Row],[Vendor - Contract]],VendorList[Vendor / Org. with Contract ID],0)))</f>
        <v>Professional Services</v>
      </c>
      <c r="S414" s="1314" t="str">
        <f ca="1">IF(CostTrack[[#This Row],[Vendor - Contract]]="","",INDEX(VendorList[Secondary Category],MATCH(CostTrack[[#This Row],[Vendor - Contract]],VendorList[Vendor / Org. with Contract ID],0)))</f>
        <v>Other Professional Services</v>
      </c>
      <c r="T414" s="1314" t="str">
        <f ca="1">IF(CostTrack[[#This Row],[Vendor - Contract]]="","",INDEX(VendorList[Phase / Subproject],MATCH(CostTrack[[#This Row],[Vendor - Contract]],VendorList[Vendor / Org. with Contract ID],0)))</f>
        <v>--</v>
      </c>
      <c r="U414" s="1314" t="str">
        <f ca="1">IF(CostTrack[[#This Row],[Vendor - Contract]]="","",INDEX(VendorList[Phase / Subproject 2],MATCH(CostTrack[[#This Row],[Vendor - Contract]],VendorList[Vendor / Org. with Contract ID],0)))</f>
        <v>--</v>
      </c>
      <c r="V414" s="1314" t="str">
        <f ca="1">IF(CostTrack[[#This Row],[Vendor - Contract]]="","",INDEX(VendorList[Funding Source],MATCH(CostTrack[[#This Row],[Vendor - Contract]],VendorList[Vendor / Org. with Contract ID],0)))</f>
        <v>P-002360</v>
      </c>
      <c r="W414" s="1308">
        <v>44838</v>
      </c>
      <c r="X414" s="1315" t="str">
        <f ca="1">IF(CostTrack[[#This Row],[Release Date (CMS)]]="","*","")</f>
        <v/>
      </c>
      <c r="Y414" s="1308" t="s">
        <v>53</v>
      </c>
      <c r="Z414" s="713"/>
      <c r="AA414" s="1316">
        <f ca="1">IF(OR(CostTrack[[#This Row],[Release Date (CMS)]]&gt;=DATE(VALUE(REPLACE(CostTrack[[#This Row],[Fiscal Period]],3,3,"")),3,1),CostTrack[[#This Row],[Release Date (CMS)]]&lt;DATE(VALUE(LEFT(CostTrack[[#This Row],[Fiscal Period]],4)),4,1)),1,0)</f>
        <v>0</v>
      </c>
      <c r="AB414" s="1317">
        <v>24490</v>
      </c>
      <c r="AC414" s="1308">
        <v>44887</v>
      </c>
      <c r="AD414" s="402" t="str">
        <f ca="1">IF(CostTrack[[#This Row],[Reconciled Amount]]="","",IF(CostTrack[[#This Row],[Value]]&lt;&gt;CostTrack[[#This Row],[Reconciled Amount]],"Yes","No"))</f>
        <v>No</v>
      </c>
    </row>
    <row r="415" spans="2:30" ht="32.1" customHeight="1">
      <c r="B415" s="1324" t="s">
        <v>666</v>
      </c>
      <c r="C415" s="650" t="s">
        <v>1121</v>
      </c>
      <c r="D415" s="1308">
        <v>44834</v>
      </c>
      <c r="E415" s="658">
        <v>9551.75</v>
      </c>
      <c r="F415" s="1309" t="s">
        <v>69</v>
      </c>
      <c r="G415" s="1310">
        <f ca="1">ROUND(IF(CostTrack[[#This Row],[Holdback (Y/N/R)]]="Yes",CostTrack[[#This Row],[Value]]*-0.1,IF(CostTrack[[#This Row],[Holdback (Y/N/R)]]="Release",CostTrack[[#This Row],[Value]],0)),2)</f>
        <v>0</v>
      </c>
      <c r="H415" s="1311">
        <f ca="1">IF(CostTrack[[#This Row],[Holdback (Y/N/R)]]="Release",CostTrack[[#This Row],[Value]],CostTrack[[#This Row],[Value]]+CostTrack[[#This Row],[Holdback Value]])</f>
        <v>9551.75</v>
      </c>
      <c r="I415" s="1312"/>
      <c r="J415" s="1312"/>
      <c r="K415" s="1313"/>
      <c r="L415" s="1325">
        <v>44838</v>
      </c>
      <c r="M415" s="1326">
        <v>44838</v>
      </c>
      <c r="N415" s="1327"/>
      <c r="O415" s="1328" t="s">
        <v>106</v>
      </c>
      <c r="P415" s="1308">
        <v>44838</v>
      </c>
      <c r="Q415" s="1314" t="str">
        <f ca="1">IF(CostTrack[[#This Row],[Vendor - Contract]]="","",INDEX(VendorList[PA ID],MATCH(CostTrack[[#This Row],[Vendor - Contract]],VendorList[Vendor / Org. with Contract ID],0)))</f>
        <v>200.050.F1</v>
      </c>
      <c r="R415" s="1314" t="str">
        <f ca="1">IF(CostTrack[[#This Row],[Vendor - Contract]]="","",INDEX(VendorList[Primary Category],MATCH(CostTrack[[#This Row],[Vendor - Contract]],VendorList[Vendor / Org. with Contract ID],0)))</f>
        <v>Professional Services</v>
      </c>
      <c r="S415" s="1314" t="str">
        <f ca="1">IF(CostTrack[[#This Row],[Vendor - Contract]]="","",INDEX(VendorList[Secondary Category],MATCH(CostTrack[[#This Row],[Vendor - Contract]],VendorList[Vendor / Org. with Contract ID],0)))</f>
        <v>Other Professional Services</v>
      </c>
      <c r="T415" s="1314" t="str">
        <f ca="1">IF(CostTrack[[#This Row],[Vendor - Contract]]="","",INDEX(VendorList[Phase / Subproject],MATCH(CostTrack[[#This Row],[Vendor - Contract]],VendorList[Vendor / Org. with Contract ID],0)))</f>
        <v>--</v>
      </c>
      <c r="U415" s="1314" t="str">
        <f ca="1">IF(CostTrack[[#This Row],[Vendor - Contract]]="","",INDEX(VendorList[Phase / Subproject 2],MATCH(CostTrack[[#This Row],[Vendor - Contract]],VendorList[Vendor / Org. with Contract ID],0)))</f>
        <v>--</v>
      </c>
      <c r="V415" s="1314" t="str">
        <f ca="1">IF(CostTrack[[#This Row],[Vendor - Contract]]="","",INDEX(VendorList[Funding Source],MATCH(CostTrack[[#This Row],[Vendor - Contract]],VendorList[Vendor / Org. with Contract ID],0)))</f>
        <v>P-002360</v>
      </c>
      <c r="W415" s="1308">
        <v>44838</v>
      </c>
      <c r="X415" s="1315" t="str">
        <f ca="1">IF(CostTrack[[#This Row],[Release Date (CMS)]]="","*","")</f>
        <v/>
      </c>
      <c r="Y415" s="1308" t="s">
        <v>53</v>
      </c>
      <c r="Z415" s="713"/>
      <c r="AA415" s="1316">
        <f ca="1">IF(OR(CostTrack[[#This Row],[Release Date (CMS)]]&gt;=DATE(VALUE(REPLACE(CostTrack[[#This Row],[Fiscal Period]],3,3,"")),3,1),CostTrack[[#This Row],[Release Date (CMS)]]&lt;DATE(VALUE(LEFT(CostTrack[[#This Row],[Fiscal Period]],4)),4,1)),1,0)</f>
        <v>0</v>
      </c>
      <c r="AB415" s="1317">
        <v>9551.75</v>
      </c>
      <c r="AC415" s="1308">
        <v>44887</v>
      </c>
      <c r="AD415" s="402" t="str">
        <f ca="1">IF(CostTrack[[#This Row],[Reconciled Amount]]="","",IF(CostTrack[[#This Row],[Value]]&lt;&gt;CostTrack[[#This Row],[Reconciled Amount]],"Yes","No"))</f>
        <v>No</v>
      </c>
    </row>
    <row r="416" spans="2:30" ht="32.1" customHeight="1">
      <c r="B416" s="1324" t="s">
        <v>1087</v>
      </c>
      <c r="C416" s="691" t="s">
        <v>1122</v>
      </c>
      <c r="D416" s="1308">
        <v>44836</v>
      </c>
      <c r="E416" s="658">
        <v>13333.91</v>
      </c>
      <c r="F416" s="1309" t="s">
        <v>69</v>
      </c>
      <c r="G416" s="1310">
        <f ca="1">ROUND(IF(CostTrack[[#This Row],[Holdback (Y/N/R)]]="Yes",CostTrack[[#This Row],[Value]]*-0.1,IF(CostTrack[[#This Row],[Holdback (Y/N/R)]]="Release",CostTrack[[#This Row],[Value]],0)),2)</f>
        <v>0</v>
      </c>
      <c r="H416" s="1311">
        <f ca="1">IF(CostTrack[[#This Row],[Holdback (Y/N/R)]]="Release",CostTrack[[#This Row],[Value]],CostTrack[[#This Row],[Value]]+CostTrack[[#This Row],[Holdback Value]])</f>
        <v>13333.91</v>
      </c>
      <c r="I416" s="1312"/>
      <c r="J416" s="1312"/>
      <c r="K416" s="1313"/>
      <c r="L416" s="1325">
        <v>44838</v>
      </c>
      <c r="M416" s="1326">
        <v>44838</v>
      </c>
      <c r="N416" s="1327"/>
      <c r="O416" s="1328" t="s">
        <v>106</v>
      </c>
      <c r="P416" s="1308">
        <v>44838</v>
      </c>
      <c r="Q416" s="1314" t="str">
        <f ca="1">IF(CostTrack[[#This Row],[Vendor - Contract]]="","",INDEX(VendorList[PA ID],MATCH(CostTrack[[#This Row],[Vendor - Contract]],VendorList[Vendor / Org. with Contract ID],0)))</f>
        <v>300.040.F1</v>
      </c>
      <c r="R416" s="1314" t="str">
        <f ca="1">IF(CostTrack[[#This Row],[Vendor - Contract]]="","",INDEX(VendorList[Primary Category],MATCH(CostTrack[[#This Row],[Vendor - Contract]],VendorList[Vendor / Org. with Contract ID],0)))</f>
        <v>Construction</v>
      </c>
      <c r="S416" s="1314" t="str">
        <f ca="1">IF(CostTrack[[#This Row],[Vendor - Contract]]="","",INDEX(VendorList[Secondary Category],MATCH(CostTrack[[#This Row],[Vendor - Contract]],VendorList[Vendor / Org. with Contract ID],0)))</f>
        <v>Other Contractor</v>
      </c>
      <c r="T416" s="1314" t="str">
        <f ca="1">IF(CostTrack[[#This Row],[Vendor - Contract]]="","",INDEX(VendorList[Phase / Subproject],MATCH(CostTrack[[#This Row],[Vendor - Contract]],VendorList[Vendor / Org. with Contract ID],0)))</f>
        <v>--</v>
      </c>
      <c r="U416" s="1314" t="str">
        <f ca="1">IF(CostTrack[[#This Row],[Vendor - Contract]]="","",INDEX(VendorList[Phase / Subproject 2],MATCH(CostTrack[[#This Row],[Vendor - Contract]],VendorList[Vendor / Org. with Contract ID],0)))</f>
        <v>--</v>
      </c>
      <c r="V416" s="1314" t="str">
        <f ca="1">IF(CostTrack[[#This Row],[Vendor - Contract]]="","",INDEX(VendorList[Funding Source],MATCH(CostTrack[[#This Row],[Vendor - Contract]],VendorList[Vendor / Org. with Contract ID],0)))</f>
        <v>P-002360</v>
      </c>
      <c r="W416" s="1308">
        <v>44838</v>
      </c>
      <c r="X416" s="1315" t="str">
        <f ca="1">IF(CostTrack[[#This Row],[Release Date (CMS)]]="","*","")</f>
        <v/>
      </c>
      <c r="Y416" s="1308" t="s">
        <v>53</v>
      </c>
      <c r="Z416" s="652" t="s">
        <v>1123</v>
      </c>
      <c r="AA416" s="1316">
        <f ca="1">IF(OR(CostTrack[[#This Row],[Release Date (CMS)]]&gt;=DATE(VALUE(REPLACE(CostTrack[[#This Row],[Fiscal Period]],3,3,"")),3,1),CostTrack[[#This Row],[Release Date (CMS)]]&lt;DATE(VALUE(LEFT(CostTrack[[#This Row],[Fiscal Period]],4)),4,1)),1,0)</f>
        <v>0</v>
      </c>
      <c r="AB416" s="1317">
        <v>13333.91</v>
      </c>
      <c r="AC416" s="1308">
        <v>44887</v>
      </c>
      <c r="AD416" s="402" t="str">
        <f ca="1">IF(CostTrack[[#This Row],[Reconciled Amount]]="","",IF(CostTrack[[#This Row],[Value]]&lt;&gt;CostTrack[[#This Row],[Reconciled Amount]],"Yes","No"))</f>
        <v>No</v>
      </c>
    </row>
    <row r="417" spans="2:30" ht="32.1" customHeight="1">
      <c r="B417" s="1324" t="s">
        <v>710</v>
      </c>
      <c r="C417" s="1323">
        <v>102203327102</v>
      </c>
      <c r="D417" s="1308">
        <v>44790</v>
      </c>
      <c r="E417" s="658">
        <v>25.95</v>
      </c>
      <c r="F417" s="1309" t="s">
        <v>69</v>
      </c>
      <c r="G417" s="1310">
        <f ca="1">ROUND(IF(CostTrack[[#This Row],[Holdback (Y/N/R)]]="Yes",CostTrack[[#This Row],[Value]]*-0.1,IF(CostTrack[[#This Row],[Holdback (Y/N/R)]]="Release",CostTrack[[#This Row],[Value]],0)),2)</f>
        <v>0</v>
      </c>
      <c r="H417" s="1311">
        <f ca="1">IF(CostTrack[[#This Row],[Holdback (Y/N/R)]]="Release",CostTrack[[#This Row],[Value]],CostTrack[[#This Row],[Value]]+CostTrack[[#This Row],[Holdback Value]])</f>
        <v>25.95</v>
      </c>
      <c r="I417" s="1312"/>
      <c r="J417" s="1312"/>
      <c r="K417" s="1313"/>
      <c r="L417" s="1325">
        <v>44832</v>
      </c>
      <c r="M417" s="1325">
        <v>44832</v>
      </c>
      <c r="N417" s="1327"/>
      <c r="O417" s="1328" t="s">
        <v>106</v>
      </c>
      <c r="P417" s="1325">
        <v>44832</v>
      </c>
      <c r="Q417" s="1314" t="str">
        <f ca="1">IF(CostTrack[[#This Row],[Vendor - Contract]]="","",INDEX(VendorList[PA ID],MATCH(CostTrack[[#This Row],[Vendor - Contract]],VendorList[Vendor / Org. with Contract ID],0)))</f>
        <v>300.040.F1</v>
      </c>
      <c r="R417" s="1314" t="str">
        <f ca="1">IF(CostTrack[[#This Row],[Vendor - Contract]]="","",INDEX(VendorList[Primary Category],MATCH(CostTrack[[#This Row],[Vendor - Contract]],VendorList[Vendor / Org. with Contract ID],0)))</f>
        <v>Construction</v>
      </c>
      <c r="S417" s="1314" t="str">
        <f ca="1">IF(CostTrack[[#This Row],[Vendor - Contract]]="","",INDEX(VendorList[Secondary Category],MATCH(CostTrack[[#This Row],[Vendor - Contract]],VendorList[Vendor / Org. with Contract ID],0)))</f>
        <v>Other Contractor</v>
      </c>
      <c r="T417" s="1314" t="str">
        <f ca="1">IF(CostTrack[[#This Row],[Vendor - Contract]]="","",INDEX(VendorList[Phase / Subproject],MATCH(CostTrack[[#This Row],[Vendor - Contract]],VendorList[Vendor / Org. with Contract ID],0)))</f>
        <v>--</v>
      </c>
      <c r="U417" s="1314" t="str">
        <f ca="1">IF(CostTrack[[#This Row],[Vendor - Contract]]="","",INDEX(VendorList[Phase / Subproject 2],MATCH(CostTrack[[#This Row],[Vendor - Contract]],VendorList[Vendor / Org. with Contract ID],0)))</f>
        <v>--</v>
      </c>
      <c r="V417" s="1314" t="str">
        <f ca="1">IF(CostTrack[[#This Row],[Vendor - Contract]]="","",INDEX(VendorList[Funding Source],MATCH(CostTrack[[#This Row],[Vendor - Contract]],VendorList[Vendor / Org. with Contract ID],0)))</f>
        <v>P-002360</v>
      </c>
      <c r="W417" s="1308">
        <v>44834</v>
      </c>
      <c r="X417" s="1315" t="str">
        <f ca="1">IF(CostTrack[[#This Row],[Release Date (CMS)]]="","*","")</f>
        <v/>
      </c>
      <c r="Y417" s="1308" t="s">
        <v>53</v>
      </c>
      <c r="Z417" s="713"/>
      <c r="AA417" s="1316">
        <f ca="1">IF(OR(CostTrack[[#This Row],[Release Date (CMS)]]&gt;=DATE(VALUE(REPLACE(CostTrack[[#This Row],[Fiscal Period]],3,3,"")),3,1),CostTrack[[#This Row],[Release Date (CMS)]]&lt;DATE(VALUE(LEFT(CostTrack[[#This Row],[Fiscal Period]],4)),4,1)),1,0)</f>
        <v>0</v>
      </c>
      <c r="AB417" s="1317">
        <v>25.95</v>
      </c>
      <c r="AC417" s="1308">
        <v>44887</v>
      </c>
      <c r="AD417" s="402" t="str">
        <f ca="1">IF(CostTrack[[#This Row],[Reconciled Amount]]="","",IF(CostTrack[[#This Row],[Value]]&lt;&gt;CostTrack[[#This Row],[Reconciled Amount]],"Yes","No"))</f>
        <v>No</v>
      </c>
    </row>
    <row r="418" spans="2:30" ht="32.1" customHeight="1">
      <c r="B418" s="1324" t="s">
        <v>710</v>
      </c>
      <c r="C418" s="1323">
        <v>102503287824</v>
      </c>
      <c r="D418" s="1308">
        <v>44823</v>
      </c>
      <c r="E418" s="658">
        <v>38.92</v>
      </c>
      <c r="F418" s="1309" t="s">
        <v>69</v>
      </c>
      <c r="G418" s="1310">
        <f ca="1">ROUND(IF(CostTrack[[#This Row],[Holdback (Y/N/R)]]="Yes",CostTrack[[#This Row],[Value]]*-0.1,IF(CostTrack[[#This Row],[Holdback (Y/N/R)]]="Release",CostTrack[[#This Row],[Value]],0)),2)</f>
        <v>0</v>
      </c>
      <c r="H418" s="1311">
        <f ca="1">IF(CostTrack[[#This Row],[Holdback (Y/N/R)]]="Release",CostTrack[[#This Row],[Value]],CostTrack[[#This Row],[Value]]+CostTrack[[#This Row],[Holdback Value]])</f>
        <v>38.92</v>
      </c>
      <c r="I418" s="1312"/>
      <c r="J418" s="1312"/>
      <c r="K418" s="1313"/>
      <c r="L418" s="1325">
        <v>44832</v>
      </c>
      <c r="M418" s="1325">
        <v>44832</v>
      </c>
      <c r="N418" s="1327"/>
      <c r="O418" s="1328" t="s">
        <v>106</v>
      </c>
      <c r="P418" s="1325">
        <v>44832</v>
      </c>
      <c r="Q418" s="1314" t="str">
        <f ca="1">IF(CostTrack[[#This Row],[Vendor - Contract]]="","",INDEX(VendorList[PA ID],MATCH(CostTrack[[#This Row],[Vendor - Contract]],VendorList[Vendor / Org. with Contract ID],0)))</f>
        <v>300.040.F1</v>
      </c>
      <c r="R418" s="1314" t="str">
        <f ca="1">IF(CostTrack[[#This Row],[Vendor - Contract]]="","",INDEX(VendorList[Primary Category],MATCH(CostTrack[[#This Row],[Vendor - Contract]],VendorList[Vendor / Org. with Contract ID],0)))</f>
        <v>Construction</v>
      </c>
      <c r="S418" s="1314" t="str">
        <f ca="1">IF(CostTrack[[#This Row],[Vendor - Contract]]="","",INDEX(VendorList[Secondary Category],MATCH(CostTrack[[#This Row],[Vendor - Contract]],VendorList[Vendor / Org. with Contract ID],0)))</f>
        <v>Other Contractor</v>
      </c>
      <c r="T418" s="1314" t="str">
        <f ca="1">IF(CostTrack[[#This Row],[Vendor - Contract]]="","",INDEX(VendorList[Phase / Subproject],MATCH(CostTrack[[#This Row],[Vendor - Contract]],VendorList[Vendor / Org. with Contract ID],0)))</f>
        <v>--</v>
      </c>
      <c r="U418" s="1314" t="str">
        <f ca="1">IF(CostTrack[[#This Row],[Vendor - Contract]]="","",INDEX(VendorList[Phase / Subproject 2],MATCH(CostTrack[[#This Row],[Vendor - Contract]],VendorList[Vendor / Org. with Contract ID],0)))</f>
        <v>--</v>
      </c>
      <c r="V418" s="1314" t="str">
        <f ca="1">IF(CostTrack[[#This Row],[Vendor - Contract]]="","",INDEX(VendorList[Funding Source],MATCH(CostTrack[[#This Row],[Vendor - Contract]],VendorList[Vendor / Org. with Contract ID],0)))</f>
        <v>P-002360</v>
      </c>
      <c r="W418" s="1308">
        <v>44834</v>
      </c>
      <c r="X418" s="1315" t="str">
        <f ca="1">IF(CostTrack[[#This Row],[Release Date (CMS)]]="","*","")</f>
        <v/>
      </c>
      <c r="Y418" s="1308" t="s">
        <v>53</v>
      </c>
      <c r="Z418" s="713"/>
      <c r="AA418" s="1316">
        <f ca="1">IF(OR(CostTrack[[#This Row],[Release Date (CMS)]]&gt;=DATE(VALUE(REPLACE(CostTrack[[#This Row],[Fiscal Period]],3,3,"")),3,1),CostTrack[[#This Row],[Release Date (CMS)]]&lt;DATE(VALUE(LEFT(CostTrack[[#This Row],[Fiscal Period]],4)),4,1)),1,0)</f>
        <v>0</v>
      </c>
      <c r="AB418" s="1317">
        <v>38.92</v>
      </c>
      <c r="AC418" s="1308">
        <v>44887</v>
      </c>
      <c r="AD418" s="402" t="str">
        <f ca="1">IF(CostTrack[[#This Row],[Reconciled Amount]]="","",IF(CostTrack[[#This Row],[Value]]&lt;&gt;CostTrack[[#This Row],[Reconciled Amount]],"Yes","No"))</f>
        <v>No</v>
      </c>
    </row>
    <row r="419" spans="2:30" ht="32.1" customHeight="1">
      <c r="B419" s="1324" t="s">
        <v>624</v>
      </c>
      <c r="C419" s="1323">
        <v>1743208</v>
      </c>
      <c r="D419" s="1308">
        <v>44834</v>
      </c>
      <c r="E419" s="658">
        <v>6300</v>
      </c>
      <c r="F419" s="1309" t="s">
        <v>69</v>
      </c>
      <c r="G419" s="1310">
        <f ca="1">ROUND(IF(CostTrack[[#This Row],[Holdback (Y/N/R)]]="Yes",CostTrack[[#This Row],[Value]]*-0.1,IF(CostTrack[[#This Row],[Holdback (Y/N/R)]]="Release",CostTrack[[#This Row],[Value]],0)),2)</f>
        <v>0</v>
      </c>
      <c r="H419" s="1311">
        <f ca="1">IF(CostTrack[[#This Row],[Holdback (Y/N/R)]]="Release",CostTrack[[#This Row],[Value]],CostTrack[[#This Row],[Value]]+CostTrack[[#This Row],[Holdback Value]])</f>
        <v>6300</v>
      </c>
      <c r="I419" s="1312"/>
      <c r="J419" s="1312"/>
      <c r="K419" s="1313"/>
      <c r="L419" s="1325">
        <v>44839</v>
      </c>
      <c r="M419" s="1326">
        <v>44839</v>
      </c>
      <c r="N419" s="1327"/>
      <c r="O419" s="1328" t="s">
        <v>106</v>
      </c>
      <c r="P419" s="1308">
        <v>44839</v>
      </c>
      <c r="Q419" s="1314" t="str">
        <f ca="1">IF(CostTrack[[#This Row],[Vendor - Contract]]="","",INDEX(VendorList[PA ID],MATCH(CostTrack[[#This Row],[Vendor - Contract]],VendorList[Vendor / Org. with Contract ID],0)))</f>
        <v>200.040.F1</v>
      </c>
      <c r="R419" s="1314" t="str">
        <f ca="1">IF(CostTrack[[#This Row],[Vendor - Contract]]="","",INDEX(VendorList[Primary Category],MATCH(CostTrack[[#This Row],[Vendor - Contract]],VendorList[Vendor / Org. with Contract ID],0)))</f>
        <v>Professional Services</v>
      </c>
      <c r="S419" s="1314" t="str">
        <f ca="1">IF(CostTrack[[#This Row],[Vendor - Contract]]="","",INDEX(VendorList[Secondary Category],MATCH(CostTrack[[#This Row],[Vendor - Contract]],VendorList[Vendor / Org. with Contract ID],0)))</f>
        <v>Commissioning</v>
      </c>
      <c r="T419" s="1314" t="str">
        <f ca="1">IF(CostTrack[[#This Row],[Vendor - Contract]]="","",INDEX(VendorList[Phase / Subproject],MATCH(CostTrack[[#This Row],[Vendor - Contract]],VendorList[Vendor / Org. with Contract ID],0)))</f>
        <v>--</v>
      </c>
      <c r="U419" s="1314" t="str">
        <f ca="1">IF(CostTrack[[#This Row],[Vendor - Contract]]="","",INDEX(VendorList[Phase / Subproject 2],MATCH(CostTrack[[#This Row],[Vendor - Contract]],VendorList[Vendor / Org. with Contract ID],0)))</f>
        <v>--</v>
      </c>
      <c r="V419" s="1314" t="str">
        <f ca="1">IF(CostTrack[[#This Row],[Vendor - Contract]]="","",INDEX(VendorList[Funding Source],MATCH(CostTrack[[#This Row],[Vendor - Contract]],VendorList[Vendor / Org. with Contract ID],0)))</f>
        <v>P-002360</v>
      </c>
      <c r="W419" s="1308">
        <v>44839</v>
      </c>
      <c r="X419" s="1315" t="str">
        <f ca="1">IF(CostTrack[[#This Row],[Release Date (CMS)]]="","*","")</f>
        <v/>
      </c>
      <c r="Y419" s="1308" t="s">
        <v>53</v>
      </c>
      <c r="Z419" s="713"/>
      <c r="AA419" s="1316">
        <f ca="1">IF(OR(CostTrack[[#This Row],[Release Date (CMS)]]&gt;=DATE(VALUE(REPLACE(CostTrack[[#This Row],[Fiscal Period]],3,3,"")),3,1),CostTrack[[#This Row],[Release Date (CMS)]]&lt;DATE(VALUE(LEFT(CostTrack[[#This Row],[Fiscal Period]],4)),4,1)),1,0)</f>
        <v>0</v>
      </c>
      <c r="AB419" s="1317">
        <v>6300</v>
      </c>
      <c r="AC419" s="1308">
        <v>44887</v>
      </c>
      <c r="AD419" s="402" t="str">
        <f ca="1">IF(CostTrack[[#This Row],[Reconciled Amount]]="","",IF(CostTrack[[#This Row],[Value]]&lt;&gt;CostTrack[[#This Row],[Reconciled Amount]],"Yes","No"))</f>
        <v>No</v>
      </c>
    </row>
    <row r="420" spans="2:30" ht="32.1" customHeight="1">
      <c r="B420" s="706" t="s">
        <v>736</v>
      </c>
      <c r="C420" s="650" t="s">
        <v>1124</v>
      </c>
      <c r="D420" s="267">
        <v>44834</v>
      </c>
      <c r="E420" s="654">
        <v>34921.089999999997</v>
      </c>
      <c r="F420" s="647" t="s">
        <v>69</v>
      </c>
      <c r="G420" s="406">
        <f ca="1">ROUND(IF(CostTrack[[#This Row],[Holdback (Y/N/R)]]="Yes",CostTrack[[#This Row],[Value]]*-0.1,IF(CostTrack[[#This Row],[Holdback (Y/N/R)]]="Release",CostTrack[[#This Row],[Value]],0)),2)</f>
        <v>0</v>
      </c>
      <c r="H420" s="407">
        <f ca="1">IF(CostTrack[[#This Row],[Holdback (Y/N/R)]]="Release",CostTrack[[#This Row],[Value]],CostTrack[[#This Row],[Value]]+CostTrack[[#This Row],[Holdback Value]])</f>
        <v>34921.089999999997</v>
      </c>
      <c r="I420" s="650"/>
      <c r="J420" s="650"/>
      <c r="K420" s="648"/>
      <c r="L420" s="707">
        <v>44834</v>
      </c>
      <c r="M420" s="708">
        <v>44834</v>
      </c>
      <c r="N420" s="709"/>
      <c r="O420" s="712" t="s">
        <v>106</v>
      </c>
      <c r="P420" s="267">
        <v>44834</v>
      </c>
      <c r="Q420" s="243" t="str">
        <f ca="1">IF(CostTrack[[#This Row],[Vendor - Contract]]="","",INDEX(VendorList[PA ID],MATCH(CostTrack[[#This Row],[Vendor - Contract]],VendorList[Vendor / Org. with Contract ID],0)))</f>
        <v>100.010.F1</v>
      </c>
      <c r="R420" s="243" t="str">
        <f ca="1">IF(CostTrack[[#This Row],[Vendor - Contract]]="","",INDEX(VendorList[Primary Category],MATCH(CostTrack[[#This Row],[Vendor - Contract]],VendorList[Vendor / Org. with Contract ID],0)))</f>
        <v>Administration</v>
      </c>
      <c r="S420" s="243" t="str">
        <f ca="1">IF(CostTrack[[#This Row],[Vendor - Contract]]="","",INDEX(VendorList[Secondary Category],MATCH(CostTrack[[#This Row],[Vendor - Contract]],VendorList[Vendor / Org. with Contract ID],0)))</f>
        <v>Staff Capitalization - INFRA</v>
      </c>
      <c r="T420" s="243" t="str">
        <f ca="1">IF(CostTrack[[#This Row],[Vendor - Contract]]="","",INDEX(VendorList[Phase / Subproject],MATCH(CostTrack[[#This Row],[Vendor - Contract]],VendorList[Vendor / Org. with Contract ID],0)))</f>
        <v>--</v>
      </c>
      <c r="U420" s="243" t="str">
        <f ca="1">IF(CostTrack[[#This Row],[Vendor - Contract]]="","",INDEX(VendorList[Phase / Subproject 2],MATCH(CostTrack[[#This Row],[Vendor - Contract]],VendorList[Vendor / Org. with Contract ID],0)))</f>
        <v>--</v>
      </c>
      <c r="V420" s="243" t="str">
        <f ca="1">IF(CostTrack[[#This Row],[Vendor - Contract]]="","",INDEX(VendorList[Funding Source],MATCH(CostTrack[[#This Row],[Vendor - Contract]],VendorList[Vendor / Org. with Contract ID],0)))</f>
        <v>P-002360</v>
      </c>
      <c r="W420" s="267">
        <v>44834</v>
      </c>
      <c r="X420" s="251" t="str">
        <f ca="1">IF(CostTrack[[#This Row],[Release Date (CMS)]]="","*","")</f>
        <v/>
      </c>
      <c r="Y420" s="267" t="s">
        <v>53</v>
      </c>
      <c r="Z420" s="652"/>
      <c r="AA420" s="245">
        <f ca="1">IF(OR(CostTrack[[#This Row],[Release Date (CMS)]]&gt;=DATE(VALUE(REPLACE(CostTrack[[#This Row],[Fiscal Period]],3,3,"")),3,1),CostTrack[[#This Row],[Release Date (CMS)]]&lt;DATE(VALUE(LEFT(CostTrack[[#This Row],[Fiscal Period]],4)),4,1)),1,0)</f>
        <v>0</v>
      </c>
      <c r="AB420" s="655">
        <v>34921.089999999997</v>
      </c>
      <c r="AC420" s="267">
        <v>44887</v>
      </c>
      <c r="AD420" s="402" t="str">
        <f ca="1">IF(CostTrack[[#This Row],[Reconciled Amount]]="","",IF(CostTrack[[#This Row],[Value]]&lt;&gt;CostTrack[[#This Row],[Reconciled Amount]],"Yes","No"))</f>
        <v>No</v>
      </c>
    </row>
    <row r="421" spans="2:30" ht="32.1" customHeight="1">
      <c r="B421" s="706" t="s">
        <v>731</v>
      </c>
      <c r="C421" s="650">
        <v>800049501</v>
      </c>
      <c r="D421" s="267">
        <v>44841</v>
      </c>
      <c r="E421" s="654">
        <v>74.03</v>
      </c>
      <c r="F421" s="647" t="s">
        <v>69</v>
      </c>
      <c r="G421" s="406">
        <f ca="1">ROUND(IF(CostTrack[[#This Row],[Holdback (Y/N/R)]]="Yes",CostTrack[[#This Row],[Value]]*-0.1,IF(CostTrack[[#This Row],[Holdback (Y/N/R)]]="Release",CostTrack[[#This Row],[Value]],0)),2)</f>
        <v>0</v>
      </c>
      <c r="H421" s="407">
        <f ca="1">IF(CostTrack[[#This Row],[Holdback (Y/N/R)]]="Release",CostTrack[[#This Row],[Value]],CostTrack[[#This Row],[Value]]+CostTrack[[#This Row],[Holdback Value]])</f>
        <v>74.03</v>
      </c>
      <c r="I421" s="650"/>
      <c r="J421" s="650"/>
      <c r="K421" s="648"/>
      <c r="L421" s="707">
        <v>44839</v>
      </c>
      <c r="M421" s="708">
        <v>44839</v>
      </c>
      <c r="N421" s="709"/>
      <c r="O421" s="712" t="s">
        <v>106</v>
      </c>
      <c r="P421" s="267">
        <v>44839</v>
      </c>
      <c r="Q421" s="243" t="str">
        <f ca="1">IF(CostTrack[[#This Row],[Vendor - Contract]]="","",INDEX(VendorList[PA ID],MATCH(CostTrack[[#This Row],[Vendor - Contract]],VendorList[Vendor / Org. with Contract ID],0)))</f>
        <v>100.050.F1</v>
      </c>
      <c r="R421" s="243" t="str">
        <f ca="1">IF(CostTrack[[#This Row],[Vendor - Contract]]="","",INDEX(VendorList[Primary Category],MATCH(CostTrack[[#This Row],[Vendor - Contract]],VendorList[Vendor / Org. with Contract ID],0)))</f>
        <v>Administration</v>
      </c>
      <c r="S421" s="243" t="str">
        <f ca="1">IF(CostTrack[[#This Row],[Vendor - Contract]]="","",INDEX(VendorList[Secondary Category],MATCH(CostTrack[[#This Row],[Vendor - Contract]],VendorList[Vendor / Org. with Contract ID],0)))</f>
        <v>Other Administration</v>
      </c>
      <c r="T421" s="243" t="str">
        <f ca="1">IF(CostTrack[[#This Row],[Vendor - Contract]]="","",INDEX(VendorList[Phase / Subproject],MATCH(CostTrack[[#This Row],[Vendor - Contract]],VendorList[Vendor / Org. with Contract ID],0)))</f>
        <v>--</v>
      </c>
      <c r="U421" s="243" t="str">
        <f ca="1">IF(CostTrack[[#This Row],[Vendor - Contract]]="","",INDEX(VendorList[Phase / Subproject 2],MATCH(CostTrack[[#This Row],[Vendor - Contract]],VendorList[Vendor / Org. with Contract ID],0)))</f>
        <v>--</v>
      </c>
      <c r="V421" s="243" t="str">
        <f ca="1">IF(CostTrack[[#This Row],[Vendor - Contract]]="","",INDEX(VendorList[Funding Source],MATCH(CostTrack[[#This Row],[Vendor - Contract]],VendorList[Vendor / Org. with Contract ID],0)))</f>
        <v>P-002360</v>
      </c>
      <c r="W421" s="267">
        <v>44841</v>
      </c>
      <c r="X421" s="251" t="str">
        <f ca="1">IF(CostTrack[[#This Row],[Release Date (CMS)]]="","*","")</f>
        <v/>
      </c>
      <c r="Y421" s="267" t="s">
        <v>53</v>
      </c>
      <c r="Z421" s="652" t="s">
        <v>1125</v>
      </c>
      <c r="AA421" s="245">
        <f ca="1">IF(OR(CostTrack[[#This Row],[Release Date (CMS)]]&gt;=DATE(VALUE(REPLACE(CostTrack[[#This Row],[Fiscal Period]],3,3,"")),3,1),CostTrack[[#This Row],[Release Date (CMS)]]&lt;DATE(VALUE(LEFT(CostTrack[[#This Row],[Fiscal Period]],4)),4,1)),1,0)</f>
        <v>0</v>
      </c>
      <c r="AB421" s="655">
        <v>74.03</v>
      </c>
      <c r="AC421" s="267">
        <v>44887</v>
      </c>
      <c r="AD421" s="402" t="str">
        <f ca="1">IF(CostTrack[[#This Row],[Reconciled Amount]]="","",IF(CostTrack[[#This Row],[Value]]&lt;&gt;CostTrack[[#This Row],[Reconciled Amount]],"Yes","No"))</f>
        <v>No</v>
      </c>
    </row>
    <row r="422" spans="2:30" ht="32.1" customHeight="1">
      <c r="B422" s="1324" t="s">
        <v>527</v>
      </c>
      <c r="C422" s="1312">
        <v>220537</v>
      </c>
      <c r="D422" s="1308">
        <v>44834</v>
      </c>
      <c r="E422" s="658">
        <v>67621.440000000002</v>
      </c>
      <c r="F422" s="1309" t="s">
        <v>69</v>
      </c>
      <c r="G422" s="1310">
        <f ca="1">ROUND(IF(CostTrack[[#This Row],[Holdback (Y/N/R)]]="Yes",CostTrack[[#This Row],[Value]]*-0.1,IF(CostTrack[[#This Row],[Holdback (Y/N/R)]]="Release",CostTrack[[#This Row],[Value]],0)),2)</f>
        <v>0</v>
      </c>
      <c r="H422" s="1311">
        <f ca="1">IF(CostTrack[[#This Row],[Holdback (Y/N/R)]]="Release",CostTrack[[#This Row],[Value]],CostTrack[[#This Row],[Value]]+CostTrack[[#This Row],[Holdback Value]])</f>
        <v>67621.440000000002</v>
      </c>
      <c r="I422" s="1312"/>
      <c r="J422" s="1312"/>
      <c r="K422" s="1313"/>
      <c r="L422" s="1325">
        <v>44846</v>
      </c>
      <c r="M422" s="1326">
        <v>44846</v>
      </c>
      <c r="N422" s="1327"/>
      <c r="O422" s="1328" t="s">
        <v>106</v>
      </c>
      <c r="P422" s="1308">
        <v>44846</v>
      </c>
      <c r="Q422" s="1314" t="str">
        <f ca="1">IF(CostTrack[[#This Row],[Vendor - Contract]]="","",INDEX(VendorList[PA ID],MATCH(CostTrack[[#This Row],[Vendor - Contract]],VendorList[Vendor / Org. with Contract ID],0)))</f>
        <v>200.010.F1</v>
      </c>
      <c r="R422" s="1314" t="str">
        <f ca="1">IF(CostTrack[[#This Row],[Vendor - Contract]]="","",INDEX(VendorList[Primary Category],MATCH(CostTrack[[#This Row],[Vendor - Contract]],VendorList[Vendor / Org. with Contract ID],0)))</f>
        <v>Professional Services</v>
      </c>
      <c r="S422" s="1314" t="str">
        <f ca="1">IF(CostTrack[[#This Row],[Vendor - Contract]]="","",INDEX(VendorList[Secondary Category],MATCH(CostTrack[[#This Row],[Vendor - Contract]],VendorList[Vendor / Org. with Contract ID],0)))</f>
        <v>Prime Consultant</v>
      </c>
      <c r="T422" s="1314" t="str">
        <f ca="1">IF(CostTrack[[#This Row],[Vendor - Contract]]="","",INDEX(VendorList[Phase / Subproject],MATCH(CostTrack[[#This Row],[Vendor - Contract]],VendorList[Vendor / Org. with Contract ID],0)))</f>
        <v>--</v>
      </c>
      <c r="U422" s="1314" t="str">
        <f ca="1">IF(CostTrack[[#This Row],[Vendor - Contract]]="","",INDEX(VendorList[Phase / Subproject 2],MATCH(CostTrack[[#This Row],[Vendor - Contract]],VendorList[Vendor / Org. with Contract ID],0)))</f>
        <v>--</v>
      </c>
      <c r="V422" s="1314" t="str">
        <f ca="1">IF(CostTrack[[#This Row],[Vendor - Contract]]="","",INDEX(VendorList[Funding Source],MATCH(CostTrack[[#This Row],[Vendor - Contract]],VendorList[Vendor / Org. with Contract ID],0)))</f>
        <v>P-002360</v>
      </c>
      <c r="W422" s="1308">
        <v>44847</v>
      </c>
      <c r="X422" s="1315" t="str">
        <f ca="1">IF(CostTrack[[#This Row],[Release Date (CMS)]]="","*","")</f>
        <v/>
      </c>
      <c r="Y422" s="1308" t="s">
        <v>53</v>
      </c>
      <c r="Z422" s="713"/>
      <c r="AA422" s="1316">
        <f ca="1">IF(OR(CostTrack[[#This Row],[Release Date (CMS)]]&gt;=DATE(VALUE(REPLACE(CostTrack[[#This Row],[Fiscal Period]],3,3,"")),3,1),CostTrack[[#This Row],[Release Date (CMS)]]&lt;DATE(VALUE(LEFT(CostTrack[[#This Row],[Fiscal Period]],4)),4,1)),1,0)</f>
        <v>0</v>
      </c>
      <c r="AB422" s="1317">
        <v>67621.440000000002</v>
      </c>
      <c r="AC422" s="1308">
        <v>44887</v>
      </c>
      <c r="AD422" s="402" t="str">
        <f ca="1">IF(CostTrack[[#This Row],[Reconciled Amount]]="","",IF(CostTrack[[#This Row],[Value]]&lt;&gt;CostTrack[[#This Row],[Reconciled Amount]],"Yes","No"))</f>
        <v>No</v>
      </c>
    </row>
    <row r="423" spans="2:30" ht="32.1" customHeight="1">
      <c r="B423" s="1324" t="s">
        <v>711</v>
      </c>
      <c r="C423" s="1312">
        <v>4418631</v>
      </c>
      <c r="D423" s="1308">
        <v>44841</v>
      </c>
      <c r="E423" s="658">
        <v>121.58</v>
      </c>
      <c r="F423" s="1309" t="s">
        <v>69</v>
      </c>
      <c r="G423" s="1310">
        <f ca="1">ROUND(IF(CostTrack[[#This Row],[Holdback (Y/N/R)]]="Yes",CostTrack[[#This Row],[Value]]*-0.1,IF(CostTrack[[#This Row],[Holdback (Y/N/R)]]="Release",CostTrack[[#This Row],[Value]],0)),2)</f>
        <v>0</v>
      </c>
      <c r="H423" s="1311">
        <f ca="1">IF(CostTrack[[#This Row],[Holdback (Y/N/R)]]="Release",CostTrack[[#This Row],[Value]],CostTrack[[#This Row],[Value]]+CostTrack[[#This Row],[Holdback Value]])</f>
        <v>121.58</v>
      </c>
      <c r="I423" s="1312"/>
      <c r="J423" s="1312"/>
      <c r="K423" s="1313"/>
      <c r="L423" s="1325">
        <v>44845</v>
      </c>
      <c r="M423" s="1326">
        <v>44845</v>
      </c>
      <c r="N423" s="1327"/>
      <c r="O423" s="1328" t="s">
        <v>106</v>
      </c>
      <c r="P423" s="1308">
        <v>44846</v>
      </c>
      <c r="Q423" s="1314" t="str">
        <f ca="1">IF(CostTrack[[#This Row],[Vendor - Contract]]="","",INDEX(VendorList[PA ID],MATCH(CostTrack[[#This Row],[Vendor - Contract]],VendorList[Vendor / Org. with Contract ID],0)))</f>
        <v>300.040.F1</v>
      </c>
      <c r="R423" s="1314" t="str">
        <f ca="1">IF(CostTrack[[#This Row],[Vendor - Contract]]="","",INDEX(VendorList[Primary Category],MATCH(CostTrack[[#This Row],[Vendor - Contract]],VendorList[Vendor / Org. with Contract ID],0)))</f>
        <v>Construction</v>
      </c>
      <c r="S423" s="1314" t="str">
        <f ca="1">IF(CostTrack[[#This Row],[Vendor - Contract]]="","",INDEX(VendorList[Secondary Category],MATCH(CostTrack[[#This Row],[Vendor - Contract]],VendorList[Vendor / Org. with Contract ID],0)))</f>
        <v>Other Contractor</v>
      </c>
      <c r="T423" s="1314" t="str">
        <f ca="1">IF(CostTrack[[#This Row],[Vendor - Contract]]="","",INDEX(VendorList[Phase / Subproject],MATCH(CostTrack[[#This Row],[Vendor - Contract]],VendorList[Vendor / Org. with Contract ID],0)))</f>
        <v>--</v>
      </c>
      <c r="U423" s="1314" t="str">
        <f ca="1">IF(CostTrack[[#This Row],[Vendor - Contract]]="","",INDEX(VendorList[Phase / Subproject 2],MATCH(CostTrack[[#This Row],[Vendor - Contract]],VendorList[Vendor / Org. with Contract ID],0)))</f>
        <v>--</v>
      </c>
      <c r="V423" s="1314" t="str">
        <f ca="1">IF(CostTrack[[#This Row],[Vendor - Contract]]="","",INDEX(VendorList[Funding Source],MATCH(CostTrack[[#This Row],[Vendor - Contract]],VendorList[Vendor / Org. with Contract ID],0)))</f>
        <v>P-002360</v>
      </c>
      <c r="W423" s="1308">
        <v>44855</v>
      </c>
      <c r="X423" s="1315" t="str">
        <f ca="1">IF(CostTrack[[#This Row],[Release Date (CMS)]]="","*","")</f>
        <v/>
      </c>
      <c r="Y423" s="1308" t="s">
        <v>53</v>
      </c>
      <c r="Z423" s="713"/>
      <c r="AA423" s="1316">
        <f ca="1">IF(OR(CostTrack[[#This Row],[Release Date (CMS)]]&gt;=DATE(VALUE(REPLACE(CostTrack[[#This Row],[Fiscal Period]],3,3,"")),3,1),CostTrack[[#This Row],[Release Date (CMS)]]&lt;DATE(VALUE(LEFT(CostTrack[[#This Row],[Fiscal Period]],4)),4,1)),1,0)</f>
        <v>0</v>
      </c>
      <c r="AB423" s="1317">
        <v>121.58</v>
      </c>
      <c r="AC423" s="1308">
        <v>44887</v>
      </c>
      <c r="AD423" s="402" t="str">
        <f ca="1">IF(CostTrack[[#This Row],[Reconciled Amount]]="","",IF(CostTrack[[#This Row],[Value]]&lt;&gt;CostTrack[[#This Row],[Reconciled Amount]],"Yes","No"))</f>
        <v>No</v>
      </c>
    </row>
    <row r="424" spans="2:30" ht="32.1" customHeight="1">
      <c r="B424" s="1324" t="s">
        <v>662</v>
      </c>
      <c r="C424" s="1312">
        <v>6913</v>
      </c>
      <c r="D424" s="1308">
        <v>44834</v>
      </c>
      <c r="E424" s="658">
        <v>1020</v>
      </c>
      <c r="F424" s="1309" t="s">
        <v>69</v>
      </c>
      <c r="G424" s="1310">
        <f ca="1">ROUND(IF(CostTrack[[#This Row],[Holdback (Y/N/R)]]="Yes",CostTrack[[#This Row],[Value]]*-0.1,IF(CostTrack[[#This Row],[Holdback (Y/N/R)]]="Release",CostTrack[[#This Row],[Value]],0)),2)</f>
        <v>0</v>
      </c>
      <c r="H424" s="1311">
        <f ca="1">IF(CostTrack[[#This Row],[Holdback (Y/N/R)]]="Release",CostTrack[[#This Row],[Value]],CostTrack[[#This Row],[Value]]+CostTrack[[#This Row],[Holdback Value]])</f>
        <v>1020</v>
      </c>
      <c r="I424" s="1312"/>
      <c r="J424" s="1312"/>
      <c r="K424" s="1313"/>
      <c r="L424" s="1325">
        <v>44846</v>
      </c>
      <c r="M424" s="1326">
        <v>44846</v>
      </c>
      <c r="N424" s="1327"/>
      <c r="O424" s="1328" t="s">
        <v>106</v>
      </c>
      <c r="P424" s="1308">
        <v>44846</v>
      </c>
      <c r="Q424" s="1314" t="str">
        <f ca="1">IF(CostTrack[[#This Row],[Vendor - Contract]]="","",INDEX(VendorList[PA ID],MATCH(CostTrack[[#This Row],[Vendor - Contract]],VendorList[Vendor / Org. with Contract ID],0)))</f>
        <v>200.050.F1</v>
      </c>
      <c r="R424" s="1314" t="str">
        <f ca="1">IF(CostTrack[[#This Row],[Vendor - Contract]]="","",INDEX(VendorList[Primary Category],MATCH(CostTrack[[#This Row],[Vendor - Contract]],VendorList[Vendor / Org. with Contract ID],0)))</f>
        <v>Professional Services</v>
      </c>
      <c r="S424" s="1314" t="str">
        <f ca="1">IF(CostTrack[[#This Row],[Vendor - Contract]]="","",INDEX(VendorList[Secondary Category],MATCH(CostTrack[[#This Row],[Vendor - Contract]],VendorList[Vendor / Org. with Contract ID],0)))</f>
        <v>Other Professional Services</v>
      </c>
      <c r="T424" s="1314" t="str">
        <f ca="1">IF(CostTrack[[#This Row],[Vendor - Contract]]="","",INDEX(VendorList[Phase / Subproject],MATCH(CostTrack[[#This Row],[Vendor - Contract]],VendorList[Vendor / Org. with Contract ID],0)))</f>
        <v>--</v>
      </c>
      <c r="U424" s="1314" t="str">
        <f ca="1">IF(CostTrack[[#This Row],[Vendor - Contract]]="","",INDEX(VendorList[Phase / Subproject 2],MATCH(CostTrack[[#This Row],[Vendor - Contract]],VendorList[Vendor / Org. with Contract ID],0)))</f>
        <v>--</v>
      </c>
      <c r="V424" s="1314" t="str">
        <f ca="1">IF(CostTrack[[#This Row],[Vendor - Contract]]="","",INDEX(VendorList[Funding Source],MATCH(CostTrack[[#This Row],[Vendor - Contract]],VendorList[Vendor / Org. with Contract ID],0)))</f>
        <v>P-002360</v>
      </c>
      <c r="W424" s="1308">
        <v>44846</v>
      </c>
      <c r="X424" s="1315" t="str">
        <f ca="1">IF(CostTrack[[#This Row],[Release Date (CMS)]]="","*","")</f>
        <v/>
      </c>
      <c r="Y424" s="1308" t="s">
        <v>53</v>
      </c>
      <c r="Z424" s="713"/>
      <c r="AA424" s="1316">
        <f ca="1">IF(OR(CostTrack[[#This Row],[Release Date (CMS)]]&gt;=DATE(VALUE(REPLACE(CostTrack[[#This Row],[Fiscal Period]],3,3,"")),3,1),CostTrack[[#This Row],[Release Date (CMS)]]&lt;DATE(VALUE(LEFT(CostTrack[[#This Row],[Fiscal Period]],4)),4,1)),1,0)</f>
        <v>0</v>
      </c>
      <c r="AB424" s="1317">
        <v>1020</v>
      </c>
      <c r="AC424" s="1308">
        <v>44887</v>
      </c>
      <c r="AD424" s="402" t="str">
        <f ca="1">IF(CostTrack[[#This Row],[Reconciled Amount]]="","",IF(CostTrack[[#This Row],[Value]]&lt;&gt;CostTrack[[#This Row],[Reconciled Amount]],"Yes","No"))</f>
        <v>No</v>
      </c>
    </row>
    <row r="425" spans="2:30" ht="32.1" customHeight="1">
      <c r="B425" s="1324" t="s">
        <v>527</v>
      </c>
      <c r="C425" s="1312">
        <v>220612</v>
      </c>
      <c r="D425" s="1308">
        <v>44865</v>
      </c>
      <c r="E425" s="658">
        <v>55790.23</v>
      </c>
      <c r="F425" s="1309" t="s">
        <v>69</v>
      </c>
      <c r="G425" s="1310">
        <f ca="1">ROUND(IF(CostTrack[[#This Row],[Holdback (Y/N/R)]]="Yes",CostTrack[[#This Row],[Value]]*-0.1,IF(CostTrack[[#This Row],[Holdback (Y/N/R)]]="Release",CostTrack[[#This Row],[Value]],0)),2)</f>
        <v>0</v>
      </c>
      <c r="H425" s="1311">
        <f ca="1">IF(CostTrack[[#This Row],[Holdback (Y/N/R)]]="Release",CostTrack[[#This Row],[Value]],CostTrack[[#This Row],[Value]]+CostTrack[[#This Row],[Holdback Value]])</f>
        <v>55790.23</v>
      </c>
      <c r="I425" s="1312"/>
      <c r="J425" s="1312"/>
      <c r="K425" s="1313"/>
      <c r="L425" s="1325">
        <v>44872</v>
      </c>
      <c r="M425" s="1326">
        <v>44872</v>
      </c>
      <c r="N425" s="1327"/>
      <c r="O425" s="1328" t="s">
        <v>106</v>
      </c>
      <c r="P425" s="1308">
        <v>44873</v>
      </c>
      <c r="Q425" s="1314" t="str">
        <f ca="1">IF(CostTrack[[#This Row],[Vendor - Contract]]="","",INDEX(VendorList[PA ID],MATCH(CostTrack[[#This Row],[Vendor - Contract]],VendorList[Vendor / Org. with Contract ID],0)))</f>
        <v>200.010.F1</v>
      </c>
      <c r="R425" s="1314" t="str">
        <f ca="1">IF(CostTrack[[#This Row],[Vendor - Contract]]="","",INDEX(VendorList[Primary Category],MATCH(CostTrack[[#This Row],[Vendor - Contract]],VendorList[Vendor / Org. with Contract ID],0)))</f>
        <v>Professional Services</v>
      </c>
      <c r="S425" s="1314" t="str">
        <f ca="1">IF(CostTrack[[#This Row],[Vendor - Contract]]="","",INDEX(VendorList[Secondary Category],MATCH(CostTrack[[#This Row],[Vendor - Contract]],VendorList[Vendor / Org. with Contract ID],0)))</f>
        <v>Prime Consultant</v>
      </c>
      <c r="T425" s="1314" t="str">
        <f ca="1">IF(CostTrack[[#This Row],[Vendor - Contract]]="","",INDEX(VendorList[Phase / Subproject],MATCH(CostTrack[[#This Row],[Vendor - Contract]],VendorList[Vendor / Org. with Contract ID],0)))</f>
        <v>--</v>
      </c>
      <c r="U425" s="1314" t="str">
        <f ca="1">IF(CostTrack[[#This Row],[Vendor - Contract]]="","",INDEX(VendorList[Phase / Subproject 2],MATCH(CostTrack[[#This Row],[Vendor - Contract]],VendorList[Vendor / Org. with Contract ID],0)))</f>
        <v>--</v>
      </c>
      <c r="V425" s="1314" t="str">
        <f ca="1">IF(CostTrack[[#This Row],[Vendor - Contract]]="","",INDEX(VendorList[Funding Source],MATCH(CostTrack[[#This Row],[Vendor - Contract]],VendorList[Vendor / Org. with Contract ID],0)))</f>
        <v>P-002360</v>
      </c>
      <c r="W425" s="1308">
        <v>44873</v>
      </c>
      <c r="X425" s="1315" t="str">
        <f ca="1">IF(CostTrack[[#This Row],[Release Date (CMS)]]="","*","")</f>
        <v/>
      </c>
      <c r="Y425" s="1308" t="s">
        <v>53</v>
      </c>
      <c r="Z425" s="713"/>
      <c r="AA425" s="1316">
        <f ca="1">IF(OR(CostTrack[[#This Row],[Release Date (CMS)]]&gt;=DATE(VALUE(REPLACE(CostTrack[[#This Row],[Fiscal Period]],3,3,"")),3,1),CostTrack[[#This Row],[Release Date (CMS)]]&lt;DATE(VALUE(LEFT(CostTrack[[#This Row],[Fiscal Period]],4)),4,1)),1,0)</f>
        <v>0</v>
      </c>
      <c r="AB425" s="1317">
        <v>55790.23</v>
      </c>
      <c r="AC425" s="1308">
        <v>44914</v>
      </c>
      <c r="AD425" s="402" t="str">
        <f ca="1">IF(CostTrack[[#This Row],[Reconciled Amount]]="","",IF(CostTrack[[#This Row],[Value]]&lt;&gt;CostTrack[[#This Row],[Reconciled Amount]],"Yes","No"))</f>
        <v>No</v>
      </c>
    </row>
    <row r="426" spans="2:30" ht="32.1" customHeight="1">
      <c r="B426" s="1324" t="s">
        <v>528</v>
      </c>
      <c r="C426" s="1312">
        <v>60778683</v>
      </c>
      <c r="D426" s="1308">
        <v>44846</v>
      </c>
      <c r="E426" s="658">
        <v>2561</v>
      </c>
      <c r="F426" s="1309" t="s">
        <v>69</v>
      </c>
      <c r="G426" s="1310">
        <f ca="1">ROUND(IF(CostTrack[[#This Row],[Holdback (Y/N/R)]]="Yes",CostTrack[[#This Row],[Value]]*-0.1,IF(CostTrack[[#This Row],[Holdback (Y/N/R)]]="Release",CostTrack[[#This Row],[Value]],0)),2)</f>
        <v>0</v>
      </c>
      <c r="H426" s="1311">
        <f ca="1">IF(CostTrack[[#This Row],[Holdback (Y/N/R)]]="Release",CostTrack[[#This Row],[Value]],CostTrack[[#This Row],[Value]]+CostTrack[[#This Row],[Holdback Value]])</f>
        <v>2561</v>
      </c>
      <c r="I426" s="1312"/>
      <c r="J426" s="1312"/>
      <c r="K426" s="1313"/>
      <c r="L426" s="1325">
        <v>44852</v>
      </c>
      <c r="M426" s="1326">
        <v>44852</v>
      </c>
      <c r="N426" s="1327"/>
      <c r="O426" s="1328" t="s">
        <v>106</v>
      </c>
      <c r="P426" s="1308">
        <v>44854</v>
      </c>
      <c r="Q426" s="1314" t="str">
        <f ca="1">IF(CostTrack[[#This Row],[Vendor - Contract]]="","",INDEX(VendorList[PA ID],MATCH(CostTrack[[#This Row],[Vendor - Contract]],VendorList[Vendor / Org. with Contract ID],0)))</f>
        <v>200.050.F1</v>
      </c>
      <c r="R426" s="1314" t="str">
        <f ca="1">IF(CostTrack[[#This Row],[Vendor - Contract]]="","",INDEX(VendorList[Primary Category],MATCH(CostTrack[[#This Row],[Vendor - Contract]],VendorList[Vendor / Org. with Contract ID],0)))</f>
        <v>Professional Services</v>
      </c>
      <c r="S426" s="1314" t="str">
        <f ca="1">IF(CostTrack[[#This Row],[Vendor - Contract]]="","",INDEX(VendorList[Secondary Category],MATCH(CostTrack[[#This Row],[Vendor - Contract]],VendorList[Vendor / Org. with Contract ID],0)))</f>
        <v>Other Professional Services</v>
      </c>
      <c r="T426" s="1314" t="str">
        <f ca="1">IF(CostTrack[[#This Row],[Vendor - Contract]]="","",INDEX(VendorList[Phase / Subproject],MATCH(CostTrack[[#This Row],[Vendor - Contract]],VendorList[Vendor / Org. with Contract ID],0)))</f>
        <v>--</v>
      </c>
      <c r="U426" s="1314" t="str">
        <f ca="1">IF(CostTrack[[#This Row],[Vendor - Contract]]="","",INDEX(VendorList[Phase / Subproject 2],MATCH(CostTrack[[#This Row],[Vendor - Contract]],VendorList[Vendor / Org. with Contract ID],0)))</f>
        <v>--</v>
      </c>
      <c r="V426" s="1314" t="str">
        <f ca="1">IF(CostTrack[[#This Row],[Vendor - Contract]]="","",INDEX(VendorList[Funding Source],MATCH(CostTrack[[#This Row],[Vendor - Contract]],VendorList[Vendor / Org. with Contract ID],0)))</f>
        <v>P-002360</v>
      </c>
      <c r="W426" s="1308">
        <v>44854</v>
      </c>
      <c r="X426" s="1315" t="str">
        <f ca="1">IF(CostTrack[[#This Row],[Release Date (CMS)]]="","*","")</f>
        <v/>
      </c>
      <c r="Y426" s="1308" t="s">
        <v>53</v>
      </c>
      <c r="Z426" s="713"/>
      <c r="AA426" s="1316">
        <f ca="1">IF(OR(CostTrack[[#This Row],[Release Date (CMS)]]&gt;=DATE(VALUE(REPLACE(CostTrack[[#This Row],[Fiscal Period]],3,3,"")),3,1),CostTrack[[#This Row],[Release Date (CMS)]]&lt;DATE(VALUE(LEFT(CostTrack[[#This Row],[Fiscal Period]],4)),4,1)),1,0)</f>
        <v>0</v>
      </c>
      <c r="AB426" s="1317">
        <v>2561</v>
      </c>
      <c r="AC426" s="1308">
        <v>44887</v>
      </c>
      <c r="AD426" s="402" t="str">
        <f ca="1">IF(CostTrack[[#This Row],[Reconciled Amount]]="","",IF(CostTrack[[#This Row],[Value]]&lt;&gt;CostTrack[[#This Row],[Reconciled Amount]],"Yes","No"))</f>
        <v>No</v>
      </c>
    </row>
    <row r="427" spans="2:30" ht="32.1" customHeight="1">
      <c r="B427" s="1324" t="s">
        <v>624</v>
      </c>
      <c r="C427" s="1312">
        <v>1752361</v>
      </c>
      <c r="D427" s="1308">
        <v>44868</v>
      </c>
      <c r="E427" s="658">
        <v>2500</v>
      </c>
      <c r="F427" s="1309" t="s">
        <v>69</v>
      </c>
      <c r="G427" s="1310">
        <f ca="1">ROUND(IF(CostTrack[[#This Row],[Holdback (Y/N/R)]]="Yes",CostTrack[[#This Row],[Value]]*-0.1,IF(CostTrack[[#This Row],[Holdback (Y/N/R)]]="Release",CostTrack[[#This Row],[Value]],0)),2)</f>
        <v>0</v>
      </c>
      <c r="H427" s="1311">
        <f ca="1">IF(CostTrack[[#This Row],[Holdback (Y/N/R)]]="Release",CostTrack[[#This Row],[Value]],CostTrack[[#This Row],[Value]]+CostTrack[[#This Row],[Holdback Value]])</f>
        <v>2500</v>
      </c>
      <c r="I427" s="1312"/>
      <c r="J427" s="1312"/>
      <c r="K427" s="1313"/>
      <c r="L427" s="1325">
        <v>44868</v>
      </c>
      <c r="M427" s="1326">
        <v>44868</v>
      </c>
      <c r="N427" s="1327"/>
      <c r="O427" s="1328" t="s">
        <v>106</v>
      </c>
      <c r="P427" s="1308">
        <v>44872</v>
      </c>
      <c r="Q427" s="1314" t="str">
        <f ca="1">IF(CostTrack[[#This Row],[Vendor - Contract]]="","",INDEX(VendorList[PA ID],MATCH(CostTrack[[#This Row],[Vendor - Contract]],VendorList[Vendor / Org. with Contract ID],0)))</f>
        <v>200.040.F1</v>
      </c>
      <c r="R427" s="1314" t="str">
        <f ca="1">IF(CostTrack[[#This Row],[Vendor - Contract]]="","",INDEX(VendorList[Primary Category],MATCH(CostTrack[[#This Row],[Vendor - Contract]],VendorList[Vendor / Org. with Contract ID],0)))</f>
        <v>Professional Services</v>
      </c>
      <c r="S427" s="1314" t="str">
        <f ca="1">IF(CostTrack[[#This Row],[Vendor - Contract]]="","",INDEX(VendorList[Secondary Category],MATCH(CostTrack[[#This Row],[Vendor - Contract]],VendorList[Vendor / Org. with Contract ID],0)))</f>
        <v>Commissioning</v>
      </c>
      <c r="T427" s="1314" t="str">
        <f ca="1">IF(CostTrack[[#This Row],[Vendor - Contract]]="","",INDEX(VendorList[Phase / Subproject],MATCH(CostTrack[[#This Row],[Vendor - Contract]],VendorList[Vendor / Org. with Contract ID],0)))</f>
        <v>--</v>
      </c>
      <c r="U427" s="1314" t="str">
        <f ca="1">IF(CostTrack[[#This Row],[Vendor - Contract]]="","",INDEX(VendorList[Phase / Subproject 2],MATCH(CostTrack[[#This Row],[Vendor - Contract]],VendorList[Vendor / Org. with Contract ID],0)))</f>
        <v>--</v>
      </c>
      <c r="V427" s="1314" t="str">
        <f ca="1">IF(CostTrack[[#This Row],[Vendor - Contract]]="","",INDEX(VendorList[Funding Source],MATCH(CostTrack[[#This Row],[Vendor - Contract]],VendorList[Vendor / Org. with Contract ID],0)))</f>
        <v>P-002360</v>
      </c>
      <c r="W427" s="1308">
        <v>44873</v>
      </c>
      <c r="X427" s="1315" t="str">
        <f ca="1">IF(CostTrack[[#This Row],[Release Date (CMS)]]="","*","")</f>
        <v/>
      </c>
      <c r="Y427" s="1308" t="s">
        <v>53</v>
      </c>
      <c r="Z427" s="713"/>
      <c r="AA427" s="1316">
        <f ca="1">IF(OR(CostTrack[[#This Row],[Release Date (CMS)]]&gt;=DATE(VALUE(REPLACE(CostTrack[[#This Row],[Fiscal Period]],3,3,"")),3,1),CostTrack[[#This Row],[Release Date (CMS)]]&lt;DATE(VALUE(LEFT(CostTrack[[#This Row],[Fiscal Period]],4)),4,1)),1,0)</f>
        <v>0</v>
      </c>
      <c r="AB427" s="1317">
        <v>2500</v>
      </c>
      <c r="AC427" s="1308">
        <v>44914</v>
      </c>
      <c r="AD427" s="402" t="str">
        <f ca="1">IF(CostTrack[[#This Row],[Reconciled Amount]]="","",IF(CostTrack[[#This Row],[Value]]&lt;&gt;CostTrack[[#This Row],[Reconciled Amount]],"Yes","No"))</f>
        <v>No</v>
      </c>
    </row>
    <row r="428" spans="2:30" ht="32.1" customHeight="1">
      <c r="B428" s="1324" t="s">
        <v>529</v>
      </c>
      <c r="C428" s="1312">
        <v>27882</v>
      </c>
      <c r="D428" s="1308">
        <v>44833</v>
      </c>
      <c r="E428" s="658">
        <v>6553446.4900000002</v>
      </c>
      <c r="F428" s="1309" t="s">
        <v>65</v>
      </c>
      <c r="G428" s="1310">
        <f ca="1">ROUND(IF(CostTrack[[#This Row],[Holdback (Y/N/R)]]="Yes",CostTrack[[#This Row],[Value]]*-0.1,IF(CostTrack[[#This Row],[Holdback (Y/N/R)]]="Release",CostTrack[[#This Row],[Value]],0)),2)</f>
        <v>-655344.65</v>
      </c>
      <c r="H428" s="1311">
        <f ca="1">IF(CostTrack[[#This Row],[Holdback (Y/N/R)]]="Release",CostTrack[[#This Row],[Value]],CostTrack[[#This Row],[Value]]+CostTrack[[#This Row],[Holdback Value]])</f>
        <v>5898101.8399999999</v>
      </c>
      <c r="I428" s="1312" t="s">
        <v>1126</v>
      </c>
      <c r="J428" s="1312"/>
      <c r="K428" s="1313"/>
      <c r="L428" s="1325">
        <v>44848</v>
      </c>
      <c r="M428" s="1326">
        <v>44848</v>
      </c>
      <c r="N428" s="1327"/>
      <c r="O428" s="1328" t="s">
        <v>106</v>
      </c>
      <c r="P428" s="1308">
        <v>44853</v>
      </c>
      <c r="Q428" s="1314" t="str">
        <f ca="1">IF(CostTrack[[#This Row],[Vendor - Contract]]="","",INDEX(VendorList[PA ID],MATCH(CostTrack[[#This Row],[Vendor - Contract]],VendorList[Vendor / Org. with Contract ID],0)))</f>
        <v>300.030.F1</v>
      </c>
      <c r="R428" s="1314" t="str">
        <f ca="1">IF(CostTrack[[#This Row],[Vendor - Contract]]="","",INDEX(VendorList[Primary Category],MATCH(CostTrack[[#This Row],[Vendor - Contract]],VendorList[Vendor / Org. with Contract ID],0)))</f>
        <v>Construction</v>
      </c>
      <c r="S428" s="1314" t="str">
        <f ca="1">IF(CostTrack[[#This Row],[Vendor - Contract]]="","",INDEX(VendorList[Secondary Category],MATCH(CostTrack[[#This Row],[Vendor - Contract]],VendorList[Vendor / Org. with Contract ID],0)))</f>
        <v>Prime Contractor</v>
      </c>
      <c r="T428" s="1314" t="str">
        <f ca="1">IF(CostTrack[[#This Row],[Vendor - Contract]]="","",INDEX(VendorList[Phase / Subproject],MATCH(CostTrack[[#This Row],[Vendor - Contract]],VendorList[Vendor / Org. with Contract ID],0)))</f>
        <v>--</v>
      </c>
      <c r="U428" s="1314" t="str">
        <f ca="1">IF(CostTrack[[#This Row],[Vendor - Contract]]="","",INDEX(VendorList[Phase / Subproject 2],MATCH(CostTrack[[#This Row],[Vendor - Contract]],VendorList[Vendor / Org. with Contract ID],0)))</f>
        <v>--</v>
      </c>
      <c r="V428" s="1314" t="str">
        <f ca="1">IF(CostTrack[[#This Row],[Vendor - Contract]]="","",INDEX(VendorList[Funding Source],MATCH(CostTrack[[#This Row],[Vendor - Contract]],VendorList[Vendor / Org. with Contract ID],0)))</f>
        <v>P-002360</v>
      </c>
      <c r="W428" s="1308">
        <v>44853</v>
      </c>
      <c r="X428" s="1315" t="str">
        <f ca="1">IF(CostTrack[[#This Row],[Release Date (CMS)]]="","*","")</f>
        <v/>
      </c>
      <c r="Y428" s="1308" t="s">
        <v>53</v>
      </c>
      <c r="Z428" s="713"/>
      <c r="AA428" s="1316">
        <f ca="1">IF(OR(CostTrack[[#This Row],[Release Date (CMS)]]&gt;=DATE(VALUE(REPLACE(CostTrack[[#This Row],[Fiscal Period]],3,3,"")),3,1),CostTrack[[#This Row],[Release Date (CMS)]]&lt;DATE(VALUE(LEFT(CostTrack[[#This Row],[Fiscal Period]],4)),4,1)),1,0)</f>
        <v>0</v>
      </c>
      <c r="AB428" s="1317">
        <v>6553446.4900000002</v>
      </c>
      <c r="AC428" s="1308">
        <v>44887</v>
      </c>
      <c r="AD428" s="402" t="str">
        <f ca="1">IF(CostTrack[[#This Row],[Reconciled Amount]]="","",IF(CostTrack[[#This Row],[Value]]&lt;&gt;CostTrack[[#This Row],[Reconciled Amount]],"Yes","No"))</f>
        <v>No</v>
      </c>
    </row>
    <row r="429" spans="2:30" ht="32.1" customHeight="1">
      <c r="B429" s="1324" t="s">
        <v>655</v>
      </c>
      <c r="C429" s="1312">
        <v>3036</v>
      </c>
      <c r="D429" s="1308">
        <v>44855</v>
      </c>
      <c r="E429" s="658">
        <v>914</v>
      </c>
      <c r="F429" s="1309" t="s">
        <v>69</v>
      </c>
      <c r="G429" s="1310">
        <f ca="1">ROUND(IF(CostTrack[[#This Row],[Holdback (Y/N/R)]]="Yes",CostTrack[[#This Row],[Value]]*-0.1,IF(CostTrack[[#This Row],[Holdback (Y/N/R)]]="Release",CostTrack[[#This Row],[Value]],0)),2)</f>
        <v>0</v>
      </c>
      <c r="H429" s="1311">
        <f ca="1">IF(CostTrack[[#This Row],[Holdback (Y/N/R)]]="Release",CostTrack[[#This Row],[Value]],CostTrack[[#This Row],[Value]]+CostTrack[[#This Row],[Holdback Value]])</f>
        <v>914</v>
      </c>
      <c r="I429" s="1312"/>
      <c r="J429" s="1312"/>
      <c r="K429" s="1313"/>
      <c r="L429" s="1325">
        <v>44855</v>
      </c>
      <c r="M429" s="1326">
        <v>44855</v>
      </c>
      <c r="N429" s="1327"/>
      <c r="O429" s="1328" t="s">
        <v>106</v>
      </c>
      <c r="P429" s="1308">
        <v>44855</v>
      </c>
      <c r="Q429" s="1314" t="str">
        <f ca="1">IF(CostTrack[[#This Row],[Vendor - Contract]]="","",INDEX(VendorList[PA ID],MATCH(CostTrack[[#This Row],[Vendor - Contract]],VendorList[Vendor / Org. with Contract ID],0)))</f>
        <v>200.050.F1</v>
      </c>
      <c r="R429" s="1314" t="str">
        <f ca="1">IF(CostTrack[[#This Row],[Vendor - Contract]]="","",INDEX(VendorList[Primary Category],MATCH(CostTrack[[#This Row],[Vendor - Contract]],VendorList[Vendor / Org. with Contract ID],0)))</f>
        <v>Professional Services</v>
      </c>
      <c r="S429" s="1314" t="str">
        <f ca="1">IF(CostTrack[[#This Row],[Vendor - Contract]]="","",INDEX(VendorList[Secondary Category],MATCH(CostTrack[[#This Row],[Vendor - Contract]],VendorList[Vendor / Org. with Contract ID],0)))</f>
        <v>Other Professional Services</v>
      </c>
      <c r="T429" s="1314" t="str">
        <f ca="1">IF(CostTrack[[#This Row],[Vendor - Contract]]="","",INDEX(VendorList[Phase / Subproject],MATCH(CostTrack[[#This Row],[Vendor - Contract]],VendorList[Vendor / Org. with Contract ID],0)))</f>
        <v>--</v>
      </c>
      <c r="U429" s="1314" t="str">
        <f ca="1">IF(CostTrack[[#This Row],[Vendor - Contract]]="","",INDEX(VendorList[Phase / Subproject 2],MATCH(CostTrack[[#This Row],[Vendor - Contract]],VendorList[Vendor / Org. with Contract ID],0)))</f>
        <v>--</v>
      </c>
      <c r="V429" s="1314" t="str">
        <f ca="1">IF(CostTrack[[#This Row],[Vendor - Contract]]="","",INDEX(VendorList[Funding Source],MATCH(CostTrack[[#This Row],[Vendor - Contract]],VendorList[Vendor / Org. with Contract ID],0)))</f>
        <v>P-002360</v>
      </c>
      <c r="W429" s="1308">
        <v>44855</v>
      </c>
      <c r="X429" s="1315" t="str">
        <f ca="1">IF(CostTrack[[#This Row],[Release Date (CMS)]]="","*","")</f>
        <v/>
      </c>
      <c r="Y429" s="1308" t="s">
        <v>53</v>
      </c>
      <c r="Z429" s="713"/>
      <c r="AA429" s="1316">
        <f ca="1">IF(OR(CostTrack[[#This Row],[Release Date (CMS)]]&gt;=DATE(VALUE(REPLACE(CostTrack[[#This Row],[Fiscal Period]],3,3,"")),3,1),CostTrack[[#This Row],[Release Date (CMS)]]&lt;DATE(VALUE(LEFT(CostTrack[[#This Row],[Fiscal Period]],4)),4,1)),1,0)</f>
        <v>0</v>
      </c>
      <c r="AB429" s="1317">
        <v>914</v>
      </c>
      <c r="AC429" s="1308">
        <v>44887</v>
      </c>
      <c r="AD429" s="402" t="str">
        <f ca="1">IF(CostTrack[[#This Row],[Reconciled Amount]]="","",IF(CostTrack[[#This Row],[Value]]&lt;&gt;CostTrack[[#This Row],[Reconciled Amount]],"Yes","No"))</f>
        <v>No</v>
      </c>
    </row>
    <row r="430" spans="2:30" ht="32.1" customHeight="1">
      <c r="B430" s="1324" t="s">
        <v>655</v>
      </c>
      <c r="C430" s="1312">
        <v>3046</v>
      </c>
      <c r="D430" s="1308">
        <v>44869</v>
      </c>
      <c r="E430" s="658">
        <v>914</v>
      </c>
      <c r="F430" s="1309" t="s">
        <v>69</v>
      </c>
      <c r="G430" s="1310">
        <f ca="1">ROUND(IF(CostTrack[[#This Row],[Holdback (Y/N/R)]]="Yes",CostTrack[[#This Row],[Value]]*-0.1,IF(CostTrack[[#This Row],[Holdback (Y/N/R)]]="Release",CostTrack[[#This Row],[Value]],0)),2)</f>
        <v>0</v>
      </c>
      <c r="H430" s="1311">
        <f ca="1">IF(CostTrack[[#This Row],[Holdback (Y/N/R)]]="Release",CostTrack[[#This Row],[Value]],CostTrack[[#This Row],[Value]]+CostTrack[[#This Row],[Holdback Value]])</f>
        <v>914</v>
      </c>
      <c r="I430" s="1312"/>
      <c r="J430" s="1312"/>
      <c r="K430" s="1313"/>
      <c r="L430" s="1325">
        <v>44869</v>
      </c>
      <c r="M430" s="1326">
        <v>44869</v>
      </c>
      <c r="N430" s="1327"/>
      <c r="O430" s="1328" t="s">
        <v>106</v>
      </c>
      <c r="P430" s="1308">
        <v>44869</v>
      </c>
      <c r="Q430" s="1314" t="str">
        <f ca="1">IF(CostTrack[[#This Row],[Vendor - Contract]]="","",INDEX(VendorList[PA ID],MATCH(CostTrack[[#This Row],[Vendor - Contract]],VendorList[Vendor / Org. with Contract ID],0)))</f>
        <v>200.050.F1</v>
      </c>
      <c r="R430" s="1314" t="str">
        <f ca="1">IF(CostTrack[[#This Row],[Vendor - Contract]]="","",INDEX(VendorList[Primary Category],MATCH(CostTrack[[#This Row],[Vendor - Contract]],VendorList[Vendor / Org. with Contract ID],0)))</f>
        <v>Professional Services</v>
      </c>
      <c r="S430" s="1314" t="str">
        <f ca="1">IF(CostTrack[[#This Row],[Vendor - Contract]]="","",INDEX(VendorList[Secondary Category],MATCH(CostTrack[[#This Row],[Vendor - Contract]],VendorList[Vendor / Org. with Contract ID],0)))</f>
        <v>Other Professional Services</v>
      </c>
      <c r="T430" s="1314" t="str">
        <f ca="1">IF(CostTrack[[#This Row],[Vendor - Contract]]="","",INDEX(VendorList[Phase / Subproject],MATCH(CostTrack[[#This Row],[Vendor - Contract]],VendorList[Vendor / Org. with Contract ID],0)))</f>
        <v>--</v>
      </c>
      <c r="U430" s="1314" t="str">
        <f ca="1">IF(CostTrack[[#This Row],[Vendor - Contract]]="","",INDEX(VendorList[Phase / Subproject 2],MATCH(CostTrack[[#This Row],[Vendor - Contract]],VendorList[Vendor / Org. with Contract ID],0)))</f>
        <v>--</v>
      </c>
      <c r="V430" s="1314" t="str">
        <f ca="1">IF(CostTrack[[#This Row],[Vendor - Contract]]="","",INDEX(VendorList[Funding Source],MATCH(CostTrack[[#This Row],[Vendor - Contract]],VendorList[Vendor / Org. with Contract ID],0)))</f>
        <v>P-002360</v>
      </c>
      <c r="W430" s="1308">
        <v>44873</v>
      </c>
      <c r="X430" s="1315" t="str">
        <f ca="1">IF(CostTrack[[#This Row],[Release Date (CMS)]]="","*","")</f>
        <v/>
      </c>
      <c r="Y430" s="1308" t="s">
        <v>53</v>
      </c>
      <c r="Z430" s="713"/>
      <c r="AA430" s="1316">
        <f ca="1">IF(OR(CostTrack[[#This Row],[Release Date (CMS)]]&gt;=DATE(VALUE(REPLACE(CostTrack[[#This Row],[Fiscal Period]],3,3,"")),3,1),CostTrack[[#This Row],[Release Date (CMS)]]&lt;DATE(VALUE(LEFT(CostTrack[[#This Row],[Fiscal Period]],4)),4,1)),1,0)</f>
        <v>0</v>
      </c>
      <c r="AB430" s="1317">
        <v>914</v>
      </c>
      <c r="AC430" s="1308">
        <v>44914</v>
      </c>
      <c r="AD430" s="402" t="str">
        <f ca="1">IF(CostTrack[[#This Row],[Reconciled Amount]]="","",IF(CostTrack[[#This Row],[Value]]&lt;&gt;CostTrack[[#This Row],[Reconciled Amount]],"Yes","No"))</f>
        <v>No</v>
      </c>
    </row>
    <row r="431" spans="2:30" ht="32.1" customHeight="1">
      <c r="B431" s="1324" t="s">
        <v>662</v>
      </c>
      <c r="C431" s="1312">
        <v>7009</v>
      </c>
      <c r="D431" s="1308">
        <v>44858</v>
      </c>
      <c r="E431" s="658">
        <v>510</v>
      </c>
      <c r="F431" s="1309" t="s">
        <v>69</v>
      </c>
      <c r="G431" s="1310">
        <f ca="1">ROUND(IF(CostTrack[[#This Row],[Holdback (Y/N/R)]]="Yes",CostTrack[[#This Row],[Value]]*-0.1,IF(CostTrack[[#This Row],[Holdback (Y/N/R)]]="Release",CostTrack[[#This Row],[Value]],0)),2)</f>
        <v>0</v>
      </c>
      <c r="H431" s="1311">
        <f ca="1">IF(CostTrack[[#This Row],[Holdback (Y/N/R)]]="Release",CostTrack[[#This Row],[Value]],CostTrack[[#This Row],[Value]]+CostTrack[[#This Row],[Holdback Value]])</f>
        <v>510</v>
      </c>
      <c r="I431" s="1312"/>
      <c r="J431" s="1312"/>
      <c r="K431" s="1313"/>
      <c r="L431" s="1325">
        <v>44858</v>
      </c>
      <c r="M431" s="1326">
        <v>44858</v>
      </c>
      <c r="N431" s="1327"/>
      <c r="O431" s="1328" t="s">
        <v>106</v>
      </c>
      <c r="P431" s="1308">
        <v>44859</v>
      </c>
      <c r="Q431" s="1314" t="str">
        <f ca="1">IF(CostTrack[[#This Row],[Vendor - Contract]]="","",INDEX(VendorList[PA ID],MATCH(CostTrack[[#This Row],[Vendor - Contract]],VendorList[Vendor / Org. with Contract ID],0)))</f>
        <v>200.050.F1</v>
      </c>
      <c r="R431" s="1314" t="str">
        <f ca="1">IF(CostTrack[[#This Row],[Vendor - Contract]]="","",INDEX(VendorList[Primary Category],MATCH(CostTrack[[#This Row],[Vendor - Contract]],VendorList[Vendor / Org. with Contract ID],0)))</f>
        <v>Professional Services</v>
      </c>
      <c r="S431" s="1314" t="str">
        <f ca="1">IF(CostTrack[[#This Row],[Vendor - Contract]]="","",INDEX(VendorList[Secondary Category],MATCH(CostTrack[[#This Row],[Vendor - Contract]],VendorList[Vendor / Org. with Contract ID],0)))</f>
        <v>Other Professional Services</v>
      </c>
      <c r="T431" s="1314" t="str">
        <f ca="1">IF(CostTrack[[#This Row],[Vendor - Contract]]="","",INDEX(VendorList[Phase / Subproject],MATCH(CostTrack[[#This Row],[Vendor - Contract]],VendorList[Vendor / Org. with Contract ID],0)))</f>
        <v>--</v>
      </c>
      <c r="U431" s="1314" t="str">
        <f ca="1">IF(CostTrack[[#This Row],[Vendor - Contract]]="","",INDEX(VendorList[Phase / Subproject 2],MATCH(CostTrack[[#This Row],[Vendor - Contract]],VendorList[Vendor / Org. with Contract ID],0)))</f>
        <v>--</v>
      </c>
      <c r="V431" s="1314" t="str">
        <f ca="1">IF(CostTrack[[#This Row],[Vendor - Contract]]="","",INDEX(VendorList[Funding Source],MATCH(CostTrack[[#This Row],[Vendor - Contract]],VendorList[Vendor / Org. with Contract ID],0)))</f>
        <v>P-002360</v>
      </c>
      <c r="W431" s="1308">
        <v>44859</v>
      </c>
      <c r="X431" s="1315" t="str">
        <f ca="1">IF(CostTrack[[#This Row],[Release Date (CMS)]]="","*","")</f>
        <v/>
      </c>
      <c r="Y431" s="1308" t="s">
        <v>53</v>
      </c>
      <c r="Z431" s="713"/>
      <c r="AA431" s="1316">
        <f ca="1">IF(OR(CostTrack[[#This Row],[Release Date (CMS)]]&gt;=DATE(VALUE(REPLACE(CostTrack[[#This Row],[Fiscal Period]],3,3,"")),3,1),CostTrack[[#This Row],[Release Date (CMS)]]&lt;DATE(VALUE(LEFT(CostTrack[[#This Row],[Fiscal Period]],4)),4,1)),1,0)</f>
        <v>0</v>
      </c>
      <c r="AB431" s="1317">
        <v>510</v>
      </c>
      <c r="AC431" s="1308">
        <v>44887</v>
      </c>
      <c r="AD431" s="402" t="str">
        <f ca="1">IF(CostTrack[[#This Row],[Reconciled Amount]]="","",IF(CostTrack[[#This Row],[Value]]&lt;&gt;CostTrack[[#This Row],[Reconciled Amount]],"Yes","No"))</f>
        <v>No</v>
      </c>
    </row>
    <row r="432" spans="2:30" ht="32.1" customHeight="1">
      <c r="B432" s="1324" t="s">
        <v>662</v>
      </c>
      <c r="C432" s="1312">
        <v>7055</v>
      </c>
      <c r="D432" s="1308">
        <v>44861</v>
      </c>
      <c r="E432" s="658">
        <v>510</v>
      </c>
      <c r="F432" s="1309" t="s">
        <v>69</v>
      </c>
      <c r="G432" s="1310">
        <f ca="1">ROUND(IF(CostTrack[[#This Row],[Holdback (Y/N/R)]]="Yes",CostTrack[[#This Row],[Value]]*-0.1,IF(CostTrack[[#This Row],[Holdback (Y/N/R)]]="Release",CostTrack[[#This Row],[Value]],0)),2)</f>
        <v>0</v>
      </c>
      <c r="H432" s="1311">
        <f ca="1">IF(CostTrack[[#This Row],[Holdback (Y/N/R)]]="Release",CostTrack[[#This Row],[Value]],CostTrack[[#This Row],[Value]]+CostTrack[[#This Row],[Holdback Value]])</f>
        <v>510</v>
      </c>
      <c r="I432" s="1312"/>
      <c r="J432" s="1312"/>
      <c r="K432" s="1313"/>
      <c r="L432" s="1325">
        <v>44865</v>
      </c>
      <c r="M432" s="1326">
        <v>44865</v>
      </c>
      <c r="N432" s="1327"/>
      <c r="O432" s="1328" t="s">
        <v>106</v>
      </c>
      <c r="P432" s="1308">
        <v>44866</v>
      </c>
      <c r="Q432" s="1314" t="str">
        <f ca="1">IF(CostTrack[[#This Row],[Vendor - Contract]]="","",INDEX(VendorList[PA ID],MATCH(CostTrack[[#This Row],[Vendor - Contract]],VendorList[Vendor / Org. with Contract ID],0)))</f>
        <v>200.050.F1</v>
      </c>
      <c r="R432" s="1314" t="str">
        <f ca="1">IF(CostTrack[[#This Row],[Vendor - Contract]]="","",INDEX(VendorList[Primary Category],MATCH(CostTrack[[#This Row],[Vendor - Contract]],VendorList[Vendor / Org. with Contract ID],0)))</f>
        <v>Professional Services</v>
      </c>
      <c r="S432" s="1314" t="str">
        <f ca="1">IF(CostTrack[[#This Row],[Vendor - Contract]]="","",INDEX(VendorList[Secondary Category],MATCH(CostTrack[[#This Row],[Vendor - Contract]],VendorList[Vendor / Org. with Contract ID],0)))</f>
        <v>Other Professional Services</v>
      </c>
      <c r="T432" s="1314" t="str">
        <f ca="1">IF(CostTrack[[#This Row],[Vendor - Contract]]="","",INDEX(VendorList[Phase / Subproject],MATCH(CostTrack[[#This Row],[Vendor - Contract]],VendorList[Vendor / Org. with Contract ID],0)))</f>
        <v>--</v>
      </c>
      <c r="U432" s="1314" t="str">
        <f ca="1">IF(CostTrack[[#This Row],[Vendor - Contract]]="","",INDEX(VendorList[Phase / Subproject 2],MATCH(CostTrack[[#This Row],[Vendor - Contract]],VendorList[Vendor / Org. with Contract ID],0)))</f>
        <v>--</v>
      </c>
      <c r="V432" s="1314" t="str">
        <f ca="1">IF(CostTrack[[#This Row],[Vendor - Contract]]="","",INDEX(VendorList[Funding Source],MATCH(CostTrack[[#This Row],[Vendor - Contract]],VendorList[Vendor / Org. with Contract ID],0)))</f>
        <v>P-002360</v>
      </c>
      <c r="W432" s="1308">
        <v>44867</v>
      </c>
      <c r="X432" s="1315" t="str">
        <f ca="1">IF(CostTrack[[#This Row],[Release Date (CMS)]]="","*","")</f>
        <v/>
      </c>
      <c r="Y432" s="1308" t="s">
        <v>53</v>
      </c>
      <c r="Z432" s="713"/>
      <c r="AA432" s="1316">
        <f ca="1">IF(OR(CostTrack[[#This Row],[Release Date (CMS)]]&gt;=DATE(VALUE(REPLACE(CostTrack[[#This Row],[Fiscal Period]],3,3,"")),3,1),CostTrack[[#This Row],[Release Date (CMS)]]&lt;DATE(VALUE(LEFT(CostTrack[[#This Row],[Fiscal Period]],4)),4,1)),1,0)</f>
        <v>0</v>
      </c>
      <c r="AB432" s="1317">
        <v>510</v>
      </c>
      <c r="AC432" s="1308">
        <v>44914</v>
      </c>
      <c r="AD432" s="402" t="str">
        <f ca="1">IF(CostTrack[[#This Row],[Reconciled Amount]]="","",IF(CostTrack[[#This Row],[Value]]&lt;&gt;CostTrack[[#This Row],[Reconciled Amount]],"Yes","No"))</f>
        <v>No</v>
      </c>
    </row>
    <row r="433" spans="2:30" ht="32.1" customHeight="1">
      <c r="B433" s="1324" t="s">
        <v>662</v>
      </c>
      <c r="C433" s="1312">
        <v>7080</v>
      </c>
      <c r="D433" s="1308">
        <v>44867</v>
      </c>
      <c r="E433" s="658">
        <v>510</v>
      </c>
      <c r="F433" s="1309" t="s">
        <v>69</v>
      </c>
      <c r="G433" s="1310">
        <f ca="1">ROUND(IF(CostTrack[[#This Row],[Holdback (Y/N/R)]]="Yes",CostTrack[[#This Row],[Value]]*-0.1,IF(CostTrack[[#This Row],[Holdback (Y/N/R)]]="Release",CostTrack[[#This Row],[Value]],0)),2)</f>
        <v>0</v>
      </c>
      <c r="H433" s="1311">
        <f ca="1">IF(CostTrack[[#This Row],[Holdback (Y/N/R)]]="Release",CostTrack[[#This Row],[Value]],CostTrack[[#This Row],[Value]]+CostTrack[[#This Row],[Holdback Value]])</f>
        <v>510</v>
      </c>
      <c r="I433" s="1312"/>
      <c r="J433" s="1312"/>
      <c r="K433" s="1313"/>
      <c r="L433" s="1325">
        <v>44872</v>
      </c>
      <c r="M433" s="1326">
        <v>44872</v>
      </c>
      <c r="N433" s="1327"/>
      <c r="O433" s="1328" t="s">
        <v>106</v>
      </c>
      <c r="P433" s="1308">
        <v>44873</v>
      </c>
      <c r="Q433" s="1314" t="str">
        <f ca="1">IF(CostTrack[[#This Row],[Vendor - Contract]]="","",INDEX(VendorList[PA ID],MATCH(CostTrack[[#This Row],[Vendor - Contract]],VendorList[Vendor / Org. with Contract ID],0)))</f>
        <v>200.050.F1</v>
      </c>
      <c r="R433" s="1314" t="str">
        <f ca="1">IF(CostTrack[[#This Row],[Vendor - Contract]]="","",INDEX(VendorList[Primary Category],MATCH(CostTrack[[#This Row],[Vendor - Contract]],VendorList[Vendor / Org. with Contract ID],0)))</f>
        <v>Professional Services</v>
      </c>
      <c r="S433" s="1314" t="str">
        <f ca="1">IF(CostTrack[[#This Row],[Vendor - Contract]]="","",INDEX(VendorList[Secondary Category],MATCH(CostTrack[[#This Row],[Vendor - Contract]],VendorList[Vendor / Org. with Contract ID],0)))</f>
        <v>Other Professional Services</v>
      </c>
      <c r="T433" s="1314" t="str">
        <f ca="1">IF(CostTrack[[#This Row],[Vendor - Contract]]="","",INDEX(VendorList[Phase / Subproject],MATCH(CostTrack[[#This Row],[Vendor - Contract]],VendorList[Vendor / Org. with Contract ID],0)))</f>
        <v>--</v>
      </c>
      <c r="U433" s="1314" t="str">
        <f ca="1">IF(CostTrack[[#This Row],[Vendor - Contract]]="","",INDEX(VendorList[Phase / Subproject 2],MATCH(CostTrack[[#This Row],[Vendor - Contract]],VendorList[Vendor / Org. with Contract ID],0)))</f>
        <v>--</v>
      </c>
      <c r="V433" s="1314" t="str">
        <f ca="1">IF(CostTrack[[#This Row],[Vendor - Contract]]="","",INDEX(VendorList[Funding Source],MATCH(CostTrack[[#This Row],[Vendor - Contract]],VendorList[Vendor / Org. with Contract ID],0)))</f>
        <v>P-002360</v>
      </c>
      <c r="W433" s="1308">
        <v>44873</v>
      </c>
      <c r="X433" s="1315" t="str">
        <f ca="1">IF(CostTrack[[#This Row],[Release Date (CMS)]]="","*","")</f>
        <v/>
      </c>
      <c r="Y433" s="1308" t="s">
        <v>53</v>
      </c>
      <c r="Z433" s="713"/>
      <c r="AA433" s="1316">
        <f ca="1">IF(OR(CostTrack[[#This Row],[Release Date (CMS)]]&gt;=DATE(VALUE(REPLACE(CostTrack[[#This Row],[Fiscal Period]],3,3,"")),3,1),CostTrack[[#This Row],[Release Date (CMS)]]&lt;DATE(VALUE(LEFT(CostTrack[[#This Row],[Fiscal Period]],4)),4,1)),1,0)</f>
        <v>0</v>
      </c>
      <c r="AB433" s="1317">
        <v>510</v>
      </c>
      <c r="AC433" s="1308">
        <v>44914</v>
      </c>
      <c r="AD433" s="402" t="str">
        <f ca="1">IF(CostTrack[[#This Row],[Reconciled Amount]]="","",IF(CostTrack[[#This Row],[Value]]&lt;&gt;CostTrack[[#This Row],[Reconciled Amount]],"Yes","No"))</f>
        <v>No</v>
      </c>
    </row>
    <row r="434" spans="2:30" ht="80.25" customHeight="1">
      <c r="B434" s="1324" t="s">
        <v>731</v>
      </c>
      <c r="C434" s="1312">
        <v>800057186</v>
      </c>
      <c r="D434" s="1308">
        <v>44865</v>
      </c>
      <c r="E434" s="658">
        <v>227.05</v>
      </c>
      <c r="F434" s="1309" t="s">
        <v>69</v>
      </c>
      <c r="G434" s="1310">
        <f ca="1">ROUND(IF(CostTrack[[#This Row],[Holdback (Y/N/R)]]="Yes",CostTrack[[#This Row],[Value]]*-0.1,IF(CostTrack[[#This Row],[Holdback (Y/N/R)]]="Release",CostTrack[[#This Row],[Value]],0)),2)</f>
        <v>0</v>
      </c>
      <c r="H434" s="1311">
        <f ca="1">IF(CostTrack[[#This Row],[Holdback (Y/N/R)]]="Release",CostTrack[[#This Row],[Value]],CostTrack[[#This Row],[Value]]+CostTrack[[#This Row],[Holdback Value]])</f>
        <v>227.05</v>
      </c>
      <c r="I434" s="1312"/>
      <c r="J434" s="1312"/>
      <c r="K434" s="1313"/>
      <c r="L434" s="1325">
        <v>44865</v>
      </c>
      <c r="M434" s="1326">
        <v>44865</v>
      </c>
      <c r="N434" s="1327"/>
      <c r="O434" s="1328" t="s">
        <v>106</v>
      </c>
      <c r="P434" s="1308">
        <v>44865</v>
      </c>
      <c r="Q434" s="1314" t="str">
        <f ca="1">IF(CostTrack[[#This Row],[Vendor - Contract]]="","",INDEX(VendorList[PA ID],MATCH(CostTrack[[#This Row],[Vendor - Contract]],VendorList[Vendor / Org. with Contract ID],0)))</f>
        <v>100.050.F1</v>
      </c>
      <c r="R434" s="1314" t="str">
        <f ca="1">IF(CostTrack[[#This Row],[Vendor - Contract]]="","",INDEX(VendorList[Primary Category],MATCH(CostTrack[[#This Row],[Vendor - Contract]],VendorList[Vendor / Org. with Contract ID],0)))</f>
        <v>Administration</v>
      </c>
      <c r="S434" s="1314" t="str">
        <f ca="1">IF(CostTrack[[#This Row],[Vendor - Contract]]="","",INDEX(VendorList[Secondary Category],MATCH(CostTrack[[#This Row],[Vendor - Contract]],VendorList[Vendor / Org. with Contract ID],0)))</f>
        <v>Other Administration</v>
      </c>
      <c r="T434" s="1314" t="str">
        <f ca="1">IF(CostTrack[[#This Row],[Vendor - Contract]]="","",INDEX(VendorList[Phase / Subproject],MATCH(CostTrack[[#This Row],[Vendor - Contract]],VendorList[Vendor / Org. with Contract ID],0)))</f>
        <v>--</v>
      </c>
      <c r="U434" s="1314" t="str">
        <f ca="1">IF(CostTrack[[#This Row],[Vendor - Contract]]="","",INDEX(VendorList[Phase / Subproject 2],MATCH(CostTrack[[#This Row],[Vendor - Contract]],VendorList[Vendor / Org. with Contract ID],0)))</f>
        <v>--</v>
      </c>
      <c r="V434" s="1314" t="str">
        <f ca="1">IF(CostTrack[[#This Row],[Vendor - Contract]]="","",INDEX(VendorList[Funding Source],MATCH(CostTrack[[#This Row],[Vendor - Contract]],VendorList[Vendor / Org. with Contract ID],0)))</f>
        <v>P-002360</v>
      </c>
      <c r="W434" s="1308">
        <v>44865</v>
      </c>
      <c r="X434" s="1315" t="str">
        <f ca="1">IF(CostTrack[[#This Row],[Release Date (CMS)]]="","*","")</f>
        <v/>
      </c>
      <c r="Y434" s="1308" t="s">
        <v>53</v>
      </c>
      <c r="Z434" s="652" t="s">
        <v>1127</v>
      </c>
      <c r="AA434" s="1316">
        <f ca="1">IF(OR(CostTrack[[#This Row],[Release Date (CMS)]]&gt;=DATE(VALUE(REPLACE(CostTrack[[#This Row],[Fiscal Period]],3,3,"")),3,1),CostTrack[[#This Row],[Release Date (CMS)]]&lt;DATE(VALUE(LEFT(CostTrack[[#This Row],[Fiscal Period]],4)),4,1)),1,0)</f>
        <v>0</v>
      </c>
      <c r="AB434" s="1317">
        <v>227.05</v>
      </c>
      <c r="AC434" s="1308">
        <v>44887</v>
      </c>
      <c r="AD434" s="402" t="str">
        <f ca="1">IF(CostTrack[[#This Row],[Reconciled Amount]]="","",IF(CostTrack[[#This Row],[Value]]&lt;&gt;CostTrack[[#This Row],[Reconciled Amount]],"Yes","No"))</f>
        <v>No</v>
      </c>
    </row>
    <row r="435" spans="2:30" ht="32.1" customHeight="1">
      <c r="B435" s="1324" t="s">
        <v>710</v>
      </c>
      <c r="C435" s="1323">
        <v>102103412908</v>
      </c>
      <c r="D435" s="1308">
        <v>44853</v>
      </c>
      <c r="E435" s="658">
        <v>41.52</v>
      </c>
      <c r="F435" s="1309" t="s">
        <v>69</v>
      </c>
      <c r="G435" s="1310">
        <f ca="1">ROUND(IF(CostTrack[[#This Row],[Holdback (Y/N/R)]]="Yes",CostTrack[[#This Row],[Value]]*-0.1,IF(CostTrack[[#This Row],[Holdback (Y/N/R)]]="Release",CostTrack[[#This Row],[Value]],0)),2)</f>
        <v>0</v>
      </c>
      <c r="H435" s="1311">
        <f ca="1">IF(CostTrack[[#This Row],[Holdback (Y/N/R)]]="Release",CostTrack[[#This Row],[Value]],CostTrack[[#This Row],[Value]]+CostTrack[[#This Row],[Holdback Value]])</f>
        <v>41.52</v>
      </c>
      <c r="I435" s="1312"/>
      <c r="J435" s="1312"/>
      <c r="K435" s="1313"/>
      <c r="L435" s="1325">
        <v>44861</v>
      </c>
      <c r="M435" s="1326">
        <v>44861</v>
      </c>
      <c r="N435" s="1327"/>
      <c r="O435" s="1321" t="s">
        <v>106</v>
      </c>
      <c r="P435" s="1308">
        <v>44861</v>
      </c>
      <c r="Q435" s="1314" t="str">
        <f ca="1">IF(CostTrack[[#This Row],[Vendor - Contract]]="","",INDEX(VendorList[PA ID],MATCH(CostTrack[[#This Row],[Vendor - Contract]],VendorList[Vendor / Org. with Contract ID],0)))</f>
        <v>300.040.F1</v>
      </c>
      <c r="R435" s="1314" t="str">
        <f ca="1">IF(CostTrack[[#This Row],[Vendor - Contract]]="","",INDEX(VendorList[Primary Category],MATCH(CostTrack[[#This Row],[Vendor - Contract]],VendorList[Vendor / Org. with Contract ID],0)))</f>
        <v>Construction</v>
      </c>
      <c r="S435" s="1314" t="str">
        <f ca="1">IF(CostTrack[[#This Row],[Vendor - Contract]]="","",INDEX(VendorList[Secondary Category],MATCH(CostTrack[[#This Row],[Vendor - Contract]],VendorList[Vendor / Org. with Contract ID],0)))</f>
        <v>Other Contractor</v>
      </c>
      <c r="T435" s="1314" t="str">
        <f ca="1">IF(CostTrack[[#This Row],[Vendor - Contract]]="","",INDEX(VendorList[Phase / Subproject],MATCH(CostTrack[[#This Row],[Vendor - Contract]],VendorList[Vendor / Org. with Contract ID],0)))</f>
        <v>--</v>
      </c>
      <c r="U435" s="1314" t="str">
        <f ca="1">IF(CostTrack[[#This Row],[Vendor - Contract]]="","",INDEX(VendorList[Phase / Subproject 2],MATCH(CostTrack[[#This Row],[Vendor - Contract]],VendorList[Vendor / Org. with Contract ID],0)))</f>
        <v>--</v>
      </c>
      <c r="V435" s="1314" t="str">
        <f ca="1">IF(CostTrack[[#This Row],[Vendor - Contract]]="","",INDEX(VendorList[Funding Source],MATCH(CostTrack[[#This Row],[Vendor - Contract]],VendorList[Vendor / Org. with Contract ID],0)))</f>
        <v>P-002360</v>
      </c>
      <c r="W435" s="1308">
        <v>44874</v>
      </c>
      <c r="X435" s="1315" t="str">
        <f ca="1">IF(CostTrack[[#This Row],[Release Date (CMS)]]="","*","")</f>
        <v/>
      </c>
      <c r="Y435" s="1308" t="s">
        <v>53</v>
      </c>
      <c r="Z435" s="713"/>
      <c r="AA435" s="1316">
        <f ca="1">IF(OR(CostTrack[[#This Row],[Release Date (CMS)]]&gt;=DATE(VALUE(REPLACE(CostTrack[[#This Row],[Fiscal Period]],3,3,"")),3,1),CostTrack[[#This Row],[Release Date (CMS)]]&lt;DATE(VALUE(LEFT(CostTrack[[#This Row],[Fiscal Period]],4)),4,1)),1,0)</f>
        <v>0</v>
      </c>
      <c r="AB435" s="1317">
        <v>41.52</v>
      </c>
      <c r="AC435" s="1308">
        <v>44914</v>
      </c>
      <c r="AD435" s="402" t="str">
        <f ca="1">IF(CostTrack[[#This Row],[Reconciled Amount]]="","",IF(CostTrack[[#This Row],[Value]]&lt;&gt;CostTrack[[#This Row],[Reconciled Amount]],"Yes","No"))</f>
        <v>No</v>
      </c>
    </row>
    <row r="436" spans="2:30" ht="32.1" customHeight="1">
      <c r="B436" s="1324" t="s">
        <v>711</v>
      </c>
      <c r="C436" s="1312">
        <v>4436189</v>
      </c>
      <c r="D436" s="1308">
        <v>44865</v>
      </c>
      <c r="E436" s="658">
        <v>272.11</v>
      </c>
      <c r="F436" s="1309" t="s">
        <v>69</v>
      </c>
      <c r="G436" s="1310">
        <f ca="1">ROUND(IF(CostTrack[[#This Row],[Holdback (Y/N/R)]]="Yes",CostTrack[[#This Row],[Value]]*-0.1,IF(CostTrack[[#This Row],[Holdback (Y/N/R)]]="Release",CostTrack[[#This Row],[Value]],0)),2)</f>
        <v>0</v>
      </c>
      <c r="H436" s="1311">
        <f ca="1">IF(CostTrack[[#This Row],[Holdback (Y/N/R)]]="Release",CostTrack[[#This Row],[Value]],CostTrack[[#This Row],[Value]]+CostTrack[[#This Row],[Holdback Value]])</f>
        <v>272.11</v>
      </c>
      <c r="I436" s="1312"/>
      <c r="J436" s="1312"/>
      <c r="K436" s="1313"/>
      <c r="L436" s="1325">
        <v>44873</v>
      </c>
      <c r="M436" s="1326">
        <v>44873</v>
      </c>
      <c r="N436" s="1327"/>
      <c r="O436" s="1321" t="s">
        <v>106</v>
      </c>
      <c r="P436" s="1308">
        <v>44873</v>
      </c>
      <c r="Q436" s="1314" t="str">
        <f ca="1">IF(CostTrack[[#This Row],[Vendor - Contract]]="","",INDEX(VendorList[PA ID],MATCH(CostTrack[[#This Row],[Vendor - Contract]],VendorList[Vendor / Org. with Contract ID],0)))</f>
        <v>300.040.F1</v>
      </c>
      <c r="R436" s="1314" t="str">
        <f ca="1">IF(CostTrack[[#This Row],[Vendor - Contract]]="","",INDEX(VendorList[Primary Category],MATCH(CostTrack[[#This Row],[Vendor - Contract]],VendorList[Vendor / Org. with Contract ID],0)))</f>
        <v>Construction</v>
      </c>
      <c r="S436" s="1314" t="str">
        <f ca="1">IF(CostTrack[[#This Row],[Vendor - Contract]]="","",INDEX(VendorList[Secondary Category],MATCH(CostTrack[[#This Row],[Vendor - Contract]],VendorList[Vendor / Org. with Contract ID],0)))</f>
        <v>Other Contractor</v>
      </c>
      <c r="T436" s="1314" t="str">
        <f ca="1">IF(CostTrack[[#This Row],[Vendor - Contract]]="","",INDEX(VendorList[Phase / Subproject],MATCH(CostTrack[[#This Row],[Vendor - Contract]],VendorList[Vendor / Org. with Contract ID],0)))</f>
        <v>--</v>
      </c>
      <c r="U436" s="1314" t="str">
        <f ca="1">IF(CostTrack[[#This Row],[Vendor - Contract]]="","",INDEX(VendorList[Phase / Subproject 2],MATCH(CostTrack[[#This Row],[Vendor - Contract]],VendorList[Vendor / Org. with Contract ID],0)))</f>
        <v>--</v>
      </c>
      <c r="V436" s="1314" t="str">
        <f ca="1">IF(CostTrack[[#This Row],[Vendor - Contract]]="","",INDEX(VendorList[Funding Source],MATCH(CostTrack[[#This Row],[Vendor - Contract]],VendorList[Vendor / Org. with Contract ID],0)))</f>
        <v>P-002360</v>
      </c>
      <c r="W436" s="1308">
        <v>44874</v>
      </c>
      <c r="X436" s="1315" t="str">
        <f ca="1">IF(CostTrack[[#This Row],[Release Date (CMS)]]="","*","")</f>
        <v/>
      </c>
      <c r="Y436" s="1308" t="s">
        <v>53</v>
      </c>
      <c r="Z436" s="713"/>
      <c r="AA436" s="1316">
        <f ca="1">IF(OR(CostTrack[[#This Row],[Release Date (CMS)]]&gt;=DATE(VALUE(REPLACE(CostTrack[[#This Row],[Fiscal Period]],3,3,"")),3,1),CostTrack[[#This Row],[Release Date (CMS)]]&lt;DATE(VALUE(LEFT(CostTrack[[#This Row],[Fiscal Period]],4)),4,1)),1,0)</f>
        <v>0</v>
      </c>
      <c r="AB436" s="1317">
        <v>272.11</v>
      </c>
      <c r="AC436" s="1308">
        <v>44914</v>
      </c>
      <c r="AD436" s="402" t="str">
        <f ca="1">IF(CostTrack[[#This Row],[Reconciled Amount]]="","",IF(CostTrack[[#This Row],[Value]]&lt;&gt;CostTrack[[#This Row],[Reconciled Amount]],"Yes","No"))</f>
        <v>No</v>
      </c>
    </row>
    <row r="437" spans="2:30" ht="32.1" customHeight="1">
      <c r="B437" s="706" t="s">
        <v>736</v>
      </c>
      <c r="C437" s="650" t="s">
        <v>1128</v>
      </c>
      <c r="D437" s="267">
        <v>44865</v>
      </c>
      <c r="E437" s="654">
        <v>57057.95</v>
      </c>
      <c r="F437" s="647" t="s">
        <v>69</v>
      </c>
      <c r="G437" s="406">
        <f ca="1">ROUND(IF(CostTrack[[#This Row],[Holdback (Y/N/R)]]="Yes",CostTrack[[#This Row],[Value]]*-0.1,IF(CostTrack[[#This Row],[Holdback (Y/N/R)]]="Release",CostTrack[[#This Row],[Value]],0)),2)</f>
        <v>0</v>
      </c>
      <c r="H437" s="407">
        <f ca="1">IF(CostTrack[[#This Row],[Holdback (Y/N/R)]]="Release",CostTrack[[#This Row],[Value]],CostTrack[[#This Row],[Value]]+CostTrack[[#This Row],[Holdback Value]])</f>
        <v>57057.95</v>
      </c>
      <c r="I437" s="650"/>
      <c r="J437" s="650"/>
      <c r="K437" s="648"/>
      <c r="L437" s="707">
        <v>44865</v>
      </c>
      <c r="M437" s="708">
        <v>44865</v>
      </c>
      <c r="N437" s="709"/>
      <c r="O437" s="210" t="s">
        <v>106</v>
      </c>
      <c r="P437" s="267">
        <v>44865</v>
      </c>
      <c r="Q437" s="243" t="str">
        <f ca="1">IF(CostTrack[[#This Row],[Vendor - Contract]]="","",INDEX(VendorList[PA ID],MATCH(CostTrack[[#This Row],[Vendor - Contract]],VendorList[Vendor / Org. with Contract ID],0)))</f>
        <v>100.010.F1</v>
      </c>
      <c r="R437" s="243" t="str">
        <f ca="1">IF(CostTrack[[#This Row],[Vendor - Contract]]="","",INDEX(VendorList[Primary Category],MATCH(CostTrack[[#This Row],[Vendor - Contract]],VendorList[Vendor / Org. with Contract ID],0)))</f>
        <v>Administration</v>
      </c>
      <c r="S437" s="243" t="str">
        <f ca="1">IF(CostTrack[[#This Row],[Vendor - Contract]]="","",INDEX(VendorList[Secondary Category],MATCH(CostTrack[[#This Row],[Vendor - Contract]],VendorList[Vendor / Org. with Contract ID],0)))</f>
        <v>Staff Capitalization - INFRA</v>
      </c>
      <c r="T437" s="243" t="str">
        <f ca="1">IF(CostTrack[[#This Row],[Vendor - Contract]]="","",INDEX(VendorList[Phase / Subproject],MATCH(CostTrack[[#This Row],[Vendor - Contract]],VendorList[Vendor / Org. with Contract ID],0)))</f>
        <v>--</v>
      </c>
      <c r="U437" s="243" t="str">
        <f ca="1">IF(CostTrack[[#This Row],[Vendor - Contract]]="","",INDEX(VendorList[Phase / Subproject 2],MATCH(CostTrack[[#This Row],[Vendor - Contract]],VendorList[Vendor / Org. with Contract ID],0)))</f>
        <v>--</v>
      </c>
      <c r="V437" s="243" t="str">
        <f ca="1">IF(CostTrack[[#This Row],[Vendor - Contract]]="","",INDEX(VendorList[Funding Source],MATCH(CostTrack[[#This Row],[Vendor - Contract]],VendorList[Vendor / Org. with Contract ID],0)))</f>
        <v>P-002360</v>
      </c>
      <c r="W437" s="267">
        <v>44865</v>
      </c>
      <c r="X437" s="251" t="str">
        <f ca="1">IF(CostTrack[[#This Row],[Release Date (CMS)]]="","*","")</f>
        <v/>
      </c>
      <c r="Y437" s="267" t="s">
        <v>53</v>
      </c>
      <c r="Z437" s="652"/>
      <c r="AA437" s="245">
        <f ca="1">IF(OR(CostTrack[[#This Row],[Release Date (CMS)]]&gt;=DATE(VALUE(REPLACE(CostTrack[[#This Row],[Fiscal Period]],3,3,"")),3,1),CostTrack[[#This Row],[Release Date (CMS)]]&lt;DATE(VALUE(LEFT(CostTrack[[#This Row],[Fiscal Period]],4)),4,1)),1,0)</f>
        <v>0</v>
      </c>
      <c r="AB437" s="655">
        <v>57057.95</v>
      </c>
      <c r="AC437" s="267">
        <v>44887</v>
      </c>
      <c r="AD437" s="402" t="str">
        <f ca="1">IF(CostTrack[[#This Row],[Reconciled Amount]]="","",IF(CostTrack[[#This Row],[Value]]&lt;&gt;CostTrack[[#This Row],[Reconciled Amount]],"Yes","No"))</f>
        <v>No</v>
      </c>
    </row>
    <row r="438" spans="2:30" ht="32.1" customHeight="1">
      <c r="B438" s="706" t="s">
        <v>1087</v>
      </c>
      <c r="C438" s="769" t="s">
        <v>1129</v>
      </c>
      <c r="D438" s="267">
        <v>44866</v>
      </c>
      <c r="E438" s="654">
        <v>13333.91</v>
      </c>
      <c r="F438" s="647" t="s">
        <v>69</v>
      </c>
      <c r="G438" s="406">
        <f ca="1">ROUND(IF(CostTrack[[#This Row],[Holdback (Y/N/R)]]="Yes",CostTrack[[#This Row],[Value]]*-0.1,IF(CostTrack[[#This Row],[Holdback (Y/N/R)]]="Release",CostTrack[[#This Row],[Value]],0)),2)</f>
        <v>0</v>
      </c>
      <c r="H438" s="407">
        <f ca="1">IF(CostTrack[[#This Row],[Holdback (Y/N/R)]]="Release",CostTrack[[#This Row],[Value]],CostTrack[[#This Row],[Value]]+CostTrack[[#This Row],[Holdback Value]])</f>
        <v>13333.91</v>
      </c>
      <c r="I438" s="650"/>
      <c r="J438" s="650"/>
      <c r="K438" s="648"/>
      <c r="L438" s="707">
        <v>44881</v>
      </c>
      <c r="M438" s="708">
        <v>44881</v>
      </c>
      <c r="N438" s="709"/>
      <c r="O438" s="210" t="s">
        <v>106</v>
      </c>
      <c r="P438" s="267">
        <v>44881</v>
      </c>
      <c r="Q438" s="243" t="str">
        <f ca="1">IF(CostTrack[[#This Row],[Vendor - Contract]]="","",INDEX(VendorList[PA ID],MATCH(CostTrack[[#This Row],[Vendor - Contract]],VendorList[Vendor / Org. with Contract ID],0)))</f>
        <v>300.040.F1</v>
      </c>
      <c r="R438" s="243" t="str">
        <f ca="1">IF(CostTrack[[#This Row],[Vendor - Contract]]="","",INDEX(VendorList[Primary Category],MATCH(CostTrack[[#This Row],[Vendor - Contract]],VendorList[Vendor / Org. with Contract ID],0)))</f>
        <v>Construction</v>
      </c>
      <c r="S438" s="243" t="str">
        <f ca="1">IF(CostTrack[[#This Row],[Vendor - Contract]]="","",INDEX(VendorList[Secondary Category],MATCH(CostTrack[[#This Row],[Vendor - Contract]],VendorList[Vendor / Org. with Contract ID],0)))</f>
        <v>Other Contractor</v>
      </c>
      <c r="T438" s="243" t="str">
        <f ca="1">IF(CostTrack[[#This Row],[Vendor - Contract]]="","",INDEX(VendorList[Phase / Subproject],MATCH(CostTrack[[#This Row],[Vendor - Contract]],VendorList[Vendor / Org. with Contract ID],0)))</f>
        <v>--</v>
      </c>
      <c r="U438" s="243" t="str">
        <f ca="1">IF(CostTrack[[#This Row],[Vendor - Contract]]="","",INDEX(VendorList[Phase / Subproject 2],MATCH(CostTrack[[#This Row],[Vendor - Contract]],VendorList[Vendor / Org. with Contract ID],0)))</f>
        <v>--</v>
      </c>
      <c r="V438" s="243" t="str">
        <f ca="1">IF(CostTrack[[#This Row],[Vendor - Contract]]="","",INDEX(VendorList[Funding Source],MATCH(CostTrack[[#This Row],[Vendor - Contract]],VendorList[Vendor / Org. with Contract ID],0)))</f>
        <v>P-002360</v>
      </c>
      <c r="W438" s="267">
        <v>44882</v>
      </c>
      <c r="X438" s="251" t="str">
        <f ca="1">IF(CostTrack[[#This Row],[Release Date (CMS)]]="","*","")</f>
        <v/>
      </c>
      <c r="Y438" s="267" t="s">
        <v>53</v>
      </c>
      <c r="Z438" s="652" t="s">
        <v>1130</v>
      </c>
      <c r="AA438" s="245">
        <f ca="1">IF(OR(CostTrack[[#This Row],[Release Date (CMS)]]&gt;=DATE(VALUE(REPLACE(CostTrack[[#This Row],[Fiscal Period]],3,3,"")),3,1),CostTrack[[#This Row],[Release Date (CMS)]]&lt;DATE(VALUE(LEFT(CostTrack[[#This Row],[Fiscal Period]],4)),4,1)),1,0)</f>
        <v>0</v>
      </c>
      <c r="AB438" s="655">
        <v>13333.91</v>
      </c>
      <c r="AC438" s="267">
        <v>44914</v>
      </c>
      <c r="AD438" s="402" t="str">
        <f ca="1">IF(CostTrack[[#This Row],[Reconciled Amount]]="","",IF(CostTrack[[#This Row],[Value]]&lt;&gt;CostTrack[[#This Row],[Reconciled Amount]],"Yes","No"))</f>
        <v>No</v>
      </c>
    </row>
    <row r="439" spans="2:30" ht="32.1" customHeight="1">
      <c r="B439" s="706" t="s">
        <v>1131</v>
      </c>
      <c r="C439" s="769" t="s">
        <v>1132</v>
      </c>
      <c r="D439" s="267">
        <v>44837</v>
      </c>
      <c r="E439" s="654">
        <v>4395.3599999999997</v>
      </c>
      <c r="F439" s="647" t="s">
        <v>69</v>
      </c>
      <c r="G439" s="406">
        <f ca="1">ROUND(IF(CostTrack[[#This Row],[Holdback (Y/N/R)]]="Yes",CostTrack[[#This Row],[Value]]*-0.1,IF(CostTrack[[#This Row],[Holdback (Y/N/R)]]="Release",CostTrack[[#This Row],[Value]],0)),2)</f>
        <v>0</v>
      </c>
      <c r="H439" s="407">
        <f ca="1">IF(CostTrack[[#This Row],[Holdback (Y/N/R)]]="Release",CostTrack[[#This Row],[Value]],CostTrack[[#This Row],[Value]]+CostTrack[[#This Row],[Holdback Value]])</f>
        <v>4395.3599999999997</v>
      </c>
      <c r="I439" s="650"/>
      <c r="J439" s="650"/>
      <c r="K439" s="648"/>
      <c r="L439" s="707">
        <v>44837</v>
      </c>
      <c r="M439" s="708">
        <v>44837</v>
      </c>
      <c r="N439" s="709"/>
      <c r="O439" s="210" t="s">
        <v>106</v>
      </c>
      <c r="P439" s="267">
        <v>44837</v>
      </c>
      <c r="Q439" s="243" t="str">
        <f ca="1">IF(CostTrack[[#This Row],[Vendor - Contract]]="","",INDEX(VendorList[PA ID],MATCH(CostTrack[[#This Row],[Vendor - Contract]],VendorList[Vendor / Org. with Contract ID],0)))</f>
        <v>400.020.F1</v>
      </c>
      <c r="R439" s="243" t="str">
        <f ca="1">IF(CostTrack[[#This Row],[Vendor - Contract]]="","",INDEX(VendorList[Primary Category],MATCH(CostTrack[[#This Row],[Vendor - Contract]],VendorList[Vendor / Org. with Contract ID],0)))</f>
        <v>FE_IT</v>
      </c>
      <c r="S439" s="243" t="str">
        <f ca="1">IF(CostTrack[[#This Row],[Vendor - Contract]]="","",INDEX(VendorList[Secondary Category],MATCH(CostTrack[[#This Row],[Vendor - Contract]],VendorList[Vendor / Org. with Contract ID],0)))</f>
        <v>Information Technology</v>
      </c>
      <c r="T439" s="243" t="str">
        <f ca="1">IF(CostTrack[[#This Row],[Vendor - Contract]]="","",INDEX(VendorList[Phase / Subproject],MATCH(CostTrack[[#This Row],[Vendor - Contract]],VendorList[Vendor / Org. with Contract ID],0)))</f>
        <v>--</v>
      </c>
      <c r="U439" s="243" t="str">
        <f ca="1">IF(CostTrack[[#This Row],[Vendor - Contract]]="","",INDEX(VendorList[Phase / Subproject 2],MATCH(CostTrack[[#This Row],[Vendor - Contract]],VendorList[Vendor / Org. with Contract ID],0)))</f>
        <v>--</v>
      </c>
      <c r="V439" s="243" t="str">
        <f ca="1">IF(CostTrack[[#This Row],[Vendor - Contract]]="","",INDEX(VendorList[Funding Source],MATCH(CostTrack[[#This Row],[Vendor - Contract]],VendorList[Vendor / Org. with Contract ID],0)))</f>
        <v>P-002360</v>
      </c>
      <c r="W439" s="267">
        <v>44837</v>
      </c>
      <c r="X439" s="251" t="str">
        <f ca="1">IF(CostTrack[[#This Row],[Release Date (CMS)]]="","*","")</f>
        <v/>
      </c>
      <c r="Y439" s="267" t="s">
        <v>53</v>
      </c>
      <c r="Z439" s="652"/>
      <c r="AA439" s="1316">
        <f ca="1">IF(OR(CostTrack[[#This Row],[Release Date (CMS)]]&gt;=DATE(VALUE(REPLACE(CostTrack[[#This Row],[Fiscal Period]],3,3,"")),3,1),CostTrack[[#This Row],[Release Date (CMS)]]&lt;DATE(VALUE(LEFT(CostTrack[[#This Row],[Fiscal Period]],4)),4,1)),1,0)</f>
        <v>0</v>
      </c>
      <c r="AB439" s="655">
        <v>4395.3599999999997</v>
      </c>
      <c r="AC439" s="267">
        <v>44887</v>
      </c>
      <c r="AD439" s="402" t="str">
        <f ca="1">IF(CostTrack[[#This Row],[Reconciled Amount]]="","",IF(CostTrack[[#This Row],[Value]]&lt;&gt;CostTrack[[#This Row],[Reconciled Amount]],"Yes","No"))</f>
        <v>No</v>
      </c>
    </row>
    <row r="440" spans="2:30" ht="32.1" customHeight="1">
      <c r="B440" s="706" t="s">
        <v>1073</v>
      </c>
      <c r="C440" s="769" t="s">
        <v>1133</v>
      </c>
      <c r="D440" s="267">
        <v>44851</v>
      </c>
      <c r="E440" s="654">
        <v>8874.94</v>
      </c>
      <c r="F440" s="647" t="s">
        <v>69</v>
      </c>
      <c r="G440" s="406">
        <f ca="1">ROUND(IF(CostTrack[[#This Row],[Holdback (Y/N/R)]]="Yes",CostTrack[[#This Row],[Value]]*-0.1,IF(CostTrack[[#This Row],[Holdback (Y/N/R)]]="Release",CostTrack[[#This Row],[Value]],0)),2)</f>
        <v>0</v>
      </c>
      <c r="H440" s="407">
        <f ca="1">IF(CostTrack[[#This Row],[Holdback (Y/N/R)]]="Release",CostTrack[[#This Row],[Value]],CostTrack[[#This Row],[Value]]+CostTrack[[#This Row],[Holdback Value]])</f>
        <v>8874.94</v>
      </c>
      <c r="I440" s="650"/>
      <c r="J440" s="650"/>
      <c r="K440" s="648"/>
      <c r="L440" s="707">
        <v>44851</v>
      </c>
      <c r="M440" s="708">
        <v>44851</v>
      </c>
      <c r="N440" s="709"/>
      <c r="O440" s="210" t="s">
        <v>106</v>
      </c>
      <c r="P440" s="267">
        <v>44851</v>
      </c>
      <c r="Q440" s="243" t="str">
        <f ca="1">IF(CostTrack[[#This Row],[Vendor - Contract]]="","",INDEX(VendorList[PA ID],MATCH(CostTrack[[#This Row],[Vendor - Contract]],VendorList[Vendor / Org. with Contract ID],0)))</f>
        <v>400.020.F1</v>
      </c>
      <c r="R440" s="243" t="str">
        <f ca="1">IF(CostTrack[[#This Row],[Vendor - Contract]]="","",INDEX(VendorList[Primary Category],MATCH(CostTrack[[#This Row],[Vendor - Contract]],VendorList[Vendor / Org. with Contract ID],0)))</f>
        <v>FE_IT</v>
      </c>
      <c r="S440" s="243" t="str">
        <f ca="1">IF(CostTrack[[#This Row],[Vendor - Contract]]="","",INDEX(VendorList[Secondary Category],MATCH(CostTrack[[#This Row],[Vendor - Contract]],VendorList[Vendor / Org. with Contract ID],0)))</f>
        <v>Information Technology</v>
      </c>
      <c r="T440" s="243" t="str">
        <f ca="1">IF(CostTrack[[#This Row],[Vendor - Contract]]="","",INDEX(VendorList[Phase / Subproject],MATCH(CostTrack[[#This Row],[Vendor - Contract]],VendorList[Vendor / Org. with Contract ID],0)))</f>
        <v>--</v>
      </c>
      <c r="U440" s="243" t="str">
        <f ca="1">IF(CostTrack[[#This Row],[Vendor - Contract]]="","",INDEX(VendorList[Phase / Subproject 2],MATCH(CostTrack[[#This Row],[Vendor - Contract]],VendorList[Vendor / Org. with Contract ID],0)))</f>
        <v>--</v>
      </c>
      <c r="V440" s="243" t="str">
        <f ca="1">IF(CostTrack[[#This Row],[Vendor - Contract]]="","",INDEX(VendorList[Funding Source],MATCH(CostTrack[[#This Row],[Vendor - Contract]],VendorList[Vendor / Org. with Contract ID],0)))</f>
        <v>P-002360</v>
      </c>
      <c r="W440" s="267">
        <v>44851</v>
      </c>
      <c r="X440" s="251" t="str">
        <f ca="1">IF(CostTrack[[#This Row],[Release Date (CMS)]]="","*","")</f>
        <v/>
      </c>
      <c r="Y440" s="267" t="s">
        <v>53</v>
      </c>
      <c r="Z440" s="652"/>
      <c r="AA440" s="245">
        <f ca="1">IF(OR(CostTrack[[#This Row],[Release Date (CMS)]]&gt;=DATE(VALUE(REPLACE(CostTrack[[#This Row],[Fiscal Period]],3,3,"")),3,1),CostTrack[[#This Row],[Release Date (CMS)]]&lt;DATE(VALUE(LEFT(CostTrack[[#This Row],[Fiscal Period]],4)),4,1)),1,0)</f>
        <v>0</v>
      </c>
      <c r="AB440" s="655">
        <v>8874.94</v>
      </c>
      <c r="AC440" s="267">
        <v>44887</v>
      </c>
      <c r="AD440" s="402" t="str">
        <f ca="1">IF(CostTrack[[#This Row],[Reconciled Amount]]="","",IF(CostTrack[[#This Row],[Value]]&lt;&gt;CostTrack[[#This Row],[Reconciled Amount]],"Yes","No"))</f>
        <v>No</v>
      </c>
    </row>
    <row r="441" spans="2:30" ht="32.1" customHeight="1">
      <c r="B441" s="706" t="s">
        <v>1134</v>
      </c>
      <c r="C441" s="681" t="s">
        <v>1135</v>
      </c>
      <c r="D441" s="267">
        <v>44838</v>
      </c>
      <c r="E441" s="654">
        <v>598441.19999999995</v>
      </c>
      <c r="F441" s="647" t="s">
        <v>69</v>
      </c>
      <c r="G441" s="406">
        <f ca="1">ROUND(IF(CostTrack[[#This Row],[Holdback (Y/N/R)]]="Yes",CostTrack[[#This Row],[Value]]*-0.1,IF(CostTrack[[#This Row],[Holdback (Y/N/R)]]="Release",CostTrack[[#This Row],[Value]],0)),2)</f>
        <v>0</v>
      </c>
      <c r="H441" s="407">
        <f ca="1">IF(CostTrack[[#This Row],[Holdback (Y/N/R)]]="Release",CostTrack[[#This Row],[Value]],CostTrack[[#This Row],[Value]]+CostTrack[[#This Row],[Holdback Value]])</f>
        <v>598441.19999999995</v>
      </c>
      <c r="I441" s="650"/>
      <c r="J441" s="650"/>
      <c r="K441" s="648"/>
      <c r="L441" s="707">
        <v>44838</v>
      </c>
      <c r="M441" s="708">
        <v>44838</v>
      </c>
      <c r="N441" s="709"/>
      <c r="O441" s="210" t="s">
        <v>106</v>
      </c>
      <c r="P441" s="267">
        <v>44838</v>
      </c>
      <c r="Q441" s="243" t="str">
        <f ca="1">IF(CostTrack[[#This Row],[Vendor - Contract]]="","",INDEX(VendorList[PA ID],MATCH(CostTrack[[#This Row],[Vendor - Contract]],VendorList[Vendor / Org. with Contract ID],0)))</f>
        <v>400.020.F1</v>
      </c>
      <c r="R441" s="243" t="str">
        <f ca="1">IF(CostTrack[[#This Row],[Vendor - Contract]]="","",INDEX(VendorList[Primary Category],MATCH(CostTrack[[#This Row],[Vendor - Contract]],VendorList[Vendor / Org. with Contract ID],0)))</f>
        <v>FE_IT</v>
      </c>
      <c r="S441" s="243" t="str">
        <f ca="1">IF(CostTrack[[#This Row],[Vendor - Contract]]="","",INDEX(VendorList[Secondary Category],MATCH(CostTrack[[#This Row],[Vendor - Contract]],VendorList[Vendor / Org. with Contract ID],0)))</f>
        <v>Information Technology</v>
      </c>
      <c r="T441" s="243" t="str">
        <f ca="1">IF(CostTrack[[#This Row],[Vendor - Contract]]="","",INDEX(VendorList[Phase / Subproject],MATCH(CostTrack[[#This Row],[Vendor - Contract]],VendorList[Vendor / Org. with Contract ID],0)))</f>
        <v>--</v>
      </c>
      <c r="U441" s="243" t="str">
        <f ca="1">IF(CostTrack[[#This Row],[Vendor - Contract]]="","",INDEX(VendorList[Phase / Subproject 2],MATCH(CostTrack[[#This Row],[Vendor - Contract]],VendorList[Vendor / Org. with Contract ID],0)))</f>
        <v>--</v>
      </c>
      <c r="V441" s="243" t="str">
        <f ca="1">IF(CostTrack[[#This Row],[Vendor - Contract]]="","",INDEX(VendorList[Funding Source],MATCH(CostTrack[[#This Row],[Vendor - Contract]],VendorList[Vendor / Org. with Contract ID],0)))</f>
        <v>P-002360</v>
      </c>
      <c r="W441" s="267">
        <v>44838</v>
      </c>
      <c r="X441" s="251" t="str">
        <f ca="1">IF(CostTrack[[#This Row],[Release Date (CMS)]]="","*","")</f>
        <v/>
      </c>
      <c r="Y441" s="267" t="s">
        <v>53</v>
      </c>
      <c r="Z441" s="652"/>
      <c r="AA441" s="245">
        <f ca="1">IF(OR(CostTrack[[#This Row],[Release Date (CMS)]]&gt;=DATE(VALUE(REPLACE(CostTrack[[#This Row],[Fiscal Period]],3,3,"")),3,1),CostTrack[[#This Row],[Release Date (CMS)]]&lt;DATE(VALUE(LEFT(CostTrack[[#This Row],[Fiscal Period]],4)),4,1)),1,0)</f>
        <v>0</v>
      </c>
      <c r="AB441" s="655">
        <v>598441.19999999995</v>
      </c>
      <c r="AC441" s="267">
        <v>44887</v>
      </c>
      <c r="AD441" s="402" t="str">
        <f ca="1">IF(CostTrack[[#This Row],[Reconciled Amount]]="","",IF(CostTrack[[#This Row],[Value]]&lt;&gt;CostTrack[[#This Row],[Reconciled Amount]],"Yes","No"))</f>
        <v>No</v>
      </c>
    </row>
    <row r="442" spans="2:30" ht="32.1" customHeight="1">
      <c r="B442" s="706" t="s">
        <v>1134</v>
      </c>
      <c r="C442" s="770" t="s">
        <v>1136</v>
      </c>
      <c r="D442" s="267">
        <v>44840</v>
      </c>
      <c r="E442" s="654">
        <v>495.78</v>
      </c>
      <c r="F442" s="647" t="s">
        <v>69</v>
      </c>
      <c r="G442" s="406">
        <f ca="1">ROUND(IF(CostTrack[[#This Row],[Holdback (Y/N/R)]]="Yes",CostTrack[[#This Row],[Value]]*-0.1,IF(CostTrack[[#This Row],[Holdback (Y/N/R)]]="Release",CostTrack[[#This Row],[Value]],0)),2)</f>
        <v>0</v>
      </c>
      <c r="H442" s="407">
        <f ca="1">IF(CostTrack[[#This Row],[Holdback (Y/N/R)]]="Release",CostTrack[[#This Row],[Value]],CostTrack[[#This Row],[Value]]+CostTrack[[#This Row],[Holdback Value]])</f>
        <v>495.78</v>
      </c>
      <c r="I442" s="650"/>
      <c r="J442" s="650"/>
      <c r="K442" s="648"/>
      <c r="L442" s="707">
        <v>44840</v>
      </c>
      <c r="M442" s="708">
        <v>44840</v>
      </c>
      <c r="N442" s="709"/>
      <c r="O442" s="210" t="s">
        <v>106</v>
      </c>
      <c r="P442" s="267">
        <v>44840</v>
      </c>
      <c r="Q442" s="243" t="str">
        <f ca="1">IF(CostTrack[[#This Row],[Vendor - Contract]]="","",INDEX(VendorList[PA ID],MATCH(CostTrack[[#This Row],[Vendor - Contract]],VendorList[Vendor / Org. with Contract ID],0)))</f>
        <v>400.020.F1</v>
      </c>
      <c r="R442" s="243" t="str">
        <f ca="1">IF(CostTrack[[#This Row],[Vendor - Contract]]="","",INDEX(VendorList[Primary Category],MATCH(CostTrack[[#This Row],[Vendor - Contract]],VendorList[Vendor / Org. with Contract ID],0)))</f>
        <v>FE_IT</v>
      </c>
      <c r="S442" s="243" t="str">
        <f ca="1">IF(CostTrack[[#This Row],[Vendor - Contract]]="","",INDEX(VendorList[Secondary Category],MATCH(CostTrack[[#This Row],[Vendor - Contract]],VendorList[Vendor / Org. with Contract ID],0)))</f>
        <v>Information Technology</v>
      </c>
      <c r="T442" s="243" t="str">
        <f ca="1">IF(CostTrack[[#This Row],[Vendor - Contract]]="","",INDEX(VendorList[Phase / Subproject],MATCH(CostTrack[[#This Row],[Vendor - Contract]],VendorList[Vendor / Org. with Contract ID],0)))</f>
        <v>--</v>
      </c>
      <c r="U442" s="243" t="str">
        <f ca="1">IF(CostTrack[[#This Row],[Vendor - Contract]]="","",INDEX(VendorList[Phase / Subproject 2],MATCH(CostTrack[[#This Row],[Vendor - Contract]],VendorList[Vendor / Org. with Contract ID],0)))</f>
        <v>--</v>
      </c>
      <c r="V442" s="243" t="str">
        <f ca="1">IF(CostTrack[[#This Row],[Vendor - Contract]]="","",INDEX(VendorList[Funding Source],MATCH(CostTrack[[#This Row],[Vendor - Contract]],VendorList[Vendor / Org. with Contract ID],0)))</f>
        <v>P-002360</v>
      </c>
      <c r="W442" s="267">
        <v>44840</v>
      </c>
      <c r="X442" s="251" t="str">
        <f ca="1">IF(CostTrack[[#This Row],[Release Date (CMS)]]="","*","")</f>
        <v/>
      </c>
      <c r="Y442" s="267" t="s">
        <v>53</v>
      </c>
      <c r="Z442" s="652"/>
      <c r="AA442" s="245">
        <f ca="1">IF(OR(CostTrack[[#This Row],[Release Date (CMS)]]&gt;=DATE(VALUE(REPLACE(CostTrack[[#This Row],[Fiscal Period]],3,3,"")),3,1),CostTrack[[#This Row],[Release Date (CMS)]]&lt;DATE(VALUE(LEFT(CostTrack[[#This Row],[Fiscal Period]],4)),4,1)),1,0)</f>
        <v>0</v>
      </c>
      <c r="AB442" s="655">
        <v>495.78</v>
      </c>
      <c r="AC442" s="267">
        <v>44887</v>
      </c>
      <c r="AD442" s="402" t="str">
        <f ca="1">IF(CostTrack[[#This Row],[Reconciled Amount]]="","",IF(CostTrack[[#This Row],[Value]]&lt;&gt;CostTrack[[#This Row],[Reconciled Amount]],"Yes","No"))</f>
        <v>No</v>
      </c>
    </row>
    <row r="443" spans="2:30" ht="32.1" customHeight="1">
      <c r="B443" s="706" t="s">
        <v>1134</v>
      </c>
      <c r="C443" s="770" t="s">
        <v>1137</v>
      </c>
      <c r="D443" s="267">
        <v>44847</v>
      </c>
      <c r="E443" s="654">
        <v>1538.4</v>
      </c>
      <c r="F443" s="647" t="s">
        <v>69</v>
      </c>
      <c r="G443" s="406">
        <f ca="1">ROUND(IF(CostTrack[[#This Row],[Holdback (Y/N/R)]]="Yes",CostTrack[[#This Row],[Value]]*-0.1,IF(CostTrack[[#This Row],[Holdback (Y/N/R)]]="Release",CostTrack[[#This Row],[Value]],0)),2)</f>
        <v>0</v>
      </c>
      <c r="H443" s="407">
        <f ca="1">IF(CostTrack[[#This Row],[Holdback (Y/N/R)]]="Release",CostTrack[[#This Row],[Value]],CostTrack[[#This Row],[Value]]+CostTrack[[#This Row],[Holdback Value]])</f>
        <v>1538.4</v>
      </c>
      <c r="I443" s="650"/>
      <c r="J443" s="650"/>
      <c r="K443" s="648"/>
      <c r="L443" s="707">
        <v>44847</v>
      </c>
      <c r="M443" s="708">
        <v>44847</v>
      </c>
      <c r="N443" s="773"/>
      <c r="O443" s="772" t="s">
        <v>106</v>
      </c>
      <c r="P443" s="267">
        <v>44847</v>
      </c>
      <c r="Q443" s="243" t="str">
        <f ca="1">IF(CostTrack[[#This Row],[Vendor - Contract]]="","",INDEX(VendorList[PA ID],MATCH(CostTrack[[#This Row],[Vendor - Contract]],VendorList[Vendor / Org. with Contract ID],0)))</f>
        <v>400.020.F1</v>
      </c>
      <c r="R443" s="243" t="str">
        <f ca="1">IF(CostTrack[[#This Row],[Vendor - Contract]]="","",INDEX(VendorList[Primary Category],MATCH(CostTrack[[#This Row],[Vendor - Contract]],VendorList[Vendor / Org. with Contract ID],0)))</f>
        <v>FE_IT</v>
      </c>
      <c r="S443" s="243" t="str">
        <f ca="1">IF(CostTrack[[#This Row],[Vendor - Contract]]="","",INDEX(VendorList[Secondary Category],MATCH(CostTrack[[#This Row],[Vendor - Contract]],VendorList[Vendor / Org. with Contract ID],0)))</f>
        <v>Information Technology</v>
      </c>
      <c r="T443" s="243" t="str">
        <f ca="1">IF(CostTrack[[#This Row],[Vendor - Contract]]="","",INDEX(VendorList[Phase / Subproject],MATCH(CostTrack[[#This Row],[Vendor - Contract]],VendorList[Vendor / Org. with Contract ID],0)))</f>
        <v>--</v>
      </c>
      <c r="U443" s="243" t="str">
        <f ca="1">IF(CostTrack[[#This Row],[Vendor - Contract]]="","",INDEX(VendorList[Phase / Subproject 2],MATCH(CostTrack[[#This Row],[Vendor - Contract]],VendorList[Vendor / Org. with Contract ID],0)))</f>
        <v>--</v>
      </c>
      <c r="V443" s="243" t="str">
        <f ca="1">IF(CostTrack[[#This Row],[Vendor - Contract]]="","",INDEX(VendorList[Funding Source],MATCH(CostTrack[[#This Row],[Vendor - Contract]],VendorList[Vendor / Org. with Contract ID],0)))</f>
        <v>P-002360</v>
      </c>
      <c r="W443" s="267">
        <v>44847</v>
      </c>
      <c r="X443" s="251" t="str">
        <f ca="1">IF(CostTrack[[#This Row],[Release Date (CMS)]]="","*","")</f>
        <v/>
      </c>
      <c r="Y443" s="267" t="s">
        <v>53</v>
      </c>
      <c r="Z443" s="652"/>
      <c r="AA443" s="245">
        <f ca="1">IF(OR(CostTrack[[#This Row],[Release Date (CMS)]]&gt;=DATE(VALUE(REPLACE(CostTrack[[#This Row],[Fiscal Period]],3,3,"")),3,1),CostTrack[[#This Row],[Release Date (CMS)]]&lt;DATE(VALUE(LEFT(CostTrack[[#This Row],[Fiscal Period]],4)),4,1)),1,0)</f>
        <v>0</v>
      </c>
      <c r="AB443" s="655">
        <v>1538.4</v>
      </c>
      <c r="AC443" s="267">
        <v>44887</v>
      </c>
      <c r="AD443" s="402" t="str">
        <f ca="1">IF(CostTrack[[#This Row],[Reconciled Amount]]="","",IF(CostTrack[[#This Row],[Value]]&lt;&gt;CostTrack[[#This Row],[Reconciled Amount]],"Yes","No"))</f>
        <v>No</v>
      </c>
    </row>
    <row r="444" spans="2:30" ht="32.1" customHeight="1">
      <c r="B444" s="1324" t="s">
        <v>1138</v>
      </c>
      <c r="C444" s="771" t="s">
        <v>1139</v>
      </c>
      <c r="D444" s="1308">
        <v>44735</v>
      </c>
      <c r="E444" s="658">
        <v>35</v>
      </c>
      <c r="F444" s="1309" t="s">
        <v>69</v>
      </c>
      <c r="G444" s="1310">
        <f ca="1">ROUND(IF(CostTrack[[#This Row],[Holdback (Y/N/R)]]="Yes",CostTrack[[#This Row],[Value]]*-0.1,IF(CostTrack[[#This Row],[Holdback (Y/N/R)]]="Release",CostTrack[[#This Row],[Value]],0)),2)</f>
        <v>0</v>
      </c>
      <c r="H444" s="1311">
        <f ca="1">IF(CostTrack[[#This Row],[Holdback (Y/N/R)]]="Release",CostTrack[[#This Row],[Value]],CostTrack[[#This Row],[Value]]+CostTrack[[#This Row],[Holdback Value]])</f>
        <v>35</v>
      </c>
      <c r="I444" s="1312"/>
      <c r="J444" s="1312"/>
      <c r="K444" s="1313"/>
      <c r="L444" s="1325">
        <v>44735</v>
      </c>
      <c r="M444" s="1326">
        <v>44735</v>
      </c>
      <c r="N444" s="1335"/>
      <c r="O444" s="1336" t="s">
        <v>106</v>
      </c>
      <c r="P444" s="1308">
        <v>44735</v>
      </c>
      <c r="Q444" s="1314" t="str">
        <f ca="1">IF(CostTrack[[#This Row],[Vendor - Contract]]="","",INDEX(VendorList[PA ID],MATCH(CostTrack[[#This Row],[Vendor - Contract]],VendorList[Vendor / Org. with Contract ID],0)))</f>
        <v>300.040.F1</v>
      </c>
      <c r="R444" s="1314" t="str">
        <f ca="1">IF(CostTrack[[#This Row],[Vendor - Contract]]="","",INDEX(VendorList[Primary Category],MATCH(CostTrack[[#This Row],[Vendor - Contract]],VendorList[Vendor / Org. with Contract ID],0)))</f>
        <v>Construction</v>
      </c>
      <c r="S444" s="1314" t="str">
        <f ca="1">IF(CostTrack[[#This Row],[Vendor - Contract]]="","",INDEX(VendorList[Secondary Category],MATCH(CostTrack[[#This Row],[Vendor - Contract]],VendorList[Vendor / Org. with Contract ID],0)))</f>
        <v>Other Contractor</v>
      </c>
      <c r="T444" s="1314" t="str">
        <f ca="1">IF(CostTrack[[#This Row],[Vendor - Contract]]="","",INDEX(VendorList[Phase / Subproject],MATCH(CostTrack[[#This Row],[Vendor - Contract]],VendorList[Vendor / Org. with Contract ID],0)))</f>
        <v>--</v>
      </c>
      <c r="U444" s="1314" t="str">
        <f ca="1">IF(CostTrack[[#This Row],[Vendor - Contract]]="","",INDEX(VendorList[Phase / Subproject 2],MATCH(CostTrack[[#This Row],[Vendor - Contract]],VendorList[Vendor / Org. with Contract ID],0)))</f>
        <v>--</v>
      </c>
      <c r="V444" s="1314" t="str">
        <f ca="1">IF(CostTrack[[#This Row],[Vendor - Contract]]="","",INDEX(VendorList[Funding Source],MATCH(CostTrack[[#This Row],[Vendor - Contract]],VendorList[Vendor / Org. with Contract ID],0)))</f>
        <v>P-002360</v>
      </c>
      <c r="W444" s="1308">
        <v>44735</v>
      </c>
      <c r="X444" s="1315" t="str">
        <f ca="1">IF(CostTrack[[#This Row],[Release Date (CMS)]]="","*","")</f>
        <v/>
      </c>
      <c r="Y444" s="1308" t="s">
        <v>53</v>
      </c>
      <c r="Z444" s="713"/>
      <c r="AA444" s="1316">
        <f ca="1">IF(OR(CostTrack[[#This Row],[Release Date (CMS)]]&gt;=DATE(VALUE(REPLACE(CostTrack[[#This Row],[Fiscal Period]],3,3,"")),3,1),CostTrack[[#This Row],[Release Date (CMS)]]&lt;DATE(VALUE(LEFT(CostTrack[[#This Row],[Fiscal Period]],4)),4,1)),1,0)</f>
        <v>0</v>
      </c>
      <c r="AB444" s="1317">
        <v>35</v>
      </c>
      <c r="AC444" s="1308">
        <v>44887</v>
      </c>
      <c r="AD444" s="402" t="str">
        <f ca="1">IF(CostTrack[[#This Row],[Reconciled Amount]]="","",IF(CostTrack[[#This Row],[Value]]&lt;&gt;CostTrack[[#This Row],[Reconciled Amount]],"Yes","No"))</f>
        <v>No</v>
      </c>
    </row>
    <row r="445" spans="2:30" ht="32.1" customHeight="1">
      <c r="B445" s="706" t="s">
        <v>1140</v>
      </c>
      <c r="C445" s="681" t="s">
        <v>1141</v>
      </c>
      <c r="D445" s="267">
        <v>44837</v>
      </c>
      <c r="E445" s="654">
        <v>48800.28</v>
      </c>
      <c r="F445" s="647" t="s">
        <v>69</v>
      </c>
      <c r="G445" s="406">
        <f ca="1">ROUND(IF(CostTrack[[#This Row],[Holdback (Y/N/R)]]="Yes",CostTrack[[#This Row],[Value]]*-0.1,IF(CostTrack[[#This Row],[Holdback (Y/N/R)]]="Release",CostTrack[[#This Row],[Value]],0)),2)</f>
        <v>0</v>
      </c>
      <c r="H445" s="407">
        <f ca="1">IF(CostTrack[[#This Row],[Holdback (Y/N/R)]]="Release",CostTrack[[#This Row],[Value]],CostTrack[[#This Row],[Value]]+CostTrack[[#This Row],[Holdback Value]])</f>
        <v>48800.28</v>
      </c>
      <c r="I445" s="650"/>
      <c r="J445" s="650"/>
      <c r="K445" s="648"/>
      <c r="L445" s="707">
        <v>44837</v>
      </c>
      <c r="M445" s="708">
        <v>44837</v>
      </c>
      <c r="N445" s="773"/>
      <c r="O445" s="772" t="s">
        <v>106</v>
      </c>
      <c r="P445" s="267">
        <v>44837</v>
      </c>
      <c r="Q445" s="243" t="str">
        <f ca="1">IF(CostTrack[[#This Row],[Vendor - Contract]]="","",INDEX(VendorList[PA ID],MATCH(CostTrack[[#This Row],[Vendor - Contract]],VendorList[Vendor / Org. with Contract ID],0)))</f>
        <v>300.040.F1</v>
      </c>
      <c r="R445" s="243" t="str">
        <f ca="1">IF(CostTrack[[#This Row],[Vendor - Contract]]="","",INDEX(VendorList[Primary Category],MATCH(CostTrack[[#This Row],[Vendor - Contract]],VendorList[Vendor / Org. with Contract ID],0)))</f>
        <v>Construction</v>
      </c>
      <c r="S445" s="243" t="str">
        <f ca="1">IF(CostTrack[[#This Row],[Vendor - Contract]]="","",INDEX(VendorList[Secondary Category],MATCH(CostTrack[[#This Row],[Vendor - Contract]],VendorList[Vendor / Org. with Contract ID],0)))</f>
        <v>Other Contractor</v>
      </c>
      <c r="T445" s="243" t="str">
        <f ca="1">IF(CostTrack[[#This Row],[Vendor - Contract]]="","",INDEX(VendorList[Phase / Subproject],MATCH(CostTrack[[#This Row],[Vendor - Contract]],VendorList[Vendor / Org. with Contract ID],0)))</f>
        <v>--</v>
      </c>
      <c r="U445" s="243" t="str">
        <f ca="1">IF(CostTrack[[#This Row],[Vendor - Contract]]="","",INDEX(VendorList[Phase / Subproject 2],MATCH(CostTrack[[#This Row],[Vendor - Contract]],VendorList[Vendor / Org. with Contract ID],0)))</f>
        <v>--</v>
      </c>
      <c r="V445" s="243" t="str">
        <f ca="1">IF(CostTrack[[#This Row],[Vendor - Contract]]="","",INDEX(VendorList[Funding Source],MATCH(CostTrack[[#This Row],[Vendor - Contract]],VendorList[Vendor / Org. with Contract ID],0)))</f>
        <v>P-002360</v>
      </c>
      <c r="W445" s="267">
        <v>44837</v>
      </c>
      <c r="X445" s="251" t="str">
        <f ca="1">IF(CostTrack[[#This Row],[Release Date (CMS)]]="","*","")</f>
        <v/>
      </c>
      <c r="Y445" s="267" t="s">
        <v>53</v>
      </c>
      <c r="Z445" s="652"/>
      <c r="AA445" s="245">
        <f ca="1">IF(OR(CostTrack[[#This Row],[Release Date (CMS)]]&gt;=DATE(VALUE(REPLACE(CostTrack[[#This Row],[Fiscal Period]],3,3,"")),3,1),CostTrack[[#This Row],[Release Date (CMS)]]&lt;DATE(VALUE(LEFT(CostTrack[[#This Row],[Fiscal Period]],4)),4,1)),1,0)</f>
        <v>0</v>
      </c>
      <c r="AB445" s="655">
        <v>48800.28</v>
      </c>
      <c r="AC445" s="267">
        <v>44887</v>
      </c>
      <c r="AD445" s="402" t="str">
        <f ca="1">IF(CostTrack[[#This Row],[Reconciled Amount]]="","",IF(CostTrack[[#This Row],[Value]]&lt;&gt;CostTrack[[#This Row],[Reconciled Amount]],"Yes","No"))</f>
        <v>No</v>
      </c>
    </row>
    <row r="446" spans="2:30" ht="25.5" customHeight="1">
      <c r="B446" s="1324" t="s">
        <v>710</v>
      </c>
      <c r="C446" s="1323">
        <v>100603633412</v>
      </c>
      <c r="D446" s="1308">
        <v>44882</v>
      </c>
      <c r="E446" s="658">
        <v>43.64</v>
      </c>
      <c r="F446" s="1309" t="s">
        <v>69</v>
      </c>
      <c r="G446" s="1310">
        <f ca="1">ROUND(IF(CostTrack[[#This Row],[Holdback (Y/N/R)]]="Yes",CostTrack[[#This Row],[Value]]*-0.1,IF(CostTrack[[#This Row],[Holdback (Y/N/R)]]="Release",CostTrack[[#This Row],[Value]],0)),2)</f>
        <v>0</v>
      </c>
      <c r="H446" s="1311">
        <f ca="1">IF(CostTrack[[#This Row],[Holdback (Y/N/R)]]="Release",CostTrack[[#This Row],[Value]],CostTrack[[#This Row],[Value]]+CostTrack[[#This Row],[Holdback Value]])</f>
        <v>43.64</v>
      </c>
      <c r="I446" s="1312"/>
      <c r="J446" s="1312"/>
      <c r="K446" s="1313"/>
      <c r="L446" s="1325">
        <v>44893</v>
      </c>
      <c r="M446" s="1326">
        <v>45258</v>
      </c>
      <c r="N446" s="1335"/>
      <c r="O446" s="1328" t="s">
        <v>106</v>
      </c>
      <c r="P446" s="1308">
        <v>44893</v>
      </c>
      <c r="Q446" s="1314" t="str">
        <f ca="1">IF(CostTrack[[#This Row],[Vendor - Contract]]="","",INDEX(VendorList[PA ID],MATCH(CostTrack[[#This Row],[Vendor - Contract]],VendorList[Vendor / Org. with Contract ID],0)))</f>
        <v>300.040.F1</v>
      </c>
      <c r="R446" s="1314" t="str">
        <f ca="1">IF(CostTrack[[#This Row],[Vendor - Contract]]="","",INDEX(VendorList[Primary Category],MATCH(CostTrack[[#This Row],[Vendor - Contract]],VendorList[Vendor / Org. with Contract ID],0)))</f>
        <v>Construction</v>
      </c>
      <c r="S446" s="1314" t="str">
        <f ca="1">IF(CostTrack[[#This Row],[Vendor - Contract]]="","",INDEX(VendorList[Secondary Category],MATCH(CostTrack[[#This Row],[Vendor - Contract]],VendorList[Vendor / Org. with Contract ID],0)))</f>
        <v>Other Contractor</v>
      </c>
      <c r="T446" s="1314" t="str">
        <f ca="1">IF(CostTrack[[#This Row],[Vendor - Contract]]="","",INDEX(VendorList[Phase / Subproject],MATCH(CostTrack[[#This Row],[Vendor - Contract]],VendorList[Vendor / Org. with Contract ID],0)))</f>
        <v>--</v>
      </c>
      <c r="U446" s="1314" t="str">
        <f ca="1">IF(CostTrack[[#This Row],[Vendor - Contract]]="","",INDEX(VendorList[Phase / Subproject 2],MATCH(CostTrack[[#This Row],[Vendor - Contract]],VendorList[Vendor / Org. with Contract ID],0)))</f>
        <v>--</v>
      </c>
      <c r="V446" s="1314" t="str">
        <f ca="1">IF(CostTrack[[#This Row],[Vendor - Contract]]="","",INDEX(VendorList[Funding Source],MATCH(CostTrack[[#This Row],[Vendor - Contract]],VendorList[Vendor / Org. with Contract ID],0)))</f>
        <v>P-002360</v>
      </c>
      <c r="W446" s="1308">
        <v>44896</v>
      </c>
      <c r="X446" s="1315" t="str">
        <f ca="1">IF(CostTrack[[#This Row],[Release Date (CMS)]]="","*","")</f>
        <v/>
      </c>
      <c r="Y446" s="1308" t="s">
        <v>53</v>
      </c>
      <c r="Z446" s="713"/>
      <c r="AA446" s="1316">
        <f ca="1">IF(OR(CostTrack[[#This Row],[Release Date (CMS)]]&gt;=DATE(VALUE(REPLACE(CostTrack[[#This Row],[Fiscal Period]],3,3,"")),3,1),CostTrack[[#This Row],[Release Date (CMS)]]&lt;DATE(VALUE(LEFT(CostTrack[[#This Row],[Fiscal Period]],4)),4,1)),1,0)</f>
        <v>0</v>
      </c>
      <c r="AB446" s="1317">
        <v>43.64</v>
      </c>
      <c r="AC446" s="1308">
        <v>44914</v>
      </c>
      <c r="AD446" s="402" t="str">
        <f ca="1">IF(CostTrack[[#This Row],[Reconciled Amount]]="","",IF(CostTrack[[#This Row],[Value]]&lt;&gt;CostTrack[[#This Row],[Reconciled Amount]],"Yes","No"))</f>
        <v>No</v>
      </c>
    </row>
    <row r="447" spans="2:30" ht="32.1" customHeight="1">
      <c r="B447" s="1324" t="s">
        <v>655</v>
      </c>
      <c r="C447" s="1312">
        <v>3066</v>
      </c>
      <c r="D447" s="1308">
        <v>44893</v>
      </c>
      <c r="E447" s="658">
        <v>1624</v>
      </c>
      <c r="F447" s="1309" t="s">
        <v>69</v>
      </c>
      <c r="G447" s="1310">
        <f ca="1">ROUND(IF(CostTrack[[#This Row],[Holdback (Y/N/R)]]="Yes",CostTrack[[#This Row],[Value]]*-0.1,IF(CostTrack[[#This Row],[Holdback (Y/N/R)]]="Release",CostTrack[[#This Row],[Value]],0)),2)</f>
        <v>0</v>
      </c>
      <c r="H447" s="1311">
        <f ca="1">IF(CostTrack[[#This Row],[Holdback (Y/N/R)]]="Release",CostTrack[[#This Row],[Value]],CostTrack[[#This Row],[Value]]+CostTrack[[#This Row],[Holdback Value]])</f>
        <v>1624</v>
      </c>
      <c r="I447" s="1312"/>
      <c r="J447" s="1312"/>
      <c r="K447" s="1313"/>
      <c r="L447" s="1325">
        <v>44893</v>
      </c>
      <c r="M447" s="1326">
        <v>44893</v>
      </c>
      <c r="N447" s="1335"/>
      <c r="O447" s="1328" t="s">
        <v>106</v>
      </c>
      <c r="P447" s="1308">
        <v>44893</v>
      </c>
      <c r="Q447" s="1314" t="str">
        <f ca="1">IF(CostTrack[[#This Row],[Vendor - Contract]]="","",INDEX(VendorList[PA ID],MATCH(CostTrack[[#This Row],[Vendor - Contract]],VendorList[Vendor / Org. with Contract ID],0)))</f>
        <v>200.050.F1</v>
      </c>
      <c r="R447" s="1314" t="str">
        <f ca="1">IF(CostTrack[[#This Row],[Vendor - Contract]]="","",INDEX(VendorList[Primary Category],MATCH(CostTrack[[#This Row],[Vendor - Contract]],VendorList[Vendor / Org. with Contract ID],0)))</f>
        <v>Professional Services</v>
      </c>
      <c r="S447" s="1314" t="str">
        <f ca="1">IF(CostTrack[[#This Row],[Vendor - Contract]]="","",INDEX(VendorList[Secondary Category],MATCH(CostTrack[[#This Row],[Vendor - Contract]],VendorList[Vendor / Org. with Contract ID],0)))</f>
        <v>Other Professional Services</v>
      </c>
      <c r="T447" s="1314" t="str">
        <f ca="1">IF(CostTrack[[#This Row],[Vendor - Contract]]="","",INDEX(VendorList[Phase / Subproject],MATCH(CostTrack[[#This Row],[Vendor - Contract]],VendorList[Vendor / Org. with Contract ID],0)))</f>
        <v>--</v>
      </c>
      <c r="U447" s="1314" t="str">
        <f ca="1">IF(CostTrack[[#This Row],[Vendor - Contract]]="","",INDEX(VendorList[Phase / Subproject 2],MATCH(CostTrack[[#This Row],[Vendor - Contract]],VendorList[Vendor / Org. with Contract ID],0)))</f>
        <v>--</v>
      </c>
      <c r="V447" s="1314" t="str">
        <f ca="1">IF(CostTrack[[#This Row],[Vendor - Contract]]="","",INDEX(VendorList[Funding Source],MATCH(CostTrack[[#This Row],[Vendor - Contract]],VendorList[Vendor / Org. with Contract ID],0)))</f>
        <v>P-002360</v>
      </c>
      <c r="W447" s="1308">
        <v>44893</v>
      </c>
      <c r="X447" s="1315" t="str">
        <f ca="1">IF(CostTrack[[#This Row],[Release Date (CMS)]]="","*","")</f>
        <v/>
      </c>
      <c r="Y447" s="1308" t="s">
        <v>53</v>
      </c>
      <c r="Z447" s="713"/>
      <c r="AA447" s="1316">
        <f ca="1">IF(OR(CostTrack[[#This Row],[Release Date (CMS)]]&gt;=DATE(VALUE(REPLACE(CostTrack[[#This Row],[Fiscal Period]],3,3,"")),3,1),CostTrack[[#This Row],[Release Date (CMS)]]&lt;DATE(VALUE(LEFT(CostTrack[[#This Row],[Fiscal Period]],4)),4,1)),1,0)</f>
        <v>0</v>
      </c>
      <c r="AB447" s="1317">
        <v>1624</v>
      </c>
      <c r="AC447" s="1308">
        <v>44914</v>
      </c>
      <c r="AD447" s="402" t="str">
        <f ca="1">IF(CostTrack[[#This Row],[Reconciled Amount]]="","",IF(CostTrack[[#This Row],[Value]]&lt;&gt;CostTrack[[#This Row],[Reconciled Amount]],"Yes","No"))</f>
        <v>No</v>
      </c>
    </row>
    <row r="448" spans="2:30" ht="32.1" customHeight="1">
      <c r="B448" s="1324" t="s">
        <v>528</v>
      </c>
      <c r="C448" s="1312">
        <v>60782989</v>
      </c>
      <c r="D448" s="1308">
        <v>44872</v>
      </c>
      <c r="E448" s="658">
        <v>1221</v>
      </c>
      <c r="F448" s="1309" t="s">
        <v>69</v>
      </c>
      <c r="G448" s="1310">
        <f ca="1">ROUND(IF(CostTrack[[#This Row],[Holdback (Y/N/R)]]="Yes",CostTrack[[#This Row],[Value]]*-0.1,IF(CostTrack[[#This Row],[Holdback (Y/N/R)]]="Release",CostTrack[[#This Row],[Value]],0)),2)</f>
        <v>0</v>
      </c>
      <c r="H448" s="1311">
        <f ca="1">IF(CostTrack[[#This Row],[Holdback (Y/N/R)]]="Release",CostTrack[[#This Row],[Value]],CostTrack[[#This Row],[Value]]+CostTrack[[#This Row],[Holdback Value]])</f>
        <v>1221</v>
      </c>
      <c r="I448" s="1312"/>
      <c r="J448" s="1312"/>
      <c r="K448" s="1313"/>
      <c r="L448" s="1325">
        <v>44893</v>
      </c>
      <c r="M448" s="1326">
        <v>44893</v>
      </c>
      <c r="N448" s="1335"/>
      <c r="O448" s="1328" t="s">
        <v>106</v>
      </c>
      <c r="P448" s="1308">
        <v>44894</v>
      </c>
      <c r="Q448" s="1314" t="str">
        <f ca="1">IF(CostTrack[[#This Row],[Vendor - Contract]]="","",INDEX(VendorList[PA ID],MATCH(CostTrack[[#This Row],[Vendor - Contract]],VendorList[Vendor / Org. with Contract ID],0)))</f>
        <v>200.050.F1</v>
      </c>
      <c r="R448" s="1314" t="str">
        <f ca="1">IF(CostTrack[[#This Row],[Vendor - Contract]]="","",INDEX(VendorList[Primary Category],MATCH(CostTrack[[#This Row],[Vendor - Contract]],VendorList[Vendor / Org. with Contract ID],0)))</f>
        <v>Professional Services</v>
      </c>
      <c r="S448" s="1314" t="str">
        <f ca="1">IF(CostTrack[[#This Row],[Vendor - Contract]]="","",INDEX(VendorList[Secondary Category],MATCH(CostTrack[[#This Row],[Vendor - Contract]],VendorList[Vendor / Org. with Contract ID],0)))</f>
        <v>Other Professional Services</v>
      </c>
      <c r="T448" s="1314" t="str">
        <f ca="1">IF(CostTrack[[#This Row],[Vendor - Contract]]="","",INDEX(VendorList[Phase / Subproject],MATCH(CostTrack[[#This Row],[Vendor - Contract]],VendorList[Vendor / Org. with Contract ID],0)))</f>
        <v>--</v>
      </c>
      <c r="U448" s="1314" t="str">
        <f ca="1">IF(CostTrack[[#This Row],[Vendor - Contract]]="","",INDEX(VendorList[Phase / Subproject 2],MATCH(CostTrack[[#This Row],[Vendor - Contract]],VendorList[Vendor / Org. with Contract ID],0)))</f>
        <v>--</v>
      </c>
      <c r="V448" s="1314" t="str">
        <f ca="1">IF(CostTrack[[#This Row],[Vendor - Contract]]="","",INDEX(VendorList[Funding Source],MATCH(CostTrack[[#This Row],[Vendor - Contract]],VendorList[Vendor / Org. with Contract ID],0)))</f>
        <v>P-002360</v>
      </c>
      <c r="W448" s="1308">
        <v>44894</v>
      </c>
      <c r="X448" s="1315" t="str">
        <f ca="1">IF(CostTrack[[#This Row],[Release Date (CMS)]]="","*","")</f>
        <v/>
      </c>
      <c r="Y448" s="1308" t="s">
        <v>53</v>
      </c>
      <c r="Z448" s="713"/>
      <c r="AA448" s="1316">
        <f ca="1">IF(OR(CostTrack[[#This Row],[Release Date (CMS)]]&gt;=DATE(VALUE(REPLACE(CostTrack[[#This Row],[Fiscal Period]],3,3,"")),3,1),CostTrack[[#This Row],[Release Date (CMS)]]&lt;DATE(VALUE(LEFT(CostTrack[[#This Row],[Fiscal Period]],4)),4,1)),1,0)</f>
        <v>0</v>
      </c>
      <c r="AB448" s="1317">
        <v>1221</v>
      </c>
      <c r="AC448" s="1308">
        <v>44914</v>
      </c>
      <c r="AD448" s="402" t="str">
        <f ca="1">IF(CostTrack[[#This Row],[Reconciled Amount]]="","",IF(CostTrack[[#This Row],[Value]]&lt;&gt;CostTrack[[#This Row],[Reconciled Amount]],"Yes","No"))</f>
        <v>No</v>
      </c>
    </row>
    <row r="449" spans="2:30" ht="32.1" customHeight="1">
      <c r="B449" s="1324" t="s">
        <v>529</v>
      </c>
      <c r="C449" s="1312">
        <v>27969</v>
      </c>
      <c r="D449" s="1308">
        <v>44865</v>
      </c>
      <c r="E449" s="658">
        <v>7461670.9100000001</v>
      </c>
      <c r="F449" s="1309" t="s">
        <v>65</v>
      </c>
      <c r="G449" s="1310">
        <f ca="1">ROUND(IF(CostTrack[[#This Row],[Holdback (Y/N/R)]]="Yes",CostTrack[[#This Row],[Value]]*-0.1,IF(CostTrack[[#This Row],[Holdback (Y/N/R)]]="Release",CostTrack[[#This Row],[Value]],0)),2)</f>
        <v>-746167.09</v>
      </c>
      <c r="H449" s="1311">
        <f ca="1">IF(CostTrack[[#This Row],[Holdback (Y/N/R)]]="Release",CostTrack[[#This Row],[Value]],CostTrack[[#This Row],[Value]]+CostTrack[[#This Row],[Holdback Value]])</f>
        <v>6715503.8200000003</v>
      </c>
      <c r="I449" s="650" t="s">
        <v>1142</v>
      </c>
      <c r="J449" s="1312"/>
      <c r="K449" s="1313"/>
      <c r="L449" s="1325">
        <v>44889</v>
      </c>
      <c r="M449" s="1326">
        <v>44889</v>
      </c>
      <c r="N449" s="1335"/>
      <c r="O449" s="1328" t="s">
        <v>106</v>
      </c>
      <c r="P449" s="1308">
        <v>44889</v>
      </c>
      <c r="Q449" s="1314" t="str">
        <f ca="1">IF(CostTrack[[#This Row],[Vendor - Contract]]="","",INDEX(VendorList[PA ID],MATCH(CostTrack[[#This Row],[Vendor - Contract]],VendorList[Vendor / Org. with Contract ID],0)))</f>
        <v>300.030.F1</v>
      </c>
      <c r="R449" s="1314" t="str">
        <f ca="1">IF(CostTrack[[#This Row],[Vendor - Contract]]="","",INDEX(VendorList[Primary Category],MATCH(CostTrack[[#This Row],[Vendor - Contract]],VendorList[Vendor / Org. with Contract ID],0)))</f>
        <v>Construction</v>
      </c>
      <c r="S449" s="1314" t="str">
        <f ca="1">IF(CostTrack[[#This Row],[Vendor - Contract]]="","",INDEX(VendorList[Secondary Category],MATCH(CostTrack[[#This Row],[Vendor - Contract]],VendorList[Vendor / Org. with Contract ID],0)))</f>
        <v>Prime Contractor</v>
      </c>
      <c r="T449" s="1314" t="str">
        <f ca="1">IF(CostTrack[[#This Row],[Vendor - Contract]]="","",INDEX(VendorList[Phase / Subproject],MATCH(CostTrack[[#This Row],[Vendor - Contract]],VendorList[Vendor / Org. with Contract ID],0)))</f>
        <v>--</v>
      </c>
      <c r="U449" s="1314" t="str">
        <f ca="1">IF(CostTrack[[#This Row],[Vendor - Contract]]="","",INDEX(VendorList[Phase / Subproject 2],MATCH(CostTrack[[#This Row],[Vendor - Contract]],VendorList[Vendor / Org. with Contract ID],0)))</f>
        <v>--</v>
      </c>
      <c r="V449" s="1314" t="str">
        <f ca="1">IF(CostTrack[[#This Row],[Vendor - Contract]]="","",INDEX(VendorList[Funding Source],MATCH(CostTrack[[#This Row],[Vendor - Contract]],VendorList[Vendor / Org. with Contract ID],0)))</f>
        <v>P-002360</v>
      </c>
      <c r="W449" s="1308">
        <v>44889</v>
      </c>
      <c r="X449" s="1315" t="str">
        <f ca="1">IF(CostTrack[[#This Row],[Release Date (CMS)]]="","*","")</f>
        <v/>
      </c>
      <c r="Y449" s="1308" t="s">
        <v>53</v>
      </c>
      <c r="Z449" s="713"/>
      <c r="AA449" s="1316">
        <f ca="1">IF(OR(CostTrack[[#This Row],[Release Date (CMS)]]&gt;=DATE(VALUE(REPLACE(CostTrack[[#This Row],[Fiscal Period]],3,3,"")),3,1),CostTrack[[#This Row],[Release Date (CMS)]]&lt;DATE(VALUE(LEFT(CostTrack[[#This Row],[Fiscal Period]],4)),4,1)),1,0)</f>
        <v>0</v>
      </c>
      <c r="AB449" s="1317">
        <v>7461670.9100000001</v>
      </c>
      <c r="AC449" s="1308">
        <v>44914</v>
      </c>
      <c r="AD449" s="402" t="str">
        <f ca="1">IF(CostTrack[[#This Row],[Reconciled Amount]]="","",IF(CostTrack[[#This Row],[Value]]&lt;&gt;CostTrack[[#This Row],[Reconciled Amount]],"Yes","No"))</f>
        <v>No</v>
      </c>
    </row>
    <row r="450" spans="2:30" ht="25.5" customHeight="1">
      <c r="B450" s="1324" t="s">
        <v>529</v>
      </c>
      <c r="C450" s="1312">
        <v>28154</v>
      </c>
      <c r="D450" s="1308">
        <v>44893</v>
      </c>
      <c r="E450" s="658">
        <v>4943267.8499999996</v>
      </c>
      <c r="F450" s="1309" t="s">
        <v>65</v>
      </c>
      <c r="G450" s="1310">
        <f ca="1">ROUND(IF(CostTrack[[#This Row],[Holdback (Y/N/R)]]="Yes",CostTrack[[#This Row],[Value]]*-0.1,IF(CostTrack[[#This Row],[Holdback (Y/N/R)]]="Release",CostTrack[[#This Row],[Value]],0)),2)</f>
        <v>-494326.79</v>
      </c>
      <c r="H450" s="1311">
        <f ca="1">IF(CostTrack[[#This Row],[Holdback (Y/N/R)]]="Release",CostTrack[[#This Row],[Value]],CostTrack[[#This Row],[Value]]+CostTrack[[#This Row],[Holdback Value]])</f>
        <v>4448941.0599999996</v>
      </c>
      <c r="I450" s="650" t="s">
        <v>1143</v>
      </c>
      <c r="J450" s="1312"/>
      <c r="K450" s="1313"/>
      <c r="L450" s="1325">
        <v>44910</v>
      </c>
      <c r="M450" s="1326">
        <v>44910</v>
      </c>
      <c r="N450" s="1335"/>
      <c r="O450" s="1328" t="s">
        <v>106</v>
      </c>
      <c r="P450" s="1308">
        <v>44911</v>
      </c>
      <c r="Q450" s="1314" t="str">
        <f ca="1">IF(CostTrack[[#This Row],[Vendor - Contract]]="","",INDEX(VendorList[PA ID],MATCH(CostTrack[[#This Row],[Vendor - Contract]],VendorList[Vendor / Org. with Contract ID],0)))</f>
        <v>300.030.F1</v>
      </c>
      <c r="R450" s="1314" t="str">
        <f ca="1">IF(CostTrack[[#This Row],[Vendor - Contract]]="","",INDEX(VendorList[Primary Category],MATCH(CostTrack[[#This Row],[Vendor - Contract]],VendorList[Vendor / Org. with Contract ID],0)))</f>
        <v>Construction</v>
      </c>
      <c r="S450" s="1314" t="str">
        <f ca="1">IF(CostTrack[[#This Row],[Vendor - Contract]]="","",INDEX(VendorList[Secondary Category],MATCH(CostTrack[[#This Row],[Vendor - Contract]],VendorList[Vendor / Org. with Contract ID],0)))</f>
        <v>Prime Contractor</v>
      </c>
      <c r="T450" s="1314" t="str">
        <f ca="1">IF(CostTrack[[#This Row],[Vendor - Contract]]="","",INDEX(VendorList[Phase / Subproject],MATCH(CostTrack[[#This Row],[Vendor - Contract]],VendorList[Vendor / Org. with Contract ID],0)))</f>
        <v>--</v>
      </c>
      <c r="U450" s="1314" t="str">
        <f ca="1">IF(CostTrack[[#This Row],[Vendor - Contract]]="","",INDEX(VendorList[Phase / Subproject 2],MATCH(CostTrack[[#This Row],[Vendor - Contract]],VendorList[Vendor / Org. with Contract ID],0)))</f>
        <v>--</v>
      </c>
      <c r="V450" s="1314" t="str">
        <f ca="1">IF(CostTrack[[#This Row],[Vendor - Contract]]="","",INDEX(VendorList[Funding Source],MATCH(CostTrack[[#This Row],[Vendor - Contract]],VendorList[Vendor / Org. with Contract ID],0)))</f>
        <v>P-002360</v>
      </c>
      <c r="W450" s="1308">
        <v>44911</v>
      </c>
      <c r="X450" s="1315" t="str">
        <f ca="1">IF(CostTrack[[#This Row],[Release Date (CMS)]]="","*","")</f>
        <v/>
      </c>
      <c r="Y450" s="1308" t="s">
        <v>53</v>
      </c>
      <c r="Z450" s="713"/>
      <c r="AA450" s="1316">
        <f ca="1">IF(OR(CostTrack[[#This Row],[Release Date (CMS)]]&gt;=DATE(VALUE(REPLACE(CostTrack[[#This Row],[Fiscal Period]],3,3,"")),3,1),CostTrack[[#This Row],[Release Date (CMS)]]&lt;DATE(VALUE(LEFT(CostTrack[[#This Row],[Fiscal Period]],4)),4,1)),1,0)</f>
        <v>0</v>
      </c>
      <c r="AB450" s="1317">
        <v>4943267.8499999996</v>
      </c>
      <c r="AC450" s="1308">
        <v>44914</v>
      </c>
      <c r="AD450" s="402" t="str">
        <f ca="1">IF(CostTrack[[#This Row],[Reconciled Amount]]="","",IF(CostTrack[[#This Row],[Value]]&lt;&gt;CostTrack[[#This Row],[Reconciled Amount]],"Yes","No"))</f>
        <v>No</v>
      </c>
    </row>
    <row r="451" spans="2:30" ht="32.1" customHeight="1">
      <c r="B451" s="706" t="s">
        <v>1134</v>
      </c>
      <c r="C451" s="650" t="s">
        <v>1144</v>
      </c>
      <c r="D451" s="267">
        <v>44873</v>
      </c>
      <c r="E451" s="654">
        <v>2948.54</v>
      </c>
      <c r="F451" s="647" t="s">
        <v>69</v>
      </c>
      <c r="G451" s="406">
        <f ca="1">ROUND(IF(CostTrack[[#This Row],[Holdback (Y/N/R)]]="Yes",CostTrack[[#This Row],[Value]]*-0.1,IF(CostTrack[[#This Row],[Holdback (Y/N/R)]]="Release",CostTrack[[#This Row],[Value]],0)),2)</f>
        <v>0</v>
      </c>
      <c r="H451" s="407">
        <f ca="1">IF(CostTrack[[#This Row],[Holdback (Y/N/R)]]="Release",CostTrack[[#This Row],[Value]],CostTrack[[#This Row],[Value]]+CostTrack[[#This Row],[Holdback Value]])</f>
        <v>2948.54</v>
      </c>
      <c r="I451" s="650"/>
      <c r="J451" s="650"/>
      <c r="K451" s="648"/>
      <c r="L451" s="707">
        <v>44873</v>
      </c>
      <c r="M451" s="267">
        <v>44873</v>
      </c>
      <c r="N451" s="773"/>
      <c r="O451" s="712" t="s">
        <v>106</v>
      </c>
      <c r="P451" s="267">
        <v>44873</v>
      </c>
      <c r="Q451" s="243" t="str">
        <f ca="1">IF(CostTrack[[#This Row],[Vendor - Contract]]="","",INDEX(VendorList[PA ID],MATCH(CostTrack[[#This Row],[Vendor - Contract]],VendorList[Vendor / Org. with Contract ID],0)))</f>
        <v>400.020.F1</v>
      </c>
      <c r="R451" s="243" t="str">
        <f ca="1">IF(CostTrack[[#This Row],[Vendor - Contract]]="","",INDEX(VendorList[Primary Category],MATCH(CostTrack[[#This Row],[Vendor - Contract]],VendorList[Vendor / Org. with Contract ID],0)))</f>
        <v>FE_IT</v>
      </c>
      <c r="S451" s="243" t="str">
        <f ca="1">IF(CostTrack[[#This Row],[Vendor - Contract]]="","",INDEX(VendorList[Secondary Category],MATCH(CostTrack[[#This Row],[Vendor - Contract]],VendorList[Vendor / Org. with Contract ID],0)))</f>
        <v>Information Technology</v>
      </c>
      <c r="T451" s="243" t="str">
        <f ca="1">IF(CostTrack[[#This Row],[Vendor - Contract]]="","",INDEX(VendorList[Phase / Subproject],MATCH(CostTrack[[#This Row],[Vendor - Contract]],VendorList[Vendor / Org. with Contract ID],0)))</f>
        <v>--</v>
      </c>
      <c r="U451" s="243" t="str">
        <f ca="1">IF(CostTrack[[#This Row],[Vendor - Contract]]="","",INDEX(VendorList[Phase / Subproject 2],MATCH(CostTrack[[#This Row],[Vendor - Contract]],VendorList[Vendor / Org. with Contract ID],0)))</f>
        <v>--</v>
      </c>
      <c r="V451" s="243" t="str">
        <f ca="1">IF(CostTrack[[#This Row],[Vendor - Contract]]="","",INDEX(VendorList[Funding Source],MATCH(CostTrack[[#This Row],[Vendor - Contract]],VendorList[Vendor / Org. with Contract ID],0)))</f>
        <v>P-002360</v>
      </c>
      <c r="W451" s="267">
        <v>44873</v>
      </c>
      <c r="X451" s="251" t="str">
        <f ca="1">IF(CostTrack[[#This Row],[Release Date (CMS)]]="","*","")</f>
        <v/>
      </c>
      <c r="Y451" s="267" t="s">
        <v>53</v>
      </c>
      <c r="Z451" s="652" t="s">
        <v>1145</v>
      </c>
      <c r="AA451" s="245">
        <f ca="1">IF(OR(CostTrack[[#This Row],[Release Date (CMS)]]&gt;=DATE(VALUE(REPLACE(CostTrack[[#This Row],[Fiscal Period]],3,3,"")),3,1),CostTrack[[#This Row],[Release Date (CMS)]]&lt;DATE(VALUE(LEFT(CostTrack[[#This Row],[Fiscal Period]],4)),4,1)),1,0)</f>
        <v>0</v>
      </c>
      <c r="AB451" s="655">
        <v>2948.54</v>
      </c>
      <c r="AC451" s="267">
        <v>44914</v>
      </c>
      <c r="AD451" s="402" t="str">
        <f ca="1">IF(CostTrack[[#This Row],[Reconciled Amount]]="","",IF(CostTrack[[#This Row],[Value]]&lt;&gt;CostTrack[[#This Row],[Reconciled Amount]],"Yes","No"))</f>
        <v>No</v>
      </c>
    </row>
    <row r="452" spans="2:30" ht="32.1" customHeight="1">
      <c r="B452" s="706" t="s">
        <v>1134</v>
      </c>
      <c r="C452" s="650" t="s">
        <v>1146</v>
      </c>
      <c r="D452" s="267">
        <v>44881</v>
      </c>
      <c r="E452" s="654">
        <v>1839.6</v>
      </c>
      <c r="F452" s="647" t="s">
        <v>69</v>
      </c>
      <c r="G452" s="406">
        <f ca="1">ROUND(IF(CostTrack[[#This Row],[Holdback (Y/N/R)]]="Yes",CostTrack[[#This Row],[Value]]*-0.1,IF(CostTrack[[#This Row],[Holdback (Y/N/R)]]="Release",CostTrack[[#This Row],[Value]],0)),2)</f>
        <v>0</v>
      </c>
      <c r="H452" s="407">
        <f ca="1">IF(CostTrack[[#This Row],[Holdback (Y/N/R)]]="Release",CostTrack[[#This Row],[Value]],CostTrack[[#This Row],[Value]]+CostTrack[[#This Row],[Holdback Value]])</f>
        <v>1839.6</v>
      </c>
      <c r="I452" s="650"/>
      <c r="J452" s="650"/>
      <c r="K452" s="648"/>
      <c r="L452" s="707">
        <v>44881</v>
      </c>
      <c r="M452" s="267">
        <v>44881</v>
      </c>
      <c r="N452" s="773"/>
      <c r="O452" s="712" t="s">
        <v>106</v>
      </c>
      <c r="P452" s="267">
        <v>44881</v>
      </c>
      <c r="Q452" s="243" t="str">
        <f ca="1">IF(CostTrack[[#This Row],[Vendor - Contract]]="","",INDEX(VendorList[PA ID],MATCH(CostTrack[[#This Row],[Vendor - Contract]],VendorList[Vendor / Org. with Contract ID],0)))</f>
        <v>400.020.F1</v>
      </c>
      <c r="R452" s="243" t="str">
        <f ca="1">IF(CostTrack[[#This Row],[Vendor - Contract]]="","",INDEX(VendorList[Primary Category],MATCH(CostTrack[[#This Row],[Vendor - Contract]],VendorList[Vendor / Org. with Contract ID],0)))</f>
        <v>FE_IT</v>
      </c>
      <c r="S452" s="243" t="str">
        <f ca="1">IF(CostTrack[[#This Row],[Vendor - Contract]]="","",INDEX(VendorList[Secondary Category],MATCH(CostTrack[[#This Row],[Vendor - Contract]],VendorList[Vendor / Org. with Contract ID],0)))</f>
        <v>Information Technology</v>
      </c>
      <c r="T452" s="243" t="str">
        <f ca="1">IF(CostTrack[[#This Row],[Vendor - Contract]]="","",INDEX(VendorList[Phase / Subproject],MATCH(CostTrack[[#This Row],[Vendor - Contract]],VendorList[Vendor / Org. with Contract ID],0)))</f>
        <v>--</v>
      </c>
      <c r="U452" s="243" t="str">
        <f ca="1">IF(CostTrack[[#This Row],[Vendor - Contract]]="","",INDEX(VendorList[Phase / Subproject 2],MATCH(CostTrack[[#This Row],[Vendor - Contract]],VendorList[Vendor / Org. with Contract ID],0)))</f>
        <v>--</v>
      </c>
      <c r="V452" s="243" t="str">
        <f ca="1">IF(CostTrack[[#This Row],[Vendor - Contract]]="","",INDEX(VendorList[Funding Source],MATCH(CostTrack[[#This Row],[Vendor - Contract]],VendorList[Vendor / Org. with Contract ID],0)))</f>
        <v>P-002360</v>
      </c>
      <c r="W452" s="267">
        <v>44881</v>
      </c>
      <c r="X452" s="251" t="str">
        <f ca="1">IF(CostTrack[[#This Row],[Release Date (CMS)]]="","*","")</f>
        <v/>
      </c>
      <c r="Y452" s="267" t="s">
        <v>53</v>
      </c>
      <c r="Z452" s="652" t="s">
        <v>1145</v>
      </c>
      <c r="AA452" s="245">
        <f ca="1">IF(OR(CostTrack[[#This Row],[Release Date (CMS)]]&gt;=DATE(VALUE(REPLACE(CostTrack[[#This Row],[Fiscal Period]],3,3,"")),3,1),CostTrack[[#This Row],[Release Date (CMS)]]&lt;DATE(VALUE(LEFT(CostTrack[[#This Row],[Fiscal Period]],4)),4,1)),1,0)</f>
        <v>0</v>
      </c>
      <c r="AB452" s="655">
        <v>1839.6</v>
      </c>
      <c r="AC452" s="267">
        <v>44914</v>
      </c>
      <c r="AD452" s="402" t="str">
        <f ca="1">IF(CostTrack[[#This Row],[Reconciled Amount]]="","",IF(CostTrack[[#This Row],[Value]]&lt;&gt;CostTrack[[#This Row],[Reconciled Amount]],"Yes","No"))</f>
        <v>No</v>
      </c>
    </row>
    <row r="453" spans="2:30" ht="23.1" customHeight="1">
      <c r="B453" s="706" t="s">
        <v>1134</v>
      </c>
      <c r="C453" s="650" t="s">
        <v>1147</v>
      </c>
      <c r="D453" s="267">
        <v>44904</v>
      </c>
      <c r="E453" s="654">
        <v>639903.14</v>
      </c>
      <c r="F453" s="647" t="s">
        <v>69</v>
      </c>
      <c r="G453" s="406">
        <f ca="1">ROUND(IF(CostTrack[[#This Row],[Holdback (Y/N/R)]]="Yes",CostTrack[[#This Row],[Value]]*-0.1,IF(CostTrack[[#This Row],[Holdback (Y/N/R)]]="Release",CostTrack[[#This Row],[Value]],0)),2)</f>
        <v>0</v>
      </c>
      <c r="H453" s="407">
        <f ca="1">IF(CostTrack[[#This Row],[Holdback (Y/N/R)]]="Release",CostTrack[[#This Row],[Value]],CostTrack[[#This Row],[Value]]+CostTrack[[#This Row],[Holdback Value]])</f>
        <v>639903.14</v>
      </c>
      <c r="I453" s="650"/>
      <c r="J453" s="650"/>
      <c r="K453" s="648"/>
      <c r="L453" s="707">
        <v>44904</v>
      </c>
      <c r="M453" s="267">
        <v>44904</v>
      </c>
      <c r="N453" s="773"/>
      <c r="O453" s="712" t="s">
        <v>106</v>
      </c>
      <c r="P453" s="267">
        <v>44904</v>
      </c>
      <c r="Q453" s="243" t="str">
        <f ca="1">IF(CostTrack[[#This Row],[Vendor - Contract]]="","",INDEX(VendorList[PA ID],MATCH(CostTrack[[#This Row],[Vendor - Contract]],VendorList[Vendor / Org. with Contract ID],0)))</f>
        <v>400.020.F1</v>
      </c>
      <c r="R453" s="243" t="str">
        <f ca="1">IF(CostTrack[[#This Row],[Vendor - Contract]]="","",INDEX(VendorList[Primary Category],MATCH(CostTrack[[#This Row],[Vendor - Contract]],VendorList[Vendor / Org. with Contract ID],0)))</f>
        <v>FE_IT</v>
      </c>
      <c r="S453" s="243" t="str">
        <f ca="1">IF(CostTrack[[#This Row],[Vendor - Contract]]="","",INDEX(VendorList[Secondary Category],MATCH(CostTrack[[#This Row],[Vendor - Contract]],VendorList[Vendor / Org. with Contract ID],0)))</f>
        <v>Information Technology</v>
      </c>
      <c r="T453" s="243" t="str">
        <f ca="1">IF(CostTrack[[#This Row],[Vendor - Contract]]="","",INDEX(VendorList[Phase / Subproject],MATCH(CostTrack[[#This Row],[Vendor - Contract]],VendorList[Vendor / Org. with Contract ID],0)))</f>
        <v>--</v>
      </c>
      <c r="U453" s="243" t="str">
        <f ca="1">IF(CostTrack[[#This Row],[Vendor - Contract]]="","",INDEX(VendorList[Phase / Subproject 2],MATCH(CostTrack[[#This Row],[Vendor - Contract]],VendorList[Vendor / Org. with Contract ID],0)))</f>
        <v>--</v>
      </c>
      <c r="V453" s="243" t="str">
        <f ca="1">IF(CostTrack[[#This Row],[Vendor - Contract]]="","",INDEX(VendorList[Funding Source],MATCH(CostTrack[[#This Row],[Vendor - Contract]],VendorList[Vendor / Org. with Contract ID],0)))</f>
        <v>P-002360</v>
      </c>
      <c r="W453" s="267">
        <v>44904</v>
      </c>
      <c r="X453" s="251" t="str">
        <f ca="1">IF(CostTrack[[#This Row],[Release Date (CMS)]]="","*","")</f>
        <v/>
      </c>
      <c r="Y453" s="267" t="s">
        <v>53</v>
      </c>
      <c r="Z453" s="652" t="s">
        <v>1148</v>
      </c>
      <c r="AA453" s="245">
        <f ca="1">IF(OR(CostTrack[[#This Row],[Release Date (CMS)]]&gt;=DATE(VALUE(REPLACE(CostTrack[[#This Row],[Fiscal Period]],3,3,"")),3,1),CostTrack[[#This Row],[Release Date (CMS)]]&lt;DATE(VALUE(LEFT(CostTrack[[#This Row],[Fiscal Period]],4)),4,1)),1,0)</f>
        <v>0</v>
      </c>
      <c r="AB453" s="655">
        <v>639903.14</v>
      </c>
      <c r="AC453" s="267">
        <v>44914</v>
      </c>
      <c r="AD453" s="402" t="str">
        <f ca="1">IF(CostTrack[[#This Row],[Reconciled Amount]]="","",IF(CostTrack[[#This Row],[Value]]&lt;&gt;CostTrack[[#This Row],[Reconciled Amount]],"Yes","No"))</f>
        <v>No</v>
      </c>
    </row>
    <row r="454" spans="2:30" ht="25.5" customHeight="1">
      <c r="B454" s="706" t="s">
        <v>1134</v>
      </c>
      <c r="C454" s="650" t="s">
        <v>1149</v>
      </c>
      <c r="D454" s="267">
        <v>44904</v>
      </c>
      <c r="E454" s="654">
        <v>6500.72</v>
      </c>
      <c r="F454" s="647" t="s">
        <v>69</v>
      </c>
      <c r="G454" s="406">
        <f ca="1">ROUND(IF(CostTrack[[#This Row],[Holdback (Y/N/R)]]="Yes",CostTrack[[#This Row],[Value]]*-0.1,IF(CostTrack[[#This Row],[Holdback (Y/N/R)]]="Release",CostTrack[[#This Row],[Value]],0)),2)</f>
        <v>0</v>
      </c>
      <c r="H454" s="407">
        <f ca="1">IF(CostTrack[[#This Row],[Holdback (Y/N/R)]]="Release",CostTrack[[#This Row],[Value]],CostTrack[[#This Row],[Value]]+CostTrack[[#This Row],[Holdback Value]])</f>
        <v>6500.72</v>
      </c>
      <c r="I454" s="650"/>
      <c r="J454" s="650"/>
      <c r="K454" s="648"/>
      <c r="L454" s="707">
        <v>44904</v>
      </c>
      <c r="M454" s="267">
        <v>44904</v>
      </c>
      <c r="N454" s="773"/>
      <c r="O454" s="712" t="s">
        <v>106</v>
      </c>
      <c r="P454" s="267">
        <v>44904</v>
      </c>
      <c r="Q454" s="243" t="str">
        <f ca="1">IF(CostTrack[[#This Row],[Vendor - Contract]]="","",INDEX(VendorList[PA ID],MATCH(CostTrack[[#This Row],[Vendor - Contract]],VendorList[Vendor / Org. with Contract ID],0)))</f>
        <v>400.020.F1</v>
      </c>
      <c r="R454" s="243" t="str">
        <f ca="1">IF(CostTrack[[#This Row],[Vendor - Contract]]="","",INDEX(VendorList[Primary Category],MATCH(CostTrack[[#This Row],[Vendor - Contract]],VendorList[Vendor / Org. with Contract ID],0)))</f>
        <v>FE_IT</v>
      </c>
      <c r="S454" s="243" t="str">
        <f ca="1">IF(CostTrack[[#This Row],[Vendor - Contract]]="","",INDEX(VendorList[Secondary Category],MATCH(CostTrack[[#This Row],[Vendor - Contract]],VendorList[Vendor / Org. with Contract ID],0)))</f>
        <v>Information Technology</v>
      </c>
      <c r="T454" s="243" t="str">
        <f ca="1">IF(CostTrack[[#This Row],[Vendor - Contract]]="","",INDEX(VendorList[Phase / Subproject],MATCH(CostTrack[[#This Row],[Vendor - Contract]],VendorList[Vendor / Org. with Contract ID],0)))</f>
        <v>--</v>
      </c>
      <c r="U454" s="243" t="str">
        <f ca="1">IF(CostTrack[[#This Row],[Vendor - Contract]]="","",INDEX(VendorList[Phase / Subproject 2],MATCH(CostTrack[[#This Row],[Vendor - Contract]],VendorList[Vendor / Org. with Contract ID],0)))</f>
        <v>--</v>
      </c>
      <c r="V454" s="243" t="str">
        <f ca="1">IF(CostTrack[[#This Row],[Vendor - Contract]]="","",INDEX(VendorList[Funding Source],MATCH(CostTrack[[#This Row],[Vendor - Contract]],VendorList[Vendor / Org. with Contract ID],0)))</f>
        <v>P-002360</v>
      </c>
      <c r="W454" s="267">
        <v>44904</v>
      </c>
      <c r="X454" s="251" t="str">
        <f ca="1">IF(CostTrack[[#This Row],[Release Date (CMS)]]="","*","")</f>
        <v/>
      </c>
      <c r="Y454" s="267" t="s">
        <v>53</v>
      </c>
      <c r="Z454" s="652" t="s">
        <v>1150</v>
      </c>
      <c r="AA454" s="245">
        <f ca="1">IF(OR(CostTrack[[#This Row],[Release Date (CMS)]]&gt;=DATE(VALUE(REPLACE(CostTrack[[#This Row],[Fiscal Period]],3,3,"")),3,1),CostTrack[[#This Row],[Release Date (CMS)]]&lt;DATE(VALUE(LEFT(CostTrack[[#This Row],[Fiscal Period]],4)),4,1)),1,0)</f>
        <v>0</v>
      </c>
      <c r="AB454" s="655">
        <v>6500.72</v>
      </c>
      <c r="AC454" s="267">
        <v>44914</v>
      </c>
      <c r="AD454" s="402" t="str">
        <f ca="1">IF(CostTrack[[#This Row],[Reconciled Amount]]="","",IF(CostTrack[[#This Row],[Value]]&lt;&gt;CostTrack[[#This Row],[Reconciled Amount]],"Yes","No"))</f>
        <v>No</v>
      </c>
    </row>
    <row r="455" spans="2:30" ht="33" customHeight="1">
      <c r="B455" s="1324" t="s">
        <v>1134</v>
      </c>
      <c r="C455" s="650" t="s">
        <v>1151</v>
      </c>
      <c r="D455" s="1308">
        <v>44904</v>
      </c>
      <c r="E455" s="658">
        <v>12453.6</v>
      </c>
      <c r="F455" s="1309" t="s">
        <v>69</v>
      </c>
      <c r="G455" s="1310">
        <f ca="1">ROUND(IF(CostTrack[[#This Row],[Holdback (Y/N/R)]]="Yes",CostTrack[[#This Row],[Value]]*-0.1,IF(CostTrack[[#This Row],[Holdback (Y/N/R)]]="Release",CostTrack[[#This Row],[Value]],0)),2)</f>
        <v>0</v>
      </c>
      <c r="H455" s="1311">
        <f ca="1">IF(CostTrack[[#This Row],[Holdback (Y/N/R)]]="Release",CostTrack[[#This Row],[Value]],CostTrack[[#This Row],[Value]]+CostTrack[[#This Row],[Holdback Value]])</f>
        <v>12453.6</v>
      </c>
      <c r="I455" s="1312"/>
      <c r="J455" s="1312"/>
      <c r="K455" s="1313"/>
      <c r="L455" s="1325">
        <v>44904</v>
      </c>
      <c r="M455" s="1308">
        <v>44904</v>
      </c>
      <c r="N455" s="1335"/>
      <c r="O455" s="1328" t="s">
        <v>106</v>
      </c>
      <c r="P455" s="1308">
        <v>44904</v>
      </c>
      <c r="Q455" s="1314" t="str">
        <f ca="1">IF(CostTrack[[#This Row],[Vendor - Contract]]="","",INDEX(VendorList[PA ID],MATCH(CostTrack[[#This Row],[Vendor - Contract]],VendorList[Vendor / Org. with Contract ID],0)))</f>
        <v>400.020.F1</v>
      </c>
      <c r="R455" s="1314" t="str">
        <f ca="1">IF(CostTrack[[#This Row],[Vendor - Contract]]="","",INDEX(VendorList[Primary Category],MATCH(CostTrack[[#This Row],[Vendor - Contract]],VendorList[Vendor / Org. with Contract ID],0)))</f>
        <v>FE_IT</v>
      </c>
      <c r="S455" s="1314" t="str">
        <f ca="1">IF(CostTrack[[#This Row],[Vendor - Contract]]="","",INDEX(VendorList[Secondary Category],MATCH(CostTrack[[#This Row],[Vendor - Contract]],VendorList[Vendor / Org. with Contract ID],0)))</f>
        <v>Information Technology</v>
      </c>
      <c r="T455" s="1314" t="str">
        <f ca="1">IF(CostTrack[[#This Row],[Vendor - Contract]]="","",INDEX(VendorList[Phase / Subproject],MATCH(CostTrack[[#This Row],[Vendor - Contract]],VendorList[Vendor / Org. with Contract ID],0)))</f>
        <v>--</v>
      </c>
      <c r="U455" s="1314" t="str">
        <f ca="1">IF(CostTrack[[#This Row],[Vendor - Contract]]="","",INDEX(VendorList[Phase / Subproject 2],MATCH(CostTrack[[#This Row],[Vendor - Contract]],VendorList[Vendor / Org. with Contract ID],0)))</f>
        <v>--</v>
      </c>
      <c r="V455" s="1314" t="str">
        <f ca="1">IF(CostTrack[[#This Row],[Vendor - Contract]]="","",INDEX(VendorList[Funding Source],MATCH(CostTrack[[#This Row],[Vendor - Contract]],VendorList[Vendor / Org. with Contract ID],0)))</f>
        <v>P-002360</v>
      </c>
      <c r="W455" s="1308">
        <v>44904</v>
      </c>
      <c r="X455" s="1315" t="str">
        <f ca="1">IF(CostTrack[[#This Row],[Release Date (CMS)]]="","*","")</f>
        <v/>
      </c>
      <c r="Y455" s="1308" t="s">
        <v>53</v>
      </c>
      <c r="Z455" s="652" t="s">
        <v>1145</v>
      </c>
      <c r="AA455" s="1316">
        <f ca="1">IF(OR(CostTrack[[#This Row],[Release Date (CMS)]]&gt;=DATE(VALUE(REPLACE(CostTrack[[#This Row],[Fiscal Period]],3,3,"")),3,1),CostTrack[[#This Row],[Release Date (CMS)]]&lt;DATE(VALUE(LEFT(CostTrack[[#This Row],[Fiscal Period]],4)),4,1)),1,0)</f>
        <v>0</v>
      </c>
      <c r="AB455" s="1317">
        <v>12453.6</v>
      </c>
      <c r="AC455" s="1308">
        <v>44914</v>
      </c>
      <c r="AD455" s="402" t="str">
        <f ca="1">IF(CostTrack[[#This Row],[Reconciled Amount]]="","",IF(CostTrack[[#This Row],[Value]]&lt;&gt;CostTrack[[#This Row],[Reconciled Amount]],"Yes","No"))</f>
        <v>No</v>
      </c>
    </row>
    <row r="456" spans="2:30" ht="24.75" customHeight="1">
      <c r="B456" s="1324" t="s">
        <v>1134</v>
      </c>
      <c r="C456" s="650" t="s">
        <v>1152</v>
      </c>
      <c r="D456" s="1308">
        <v>44904</v>
      </c>
      <c r="E456" s="658">
        <v>88664.88</v>
      </c>
      <c r="F456" s="1309" t="s">
        <v>69</v>
      </c>
      <c r="G456" s="1310">
        <f ca="1">ROUND(IF(CostTrack[[#This Row],[Holdback (Y/N/R)]]="Yes",CostTrack[[#This Row],[Value]]*-0.1,IF(CostTrack[[#This Row],[Holdback (Y/N/R)]]="Release",CostTrack[[#This Row],[Value]],0)),2)</f>
        <v>0</v>
      </c>
      <c r="H456" s="1311">
        <f ca="1">IF(CostTrack[[#This Row],[Holdback (Y/N/R)]]="Release",CostTrack[[#This Row],[Value]],CostTrack[[#This Row],[Value]]+CostTrack[[#This Row],[Holdback Value]])</f>
        <v>88664.88</v>
      </c>
      <c r="I456" s="1312"/>
      <c r="J456" s="1312"/>
      <c r="K456" s="1313"/>
      <c r="L456" s="1325">
        <v>44904</v>
      </c>
      <c r="M456" s="1308">
        <v>44904</v>
      </c>
      <c r="N456" s="1335"/>
      <c r="O456" s="1328" t="s">
        <v>106</v>
      </c>
      <c r="P456" s="1308">
        <v>44904</v>
      </c>
      <c r="Q456" s="1314" t="str">
        <f ca="1">IF(CostTrack[[#This Row],[Vendor - Contract]]="","",INDEX(VendorList[PA ID],MATCH(CostTrack[[#This Row],[Vendor - Contract]],VendorList[Vendor / Org. with Contract ID],0)))</f>
        <v>400.020.F1</v>
      </c>
      <c r="R456" s="1314" t="str">
        <f ca="1">IF(CostTrack[[#This Row],[Vendor - Contract]]="","",INDEX(VendorList[Primary Category],MATCH(CostTrack[[#This Row],[Vendor - Contract]],VendorList[Vendor / Org. with Contract ID],0)))</f>
        <v>FE_IT</v>
      </c>
      <c r="S456" s="1314" t="str">
        <f ca="1">IF(CostTrack[[#This Row],[Vendor - Contract]]="","",INDEX(VendorList[Secondary Category],MATCH(CostTrack[[#This Row],[Vendor - Contract]],VendorList[Vendor / Org. with Contract ID],0)))</f>
        <v>Information Technology</v>
      </c>
      <c r="T456" s="1314" t="str">
        <f ca="1">IF(CostTrack[[#This Row],[Vendor - Contract]]="","",INDEX(VendorList[Phase / Subproject],MATCH(CostTrack[[#This Row],[Vendor - Contract]],VendorList[Vendor / Org. with Contract ID],0)))</f>
        <v>--</v>
      </c>
      <c r="U456" s="1314" t="str">
        <f ca="1">IF(CostTrack[[#This Row],[Vendor - Contract]]="","",INDEX(VendorList[Phase / Subproject 2],MATCH(CostTrack[[#This Row],[Vendor - Contract]],VendorList[Vendor / Org. with Contract ID],0)))</f>
        <v>--</v>
      </c>
      <c r="V456" s="1314" t="str">
        <f ca="1">IF(CostTrack[[#This Row],[Vendor - Contract]]="","",INDEX(VendorList[Funding Source],MATCH(CostTrack[[#This Row],[Vendor - Contract]],VendorList[Vendor / Org. with Contract ID],0)))</f>
        <v>P-002360</v>
      </c>
      <c r="W456" s="1308">
        <v>44904</v>
      </c>
      <c r="X456" s="1315" t="str">
        <f ca="1">IF(CostTrack[[#This Row],[Release Date (CMS)]]="","*","")</f>
        <v/>
      </c>
      <c r="Y456" s="1308" t="s">
        <v>53</v>
      </c>
      <c r="Z456" s="652" t="s">
        <v>1145</v>
      </c>
      <c r="AA456" s="1316">
        <f ca="1">IF(OR(CostTrack[[#This Row],[Release Date (CMS)]]&gt;=DATE(VALUE(REPLACE(CostTrack[[#This Row],[Fiscal Period]],3,3,"")),3,1),CostTrack[[#This Row],[Release Date (CMS)]]&lt;DATE(VALUE(LEFT(CostTrack[[#This Row],[Fiscal Period]],4)),4,1)),1,0)</f>
        <v>0</v>
      </c>
      <c r="AB456" s="1317">
        <v>88664.88</v>
      </c>
      <c r="AC456" s="1308">
        <v>44951</v>
      </c>
      <c r="AD456" s="402" t="str">
        <f ca="1">IF(CostTrack[[#This Row],[Reconciled Amount]]="","",IF(CostTrack[[#This Row],[Value]]&lt;&gt;CostTrack[[#This Row],[Reconciled Amount]],"Yes","No"))</f>
        <v>No</v>
      </c>
    </row>
    <row r="457" spans="2:30" ht="30.6" customHeight="1">
      <c r="B457" s="706" t="s">
        <v>1153</v>
      </c>
      <c r="C457" s="650" t="s">
        <v>1154</v>
      </c>
      <c r="D457" s="267">
        <v>44901</v>
      </c>
      <c r="E457" s="654">
        <v>56539.5</v>
      </c>
      <c r="F457" s="647" t="s">
        <v>69</v>
      </c>
      <c r="G457" s="406">
        <f ca="1">ROUND(IF(CostTrack[[#This Row],[Holdback (Y/N/R)]]="Yes",CostTrack[[#This Row],[Value]]*-0.1,IF(CostTrack[[#This Row],[Holdback (Y/N/R)]]="Release",CostTrack[[#This Row],[Value]],0)),2)</f>
        <v>0</v>
      </c>
      <c r="H457" s="407">
        <f ca="1">IF(CostTrack[[#This Row],[Holdback (Y/N/R)]]="Release",CostTrack[[#This Row],[Value]],CostTrack[[#This Row],[Value]]+CostTrack[[#This Row],[Holdback Value]])</f>
        <v>56539.5</v>
      </c>
      <c r="I457" s="650"/>
      <c r="J457" s="650"/>
      <c r="K457" s="648"/>
      <c r="L457" s="707">
        <v>44901</v>
      </c>
      <c r="M457" s="267">
        <v>44901</v>
      </c>
      <c r="N457" s="770"/>
      <c r="O457" s="712" t="s">
        <v>106</v>
      </c>
      <c r="P457" s="267">
        <v>44901</v>
      </c>
      <c r="Q457" s="243" t="str">
        <f ca="1">IF(CostTrack[[#This Row],[Vendor - Contract]]="","",INDEX(VendorList[PA ID],MATCH(CostTrack[[#This Row],[Vendor - Contract]],VendorList[Vendor / Org. with Contract ID],0)))</f>
        <v>400.020.F1</v>
      </c>
      <c r="R457" s="243" t="str">
        <f ca="1">IF(CostTrack[[#This Row],[Vendor - Contract]]="","",INDEX(VendorList[Primary Category],MATCH(CostTrack[[#This Row],[Vendor - Contract]],VendorList[Vendor / Org. with Contract ID],0)))</f>
        <v>FE_IT</v>
      </c>
      <c r="S457" s="243" t="str">
        <f ca="1">IF(CostTrack[[#This Row],[Vendor - Contract]]="","",INDEX(VendorList[Secondary Category],MATCH(CostTrack[[#This Row],[Vendor - Contract]],VendorList[Vendor / Org. with Contract ID],0)))</f>
        <v>Information Technology</v>
      </c>
      <c r="T457" s="243" t="str">
        <f ca="1">IF(CostTrack[[#This Row],[Vendor - Contract]]="","",INDEX(VendorList[Phase / Subproject],MATCH(CostTrack[[#This Row],[Vendor - Contract]],VendorList[Vendor / Org. with Contract ID],0)))</f>
        <v>--</v>
      </c>
      <c r="U457" s="243" t="str">
        <f ca="1">IF(CostTrack[[#This Row],[Vendor - Contract]]="","",INDEX(VendorList[Phase / Subproject 2],MATCH(CostTrack[[#This Row],[Vendor - Contract]],VendorList[Vendor / Org. with Contract ID],0)))</f>
        <v>--</v>
      </c>
      <c r="V457" s="243" t="str">
        <f ca="1">IF(CostTrack[[#This Row],[Vendor - Contract]]="","",INDEX(VendorList[Funding Source],MATCH(CostTrack[[#This Row],[Vendor - Contract]],VendorList[Vendor / Org. with Contract ID],0)))</f>
        <v>P-002360</v>
      </c>
      <c r="W457" s="267">
        <v>44901</v>
      </c>
      <c r="X457" s="251" t="str">
        <f ca="1">IF(CostTrack[[#This Row],[Release Date (CMS)]]="","*","")</f>
        <v/>
      </c>
      <c r="Y457" s="267" t="s">
        <v>53</v>
      </c>
      <c r="Z457" s="758" t="s">
        <v>1155</v>
      </c>
      <c r="AA457" s="245">
        <f ca="1">IF(OR(CostTrack[[#This Row],[Release Date (CMS)]]&gt;=DATE(VALUE(REPLACE(CostTrack[[#This Row],[Fiscal Period]],3,3,"")),3,1),CostTrack[[#This Row],[Release Date (CMS)]]&lt;DATE(VALUE(LEFT(CostTrack[[#This Row],[Fiscal Period]],4)),4,1)),1,0)</f>
        <v>0</v>
      </c>
      <c r="AB457" s="655">
        <v>56539.5</v>
      </c>
      <c r="AC457" s="267">
        <v>44951</v>
      </c>
      <c r="AD457" s="402" t="str">
        <f ca="1">IF(CostTrack[[#This Row],[Reconciled Amount]]="","",IF(CostTrack[[#This Row],[Value]]&lt;&gt;CostTrack[[#This Row],[Reconciled Amount]],"Yes","No"))</f>
        <v>No</v>
      </c>
    </row>
    <row r="458" spans="2:30" ht="30" customHeight="1">
      <c r="B458" s="706" t="s">
        <v>731</v>
      </c>
      <c r="C458" s="650">
        <v>800071486</v>
      </c>
      <c r="D458" s="267">
        <v>44911</v>
      </c>
      <c r="E458" s="654">
        <v>45.33</v>
      </c>
      <c r="F458" s="647" t="s">
        <v>69</v>
      </c>
      <c r="G458" s="406">
        <f ca="1">ROUND(IF(CostTrack[[#This Row],[Holdback (Y/N/R)]]="Yes",CostTrack[[#This Row],[Value]]*-0.1,IF(CostTrack[[#This Row],[Holdback (Y/N/R)]]="Release",CostTrack[[#This Row],[Value]],0)),2)</f>
        <v>0</v>
      </c>
      <c r="H458" s="407">
        <f ca="1">IF(CostTrack[[#This Row],[Holdback (Y/N/R)]]="Release",CostTrack[[#This Row],[Value]],CostTrack[[#This Row],[Value]]+CostTrack[[#This Row],[Holdback Value]])</f>
        <v>45.33</v>
      </c>
      <c r="I458" s="650"/>
      <c r="J458" s="650"/>
      <c r="K458" s="648"/>
      <c r="L458" s="707">
        <v>44911</v>
      </c>
      <c r="M458" s="708">
        <v>44911</v>
      </c>
      <c r="N458" s="773"/>
      <c r="O458" s="712" t="s">
        <v>106</v>
      </c>
      <c r="P458" s="267">
        <v>44911</v>
      </c>
      <c r="Q458" s="243" t="str">
        <f ca="1">IF(CostTrack[[#This Row],[Vendor - Contract]]="","",INDEX(VendorList[PA ID],MATCH(CostTrack[[#This Row],[Vendor - Contract]],VendorList[Vendor / Org. with Contract ID],0)))</f>
        <v>100.050.F1</v>
      </c>
      <c r="R458" s="243" t="str">
        <f ca="1">IF(CostTrack[[#This Row],[Vendor - Contract]]="","",INDEX(VendorList[Primary Category],MATCH(CostTrack[[#This Row],[Vendor - Contract]],VendorList[Vendor / Org. with Contract ID],0)))</f>
        <v>Administration</v>
      </c>
      <c r="S458" s="243" t="str">
        <f ca="1">IF(CostTrack[[#This Row],[Vendor - Contract]]="","",INDEX(VendorList[Secondary Category],MATCH(CostTrack[[#This Row],[Vendor - Contract]],VendorList[Vendor / Org. with Contract ID],0)))</f>
        <v>Other Administration</v>
      </c>
      <c r="T458" s="243" t="str">
        <f ca="1">IF(CostTrack[[#This Row],[Vendor - Contract]]="","",INDEX(VendorList[Phase / Subproject],MATCH(CostTrack[[#This Row],[Vendor - Contract]],VendorList[Vendor / Org. with Contract ID],0)))</f>
        <v>--</v>
      </c>
      <c r="U458" s="243" t="str">
        <f ca="1">IF(CostTrack[[#This Row],[Vendor - Contract]]="","",INDEX(VendorList[Phase / Subproject 2],MATCH(CostTrack[[#This Row],[Vendor - Contract]],VendorList[Vendor / Org. with Contract ID],0)))</f>
        <v>--</v>
      </c>
      <c r="V458" s="243" t="str">
        <f ca="1">IF(CostTrack[[#This Row],[Vendor - Contract]]="","",INDEX(VendorList[Funding Source],MATCH(CostTrack[[#This Row],[Vendor - Contract]],VendorList[Vendor / Org. with Contract ID],0)))</f>
        <v>P-002360</v>
      </c>
      <c r="W458" s="267">
        <v>44911</v>
      </c>
      <c r="X458" s="251" t="str">
        <f ca="1">IF(CostTrack[[#This Row],[Release Date (CMS)]]="","*","")</f>
        <v/>
      </c>
      <c r="Y458" s="267" t="s">
        <v>53</v>
      </c>
      <c r="Z458" s="652" t="s">
        <v>1156</v>
      </c>
      <c r="AA458" s="245">
        <f ca="1">IF(OR(CostTrack[[#This Row],[Release Date (CMS)]]&gt;=DATE(VALUE(REPLACE(CostTrack[[#This Row],[Fiscal Period]],3,3,"")),3,1),CostTrack[[#This Row],[Release Date (CMS)]]&lt;DATE(VALUE(LEFT(CostTrack[[#This Row],[Fiscal Period]],4)),4,1)),1,0)</f>
        <v>0</v>
      </c>
      <c r="AB458" s="655">
        <v>45.33</v>
      </c>
      <c r="AC458" s="267">
        <v>44951</v>
      </c>
      <c r="AD458" s="402" t="str">
        <f ca="1">IF(CostTrack[[#This Row],[Reconciled Amount]]="","",IF(CostTrack[[#This Row],[Value]]&lt;&gt;CostTrack[[#This Row],[Reconciled Amount]],"Yes","No"))</f>
        <v>No</v>
      </c>
    </row>
    <row r="459" spans="2:30" ht="24.75" customHeight="1">
      <c r="B459" s="706" t="s">
        <v>527</v>
      </c>
      <c r="C459" s="650">
        <v>220672</v>
      </c>
      <c r="D459" s="267">
        <v>44895</v>
      </c>
      <c r="E459" s="654">
        <v>62231.56</v>
      </c>
      <c r="F459" s="647" t="s">
        <v>69</v>
      </c>
      <c r="G459" s="406">
        <f ca="1">ROUND(IF(CostTrack[[#This Row],[Holdback (Y/N/R)]]="Yes",CostTrack[[#This Row],[Value]]*-0.1,IF(CostTrack[[#This Row],[Holdback (Y/N/R)]]="Release",CostTrack[[#This Row],[Value]],0)),2)</f>
        <v>0</v>
      </c>
      <c r="H459" s="407">
        <f ca="1">IF(CostTrack[[#This Row],[Holdback (Y/N/R)]]="Release",CostTrack[[#This Row],[Value]],CostTrack[[#This Row],[Value]]+CostTrack[[#This Row],[Holdback Value]])</f>
        <v>62231.56</v>
      </c>
      <c r="I459" s="650"/>
      <c r="J459" s="650"/>
      <c r="K459" s="648"/>
      <c r="L459" s="707">
        <v>44907</v>
      </c>
      <c r="M459" s="708">
        <v>44908</v>
      </c>
      <c r="N459" s="773"/>
      <c r="O459" s="712" t="s">
        <v>106</v>
      </c>
      <c r="P459" s="267">
        <v>44909</v>
      </c>
      <c r="Q459" s="243" t="str">
        <f ca="1">IF(CostTrack[[#This Row],[Vendor - Contract]]="","",INDEX(VendorList[PA ID],MATCH(CostTrack[[#This Row],[Vendor - Contract]],VendorList[Vendor / Org. with Contract ID],0)))</f>
        <v>200.010.F1</v>
      </c>
      <c r="R459" s="243" t="str">
        <f ca="1">IF(CostTrack[[#This Row],[Vendor - Contract]]="","",INDEX(VendorList[Primary Category],MATCH(CostTrack[[#This Row],[Vendor - Contract]],VendorList[Vendor / Org. with Contract ID],0)))</f>
        <v>Professional Services</v>
      </c>
      <c r="S459" s="243" t="str">
        <f ca="1">IF(CostTrack[[#This Row],[Vendor - Contract]]="","",INDEX(VendorList[Secondary Category],MATCH(CostTrack[[#This Row],[Vendor - Contract]],VendorList[Vendor / Org. with Contract ID],0)))</f>
        <v>Prime Consultant</v>
      </c>
      <c r="T459" s="243" t="str">
        <f ca="1">IF(CostTrack[[#This Row],[Vendor - Contract]]="","",INDEX(VendorList[Phase / Subproject],MATCH(CostTrack[[#This Row],[Vendor - Contract]],VendorList[Vendor / Org. with Contract ID],0)))</f>
        <v>--</v>
      </c>
      <c r="U459" s="243" t="str">
        <f ca="1">IF(CostTrack[[#This Row],[Vendor - Contract]]="","",INDEX(VendorList[Phase / Subproject 2],MATCH(CostTrack[[#This Row],[Vendor - Contract]],VendorList[Vendor / Org. with Contract ID],0)))</f>
        <v>--</v>
      </c>
      <c r="V459" s="243" t="str">
        <f ca="1">IF(CostTrack[[#This Row],[Vendor - Contract]]="","",INDEX(VendorList[Funding Source],MATCH(CostTrack[[#This Row],[Vendor - Contract]],VendorList[Vendor / Org. with Contract ID],0)))</f>
        <v>P-002360</v>
      </c>
      <c r="W459" s="267">
        <v>44909</v>
      </c>
      <c r="X459" s="251" t="str">
        <f ca="1">IF(CostTrack[[#This Row],[Release Date (CMS)]]="","*","")</f>
        <v/>
      </c>
      <c r="Y459" s="267" t="s">
        <v>53</v>
      </c>
      <c r="Z459" s="652"/>
      <c r="AA459" s="245">
        <f ca="1">IF(OR(CostTrack[[#This Row],[Release Date (CMS)]]&gt;=DATE(VALUE(REPLACE(CostTrack[[#This Row],[Fiscal Period]],3,3,"")),3,1),CostTrack[[#This Row],[Release Date (CMS)]]&lt;DATE(VALUE(LEFT(CostTrack[[#This Row],[Fiscal Period]],4)),4,1)),1,0)</f>
        <v>0</v>
      </c>
      <c r="AB459" s="655">
        <v>62231.56</v>
      </c>
      <c r="AC459" s="267">
        <v>44951</v>
      </c>
      <c r="AD459" s="402" t="str">
        <f ca="1">IF(CostTrack[[#This Row],[Reconciled Amount]]="","",IF(CostTrack[[#This Row],[Value]]&lt;&gt;CostTrack[[#This Row],[Reconciled Amount]],"Yes","No"))</f>
        <v>No</v>
      </c>
    </row>
    <row r="460" spans="2:30" ht="23.1" customHeight="1">
      <c r="B460" s="706" t="s">
        <v>528</v>
      </c>
      <c r="C460" s="650">
        <v>60788977</v>
      </c>
      <c r="D460" s="267">
        <v>44904</v>
      </c>
      <c r="E460" s="654">
        <v>941</v>
      </c>
      <c r="F460" s="647" t="s">
        <v>69</v>
      </c>
      <c r="G460" s="406">
        <f ca="1">ROUND(IF(CostTrack[[#This Row],[Holdback (Y/N/R)]]="Yes",CostTrack[[#This Row],[Value]]*-0.1,IF(CostTrack[[#This Row],[Holdback (Y/N/R)]]="Release",CostTrack[[#This Row],[Value]],0)),2)</f>
        <v>0</v>
      </c>
      <c r="H460" s="407">
        <f ca="1">IF(CostTrack[[#This Row],[Holdback (Y/N/R)]]="Release",CostTrack[[#This Row],[Value]],CostTrack[[#This Row],[Value]]+CostTrack[[#This Row],[Holdback Value]])</f>
        <v>941</v>
      </c>
      <c r="I460" s="650"/>
      <c r="J460" s="650"/>
      <c r="K460" s="648"/>
      <c r="L460" s="707">
        <v>44910</v>
      </c>
      <c r="M460" s="708">
        <v>44910</v>
      </c>
      <c r="N460" s="773"/>
      <c r="O460" s="712" t="s">
        <v>106</v>
      </c>
      <c r="P460" s="267">
        <v>44910</v>
      </c>
      <c r="Q460" s="243" t="str">
        <f ca="1">IF(CostTrack[[#This Row],[Vendor - Contract]]="","",INDEX(VendorList[PA ID],MATCH(CostTrack[[#This Row],[Vendor - Contract]],VendorList[Vendor / Org. with Contract ID],0)))</f>
        <v>200.050.F1</v>
      </c>
      <c r="R460" s="243" t="str">
        <f ca="1">IF(CostTrack[[#This Row],[Vendor - Contract]]="","",INDEX(VendorList[Primary Category],MATCH(CostTrack[[#This Row],[Vendor - Contract]],VendorList[Vendor / Org. with Contract ID],0)))</f>
        <v>Professional Services</v>
      </c>
      <c r="S460" s="243" t="str">
        <f ca="1">IF(CostTrack[[#This Row],[Vendor - Contract]]="","",INDEX(VendorList[Secondary Category],MATCH(CostTrack[[#This Row],[Vendor - Contract]],VendorList[Vendor / Org. with Contract ID],0)))</f>
        <v>Other Professional Services</v>
      </c>
      <c r="T460" s="243" t="str">
        <f ca="1">IF(CostTrack[[#This Row],[Vendor - Contract]]="","",INDEX(VendorList[Phase / Subproject],MATCH(CostTrack[[#This Row],[Vendor - Contract]],VendorList[Vendor / Org. with Contract ID],0)))</f>
        <v>--</v>
      </c>
      <c r="U460" s="243" t="str">
        <f ca="1">IF(CostTrack[[#This Row],[Vendor - Contract]]="","",INDEX(VendorList[Phase / Subproject 2],MATCH(CostTrack[[#This Row],[Vendor - Contract]],VendorList[Vendor / Org. with Contract ID],0)))</f>
        <v>--</v>
      </c>
      <c r="V460" s="243" t="str">
        <f ca="1">IF(CostTrack[[#This Row],[Vendor - Contract]]="","",INDEX(VendorList[Funding Source],MATCH(CostTrack[[#This Row],[Vendor - Contract]],VendorList[Vendor / Org. with Contract ID],0)))</f>
        <v>P-002360</v>
      </c>
      <c r="W460" s="267">
        <v>44911</v>
      </c>
      <c r="X460" s="251" t="str">
        <f ca="1">IF(CostTrack[[#This Row],[Release Date (CMS)]]="","*","")</f>
        <v/>
      </c>
      <c r="Y460" s="267" t="s">
        <v>53</v>
      </c>
      <c r="Z460" s="652"/>
      <c r="AA460" s="245">
        <f ca="1">IF(OR(CostTrack[[#This Row],[Release Date (CMS)]]&gt;=DATE(VALUE(REPLACE(CostTrack[[#This Row],[Fiscal Period]],3,3,"")),3,1),CostTrack[[#This Row],[Release Date (CMS)]]&lt;DATE(VALUE(LEFT(CostTrack[[#This Row],[Fiscal Period]],4)),4,1)),1,0)</f>
        <v>0</v>
      </c>
      <c r="AB460" s="655">
        <v>941</v>
      </c>
      <c r="AC460" s="267">
        <v>44951</v>
      </c>
      <c r="AD460" s="402" t="str">
        <f ca="1">IF(CostTrack[[#This Row],[Reconciled Amount]]="","",IF(CostTrack[[#This Row],[Value]]&lt;&gt;CostTrack[[#This Row],[Reconciled Amount]],"Yes","No"))</f>
        <v>No</v>
      </c>
    </row>
    <row r="461" spans="2:30" ht="23.1" customHeight="1">
      <c r="B461" s="1324" t="s">
        <v>666</v>
      </c>
      <c r="C461" s="1312">
        <v>443170</v>
      </c>
      <c r="D461" s="1308">
        <v>44893</v>
      </c>
      <c r="E461" s="658">
        <v>7947</v>
      </c>
      <c r="F461" s="1309" t="s">
        <v>69</v>
      </c>
      <c r="G461" s="1310">
        <f ca="1">ROUND(IF(CostTrack[[#This Row],[Holdback (Y/N/R)]]="Yes",CostTrack[[#This Row],[Value]]*-0.1,IF(CostTrack[[#This Row],[Holdback (Y/N/R)]]="Release",CostTrack[[#This Row],[Value]],0)),2)</f>
        <v>0</v>
      </c>
      <c r="H461" s="1311">
        <f ca="1">IF(CostTrack[[#This Row],[Holdback (Y/N/R)]]="Release",CostTrack[[#This Row],[Value]],CostTrack[[#This Row],[Value]]+CostTrack[[#This Row],[Holdback Value]])</f>
        <v>7947</v>
      </c>
      <c r="I461" s="1312"/>
      <c r="J461" s="1312"/>
      <c r="K461" s="1313"/>
      <c r="L461" s="1325">
        <v>44907</v>
      </c>
      <c r="M461" s="1326">
        <v>44909</v>
      </c>
      <c r="N461" s="1337"/>
      <c r="O461" s="1328" t="s">
        <v>106</v>
      </c>
      <c r="P461" s="1308">
        <v>44909</v>
      </c>
      <c r="Q461" s="1314" t="str">
        <f ca="1">IF(CostTrack[[#This Row],[Vendor - Contract]]="","",INDEX(VendorList[PA ID],MATCH(CostTrack[[#This Row],[Vendor - Contract]],VendorList[Vendor / Org. with Contract ID],0)))</f>
        <v>200.050.F1</v>
      </c>
      <c r="R461" s="1314" t="str">
        <f ca="1">IF(CostTrack[[#This Row],[Vendor - Contract]]="","",INDEX(VendorList[Primary Category],MATCH(CostTrack[[#This Row],[Vendor - Contract]],VendorList[Vendor / Org. with Contract ID],0)))</f>
        <v>Professional Services</v>
      </c>
      <c r="S461" s="1314" t="str">
        <f ca="1">IF(CostTrack[[#This Row],[Vendor - Contract]]="","",INDEX(VendorList[Secondary Category],MATCH(CostTrack[[#This Row],[Vendor - Contract]],VendorList[Vendor / Org. with Contract ID],0)))</f>
        <v>Other Professional Services</v>
      </c>
      <c r="T461" s="1314" t="str">
        <f ca="1">IF(CostTrack[[#This Row],[Vendor - Contract]]="","",INDEX(VendorList[Phase / Subproject],MATCH(CostTrack[[#This Row],[Vendor - Contract]],VendorList[Vendor / Org. with Contract ID],0)))</f>
        <v>--</v>
      </c>
      <c r="U461" s="1314" t="str">
        <f ca="1">IF(CostTrack[[#This Row],[Vendor - Contract]]="","",INDEX(VendorList[Phase / Subproject 2],MATCH(CostTrack[[#This Row],[Vendor - Contract]],VendorList[Vendor / Org. with Contract ID],0)))</f>
        <v>--</v>
      </c>
      <c r="V461" s="1314" t="str">
        <f ca="1">IF(CostTrack[[#This Row],[Vendor - Contract]]="","",INDEX(VendorList[Funding Source],MATCH(CostTrack[[#This Row],[Vendor - Contract]],VendorList[Vendor / Org. with Contract ID],0)))</f>
        <v>P-002360</v>
      </c>
      <c r="W461" s="1308">
        <v>44909</v>
      </c>
      <c r="X461" s="1315" t="str">
        <f ca="1">IF(CostTrack[[#This Row],[Release Date (CMS)]]="","*","")</f>
        <v/>
      </c>
      <c r="Y461" s="1308" t="s">
        <v>53</v>
      </c>
      <c r="Z461" s="713"/>
      <c r="AA461" s="1316">
        <f ca="1">IF(OR(CostTrack[[#This Row],[Release Date (CMS)]]&gt;=DATE(VALUE(REPLACE(CostTrack[[#This Row],[Fiscal Period]],3,3,"")),3,1),CostTrack[[#This Row],[Release Date (CMS)]]&lt;DATE(VALUE(LEFT(CostTrack[[#This Row],[Fiscal Period]],4)),4,1)),1,0)</f>
        <v>0</v>
      </c>
      <c r="AB461" s="1317">
        <v>7947</v>
      </c>
      <c r="AC461" s="1308">
        <v>44951</v>
      </c>
      <c r="AD461" s="402" t="str">
        <f ca="1">IF(CostTrack[[#This Row],[Reconciled Amount]]="","",IF(CostTrack[[#This Row],[Value]]&lt;&gt;CostTrack[[#This Row],[Reconciled Amount]],"Yes","No"))</f>
        <v>No</v>
      </c>
    </row>
    <row r="462" spans="2:30" ht="44.65" customHeight="1">
      <c r="B462" s="1324" t="s">
        <v>1087</v>
      </c>
      <c r="C462" s="1312">
        <v>39689010123</v>
      </c>
      <c r="D462" s="1308">
        <v>44897</v>
      </c>
      <c r="E462" s="658">
        <v>13333.91</v>
      </c>
      <c r="F462" s="1309" t="s">
        <v>69</v>
      </c>
      <c r="G462" s="1310">
        <f ca="1">ROUND(IF(CostTrack[[#This Row],[Holdback (Y/N/R)]]="Yes",CostTrack[[#This Row],[Value]]*-0.1,IF(CostTrack[[#This Row],[Holdback (Y/N/R)]]="Release",CostTrack[[#This Row],[Value]],0)),2)</f>
        <v>0</v>
      </c>
      <c r="H462" s="1311">
        <f ca="1">IF(CostTrack[[#This Row],[Holdback (Y/N/R)]]="Release",CostTrack[[#This Row],[Value]],CostTrack[[#This Row],[Value]]+CostTrack[[#This Row],[Holdback Value]])</f>
        <v>13333.91</v>
      </c>
      <c r="I462" s="1312"/>
      <c r="J462" s="1312"/>
      <c r="K462" s="1313"/>
      <c r="L462" s="1325">
        <v>44908</v>
      </c>
      <c r="M462" s="1326">
        <v>44908</v>
      </c>
      <c r="N462" s="1327"/>
      <c r="O462" s="1328" t="s">
        <v>106</v>
      </c>
      <c r="P462" s="1308">
        <v>44909</v>
      </c>
      <c r="Q462" s="1314" t="str">
        <f ca="1">IF(CostTrack[[#This Row],[Vendor - Contract]]="","",INDEX(VendorList[PA ID],MATCH(CostTrack[[#This Row],[Vendor - Contract]],VendorList[Vendor / Org. with Contract ID],0)))</f>
        <v>300.040.F1</v>
      </c>
      <c r="R462" s="1314" t="str">
        <f ca="1">IF(CostTrack[[#This Row],[Vendor - Contract]]="","",INDEX(VendorList[Primary Category],MATCH(CostTrack[[#This Row],[Vendor - Contract]],VendorList[Vendor / Org. with Contract ID],0)))</f>
        <v>Construction</v>
      </c>
      <c r="S462" s="1314" t="str">
        <f ca="1">IF(CostTrack[[#This Row],[Vendor - Contract]]="","",INDEX(VendorList[Secondary Category],MATCH(CostTrack[[#This Row],[Vendor - Contract]],VendorList[Vendor / Org. with Contract ID],0)))</f>
        <v>Other Contractor</v>
      </c>
      <c r="T462" s="1314" t="str">
        <f ca="1">IF(CostTrack[[#This Row],[Vendor - Contract]]="","",INDEX(VendorList[Phase / Subproject],MATCH(CostTrack[[#This Row],[Vendor - Contract]],VendorList[Vendor / Org. with Contract ID],0)))</f>
        <v>--</v>
      </c>
      <c r="U462" s="1314" t="str">
        <f ca="1">IF(CostTrack[[#This Row],[Vendor - Contract]]="","",INDEX(VendorList[Phase / Subproject 2],MATCH(CostTrack[[#This Row],[Vendor - Contract]],VendorList[Vendor / Org. with Contract ID],0)))</f>
        <v>--</v>
      </c>
      <c r="V462" s="1314" t="str">
        <f ca="1">IF(CostTrack[[#This Row],[Vendor - Contract]]="","",INDEX(VendorList[Funding Source],MATCH(CostTrack[[#This Row],[Vendor - Contract]],VendorList[Vendor / Org. with Contract ID],0)))</f>
        <v>P-002360</v>
      </c>
      <c r="W462" s="1308">
        <v>44909</v>
      </c>
      <c r="X462" s="1315" t="str">
        <f ca="1">IF(CostTrack[[#This Row],[Release Date (CMS)]]="","*","")</f>
        <v/>
      </c>
      <c r="Y462" s="1308" t="s">
        <v>53</v>
      </c>
      <c r="Z462" s="652" t="s">
        <v>1157</v>
      </c>
      <c r="AA462" s="1316">
        <f ca="1">IF(OR(CostTrack[[#This Row],[Release Date (CMS)]]&gt;=DATE(VALUE(REPLACE(CostTrack[[#This Row],[Fiscal Period]],3,3,"")),3,1),CostTrack[[#This Row],[Release Date (CMS)]]&lt;DATE(VALUE(LEFT(CostTrack[[#This Row],[Fiscal Period]],4)),4,1)),1,0)</f>
        <v>0</v>
      </c>
      <c r="AB462" s="1317">
        <v>13333.91</v>
      </c>
      <c r="AC462" s="1308">
        <v>44951</v>
      </c>
      <c r="AD462" s="402" t="str">
        <f ca="1">IF(CostTrack[[#This Row],[Reconciled Amount]]="","",IF(CostTrack[[#This Row],[Value]]&lt;&gt;CostTrack[[#This Row],[Reconciled Amount]],"Yes","No"))</f>
        <v>No</v>
      </c>
    </row>
    <row r="463" spans="2:30" ht="24.75" customHeight="1">
      <c r="B463" s="1324" t="s">
        <v>711</v>
      </c>
      <c r="C463" s="1312">
        <v>4452207</v>
      </c>
      <c r="D463" s="1308">
        <v>44895</v>
      </c>
      <c r="E463" s="658">
        <v>273.64</v>
      </c>
      <c r="F463" s="1309" t="s">
        <v>69</v>
      </c>
      <c r="G463" s="1310">
        <f ca="1">ROUND(IF(CostTrack[[#This Row],[Holdback (Y/N/R)]]="Yes",CostTrack[[#This Row],[Value]]*-0.1,IF(CostTrack[[#This Row],[Holdback (Y/N/R)]]="Release",CostTrack[[#This Row],[Value]],0)),2)</f>
        <v>0</v>
      </c>
      <c r="H463" s="1311">
        <f ca="1">IF(CostTrack[[#This Row],[Holdback (Y/N/R)]]="Release",CostTrack[[#This Row],[Value]],CostTrack[[#This Row],[Value]]+CostTrack[[#This Row],[Holdback Value]])</f>
        <v>273.64</v>
      </c>
      <c r="I463" s="1312"/>
      <c r="J463" s="1312"/>
      <c r="K463" s="1313"/>
      <c r="L463" s="1325">
        <v>44902</v>
      </c>
      <c r="M463" s="1326">
        <v>44908</v>
      </c>
      <c r="N463" s="1327"/>
      <c r="O463" s="1328" t="s">
        <v>106</v>
      </c>
      <c r="P463" s="1308">
        <v>44908</v>
      </c>
      <c r="Q463" s="1314" t="str">
        <f ca="1">IF(CostTrack[[#This Row],[Vendor - Contract]]="","",INDEX(VendorList[PA ID],MATCH(CostTrack[[#This Row],[Vendor - Contract]],VendorList[Vendor / Org. with Contract ID],0)))</f>
        <v>300.040.F1</v>
      </c>
      <c r="R463" s="1314" t="str">
        <f ca="1">IF(CostTrack[[#This Row],[Vendor - Contract]]="","",INDEX(VendorList[Primary Category],MATCH(CostTrack[[#This Row],[Vendor - Contract]],VendorList[Vendor / Org. with Contract ID],0)))</f>
        <v>Construction</v>
      </c>
      <c r="S463" s="1314" t="str">
        <f ca="1">IF(CostTrack[[#This Row],[Vendor - Contract]]="","",INDEX(VendorList[Secondary Category],MATCH(CostTrack[[#This Row],[Vendor - Contract]],VendorList[Vendor / Org. with Contract ID],0)))</f>
        <v>Other Contractor</v>
      </c>
      <c r="T463" s="1314" t="str">
        <f ca="1">IF(CostTrack[[#This Row],[Vendor - Contract]]="","",INDEX(VendorList[Phase / Subproject],MATCH(CostTrack[[#This Row],[Vendor - Contract]],VendorList[Vendor / Org. with Contract ID],0)))</f>
        <v>--</v>
      </c>
      <c r="U463" s="1314" t="str">
        <f ca="1">IF(CostTrack[[#This Row],[Vendor - Contract]]="","",INDEX(VendorList[Phase / Subproject 2],MATCH(CostTrack[[#This Row],[Vendor - Contract]],VendorList[Vendor / Org. with Contract ID],0)))</f>
        <v>--</v>
      </c>
      <c r="V463" s="1314" t="str">
        <f ca="1">IF(CostTrack[[#This Row],[Vendor - Contract]]="","",INDEX(VendorList[Funding Source],MATCH(CostTrack[[#This Row],[Vendor - Contract]],VendorList[Vendor / Org. with Contract ID],0)))</f>
        <v>P-002360</v>
      </c>
      <c r="W463" s="1308">
        <v>44909</v>
      </c>
      <c r="X463" s="1315" t="str">
        <f ca="1">IF(CostTrack[[#This Row],[Release Date (CMS)]]="","*","")</f>
        <v/>
      </c>
      <c r="Y463" s="1308" t="s">
        <v>53</v>
      </c>
      <c r="Z463" s="713"/>
      <c r="AA463" s="1316">
        <f ca="1">IF(OR(CostTrack[[#This Row],[Release Date (CMS)]]&gt;=DATE(VALUE(REPLACE(CostTrack[[#This Row],[Fiscal Period]],3,3,"")),3,1),CostTrack[[#This Row],[Release Date (CMS)]]&lt;DATE(VALUE(LEFT(CostTrack[[#This Row],[Fiscal Period]],4)),4,1)),1,0)</f>
        <v>0</v>
      </c>
      <c r="AB463" s="1317">
        <v>273.64</v>
      </c>
      <c r="AC463" s="1308">
        <v>44951</v>
      </c>
      <c r="AD463" s="402" t="str">
        <f ca="1">IF(CostTrack[[#This Row],[Reconciled Amount]]="","",IF(CostTrack[[#This Row],[Value]]&lt;&gt;CostTrack[[#This Row],[Reconciled Amount]],"Yes","No"))</f>
        <v>No</v>
      </c>
    </row>
    <row r="464" spans="2:30" ht="32.1" customHeight="1">
      <c r="B464" s="1324" t="s">
        <v>736</v>
      </c>
      <c r="C464" s="650" t="s">
        <v>1158</v>
      </c>
      <c r="D464" s="1308">
        <v>45260</v>
      </c>
      <c r="E464" s="658">
        <v>59935.08</v>
      </c>
      <c r="F464" s="1309" t="s">
        <v>69</v>
      </c>
      <c r="G464" s="1310">
        <f ca="1">ROUND(IF(CostTrack[[#This Row],[Holdback (Y/N/R)]]="Yes",CostTrack[[#This Row],[Value]]*-0.1,IF(CostTrack[[#This Row],[Holdback (Y/N/R)]]="Release",CostTrack[[#This Row],[Value]],0)),2)</f>
        <v>0</v>
      </c>
      <c r="H464" s="1311">
        <f ca="1">IF(CostTrack[[#This Row],[Holdback (Y/N/R)]]="Release",CostTrack[[#This Row],[Value]],CostTrack[[#This Row],[Value]]+CostTrack[[#This Row],[Holdback Value]])</f>
        <v>59935.08</v>
      </c>
      <c r="I464" s="1312"/>
      <c r="J464" s="1312"/>
      <c r="K464" s="1313"/>
      <c r="L464" s="1325">
        <v>44895</v>
      </c>
      <c r="M464" s="1326">
        <v>44895</v>
      </c>
      <c r="N464" s="1327"/>
      <c r="O464" s="1328" t="s">
        <v>106</v>
      </c>
      <c r="P464" s="1308">
        <v>44895</v>
      </c>
      <c r="Q464" s="1314" t="str">
        <f ca="1">IF(CostTrack[[#This Row],[Vendor - Contract]]="","",INDEX(VendorList[PA ID],MATCH(CostTrack[[#This Row],[Vendor - Contract]],VendorList[Vendor / Org. with Contract ID],0)))</f>
        <v>100.010.F1</v>
      </c>
      <c r="R464" s="1314" t="str">
        <f ca="1">IF(CostTrack[[#This Row],[Vendor - Contract]]="","",INDEX(VendorList[Primary Category],MATCH(CostTrack[[#This Row],[Vendor - Contract]],VendorList[Vendor / Org. with Contract ID],0)))</f>
        <v>Administration</v>
      </c>
      <c r="S464" s="1314" t="str">
        <f ca="1">IF(CostTrack[[#This Row],[Vendor - Contract]]="","",INDEX(VendorList[Secondary Category],MATCH(CostTrack[[#This Row],[Vendor - Contract]],VendorList[Vendor / Org. with Contract ID],0)))</f>
        <v>Staff Capitalization - INFRA</v>
      </c>
      <c r="T464" s="1314" t="str">
        <f ca="1">IF(CostTrack[[#This Row],[Vendor - Contract]]="","",INDEX(VendorList[Phase / Subproject],MATCH(CostTrack[[#This Row],[Vendor - Contract]],VendorList[Vendor / Org. with Contract ID],0)))</f>
        <v>--</v>
      </c>
      <c r="U464" s="1314" t="str">
        <f ca="1">IF(CostTrack[[#This Row],[Vendor - Contract]]="","",INDEX(VendorList[Phase / Subproject 2],MATCH(CostTrack[[#This Row],[Vendor - Contract]],VendorList[Vendor / Org. with Contract ID],0)))</f>
        <v>--</v>
      </c>
      <c r="V464" s="1314" t="str">
        <f ca="1">IF(CostTrack[[#This Row],[Vendor - Contract]]="","",INDEX(VendorList[Funding Source],MATCH(CostTrack[[#This Row],[Vendor - Contract]],VendorList[Vendor / Org. with Contract ID],0)))</f>
        <v>P-002360</v>
      </c>
      <c r="W464" s="1308">
        <v>44895</v>
      </c>
      <c r="X464" s="1315" t="str">
        <f ca="1">IF(CostTrack[[#This Row],[Release Date (CMS)]]="","*","")</f>
        <v/>
      </c>
      <c r="Y464" s="1308" t="s">
        <v>53</v>
      </c>
      <c r="Z464" s="713"/>
      <c r="AA464" s="1316">
        <f ca="1">IF(OR(CostTrack[[#This Row],[Release Date (CMS)]]&gt;=DATE(VALUE(REPLACE(CostTrack[[#This Row],[Fiscal Period]],3,3,"")),3,1),CostTrack[[#This Row],[Release Date (CMS)]]&lt;DATE(VALUE(LEFT(CostTrack[[#This Row],[Fiscal Period]],4)),4,1)),1,0)</f>
        <v>0</v>
      </c>
      <c r="AB464" s="1317">
        <v>59935.08</v>
      </c>
      <c r="AC464" s="1308">
        <v>44914</v>
      </c>
      <c r="AD464" s="402" t="str">
        <f ca="1">IF(CostTrack[[#This Row],[Reconciled Amount]]="","",IF(CostTrack[[#This Row],[Value]]&lt;&gt;CostTrack[[#This Row],[Reconciled Amount]],"Yes","No"))</f>
        <v>No</v>
      </c>
    </row>
    <row r="465" spans="2:30" ht="32.1" customHeight="1">
      <c r="B465" s="1324" t="s">
        <v>662</v>
      </c>
      <c r="C465" s="1312">
        <v>7210</v>
      </c>
      <c r="D465" s="1308">
        <v>44888</v>
      </c>
      <c r="E465" s="658">
        <v>1494</v>
      </c>
      <c r="F465" s="1309" t="s">
        <v>69</v>
      </c>
      <c r="G465" s="1310">
        <f ca="1">ROUND(IF(CostTrack[[#This Row],[Holdback (Y/N/R)]]="Yes",CostTrack[[#This Row],[Value]]*-0.1,IF(CostTrack[[#This Row],[Holdback (Y/N/R)]]="Release",CostTrack[[#This Row],[Value]],0)),2)</f>
        <v>0</v>
      </c>
      <c r="H465" s="1311">
        <f ca="1">IF(CostTrack[[#This Row],[Holdback (Y/N/R)]]="Release",CostTrack[[#This Row],[Value]],CostTrack[[#This Row],[Value]]+CostTrack[[#This Row],[Holdback Value]])</f>
        <v>1494</v>
      </c>
      <c r="I465" s="1312"/>
      <c r="J465" s="1312"/>
      <c r="K465" s="1313"/>
      <c r="L465" s="1325">
        <v>44888</v>
      </c>
      <c r="M465" s="1326">
        <v>44888</v>
      </c>
      <c r="N465" s="1327"/>
      <c r="O465" s="1328" t="s">
        <v>106</v>
      </c>
      <c r="P465" s="1308">
        <v>44889</v>
      </c>
      <c r="Q465" s="1314" t="str">
        <f ca="1">IF(CostTrack[[#This Row],[Vendor - Contract]]="","",INDEX(VendorList[PA ID],MATCH(CostTrack[[#This Row],[Vendor - Contract]],VendorList[Vendor / Org. with Contract ID],0)))</f>
        <v>200.050.F1</v>
      </c>
      <c r="R465" s="1314" t="str">
        <f ca="1">IF(CostTrack[[#This Row],[Vendor - Contract]]="","",INDEX(VendorList[Primary Category],MATCH(CostTrack[[#This Row],[Vendor - Contract]],VendorList[Vendor / Org. with Contract ID],0)))</f>
        <v>Professional Services</v>
      </c>
      <c r="S465" s="1314" t="str">
        <f ca="1">IF(CostTrack[[#This Row],[Vendor - Contract]]="","",INDEX(VendorList[Secondary Category],MATCH(CostTrack[[#This Row],[Vendor - Contract]],VendorList[Vendor / Org. with Contract ID],0)))</f>
        <v>Other Professional Services</v>
      </c>
      <c r="T465" s="1314" t="str">
        <f ca="1">IF(CostTrack[[#This Row],[Vendor - Contract]]="","",INDEX(VendorList[Phase / Subproject],MATCH(CostTrack[[#This Row],[Vendor - Contract]],VendorList[Vendor / Org. with Contract ID],0)))</f>
        <v>--</v>
      </c>
      <c r="U465" s="1314" t="str">
        <f ca="1">IF(CostTrack[[#This Row],[Vendor - Contract]]="","",INDEX(VendorList[Phase / Subproject 2],MATCH(CostTrack[[#This Row],[Vendor - Contract]],VendorList[Vendor / Org. with Contract ID],0)))</f>
        <v>--</v>
      </c>
      <c r="V465" s="1314" t="str">
        <f ca="1">IF(CostTrack[[#This Row],[Vendor - Contract]]="","",INDEX(VendorList[Funding Source],MATCH(CostTrack[[#This Row],[Vendor - Contract]],VendorList[Vendor / Org. with Contract ID],0)))</f>
        <v>P-002360</v>
      </c>
      <c r="W465" s="1308">
        <v>44889</v>
      </c>
      <c r="X465" s="1315" t="str">
        <f ca="1">IF(CostTrack[[#This Row],[Release Date (CMS)]]="","*","")</f>
        <v/>
      </c>
      <c r="Y465" s="1308" t="s">
        <v>53</v>
      </c>
      <c r="Z465" s="713"/>
      <c r="AA465" s="1316">
        <f ca="1">IF(OR(CostTrack[[#This Row],[Release Date (CMS)]]&gt;=DATE(VALUE(REPLACE(CostTrack[[#This Row],[Fiscal Period]],3,3,"")),3,1),CostTrack[[#This Row],[Release Date (CMS)]]&lt;DATE(VALUE(LEFT(CostTrack[[#This Row],[Fiscal Period]],4)),4,1)),1,0)</f>
        <v>0</v>
      </c>
      <c r="AB465" s="1317">
        <v>1494</v>
      </c>
      <c r="AC465" s="1308">
        <v>44914</v>
      </c>
      <c r="AD465" s="402" t="str">
        <f ca="1">IF(CostTrack[[#This Row],[Reconciled Amount]]="","",IF(CostTrack[[#This Row],[Value]]&lt;&gt;CostTrack[[#This Row],[Reconciled Amount]],"Yes","No"))</f>
        <v>No</v>
      </c>
    </row>
    <row r="466" spans="2:30" ht="32.1" customHeight="1">
      <c r="B466" s="1324" t="s">
        <v>710</v>
      </c>
      <c r="C466" s="691" t="s">
        <v>1159</v>
      </c>
      <c r="D466" s="1308">
        <v>44911</v>
      </c>
      <c r="E466" s="658">
        <v>370.04</v>
      </c>
      <c r="F466" s="1309" t="s">
        <v>69</v>
      </c>
      <c r="G466" s="1310">
        <f ca="1">ROUND(IF(CostTrack[[#This Row],[Holdback (Y/N/R)]]="Yes",CostTrack[[#This Row],[Value]]*-0.1,IF(CostTrack[[#This Row],[Holdback (Y/N/R)]]="Release",CostTrack[[#This Row],[Value]],0)),2)</f>
        <v>0</v>
      </c>
      <c r="H466" s="1311">
        <f ca="1">IF(CostTrack[[#This Row],[Holdback (Y/N/R)]]="Release",CostTrack[[#This Row],[Value]],CostTrack[[#This Row],[Value]]+CostTrack[[#This Row],[Holdback Value]])</f>
        <v>370.04</v>
      </c>
      <c r="I466" s="1312"/>
      <c r="J466" s="1312"/>
      <c r="K466" s="1313"/>
      <c r="L466" s="1325">
        <v>44918</v>
      </c>
      <c r="M466" s="1326">
        <v>44918</v>
      </c>
      <c r="N466" s="1327"/>
      <c r="O466" s="1328" t="s">
        <v>106</v>
      </c>
      <c r="P466" s="1308">
        <v>44918</v>
      </c>
      <c r="Q466" s="1314" t="str">
        <f ca="1">IF(CostTrack[[#This Row],[Vendor - Contract]]="","",INDEX(VendorList[PA ID],MATCH(CostTrack[[#This Row],[Vendor - Contract]],VendorList[Vendor / Org. with Contract ID],0)))</f>
        <v>300.040.F1</v>
      </c>
      <c r="R466" s="1314" t="str">
        <f ca="1">IF(CostTrack[[#This Row],[Vendor - Contract]]="","",INDEX(VendorList[Primary Category],MATCH(CostTrack[[#This Row],[Vendor - Contract]],VendorList[Vendor / Org. with Contract ID],0)))</f>
        <v>Construction</v>
      </c>
      <c r="S466" s="1314" t="str">
        <f ca="1">IF(CostTrack[[#This Row],[Vendor - Contract]]="","",INDEX(VendorList[Secondary Category],MATCH(CostTrack[[#This Row],[Vendor - Contract]],VendorList[Vendor / Org. with Contract ID],0)))</f>
        <v>Other Contractor</v>
      </c>
      <c r="T466" s="1314" t="str">
        <f ca="1">IF(CostTrack[[#This Row],[Vendor - Contract]]="","",INDEX(VendorList[Phase / Subproject],MATCH(CostTrack[[#This Row],[Vendor - Contract]],VendorList[Vendor / Org. with Contract ID],0)))</f>
        <v>--</v>
      </c>
      <c r="U466" s="1314" t="str">
        <f ca="1">IF(CostTrack[[#This Row],[Vendor - Contract]]="","",INDEX(VendorList[Phase / Subproject 2],MATCH(CostTrack[[#This Row],[Vendor - Contract]],VendorList[Vendor / Org. with Contract ID],0)))</f>
        <v>--</v>
      </c>
      <c r="V466" s="1314" t="str">
        <f ca="1">IF(CostTrack[[#This Row],[Vendor - Contract]]="","",INDEX(VendorList[Funding Source],MATCH(CostTrack[[#This Row],[Vendor - Contract]],VendorList[Vendor / Org. with Contract ID],0)))</f>
        <v>P-002360</v>
      </c>
      <c r="W466" s="1308">
        <v>44930</v>
      </c>
      <c r="X466" s="1315" t="str">
        <f ca="1">IF(CostTrack[[#This Row],[Release Date (CMS)]]="","*","")</f>
        <v/>
      </c>
      <c r="Y466" s="1308" t="s">
        <v>53</v>
      </c>
      <c r="Z466" s="652" t="s">
        <v>1160</v>
      </c>
      <c r="AA466" s="1316">
        <f ca="1">IF(OR(CostTrack[[#This Row],[Release Date (CMS)]]&gt;=DATE(VALUE(REPLACE(CostTrack[[#This Row],[Fiscal Period]],3,3,"")),3,1),CostTrack[[#This Row],[Release Date (CMS)]]&lt;DATE(VALUE(LEFT(CostTrack[[#This Row],[Fiscal Period]],4)),4,1)),1,0)</f>
        <v>0</v>
      </c>
      <c r="AB466" s="1317">
        <v>370.04</v>
      </c>
      <c r="AC466" s="1308">
        <v>44970</v>
      </c>
      <c r="AD466" s="402" t="str">
        <f ca="1">IF(CostTrack[[#This Row],[Reconciled Amount]]="","",IF(CostTrack[[#This Row],[Value]]&lt;&gt;CostTrack[[#This Row],[Reconciled Amount]],"Yes","No"))</f>
        <v>No</v>
      </c>
    </row>
    <row r="467" spans="2:30" ht="25.15" customHeight="1">
      <c r="B467" s="1324" t="s">
        <v>624</v>
      </c>
      <c r="C467" s="1312">
        <v>1769333</v>
      </c>
      <c r="D467" s="1308">
        <v>44917</v>
      </c>
      <c r="E467" s="658">
        <v>5800</v>
      </c>
      <c r="F467" s="1309" t="s">
        <v>69</v>
      </c>
      <c r="G467" s="1310">
        <f ca="1">ROUND(IF(CostTrack[[#This Row],[Holdback (Y/N/R)]]="Yes",CostTrack[[#This Row],[Value]]*-0.1,IF(CostTrack[[#This Row],[Holdback (Y/N/R)]]="Release",CostTrack[[#This Row],[Value]],0)),2)</f>
        <v>0</v>
      </c>
      <c r="H467" s="1311">
        <f ca="1">IF(CostTrack[[#This Row],[Holdback (Y/N/R)]]="Release",CostTrack[[#This Row],[Value]],CostTrack[[#This Row],[Value]]+CostTrack[[#This Row],[Holdback Value]])</f>
        <v>5800</v>
      </c>
      <c r="I467" s="1312"/>
      <c r="J467" s="1312"/>
      <c r="K467" s="1313"/>
      <c r="L467" s="1325">
        <v>44917</v>
      </c>
      <c r="M467" s="1326">
        <v>44917</v>
      </c>
      <c r="N467" s="1327"/>
      <c r="O467" s="1328" t="s">
        <v>106</v>
      </c>
      <c r="P467" s="1308">
        <v>44917</v>
      </c>
      <c r="Q467" s="1314" t="str">
        <f ca="1">IF(CostTrack[[#This Row],[Vendor - Contract]]="","",INDEX(VendorList[PA ID],MATCH(CostTrack[[#This Row],[Vendor - Contract]],VendorList[Vendor / Org. with Contract ID],0)))</f>
        <v>200.040.F1</v>
      </c>
      <c r="R467" s="1314" t="str">
        <f ca="1">IF(CostTrack[[#This Row],[Vendor - Contract]]="","",INDEX(VendorList[Primary Category],MATCH(CostTrack[[#This Row],[Vendor - Contract]],VendorList[Vendor / Org. with Contract ID],0)))</f>
        <v>Professional Services</v>
      </c>
      <c r="S467" s="1314" t="str">
        <f ca="1">IF(CostTrack[[#This Row],[Vendor - Contract]]="","",INDEX(VendorList[Secondary Category],MATCH(CostTrack[[#This Row],[Vendor - Contract]],VendorList[Vendor / Org. with Contract ID],0)))</f>
        <v>Commissioning</v>
      </c>
      <c r="T467" s="1314" t="str">
        <f ca="1">IF(CostTrack[[#This Row],[Vendor - Contract]]="","",INDEX(VendorList[Phase / Subproject],MATCH(CostTrack[[#This Row],[Vendor - Contract]],VendorList[Vendor / Org. with Contract ID],0)))</f>
        <v>--</v>
      </c>
      <c r="U467" s="1314" t="str">
        <f ca="1">IF(CostTrack[[#This Row],[Vendor - Contract]]="","",INDEX(VendorList[Phase / Subproject 2],MATCH(CostTrack[[#This Row],[Vendor - Contract]],VendorList[Vendor / Org. with Contract ID],0)))</f>
        <v>--</v>
      </c>
      <c r="V467" s="1314" t="str">
        <f ca="1">IF(CostTrack[[#This Row],[Vendor - Contract]]="","",INDEX(VendorList[Funding Source],MATCH(CostTrack[[#This Row],[Vendor - Contract]],VendorList[Vendor / Org. with Contract ID],0)))</f>
        <v>P-002360</v>
      </c>
      <c r="W467" s="1308">
        <v>44918</v>
      </c>
      <c r="X467" s="1315" t="str">
        <f ca="1">IF(CostTrack[[#This Row],[Release Date (CMS)]]="","*","")</f>
        <v/>
      </c>
      <c r="Y467" s="1308" t="s">
        <v>53</v>
      </c>
      <c r="Z467" s="713"/>
      <c r="AA467" s="1316">
        <f ca="1">IF(OR(CostTrack[[#This Row],[Release Date (CMS)]]&gt;=DATE(VALUE(REPLACE(CostTrack[[#This Row],[Fiscal Period]],3,3,"")),3,1),CostTrack[[#This Row],[Release Date (CMS)]]&lt;DATE(VALUE(LEFT(CostTrack[[#This Row],[Fiscal Period]],4)),4,1)),1,0)</f>
        <v>0</v>
      </c>
      <c r="AB467" s="1317">
        <v>5800</v>
      </c>
      <c r="AC467" s="1308">
        <v>44951</v>
      </c>
      <c r="AD467" s="402" t="str">
        <f ca="1">IF(CostTrack[[#This Row],[Reconciled Amount]]="","",IF(CostTrack[[#This Row],[Value]]&lt;&gt;CostTrack[[#This Row],[Reconciled Amount]],"Yes","No"))</f>
        <v>No</v>
      </c>
    </row>
    <row r="468" spans="2:30" ht="23.1" customHeight="1">
      <c r="B468" s="1324" t="s">
        <v>662</v>
      </c>
      <c r="C468" s="1312">
        <v>7331</v>
      </c>
      <c r="D468" s="1308">
        <v>44917</v>
      </c>
      <c r="E468" s="658">
        <v>1494</v>
      </c>
      <c r="F468" s="1309" t="s">
        <v>69</v>
      </c>
      <c r="G468" s="1310">
        <f ca="1">ROUND(IF(CostTrack[[#This Row],[Holdback (Y/N/R)]]="Yes",CostTrack[[#This Row],[Value]]*-0.1,IF(CostTrack[[#This Row],[Holdback (Y/N/R)]]="Release",CostTrack[[#This Row],[Value]],0)),2)</f>
        <v>0</v>
      </c>
      <c r="H468" s="1311">
        <f ca="1">IF(CostTrack[[#This Row],[Holdback (Y/N/R)]]="Release",CostTrack[[#This Row],[Value]],CostTrack[[#This Row],[Value]]+CostTrack[[#This Row],[Holdback Value]])</f>
        <v>1494</v>
      </c>
      <c r="I468" s="1312"/>
      <c r="J468" s="1312"/>
      <c r="K468" s="1313"/>
      <c r="L468" s="1325">
        <v>44917</v>
      </c>
      <c r="M468" s="1326">
        <v>44917</v>
      </c>
      <c r="N468" s="1327"/>
      <c r="O468" s="1328" t="s">
        <v>106</v>
      </c>
      <c r="P468" s="1308">
        <v>44917</v>
      </c>
      <c r="Q468" s="1314" t="str">
        <f ca="1">IF(CostTrack[[#This Row],[Vendor - Contract]]="","",INDEX(VendorList[PA ID],MATCH(CostTrack[[#This Row],[Vendor - Contract]],VendorList[Vendor / Org. with Contract ID],0)))</f>
        <v>200.050.F1</v>
      </c>
      <c r="R468" s="1314" t="str">
        <f ca="1">IF(CostTrack[[#This Row],[Vendor - Contract]]="","",INDEX(VendorList[Primary Category],MATCH(CostTrack[[#This Row],[Vendor - Contract]],VendorList[Vendor / Org. with Contract ID],0)))</f>
        <v>Professional Services</v>
      </c>
      <c r="S468" s="1314" t="str">
        <f ca="1">IF(CostTrack[[#This Row],[Vendor - Contract]]="","",INDEX(VendorList[Secondary Category],MATCH(CostTrack[[#This Row],[Vendor - Contract]],VendorList[Vendor / Org. with Contract ID],0)))</f>
        <v>Other Professional Services</v>
      </c>
      <c r="T468" s="1314" t="str">
        <f ca="1">IF(CostTrack[[#This Row],[Vendor - Contract]]="","",INDEX(VendorList[Phase / Subproject],MATCH(CostTrack[[#This Row],[Vendor - Contract]],VendorList[Vendor / Org. with Contract ID],0)))</f>
        <v>--</v>
      </c>
      <c r="U468" s="1314" t="str">
        <f ca="1">IF(CostTrack[[#This Row],[Vendor - Contract]]="","",INDEX(VendorList[Phase / Subproject 2],MATCH(CostTrack[[#This Row],[Vendor - Contract]],VendorList[Vendor / Org. with Contract ID],0)))</f>
        <v>--</v>
      </c>
      <c r="V468" s="1314" t="str">
        <f ca="1">IF(CostTrack[[#This Row],[Vendor - Contract]]="","",INDEX(VendorList[Funding Source],MATCH(CostTrack[[#This Row],[Vendor - Contract]],VendorList[Vendor / Org. with Contract ID],0)))</f>
        <v>P-002360</v>
      </c>
      <c r="W468" s="1308">
        <v>44918</v>
      </c>
      <c r="X468" s="1315" t="str">
        <f ca="1">IF(CostTrack[[#This Row],[Release Date (CMS)]]="","*","")</f>
        <v/>
      </c>
      <c r="Y468" s="1308" t="s">
        <v>53</v>
      </c>
      <c r="Z468" s="713"/>
      <c r="AA468" s="1316">
        <f ca="1">IF(OR(CostTrack[[#This Row],[Release Date (CMS)]]&gt;=DATE(VALUE(REPLACE(CostTrack[[#This Row],[Fiscal Period]],3,3,"")),3,1),CostTrack[[#This Row],[Release Date (CMS)]]&lt;DATE(VALUE(LEFT(CostTrack[[#This Row],[Fiscal Period]],4)),4,1)),1,0)</f>
        <v>0</v>
      </c>
      <c r="AB468" s="1317">
        <v>1494</v>
      </c>
      <c r="AC468" s="1308">
        <v>44951</v>
      </c>
      <c r="AD468" s="402" t="str">
        <f ca="1">IF(CostTrack[[#This Row],[Reconciled Amount]]="","",IF(CostTrack[[#This Row],[Value]]&lt;&gt;CostTrack[[#This Row],[Reconciled Amount]],"Yes","No"))</f>
        <v>No</v>
      </c>
    </row>
    <row r="469" spans="2:30" ht="31.9" customHeight="1">
      <c r="B469" s="1324" t="s">
        <v>1161</v>
      </c>
      <c r="C469" s="1312">
        <v>90842965</v>
      </c>
      <c r="D469" s="1308">
        <v>44885</v>
      </c>
      <c r="E469" s="658">
        <v>1320</v>
      </c>
      <c r="F469" s="1309" t="s">
        <v>69</v>
      </c>
      <c r="G469" s="1310">
        <f ca="1">ROUND(IF(CostTrack[[#This Row],[Holdback (Y/N/R)]]="Yes",CostTrack[[#This Row],[Value]]*-0.1,IF(CostTrack[[#This Row],[Holdback (Y/N/R)]]="Release",CostTrack[[#This Row],[Value]],0)),2)</f>
        <v>0</v>
      </c>
      <c r="H469" s="1311">
        <f ca="1">IF(CostTrack[[#This Row],[Holdback (Y/N/R)]]="Release",CostTrack[[#This Row],[Value]],CostTrack[[#This Row],[Value]]+CostTrack[[#This Row],[Holdback Value]])</f>
        <v>1320</v>
      </c>
      <c r="I469" s="1312"/>
      <c r="J469" s="1312"/>
      <c r="K469" s="1313"/>
      <c r="L469" s="1325">
        <v>44917</v>
      </c>
      <c r="M469" s="1326">
        <v>44917</v>
      </c>
      <c r="N469" s="1327"/>
      <c r="O469" s="1328" t="s">
        <v>106</v>
      </c>
      <c r="P469" s="1308">
        <v>44885</v>
      </c>
      <c r="Q469" s="1314" t="str">
        <f ca="1">IF(CostTrack[[#This Row],[Vendor - Contract]]="","",INDEX(VendorList[PA ID],MATCH(CostTrack[[#This Row],[Vendor - Contract]],VendorList[Vendor / Org. with Contract ID],0)))</f>
        <v>400.020.F1</v>
      </c>
      <c r="R469" s="1314" t="str">
        <f ca="1">IF(CostTrack[[#This Row],[Vendor - Contract]]="","",INDEX(VendorList[Primary Category],MATCH(CostTrack[[#This Row],[Vendor - Contract]],VendorList[Vendor / Org. with Contract ID],0)))</f>
        <v>FE_IT</v>
      </c>
      <c r="S469" s="1314" t="str">
        <f ca="1">IF(CostTrack[[#This Row],[Vendor - Contract]]="","",INDEX(VendorList[Secondary Category],MATCH(CostTrack[[#This Row],[Vendor - Contract]],VendorList[Vendor / Org. with Contract ID],0)))</f>
        <v>Information Technology</v>
      </c>
      <c r="T469" s="1314" t="str">
        <f ca="1">IF(CostTrack[[#This Row],[Vendor - Contract]]="","",INDEX(VendorList[Phase / Subproject],MATCH(CostTrack[[#This Row],[Vendor - Contract]],VendorList[Vendor / Org. with Contract ID],0)))</f>
        <v>--</v>
      </c>
      <c r="U469" s="1314" t="str">
        <f ca="1">IF(CostTrack[[#This Row],[Vendor - Contract]]="","",INDEX(VendorList[Phase / Subproject 2],MATCH(CostTrack[[#This Row],[Vendor - Contract]],VendorList[Vendor / Org. with Contract ID],0)))</f>
        <v>--</v>
      </c>
      <c r="V469" s="1314" t="str">
        <f ca="1">IF(CostTrack[[#This Row],[Vendor - Contract]]="","",INDEX(VendorList[Funding Source],MATCH(CostTrack[[#This Row],[Vendor - Contract]],VendorList[Vendor / Org. with Contract ID],0)))</f>
        <v>P-002360</v>
      </c>
      <c r="W469" s="1308">
        <v>45006</v>
      </c>
      <c r="X469" s="1315" t="str">
        <f ca="1">IF(CostTrack[[#This Row],[Release Date (CMS)]]="","*","")</f>
        <v/>
      </c>
      <c r="Y469" s="1308" t="s">
        <v>53</v>
      </c>
      <c r="Z469" s="652" t="s">
        <v>1162</v>
      </c>
      <c r="AA469" s="1316">
        <f ca="1">IF(OR(CostTrack[[#This Row],[Release Date (CMS)]]&gt;=DATE(VALUE(REPLACE(CostTrack[[#This Row],[Fiscal Period]],3,3,"")),3,1),CostTrack[[#This Row],[Release Date (CMS)]]&lt;DATE(VALUE(LEFT(CostTrack[[#This Row],[Fiscal Period]],4)),4,1)),1,0)</f>
        <v>1</v>
      </c>
      <c r="AB469" s="1317">
        <v>1320</v>
      </c>
      <c r="AC469" s="1308">
        <v>45029</v>
      </c>
      <c r="AD469" s="402" t="str">
        <f ca="1">IF(CostTrack[[#This Row],[Reconciled Amount]]="","",IF(CostTrack[[#This Row],[Value]]&lt;&gt;CostTrack[[#This Row],[Reconciled Amount]],"Yes","No"))</f>
        <v>No</v>
      </c>
    </row>
    <row r="470" spans="2:30" ht="46.35" customHeight="1">
      <c r="B470" s="1324" t="s">
        <v>527</v>
      </c>
      <c r="C470" s="1312">
        <v>220711</v>
      </c>
      <c r="D470" s="1308">
        <v>44926</v>
      </c>
      <c r="E470" s="658">
        <v>69991.039999999994</v>
      </c>
      <c r="F470" s="1309" t="s">
        <v>69</v>
      </c>
      <c r="G470" s="1310">
        <f ca="1">ROUND(IF(CostTrack[[#This Row],[Holdback (Y/N/R)]]="Yes",CostTrack[[#This Row],[Value]]*-0.1,IF(CostTrack[[#This Row],[Holdback (Y/N/R)]]="Release",CostTrack[[#This Row],[Value]],0)),2)</f>
        <v>0</v>
      </c>
      <c r="H470" s="1311">
        <f ca="1">IF(CostTrack[[#This Row],[Holdback (Y/N/R)]]="Release",CostTrack[[#This Row],[Value]],CostTrack[[#This Row],[Value]]+CostTrack[[#This Row],[Holdback Value]])</f>
        <v>69991.039999999994</v>
      </c>
      <c r="I470" s="1312"/>
      <c r="J470" s="1312"/>
      <c r="K470" s="1313"/>
      <c r="L470" s="1325">
        <v>44931</v>
      </c>
      <c r="M470" s="1326">
        <v>44931</v>
      </c>
      <c r="N470" s="1327"/>
      <c r="O470" s="1328" t="s">
        <v>106</v>
      </c>
      <c r="P470" s="1308">
        <v>44931</v>
      </c>
      <c r="Q470" s="1314" t="str">
        <f ca="1">IF(CostTrack[[#This Row],[Vendor - Contract]]="","",INDEX(VendorList[PA ID],MATCH(CostTrack[[#This Row],[Vendor - Contract]],VendorList[Vendor / Org. with Contract ID],0)))</f>
        <v>200.010.F1</v>
      </c>
      <c r="R470" s="1314" t="str">
        <f ca="1">IF(CostTrack[[#This Row],[Vendor - Contract]]="","",INDEX(VendorList[Primary Category],MATCH(CostTrack[[#This Row],[Vendor - Contract]],VendorList[Vendor / Org. with Contract ID],0)))</f>
        <v>Professional Services</v>
      </c>
      <c r="S470" s="1314" t="str">
        <f ca="1">IF(CostTrack[[#This Row],[Vendor - Contract]]="","",INDEX(VendorList[Secondary Category],MATCH(CostTrack[[#This Row],[Vendor - Contract]],VendorList[Vendor / Org. with Contract ID],0)))</f>
        <v>Prime Consultant</v>
      </c>
      <c r="T470" s="1314" t="str">
        <f ca="1">IF(CostTrack[[#This Row],[Vendor - Contract]]="","",INDEX(VendorList[Phase / Subproject],MATCH(CostTrack[[#This Row],[Vendor - Contract]],VendorList[Vendor / Org. with Contract ID],0)))</f>
        <v>--</v>
      </c>
      <c r="U470" s="1314" t="str">
        <f ca="1">IF(CostTrack[[#This Row],[Vendor - Contract]]="","",INDEX(VendorList[Phase / Subproject 2],MATCH(CostTrack[[#This Row],[Vendor - Contract]],VendorList[Vendor / Org. with Contract ID],0)))</f>
        <v>--</v>
      </c>
      <c r="V470" s="1314" t="str">
        <f ca="1">IF(CostTrack[[#This Row],[Vendor - Contract]]="","",INDEX(VendorList[Funding Source],MATCH(CostTrack[[#This Row],[Vendor - Contract]],VendorList[Vendor / Org. with Contract ID],0)))</f>
        <v>P-002360</v>
      </c>
      <c r="W470" s="1308">
        <v>44932</v>
      </c>
      <c r="X470" s="1315" t="str">
        <f ca="1">IF(CostTrack[[#This Row],[Release Date (CMS)]]="","*","")</f>
        <v/>
      </c>
      <c r="Y470" s="1308" t="s">
        <v>53</v>
      </c>
      <c r="Z470" s="713"/>
      <c r="AA470" s="1316">
        <f ca="1">IF(OR(CostTrack[[#This Row],[Release Date (CMS)]]&gt;=DATE(VALUE(REPLACE(CostTrack[[#This Row],[Fiscal Period]],3,3,"")),3,1),CostTrack[[#This Row],[Release Date (CMS)]]&lt;DATE(VALUE(LEFT(CostTrack[[#This Row],[Fiscal Period]],4)),4,1)),1,0)</f>
        <v>0</v>
      </c>
      <c r="AB470" s="1317">
        <v>69991.039999999994</v>
      </c>
      <c r="AC470" s="1308">
        <v>44970</v>
      </c>
      <c r="AD470" s="402" t="str">
        <f ca="1">IF(CostTrack[[#This Row],[Reconciled Amount]]="","",IF(CostTrack[[#This Row],[Value]]&lt;&gt;CostTrack[[#This Row],[Reconciled Amount]],"Yes","No"))</f>
        <v>No</v>
      </c>
    </row>
    <row r="471" spans="2:30" ht="46.35" customHeight="1">
      <c r="B471" s="1324" t="s">
        <v>734</v>
      </c>
      <c r="C471" s="1312">
        <v>1049</v>
      </c>
      <c r="D471" s="1308">
        <v>44926</v>
      </c>
      <c r="E471" s="658">
        <v>847.8</v>
      </c>
      <c r="F471" s="1309" t="s">
        <v>69</v>
      </c>
      <c r="G471" s="1310">
        <f ca="1">ROUND(IF(CostTrack[[#This Row],[Holdback (Y/N/R)]]="Yes",CostTrack[[#This Row],[Value]]*-0.1,IF(CostTrack[[#This Row],[Holdback (Y/N/R)]]="Release",CostTrack[[#This Row],[Value]],0)),2)</f>
        <v>0</v>
      </c>
      <c r="H471" s="1311">
        <f ca="1">IF(CostTrack[[#This Row],[Holdback (Y/N/R)]]="Release",CostTrack[[#This Row],[Value]],CostTrack[[#This Row],[Value]]+CostTrack[[#This Row],[Holdback Value]])</f>
        <v>847.8</v>
      </c>
      <c r="I471" s="1312"/>
      <c r="J471" s="1312"/>
      <c r="K471" s="1313"/>
      <c r="L471" s="1325">
        <v>44930</v>
      </c>
      <c r="M471" s="1326">
        <v>44931</v>
      </c>
      <c r="N471" s="1327"/>
      <c r="O471" s="1328" t="s">
        <v>106</v>
      </c>
      <c r="P471" s="1308">
        <v>44932</v>
      </c>
      <c r="Q471" s="1314" t="str">
        <f ca="1">IF(CostTrack[[#This Row],[Vendor - Contract]]="","",INDEX(VendorList[PA ID],MATCH(CostTrack[[#This Row],[Vendor - Contract]],VendorList[Vendor / Org. with Contract ID],0)))</f>
        <v>200.050.F1</v>
      </c>
      <c r="R471" s="1314" t="str">
        <f ca="1">IF(CostTrack[[#This Row],[Vendor - Contract]]="","",INDEX(VendorList[Primary Category],MATCH(CostTrack[[#This Row],[Vendor - Contract]],VendorList[Vendor / Org. with Contract ID],0)))</f>
        <v>Professional Services</v>
      </c>
      <c r="S471" s="1314" t="str">
        <f ca="1">IF(CostTrack[[#This Row],[Vendor - Contract]]="","",INDEX(VendorList[Secondary Category],MATCH(CostTrack[[#This Row],[Vendor - Contract]],VendorList[Vendor / Org. with Contract ID],0)))</f>
        <v>Other Professional Services</v>
      </c>
      <c r="T471" s="1314" t="str">
        <f ca="1">IF(CostTrack[[#This Row],[Vendor - Contract]]="","",INDEX(VendorList[Phase / Subproject],MATCH(CostTrack[[#This Row],[Vendor - Contract]],VendorList[Vendor / Org. with Contract ID],0)))</f>
        <v>--</v>
      </c>
      <c r="U471" s="1314" t="str">
        <f ca="1">IF(CostTrack[[#This Row],[Vendor - Contract]]="","",INDEX(VendorList[Phase / Subproject 2],MATCH(CostTrack[[#This Row],[Vendor - Contract]],VendorList[Vendor / Org. with Contract ID],0)))</f>
        <v>--</v>
      </c>
      <c r="V471" s="1314" t="str">
        <f ca="1">IF(CostTrack[[#This Row],[Vendor - Contract]]="","",INDEX(VendorList[Funding Source],MATCH(CostTrack[[#This Row],[Vendor - Contract]],VendorList[Vendor / Org. with Contract ID],0)))</f>
        <v>P-002360</v>
      </c>
      <c r="W471" s="1308">
        <v>44932</v>
      </c>
      <c r="X471" s="1315" t="str">
        <f ca="1">IF(CostTrack[[#This Row],[Release Date (CMS)]]="","*","")</f>
        <v/>
      </c>
      <c r="Y471" s="1308" t="s">
        <v>53</v>
      </c>
      <c r="Z471" s="713"/>
      <c r="AA471" s="1316">
        <f ca="1">IF(OR(CostTrack[[#This Row],[Release Date (CMS)]]&gt;=DATE(VALUE(REPLACE(CostTrack[[#This Row],[Fiscal Period]],3,3,"")),3,1),CostTrack[[#This Row],[Release Date (CMS)]]&lt;DATE(VALUE(LEFT(CostTrack[[#This Row],[Fiscal Period]],4)),4,1)),1,0)</f>
        <v>0</v>
      </c>
      <c r="AB471" s="1317">
        <v>847.8</v>
      </c>
      <c r="AC471" s="1308">
        <v>44970</v>
      </c>
      <c r="AD471" s="402" t="str">
        <f ca="1">IF(CostTrack[[#This Row],[Reconciled Amount]]="","",IF(CostTrack[[#This Row],[Value]]&lt;&gt;CostTrack[[#This Row],[Reconciled Amount]],"Yes","No"))</f>
        <v>No</v>
      </c>
    </row>
    <row r="472" spans="2:30" ht="46.35" customHeight="1">
      <c r="B472" s="1324" t="s">
        <v>711</v>
      </c>
      <c r="C472" s="1312">
        <v>4467488</v>
      </c>
      <c r="D472" s="1308">
        <v>44896</v>
      </c>
      <c r="E472" s="658">
        <v>270.68</v>
      </c>
      <c r="F472" s="1309" t="s">
        <v>69</v>
      </c>
      <c r="G472" s="1310">
        <f ca="1">ROUND(IF(CostTrack[[#This Row],[Holdback (Y/N/R)]]="Yes",CostTrack[[#This Row],[Value]]*-0.1,IF(CostTrack[[#This Row],[Holdback (Y/N/R)]]="Release",CostTrack[[#This Row],[Value]],0)),2)</f>
        <v>0</v>
      </c>
      <c r="H472" s="1311">
        <f ca="1">IF(CostTrack[[#This Row],[Holdback (Y/N/R)]]="Release",CostTrack[[#This Row],[Value]],CostTrack[[#This Row],[Value]]+CostTrack[[#This Row],[Holdback Value]])</f>
        <v>270.68</v>
      </c>
      <c r="I472" s="1312"/>
      <c r="J472" s="1312"/>
      <c r="K472" s="1313"/>
      <c r="L472" s="1325">
        <v>44935</v>
      </c>
      <c r="M472" s="1326">
        <v>44935</v>
      </c>
      <c r="N472" s="1327"/>
      <c r="O472" s="1328" t="s">
        <v>106</v>
      </c>
      <c r="P472" s="1308">
        <v>44935</v>
      </c>
      <c r="Q472" s="1314" t="str">
        <f ca="1">IF(CostTrack[[#This Row],[Vendor - Contract]]="","",INDEX(VendorList[PA ID],MATCH(CostTrack[[#This Row],[Vendor - Contract]],VendorList[Vendor / Org. with Contract ID],0)))</f>
        <v>300.040.F1</v>
      </c>
      <c r="R472" s="1314" t="str">
        <f ca="1">IF(CostTrack[[#This Row],[Vendor - Contract]]="","",INDEX(VendorList[Primary Category],MATCH(CostTrack[[#This Row],[Vendor - Contract]],VendorList[Vendor / Org. with Contract ID],0)))</f>
        <v>Construction</v>
      </c>
      <c r="S472" s="1314" t="str">
        <f ca="1">IF(CostTrack[[#This Row],[Vendor - Contract]]="","",INDEX(VendorList[Secondary Category],MATCH(CostTrack[[#This Row],[Vendor - Contract]],VendorList[Vendor / Org. with Contract ID],0)))</f>
        <v>Other Contractor</v>
      </c>
      <c r="T472" s="1314" t="str">
        <f ca="1">IF(CostTrack[[#This Row],[Vendor - Contract]]="","",INDEX(VendorList[Phase / Subproject],MATCH(CostTrack[[#This Row],[Vendor - Contract]],VendorList[Vendor / Org. with Contract ID],0)))</f>
        <v>--</v>
      </c>
      <c r="U472" s="1314" t="str">
        <f ca="1">IF(CostTrack[[#This Row],[Vendor - Contract]]="","",INDEX(VendorList[Phase / Subproject 2],MATCH(CostTrack[[#This Row],[Vendor - Contract]],VendorList[Vendor / Org. with Contract ID],0)))</f>
        <v>--</v>
      </c>
      <c r="V472" s="1314" t="str">
        <f ca="1">IF(CostTrack[[#This Row],[Vendor - Contract]]="","",INDEX(VendorList[Funding Source],MATCH(CostTrack[[#This Row],[Vendor - Contract]],VendorList[Vendor / Org. with Contract ID],0)))</f>
        <v>P-002360</v>
      </c>
      <c r="W472" s="1308">
        <v>44937</v>
      </c>
      <c r="X472" s="1315" t="str">
        <f ca="1">IF(CostTrack[[#This Row],[Release Date (CMS)]]="","*","")</f>
        <v/>
      </c>
      <c r="Y472" s="1308" t="s">
        <v>53</v>
      </c>
      <c r="Z472" s="652" t="s">
        <v>1163</v>
      </c>
      <c r="AA472" s="1316">
        <f ca="1">IF(OR(CostTrack[[#This Row],[Release Date (CMS)]]&gt;=DATE(VALUE(REPLACE(CostTrack[[#This Row],[Fiscal Period]],3,3,"")),3,1),CostTrack[[#This Row],[Release Date (CMS)]]&lt;DATE(VALUE(LEFT(CostTrack[[#This Row],[Fiscal Period]],4)),4,1)),1,0)</f>
        <v>0</v>
      </c>
      <c r="AB472" s="1317">
        <v>270.68</v>
      </c>
      <c r="AC472" s="1308">
        <v>44970</v>
      </c>
      <c r="AD472" s="402" t="str">
        <f ca="1">IF(CostTrack[[#This Row],[Reconciled Amount]]="","",IF(CostTrack[[#This Row],[Value]]&lt;&gt;CostTrack[[#This Row],[Reconciled Amount]],"Yes","No"))</f>
        <v>No</v>
      </c>
    </row>
    <row r="473" spans="2:30" ht="46.35" customHeight="1">
      <c r="B473" s="1324" t="s">
        <v>1087</v>
      </c>
      <c r="C473" s="1312">
        <v>39689020123</v>
      </c>
      <c r="D473" s="1308">
        <v>44928</v>
      </c>
      <c r="E473" s="658">
        <v>13333.91</v>
      </c>
      <c r="F473" s="1309" t="s">
        <v>69</v>
      </c>
      <c r="G473" s="1310">
        <f ca="1">ROUND(IF(CostTrack[[#This Row],[Holdback (Y/N/R)]]="Yes",CostTrack[[#This Row],[Value]]*-0.1,IF(CostTrack[[#This Row],[Holdback (Y/N/R)]]="Release",CostTrack[[#This Row],[Value]],0)),2)</f>
        <v>0</v>
      </c>
      <c r="H473" s="1311">
        <f ca="1">IF(CostTrack[[#This Row],[Holdback (Y/N/R)]]="Release",CostTrack[[#This Row],[Value]],CostTrack[[#This Row],[Value]]+CostTrack[[#This Row],[Holdback Value]])</f>
        <v>13333.91</v>
      </c>
      <c r="I473" s="1312"/>
      <c r="J473" s="1312"/>
      <c r="K473" s="1313"/>
      <c r="L473" s="1325">
        <v>44935</v>
      </c>
      <c r="M473" s="1326">
        <v>44935</v>
      </c>
      <c r="N473" s="1327"/>
      <c r="O473" s="1328" t="s">
        <v>106</v>
      </c>
      <c r="P473" s="1308">
        <v>44935</v>
      </c>
      <c r="Q473" s="1314" t="str">
        <f ca="1">IF(CostTrack[[#This Row],[Vendor - Contract]]="","",INDEX(VendorList[PA ID],MATCH(CostTrack[[#This Row],[Vendor - Contract]],VendorList[Vendor / Org. with Contract ID],0)))</f>
        <v>300.040.F1</v>
      </c>
      <c r="R473" s="1314" t="str">
        <f ca="1">IF(CostTrack[[#This Row],[Vendor - Contract]]="","",INDEX(VendorList[Primary Category],MATCH(CostTrack[[#This Row],[Vendor - Contract]],VendorList[Vendor / Org. with Contract ID],0)))</f>
        <v>Construction</v>
      </c>
      <c r="S473" s="1314" t="str">
        <f ca="1">IF(CostTrack[[#This Row],[Vendor - Contract]]="","",INDEX(VendorList[Secondary Category],MATCH(CostTrack[[#This Row],[Vendor - Contract]],VendorList[Vendor / Org. with Contract ID],0)))</f>
        <v>Other Contractor</v>
      </c>
      <c r="T473" s="1314" t="str">
        <f ca="1">IF(CostTrack[[#This Row],[Vendor - Contract]]="","",INDEX(VendorList[Phase / Subproject],MATCH(CostTrack[[#This Row],[Vendor - Contract]],VendorList[Vendor / Org. with Contract ID],0)))</f>
        <v>--</v>
      </c>
      <c r="U473" s="1314" t="str">
        <f ca="1">IF(CostTrack[[#This Row],[Vendor - Contract]]="","",INDEX(VendorList[Phase / Subproject 2],MATCH(CostTrack[[#This Row],[Vendor - Contract]],VendorList[Vendor / Org. with Contract ID],0)))</f>
        <v>--</v>
      </c>
      <c r="V473" s="1314" t="str">
        <f ca="1">IF(CostTrack[[#This Row],[Vendor - Contract]]="","",INDEX(VendorList[Funding Source],MATCH(CostTrack[[#This Row],[Vendor - Contract]],VendorList[Vendor / Org. with Contract ID],0)))</f>
        <v>P-002360</v>
      </c>
      <c r="W473" s="1308">
        <v>44927</v>
      </c>
      <c r="X473" s="1315" t="str">
        <f ca="1">IF(CostTrack[[#This Row],[Release Date (CMS)]]="","*","")</f>
        <v/>
      </c>
      <c r="Y473" s="1308" t="s">
        <v>53</v>
      </c>
      <c r="Z473" s="652" t="s">
        <v>1164</v>
      </c>
      <c r="AA473" s="1316">
        <f ca="1">IF(OR(CostTrack[[#This Row],[Release Date (CMS)]]&gt;=DATE(VALUE(REPLACE(CostTrack[[#This Row],[Fiscal Period]],3,3,"")),3,1),CostTrack[[#This Row],[Release Date (CMS)]]&lt;DATE(VALUE(LEFT(CostTrack[[#This Row],[Fiscal Period]],4)),4,1)),1,0)</f>
        <v>0</v>
      </c>
      <c r="AB473" s="1317">
        <v>13333.91</v>
      </c>
      <c r="AC473" s="1308">
        <v>44970</v>
      </c>
      <c r="AD473" s="402" t="str">
        <f ca="1">IF(CostTrack[[#This Row],[Reconciled Amount]]="","",IF(CostTrack[[#This Row],[Value]]&lt;&gt;CostTrack[[#This Row],[Reconciled Amount]],"Yes","No"))</f>
        <v>No</v>
      </c>
    </row>
    <row r="474" spans="2:30" ht="28.5" customHeight="1">
      <c r="B474" s="1324" t="s">
        <v>736</v>
      </c>
      <c r="C474" s="650" t="s">
        <v>1165</v>
      </c>
      <c r="D474" s="1308">
        <v>44926</v>
      </c>
      <c r="E474" s="658">
        <v>61242.86</v>
      </c>
      <c r="F474" s="1309" t="s">
        <v>69</v>
      </c>
      <c r="G474" s="1310">
        <f ca="1">ROUND(IF(CostTrack[[#This Row],[Holdback (Y/N/R)]]="Yes",CostTrack[[#This Row],[Value]]*-0.1,IF(CostTrack[[#This Row],[Holdback (Y/N/R)]]="Release",CostTrack[[#This Row],[Value]],0)),2)</f>
        <v>0</v>
      </c>
      <c r="H474" s="1311">
        <f ca="1">IF(CostTrack[[#This Row],[Holdback (Y/N/R)]]="Release",CostTrack[[#This Row],[Value]],CostTrack[[#This Row],[Value]]+CostTrack[[#This Row],[Holdback Value]])</f>
        <v>61242.86</v>
      </c>
      <c r="I474" s="1312"/>
      <c r="J474" s="1312"/>
      <c r="K474" s="1313"/>
      <c r="L474" s="1325">
        <v>44926</v>
      </c>
      <c r="M474" s="1326">
        <v>44926</v>
      </c>
      <c r="N474" s="1327"/>
      <c r="O474" s="1328" t="s">
        <v>106</v>
      </c>
      <c r="P474" s="1308">
        <v>44926</v>
      </c>
      <c r="Q474" s="1314" t="str">
        <f ca="1">IF(CostTrack[[#This Row],[Vendor - Contract]]="","",INDEX(VendorList[PA ID],MATCH(CostTrack[[#This Row],[Vendor - Contract]],VendorList[Vendor / Org. with Contract ID],0)))</f>
        <v>100.010.F1</v>
      </c>
      <c r="R474" s="1314" t="str">
        <f ca="1">IF(CostTrack[[#This Row],[Vendor - Contract]]="","",INDEX(VendorList[Primary Category],MATCH(CostTrack[[#This Row],[Vendor - Contract]],VendorList[Vendor / Org. with Contract ID],0)))</f>
        <v>Administration</v>
      </c>
      <c r="S474" s="1314" t="str">
        <f ca="1">IF(CostTrack[[#This Row],[Vendor - Contract]]="","",INDEX(VendorList[Secondary Category],MATCH(CostTrack[[#This Row],[Vendor - Contract]],VendorList[Vendor / Org. with Contract ID],0)))</f>
        <v>Staff Capitalization - INFRA</v>
      </c>
      <c r="T474" s="1314" t="str">
        <f ca="1">IF(CostTrack[[#This Row],[Vendor - Contract]]="","",INDEX(VendorList[Phase / Subproject],MATCH(CostTrack[[#This Row],[Vendor - Contract]],VendorList[Vendor / Org. with Contract ID],0)))</f>
        <v>--</v>
      </c>
      <c r="U474" s="1314" t="str">
        <f ca="1">IF(CostTrack[[#This Row],[Vendor - Contract]]="","",INDEX(VendorList[Phase / Subproject 2],MATCH(CostTrack[[#This Row],[Vendor - Contract]],VendorList[Vendor / Org. with Contract ID],0)))</f>
        <v>--</v>
      </c>
      <c r="V474" s="1314" t="str">
        <f ca="1">IF(CostTrack[[#This Row],[Vendor - Contract]]="","",INDEX(VendorList[Funding Source],MATCH(CostTrack[[#This Row],[Vendor - Contract]],VendorList[Vendor / Org. with Contract ID],0)))</f>
        <v>P-002360</v>
      </c>
      <c r="W474" s="1308">
        <v>44926</v>
      </c>
      <c r="X474" s="1315" t="str">
        <f ca="1">IF(CostTrack[[#This Row],[Release Date (CMS)]]="","*","")</f>
        <v/>
      </c>
      <c r="Y474" s="1308" t="s">
        <v>53</v>
      </c>
      <c r="Z474" s="713"/>
      <c r="AA474" s="1316">
        <f ca="1">IF(OR(CostTrack[[#This Row],[Release Date (CMS)]]&gt;=DATE(VALUE(REPLACE(CostTrack[[#This Row],[Fiscal Period]],3,3,"")),3,1),CostTrack[[#This Row],[Release Date (CMS)]]&lt;DATE(VALUE(LEFT(CostTrack[[#This Row],[Fiscal Period]],4)),4,1)),1,0)</f>
        <v>0</v>
      </c>
      <c r="AB474" s="1317">
        <v>61242.86</v>
      </c>
      <c r="AC474" s="1308">
        <v>44951</v>
      </c>
      <c r="AD474" s="402" t="str">
        <f ca="1">IF(CostTrack[[#This Row],[Reconciled Amount]]="","",IF(CostTrack[[#This Row],[Value]]&lt;&gt;CostTrack[[#This Row],[Reconciled Amount]],"Yes","No"))</f>
        <v>No</v>
      </c>
    </row>
    <row r="475" spans="2:30" ht="28.5" customHeight="1">
      <c r="B475" s="1324" t="s">
        <v>529</v>
      </c>
      <c r="C475" s="1312">
        <v>28332</v>
      </c>
      <c r="D475" s="1308">
        <v>44923</v>
      </c>
      <c r="E475" s="658">
        <v>6094939.8399999999</v>
      </c>
      <c r="F475" s="1309" t="s">
        <v>65</v>
      </c>
      <c r="G475" s="1310">
        <f ca="1">ROUND(IF(CostTrack[[#This Row],[Holdback (Y/N/R)]]="Yes",CostTrack[[#This Row],[Value]]*-0.1,IF(CostTrack[[#This Row],[Holdback (Y/N/R)]]="Release",CostTrack[[#This Row],[Value]],0)),2)</f>
        <v>-609493.98</v>
      </c>
      <c r="H475" s="1311">
        <f ca="1">IF(CostTrack[[#This Row],[Holdback (Y/N/R)]]="Release",CostTrack[[#This Row],[Value]],CostTrack[[#This Row],[Value]]+CostTrack[[#This Row],[Holdback Value]])</f>
        <v>5485445.8599999994</v>
      </c>
      <c r="I475" s="650" t="s">
        <v>1166</v>
      </c>
      <c r="J475" s="1312"/>
      <c r="K475" s="1313"/>
      <c r="L475" s="1325">
        <v>44952</v>
      </c>
      <c r="M475" s="1326">
        <v>44952</v>
      </c>
      <c r="N475" s="1327"/>
      <c r="O475" s="1328" t="s">
        <v>106</v>
      </c>
      <c r="P475" s="1308">
        <v>44952</v>
      </c>
      <c r="Q475" s="1314" t="str">
        <f ca="1">IF(CostTrack[[#This Row],[Vendor - Contract]]="","",INDEX(VendorList[PA ID],MATCH(CostTrack[[#This Row],[Vendor - Contract]],VendorList[Vendor / Org. with Contract ID],0)))</f>
        <v>300.030.F1</v>
      </c>
      <c r="R475" s="1314" t="str">
        <f ca="1">IF(CostTrack[[#This Row],[Vendor - Contract]]="","",INDEX(VendorList[Primary Category],MATCH(CostTrack[[#This Row],[Vendor - Contract]],VendorList[Vendor / Org. with Contract ID],0)))</f>
        <v>Construction</v>
      </c>
      <c r="S475" s="1314" t="str">
        <f ca="1">IF(CostTrack[[#This Row],[Vendor - Contract]]="","",INDEX(VendorList[Secondary Category],MATCH(CostTrack[[#This Row],[Vendor - Contract]],VendorList[Vendor / Org. with Contract ID],0)))</f>
        <v>Prime Contractor</v>
      </c>
      <c r="T475" s="1314" t="str">
        <f ca="1">IF(CostTrack[[#This Row],[Vendor - Contract]]="","",INDEX(VendorList[Phase / Subproject],MATCH(CostTrack[[#This Row],[Vendor - Contract]],VendorList[Vendor / Org. with Contract ID],0)))</f>
        <v>--</v>
      </c>
      <c r="U475" s="1314" t="str">
        <f ca="1">IF(CostTrack[[#This Row],[Vendor - Contract]]="","",INDEX(VendorList[Phase / Subproject 2],MATCH(CostTrack[[#This Row],[Vendor - Contract]],VendorList[Vendor / Org. with Contract ID],0)))</f>
        <v>--</v>
      </c>
      <c r="V475" s="1314" t="str">
        <f ca="1">IF(CostTrack[[#This Row],[Vendor - Contract]]="","",INDEX(VendorList[Funding Source],MATCH(CostTrack[[#This Row],[Vendor - Contract]],VendorList[Vendor / Org. with Contract ID],0)))</f>
        <v>P-002360</v>
      </c>
      <c r="W475" s="1308">
        <v>44952</v>
      </c>
      <c r="X475" s="1315" t="str">
        <f ca="1">IF(CostTrack[[#This Row],[Release Date (CMS)]]="","*","")</f>
        <v/>
      </c>
      <c r="Y475" s="1308" t="s">
        <v>53</v>
      </c>
      <c r="Z475" s="713"/>
      <c r="AA475" s="1316">
        <f ca="1">IF(OR(CostTrack[[#This Row],[Release Date (CMS)]]&gt;=DATE(VALUE(REPLACE(CostTrack[[#This Row],[Fiscal Period]],3,3,"")),3,1),CostTrack[[#This Row],[Release Date (CMS)]]&lt;DATE(VALUE(LEFT(CostTrack[[#This Row],[Fiscal Period]],4)),4,1)),1,0)</f>
        <v>0</v>
      </c>
      <c r="AB475" s="1317">
        <v>6094939.8399999999</v>
      </c>
      <c r="AC475" s="1308">
        <v>44970</v>
      </c>
      <c r="AD475" s="402" t="str">
        <f ca="1">IF(CostTrack[[#This Row],[Reconciled Amount]]="","",IF(CostTrack[[#This Row],[Value]]&lt;&gt;CostTrack[[#This Row],[Reconciled Amount]],"Yes","No"))</f>
        <v>No</v>
      </c>
    </row>
    <row r="476" spans="2:30" ht="28.5" customHeight="1">
      <c r="B476" s="1324" t="s">
        <v>710</v>
      </c>
      <c r="C476" s="792">
        <v>10703530852</v>
      </c>
      <c r="D476" s="703">
        <v>44945</v>
      </c>
      <c r="E476" s="660">
        <v>1031.68</v>
      </c>
      <c r="F476" s="1309" t="s">
        <v>69</v>
      </c>
      <c r="G476" s="1310">
        <f ca="1">ROUND(IF(CostTrack[[#This Row],[Holdback (Y/N/R)]]="Yes",CostTrack[[#This Row],[Value]]*-0.1,IF(CostTrack[[#This Row],[Holdback (Y/N/R)]]="Release",CostTrack[[#This Row],[Value]],0)),2)</f>
        <v>0</v>
      </c>
      <c r="H476" s="1311">
        <f ca="1">IF(CostTrack[[#This Row],[Holdback (Y/N/R)]]="Release",CostTrack[[#This Row],[Value]],CostTrack[[#This Row],[Value]]+CostTrack[[#This Row],[Holdback Value]])</f>
        <v>1031.68</v>
      </c>
      <c r="I476" s="1312"/>
      <c r="J476" s="1312"/>
      <c r="K476" s="1313"/>
      <c r="L476" s="1325">
        <v>44957</v>
      </c>
      <c r="M476" s="1326">
        <v>44957</v>
      </c>
      <c r="N476" s="1327"/>
      <c r="O476" s="1328" t="s">
        <v>106</v>
      </c>
      <c r="P476" s="1308">
        <v>44958</v>
      </c>
      <c r="Q476" s="1314" t="str">
        <f ca="1">IF(CostTrack[[#This Row],[Vendor - Contract]]="","",INDEX(VendorList[PA ID],MATCH(CostTrack[[#This Row],[Vendor - Contract]],VendorList[Vendor / Org. with Contract ID],0)))</f>
        <v>300.040.F1</v>
      </c>
      <c r="R476" s="1314" t="str">
        <f ca="1">IF(CostTrack[[#This Row],[Vendor - Contract]]="","",INDEX(VendorList[Primary Category],MATCH(CostTrack[[#This Row],[Vendor - Contract]],VendorList[Vendor / Org. with Contract ID],0)))</f>
        <v>Construction</v>
      </c>
      <c r="S476" s="1314" t="str">
        <f ca="1">IF(CostTrack[[#This Row],[Vendor - Contract]]="","",INDEX(VendorList[Secondary Category],MATCH(CostTrack[[#This Row],[Vendor - Contract]],VendorList[Vendor / Org. with Contract ID],0)))</f>
        <v>Other Contractor</v>
      </c>
      <c r="T476" s="1314" t="str">
        <f ca="1">IF(CostTrack[[#This Row],[Vendor - Contract]]="","",INDEX(VendorList[Phase / Subproject],MATCH(CostTrack[[#This Row],[Vendor - Contract]],VendorList[Vendor / Org. with Contract ID],0)))</f>
        <v>--</v>
      </c>
      <c r="U476" s="1314" t="str">
        <f ca="1">IF(CostTrack[[#This Row],[Vendor - Contract]]="","",INDEX(VendorList[Phase / Subproject 2],MATCH(CostTrack[[#This Row],[Vendor - Contract]],VendorList[Vendor / Org. with Contract ID],0)))</f>
        <v>--</v>
      </c>
      <c r="V476" s="1314" t="str">
        <f ca="1">IF(CostTrack[[#This Row],[Vendor - Contract]]="","",INDEX(VendorList[Funding Source],MATCH(CostTrack[[#This Row],[Vendor - Contract]],VendorList[Vendor / Org. with Contract ID],0)))</f>
        <v>P-002360</v>
      </c>
      <c r="W476" s="1308">
        <v>44963</v>
      </c>
      <c r="X476" s="1315" t="str">
        <f ca="1">IF(CostTrack[[#This Row],[Release Date (CMS)]]="","*","")</f>
        <v/>
      </c>
      <c r="Y476" s="1308" t="s">
        <v>53</v>
      </c>
      <c r="Z476" s="652" t="s">
        <v>1167</v>
      </c>
      <c r="AA476" s="1316">
        <f ca="1">IF(OR(CostTrack[[#This Row],[Release Date (CMS)]]&gt;=DATE(VALUE(REPLACE(CostTrack[[#This Row],[Fiscal Period]],3,3,"")),3,1),CostTrack[[#This Row],[Release Date (CMS)]]&lt;DATE(VALUE(LEFT(CostTrack[[#This Row],[Fiscal Period]],4)),4,1)),1,0)</f>
        <v>0</v>
      </c>
      <c r="AB476" s="1317">
        <v>1031.68</v>
      </c>
      <c r="AC476" s="1308">
        <v>45001</v>
      </c>
      <c r="AD476" s="402" t="str">
        <f ca="1">IF(CostTrack[[#This Row],[Reconciled Amount]]="","",IF(CostTrack[[#This Row],[Value]]&lt;&gt;CostTrack[[#This Row],[Reconciled Amount]],"Yes","No"))</f>
        <v>No</v>
      </c>
    </row>
    <row r="477" spans="2:30" ht="33.75" customHeight="1">
      <c r="B477" s="1324" t="s">
        <v>731</v>
      </c>
      <c r="C477" s="793">
        <v>800084657</v>
      </c>
      <c r="D477" s="794">
        <v>44963</v>
      </c>
      <c r="E477" s="660">
        <v>158.28</v>
      </c>
      <c r="F477" s="1309" t="s">
        <v>69</v>
      </c>
      <c r="G477" s="1310">
        <f ca="1">ROUND(IF(CostTrack[[#This Row],[Holdback (Y/N/R)]]="Yes",CostTrack[[#This Row],[Value]]*-0.1,IF(CostTrack[[#This Row],[Holdback (Y/N/R)]]="Release",CostTrack[[#This Row],[Value]],0)),2)</f>
        <v>0</v>
      </c>
      <c r="H477" s="1311">
        <f ca="1">IF(CostTrack[[#This Row],[Holdback (Y/N/R)]]="Release",CostTrack[[#This Row],[Value]],CostTrack[[#This Row],[Value]]+CostTrack[[#This Row],[Holdback Value]])</f>
        <v>158.28</v>
      </c>
      <c r="I477" s="1312"/>
      <c r="J477" s="1312"/>
      <c r="K477" s="1313"/>
      <c r="L477" s="1325">
        <v>44963</v>
      </c>
      <c r="M477" s="1326">
        <v>44963</v>
      </c>
      <c r="N477" s="1327"/>
      <c r="O477" s="1328" t="s">
        <v>106</v>
      </c>
      <c r="P477" s="1308">
        <v>44960</v>
      </c>
      <c r="Q477" s="1314" t="str">
        <f ca="1">IF(CostTrack[[#This Row],[Vendor - Contract]]="","",INDEX(VendorList[PA ID],MATCH(CostTrack[[#This Row],[Vendor - Contract]],VendorList[Vendor / Org. with Contract ID],0)))</f>
        <v>100.050.F1</v>
      </c>
      <c r="R477" s="1314" t="str">
        <f ca="1">IF(CostTrack[[#This Row],[Vendor - Contract]]="","",INDEX(VendorList[Primary Category],MATCH(CostTrack[[#This Row],[Vendor - Contract]],VendorList[Vendor / Org. with Contract ID],0)))</f>
        <v>Administration</v>
      </c>
      <c r="S477" s="1314" t="str">
        <f ca="1">IF(CostTrack[[#This Row],[Vendor - Contract]]="","",INDEX(VendorList[Secondary Category],MATCH(CostTrack[[#This Row],[Vendor - Contract]],VendorList[Vendor / Org. with Contract ID],0)))</f>
        <v>Other Administration</v>
      </c>
      <c r="T477" s="1314" t="str">
        <f ca="1">IF(CostTrack[[#This Row],[Vendor - Contract]]="","",INDEX(VendorList[Phase / Subproject],MATCH(CostTrack[[#This Row],[Vendor - Contract]],VendorList[Vendor / Org. with Contract ID],0)))</f>
        <v>--</v>
      </c>
      <c r="U477" s="1314" t="str">
        <f ca="1">IF(CostTrack[[#This Row],[Vendor - Contract]]="","",INDEX(VendorList[Phase / Subproject 2],MATCH(CostTrack[[#This Row],[Vendor - Contract]],VendorList[Vendor / Org. with Contract ID],0)))</f>
        <v>--</v>
      </c>
      <c r="V477" s="1314" t="str">
        <f ca="1">IF(CostTrack[[#This Row],[Vendor - Contract]]="","",INDEX(VendorList[Funding Source],MATCH(CostTrack[[#This Row],[Vendor - Contract]],VendorList[Vendor / Org. with Contract ID],0)))</f>
        <v>P-002360</v>
      </c>
      <c r="W477" s="267">
        <v>44963</v>
      </c>
      <c r="X477" s="1315" t="str">
        <f ca="1">IF(CostTrack[[#This Row],[Release Date (CMS)]]="","*","")</f>
        <v/>
      </c>
      <c r="Y477" s="1308" t="s">
        <v>53</v>
      </c>
      <c r="Z477" s="652" t="s">
        <v>1168</v>
      </c>
      <c r="AA477" s="1316">
        <f ca="1">IF(OR(CostTrack[[#This Row],[Release Date (CMS)]]&gt;=DATE(VALUE(REPLACE(CostTrack[[#This Row],[Fiscal Period]],3,3,"")),3,1),CostTrack[[#This Row],[Release Date (CMS)]]&lt;DATE(VALUE(LEFT(CostTrack[[#This Row],[Fiscal Period]],4)),4,1)),1,0)</f>
        <v>0</v>
      </c>
      <c r="AB477" s="1317">
        <v>158.28</v>
      </c>
      <c r="AC477" s="1308">
        <v>45001</v>
      </c>
      <c r="AD477" s="402" t="str">
        <f ca="1">IF(CostTrack[[#This Row],[Reconciled Amount]]="","",IF(CostTrack[[#This Row],[Value]]&lt;&gt;CostTrack[[#This Row],[Reconciled Amount]],"Yes","No"))</f>
        <v>No</v>
      </c>
    </row>
    <row r="478" spans="2:30" ht="28.5" customHeight="1">
      <c r="B478" s="1324" t="s">
        <v>624</v>
      </c>
      <c r="C478" s="795">
        <v>1777479</v>
      </c>
      <c r="D478" s="794">
        <v>44966</v>
      </c>
      <c r="E478" s="660">
        <v>13500</v>
      </c>
      <c r="F478" s="1309" t="s">
        <v>69</v>
      </c>
      <c r="G478" s="1310">
        <f ca="1">ROUND(IF(CostTrack[[#This Row],[Holdback (Y/N/R)]]="Yes",CostTrack[[#This Row],[Value]]*-0.1,IF(CostTrack[[#This Row],[Holdback (Y/N/R)]]="Release",CostTrack[[#This Row],[Value]],0)),2)</f>
        <v>0</v>
      </c>
      <c r="H478" s="1311">
        <f ca="1">IF(CostTrack[[#This Row],[Holdback (Y/N/R)]]="Release",CostTrack[[#This Row],[Value]],CostTrack[[#This Row],[Value]]+CostTrack[[#This Row],[Holdback Value]])</f>
        <v>13500</v>
      </c>
      <c r="I478" s="1312"/>
      <c r="J478" s="1312"/>
      <c r="K478" s="1313"/>
      <c r="L478" s="1325">
        <v>44963</v>
      </c>
      <c r="M478" s="1326">
        <v>44963</v>
      </c>
      <c r="N478" s="1327"/>
      <c r="O478" s="1328" t="s">
        <v>106</v>
      </c>
      <c r="P478" s="1308">
        <v>44963</v>
      </c>
      <c r="Q478" s="1314" t="str">
        <f ca="1">IF(CostTrack[[#This Row],[Vendor - Contract]]="","",INDEX(VendorList[PA ID],MATCH(CostTrack[[#This Row],[Vendor - Contract]],VendorList[Vendor / Org. with Contract ID],0)))</f>
        <v>200.040.F1</v>
      </c>
      <c r="R478" s="1314" t="str">
        <f ca="1">IF(CostTrack[[#This Row],[Vendor - Contract]]="","",INDEX(VendorList[Primary Category],MATCH(CostTrack[[#This Row],[Vendor - Contract]],VendorList[Vendor / Org. with Contract ID],0)))</f>
        <v>Professional Services</v>
      </c>
      <c r="S478" s="1314" t="str">
        <f ca="1">IF(CostTrack[[#This Row],[Vendor - Contract]]="","",INDEX(VendorList[Secondary Category],MATCH(CostTrack[[#This Row],[Vendor - Contract]],VendorList[Vendor / Org. with Contract ID],0)))</f>
        <v>Commissioning</v>
      </c>
      <c r="T478" s="1314" t="str">
        <f ca="1">IF(CostTrack[[#This Row],[Vendor - Contract]]="","",INDEX(VendorList[Phase / Subproject],MATCH(CostTrack[[#This Row],[Vendor - Contract]],VendorList[Vendor / Org. with Contract ID],0)))</f>
        <v>--</v>
      </c>
      <c r="U478" s="1314" t="str">
        <f ca="1">IF(CostTrack[[#This Row],[Vendor - Contract]]="","",INDEX(VendorList[Phase / Subproject 2],MATCH(CostTrack[[#This Row],[Vendor - Contract]],VendorList[Vendor / Org. with Contract ID],0)))</f>
        <v>--</v>
      </c>
      <c r="V478" s="1314" t="str">
        <f ca="1">IF(CostTrack[[#This Row],[Vendor - Contract]]="","",INDEX(VendorList[Funding Source],MATCH(CostTrack[[#This Row],[Vendor - Contract]],VendorList[Vendor / Org. with Contract ID],0)))</f>
        <v>P-002360</v>
      </c>
      <c r="W478" s="1308">
        <v>44963</v>
      </c>
      <c r="X478" s="1315" t="str">
        <f ca="1">IF(CostTrack[[#This Row],[Release Date (CMS)]]="","*","")</f>
        <v/>
      </c>
      <c r="Y478" s="1308" t="s">
        <v>53</v>
      </c>
      <c r="Z478" s="713"/>
      <c r="AA478" s="1316">
        <f ca="1">IF(OR(CostTrack[[#This Row],[Release Date (CMS)]]&gt;=DATE(VALUE(REPLACE(CostTrack[[#This Row],[Fiscal Period]],3,3,"")),3,1),CostTrack[[#This Row],[Release Date (CMS)]]&lt;DATE(VALUE(LEFT(CostTrack[[#This Row],[Fiscal Period]],4)),4,1)),1,0)</f>
        <v>0</v>
      </c>
      <c r="AB478" s="1317">
        <v>13500</v>
      </c>
      <c r="AC478" s="1308">
        <v>45001</v>
      </c>
      <c r="AD478" s="402" t="str">
        <f ca="1">IF(CostTrack[[#This Row],[Reconciled Amount]]="","",IF(CostTrack[[#This Row],[Value]]&lt;&gt;CostTrack[[#This Row],[Reconciled Amount]],"Yes","No"))</f>
        <v>No</v>
      </c>
    </row>
    <row r="479" spans="2:30" ht="28.5" customHeight="1">
      <c r="B479" s="706" t="s">
        <v>693</v>
      </c>
      <c r="C479" s="792">
        <v>800086079</v>
      </c>
      <c r="D479" s="703">
        <v>44966</v>
      </c>
      <c r="E479" s="660">
        <v>415.76</v>
      </c>
      <c r="F479" s="647" t="s">
        <v>69</v>
      </c>
      <c r="G479" s="406">
        <f ca="1">ROUND(IF(CostTrack[[#This Row],[Holdback (Y/N/R)]]="Yes",CostTrack[[#This Row],[Value]]*-0.1,IF(CostTrack[[#This Row],[Holdback (Y/N/R)]]="Release",CostTrack[[#This Row],[Value]],0)),2)</f>
        <v>0</v>
      </c>
      <c r="H479" s="407">
        <f ca="1">IF(CostTrack[[#This Row],[Holdback (Y/N/R)]]="Release",CostTrack[[#This Row],[Value]],CostTrack[[#This Row],[Value]]+CostTrack[[#This Row],[Holdback Value]])</f>
        <v>415.76</v>
      </c>
      <c r="I479" s="650"/>
      <c r="J479" s="650"/>
      <c r="K479" s="648"/>
      <c r="L479" s="707">
        <v>44966</v>
      </c>
      <c r="M479" s="708">
        <v>44966</v>
      </c>
      <c r="N479" s="709"/>
      <c r="O479" s="712" t="s">
        <v>106</v>
      </c>
      <c r="P479" s="267">
        <v>44966</v>
      </c>
      <c r="Q479" s="243" t="str">
        <f ca="1">IF(CostTrack[[#This Row],[Vendor - Contract]]="","",INDEX(VendorList[PA ID],MATCH(CostTrack[[#This Row],[Vendor - Contract]],VendorList[Vendor / Org. with Contract ID],0)))</f>
        <v>100.050.F1</v>
      </c>
      <c r="R479" s="243" t="str">
        <f ca="1">IF(CostTrack[[#This Row],[Vendor - Contract]]="","",INDEX(VendorList[Primary Category],MATCH(CostTrack[[#This Row],[Vendor - Contract]],VendorList[Vendor / Org. with Contract ID],0)))</f>
        <v>Administration</v>
      </c>
      <c r="S479" s="243" t="str">
        <f ca="1">IF(CostTrack[[#This Row],[Vendor - Contract]]="","",INDEX(VendorList[Secondary Category],MATCH(CostTrack[[#This Row],[Vendor - Contract]],VendorList[Vendor / Org. with Contract ID],0)))</f>
        <v>Other Administration</v>
      </c>
      <c r="T479" s="243" t="str">
        <f ca="1">IF(CostTrack[[#This Row],[Vendor - Contract]]="","",INDEX(VendorList[Phase / Subproject],MATCH(CostTrack[[#This Row],[Vendor - Contract]],VendorList[Vendor / Org. with Contract ID],0)))</f>
        <v>--</v>
      </c>
      <c r="U479" s="243" t="str">
        <f ca="1">IF(CostTrack[[#This Row],[Vendor - Contract]]="","",INDEX(VendorList[Phase / Subproject 2],MATCH(CostTrack[[#This Row],[Vendor - Contract]],VendorList[Vendor / Org. with Contract ID],0)))</f>
        <v>--</v>
      </c>
      <c r="V479" s="243" t="str">
        <f ca="1">IF(CostTrack[[#This Row],[Vendor - Contract]]="","",INDEX(VendorList[Funding Source],MATCH(CostTrack[[#This Row],[Vendor - Contract]],VendorList[Vendor / Org. with Contract ID],0)))</f>
        <v>P-002360</v>
      </c>
      <c r="W479" s="267">
        <v>44966</v>
      </c>
      <c r="X479" s="251" t="str">
        <f ca="1">IF(CostTrack[[#This Row],[Release Date (CMS)]]="","*","")</f>
        <v/>
      </c>
      <c r="Y479" s="267" t="s">
        <v>53</v>
      </c>
      <c r="Z479" s="652"/>
      <c r="AA479" s="245">
        <f ca="1">IF(OR(CostTrack[[#This Row],[Release Date (CMS)]]&gt;=DATE(VALUE(REPLACE(CostTrack[[#This Row],[Fiscal Period]],3,3,"")),3,1),CostTrack[[#This Row],[Release Date (CMS)]]&lt;DATE(VALUE(LEFT(CostTrack[[#This Row],[Fiscal Period]],4)),4,1)),1,0)</f>
        <v>0</v>
      </c>
      <c r="AB479" s="655">
        <v>415.76</v>
      </c>
      <c r="AC479" s="267">
        <v>45001</v>
      </c>
      <c r="AD479" s="402" t="str">
        <f ca="1">IF(CostTrack[[#This Row],[Reconciled Amount]]="","",IF(CostTrack[[#This Row],[Value]]&lt;&gt;CostTrack[[#This Row],[Reconciled Amount]],"Yes","No"))</f>
        <v>No</v>
      </c>
    </row>
    <row r="480" spans="2:30" ht="28.5" customHeight="1">
      <c r="B480" s="706" t="s">
        <v>736</v>
      </c>
      <c r="C480" s="650" t="s">
        <v>1169</v>
      </c>
      <c r="D480" s="267">
        <v>44957</v>
      </c>
      <c r="E480" s="654">
        <v>64950.27</v>
      </c>
      <c r="F480" s="647" t="s">
        <v>69</v>
      </c>
      <c r="G480" s="406">
        <f ca="1">ROUND(IF(CostTrack[[#This Row],[Holdback (Y/N/R)]]="Yes",CostTrack[[#This Row],[Value]]*-0.1,IF(CostTrack[[#This Row],[Holdback (Y/N/R)]]="Release",CostTrack[[#This Row],[Value]],0)),2)</f>
        <v>0</v>
      </c>
      <c r="H480" s="407">
        <f ca="1">IF(CostTrack[[#This Row],[Holdback (Y/N/R)]]="Release",CostTrack[[#This Row],[Value]],CostTrack[[#This Row],[Value]]+CostTrack[[#This Row],[Holdback Value]])</f>
        <v>64950.27</v>
      </c>
      <c r="I480" s="650"/>
      <c r="J480" s="650"/>
      <c r="K480" s="648"/>
      <c r="L480" s="707">
        <v>44957</v>
      </c>
      <c r="M480" s="708">
        <v>44957</v>
      </c>
      <c r="N480" s="709"/>
      <c r="O480" s="712" t="s">
        <v>106</v>
      </c>
      <c r="P480" s="267">
        <v>44957</v>
      </c>
      <c r="Q480" s="243" t="str">
        <f ca="1">IF(CostTrack[[#This Row],[Vendor - Contract]]="","",INDEX(VendorList[PA ID],MATCH(CostTrack[[#This Row],[Vendor - Contract]],VendorList[Vendor / Org. with Contract ID],0)))</f>
        <v>100.010.F1</v>
      </c>
      <c r="R480" s="243" t="str">
        <f ca="1">IF(CostTrack[[#This Row],[Vendor - Contract]]="","",INDEX(VendorList[Primary Category],MATCH(CostTrack[[#This Row],[Vendor - Contract]],VendorList[Vendor / Org. with Contract ID],0)))</f>
        <v>Administration</v>
      </c>
      <c r="S480" s="243" t="str">
        <f ca="1">IF(CostTrack[[#This Row],[Vendor - Contract]]="","",INDEX(VendorList[Secondary Category],MATCH(CostTrack[[#This Row],[Vendor - Contract]],VendorList[Vendor / Org. with Contract ID],0)))</f>
        <v>Staff Capitalization - INFRA</v>
      </c>
      <c r="T480" s="243" t="str">
        <f ca="1">IF(CostTrack[[#This Row],[Vendor - Contract]]="","",INDEX(VendorList[Phase / Subproject],MATCH(CostTrack[[#This Row],[Vendor - Contract]],VendorList[Vendor / Org. with Contract ID],0)))</f>
        <v>--</v>
      </c>
      <c r="U480" s="243" t="str">
        <f ca="1">IF(CostTrack[[#This Row],[Vendor - Contract]]="","",INDEX(VendorList[Phase / Subproject 2],MATCH(CostTrack[[#This Row],[Vendor - Contract]],VendorList[Vendor / Org. with Contract ID],0)))</f>
        <v>--</v>
      </c>
      <c r="V480" s="243" t="str">
        <f ca="1">IF(CostTrack[[#This Row],[Vendor - Contract]]="","",INDEX(VendorList[Funding Source],MATCH(CostTrack[[#This Row],[Vendor - Contract]],VendorList[Vendor / Org. with Contract ID],0)))</f>
        <v>P-002360</v>
      </c>
      <c r="W480" s="267">
        <v>44957</v>
      </c>
      <c r="X480" s="251" t="str">
        <f ca="1">IF(CostTrack[[#This Row],[Release Date (CMS)]]="","*","")</f>
        <v/>
      </c>
      <c r="Y480" s="267" t="s">
        <v>53</v>
      </c>
      <c r="Z480" s="652"/>
      <c r="AA480" s="245">
        <f ca="1">IF(OR(CostTrack[[#This Row],[Release Date (CMS)]]&gt;=DATE(VALUE(REPLACE(CostTrack[[#This Row],[Fiscal Period]],3,3,"")),3,1),CostTrack[[#This Row],[Release Date (CMS)]]&lt;DATE(VALUE(LEFT(CostTrack[[#This Row],[Fiscal Period]],4)),4,1)),1,0)</f>
        <v>0</v>
      </c>
      <c r="AB480" s="655">
        <v>64950.27</v>
      </c>
      <c r="AC480" s="267">
        <v>44970</v>
      </c>
      <c r="AD480" s="402" t="str">
        <f ca="1">IF(CostTrack[[#This Row],[Reconciled Amount]]="","",IF(CostTrack[[#This Row],[Value]]&lt;&gt;CostTrack[[#This Row],[Reconciled Amount]],"Yes","No"))</f>
        <v>No</v>
      </c>
    </row>
    <row r="481" spans="2:30" ht="28.5" customHeight="1">
      <c r="B481" s="706" t="s">
        <v>711</v>
      </c>
      <c r="C481" s="792">
        <v>4487030</v>
      </c>
      <c r="D481" s="703">
        <v>44957</v>
      </c>
      <c r="E481" s="660">
        <v>347</v>
      </c>
      <c r="F481" s="647" t="s">
        <v>69</v>
      </c>
      <c r="G481" s="406">
        <f ca="1">ROUND(IF(CostTrack[[#This Row],[Holdback (Y/N/R)]]="Yes",CostTrack[[#This Row],[Value]]*-0.1,IF(CostTrack[[#This Row],[Holdback (Y/N/R)]]="Release",CostTrack[[#This Row],[Value]],0)),2)</f>
        <v>0</v>
      </c>
      <c r="H481" s="407">
        <f ca="1">IF(CostTrack[[#This Row],[Holdback (Y/N/R)]]="Release",CostTrack[[#This Row],[Value]],CostTrack[[#This Row],[Value]]+CostTrack[[#This Row],[Holdback Value]])</f>
        <v>347</v>
      </c>
      <c r="I481" s="650"/>
      <c r="J481" s="650"/>
      <c r="K481" s="648"/>
      <c r="L481" s="707">
        <v>44964</v>
      </c>
      <c r="M481" s="708">
        <v>44964</v>
      </c>
      <c r="N481" s="709"/>
      <c r="O481" s="712" t="s">
        <v>106</v>
      </c>
      <c r="P481" s="267">
        <v>44965</v>
      </c>
      <c r="Q481" s="243" t="str">
        <f ca="1">IF(CostTrack[[#This Row],[Vendor - Contract]]="","",INDEX(VendorList[PA ID],MATCH(CostTrack[[#This Row],[Vendor - Contract]],VendorList[Vendor / Org. with Contract ID],0)))</f>
        <v>300.040.F1</v>
      </c>
      <c r="R481" s="243" t="str">
        <f ca="1">IF(CostTrack[[#This Row],[Vendor - Contract]]="","",INDEX(VendorList[Primary Category],MATCH(CostTrack[[#This Row],[Vendor - Contract]],VendorList[Vendor / Org. with Contract ID],0)))</f>
        <v>Construction</v>
      </c>
      <c r="S481" s="243" t="str">
        <f ca="1">IF(CostTrack[[#This Row],[Vendor - Contract]]="","",INDEX(VendorList[Secondary Category],MATCH(CostTrack[[#This Row],[Vendor - Contract]],VendorList[Vendor / Org. with Contract ID],0)))</f>
        <v>Other Contractor</v>
      </c>
      <c r="T481" s="243" t="str">
        <f ca="1">IF(CostTrack[[#This Row],[Vendor - Contract]]="","",INDEX(VendorList[Phase / Subproject],MATCH(CostTrack[[#This Row],[Vendor - Contract]],VendorList[Vendor / Org. with Contract ID],0)))</f>
        <v>--</v>
      </c>
      <c r="U481" s="243" t="str">
        <f ca="1">IF(CostTrack[[#This Row],[Vendor - Contract]]="","",INDEX(VendorList[Phase / Subproject 2],MATCH(CostTrack[[#This Row],[Vendor - Contract]],VendorList[Vendor / Org. with Contract ID],0)))</f>
        <v>--</v>
      </c>
      <c r="V481" s="243" t="str">
        <f ca="1">IF(CostTrack[[#This Row],[Vendor - Contract]]="","",INDEX(VendorList[Funding Source],MATCH(CostTrack[[#This Row],[Vendor - Contract]],VendorList[Vendor / Org. with Contract ID],0)))</f>
        <v>P-002360</v>
      </c>
      <c r="W481" s="267">
        <v>44966</v>
      </c>
      <c r="X481" s="251" t="str">
        <f ca="1">IF(CostTrack[[#This Row],[Release Date (CMS)]]="","*","")</f>
        <v/>
      </c>
      <c r="Y481" s="267" t="s">
        <v>53</v>
      </c>
      <c r="Z481" s="652"/>
      <c r="AA481" s="245">
        <f ca="1">IF(OR(CostTrack[[#This Row],[Release Date (CMS)]]&gt;=DATE(VALUE(REPLACE(CostTrack[[#This Row],[Fiscal Period]],3,3,"")),3,1),CostTrack[[#This Row],[Release Date (CMS)]]&lt;DATE(VALUE(LEFT(CostTrack[[#This Row],[Fiscal Period]],4)),4,1)),1,0)</f>
        <v>0</v>
      </c>
      <c r="AB481" s="655">
        <v>347</v>
      </c>
      <c r="AC481" s="267">
        <v>45001</v>
      </c>
      <c r="AD481" s="402" t="str">
        <f ca="1">IF(CostTrack[[#This Row],[Reconciled Amount]]="","",IF(CostTrack[[#This Row],[Value]]&lt;&gt;CostTrack[[#This Row],[Reconciled Amount]],"Yes","No"))</f>
        <v>No</v>
      </c>
    </row>
    <row r="482" spans="2:30" ht="28.5" customHeight="1">
      <c r="B482" s="706" t="s">
        <v>527</v>
      </c>
      <c r="C482" s="792" t="s">
        <v>1170</v>
      </c>
      <c r="D482" s="703">
        <v>44957</v>
      </c>
      <c r="E482" s="660">
        <v>36183.870000000003</v>
      </c>
      <c r="F482" s="647" t="s">
        <v>69</v>
      </c>
      <c r="G482" s="406">
        <f ca="1">ROUND(IF(CostTrack[[#This Row],[Holdback (Y/N/R)]]="Yes",CostTrack[[#This Row],[Value]]*-0.1,IF(CostTrack[[#This Row],[Holdback (Y/N/R)]]="Release",CostTrack[[#This Row],[Value]],0)),2)</f>
        <v>0</v>
      </c>
      <c r="H482" s="407">
        <f ca="1">IF(CostTrack[[#This Row],[Holdback (Y/N/R)]]="Release",CostTrack[[#This Row],[Value]],CostTrack[[#This Row],[Value]]+CostTrack[[#This Row],[Holdback Value]])</f>
        <v>36183.870000000003</v>
      </c>
      <c r="I482" s="650"/>
      <c r="J482" s="650"/>
      <c r="K482" s="648"/>
      <c r="L482" s="707">
        <v>44967</v>
      </c>
      <c r="M482" s="708">
        <v>44967</v>
      </c>
      <c r="N482" s="709"/>
      <c r="O482" s="712" t="s">
        <v>106</v>
      </c>
      <c r="P482" s="267">
        <v>44967</v>
      </c>
      <c r="Q482" s="243" t="str">
        <f ca="1">IF(CostTrack[[#This Row],[Vendor - Contract]]="","",INDEX(VendorList[PA ID],MATCH(CostTrack[[#This Row],[Vendor - Contract]],VendorList[Vendor / Org. with Contract ID],0)))</f>
        <v>200.010.F1</v>
      </c>
      <c r="R482" s="243" t="str">
        <f ca="1">IF(CostTrack[[#This Row],[Vendor - Contract]]="","",INDEX(VendorList[Primary Category],MATCH(CostTrack[[#This Row],[Vendor - Contract]],VendorList[Vendor / Org. with Contract ID],0)))</f>
        <v>Professional Services</v>
      </c>
      <c r="S482" s="243" t="str">
        <f ca="1">IF(CostTrack[[#This Row],[Vendor - Contract]]="","",INDEX(VendorList[Secondary Category],MATCH(CostTrack[[#This Row],[Vendor - Contract]],VendorList[Vendor / Org. with Contract ID],0)))</f>
        <v>Prime Consultant</v>
      </c>
      <c r="T482" s="243" t="str">
        <f ca="1">IF(CostTrack[[#This Row],[Vendor - Contract]]="","",INDEX(VendorList[Phase / Subproject],MATCH(CostTrack[[#This Row],[Vendor - Contract]],VendorList[Vendor / Org. with Contract ID],0)))</f>
        <v>--</v>
      </c>
      <c r="U482" s="243" t="str">
        <f ca="1">IF(CostTrack[[#This Row],[Vendor - Contract]]="","",INDEX(VendorList[Phase / Subproject 2],MATCH(CostTrack[[#This Row],[Vendor - Contract]],VendorList[Vendor / Org. with Contract ID],0)))</f>
        <v>--</v>
      </c>
      <c r="V482" s="243" t="str">
        <f ca="1">IF(CostTrack[[#This Row],[Vendor - Contract]]="","",INDEX(VendorList[Funding Source],MATCH(CostTrack[[#This Row],[Vendor - Contract]],VendorList[Vendor / Org. with Contract ID],0)))</f>
        <v>P-002360</v>
      </c>
      <c r="W482" s="267">
        <v>44967</v>
      </c>
      <c r="X482" s="251" t="str">
        <f ca="1">IF(CostTrack[[#This Row],[Release Date (CMS)]]="","*","")</f>
        <v/>
      </c>
      <c r="Y482" s="267" t="s">
        <v>53</v>
      </c>
      <c r="Z482" s="652"/>
      <c r="AA482" s="245">
        <f ca="1">IF(OR(CostTrack[[#This Row],[Release Date (CMS)]]&gt;=DATE(VALUE(REPLACE(CostTrack[[#This Row],[Fiscal Period]],3,3,"")),3,1),CostTrack[[#This Row],[Release Date (CMS)]]&lt;DATE(VALUE(LEFT(CostTrack[[#This Row],[Fiscal Period]],4)),4,1)),1,0)</f>
        <v>0</v>
      </c>
      <c r="AB482" s="655">
        <v>36183.870000000003</v>
      </c>
      <c r="AC482" s="267">
        <v>45001</v>
      </c>
      <c r="AD482" s="402" t="str">
        <f ca="1">IF(CostTrack[[#This Row],[Reconciled Amount]]="","",IF(CostTrack[[#This Row],[Value]]&lt;&gt;CostTrack[[#This Row],[Reconciled Amount]],"Yes","No"))</f>
        <v>No</v>
      </c>
    </row>
    <row r="483" spans="2:30" ht="28.5" customHeight="1">
      <c r="B483" s="1324" t="s">
        <v>734</v>
      </c>
      <c r="C483" s="792">
        <v>1052</v>
      </c>
      <c r="D483" s="703">
        <v>44957</v>
      </c>
      <c r="E483" s="660">
        <v>1130.4000000000001</v>
      </c>
      <c r="F483" s="1309" t="s">
        <v>69</v>
      </c>
      <c r="G483" s="1310">
        <f ca="1">ROUND(IF(CostTrack[[#This Row],[Holdback (Y/N/R)]]="Yes",CostTrack[[#This Row],[Value]]*-0.1,IF(CostTrack[[#This Row],[Holdback (Y/N/R)]]="Release",CostTrack[[#This Row],[Value]],0)),2)</f>
        <v>0</v>
      </c>
      <c r="H483" s="1311">
        <f ca="1">IF(CostTrack[[#This Row],[Holdback (Y/N/R)]]="Release",CostTrack[[#This Row],[Value]],CostTrack[[#This Row],[Value]]+CostTrack[[#This Row],[Holdback Value]])</f>
        <v>1130.4000000000001</v>
      </c>
      <c r="I483" s="1312"/>
      <c r="J483" s="1312"/>
      <c r="K483" s="1313"/>
      <c r="L483" s="1325">
        <v>44969</v>
      </c>
      <c r="M483" s="1326">
        <v>44970</v>
      </c>
      <c r="N483" s="1327"/>
      <c r="O483" s="1328" t="s">
        <v>106</v>
      </c>
      <c r="P483" s="1308">
        <v>44970</v>
      </c>
      <c r="Q483" s="1314" t="str">
        <f ca="1">IF(CostTrack[[#This Row],[Vendor - Contract]]="","",INDEX(VendorList[PA ID],MATCH(CostTrack[[#This Row],[Vendor - Contract]],VendorList[Vendor / Org. with Contract ID],0)))</f>
        <v>200.050.F1</v>
      </c>
      <c r="R483" s="1314" t="str">
        <f ca="1">IF(CostTrack[[#This Row],[Vendor - Contract]]="","",INDEX(VendorList[Primary Category],MATCH(CostTrack[[#This Row],[Vendor - Contract]],VendorList[Vendor / Org. with Contract ID],0)))</f>
        <v>Professional Services</v>
      </c>
      <c r="S483" s="1314" t="str">
        <f ca="1">IF(CostTrack[[#This Row],[Vendor - Contract]]="","",INDEX(VendorList[Secondary Category],MATCH(CostTrack[[#This Row],[Vendor - Contract]],VendorList[Vendor / Org. with Contract ID],0)))</f>
        <v>Other Professional Services</v>
      </c>
      <c r="T483" s="1314" t="str">
        <f ca="1">IF(CostTrack[[#This Row],[Vendor - Contract]]="","",INDEX(VendorList[Phase / Subproject],MATCH(CostTrack[[#This Row],[Vendor - Contract]],VendorList[Vendor / Org. with Contract ID],0)))</f>
        <v>--</v>
      </c>
      <c r="U483" s="1314" t="str">
        <f ca="1">IF(CostTrack[[#This Row],[Vendor - Contract]]="","",INDEX(VendorList[Phase / Subproject 2],MATCH(CostTrack[[#This Row],[Vendor - Contract]],VendorList[Vendor / Org. with Contract ID],0)))</f>
        <v>--</v>
      </c>
      <c r="V483" s="1314" t="str">
        <f ca="1">IF(CostTrack[[#This Row],[Vendor - Contract]]="","",INDEX(VendorList[Funding Source],MATCH(CostTrack[[#This Row],[Vendor - Contract]],VendorList[Vendor / Org. with Contract ID],0)))</f>
        <v>P-002360</v>
      </c>
      <c r="W483" s="1308">
        <v>44970</v>
      </c>
      <c r="X483" s="1315" t="str">
        <f ca="1">IF(CostTrack[[#This Row],[Release Date (CMS)]]="","*","")</f>
        <v/>
      </c>
      <c r="Y483" s="1308" t="s">
        <v>53</v>
      </c>
      <c r="Z483" s="713"/>
      <c r="AA483" s="1316">
        <f ca="1">IF(OR(CostTrack[[#This Row],[Release Date (CMS)]]&gt;=DATE(VALUE(REPLACE(CostTrack[[#This Row],[Fiscal Period]],3,3,"")),3,1),CostTrack[[#This Row],[Release Date (CMS)]]&lt;DATE(VALUE(LEFT(CostTrack[[#This Row],[Fiscal Period]],4)),4,1)),1,0)</f>
        <v>0</v>
      </c>
      <c r="AB483" s="1317">
        <v>1130.4000000000001</v>
      </c>
      <c r="AC483" s="1308">
        <v>45001</v>
      </c>
      <c r="AD483" s="402" t="str">
        <f ca="1">IF(CostTrack[[#This Row],[Reconciled Amount]]="","",IF(CostTrack[[#This Row],[Value]]&lt;&gt;CostTrack[[#This Row],[Reconciled Amount]],"Yes","No"))</f>
        <v>No</v>
      </c>
    </row>
    <row r="484" spans="2:30" ht="43.5" customHeight="1">
      <c r="B484" s="1324" t="s">
        <v>1087</v>
      </c>
      <c r="C484" s="792">
        <v>39689030123</v>
      </c>
      <c r="D484" s="703">
        <v>44956</v>
      </c>
      <c r="E484" s="660">
        <v>13333.91</v>
      </c>
      <c r="F484" s="1309" t="s">
        <v>69</v>
      </c>
      <c r="G484" s="1310">
        <f ca="1">ROUND(IF(CostTrack[[#This Row],[Holdback (Y/N/R)]]="Yes",CostTrack[[#This Row],[Value]]*-0.1,IF(CostTrack[[#This Row],[Holdback (Y/N/R)]]="Release",CostTrack[[#This Row],[Value]],0)),2)</f>
        <v>0</v>
      </c>
      <c r="H484" s="1311">
        <f ca="1">IF(CostTrack[[#This Row],[Holdback (Y/N/R)]]="Release",CostTrack[[#This Row],[Value]],CostTrack[[#This Row],[Value]]+CostTrack[[#This Row],[Holdback Value]])</f>
        <v>13333.91</v>
      </c>
      <c r="I484" s="1312"/>
      <c r="J484" s="1312"/>
      <c r="K484" s="1313"/>
      <c r="L484" s="1325">
        <v>44973</v>
      </c>
      <c r="M484" s="1326">
        <v>44973</v>
      </c>
      <c r="N484" s="1327"/>
      <c r="O484" s="1328" t="s">
        <v>106</v>
      </c>
      <c r="P484" s="1308">
        <v>44973</v>
      </c>
      <c r="Q484" s="1314" t="str">
        <f ca="1">IF(CostTrack[[#This Row],[Vendor - Contract]]="","",INDEX(VendorList[PA ID],MATCH(CostTrack[[#This Row],[Vendor - Contract]],VendorList[Vendor / Org. with Contract ID],0)))</f>
        <v>300.040.F1</v>
      </c>
      <c r="R484" s="1314" t="str">
        <f ca="1">IF(CostTrack[[#This Row],[Vendor - Contract]]="","",INDEX(VendorList[Primary Category],MATCH(CostTrack[[#This Row],[Vendor - Contract]],VendorList[Vendor / Org. with Contract ID],0)))</f>
        <v>Construction</v>
      </c>
      <c r="S484" s="1314" t="str">
        <f ca="1">IF(CostTrack[[#This Row],[Vendor - Contract]]="","",INDEX(VendorList[Secondary Category],MATCH(CostTrack[[#This Row],[Vendor - Contract]],VendorList[Vendor / Org. with Contract ID],0)))</f>
        <v>Other Contractor</v>
      </c>
      <c r="T484" s="1314" t="str">
        <f ca="1">IF(CostTrack[[#This Row],[Vendor - Contract]]="","",INDEX(VendorList[Phase / Subproject],MATCH(CostTrack[[#This Row],[Vendor - Contract]],VendorList[Vendor / Org. with Contract ID],0)))</f>
        <v>--</v>
      </c>
      <c r="U484" s="1314" t="str">
        <f ca="1">IF(CostTrack[[#This Row],[Vendor - Contract]]="","",INDEX(VendorList[Phase / Subproject 2],MATCH(CostTrack[[#This Row],[Vendor - Contract]],VendorList[Vendor / Org. with Contract ID],0)))</f>
        <v>--</v>
      </c>
      <c r="V484" s="1314" t="str">
        <f ca="1">IF(CostTrack[[#This Row],[Vendor - Contract]]="","",INDEX(VendorList[Funding Source],MATCH(CostTrack[[#This Row],[Vendor - Contract]],VendorList[Vendor / Org. with Contract ID],0)))</f>
        <v>P-002360</v>
      </c>
      <c r="W484" s="1308">
        <v>44985</v>
      </c>
      <c r="X484" s="1315" t="str">
        <f ca="1">IF(CostTrack[[#This Row],[Release Date (CMS)]]="","*","")</f>
        <v/>
      </c>
      <c r="Y484" s="1308" t="s">
        <v>53</v>
      </c>
      <c r="Z484" s="652" t="s">
        <v>1171</v>
      </c>
      <c r="AA484" s="1316">
        <f ca="1">IF(OR(CostTrack[[#This Row],[Release Date (CMS)]]&gt;=DATE(VALUE(REPLACE(CostTrack[[#This Row],[Fiscal Period]],3,3,"")),3,1),CostTrack[[#This Row],[Release Date (CMS)]]&lt;DATE(VALUE(LEFT(CostTrack[[#This Row],[Fiscal Period]],4)),4,1)),1,0)</f>
        <v>0</v>
      </c>
      <c r="AB484" s="1317">
        <v>13333.91</v>
      </c>
      <c r="AC484" s="1308">
        <v>45001</v>
      </c>
      <c r="AD484" s="402" t="str">
        <f ca="1">IF(CostTrack[[#This Row],[Reconciled Amount]]="","",IF(CostTrack[[#This Row],[Value]]&lt;&gt;CostTrack[[#This Row],[Reconciled Amount]],"Yes","No"))</f>
        <v>No</v>
      </c>
    </row>
    <row r="485" spans="2:30" ht="28.5" customHeight="1">
      <c r="B485" s="706" t="s">
        <v>754</v>
      </c>
      <c r="C485" s="650">
        <v>800093399</v>
      </c>
      <c r="D485" s="267">
        <v>44988</v>
      </c>
      <c r="E485" s="654">
        <v>469.82</v>
      </c>
      <c r="F485" s="647" t="s">
        <v>69</v>
      </c>
      <c r="G485" s="406">
        <f ca="1">ROUND(IF(CostTrack[[#This Row],[Holdback (Y/N/R)]]="Yes",CostTrack[[#This Row],[Value]]*-0.1,IF(CostTrack[[#This Row],[Holdback (Y/N/R)]]="Release",CostTrack[[#This Row],[Value]],0)),2)</f>
        <v>0</v>
      </c>
      <c r="H485" s="407">
        <f ca="1">IF(CostTrack[[#This Row],[Holdback (Y/N/R)]]="Release",CostTrack[[#This Row],[Value]],CostTrack[[#This Row],[Value]]+CostTrack[[#This Row],[Holdback Value]])</f>
        <v>469.82</v>
      </c>
      <c r="I485" s="650"/>
      <c r="J485" s="650"/>
      <c r="K485" s="648"/>
      <c r="L485" s="707">
        <v>44989</v>
      </c>
      <c r="M485" s="708">
        <v>44989</v>
      </c>
      <c r="N485" s="709"/>
      <c r="O485" s="712" t="s">
        <v>106</v>
      </c>
      <c r="P485" s="267">
        <v>44991</v>
      </c>
      <c r="Q485" s="243" t="str">
        <f ca="1">IF(CostTrack[[#This Row],[Vendor - Contract]]="","",INDEX(VendorList[PA ID],MATCH(CostTrack[[#This Row],[Vendor - Contract]],VendorList[Vendor / Org. with Contract ID],0)))</f>
        <v>100.050.F1</v>
      </c>
      <c r="R485" s="243" t="str">
        <f ca="1">IF(CostTrack[[#This Row],[Vendor - Contract]]="","",INDEX(VendorList[Primary Category],MATCH(CostTrack[[#This Row],[Vendor - Contract]],VendorList[Vendor / Org. with Contract ID],0)))</f>
        <v>Administration</v>
      </c>
      <c r="S485" s="243" t="str">
        <f ca="1">IF(CostTrack[[#This Row],[Vendor - Contract]]="","",INDEX(VendorList[Secondary Category],MATCH(CostTrack[[#This Row],[Vendor - Contract]],VendorList[Vendor / Org. with Contract ID],0)))</f>
        <v>Other Administration</v>
      </c>
      <c r="T485" s="243" t="str">
        <f ca="1">IF(CostTrack[[#This Row],[Vendor - Contract]]="","",INDEX(VendorList[Phase / Subproject],MATCH(CostTrack[[#This Row],[Vendor - Contract]],VendorList[Vendor / Org. with Contract ID],0)))</f>
        <v>--</v>
      </c>
      <c r="U485" s="243" t="str">
        <f ca="1">IF(CostTrack[[#This Row],[Vendor - Contract]]="","",INDEX(VendorList[Phase / Subproject 2],MATCH(CostTrack[[#This Row],[Vendor - Contract]],VendorList[Vendor / Org. with Contract ID],0)))</f>
        <v>--</v>
      </c>
      <c r="V485" s="243" t="str">
        <f ca="1">IF(CostTrack[[#This Row],[Vendor - Contract]]="","",INDEX(VendorList[Funding Source],MATCH(CostTrack[[#This Row],[Vendor - Contract]],VendorList[Vendor / Org. with Contract ID],0)))</f>
        <v>P-002360</v>
      </c>
      <c r="W485" s="267">
        <v>44991</v>
      </c>
      <c r="X485" s="251" t="str">
        <f ca="1">IF(CostTrack[[#This Row],[Release Date (CMS)]]="","*","")</f>
        <v/>
      </c>
      <c r="Y485" s="267" t="s">
        <v>53</v>
      </c>
      <c r="Z485" s="652" t="s">
        <v>1172</v>
      </c>
      <c r="AA485" s="245">
        <f ca="1">IF(OR(CostTrack[[#This Row],[Release Date (CMS)]]&gt;=DATE(VALUE(REPLACE(CostTrack[[#This Row],[Fiscal Period]],3,3,"")),3,1),CostTrack[[#This Row],[Release Date (CMS)]]&lt;DATE(VALUE(LEFT(CostTrack[[#This Row],[Fiscal Period]],4)),4,1)),1,0)</f>
        <v>1</v>
      </c>
      <c r="AB485" s="655">
        <v>469.82</v>
      </c>
      <c r="AC485" s="267">
        <v>45029</v>
      </c>
      <c r="AD485" s="402" t="str">
        <f ca="1">IF(CostTrack[[#This Row],[Reconciled Amount]]="","",IF(CostTrack[[#This Row],[Value]]&lt;&gt;CostTrack[[#This Row],[Reconciled Amount]],"Yes","No"))</f>
        <v>No</v>
      </c>
    </row>
    <row r="486" spans="2:30" ht="28.5" customHeight="1">
      <c r="B486" s="706" t="s">
        <v>754</v>
      </c>
      <c r="C486" s="650">
        <v>800093275</v>
      </c>
      <c r="D486" s="267">
        <v>44771</v>
      </c>
      <c r="E486" s="654">
        <v>680.02</v>
      </c>
      <c r="F486" s="647" t="s">
        <v>69</v>
      </c>
      <c r="G486" s="406">
        <f ca="1">ROUND(IF(CostTrack[[#This Row],[Holdback (Y/N/R)]]="Yes",CostTrack[[#This Row],[Value]]*-0.1,IF(CostTrack[[#This Row],[Holdback (Y/N/R)]]="Release",CostTrack[[#This Row],[Value]],0)),2)</f>
        <v>0</v>
      </c>
      <c r="H486" s="407">
        <f ca="1">IF(CostTrack[[#This Row],[Holdback (Y/N/R)]]="Release",CostTrack[[#This Row],[Value]],CostTrack[[#This Row],[Value]]+CostTrack[[#This Row],[Holdback Value]])</f>
        <v>680.02</v>
      </c>
      <c r="I486" s="650"/>
      <c r="J486" s="650"/>
      <c r="K486" s="648"/>
      <c r="L486" s="707">
        <v>44989</v>
      </c>
      <c r="M486" s="708">
        <v>44989</v>
      </c>
      <c r="N486" s="709"/>
      <c r="O486" s="712" t="s">
        <v>106</v>
      </c>
      <c r="P486" s="267">
        <v>44991</v>
      </c>
      <c r="Q486" s="243" t="str">
        <f ca="1">IF(CostTrack[[#This Row],[Vendor - Contract]]="","",INDEX(VendorList[PA ID],MATCH(CostTrack[[#This Row],[Vendor - Contract]],VendorList[Vendor / Org. with Contract ID],0)))</f>
        <v>100.050.F1</v>
      </c>
      <c r="R486" s="243" t="str">
        <f ca="1">IF(CostTrack[[#This Row],[Vendor - Contract]]="","",INDEX(VendorList[Primary Category],MATCH(CostTrack[[#This Row],[Vendor - Contract]],VendorList[Vendor / Org. with Contract ID],0)))</f>
        <v>Administration</v>
      </c>
      <c r="S486" s="243" t="str">
        <f ca="1">IF(CostTrack[[#This Row],[Vendor - Contract]]="","",INDEX(VendorList[Secondary Category],MATCH(CostTrack[[#This Row],[Vendor - Contract]],VendorList[Vendor / Org. with Contract ID],0)))</f>
        <v>Other Administration</v>
      </c>
      <c r="T486" s="243" t="str">
        <f ca="1">IF(CostTrack[[#This Row],[Vendor - Contract]]="","",INDEX(VendorList[Phase / Subproject],MATCH(CostTrack[[#This Row],[Vendor - Contract]],VendorList[Vendor / Org. with Contract ID],0)))</f>
        <v>--</v>
      </c>
      <c r="U486" s="243" t="str">
        <f ca="1">IF(CostTrack[[#This Row],[Vendor - Contract]]="","",INDEX(VendorList[Phase / Subproject 2],MATCH(CostTrack[[#This Row],[Vendor - Contract]],VendorList[Vendor / Org. with Contract ID],0)))</f>
        <v>--</v>
      </c>
      <c r="V486" s="243" t="str">
        <f ca="1">IF(CostTrack[[#This Row],[Vendor - Contract]]="","",INDEX(VendorList[Funding Source],MATCH(CostTrack[[#This Row],[Vendor - Contract]],VendorList[Vendor / Org. with Contract ID],0)))</f>
        <v>P-002360</v>
      </c>
      <c r="W486" s="267">
        <v>44991</v>
      </c>
      <c r="X486" s="251" t="str">
        <f ca="1">IF(CostTrack[[#This Row],[Release Date (CMS)]]="","*","")</f>
        <v/>
      </c>
      <c r="Y486" s="267" t="s">
        <v>53</v>
      </c>
      <c r="Z486" s="652" t="s">
        <v>1173</v>
      </c>
      <c r="AA486" s="245">
        <f ca="1">IF(OR(CostTrack[[#This Row],[Release Date (CMS)]]&gt;=DATE(VALUE(REPLACE(CostTrack[[#This Row],[Fiscal Period]],3,3,"")),3,1),CostTrack[[#This Row],[Release Date (CMS)]]&lt;DATE(VALUE(LEFT(CostTrack[[#This Row],[Fiscal Period]],4)),4,1)),1,0)</f>
        <v>1</v>
      </c>
      <c r="AB486" s="655">
        <v>680.02</v>
      </c>
      <c r="AC486" s="267">
        <v>45029</v>
      </c>
      <c r="AD486" s="402" t="str">
        <f ca="1">IF(CostTrack[[#This Row],[Reconciled Amount]]="","",IF(CostTrack[[#This Row],[Value]]&lt;&gt;CostTrack[[#This Row],[Reconciled Amount]],"Yes","No"))</f>
        <v>No</v>
      </c>
    </row>
    <row r="487" spans="2:30" ht="28.5" customHeight="1">
      <c r="B487" s="706" t="s">
        <v>601</v>
      </c>
      <c r="C487" s="650">
        <v>80092044</v>
      </c>
      <c r="D487" s="267">
        <v>44861</v>
      </c>
      <c r="E487" s="654">
        <v>140.86000000000001</v>
      </c>
      <c r="F487" s="647" t="s">
        <v>69</v>
      </c>
      <c r="G487" s="406">
        <f ca="1">ROUND(IF(CostTrack[[#This Row],[Holdback (Y/N/R)]]="Yes",CostTrack[[#This Row],[Value]]*-0.1,IF(CostTrack[[#This Row],[Holdback (Y/N/R)]]="Release",CostTrack[[#This Row],[Value]],0)),2)</f>
        <v>0</v>
      </c>
      <c r="H487" s="407">
        <f ca="1">IF(CostTrack[[#This Row],[Holdback (Y/N/R)]]="Release",CostTrack[[#This Row],[Value]],CostTrack[[#This Row],[Value]]+CostTrack[[#This Row],[Holdback Value]])</f>
        <v>140.86000000000001</v>
      </c>
      <c r="I487" s="650"/>
      <c r="J487" s="650"/>
      <c r="K487" s="648"/>
      <c r="L487" s="707">
        <v>44987</v>
      </c>
      <c r="M487" s="708">
        <v>44987</v>
      </c>
      <c r="N487" s="709"/>
      <c r="O487" s="712" t="s">
        <v>106</v>
      </c>
      <c r="P487" s="267">
        <v>45226</v>
      </c>
      <c r="Q487" s="243" t="str">
        <f ca="1">IF(CostTrack[[#This Row],[Vendor - Contract]]="","",INDEX(VendorList[PA ID],MATCH(CostTrack[[#This Row],[Vendor - Contract]],VendorList[Vendor / Org. with Contract ID],0)))</f>
        <v>100.050.F1</v>
      </c>
      <c r="R487" s="243" t="str">
        <f ca="1">IF(CostTrack[[#This Row],[Vendor - Contract]]="","",INDEX(VendorList[Primary Category],MATCH(CostTrack[[#This Row],[Vendor - Contract]],VendorList[Vendor / Org. with Contract ID],0)))</f>
        <v>Administration</v>
      </c>
      <c r="S487" s="243" t="str">
        <f ca="1">IF(CostTrack[[#This Row],[Vendor - Contract]]="","",INDEX(VendorList[Secondary Category],MATCH(CostTrack[[#This Row],[Vendor - Contract]],VendorList[Vendor / Org. with Contract ID],0)))</f>
        <v>Other Administration</v>
      </c>
      <c r="T487" s="243" t="str">
        <f ca="1">IF(CostTrack[[#This Row],[Vendor - Contract]]="","",INDEX(VendorList[Phase / Subproject],MATCH(CostTrack[[#This Row],[Vendor - Contract]],VendorList[Vendor / Org. with Contract ID],0)))</f>
        <v>--</v>
      </c>
      <c r="U487" s="243" t="str">
        <f ca="1">IF(CostTrack[[#This Row],[Vendor - Contract]]="","",INDEX(VendorList[Phase / Subproject 2],MATCH(CostTrack[[#This Row],[Vendor - Contract]],VendorList[Vendor / Org. with Contract ID],0)))</f>
        <v>--</v>
      </c>
      <c r="V487" s="243" t="str">
        <f ca="1">IF(CostTrack[[#This Row],[Vendor - Contract]]="","",INDEX(VendorList[Funding Source],MATCH(CostTrack[[#This Row],[Vendor - Contract]],VendorList[Vendor / Org. with Contract ID],0)))</f>
        <v>P-002360</v>
      </c>
      <c r="W487" s="267">
        <v>44987</v>
      </c>
      <c r="X487" s="251" t="str">
        <f ca="1">IF(CostTrack[[#This Row],[Release Date (CMS)]]="","*","")</f>
        <v/>
      </c>
      <c r="Y487" s="267" t="s">
        <v>53</v>
      </c>
      <c r="Z487" s="652" t="s">
        <v>1174</v>
      </c>
      <c r="AA487" s="245">
        <f ca="1">IF(OR(CostTrack[[#This Row],[Release Date (CMS)]]&gt;=DATE(VALUE(REPLACE(CostTrack[[#This Row],[Fiscal Period]],3,3,"")),3,1),CostTrack[[#This Row],[Release Date (CMS)]]&lt;DATE(VALUE(LEFT(CostTrack[[#This Row],[Fiscal Period]],4)),4,1)),1,0)</f>
        <v>1</v>
      </c>
      <c r="AB487" s="655">
        <v>140.86000000000001</v>
      </c>
      <c r="AC487" s="267">
        <v>45029</v>
      </c>
      <c r="AD487" s="402" t="str">
        <f ca="1">IF(CostTrack[[#This Row],[Reconciled Amount]]="","",IF(CostTrack[[#This Row],[Value]]&lt;&gt;CostTrack[[#This Row],[Reconciled Amount]],"Yes","No"))</f>
        <v>No</v>
      </c>
    </row>
    <row r="488" spans="2:30" ht="28.5" customHeight="1">
      <c r="B488" s="706" t="s">
        <v>731</v>
      </c>
      <c r="C488" s="650">
        <v>800095617</v>
      </c>
      <c r="D488" s="267">
        <v>44994</v>
      </c>
      <c r="E488" s="654">
        <v>228.72</v>
      </c>
      <c r="F488" s="647" t="s">
        <v>69</v>
      </c>
      <c r="G488" s="406">
        <f ca="1">ROUND(IF(CostTrack[[#This Row],[Holdback (Y/N/R)]]="Yes",CostTrack[[#This Row],[Value]]*-0.1,IF(CostTrack[[#This Row],[Holdback (Y/N/R)]]="Release",CostTrack[[#This Row],[Value]],0)),2)</f>
        <v>0</v>
      </c>
      <c r="H488" s="407">
        <f ca="1">IF(CostTrack[[#This Row],[Holdback (Y/N/R)]]="Release",CostTrack[[#This Row],[Value]],CostTrack[[#This Row],[Value]]+CostTrack[[#This Row],[Holdback Value]])</f>
        <v>228.72</v>
      </c>
      <c r="I488" s="650"/>
      <c r="J488" s="650"/>
      <c r="K488" s="648"/>
      <c r="L488" s="707">
        <v>44995</v>
      </c>
      <c r="M488" s="708">
        <v>44995</v>
      </c>
      <c r="N488" s="709"/>
      <c r="O488" s="712" t="s">
        <v>106</v>
      </c>
      <c r="P488" s="267">
        <v>44994</v>
      </c>
      <c r="Q488" s="243" t="str">
        <f ca="1">IF(CostTrack[[#This Row],[Vendor - Contract]]="","",INDEX(VendorList[PA ID],MATCH(CostTrack[[#This Row],[Vendor - Contract]],VendorList[Vendor / Org. with Contract ID],0)))</f>
        <v>100.050.F1</v>
      </c>
      <c r="R488" s="243" t="str">
        <f ca="1">IF(CostTrack[[#This Row],[Vendor - Contract]]="","",INDEX(VendorList[Primary Category],MATCH(CostTrack[[#This Row],[Vendor - Contract]],VendorList[Vendor / Org. with Contract ID],0)))</f>
        <v>Administration</v>
      </c>
      <c r="S488" s="243" t="str">
        <f ca="1">IF(CostTrack[[#This Row],[Vendor - Contract]]="","",INDEX(VendorList[Secondary Category],MATCH(CostTrack[[#This Row],[Vendor - Contract]],VendorList[Vendor / Org. with Contract ID],0)))</f>
        <v>Other Administration</v>
      </c>
      <c r="T488" s="243" t="str">
        <f ca="1">IF(CostTrack[[#This Row],[Vendor - Contract]]="","",INDEX(VendorList[Phase / Subproject],MATCH(CostTrack[[#This Row],[Vendor - Contract]],VendorList[Vendor / Org. with Contract ID],0)))</f>
        <v>--</v>
      </c>
      <c r="U488" s="243" t="str">
        <f ca="1">IF(CostTrack[[#This Row],[Vendor - Contract]]="","",INDEX(VendorList[Phase / Subproject 2],MATCH(CostTrack[[#This Row],[Vendor - Contract]],VendorList[Vendor / Org. with Contract ID],0)))</f>
        <v>--</v>
      </c>
      <c r="V488" s="243" t="str">
        <f ca="1">IF(CostTrack[[#This Row],[Vendor - Contract]]="","",INDEX(VendorList[Funding Source],MATCH(CostTrack[[#This Row],[Vendor - Contract]],VendorList[Vendor / Org. with Contract ID],0)))</f>
        <v>P-002360</v>
      </c>
      <c r="W488" s="267">
        <v>44995</v>
      </c>
      <c r="X488" s="251" t="str">
        <f ca="1">IF(CostTrack[[#This Row],[Release Date (CMS)]]="","*","")</f>
        <v/>
      </c>
      <c r="Y488" s="267" t="s">
        <v>53</v>
      </c>
      <c r="Z488" s="652" t="s">
        <v>1175</v>
      </c>
      <c r="AA488" s="245">
        <f ca="1">IF(OR(CostTrack[[#This Row],[Release Date (CMS)]]&gt;=DATE(VALUE(REPLACE(CostTrack[[#This Row],[Fiscal Period]],3,3,"")),3,1),CostTrack[[#This Row],[Release Date (CMS)]]&lt;DATE(VALUE(LEFT(CostTrack[[#This Row],[Fiscal Period]],4)),4,1)),1,0)</f>
        <v>1</v>
      </c>
      <c r="AB488" s="655">
        <v>228.72</v>
      </c>
      <c r="AC488" s="267">
        <v>45029</v>
      </c>
      <c r="AD488" s="402" t="str">
        <f ca="1">IF(CostTrack[[#This Row],[Reconciled Amount]]="","",IF(CostTrack[[#This Row],[Value]]&lt;&gt;CostTrack[[#This Row],[Reconciled Amount]],"Yes","No"))</f>
        <v>No</v>
      </c>
    </row>
    <row r="489" spans="2:30" ht="28.5" customHeight="1">
      <c r="B489" s="706" t="s">
        <v>736</v>
      </c>
      <c r="C489" s="792" t="s">
        <v>1176</v>
      </c>
      <c r="D489" s="703">
        <v>44985</v>
      </c>
      <c r="E489" s="660">
        <v>61380.94</v>
      </c>
      <c r="F489" s="647" t="s">
        <v>69</v>
      </c>
      <c r="G489" s="406">
        <f ca="1">ROUND(IF(CostTrack[[#This Row],[Holdback (Y/N/R)]]="Yes",CostTrack[[#This Row],[Value]]*-0.1,IF(CostTrack[[#This Row],[Holdback (Y/N/R)]]="Release",CostTrack[[#This Row],[Value]],0)),2)</f>
        <v>0</v>
      </c>
      <c r="H489" s="407">
        <f ca="1">IF(CostTrack[[#This Row],[Holdback (Y/N/R)]]="Release",CostTrack[[#This Row],[Value]],CostTrack[[#This Row],[Value]]+CostTrack[[#This Row],[Holdback Value]])</f>
        <v>61380.94</v>
      </c>
      <c r="I489" s="650"/>
      <c r="J489" s="650"/>
      <c r="K489" s="648"/>
      <c r="L489" s="707">
        <v>44985</v>
      </c>
      <c r="M489" s="708">
        <v>44985</v>
      </c>
      <c r="N489" s="709"/>
      <c r="O489" s="712" t="s">
        <v>106</v>
      </c>
      <c r="P489" s="267">
        <v>44985</v>
      </c>
      <c r="Q489" s="243" t="str">
        <f ca="1">IF(CostTrack[[#This Row],[Vendor - Contract]]="","",INDEX(VendorList[PA ID],MATCH(CostTrack[[#This Row],[Vendor - Contract]],VendorList[Vendor / Org. with Contract ID],0)))</f>
        <v>100.010.F1</v>
      </c>
      <c r="R489" s="243" t="str">
        <f ca="1">IF(CostTrack[[#This Row],[Vendor - Contract]]="","",INDEX(VendorList[Primary Category],MATCH(CostTrack[[#This Row],[Vendor - Contract]],VendorList[Vendor / Org. with Contract ID],0)))</f>
        <v>Administration</v>
      </c>
      <c r="S489" s="243" t="str">
        <f ca="1">IF(CostTrack[[#This Row],[Vendor - Contract]]="","",INDEX(VendorList[Secondary Category],MATCH(CostTrack[[#This Row],[Vendor - Contract]],VendorList[Vendor / Org. with Contract ID],0)))</f>
        <v>Staff Capitalization - INFRA</v>
      </c>
      <c r="T489" s="243" t="str">
        <f ca="1">IF(CostTrack[[#This Row],[Vendor - Contract]]="","",INDEX(VendorList[Phase / Subproject],MATCH(CostTrack[[#This Row],[Vendor - Contract]],VendorList[Vendor / Org. with Contract ID],0)))</f>
        <v>--</v>
      </c>
      <c r="U489" s="243" t="str">
        <f ca="1">IF(CostTrack[[#This Row],[Vendor - Contract]]="","",INDEX(VendorList[Phase / Subproject 2],MATCH(CostTrack[[#This Row],[Vendor - Contract]],VendorList[Vendor / Org. with Contract ID],0)))</f>
        <v>--</v>
      </c>
      <c r="V489" s="243" t="str">
        <f ca="1">IF(CostTrack[[#This Row],[Vendor - Contract]]="","",INDEX(VendorList[Funding Source],MATCH(CostTrack[[#This Row],[Vendor - Contract]],VendorList[Vendor / Org. with Contract ID],0)))</f>
        <v>P-002360</v>
      </c>
      <c r="W489" s="267">
        <v>44985</v>
      </c>
      <c r="X489" s="251" t="str">
        <f ca="1">IF(CostTrack[[#This Row],[Release Date (CMS)]]="","*","")</f>
        <v/>
      </c>
      <c r="Y489" s="267" t="s">
        <v>53</v>
      </c>
      <c r="Z489" s="652"/>
      <c r="AA489" s="245">
        <f ca="1">IF(OR(CostTrack[[#This Row],[Release Date (CMS)]]&gt;=DATE(VALUE(REPLACE(CostTrack[[#This Row],[Fiscal Period]],3,3,"")),3,1),CostTrack[[#This Row],[Release Date (CMS)]]&lt;DATE(VALUE(LEFT(CostTrack[[#This Row],[Fiscal Period]],4)),4,1)),1,0)</f>
        <v>0</v>
      </c>
      <c r="AB489" s="655">
        <v>61380.94</v>
      </c>
      <c r="AC489" s="267">
        <v>45001</v>
      </c>
      <c r="AD489" s="402" t="str">
        <f ca="1">IF(CostTrack[[#This Row],[Reconciled Amount]]="","",IF(CostTrack[[#This Row],[Value]]&lt;&gt;CostTrack[[#This Row],[Reconciled Amount]],"Yes","No"))</f>
        <v>No</v>
      </c>
    </row>
    <row r="490" spans="2:30" ht="28.5" customHeight="1">
      <c r="B490" s="706" t="s">
        <v>1134</v>
      </c>
      <c r="C490" s="796" t="s">
        <v>1177</v>
      </c>
      <c r="D490" s="703">
        <v>44978</v>
      </c>
      <c r="E490" s="660">
        <v>105001.14</v>
      </c>
      <c r="F490" s="647" t="s">
        <v>69</v>
      </c>
      <c r="G490" s="406">
        <f ca="1">ROUND(IF(CostTrack[[#This Row],[Holdback (Y/N/R)]]="Yes",CostTrack[[#This Row],[Value]]*-0.1,IF(CostTrack[[#This Row],[Holdback (Y/N/R)]]="Release",CostTrack[[#This Row],[Value]],0)),2)</f>
        <v>0</v>
      </c>
      <c r="H490" s="407">
        <f ca="1">IF(CostTrack[[#This Row],[Holdback (Y/N/R)]]="Release",CostTrack[[#This Row],[Value]],CostTrack[[#This Row],[Value]]+CostTrack[[#This Row],[Holdback Value]])</f>
        <v>105001.14</v>
      </c>
      <c r="I490" s="650"/>
      <c r="J490" s="650"/>
      <c r="K490" s="648"/>
      <c r="L490" s="707">
        <v>44978</v>
      </c>
      <c r="M490" s="708">
        <v>44978</v>
      </c>
      <c r="N490" s="709"/>
      <c r="O490" s="712" t="s">
        <v>106</v>
      </c>
      <c r="P490" s="267">
        <v>44978</v>
      </c>
      <c r="Q490" s="243" t="str">
        <f ca="1">IF(CostTrack[[#This Row],[Vendor - Contract]]="","",INDEX(VendorList[PA ID],MATCH(CostTrack[[#This Row],[Vendor - Contract]],VendorList[Vendor / Org. with Contract ID],0)))</f>
        <v>400.020.F1</v>
      </c>
      <c r="R490" s="243" t="str">
        <f ca="1">IF(CostTrack[[#This Row],[Vendor - Contract]]="","",INDEX(VendorList[Primary Category],MATCH(CostTrack[[#This Row],[Vendor - Contract]],VendorList[Vendor / Org. with Contract ID],0)))</f>
        <v>FE_IT</v>
      </c>
      <c r="S490" s="243" t="str">
        <f ca="1">IF(CostTrack[[#This Row],[Vendor - Contract]]="","",INDEX(VendorList[Secondary Category],MATCH(CostTrack[[#This Row],[Vendor - Contract]],VendorList[Vendor / Org. with Contract ID],0)))</f>
        <v>Information Technology</v>
      </c>
      <c r="T490" s="243" t="str">
        <f ca="1">IF(CostTrack[[#This Row],[Vendor - Contract]]="","",INDEX(VendorList[Phase / Subproject],MATCH(CostTrack[[#This Row],[Vendor - Contract]],VendorList[Vendor / Org. with Contract ID],0)))</f>
        <v>--</v>
      </c>
      <c r="U490" s="243" t="str">
        <f ca="1">IF(CostTrack[[#This Row],[Vendor - Contract]]="","",INDEX(VendorList[Phase / Subproject 2],MATCH(CostTrack[[#This Row],[Vendor - Contract]],VendorList[Vendor / Org. with Contract ID],0)))</f>
        <v>--</v>
      </c>
      <c r="V490" s="243" t="str">
        <f ca="1">IF(CostTrack[[#This Row],[Vendor - Contract]]="","",INDEX(VendorList[Funding Source],MATCH(CostTrack[[#This Row],[Vendor - Contract]],VendorList[Vendor / Org. with Contract ID],0)))</f>
        <v>P-002360</v>
      </c>
      <c r="W490" s="267">
        <v>44978</v>
      </c>
      <c r="X490" s="251" t="str">
        <f ca="1">IF(CostTrack[[#This Row],[Release Date (CMS)]]="","*","")</f>
        <v/>
      </c>
      <c r="Y490" s="267" t="s">
        <v>53</v>
      </c>
      <c r="Z490" s="652" t="s">
        <v>1145</v>
      </c>
      <c r="AA490" s="245">
        <f ca="1">IF(OR(CostTrack[[#This Row],[Release Date (CMS)]]&gt;=DATE(VALUE(REPLACE(CostTrack[[#This Row],[Fiscal Period]],3,3,"")),3,1),CostTrack[[#This Row],[Release Date (CMS)]]&lt;DATE(VALUE(LEFT(CostTrack[[#This Row],[Fiscal Period]],4)),4,1)),1,0)</f>
        <v>0</v>
      </c>
      <c r="AB490" s="655">
        <v>105001.14</v>
      </c>
      <c r="AC490" s="267">
        <v>45001</v>
      </c>
      <c r="AD490" s="402" t="str">
        <f ca="1">IF(CostTrack[[#This Row],[Reconciled Amount]]="","",IF(CostTrack[[#This Row],[Value]]&lt;&gt;CostTrack[[#This Row],[Reconciled Amount]],"Yes","No"))</f>
        <v>No</v>
      </c>
    </row>
    <row r="491" spans="2:30" ht="28.5" customHeight="1">
      <c r="B491" s="706" t="s">
        <v>1134</v>
      </c>
      <c r="C491" s="796" t="s">
        <v>1177</v>
      </c>
      <c r="D491" s="703">
        <v>44978</v>
      </c>
      <c r="E491" s="660">
        <v>41019.26</v>
      </c>
      <c r="F491" s="647" t="s">
        <v>69</v>
      </c>
      <c r="G491" s="406">
        <f ca="1">ROUND(IF(CostTrack[[#This Row],[Holdback (Y/N/R)]]="Yes",CostTrack[[#This Row],[Value]]*-0.1,IF(CostTrack[[#This Row],[Holdback (Y/N/R)]]="Release",CostTrack[[#This Row],[Value]],0)),2)</f>
        <v>0</v>
      </c>
      <c r="H491" s="407">
        <f ca="1">IF(CostTrack[[#This Row],[Holdback (Y/N/R)]]="Release",CostTrack[[#This Row],[Value]],CostTrack[[#This Row],[Value]]+CostTrack[[#This Row],[Holdback Value]])</f>
        <v>41019.26</v>
      </c>
      <c r="I491" s="650"/>
      <c r="J491" s="650"/>
      <c r="K491" s="648"/>
      <c r="L491" s="707">
        <v>44978</v>
      </c>
      <c r="M491" s="708">
        <v>44978</v>
      </c>
      <c r="N491" s="709"/>
      <c r="O491" s="712" t="s">
        <v>106</v>
      </c>
      <c r="P491" s="267">
        <v>44978</v>
      </c>
      <c r="Q491" s="243" t="str">
        <f ca="1">IF(CostTrack[[#This Row],[Vendor - Contract]]="","",INDEX(VendorList[PA ID],MATCH(CostTrack[[#This Row],[Vendor - Contract]],VendorList[Vendor / Org. with Contract ID],0)))</f>
        <v>400.020.F1</v>
      </c>
      <c r="R491" s="243" t="str">
        <f ca="1">IF(CostTrack[[#This Row],[Vendor - Contract]]="","",INDEX(VendorList[Primary Category],MATCH(CostTrack[[#This Row],[Vendor - Contract]],VendorList[Vendor / Org. with Contract ID],0)))</f>
        <v>FE_IT</v>
      </c>
      <c r="S491" s="243" t="str">
        <f ca="1">IF(CostTrack[[#This Row],[Vendor - Contract]]="","",INDEX(VendorList[Secondary Category],MATCH(CostTrack[[#This Row],[Vendor - Contract]],VendorList[Vendor / Org. with Contract ID],0)))</f>
        <v>Information Technology</v>
      </c>
      <c r="T491" s="243" t="str">
        <f ca="1">IF(CostTrack[[#This Row],[Vendor - Contract]]="","",INDEX(VendorList[Phase / Subproject],MATCH(CostTrack[[#This Row],[Vendor - Contract]],VendorList[Vendor / Org. with Contract ID],0)))</f>
        <v>--</v>
      </c>
      <c r="U491" s="243" t="str">
        <f ca="1">IF(CostTrack[[#This Row],[Vendor - Contract]]="","",INDEX(VendorList[Phase / Subproject 2],MATCH(CostTrack[[#This Row],[Vendor - Contract]],VendorList[Vendor / Org. with Contract ID],0)))</f>
        <v>--</v>
      </c>
      <c r="V491" s="243" t="str">
        <f ca="1">IF(CostTrack[[#This Row],[Vendor - Contract]]="","",INDEX(VendorList[Funding Source],MATCH(CostTrack[[#This Row],[Vendor - Contract]],VendorList[Vendor / Org. with Contract ID],0)))</f>
        <v>P-002360</v>
      </c>
      <c r="W491" s="267">
        <v>44978</v>
      </c>
      <c r="X491" s="251" t="str">
        <f ca="1">IF(CostTrack[[#This Row],[Release Date (CMS)]]="","*","")</f>
        <v/>
      </c>
      <c r="Y491" s="267" t="s">
        <v>53</v>
      </c>
      <c r="Z491" s="652" t="s">
        <v>1145</v>
      </c>
      <c r="AA491" s="245">
        <f ca="1">IF(OR(CostTrack[[#This Row],[Release Date (CMS)]]&gt;=DATE(VALUE(REPLACE(CostTrack[[#This Row],[Fiscal Period]],3,3,"")),3,1),CostTrack[[#This Row],[Release Date (CMS)]]&lt;DATE(VALUE(LEFT(CostTrack[[#This Row],[Fiscal Period]],4)),4,1)),1,0)</f>
        <v>0</v>
      </c>
      <c r="AB491" s="655">
        <v>41019.26</v>
      </c>
      <c r="AC491" s="267">
        <v>45001</v>
      </c>
      <c r="AD491" s="402" t="str">
        <f ca="1">IF(CostTrack[[#This Row],[Reconciled Amount]]="","",IF(CostTrack[[#This Row],[Value]]&lt;&gt;CostTrack[[#This Row],[Reconciled Amount]],"Yes","No"))</f>
        <v>No</v>
      </c>
    </row>
    <row r="492" spans="2:30" ht="52.5" customHeight="1">
      <c r="B492" s="706" t="s">
        <v>1087</v>
      </c>
      <c r="C492" s="650">
        <v>39689040123</v>
      </c>
      <c r="D492" s="267">
        <v>44987</v>
      </c>
      <c r="E492" s="654">
        <v>13333.91</v>
      </c>
      <c r="F492" s="647" t="s">
        <v>69</v>
      </c>
      <c r="G492" s="406">
        <f ca="1">ROUND(IF(CostTrack[[#This Row],[Holdback (Y/N/R)]]="Yes",CostTrack[[#This Row],[Value]]*-0.1,IF(CostTrack[[#This Row],[Holdback (Y/N/R)]]="Release",CostTrack[[#This Row],[Value]],0)),2)</f>
        <v>0</v>
      </c>
      <c r="H492" s="407">
        <f ca="1">IF(CostTrack[[#This Row],[Holdback (Y/N/R)]]="Release",CostTrack[[#This Row],[Value]],CostTrack[[#This Row],[Value]]+CostTrack[[#This Row],[Holdback Value]])</f>
        <v>13333.91</v>
      </c>
      <c r="I492" s="650"/>
      <c r="J492" s="650"/>
      <c r="K492" s="648"/>
      <c r="L492" s="707">
        <v>44986</v>
      </c>
      <c r="M492" s="708">
        <v>44986</v>
      </c>
      <c r="N492" s="709"/>
      <c r="O492" s="712" t="s">
        <v>106</v>
      </c>
      <c r="P492" s="267">
        <v>44986</v>
      </c>
      <c r="Q492" s="243" t="str">
        <f ca="1">IF(CostTrack[[#This Row],[Vendor - Contract]]="","",INDEX(VendorList[PA ID],MATCH(CostTrack[[#This Row],[Vendor - Contract]],VendorList[Vendor / Org. with Contract ID],0)))</f>
        <v>300.040.F1</v>
      </c>
      <c r="R492" s="243" t="str">
        <f ca="1">IF(CostTrack[[#This Row],[Vendor - Contract]]="","",INDEX(VendorList[Primary Category],MATCH(CostTrack[[#This Row],[Vendor - Contract]],VendorList[Vendor / Org. with Contract ID],0)))</f>
        <v>Construction</v>
      </c>
      <c r="S492" s="243" t="str">
        <f ca="1">IF(CostTrack[[#This Row],[Vendor - Contract]]="","",INDEX(VendorList[Secondary Category],MATCH(CostTrack[[#This Row],[Vendor - Contract]],VendorList[Vendor / Org. with Contract ID],0)))</f>
        <v>Other Contractor</v>
      </c>
      <c r="T492" s="243" t="str">
        <f ca="1">IF(CostTrack[[#This Row],[Vendor - Contract]]="","",INDEX(VendorList[Phase / Subproject],MATCH(CostTrack[[#This Row],[Vendor - Contract]],VendorList[Vendor / Org. with Contract ID],0)))</f>
        <v>--</v>
      </c>
      <c r="U492" s="243" t="str">
        <f ca="1">IF(CostTrack[[#This Row],[Vendor - Contract]]="","",INDEX(VendorList[Phase / Subproject 2],MATCH(CostTrack[[#This Row],[Vendor - Contract]],VendorList[Vendor / Org. with Contract ID],0)))</f>
        <v>--</v>
      </c>
      <c r="V492" s="243" t="str">
        <f ca="1">IF(CostTrack[[#This Row],[Vendor - Contract]]="","",INDEX(VendorList[Funding Source],MATCH(CostTrack[[#This Row],[Vendor - Contract]],VendorList[Vendor / Org. with Contract ID],0)))</f>
        <v>P-002360</v>
      </c>
      <c r="W492" s="267">
        <v>45017</v>
      </c>
      <c r="X492" s="251" t="str">
        <f ca="1">IF(CostTrack[[#This Row],[Release Date (CMS)]]="","*","")</f>
        <v/>
      </c>
      <c r="Y492" s="267" t="s">
        <v>58</v>
      </c>
      <c r="Z492" s="652" t="s">
        <v>1178</v>
      </c>
      <c r="AA492" s="245">
        <f ca="1">IF(OR(CostTrack[[#This Row],[Release Date (CMS)]]&gt;=DATE(VALUE(REPLACE(CostTrack[[#This Row],[Fiscal Period]],3,3,"")),3,1),CostTrack[[#This Row],[Release Date (CMS)]]&lt;DATE(VALUE(LEFT(CostTrack[[#This Row],[Fiscal Period]],4)),4,1)),1,0)</f>
        <v>0</v>
      </c>
      <c r="AB492" s="655">
        <v>13333.91</v>
      </c>
      <c r="AC492" s="267">
        <v>45061</v>
      </c>
      <c r="AD492" s="402" t="str">
        <f ca="1">IF(CostTrack[[#This Row],[Reconciled Amount]]="","",IF(CostTrack[[#This Row],[Value]]&lt;&gt;CostTrack[[#This Row],[Reconciled Amount]],"Yes","No"))</f>
        <v>No</v>
      </c>
    </row>
    <row r="493" spans="2:30" ht="22.9" customHeight="1">
      <c r="B493" s="706" t="s">
        <v>710</v>
      </c>
      <c r="C493" s="877">
        <v>101403612694</v>
      </c>
      <c r="D493" s="267">
        <v>44973</v>
      </c>
      <c r="E493" s="654">
        <v>1983.6</v>
      </c>
      <c r="F493" s="647" t="s">
        <v>69</v>
      </c>
      <c r="G493" s="406">
        <f ca="1">ROUND(IF(CostTrack[[#This Row],[Holdback (Y/N/R)]]="Yes",CostTrack[[#This Row],[Value]]*-0.1,IF(CostTrack[[#This Row],[Holdback (Y/N/R)]]="Release",CostTrack[[#This Row],[Value]],0)),2)</f>
        <v>0</v>
      </c>
      <c r="H493" s="407">
        <f ca="1">IF(CostTrack[[#This Row],[Holdback (Y/N/R)]]="Release",CostTrack[[#This Row],[Value]],CostTrack[[#This Row],[Value]]+CostTrack[[#This Row],[Holdback Value]])</f>
        <v>1983.6</v>
      </c>
      <c r="I493" s="650"/>
      <c r="J493" s="650"/>
      <c r="K493" s="648"/>
      <c r="L493" s="707">
        <v>44985</v>
      </c>
      <c r="M493" s="708">
        <v>44985</v>
      </c>
      <c r="N493" s="709"/>
      <c r="O493" s="712" t="s">
        <v>106</v>
      </c>
      <c r="P493" s="267">
        <v>44985</v>
      </c>
      <c r="Q493" s="243" t="str">
        <f ca="1">IF(CostTrack[[#This Row],[Vendor - Contract]]="","",INDEX(VendorList[PA ID],MATCH(CostTrack[[#This Row],[Vendor - Contract]],VendorList[Vendor / Org. with Contract ID],0)))</f>
        <v>300.040.F1</v>
      </c>
      <c r="R493" s="243" t="str">
        <f ca="1">IF(CostTrack[[#This Row],[Vendor - Contract]]="","",INDEX(VendorList[Primary Category],MATCH(CostTrack[[#This Row],[Vendor - Contract]],VendorList[Vendor / Org. with Contract ID],0)))</f>
        <v>Construction</v>
      </c>
      <c r="S493" s="243" t="str">
        <f ca="1">IF(CostTrack[[#This Row],[Vendor - Contract]]="","",INDEX(VendorList[Secondary Category],MATCH(CostTrack[[#This Row],[Vendor - Contract]],VendorList[Vendor / Org. with Contract ID],0)))</f>
        <v>Other Contractor</v>
      </c>
      <c r="T493" s="243" t="str">
        <f ca="1">IF(CostTrack[[#This Row],[Vendor - Contract]]="","",INDEX(VendorList[Phase / Subproject],MATCH(CostTrack[[#This Row],[Vendor - Contract]],VendorList[Vendor / Org. with Contract ID],0)))</f>
        <v>--</v>
      </c>
      <c r="U493" s="243" t="str">
        <f ca="1">IF(CostTrack[[#This Row],[Vendor - Contract]]="","",INDEX(VendorList[Phase / Subproject 2],MATCH(CostTrack[[#This Row],[Vendor - Contract]],VendorList[Vendor / Org. with Contract ID],0)))</f>
        <v>--</v>
      </c>
      <c r="V493" s="243" t="str">
        <f ca="1">IF(CostTrack[[#This Row],[Vendor - Contract]]="","",INDEX(VendorList[Funding Source],MATCH(CostTrack[[#This Row],[Vendor - Contract]],VendorList[Vendor / Org. with Contract ID],0)))</f>
        <v>P-002360</v>
      </c>
      <c r="W493" s="267">
        <v>44987</v>
      </c>
      <c r="X493" s="251" t="str">
        <f ca="1">IF(CostTrack[[#This Row],[Release Date (CMS)]]="","*","")</f>
        <v/>
      </c>
      <c r="Y493" s="267" t="s">
        <v>53</v>
      </c>
      <c r="Z493" s="652"/>
      <c r="AA493" s="245">
        <f ca="1">IF(OR(CostTrack[[#This Row],[Release Date (CMS)]]&gt;=DATE(VALUE(REPLACE(CostTrack[[#This Row],[Fiscal Period]],3,3,"")),3,1),CostTrack[[#This Row],[Release Date (CMS)]]&lt;DATE(VALUE(LEFT(CostTrack[[#This Row],[Fiscal Period]],4)),4,1)),1,0)</f>
        <v>1</v>
      </c>
      <c r="AB493" s="655">
        <v>1983.6</v>
      </c>
      <c r="AC493" s="267">
        <v>45029</v>
      </c>
      <c r="AD493" s="402" t="str">
        <f ca="1">IF(CostTrack[[#This Row],[Reconciled Amount]]="","",IF(CostTrack[[#This Row],[Value]]&lt;&gt;CostTrack[[#This Row],[Reconciled Amount]],"Yes","No"))</f>
        <v>No</v>
      </c>
    </row>
    <row r="494" spans="2:30" ht="26.25" customHeight="1">
      <c r="B494" s="706" t="s">
        <v>711</v>
      </c>
      <c r="C494" s="650">
        <v>4487030</v>
      </c>
      <c r="D494" s="267">
        <v>44985</v>
      </c>
      <c r="E494" s="654">
        <v>372.55</v>
      </c>
      <c r="F494" s="647" t="s">
        <v>69</v>
      </c>
      <c r="G494" s="406">
        <f ca="1">ROUND(IF(CostTrack[[#This Row],[Holdback (Y/N/R)]]="Yes",CostTrack[[#This Row],[Value]]*-0.1,IF(CostTrack[[#This Row],[Holdback (Y/N/R)]]="Release",CostTrack[[#This Row],[Value]],0)),2)</f>
        <v>0</v>
      </c>
      <c r="H494" s="407">
        <f ca="1">IF(CostTrack[[#This Row],[Holdback (Y/N/R)]]="Release",CostTrack[[#This Row],[Value]],CostTrack[[#This Row],[Value]]+CostTrack[[#This Row],[Holdback Value]])</f>
        <v>372.55</v>
      </c>
      <c r="I494" s="650"/>
      <c r="J494" s="650"/>
      <c r="K494" s="648"/>
      <c r="L494" s="707">
        <v>44988</v>
      </c>
      <c r="M494" s="708">
        <v>44992</v>
      </c>
      <c r="N494" s="709"/>
      <c r="O494" s="712" t="s">
        <v>106</v>
      </c>
      <c r="P494" s="267">
        <v>44992</v>
      </c>
      <c r="Q494" s="243" t="str">
        <f ca="1">IF(CostTrack[[#This Row],[Vendor - Contract]]="","",INDEX(VendorList[PA ID],MATCH(CostTrack[[#This Row],[Vendor - Contract]],VendorList[Vendor / Org. with Contract ID],0)))</f>
        <v>300.040.F1</v>
      </c>
      <c r="R494" s="243" t="str">
        <f ca="1">IF(CostTrack[[#This Row],[Vendor - Contract]]="","",INDEX(VendorList[Primary Category],MATCH(CostTrack[[#This Row],[Vendor - Contract]],VendorList[Vendor / Org. with Contract ID],0)))</f>
        <v>Construction</v>
      </c>
      <c r="S494" s="243" t="str">
        <f ca="1">IF(CostTrack[[#This Row],[Vendor - Contract]]="","",INDEX(VendorList[Secondary Category],MATCH(CostTrack[[#This Row],[Vendor - Contract]],VendorList[Vendor / Org. with Contract ID],0)))</f>
        <v>Other Contractor</v>
      </c>
      <c r="T494" s="243" t="str">
        <f ca="1">IF(CostTrack[[#This Row],[Vendor - Contract]]="","",INDEX(VendorList[Phase / Subproject],MATCH(CostTrack[[#This Row],[Vendor - Contract]],VendorList[Vendor / Org. with Contract ID],0)))</f>
        <v>--</v>
      </c>
      <c r="U494" s="243" t="str">
        <f ca="1">IF(CostTrack[[#This Row],[Vendor - Contract]]="","",INDEX(VendorList[Phase / Subproject 2],MATCH(CostTrack[[#This Row],[Vendor - Contract]],VendorList[Vendor / Org. with Contract ID],0)))</f>
        <v>--</v>
      </c>
      <c r="V494" s="243" t="str">
        <f ca="1">IF(CostTrack[[#This Row],[Vendor - Contract]]="","",INDEX(VendorList[Funding Source],MATCH(CostTrack[[#This Row],[Vendor - Contract]],VendorList[Vendor / Org. with Contract ID],0)))</f>
        <v>P-002360</v>
      </c>
      <c r="W494" s="267">
        <v>45000</v>
      </c>
      <c r="X494" s="251" t="str">
        <f ca="1">IF(CostTrack[[#This Row],[Release Date (CMS)]]="","*","")</f>
        <v/>
      </c>
      <c r="Y494" s="267" t="s">
        <v>53</v>
      </c>
      <c r="Z494" s="652"/>
      <c r="AA494" s="245">
        <f ca="1">IF(OR(CostTrack[[#This Row],[Release Date (CMS)]]&gt;=DATE(VALUE(REPLACE(CostTrack[[#This Row],[Fiscal Period]],3,3,"")),3,1),CostTrack[[#This Row],[Release Date (CMS)]]&lt;DATE(VALUE(LEFT(CostTrack[[#This Row],[Fiscal Period]],4)),4,1)),1,0)</f>
        <v>1</v>
      </c>
      <c r="AB494" s="655">
        <v>372.55</v>
      </c>
      <c r="AC494" s="267">
        <v>45029</v>
      </c>
      <c r="AD494" s="402" t="str">
        <f ca="1">IF(CostTrack[[#This Row],[Reconciled Amount]]="","",IF(CostTrack[[#This Row],[Value]]&lt;&gt;CostTrack[[#This Row],[Reconciled Amount]],"Yes","No"))</f>
        <v>No</v>
      </c>
    </row>
    <row r="495" spans="2:30" ht="28.5" customHeight="1">
      <c r="B495" s="706" t="s">
        <v>529</v>
      </c>
      <c r="C495" s="792">
        <v>28440</v>
      </c>
      <c r="D495" s="703">
        <v>44952</v>
      </c>
      <c r="E495" s="660">
        <v>5682041.0099999998</v>
      </c>
      <c r="F495" s="647" t="s">
        <v>65</v>
      </c>
      <c r="G495" s="406">
        <f ca="1">ROUND(IF(CostTrack[[#This Row],[Holdback (Y/N/R)]]="Yes",CostTrack[[#This Row],[Value]]*-0.1,IF(CostTrack[[#This Row],[Holdback (Y/N/R)]]="Release",CostTrack[[#This Row],[Value]],0)),2)</f>
        <v>-568204.1</v>
      </c>
      <c r="H495" s="407">
        <f ca="1">IF(CostTrack[[#This Row],[Holdback (Y/N/R)]]="Release",CostTrack[[#This Row],[Value]],CostTrack[[#This Row],[Value]]+CostTrack[[#This Row],[Holdback Value]])</f>
        <v>5113836.91</v>
      </c>
      <c r="I495" s="650" t="s">
        <v>1179</v>
      </c>
      <c r="J495" s="650"/>
      <c r="K495" s="648"/>
      <c r="L495" s="707">
        <v>44980</v>
      </c>
      <c r="M495" s="708">
        <v>44981</v>
      </c>
      <c r="N495" s="709"/>
      <c r="O495" s="712" t="s">
        <v>106</v>
      </c>
      <c r="P495" s="267">
        <v>44981</v>
      </c>
      <c r="Q495" s="243" t="str">
        <f ca="1">IF(CostTrack[[#This Row],[Vendor - Contract]]="","",INDEX(VendorList[PA ID],MATCH(CostTrack[[#This Row],[Vendor - Contract]],VendorList[Vendor / Org. with Contract ID],0)))</f>
        <v>300.030.F1</v>
      </c>
      <c r="R495" s="243" t="str">
        <f ca="1">IF(CostTrack[[#This Row],[Vendor - Contract]]="","",INDEX(VendorList[Primary Category],MATCH(CostTrack[[#This Row],[Vendor - Contract]],VendorList[Vendor / Org. with Contract ID],0)))</f>
        <v>Construction</v>
      </c>
      <c r="S495" s="243" t="str">
        <f ca="1">IF(CostTrack[[#This Row],[Vendor - Contract]]="","",INDEX(VendorList[Secondary Category],MATCH(CostTrack[[#This Row],[Vendor - Contract]],VendorList[Vendor / Org. with Contract ID],0)))</f>
        <v>Prime Contractor</v>
      </c>
      <c r="T495" s="243" t="str">
        <f ca="1">IF(CostTrack[[#This Row],[Vendor - Contract]]="","",INDEX(VendorList[Phase / Subproject],MATCH(CostTrack[[#This Row],[Vendor - Contract]],VendorList[Vendor / Org. with Contract ID],0)))</f>
        <v>--</v>
      </c>
      <c r="U495" s="243" t="str">
        <f ca="1">IF(CostTrack[[#This Row],[Vendor - Contract]]="","",INDEX(VendorList[Phase / Subproject 2],MATCH(CostTrack[[#This Row],[Vendor - Contract]],VendorList[Vendor / Org. with Contract ID],0)))</f>
        <v>--</v>
      </c>
      <c r="V495" s="243" t="str">
        <f ca="1">IF(CostTrack[[#This Row],[Vendor - Contract]]="","",INDEX(VendorList[Funding Source],MATCH(CostTrack[[#This Row],[Vendor - Contract]],VendorList[Vendor / Org. with Contract ID],0)))</f>
        <v>P-002360</v>
      </c>
      <c r="W495" s="267">
        <v>44981</v>
      </c>
      <c r="X495" s="251" t="str">
        <f ca="1">IF(CostTrack[[#This Row],[Release Date (CMS)]]="","*","")</f>
        <v/>
      </c>
      <c r="Y495" s="267" t="s">
        <v>53</v>
      </c>
      <c r="Z495" s="652"/>
      <c r="AA495" s="245">
        <f ca="1">IF(OR(CostTrack[[#This Row],[Release Date (CMS)]]&gt;=DATE(VALUE(REPLACE(CostTrack[[#This Row],[Fiscal Period]],3,3,"")),3,1),CostTrack[[#This Row],[Release Date (CMS)]]&lt;DATE(VALUE(LEFT(CostTrack[[#This Row],[Fiscal Period]],4)),4,1)),1,0)</f>
        <v>0</v>
      </c>
      <c r="AB495" s="655">
        <v>5682041.0099999998</v>
      </c>
      <c r="AC495" s="267">
        <v>45001</v>
      </c>
      <c r="AD495" s="402" t="str">
        <f ca="1">IF(CostTrack[[#This Row],[Reconciled Amount]]="","",IF(CostTrack[[#This Row],[Value]]&lt;&gt;CostTrack[[#This Row],[Reconciled Amount]],"Yes","No"))</f>
        <v>No</v>
      </c>
    </row>
    <row r="496" spans="2:30" ht="22.9" customHeight="1">
      <c r="B496" s="706" t="s">
        <v>529</v>
      </c>
      <c r="C496" s="650">
        <v>28515</v>
      </c>
      <c r="D496" s="267">
        <v>44985</v>
      </c>
      <c r="E496" s="654">
        <v>5272921.18</v>
      </c>
      <c r="F496" s="647" t="s">
        <v>65</v>
      </c>
      <c r="G496" s="406">
        <f ca="1">ROUND(IF(CostTrack[[#This Row],[Holdback (Y/N/R)]]="Yes",CostTrack[[#This Row],[Value]]*-0.1,IF(CostTrack[[#This Row],[Holdback (Y/N/R)]]="Release",CostTrack[[#This Row],[Value]],0)),2)</f>
        <v>-527292.12</v>
      </c>
      <c r="H496" s="407">
        <f ca="1">IF(CostTrack[[#This Row],[Holdback (Y/N/R)]]="Release",CostTrack[[#This Row],[Value]],CostTrack[[#This Row],[Value]]+CostTrack[[#This Row],[Holdback Value]])</f>
        <v>4745629.0599999996</v>
      </c>
      <c r="I496" s="650" t="s">
        <v>1180</v>
      </c>
      <c r="J496" s="650"/>
      <c r="K496" s="648"/>
      <c r="L496" s="707">
        <v>44994</v>
      </c>
      <c r="M496" s="708">
        <v>44994</v>
      </c>
      <c r="N496" s="709"/>
      <c r="O496" s="712" t="s">
        <v>106</v>
      </c>
      <c r="P496" s="267">
        <v>44994</v>
      </c>
      <c r="Q496" s="243" t="str">
        <f ca="1">IF(CostTrack[[#This Row],[Vendor - Contract]]="","",INDEX(VendorList[PA ID],MATCH(CostTrack[[#This Row],[Vendor - Contract]],VendorList[Vendor / Org. with Contract ID],0)))</f>
        <v>300.030.F1</v>
      </c>
      <c r="R496" s="243" t="str">
        <f ca="1">IF(CostTrack[[#This Row],[Vendor - Contract]]="","",INDEX(VendorList[Primary Category],MATCH(CostTrack[[#This Row],[Vendor - Contract]],VendorList[Vendor / Org. with Contract ID],0)))</f>
        <v>Construction</v>
      </c>
      <c r="S496" s="243" t="str">
        <f ca="1">IF(CostTrack[[#This Row],[Vendor - Contract]]="","",INDEX(VendorList[Secondary Category],MATCH(CostTrack[[#This Row],[Vendor - Contract]],VendorList[Vendor / Org. with Contract ID],0)))</f>
        <v>Prime Contractor</v>
      </c>
      <c r="T496" s="243" t="str">
        <f ca="1">IF(CostTrack[[#This Row],[Vendor - Contract]]="","",INDEX(VendorList[Phase / Subproject],MATCH(CostTrack[[#This Row],[Vendor - Contract]],VendorList[Vendor / Org. with Contract ID],0)))</f>
        <v>--</v>
      </c>
      <c r="U496" s="243" t="str">
        <f ca="1">IF(CostTrack[[#This Row],[Vendor - Contract]]="","",INDEX(VendorList[Phase / Subproject 2],MATCH(CostTrack[[#This Row],[Vendor - Contract]],VendorList[Vendor / Org. with Contract ID],0)))</f>
        <v>--</v>
      </c>
      <c r="V496" s="243" t="str">
        <f ca="1">IF(CostTrack[[#This Row],[Vendor - Contract]]="","",INDEX(VendorList[Funding Source],MATCH(CostTrack[[#This Row],[Vendor - Contract]],VendorList[Vendor / Org. with Contract ID],0)))</f>
        <v>P-002360</v>
      </c>
      <c r="W496" s="267">
        <v>44995</v>
      </c>
      <c r="X496" s="251" t="str">
        <f ca="1">IF(CostTrack[[#This Row],[Release Date (CMS)]]="","*","")</f>
        <v/>
      </c>
      <c r="Y496" s="267" t="s">
        <v>53</v>
      </c>
      <c r="Z496" s="652"/>
      <c r="AA496" s="245">
        <f ca="1">IF(OR(CostTrack[[#This Row],[Release Date (CMS)]]&gt;=DATE(VALUE(REPLACE(CostTrack[[#This Row],[Fiscal Period]],3,3,"")),3,1),CostTrack[[#This Row],[Release Date (CMS)]]&lt;DATE(VALUE(LEFT(CostTrack[[#This Row],[Fiscal Period]],4)),4,1)),1,0)</f>
        <v>1</v>
      </c>
      <c r="AB496" s="655">
        <v>5272921.18</v>
      </c>
      <c r="AC496" s="267">
        <v>45029</v>
      </c>
      <c r="AD496" s="402" t="str">
        <f ca="1">IF(CostTrack[[#This Row],[Reconciled Amount]]="","",IF(CostTrack[[#This Row],[Value]]&lt;&gt;CostTrack[[#This Row],[Reconciled Amount]],"Yes","No"))</f>
        <v>No</v>
      </c>
    </row>
    <row r="497" spans="2:30" ht="75.599999999999994" customHeight="1">
      <c r="B497" s="1338" t="s">
        <v>529</v>
      </c>
      <c r="C497" s="881" t="s">
        <v>1181</v>
      </c>
      <c r="D497" s="1339">
        <v>44651</v>
      </c>
      <c r="E497" s="1340">
        <v>411521.99</v>
      </c>
      <c r="F497" s="1309" t="s">
        <v>69</v>
      </c>
      <c r="G497" s="1310">
        <f ca="1">ROUND(IF(CostTrack[[#This Row],[Holdback (Y/N/R)]]="Yes",CostTrack[[#This Row],[Value]]*-0.1,IF(CostTrack[[#This Row],[Holdback (Y/N/R)]]="Release",CostTrack[[#This Row],[Value]],0)),2)</f>
        <v>0</v>
      </c>
      <c r="H497" s="1311">
        <f ca="1">IF(CostTrack[[#This Row],[Holdback (Y/N/R)]]="Release",CostTrack[[#This Row],[Value]],CostTrack[[#This Row],[Value]]+CostTrack[[#This Row],[Holdback Value]])</f>
        <v>411521.99</v>
      </c>
      <c r="I497" s="650" t="s">
        <v>1182</v>
      </c>
      <c r="J497" s="1312"/>
      <c r="K497" s="1313"/>
      <c r="L497" s="1325">
        <v>44643</v>
      </c>
      <c r="M497" s="1326">
        <v>44643</v>
      </c>
      <c r="N497" s="1327"/>
      <c r="O497" s="1328" t="s">
        <v>106</v>
      </c>
      <c r="P497" s="1308">
        <v>44643</v>
      </c>
      <c r="Q497" s="1314" t="str">
        <f ca="1">IF(CostTrack[[#This Row],[Vendor - Contract]]="","",INDEX(VendorList[PA ID],MATCH(CostTrack[[#This Row],[Vendor - Contract]],VendorList[Vendor / Org. with Contract ID],0)))</f>
        <v>300.030.F1</v>
      </c>
      <c r="R497" s="1314" t="str">
        <f ca="1">IF(CostTrack[[#This Row],[Vendor - Contract]]="","",INDEX(VendorList[Primary Category],MATCH(CostTrack[[#This Row],[Vendor - Contract]],VendorList[Vendor / Org. with Contract ID],0)))</f>
        <v>Construction</v>
      </c>
      <c r="S497" s="1314" t="str">
        <f ca="1">IF(CostTrack[[#This Row],[Vendor - Contract]]="","",INDEX(VendorList[Secondary Category],MATCH(CostTrack[[#This Row],[Vendor - Contract]],VendorList[Vendor / Org. with Contract ID],0)))</f>
        <v>Prime Contractor</v>
      </c>
      <c r="T497" s="1314" t="str">
        <f ca="1">IF(CostTrack[[#This Row],[Vendor - Contract]]="","",INDEX(VendorList[Phase / Subproject],MATCH(CostTrack[[#This Row],[Vendor - Contract]],VendorList[Vendor / Org. with Contract ID],0)))</f>
        <v>--</v>
      </c>
      <c r="U497" s="1314" t="str">
        <f ca="1">IF(CostTrack[[#This Row],[Vendor - Contract]]="","",INDEX(VendorList[Phase / Subproject 2],MATCH(CostTrack[[#This Row],[Vendor - Contract]],VendorList[Vendor / Org. with Contract ID],0)))</f>
        <v>--</v>
      </c>
      <c r="V497" s="1314" t="str">
        <f ca="1">IF(CostTrack[[#This Row],[Vendor - Contract]]="","",INDEX(VendorList[Funding Source],MATCH(CostTrack[[#This Row],[Vendor - Contract]],VendorList[Vendor / Org. with Contract ID],0)))</f>
        <v>P-002360</v>
      </c>
      <c r="W497" s="1339">
        <v>44651</v>
      </c>
      <c r="X497" s="1315" t="str">
        <f ca="1">IF(CostTrack[[#This Row],[Release Date (CMS)]]="","*","")</f>
        <v/>
      </c>
      <c r="Y497" s="1308" t="s">
        <v>50</v>
      </c>
      <c r="Z497" s="882" t="s">
        <v>1183</v>
      </c>
      <c r="AA497" s="1341">
        <f ca="1">IF(OR(CostTrack[[#This Row],[Release Date (CMS)]]&gt;=DATE(VALUE(REPLACE(CostTrack[[#This Row],[Fiscal Period]],3,3,"")),3,1),CostTrack[[#This Row],[Release Date (CMS)]]&lt;DATE(VALUE(LEFT(CostTrack[[#This Row],[Fiscal Period]],4)),4,1)),1,0)</f>
        <v>1</v>
      </c>
      <c r="AB497" s="1342">
        <v>411521.99</v>
      </c>
      <c r="AC497" s="1339">
        <v>45029</v>
      </c>
      <c r="AD497" s="402" t="str">
        <f ca="1">IF(CostTrack[[#This Row],[Reconciled Amount]]="","",IF(CostTrack[[#This Row],[Value]]&lt;&gt;CostTrack[[#This Row],[Reconciled Amount]],"Yes","No"))</f>
        <v>No</v>
      </c>
    </row>
    <row r="498" spans="2:30" ht="88.15" customHeight="1">
      <c r="B498" s="706" t="s">
        <v>529</v>
      </c>
      <c r="C498" s="650" t="s">
        <v>1181</v>
      </c>
      <c r="D498" s="267">
        <v>44985</v>
      </c>
      <c r="E498" s="654">
        <v>-411521.99</v>
      </c>
      <c r="F498" s="647" t="s">
        <v>69</v>
      </c>
      <c r="G498" s="406">
        <f ca="1">ROUND(IF(CostTrack[[#This Row],[Holdback (Y/N/R)]]="Yes",CostTrack[[#This Row],[Value]]*-0.1,IF(CostTrack[[#This Row],[Holdback (Y/N/R)]]="Release",CostTrack[[#This Row],[Value]],0)),2)</f>
        <v>0</v>
      </c>
      <c r="H498" s="407">
        <f ca="1">IF(CostTrack[[#This Row],[Holdback (Y/N/R)]]="Release",CostTrack[[#This Row],[Value]],CostTrack[[#This Row],[Value]]+CostTrack[[#This Row],[Holdback Value]])</f>
        <v>-411521.99</v>
      </c>
      <c r="I498" s="650" t="s">
        <v>1182</v>
      </c>
      <c r="J498" s="650"/>
      <c r="K498" s="648"/>
      <c r="L498" s="707">
        <v>44985</v>
      </c>
      <c r="M498" s="708">
        <v>44985</v>
      </c>
      <c r="N498" s="709"/>
      <c r="O498" s="712" t="s">
        <v>106</v>
      </c>
      <c r="P498" s="267">
        <v>44985</v>
      </c>
      <c r="Q498" s="243" t="str">
        <f ca="1">IF(CostTrack[[#This Row],[Vendor - Contract]]="","",INDEX(VendorList[PA ID],MATCH(CostTrack[[#This Row],[Vendor - Contract]],VendorList[Vendor / Org. with Contract ID],0)))</f>
        <v>300.030.F1</v>
      </c>
      <c r="R498" s="243" t="str">
        <f ca="1">IF(CostTrack[[#This Row],[Vendor - Contract]]="","",INDEX(VendorList[Primary Category],MATCH(CostTrack[[#This Row],[Vendor - Contract]],VendorList[Vendor / Org. with Contract ID],0)))</f>
        <v>Construction</v>
      </c>
      <c r="S498" s="243" t="str">
        <f ca="1">IF(CostTrack[[#This Row],[Vendor - Contract]]="","",INDEX(VendorList[Secondary Category],MATCH(CostTrack[[#This Row],[Vendor - Contract]],VendorList[Vendor / Org. with Contract ID],0)))</f>
        <v>Prime Contractor</v>
      </c>
      <c r="T498" s="243" t="str">
        <f ca="1">IF(CostTrack[[#This Row],[Vendor - Contract]]="","",INDEX(VendorList[Phase / Subproject],MATCH(CostTrack[[#This Row],[Vendor - Contract]],VendorList[Vendor / Org. with Contract ID],0)))</f>
        <v>--</v>
      </c>
      <c r="U498" s="243" t="str">
        <f ca="1">IF(CostTrack[[#This Row],[Vendor - Contract]]="","",INDEX(VendorList[Phase / Subproject 2],MATCH(CostTrack[[#This Row],[Vendor - Contract]],VendorList[Vendor / Org. with Contract ID],0)))</f>
        <v>--</v>
      </c>
      <c r="V498" s="243" t="str">
        <f ca="1">IF(CostTrack[[#This Row],[Vendor - Contract]]="","",INDEX(VendorList[Funding Source],MATCH(CostTrack[[#This Row],[Vendor - Contract]],VendorList[Vendor / Org. with Contract ID],0)))</f>
        <v>P-002360</v>
      </c>
      <c r="W498" s="267">
        <v>44652</v>
      </c>
      <c r="X498" s="251" t="str">
        <f ca="1">IF(CostTrack[[#This Row],[Release Date (CMS)]]="","*","")</f>
        <v/>
      </c>
      <c r="Y498" s="267" t="s">
        <v>53</v>
      </c>
      <c r="Z498" s="695" t="s">
        <v>1184</v>
      </c>
      <c r="AA498" s="245">
        <f ca="1">IF(OR(CostTrack[[#This Row],[Release Date (CMS)]]&gt;=DATE(VALUE(REPLACE(CostTrack[[#This Row],[Fiscal Period]],3,3,"")),3,1),CostTrack[[#This Row],[Release Date (CMS)]]&lt;DATE(VALUE(LEFT(CostTrack[[#This Row],[Fiscal Period]],4)),4,1)),1,0)</f>
        <v>0</v>
      </c>
      <c r="AB498" s="655">
        <v>-411521.99</v>
      </c>
      <c r="AC498" s="267">
        <v>45029</v>
      </c>
      <c r="AD498" s="402" t="str">
        <f ca="1">IF(CostTrack[[#This Row],[Reconciled Amount]]="","",IF(CostTrack[[#This Row],[Value]]&lt;&gt;CostTrack[[#This Row],[Reconciled Amount]],"Yes","No"))</f>
        <v>No</v>
      </c>
    </row>
    <row r="499" spans="2:30" ht="28.5" customHeight="1">
      <c r="B499" s="706" t="s">
        <v>529</v>
      </c>
      <c r="C499" s="650" t="s">
        <v>1185</v>
      </c>
      <c r="D499" s="267">
        <v>44985</v>
      </c>
      <c r="E499" s="654">
        <v>411521.99</v>
      </c>
      <c r="F499" s="647" t="s">
        <v>69</v>
      </c>
      <c r="G499" s="406">
        <f ca="1">ROUND(IF(CostTrack[[#This Row],[Holdback (Y/N/R)]]="Yes",CostTrack[[#This Row],[Value]]*-0.1,IF(CostTrack[[#This Row],[Holdback (Y/N/R)]]="Release",CostTrack[[#This Row],[Value]],0)),2)</f>
        <v>0</v>
      </c>
      <c r="H499" s="407">
        <f ca="1">IF(CostTrack[[#This Row],[Holdback (Y/N/R)]]="Release",CostTrack[[#This Row],[Value]],CostTrack[[#This Row],[Value]]+CostTrack[[#This Row],[Holdback Value]])</f>
        <v>411521.99</v>
      </c>
      <c r="I499" s="650" t="s">
        <v>1182</v>
      </c>
      <c r="J499" s="650"/>
      <c r="K499" s="648"/>
      <c r="L499" s="707">
        <v>44985</v>
      </c>
      <c r="M499" s="708">
        <v>44985</v>
      </c>
      <c r="N499" s="709"/>
      <c r="O499" s="712" t="s">
        <v>106</v>
      </c>
      <c r="P499" s="267">
        <v>44985</v>
      </c>
      <c r="Q499" s="243" t="str">
        <f ca="1">IF(CostTrack[[#This Row],[Vendor - Contract]]="","",INDEX(VendorList[PA ID],MATCH(CostTrack[[#This Row],[Vendor - Contract]],VendorList[Vendor / Org. with Contract ID],0)))</f>
        <v>300.030.F1</v>
      </c>
      <c r="R499" s="243" t="str">
        <f ca="1">IF(CostTrack[[#This Row],[Vendor - Contract]]="","",INDEX(VendorList[Primary Category],MATCH(CostTrack[[#This Row],[Vendor - Contract]],VendorList[Vendor / Org. with Contract ID],0)))</f>
        <v>Construction</v>
      </c>
      <c r="S499" s="243" t="str">
        <f ca="1">IF(CostTrack[[#This Row],[Vendor - Contract]]="","",INDEX(VendorList[Secondary Category],MATCH(CostTrack[[#This Row],[Vendor - Contract]],VendorList[Vendor / Org. with Contract ID],0)))</f>
        <v>Prime Contractor</v>
      </c>
      <c r="T499" s="243" t="str">
        <f ca="1">IF(CostTrack[[#This Row],[Vendor - Contract]]="","",INDEX(VendorList[Phase / Subproject],MATCH(CostTrack[[#This Row],[Vendor - Contract]],VendorList[Vendor / Org. with Contract ID],0)))</f>
        <v>--</v>
      </c>
      <c r="U499" s="243" t="str">
        <f ca="1">IF(CostTrack[[#This Row],[Vendor - Contract]]="","",INDEX(VendorList[Phase / Subproject 2],MATCH(CostTrack[[#This Row],[Vendor - Contract]],VendorList[Vendor / Org. with Contract ID],0)))</f>
        <v>--</v>
      </c>
      <c r="V499" s="243" t="str">
        <f ca="1">IF(CostTrack[[#This Row],[Vendor - Contract]]="","",INDEX(VendorList[Funding Source],MATCH(CostTrack[[#This Row],[Vendor - Contract]],VendorList[Vendor / Org. with Contract ID],0)))</f>
        <v>P-002360</v>
      </c>
      <c r="W499" s="267">
        <v>44652</v>
      </c>
      <c r="X499" s="251" t="str">
        <f ca="1">IF(CostTrack[[#This Row],[Release Date (CMS)]]="","*","")</f>
        <v/>
      </c>
      <c r="Y499" s="267" t="s">
        <v>53</v>
      </c>
      <c r="Z499" s="880" t="s">
        <v>1186</v>
      </c>
      <c r="AA499" s="245">
        <f ca="1">IF(OR(CostTrack[[#This Row],[Release Date (CMS)]]&gt;=DATE(VALUE(REPLACE(CostTrack[[#This Row],[Fiscal Period]],3,3,"")),3,1),CostTrack[[#This Row],[Release Date (CMS)]]&lt;DATE(VALUE(LEFT(CostTrack[[#This Row],[Fiscal Period]],4)),4,1)),1,0)</f>
        <v>0</v>
      </c>
      <c r="AB499" s="878">
        <v>411521.99</v>
      </c>
      <c r="AC499" s="879">
        <v>45029</v>
      </c>
      <c r="AD499" s="402" t="str">
        <f ca="1">IF(CostTrack[[#This Row],[Reconciled Amount]]="","",IF(CostTrack[[#This Row],[Value]]&lt;&gt;CostTrack[[#This Row],[Reconciled Amount]],"Yes","No"))</f>
        <v>No</v>
      </c>
    </row>
    <row r="500" spans="2:30" ht="28.5" customHeight="1">
      <c r="B500" s="706" t="s">
        <v>527</v>
      </c>
      <c r="C500" s="650">
        <v>230076</v>
      </c>
      <c r="D500" s="267">
        <v>44985</v>
      </c>
      <c r="E500" s="654">
        <v>28568.62</v>
      </c>
      <c r="F500" s="647" t="s">
        <v>69</v>
      </c>
      <c r="G500" s="406">
        <f ca="1">ROUND(IF(CostTrack[[#This Row],[Holdback (Y/N/R)]]="Yes",CostTrack[[#This Row],[Value]]*-0.1,IF(CostTrack[[#This Row],[Holdback (Y/N/R)]]="Release",CostTrack[[#This Row],[Value]],0)),2)</f>
        <v>0</v>
      </c>
      <c r="H500" s="407">
        <f ca="1">IF(CostTrack[[#This Row],[Holdback (Y/N/R)]]="Release",CostTrack[[#This Row],[Value]],CostTrack[[#This Row],[Value]]+CostTrack[[#This Row],[Holdback Value]])</f>
        <v>28568.62</v>
      </c>
      <c r="I500" s="650"/>
      <c r="J500" s="650"/>
      <c r="K500" s="648"/>
      <c r="L500" s="707">
        <v>44988</v>
      </c>
      <c r="M500" s="708">
        <v>44992</v>
      </c>
      <c r="N500" s="709"/>
      <c r="O500" s="712" t="s">
        <v>106</v>
      </c>
      <c r="P500" s="267">
        <v>44992</v>
      </c>
      <c r="Q500" s="243" t="str">
        <f ca="1">IF(CostTrack[[#This Row],[Vendor - Contract]]="","",INDEX(VendorList[PA ID],MATCH(CostTrack[[#This Row],[Vendor - Contract]],VendorList[Vendor / Org. with Contract ID],0)))</f>
        <v>200.010.F1</v>
      </c>
      <c r="R500" s="243" t="str">
        <f ca="1">IF(CostTrack[[#This Row],[Vendor - Contract]]="","",INDEX(VendorList[Primary Category],MATCH(CostTrack[[#This Row],[Vendor - Contract]],VendorList[Vendor / Org. with Contract ID],0)))</f>
        <v>Professional Services</v>
      </c>
      <c r="S500" s="243" t="str">
        <f ca="1">IF(CostTrack[[#This Row],[Vendor - Contract]]="","",INDEX(VendorList[Secondary Category],MATCH(CostTrack[[#This Row],[Vendor - Contract]],VendorList[Vendor / Org. with Contract ID],0)))</f>
        <v>Prime Consultant</v>
      </c>
      <c r="T500" s="243" t="str">
        <f ca="1">IF(CostTrack[[#This Row],[Vendor - Contract]]="","",INDEX(VendorList[Phase / Subproject],MATCH(CostTrack[[#This Row],[Vendor - Contract]],VendorList[Vendor / Org. with Contract ID],0)))</f>
        <v>--</v>
      </c>
      <c r="U500" s="243" t="str">
        <f ca="1">IF(CostTrack[[#This Row],[Vendor - Contract]]="","",INDEX(VendorList[Phase / Subproject 2],MATCH(CostTrack[[#This Row],[Vendor - Contract]],VendorList[Vendor / Org. with Contract ID],0)))</f>
        <v>--</v>
      </c>
      <c r="V500" s="243" t="str">
        <f ca="1">IF(CostTrack[[#This Row],[Vendor - Contract]]="","",INDEX(VendorList[Funding Source],MATCH(CostTrack[[#This Row],[Vendor - Contract]],VendorList[Vendor / Org. with Contract ID],0)))</f>
        <v>P-002360</v>
      </c>
      <c r="W500" s="267">
        <v>44992</v>
      </c>
      <c r="X500" s="251" t="str">
        <f ca="1">IF(CostTrack[[#This Row],[Release Date (CMS)]]="","*","")</f>
        <v/>
      </c>
      <c r="Y500" s="267" t="s">
        <v>53</v>
      </c>
      <c r="Z500" s="652"/>
      <c r="AA500" s="245">
        <f ca="1">IF(OR(CostTrack[[#This Row],[Release Date (CMS)]]&gt;=DATE(VALUE(REPLACE(CostTrack[[#This Row],[Fiscal Period]],3,3,"")),3,1),CostTrack[[#This Row],[Release Date (CMS)]]&lt;DATE(VALUE(LEFT(CostTrack[[#This Row],[Fiscal Period]],4)),4,1)),1,0)</f>
        <v>1</v>
      </c>
      <c r="AB500" s="655">
        <v>28568.62</v>
      </c>
      <c r="AC500" s="267">
        <v>45029</v>
      </c>
      <c r="AD500" s="402" t="str">
        <f ca="1">IF(CostTrack[[#This Row],[Reconciled Amount]]="","",IF(CostTrack[[#This Row],[Value]]&lt;&gt;CostTrack[[#This Row],[Reconciled Amount]],"Yes","No"))</f>
        <v>No</v>
      </c>
    </row>
    <row r="501" spans="2:30" ht="28.5" customHeight="1">
      <c r="B501" s="706" t="s">
        <v>624</v>
      </c>
      <c r="C501" s="650">
        <v>1785085</v>
      </c>
      <c r="D501" s="267">
        <v>44988</v>
      </c>
      <c r="E501" s="654">
        <v>3900</v>
      </c>
      <c r="F501" s="647" t="s">
        <v>69</v>
      </c>
      <c r="G501" s="406">
        <f ca="1">ROUND(IF(CostTrack[[#This Row],[Holdback (Y/N/R)]]="Yes",CostTrack[[#This Row],[Value]]*-0.1,IF(CostTrack[[#This Row],[Holdback (Y/N/R)]]="Release",CostTrack[[#This Row],[Value]],0)),2)</f>
        <v>0</v>
      </c>
      <c r="H501" s="407">
        <f ca="1">IF(CostTrack[[#This Row],[Holdback (Y/N/R)]]="Release",CostTrack[[#This Row],[Value]],CostTrack[[#This Row],[Value]]+CostTrack[[#This Row],[Holdback Value]])</f>
        <v>3900</v>
      </c>
      <c r="I501" s="650"/>
      <c r="J501" s="650"/>
      <c r="K501" s="648"/>
      <c r="L501" s="707">
        <v>44988</v>
      </c>
      <c r="M501" s="708">
        <v>44993</v>
      </c>
      <c r="N501" s="709"/>
      <c r="O501" s="712" t="s">
        <v>106</v>
      </c>
      <c r="P501" s="267">
        <v>44993</v>
      </c>
      <c r="Q501" s="243" t="str">
        <f ca="1">IF(CostTrack[[#This Row],[Vendor - Contract]]="","",INDEX(VendorList[PA ID],MATCH(CostTrack[[#This Row],[Vendor - Contract]],VendorList[Vendor / Org. with Contract ID],0)))</f>
        <v>200.040.F1</v>
      </c>
      <c r="R501" s="243" t="str">
        <f ca="1">IF(CostTrack[[#This Row],[Vendor - Contract]]="","",INDEX(VendorList[Primary Category],MATCH(CostTrack[[#This Row],[Vendor - Contract]],VendorList[Vendor / Org. with Contract ID],0)))</f>
        <v>Professional Services</v>
      </c>
      <c r="S501" s="243" t="str">
        <f ca="1">IF(CostTrack[[#This Row],[Vendor - Contract]]="","",INDEX(VendorList[Secondary Category],MATCH(CostTrack[[#This Row],[Vendor - Contract]],VendorList[Vendor / Org. with Contract ID],0)))</f>
        <v>Commissioning</v>
      </c>
      <c r="T501" s="243" t="str">
        <f ca="1">IF(CostTrack[[#This Row],[Vendor - Contract]]="","",INDEX(VendorList[Phase / Subproject],MATCH(CostTrack[[#This Row],[Vendor - Contract]],VendorList[Vendor / Org. with Contract ID],0)))</f>
        <v>--</v>
      </c>
      <c r="U501" s="243" t="str">
        <f ca="1">IF(CostTrack[[#This Row],[Vendor - Contract]]="","",INDEX(VendorList[Phase / Subproject 2],MATCH(CostTrack[[#This Row],[Vendor - Contract]],VendorList[Vendor / Org. with Contract ID],0)))</f>
        <v>--</v>
      </c>
      <c r="V501" s="243" t="str">
        <f ca="1">IF(CostTrack[[#This Row],[Vendor - Contract]]="","",INDEX(VendorList[Funding Source],MATCH(CostTrack[[#This Row],[Vendor - Contract]],VendorList[Vendor / Org. with Contract ID],0)))</f>
        <v>P-002360</v>
      </c>
      <c r="W501" s="267">
        <v>44993</v>
      </c>
      <c r="X501" s="251" t="str">
        <f ca="1">IF(CostTrack[[#This Row],[Release Date (CMS)]]="","*","")</f>
        <v/>
      </c>
      <c r="Y501" s="267" t="s">
        <v>53</v>
      </c>
      <c r="Z501" s="652"/>
      <c r="AA501" s="245">
        <f ca="1">IF(OR(CostTrack[[#This Row],[Release Date (CMS)]]&gt;=DATE(VALUE(REPLACE(CostTrack[[#This Row],[Fiscal Period]],3,3,"")),3,1),CostTrack[[#This Row],[Release Date (CMS)]]&lt;DATE(VALUE(LEFT(CostTrack[[#This Row],[Fiscal Period]],4)),4,1)),1,0)</f>
        <v>1</v>
      </c>
      <c r="AB501" s="655">
        <v>3900</v>
      </c>
      <c r="AC501" s="267">
        <v>45029</v>
      </c>
      <c r="AD501" s="402" t="str">
        <f ca="1">IF(CostTrack[[#This Row],[Reconciled Amount]]="","",IF(CostTrack[[#This Row],[Value]]&lt;&gt;CostTrack[[#This Row],[Reconciled Amount]],"Yes","No"))</f>
        <v>No</v>
      </c>
    </row>
    <row r="502" spans="2:30" ht="28.5" customHeight="1">
      <c r="B502" s="706" t="s">
        <v>528</v>
      </c>
      <c r="C502" s="650">
        <v>60800737</v>
      </c>
      <c r="D502" s="267">
        <v>44991</v>
      </c>
      <c r="E502" s="654">
        <v>2509.5</v>
      </c>
      <c r="F502" s="647" t="s">
        <v>69</v>
      </c>
      <c r="G502" s="406">
        <f ca="1">ROUND(IF(CostTrack[[#This Row],[Holdback (Y/N/R)]]="Yes",CostTrack[[#This Row],[Value]]*-0.1,IF(CostTrack[[#This Row],[Holdback (Y/N/R)]]="Release",CostTrack[[#This Row],[Value]],0)),2)</f>
        <v>0</v>
      </c>
      <c r="H502" s="407">
        <f ca="1">IF(CostTrack[[#This Row],[Holdback (Y/N/R)]]="Release",CostTrack[[#This Row],[Value]],CostTrack[[#This Row],[Value]]+CostTrack[[#This Row],[Holdback Value]])</f>
        <v>2509.5</v>
      </c>
      <c r="I502" s="650"/>
      <c r="J502" s="650"/>
      <c r="K502" s="648"/>
      <c r="L502" s="707">
        <v>44991</v>
      </c>
      <c r="M502" s="708">
        <v>44992</v>
      </c>
      <c r="N502" s="709"/>
      <c r="O502" s="712" t="s">
        <v>106</v>
      </c>
      <c r="P502" s="267">
        <v>44992</v>
      </c>
      <c r="Q502" s="243" t="str">
        <f ca="1">IF(CostTrack[[#This Row],[Vendor - Contract]]="","",INDEX(VendorList[PA ID],MATCH(CostTrack[[#This Row],[Vendor - Contract]],VendorList[Vendor / Org. with Contract ID],0)))</f>
        <v>200.050.F1</v>
      </c>
      <c r="R502" s="243" t="str">
        <f ca="1">IF(CostTrack[[#This Row],[Vendor - Contract]]="","",INDEX(VendorList[Primary Category],MATCH(CostTrack[[#This Row],[Vendor - Contract]],VendorList[Vendor / Org. with Contract ID],0)))</f>
        <v>Professional Services</v>
      </c>
      <c r="S502" s="243" t="str">
        <f ca="1">IF(CostTrack[[#This Row],[Vendor - Contract]]="","",INDEX(VendorList[Secondary Category],MATCH(CostTrack[[#This Row],[Vendor - Contract]],VendorList[Vendor / Org. with Contract ID],0)))</f>
        <v>Other Professional Services</v>
      </c>
      <c r="T502" s="243" t="str">
        <f ca="1">IF(CostTrack[[#This Row],[Vendor - Contract]]="","",INDEX(VendorList[Phase / Subproject],MATCH(CostTrack[[#This Row],[Vendor - Contract]],VendorList[Vendor / Org. with Contract ID],0)))</f>
        <v>--</v>
      </c>
      <c r="U502" s="243" t="str">
        <f ca="1">IF(CostTrack[[#This Row],[Vendor - Contract]]="","",INDEX(VendorList[Phase / Subproject 2],MATCH(CostTrack[[#This Row],[Vendor - Contract]],VendorList[Vendor / Org. with Contract ID],0)))</f>
        <v>--</v>
      </c>
      <c r="V502" s="243" t="str">
        <f ca="1">IF(CostTrack[[#This Row],[Vendor - Contract]]="","",INDEX(VendorList[Funding Source],MATCH(CostTrack[[#This Row],[Vendor - Contract]],VendorList[Vendor / Org. with Contract ID],0)))</f>
        <v>P-002360</v>
      </c>
      <c r="W502" s="267">
        <v>44992</v>
      </c>
      <c r="X502" s="251" t="str">
        <f ca="1">IF(CostTrack[[#This Row],[Release Date (CMS)]]="","*","")</f>
        <v/>
      </c>
      <c r="Y502" s="267" t="s">
        <v>53</v>
      </c>
      <c r="Z502" s="652"/>
      <c r="AA502" s="245">
        <f ca="1">IF(OR(CostTrack[[#This Row],[Release Date (CMS)]]&gt;=DATE(VALUE(REPLACE(CostTrack[[#This Row],[Fiscal Period]],3,3,"")),3,1),CostTrack[[#This Row],[Release Date (CMS)]]&lt;DATE(VALUE(LEFT(CostTrack[[#This Row],[Fiscal Period]],4)),4,1)),1,0)</f>
        <v>1</v>
      </c>
      <c r="AB502" s="655">
        <v>2509.5</v>
      </c>
      <c r="AC502" s="267">
        <v>45029</v>
      </c>
      <c r="AD502" s="402" t="str">
        <f ca="1">IF(CostTrack[[#This Row],[Reconciled Amount]]="","",IF(CostTrack[[#This Row],[Value]]&lt;&gt;CostTrack[[#This Row],[Reconciled Amount]],"Yes","No"))</f>
        <v>No</v>
      </c>
    </row>
    <row r="503" spans="2:30" ht="28.5" customHeight="1">
      <c r="B503" s="1324" t="s">
        <v>666</v>
      </c>
      <c r="C503" s="1312" t="s">
        <v>1187</v>
      </c>
      <c r="D503" s="1308">
        <v>45008</v>
      </c>
      <c r="E503" s="658">
        <v>8496.5</v>
      </c>
      <c r="F503" s="1309" t="s">
        <v>69</v>
      </c>
      <c r="G503" s="1310">
        <f ca="1">ROUND(IF(CostTrack[[#This Row],[Holdback (Y/N/R)]]="Yes",CostTrack[[#This Row],[Value]]*-0.1,IF(CostTrack[[#This Row],[Holdback (Y/N/R)]]="Release",CostTrack[[#This Row],[Value]],0)),2)</f>
        <v>0</v>
      </c>
      <c r="H503" s="1311">
        <f ca="1">IF(CostTrack[[#This Row],[Holdback (Y/N/R)]]="Release",CostTrack[[#This Row],[Value]],CostTrack[[#This Row],[Value]]+CostTrack[[#This Row],[Holdback Value]])</f>
        <v>8496.5</v>
      </c>
      <c r="I503" s="1312"/>
      <c r="J503" s="1312"/>
      <c r="K503" s="1313"/>
      <c r="L503" s="1325">
        <v>45009</v>
      </c>
      <c r="M503" s="1326">
        <v>45009</v>
      </c>
      <c r="N503" s="1327"/>
      <c r="O503" s="1328" t="s">
        <v>106</v>
      </c>
      <c r="P503" s="1308">
        <v>45009</v>
      </c>
      <c r="Q503" s="1314" t="str">
        <f ca="1">IF(CostTrack[[#This Row],[Vendor - Contract]]="","",INDEX(VendorList[PA ID],MATCH(CostTrack[[#This Row],[Vendor - Contract]],VendorList[Vendor / Org. with Contract ID],0)))</f>
        <v>200.050.F1</v>
      </c>
      <c r="R503" s="1314" t="str">
        <f ca="1">IF(CostTrack[[#This Row],[Vendor - Contract]]="","",INDEX(VendorList[Primary Category],MATCH(CostTrack[[#This Row],[Vendor - Contract]],VendorList[Vendor / Org. with Contract ID],0)))</f>
        <v>Professional Services</v>
      </c>
      <c r="S503" s="1314" t="str">
        <f ca="1">IF(CostTrack[[#This Row],[Vendor - Contract]]="","",INDEX(VendorList[Secondary Category],MATCH(CostTrack[[#This Row],[Vendor - Contract]],VendorList[Vendor / Org. with Contract ID],0)))</f>
        <v>Other Professional Services</v>
      </c>
      <c r="T503" s="1314" t="str">
        <f ca="1">IF(CostTrack[[#This Row],[Vendor - Contract]]="","",INDEX(VendorList[Phase / Subproject],MATCH(CostTrack[[#This Row],[Vendor - Contract]],VendorList[Vendor / Org. with Contract ID],0)))</f>
        <v>--</v>
      </c>
      <c r="U503" s="1314" t="str">
        <f ca="1">IF(CostTrack[[#This Row],[Vendor - Contract]]="","",INDEX(VendorList[Phase / Subproject 2],MATCH(CostTrack[[#This Row],[Vendor - Contract]],VendorList[Vendor / Org. with Contract ID],0)))</f>
        <v>--</v>
      </c>
      <c r="V503" s="1314" t="str">
        <f ca="1">IF(CostTrack[[#This Row],[Vendor - Contract]]="","",INDEX(VendorList[Funding Source],MATCH(CostTrack[[#This Row],[Vendor - Contract]],VendorList[Vendor / Org. with Contract ID],0)))</f>
        <v>P-002360</v>
      </c>
      <c r="W503" s="1308">
        <v>45016</v>
      </c>
      <c r="X503" s="1315" t="str">
        <f ca="1">IF(CostTrack[[#This Row],[Release Date (CMS)]]="","*","")</f>
        <v/>
      </c>
      <c r="Y503" s="1308" t="s">
        <v>53</v>
      </c>
      <c r="Z503" s="1343" t="s">
        <v>1188</v>
      </c>
      <c r="AA503" s="1316">
        <f ca="1">IF(OR(CostTrack[[#This Row],[Release Date (CMS)]]&gt;=DATE(VALUE(REPLACE(CostTrack[[#This Row],[Fiscal Period]],3,3,"")),3,1),CostTrack[[#This Row],[Release Date (CMS)]]&lt;DATE(VALUE(LEFT(CostTrack[[#This Row],[Fiscal Period]],4)),4,1)),1,0)</f>
        <v>1</v>
      </c>
      <c r="AB503" s="1317">
        <v>8496.5</v>
      </c>
      <c r="AC503" s="1308">
        <v>45029</v>
      </c>
      <c r="AD503" s="402" t="str">
        <f ca="1">IF(CostTrack[[#This Row],[Reconciled Amount]]="","",IF(CostTrack[[#This Row],[Value]]&lt;&gt;CostTrack[[#This Row],[Reconciled Amount]],"Yes","No"))</f>
        <v>No</v>
      </c>
    </row>
    <row r="504" spans="2:30" ht="28.5" customHeight="1">
      <c r="B504" s="1324" t="s">
        <v>666</v>
      </c>
      <c r="C504" s="1312" t="s">
        <v>1189</v>
      </c>
      <c r="D504" s="1308">
        <v>45008</v>
      </c>
      <c r="E504" s="658">
        <v>8496.5</v>
      </c>
      <c r="F504" s="1309" t="s">
        <v>69</v>
      </c>
      <c r="G504" s="1310">
        <f ca="1">ROUND(IF(CostTrack[[#This Row],[Holdback (Y/N/R)]]="Yes",CostTrack[[#This Row],[Value]]*-0.1,IF(CostTrack[[#This Row],[Holdback (Y/N/R)]]="Release",CostTrack[[#This Row],[Value]],0)),2)</f>
        <v>0</v>
      </c>
      <c r="H504" s="1311">
        <f ca="1">IF(CostTrack[[#This Row],[Holdback (Y/N/R)]]="Release",CostTrack[[#This Row],[Value]],CostTrack[[#This Row],[Value]]+CostTrack[[#This Row],[Holdback Value]])</f>
        <v>8496.5</v>
      </c>
      <c r="I504" s="1312"/>
      <c r="J504" s="1312"/>
      <c r="K504" s="1313"/>
      <c r="L504" s="1325">
        <v>45009</v>
      </c>
      <c r="M504" s="1326">
        <v>45009</v>
      </c>
      <c r="N504" s="1327"/>
      <c r="O504" s="1328" t="s">
        <v>106</v>
      </c>
      <c r="P504" s="1308">
        <v>45019</v>
      </c>
      <c r="Q504" s="1314" t="str">
        <f ca="1">IF(CostTrack[[#This Row],[Vendor - Contract]]="","",INDEX(VendorList[PA ID],MATCH(CostTrack[[#This Row],[Vendor - Contract]],VendorList[Vendor / Org. with Contract ID],0)))</f>
        <v>200.050.F1</v>
      </c>
      <c r="R504" s="1314" t="str">
        <f ca="1">IF(CostTrack[[#This Row],[Vendor - Contract]]="","",INDEX(VendorList[Primary Category],MATCH(CostTrack[[#This Row],[Vendor - Contract]],VendorList[Vendor / Org. with Contract ID],0)))</f>
        <v>Professional Services</v>
      </c>
      <c r="S504" s="1314" t="str">
        <f ca="1">IF(CostTrack[[#This Row],[Vendor - Contract]]="","",INDEX(VendorList[Secondary Category],MATCH(CostTrack[[#This Row],[Vendor - Contract]],VendorList[Vendor / Org. with Contract ID],0)))</f>
        <v>Other Professional Services</v>
      </c>
      <c r="T504" s="1314" t="str">
        <f ca="1">IF(CostTrack[[#This Row],[Vendor - Contract]]="","",INDEX(VendorList[Phase / Subproject],MATCH(CostTrack[[#This Row],[Vendor - Contract]],VendorList[Vendor / Org. with Contract ID],0)))</f>
        <v>--</v>
      </c>
      <c r="U504" s="1314" t="str">
        <f ca="1">IF(CostTrack[[#This Row],[Vendor - Contract]]="","",INDEX(VendorList[Phase / Subproject 2],MATCH(CostTrack[[#This Row],[Vendor - Contract]],VendorList[Vendor / Org. with Contract ID],0)))</f>
        <v>--</v>
      </c>
      <c r="V504" s="1314" t="str">
        <f ca="1">IF(CostTrack[[#This Row],[Vendor - Contract]]="","",INDEX(VendorList[Funding Source],MATCH(CostTrack[[#This Row],[Vendor - Contract]],VendorList[Vendor / Org. with Contract ID],0)))</f>
        <v>P-002360</v>
      </c>
      <c r="W504" s="1308">
        <v>45036</v>
      </c>
      <c r="X504" s="1315" t="str">
        <f ca="1">IF(CostTrack[[#This Row],[Release Date (CMS)]]="","*","")</f>
        <v/>
      </c>
      <c r="Y504" s="1308" t="s">
        <v>58</v>
      </c>
      <c r="Z504" s="1344" t="s">
        <v>1190</v>
      </c>
      <c r="AA504" s="1316">
        <f ca="1">IF(OR(CostTrack[[#This Row],[Release Date (CMS)]]&gt;=DATE(VALUE(REPLACE(CostTrack[[#This Row],[Fiscal Period]],3,3,"")),3,1),CostTrack[[#This Row],[Release Date (CMS)]]&lt;DATE(VALUE(LEFT(CostTrack[[#This Row],[Fiscal Period]],4)),4,1)),1,0)</f>
        <v>0</v>
      </c>
      <c r="AB504" s="1317">
        <v>8496.5</v>
      </c>
      <c r="AC504" s="1308">
        <v>45058</v>
      </c>
      <c r="AD504" s="402" t="str">
        <f ca="1">IF(CostTrack[[#This Row],[Reconciled Amount]]="","",IF(CostTrack[[#This Row],[Value]]&lt;&gt;CostTrack[[#This Row],[Reconciled Amount]],"Yes","No"))</f>
        <v>No</v>
      </c>
    </row>
    <row r="505" spans="2:30" ht="44.25" customHeight="1">
      <c r="B505" s="1324" t="s">
        <v>666</v>
      </c>
      <c r="C505" s="1312" t="s">
        <v>1189</v>
      </c>
      <c r="D505" s="1308">
        <v>45008</v>
      </c>
      <c r="E505" s="658">
        <v>-8496.5</v>
      </c>
      <c r="F505" s="1309" t="s">
        <v>69</v>
      </c>
      <c r="G505" s="1310">
        <f ca="1">ROUND(IF(CostTrack[[#This Row],[Holdback (Y/N/R)]]="Yes",CostTrack[[#This Row],[Value]]*-0.1,IF(CostTrack[[#This Row],[Holdback (Y/N/R)]]="Release",CostTrack[[#This Row],[Value]],0)),2)</f>
        <v>0</v>
      </c>
      <c r="H505" s="1311">
        <f ca="1">IF(CostTrack[[#This Row],[Holdback (Y/N/R)]]="Release",CostTrack[[#This Row],[Value]],CostTrack[[#This Row],[Value]]+CostTrack[[#This Row],[Holdback Value]])</f>
        <v>-8496.5</v>
      </c>
      <c r="I505" s="1312"/>
      <c r="J505" s="1312"/>
      <c r="K505" s="1313"/>
      <c r="L505" s="1325">
        <v>45009</v>
      </c>
      <c r="M505" s="1326">
        <v>45009</v>
      </c>
      <c r="N505" s="1327"/>
      <c r="O505" s="1328" t="s">
        <v>106</v>
      </c>
      <c r="P505" s="1308">
        <v>45019</v>
      </c>
      <c r="Q505" s="1314" t="str">
        <f ca="1">IF(CostTrack[[#This Row],[Vendor - Contract]]="","",INDEX(VendorList[PA ID],MATCH(CostTrack[[#This Row],[Vendor - Contract]],VendorList[Vendor / Org. with Contract ID],0)))</f>
        <v>200.050.F1</v>
      </c>
      <c r="R505" s="1314" t="str">
        <f ca="1">IF(CostTrack[[#This Row],[Vendor - Contract]]="","",INDEX(VendorList[Primary Category],MATCH(CostTrack[[#This Row],[Vendor - Contract]],VendorList[Vendor / Org. with Contract ID],0)))</f>
        <v>Professional Services</v>
      </c>
      <c r="S505" s="1314" t="str">
        <f ca="1">IF(CostTrack[[#This Row],[Vendor - Contract]]="","",INDEX(VendorList[Secondary Category],MATCH(CostTrack[[#This Row],[Vendor - Contract]],VendorList[Vendor / Org. with Contract ID],0)))</f>
        <v>Other Professional Services</v>
      </c>
      <c r="T505" s="1314" t="str">
        <f ca="1">IF(CostTrack[[#This Row],[Vendor - Contract]]="","",INDEX(VendorList[Phase / Subproject],MATCH(CostTrack[[#This Row],[Vendor - Contract]],VendorList[Vendor / Org. with Contract ID],0)))</f>
        <v>--</v>
      </c>
      <c r="U505" s="1314" t="str">
        <f ca="1">IF(CostTrack[[#This Row],[Vendor - Contract]]="","",INDEX(VendorList[Phase / Subproject 2],MATCH(CostTrack[[#This Row],[Vendor - Contract]],VendorList[Vendor / Org. with Contract ID],0)))</f>
        <v>--</v>
      </c>
      <c r="V505" s="1314" t="str">
        <f ca="1">IF(CostTrack[[#This Row],[Vendor - Contract]]="","",INDEX(VendorList[Funding Source],MATCH(CostTrack[[#This Row],[Vendor - Contract]],VendorList[Vendor / Org. with Contract ID],0)))</f>
        <v>P-002360</v>
      </c>
      <c r="W505" s="1308">
        <v>45036</v>
      </c>
      <c r="X505" s="1315" t="str">
        <f ca="1">IF(CostTrack[[#This Row],[Release Date (CMS)]]="","*","")</f>
        <v/>
      </c>
      <c r="Y505" s="1308" t="s">
        <v>58</v>
      </c>
      <c r="Z505" s="1345" t="s">
        <v>1191</v>
      </c>
      <c r="AA505" s="1316">
        <f ca="1">IF(OR(CostTrack[[#This Row],[Release Date (CMS)]]&gt;=DATE(VALUE(REPLACE(CostTrack[[#This Row],[Fiscal Period]],3,3,"")),3,1),CostTrack[[#This Row],[Release Date (CMS)]]&lt;DATE(VALUE(LEFT(CostTrack[[#This Row],[Fiscal Period]],4)),4,1)),1,0)</f>
        <v>0</v>
      </c>
      <c r="AB505" s="1317">
        <v>-8496.5</v>
      </c>
      <c r="AC505" s="1308">
        <v>45058</v>
      </c>
      <c r="AD505" s="402" t="str">
        <f ca="1">IF(CostTrack[[#This Row],[Reconciled Amount]]="","",IF(CostTrack[[#This Row],[Value]]&lt;&gt;CostTrack[[#This Row],[Reconciled Amount]],"Yes","No"))</f>
        <v>No</v>
      </c>
    </row>
    <row r="506" spans="2:30" ht="28.5" customHeight="1">
      <c r="B506" s="1324" t="s">
        <v>666</v>
      </c>
      <c r="C506" s="1312" t="s">
        <v>1192</v>
      </c>
      <c r="D506" s="1308">
        <v>45008</v>
      </c>
      <c r="E506" s="658">
        <v>7500</v>
      </c>
      <c r="F506" s="1309" t="s">
        <v>69</v>
      </c>
      <c r="G506" s="1310">
        <f ca="1">ROUND(IF(CostTrack[[#This Row],[Holdback (Y/N/R)]]="Yes",CostTrack[[#This Row],[Value]]*-0.1,IF(CostTrack[[#This Row],[Holdback (Y/N/R)]]="Release",CostTrack[[#This Row],[Value]],0)),2)</f>
        <v>0</v>
      </c>
      <c r="H506" s="1311">
        <f ca="1">IF(CostTrack[[#This Row],[Holdback (Y/N/R)]]="Release",CostTrack[[#This Row],[Value]],CostTrack[[#This Row],[Value]]+CostTrack[[#This Row],[Holdback Value]])</f>
        <v>7500</v>
      </c>
      <c r="I506" s="1312"/>
      <c r="J506" s="1312"/>
      <c r="K506" s="1313"/>
      <c r="L506" s="1325">
        <v>45009</v>
      </c>
      <c r="M506" s="1326">
        <v>45009</v>
      </c>
      <c r="N506" s="1327"/>
      <c r="O506" s="1328" t="s">
        <v>106</v>
      </c>
      <c r="P506" s="1308">
        <v>45009</v>
      </c>
      <c r="Q506" s="1314" t="str">
        <f ca="1">IF(CostTrack[[#This Row],[Vendor - Contract]]="","",INDEX(VendorList[PA ID],MATCH(CostTrack[[#This Row],[Vendor - Contract]],VendorList[Vendor / Org. with Contract ID],0)))</f>
        <v>200.050.F1</v>
      </c>
      <c r="R506" s="1314" t="str">
        <f ca="1">IF(CostTrack[[#This Row],[Vendor - Contract]]="","",INDEX(VendorList[Primary Category],MATCH(CostTrack[[#This Row],[Vendor - Contract]],VendorList[Vendor / Org. with Contract ID],0)))</f>
        <v>Professional Services</v>
      </c>
      <c r="S506" s="1314" t="str">
        <f ca="1">IF(CostTrack[[#This Row],[Vendor - Contract]]="","",INDEX(VendorList[Secondary Category],MATCH(CostTrack[[#This Row],[Vendor - Contract]],VendorList[Vendor / Org. with Contract ID],0)))</f>
        <v>Other Professional Services</v>
      </c>
      <c r="T506" s="1314" t="str">
        <f ca="1">IF(CostTrack[[#This Row],[Vendor - Contract]]="","",INDEX(VendorList[Phase / Subproject],MATCH(CostTrack[[#This Row],[Vendor - Contract]],VendorList[Vendor / Org. with Contract ID],0)))</f>
        <v>--</v>
      </c>
      <c r="U506" s="1314" t="str">
        <f ca="1">IF(CostTrack[[#This Row],[Vendor - Contract]]="","",INDEX(VendorList[Phase / Subproject 2],MATCH(CostTrack[[#This Row],[Vendor - Contract]],VendorList[Vendor / Org. with Contract ID],0)))</f>
        <v>--</v>
      </c>
      <c r="V506" s="1314" t="str">
        <f ca="1">IF(CostTrack[[#This Row],[Vendor - Contract]]="","",INDEX(VendorList[Funding Source],MATCH(CostTrack[[#This Row],[Vendor - Contract]],VendorList[Vendor / Org. with Contract ID],0)))</f>
        <v>P-002360</v>
      </c>
      <c r="W506" s="1308">
        <v>45016</v>
      </c>
      <c r="X506" s="1315" t="str">
        <f ca="1">IF(CostTrack[[#This Row],[Release Date (CMS)]]="","*","")</f>
        <v/>
      </c>
      <c r="Y506" s="1308" t="s">
        <v>53</v>
      </c>
      <c r="Z506" s="1343" t="s">
        <v>1188</v>
      </c>
      <c r="AA506" s="1316">
        <f ca="1">IF(OR(CostTrack[[#This Row],[Release Date (CMS)]]&gt;=DATE(VALUE(REPLACE(CostTrack[[#This Row],[Fiscal Period]],3,3,"")),3,1),CostTrack[[#This Row],[Release Date (CMS)]]&lt;DATE(VALUE(LEFT(CostTrack[[#This Row],[Fiscal Period]],4)),4,1)),1,0)</f>
        <v>1</v>
      </c>
      <c r="AB506" s="1317">
        <v>7500</v>
      </c>
      <c r="AC506" s="1308">
        <v>45029</v>
      </c>
      <c r="AD506" s="402" t="str">
        <f ca="1">IF(CostTrack[[#This Row],[Reconciled Amount]]="","",IF(CostTrack[[#This Row],[Value]]&lt;&gt;CostTrack[[#This Row],[Reconciled Amount]],"Yes","No"))</f>
        <v>No</v>
      </c>
    </row>
    <row r="507" spans="2:30" ht="28.5" customHeight="1">
      <c r="B507" s="1324" t="s">
        <v>666</v>
      </c>
      <c r="C507" s="1312" t="s">
        <v>1193</v>
      </c>
      <c r="D507" s="1308">
        <v>45008</v>
      </c>
      <c r="E507" s="658">
        <v>7500</v>
      </c>
      <c r="F507" s="1309" t="s">
        <v>69</v>
      </c>
      <c r="G507" s="1310">
        <f ca="1">ROUND(IF(CostTrack[[#This Row],[Holdback (Y/N/R)]]="Yes",CostTrack[[#This Row],[Value]]*-0.1,IF(CostTrack[[#This Row],[Holdback (Y/N/R)]]="Release",CostTrack[[#This Row],[Value]],0)),2)</f>
        <v>0</v>
      </c>
      <c r="H507" s="1311">
        <f ca="1">IF(CostTrack[[#This Row],[Holdback (Y/N/R)]]="Release",CostTrack[[#This Row],[Value]],CostTrack[[#This Row],[Value]]+CostTrack[[#This Row],[Holdback Value]])</f>
        <v>7500</v>
      </c>
      <c r="I507" s="1312"/>
      <c r="J507" s="1312"/>
      <c r="K507" s="1313"/>
      <c r="L507" s="1325">
        <v>45009</v>
      </c>
      <c r="M507" s="1326">
        <v>45009</v>
      </c>
      <c r="N507" s="1327"/>
      <c r="O507" s="1328" t="s">
        <v>106</v>
      </c>
      <c r="P507" s="1308">
        <v>45019</v>
      </c>
      <c r="Q507" s="1314" t="str">
        <f ca="1">IF(CostTrack[[#This Row],[Vendor - Contract]]="","",INDEX(VendorList[PA ID],MATCH(CostTrack[[#This Row],[Vendor - Contract]],VendorList[Vendor / Org. with Contract ID],0)))</f>
        <v>200.050.F1</v>
      </c>
      <c r="R507" s="1314" t="str">
        <f ca="1">IF(CostTrack[[#This Row],[Vendor - Contract]]="","",INDEX(VendorList[Primary Category],MATCH(CostTrack[[#This Row],[Vendor - Contract]],VendorList[Vendor / Org. with Contract ID],0)))</f>
        <v>Professional Services</v>
      </c>
      <c r="S507" s="1314" t="str">
        <f ca="1">IF(CostTrack[[#This Row],[Vendor - Contract]]="","",INDEX(VendorList[Secondary Category],MATCH(CostTrack[[#This Row],[Vendor - Contract]],VendorList[Vendor / Org. with Contract ID],0)))</f>
        <v>Other Professional Services</v>
      </c>
      <c r="T507" s="1314" t="str">
        <f ca="1">IF(CostTrack[[#This Row],[Vendor - Contract]]="","",INDEX(VendorList[Phase / Subproject],MATCH(CostTrack[[#This Row],[Vendor - Contract]],VendorList[Vendor / Org. with Contract ID],0)))</f>
        <v>--</v>
      </c>
      <c r="U507" s="1314" t="str">
        <f ca="1">IF(CostTrack[[#This Row],[Vendor - Contract]]="","",INDEX(VendorList[Phase / Subproject 2],MATCH(CostTrack[[#This Row],[Vendor - Contract]],VendorList[Vendor / Org. with Contract ID],0)))</f>
        <v>--</v>
      </c>
      <c r="V507" s="1314" t="str">
        <f ca="1">IF(CostTrack[[#This Row],[Vendor - Contract]]="","",INDEX(VendorList[Funding Source],MATCH(CostTrack[[#This Row],[Vendor - Contract]],VendorList[Vendor / Org. with Contract ID],0)))</f>
        <v>P-002360</v>
      </c>
      <c r="W507" s="1308">
        <v>45036</v>
      </c>
      <c r="X507" s="1315" t="str">
        <f ca="1">IF(CostTrack[[#This Row],[Release Date (CMS)]]="","*","")</f>
        <v/>
      </c>
      <c r="Y507" s="1308" t="s">
        <v>58</v>
      </c>
      <c r="Z507" s="1344" t="s">
        <v>1190</v>
      </c>
      <c r="AA507" s="1316">
        <f ca="1">IF(OR(CostTrack[[#This Row],[Release Date (CMS)]]&gt;=DATE(VALUE(REPLACE(CostTrack[[#This Row],[Fiscal Period]],3,3,"")),3,1),CostTrack[[#This Row],[Release Date (CMS)]]&lt;DATE(VALUE(LEFT(CostTrack[[#This Row],[Fiscal Period]],4)),4,1)),1,0)</f>
        <v>0</v>
      </c>
      <c r="AB507" s="1317">
        <v>7500</v>
      </c>
      <c r="AC507" s="1308">
        <v>45058</v>
      </c>
      <c r="AD507" s="402" t="str">
        <f ca="1">IF(CostTrack[[#This Row],[Reconciled Amount]]="","",IF(CostTrack[[#This Row],[Value]]&lt;&gt;CostTrack[[#This Row],[Reconciled Amount]],"Yes","No"))</f>
        <v>No</v>
      </c>
    </row>
    <row r="508" spans="2:30" ht="47.1" customHeight="1">
      <c r="B508" s="1324" t="s">
        <v>666</v>
      </c>
      <c r="C508" s="1312" t="s">
        <v>1193</v>
      </c>
      <c r="D508" s="1308">
        <v>45008</v>
      </c>
      <c r="E508" s="658">
        <v>-7500</v>
      </c>
      <c r="F508" s="1309" t="s">
        <v>69</v>
      </c>
      <c r="G508" s="1310">
        <f ca="1">ROUND(IF(CostTrack[[#This Row],[Holdback (Y/N/R)]]="Yes",CostTrack[[#This Row],[Value]]*-0.1,IF(CostTrack[[#This Row],[Holdback (Y/N/R)]]="Release",CostTrack[[#This Row],[Value]],0)),2)</f>
        <v>0</v>
      </c>
      <c r="H508" s="1311">
        <f ca="1">IF(CostTrack[[#This Row],[Holdback (Y/N/R)]]="Release",CostTrack[[#This Row],[Value]],CostTrack[[#This Row],[Value]]+CostTrack[[#This Row],[Holdback Value]])</f>
        <v>-7500</v>
      </c>
      <c r="I508" s="1312"/>
      <c r="J508" s="1312"/>
      <c r="K508" s="1313"/>
      <c r="L508" s="1325">
        <v>45009</v>
      </c>
      <c r="M508" s="1326">
        <v>45009</v>
      </c>
      <c r="N508" s="1327"/>
      <c r="O508" s="1328" t="s">
        <v>106</v>
      </c>
      <c r="P508" s="1308">
        <v>45019</v>
      </c>
      <c r="Q508" s="1314" t="str">
        <f ca="1">IF(CostTrack[[#This Row],[Vendor - Contract]]="","",INDEX(VendorList[PA ID],MATCH(CostTrack[[#This Row],[Vendor - Contract]],VendorList[Vendor / Org. with Contract ID],0)))</f>
        <v>200.050.F1</v>
      </c>
      <c r="R508" s="1314" t="str">
        <f ca="1">IF(CostTrack[[#This Row],[Vendor - Contract]]="","",INDEX(VendorList[Primary Category],MATCH(CostTrack[[#This Row],[Vendor - Contract]],VendorList[Vendor / Org. with Contract ID],0)))</f>
        <v>Professional Services</v>
      </c>
      <c r="S508" s="1314" t="str">
        <f ca="1">IF(CostTrack[[#This Row],[Vendor - Contract]]="","",INDEX(VendorList[Secondary Category],MATCH(CostTrack[[#This Row],[Vendor - Contract]],VendorList[Vendor / Org. with Contract ID],0)))</f>
        <v>Other Professional Services</v>
      </c>
      <c r="T508" s="1314" t="str">
        <f ca="1">IF(CostTrack[[#This Row],[Vendor - Contract]]="","",INDEX(VendorList[Phase / Subproject],MATCH(CostTrack[[#This Row],[Vendor - Contract]],VendorList[Vendor / Org. with Contract ID],0)))</f>
        <v>--</v>
      </c>
      <c r="U508" s="1314" t="str">
        <f ca="1">IF(CostTrack[[#This Row],[Vendor - Contract]]="","",INDEX(VendorList[Phase / Subproject 2],MATCH(CostTrack[[#This Row],[Vendor - Contract]],VendorList[Vendor / Org. with Contract ID],0)))</f>
        <v>--</v>
      </c>
      <c r="V508" s="1314" t="str">
        <f ca="1">IF(CostTrack[[#This Row],[Vendor - Contract]]="","",INDEX(VendorList[Funding Source],MATCH(CostTrack[[#This Row],[Vendor - Contract]],VendorList[Vendor / Org. with Contract ID],0)))</f>
        <v>P-002360</v>
      </c>
      <c r="W508" s="1308">
        <v>45036</v>
      </c>
      <c r="X508" s="1315" t="str">
        <f ca="1">IF(CostTrack[[#This Row],[Release Date (CMS)]]="","*","")</f>
        <v/>
      </c>
      <c r="Y508" s="1308" t="s">
        <v>58</v>
      </c>
      <c r="Z508" s="1345" t="s">
        <v>1194</v>
      </c>
      <c r="AA508" s="1316">
        <f ca="1">IF(OR(CostTrack[[#This Row],[Release Date (CMS)]]&gt;=DATE(VALUE(REPLACE(CostTrack[[#This Row],[Fiscal Period]],3,3,"")),3,1),CostTrack[[#This Row],[Release Date (CMS)]]&lt;DATE(VALUE(LEFT(CostTrack[[#This Row],[Fiscal Period]],4)),4,1)),1,0)</f>
        <v>0</v>
      </c>
      <c r="AB508" s="1317">
        <v>-7500</v>
      </c>
      <c r="AC508" s="1308">
        <v>45058</v>
      </c>
      <c r="AD508" s="402" t="str">
        <f ca="1">IF(CostTrack[[#This Row],[Reconciled Amount]]="","",IF(CostTrack[[#This Row],[Value]]&lt;&gt;CostTrack[[#This Row],[Reconciled Amount]],"Yes","No"))</f>
        <v>No</v>
      </c>
    </row>
    <row r="509" spans="2:30" ht="28.5" customHeight="1">
      <c r="B509" s="1324" t="s">
        <v>662</v>
      </c>
      <c r="C509" s="1312" t="s">
        <v>1195</v>
      </c>
      <c r="D509" s="1308">
        <v>45009</v>
      </c>
      <c r="E509" s="658">
        <v>1494</v>
      </c>
      <c r="F509" s="1309" t="s">
        <v>69</v>
      </c>
      <c r="G509" s="1310">
        <f ca="1">ROUND(IF(CostTrack[[#This Row],[Holdback (Y/N/R)]]="Yes",CostTrack[[#This Row],[Value]]*-0.1,IF(CostTrack[[#This Row],[Holdback (Y/N/R)]]="Release",CostTrack[[#This Row],[Value]],0)),2)</f>
        <v>0</v>
      </c>
      <c r="H509" s="1311">
        <f ca="1">IF(CostTrack[[#This Row],[Holdback (Y/N/R)]]="Release",CostTrack[[#This Row],[Value]],CostTrack[[#This Row],[Value]]+CostTrack[[#This Row],[Holdback Value]])</f>
        <v>1494</v>
      </c>
      <c r="I509" s="1312"/>
      <c r="J509" s="1312"/>
      <c r="K509" s="1313"/>
      <c r="L509" s="1325">
        <v>45009</v>
      </c>
      <c r="M509" s="1326">
        <v>45009</v>
      </c>
      <c r="N509" s="1327"/>
      <c r="O509" s="1328" t="s">
        <v>106</v>
      </c>
      <c r="P509" s="1308">
        <v>45009</v>
      </c>
      <c r="Q509" s="1314" t="str">
        <f ca="1">IF(CostTrack[[#This Row],[Vendor - Contract]]="","",INDEX(VendorList[PA ID],MATCH(CostTrack[[#This Row],[Vendor - Contract]],VendorList[Vendor / Org. with Contract ID],0)))</f>
        <v>200.050.F1</v>
      </c>
      <c r="R509" s="1314" t="str">
        <f ca="1">IF(CostTrack[[#This Row],[Vendor - Contract]]="","",INDEX(VendorList[Primary Category],MATCH(CostTrack[[#This Row],[Vendor - Contract]],VendorList[Vendor / Org. with Contract ID],0)))</f>
        <v>Professional Services</v>
      </c>
      <c r="S509" s="1314" t="str">
        <f ca="1">IF(CostTrack[[#This Row],[Vendor - Contract]]="","",INDEX(VendorList[Secondary Category],MATCH(CostTrack[[#This Row],[Vendor - Contract]],VendorList[Vendor / Org. with Contract ID],0)))</f>
        <v>Other Professional Services</v>
      </c>
      <c r="T509" s="1314" t="str">
        <f ca="1">IF(CostTrack[[#This Row],[Vendor - Contract]]="","",INDEX(VendorList[Phase / Subproject],MATCH(CostTrack[[#This Row],[Vendor - Contract]],VendorList[Vendor / Org. with Contract ID],0)))</f>
        <v>--</v>
      </c>
      <c r="U509" s="1314" t="str">
        <f ca="1">IF(CostTrack[[#This Row],[Vendor - Contract]]="","",INDEX(VendorList[Phase / Subproject 2],MATCH(CostTrack[[#This Row],[Vendor - Contract]],VendorList[Vendor / Org. with Contract ID],0)))</f>
        <v>--</v>
      </c>
      <c r="V509" s="1314" t="str">
        <f ca="1">IF(CostTrack[[#This Row],[Vendor - Contract]]="","",INDEX(VendorList[Funding Source],MATCH(CostTrack[[#This Row],[Vendor - Contract]],VendorList[Vendor / Org. with Contract ID],0)))</f>
        <v>P-002360</v>
      </c>
      <c r="W509" s="1308">
        <v>45016</v>
      </c>
      <c r="X509" s="1315" t="str">
        <f ca="1">IF(CostTrack[[#This Row],[Release Date (CMS)]]="","*","")</f>
        <v/>
      </c>
      <c r="Y509" s="1308" t="s">
        <v>53</v>
      </c>
      <c r="Z509" s="1343" t="s">
        <v>1188</v>
      </c>
      <c r="AA509" s="1316">
        <f ca="1">IF(OR(CostTrack[[#This Row],[Release Date (CMS)]]&gt;=DATE(VALUE(REPLACE(CostTrack[[#This Row],[Fiscal Period]],3,3,"")),3,1),CostTrack[[#This Row],[Release Date (CMS)]]&lt;DATE(VALUE(LEFT(CostTrack[[#This Row],[Fiscal Period]],4)),4,1)),1,0)</f>
        <v>1</v>
      </c>
      <c r="AB509" s="1317">
        <v>1494</v>
      </c>
      <c r="AC509" s="1308">
        <v>45029</v>
      </c>
      <c r="AD509" s="402" t="str">
        <f ca="1">IF(CostTrack[[#This Row],[Reconciled Amount]]="","",IF(CostTrack[[#This Row],[Value]]&lt;&gt;CostTrack[[#This Row],[Reconciled Amount]],"Yes","No"))</f>
        <v>No</v>
      </c>
    </row>
    <row r="510" spans="2:30" ht="28.5" customHeight="1">
      <c r="B510" s="1324" t="s">
        <v>662</v>
      </c>
      <c r="C510" s="1312" t="s">
        <v>1196</v>
      </c>
      <c r="D510" s="1308">
        <v>45005</v>
      </c>
      <c r="E510" s="658">
        <v>1494</v>
      </c>
      <c r="F510" s="1309" t="s">
        <v>69</v>
      </c>
      <c r="G510" s="1310">
        <f ca="1">ROUND(IF(CostTrack[[#This Row],[Holdback (Y/N/R)]]="Yes",CostTrack[[#This Row],[Value]]*-0.1,IF(CostTrack[[#This Row],[Holdback (Y/N/R)]]="Release",CostTrack[[#This Row],[Value]],0)),2)</f>
        <v>0</v>
      </c>
      <c r="H510" s="1311">
        <f ca="1">IF(CostTrack[[#This Row],[Holdback (Y/N/R)]]="Release",CostTrack[[#This Row],[Value]],CostTrack[[#This Row],[Value]]+CostTrack[[#This Row],[Holdback Value]])</f>
        <v>1494</v>
      </c>
      <c r="I510" s="1312"/>
      <c r="J510" s="1312"/>
      <c r="K510" s="1313"/>
      <c r="L510" s="1325">
        <v>45009</v>
      </c>
      <c r="M510" s="1326">
        <v>45009</v>
      </c>
      <c r="N510" s="1327"/>
      <c r="O510" s="1328" t="s">
        <v>106</v>
      </c>
      <c r="P510" s="1308">
        <v>45019</v>
      </c>
      <c r="Q510" s="1314" t="str">
        <f ca="1">IF(CostTrack[[#This Row],[Vendor - Contract]]="","",INDEX(VendorList[PA ID],MATCH(CostTrack[[#This Row],[Vendor - Contract]],VendorList[Vendor / Org. with Contract ID],0)))</f>
        <v>200.050.F1</v>
      </c>
      <c r="R510" s="1314" t="str">
        <f ca="1">IF(CostTrack[[#This Row],[Vendor - Contract]]="","",INDEX(VendorList[Primary Category],MATCH(CostTrack[[#This Row],[Vendor - Contract]],VendorList[Vendor / Org. with Contract ID],0)))</f>
        <v>Professional Services</v>
      </c>
      <c r="S510" s="1314" t="str">
        <f ca="1">IF(CostTrack[[#This Row],[Vendor - Contract]]="","",INDEX(VendorList[Secondary Category],MATCH(CostTrack[[#This Row],[Vendor - Contract]],VendorList[Vendor / Org. with Contract ID],0)))</f>
        <v>Other Professional Services</v>
      </c>
      <c r="T510" s="1314" t="str">
        <f ca="1">IF(CostTrack[[#This Row],[Vendor - Contract]]="","",INDEX(VendorList[Phase / Subproject],MATCH(CostTrack[[#This Row],[Vendor - Contract]],VendorList[Vendor / Org. with Contract ID],0)))</f>
        <v>--</v>
      </c>
      <c r="U510" s="1314" t="str">
        <f ca="1">IF(CostTrack[[#This Row],[Vendor - Contract]]="","",INDEX(VendorList[Phase / Subproject 2],MATCH(CostTrack[[#This Row],[Vendor - Contract]],VendorList[Vendor / Org. with Contract ID],0)))</f>
        <v>--</v>
      </c>
      <c r="V510" s="1314" t="str">
        <f ca="1">IF(CostTrack[[#This Row],[Vendor - Contract]]="","",INDEX(VendorList[Funding Source],MATCH(CostTrack[[#This Row],[Vendor - Contract]],VendorList[Vendor / Org. with Contract ID],0)))</f>
        <v>P-002360</v>
      </c>
      <c r="W510" s="1308">
        <v>45028</v>
      </c>
      <c r="X510" s="1315" t="str">
        <f ca="1">IF(CostTrack[[#This Row],[Release Date (CMS)]]="","*","")</f>
        <v/>
      </c>
      <c r="Y510" s="1308" t="s">
        <v>58</v>
      </c>
      <c r="Z510" s="1344" t="s">
        <v>1197</v>
      </c>
      <c r="AA510" s="1316">
        <f ca="1">IF(OR(CostTrack[[#This Row],[Release Date (CMS)]]&gt;=DATE(VALUE(REPLACE(CostTrack[[#This Row],[Fiscal Period]],3,3,"")),3,1),CostTrack[[#This Row],[Release Date (CMS)]]&lt;DATE(VALUE(LEFT(CostTrack[[#This Row],[Fiscal Period]],4)),4,1)),1,0)</f>
        <v>0</v>
      </c>
      <c r="AB510" s="1317">
        <v>1494</v>
      </c>
      <c r="AC510" s="1308">
        <v>45058</v>
      </c>
      <c r="AD510" s="402" t="str">
        <f ca="1">IF(CostTrack[[#This Row],[Reconciled Amount]]="","",IF(CostTrack[[#This Row],[Value]]&lt;&gt;CostTrack[[#This Row],[Reconciled Amount]],"Yes","No"))</f>
        <v>No</v>
      </c>
    </row>
    <row r="511" spans="2:30" ht="46.35" customHeight="1">
      <c r="B511" s="1324" t="s">
        <v>662</v>
      </c>
      <c r="C511" s="1312" t="s">
        <v>1196</v>
      </c>
      <c r="D511" s="1308">
        <v>45005</v>
      </c>
      <c r="E511" s="658">
        <v>-1494</v>
      </c>
      <c r="F511" s="1309" t="s">
        <v>69</v>
      </c>
      <c r="G511" s="1310">
        <f ca="1">ROUND(IF(CostTrack[[#This Row],[Holdback (Y/N/R)]]="Yes",CostTrack[[#This Row],[Value]]*-0.1,IF(CostTrack[[#This Row],[Holdback (Y/N/R)]]="Release",CostTrack[[#This Row],[Value]],0)),2)</f>
        <v>0</v>
      </c>
      <c r="H511" s="1311">
        <f ca="1">IF(CostTrack[[#This Row],[Holdback (Y/N/R)]]="Release",CostTrack[[#This Row],[Value]],CostTrack[[#This Row],[Value]]+CostTrack[[#This Row],[Holdback Value]])</f>
        <v>-1494</v>
      </c>
      <c r="I511" s="1312"/>
      <c r="J511" s="1312"/>
      <c r="K511" s="1313"/>
      <c r="L511" s="1325">
        <v>45009</v>
      </c>
      <c r="M511" s="1326">
        <v>45009</v>
      </c>
      <c r="N511" s="1327"/>
      <c r="O511" s="1328" t="s">
        <v>106</v>
      </c>
      <c r="P511" s="1308">
        <v>45019</v>
      </c>
      <c r="Q511" s="1314" t="str">
        <f ca="1">IF(CostTrack[[#This Row],[Vendor - Contract]]="","",INDEX(VendorList[PA ID],MATCH(CostTrack[[#This Row],[Vendor - Contract]],VendorList[Vendor / Org. with Contract ID],0)))</f>
        <v>200.050.F1</v>
      </c>
      <c r="R511" s="1314" t="str">
        <f ca="1">IF(CostTrack[[#This Row],[Vendor - Contract]]="","",INDEX(VendorList[Primary Category],MATCH(CostTrack[[#This Row],[Vendor - Contract]],VendorList[Vendor / Org. with Contract ID],0)))</f>
        <v>Professional Services</v>
      </c>
      <c r="S511" s="1314" t="str">
        <f ca="1">IF(CostTrack[[#This Row],[Vendor - Contract]]="","",INDEX(VendorList[Secondary Category],MATCH(CostTrack[[#This Row],[Vendor - Contract]],VendorList[Vendor / Org. with Contract ID],0)))</f>
        <v>Other Professional Services</v>
      </c>
      <c r="T511" s="1314" t="str">
        <f ca="1">IF(CostTrack[[#This Row],[Vendor - Contract]]="","",INDEX(VendorList[Phase / Subproject],MATCH(CostTrack[[#This Row],[Vendor - Contract]],VendorList[Vendor / Org. with Contract ID],0)))</f>
        <v>--</v>
      </c>
      <c r="U511" s="1314" t="str">
        <f ca="1">IF(CostTrack[[#This Row],[Vendor - Contract]]="","",INDEX(VendorList[Phase / Subproject 2],MATCH(CostTrack[[#This Row],[Vendor - Contract]],VendorList[Vendor / Org. with Contract ID],0)))</f>
        <v>--</v>
      </c>
      <c r="V511" s="1314" t="str">
        <f ca="1">IF(CostTrack[[#This Row],[Vendor - Contract]]="","",INDEX(VendorList[Funding Source],MATCH(CostTrack[[#This Row],[Vendor - Contract]],VendorList[Vendor / Org. with Contract ID],0)))</f>
        <v>P-002360</v>
      </c>
      <c r="W511" s="1308">
        <v>45028</v>
      </c>
      <c r="X511" s="1315" t="str">
        <f ca="1">IF(CostTrack[[#This Row],[Release Date (CMS)]]="","*","")</f>
        <v/>
      </c>
      <c r="Y511" s="1308" t="s">
        <v>58</v>
      </c>
      <c r="Z511" s="1345" t="s">
        <v>1198</v>
      </c>
      <c r="AA511" s="1316">
        <f ca="1">IF(OR(CostTrack[[#This Row],[Release Date (CMS)]]&gt;=DATE(VALUE(REPLACE(CostTrack[[#This Row],[Fiscal Period]],3,3,"")),3,1),CostTrack[[#This Row],[Release Date (CMS)]]&lt;DATE(VALUE(LEFT(CostTrack[[#This Row],[Fiscal Period]],4)),4,1)),1,0)</f>
        <v>0</v>
      </c>
      <c r="AB511" s="1317">
        <v>-1494</v>
      </c>
      <c r="AC511" s="1308">
        <v>45058</v>
      </c>
      <c r="AD511" s="402" t="str">
        <f ca="1">IF(CostTrack[[#This Row],[Reconciled Amount]]="","",IF(CostTrack[[#This Row],[Value]]&lt;&gt;CostTrack[[#This Row],[Reconciled Amount]],"Yes","No"))</f>
        <v>No</v>
      </c>
    </row>
    <row r="512" spans="2:30" ht="28.5" customHeight="1">
      <c r="B512" s="1324" t="s">
        <v>529</v>
      </c>
      <c r="C512" s="1312" t="s">
        <v>1199</v>
      </c>
      <c r="D512" s="1308">
        <v>45009</v>
      </c>
      <c r="E512" s="658">
        <v>4377127.68</v>
      </c>
      <c r="F512" s="1309" t="s">
        <v>65</v>
      </c>
      <c r="G512" s="1310">
        <f ca="1">ROUND(IF(CostTrack[[#This Row],[Holdback (Y/N/R)]]="Yes",CostTrack[[#This Row],[Value]]*-0.1,IF(CostTrack[[#This Row],[Holdback (Y/N/R)]]="Release",CostTrack[[#This Row],[Value]],0)),2)</f>
        <v>-437712.77</v>
      </c>
      <c r="H512" s="1311">
        <f ca="1">IF(CostTrack[[#This Row],[Holdback (Y/N/R)]]="Release",CostTrack[[#This Row],[Value]],CostTrack[[#This Row],[Value]]+CostTrack[[#This Row],[Holdback Value]])</f>
        <v>3939414.9099999997</v>
      </c>
      <c r="I512" s="1312" t="s">
        <v>1200</v>
      </c>
      <c r="J512" s="1312"/>
      <c r="K512" s="1313"/>
      <c r="L512" s="1325">
        <v>45009</v>
      </c>
      <c r="M512" s="1326">
        <v>45009</v>
      </c>
      <c r="N512" s="1327"/>
      <c r="O512" s="1328" t="s">
        <v>106</v>
      </c>
      <c r="P512" s="1308">
        <v>45009</v>
      </c>
      <c r="Q512" s="1314" t="str">
        <f ca="1">IF(CostTrack[[#This Row],[Vendor - Contract]]="","",INDEX(VendorList[PA ID],MATCH(CostTrack[[#This Row],[Vendor - Contract]],VendorList[Vendor / Org. with Contract ID],0)))</f>
        <v>300.030.F1</v>
      </c>
      <c r="R512" s="1314" t="str">
        <f ca="1">IF(CostTrack[[#This Row],[Vendor - Contract]]="","",INDEX(VendorList[Primary Category],MATCH(CostTrack[[#This Row],[Vendor - Contract]],VendorList[Vendor / Org. with Contract ID],0)))</f>
        <v>Construction</v>
      </c>
      <c r="S512" s="1314" t="str">
        <f ca="1">IF(CostTrack[[#This Row],[Vendor - Contract]]="","",INDEX(VendorList[Secondary Category],MATCH(CostTrack[[#This Row],[Vendor - Contract]],VendorList[Vendor / Org. with Contract ID],0)))</f>
        <v>Prime Contractor</v>
      </c>
      <c r="T512" s="1314" t="str">
        <f ca="1">IF(CostTrack[[#This Row],[Vendor - Contract]]="","",INDEX(VendorList[Phase / Subproject],MATCH(CostTrack[[#This Row],[Vendor - Contract]],VendorList[Vendor / Org. with Contract ID],0)))</f>
        <v>--</v>
      </c>
      <c r="U512" s="1314" t="str">
        <f ca="1">IF(CostTrack[[#This Row],[Vendor - Contract]]="","",INDEX(VendorList[Phase / Subproject 2],MATCH(CostTrack[[#This Row],[Vendor - Contract]],VendorList[Vendor / Org. with Contract ID],0)))</f>
        <v>--</v>
      </c>
      <c r="V512" s="1314" t="str">
        <f ca="1">IF(CostTrack[[#This Row],[Vendor - Contract]]="","",INDEX(VendorList[Funding Source],MATCH(CostTrack[[#This Row],[Vendor - Contract]],VendorList[Vendor / Org. with Contract ID],0)))</f>
        <v>P-002360</v>
      </c>
      <c r="W512" s="1308">
        <v>45016</v>
      </c>
      <c r="X512" s="1315" t="str">
        <f ca="1">IF(CostTrack[[#This Row],[Release Date (CMS)]]="","*","")</f>
        <v/>
      </c>
      <c r="Y512" s="1308" t="s">
        <v>53</v>
      </c>
      <c r="Z512" s="1343" t="s">
        <v>1188</v>
      </c>
      <c r="AA512" s="1316">
        <f ca="1">IF(OR(CostTrack[[#This Row],[Release Date (CMS)]]&gt;=DATE(VALUE(REPLACE(CostTrack[[#This Row],[Fiscal Period]],3,3,"")),3,1),CostTrack[[#This Row],[Release Date (CMS)]]&lt;DATE(VALUE(LEFT(CostTrack[[#This Row],[Fiscal Period]],4)),4,1)),1,0)</f>
        <v>1</v>
      </c>
      <c r="AB512" s="1317">
        <v>4377127.68</v>
      </c>
      <c r="AC512" s="1308">
        <v>45029</v>
      </c>
      <c r="AD512" s="402" t="str">
        <f ca="1">IF(CostTrack[[#This Row],[Reconciled Amount]]="","",IF(CostTrack[[#This Row],[Value]]&lt;&gt;CostTrack[[#This Row],[Reconciled Amount]],"Yes","No"))</f>
        <v>No</v>
      </c>
    </row>
    <row r="513" spans="2:30" ht="28.5" customHeight="1">
      <c r="B513" s="1324" t="s">
        <v>529</v>
      </c>
      <c r="C513" s="1312" t="s">
        <v>1201</v>
      </c>
      <c r="D513" s="1308">
        <v>45016</v>
      </c>
      <c r="E513" s="658">
        <v>4377127.68</v>
      </c>
      <c r="F513" s="1309" t="s">
        <v>65</v>
      </c>
      <c r="G513" s="1310">
        <f ca="1">ROUND(IF(CostTrack[[#This Row],[Holdback (Y/N/R)]]="Yes",CostTrack[[#This Row],[Value]]*-0.1,IF(CostTrack[[#This Row],[Holdback (Y/N/R)]]="Release",CostTrack[[#This Row],[Value]],0)),2)</f>
        <v>-437712.77</v>
      </c>
      <c r="H513" s="1311">
        <f ca="1">IF(CostTrack[[#This Row],[Holdback (Y/N/R)]]="Release",CostTrack[[#This Row],[Value]],CostTrack[[#This Row],[Value]]+CostTrack[[#This Row],[Holdback Value]])</f>
        <v>3939414.9099999997</v>
      </c>
      <c r="I513" s="1312" t="s">
        <v>1200</v>
      </c>
      <c r="J513" s="1312"/>
      <c r="K513" s="1313"/>
      <c r="L513" s="1325">
        <v>45036</v>
      </c>
      <c r="M513" s="1326">
        <v>45036</v>
      </c>
      <c r="N513" s="1327"/>
      <c r="O513" s="1328" t="s">
        <v>106</v>
      </c>
      <c r="P513" s="1308">
        <v>45040</v>
      </c>
      <c r="Q513" s="1314" t="str">
        <f ca="1">IF(CostTrack[[#This Row],[Vendor - Contract]]="","",INDEX(VendorList[PA ID],MATCH(CostTrack[[#This Row],[Vendor - Contract]],VendorList[Vendor / Org. with Contract ID],0)))</f>
        <v>300.030.F1</v>
      </c>
      <c r="R513" s="1314" t="str">
        <f ca="1">IF(CostTrack[[#This Row],[Vendor - Contract]]="","",INDEX(VendorList[Primary Category],MATCH(CostTrack[[#This Row],[Vendor - Contract]],VendorList[Vendor / Org. with Contract ID],0)))</f>
        <v>Construction</v>
      </c>
      <c r="S513" s="1314" t="str">
        <f ca="1">IF(CostTrack[[#This Row],[Vendor - Contract]]="","",INDEX(VendorList[Secondary Category],MATCH(CostTrack[[#This Row],[Vendor - Contract]],VendorList[Vendor / Org. with Contract ID],0)))</f>
        <v>Prime Contractor</v>
      </c>
      <c r="T513" s="1314" t="str">
        <f ca="1">IF(CostTrack[[#This Row],[Vendor - Contract]]="","",INDEX(VendorList[Phase / Subproject],MATCH(CostTrack[[#This Row],[Vendor - Contract]],VendorList[Vendor / Org. with Contract ID],0)))</f>
        <v>--</v>
      </c>
      <c r="U513" s="1314" t="str">
        <f ca="1">IF(CostTrack[[#This Row],[Vendor - Contract]]="","",INDEX(VendorList[Phase / Subproject 2],MATCH(CostTrack[[#This Row],[Vendor - Contract]],VendorList[Vendor / Org. with Contract ID],0)))</f>
        <v>--</v>
      </c>
      <c r="V513" s="1314" t="str">
        <f ca="1">IF(CostTrack[[#This Row],[Vendor - Contract]]="","",INDEX(VendorList[Funding Source],MATCH(CostTrack[[#This Row],[Vendor - Contract]],VendorList[Vendor / Org. with Contract ID],0)))</f>
        <v>P-002360</v>
      </c>
      <c r="W513" s="1308">
        <v>45040</v>
      </c>
      <c r="X513" s="1315" t="str">
        <f ca="1">IF(CostTrack[[#This Row],[Release Date (CMS)]]="","*","")</f>
        <v/>
      </c>
      <c r="Y513" s="1308" t="s">
        <v>58</v>
      </c>
      <c r="Z513" s="1344" t="s">
        <v>1202</v>
      </c>
      <c r="AA513" s="1316">
        <f ca="1">IF(OR(CostTrack[[#This Row],[Release Date (CMS)]]&gt;=DATE(VALUE(REPLACE(CostTrack[[#This Row],[Fiscal Period]],3,3,"")),3,1),CostTrack[[#This Row],[Release Date (CMS)]]&lt;DATE(VALUE(LEFT(CostTrack[[#This Row],[Fiscal Period]],4)),4,1)),1,0)</f>
        <v>0</v>
      </c>
      <c r="AB513" s="1317">
        <v>4377127.68</v>
      </c>
      <c r="AC513" s="1308">
        <v>45058</v>
      </c>
      <c r="AD513" s="402" t="str">
        <f ca="1">IF(CostTrack[[#This Row],[Reconciled Amount]]="","",IF(CostTrack[[#This Row],[Value]]&lt;&gt;CostTrack[[#This Row],[Reconciled Amount]],"Yes","No"))</f>
        <v>No</v>
      </c>
    </row>
    <row r="514" spans="2:30" ht="49.9" customHeight="1">
      <c r="B514" s="1324" t="s">
        <v>529</v>
      </c>
      <c r="C514" s="1312" t="s">
        <v>1201</v>
      </c>
      <c r="D514" s="1308">
        <v>45016</v>
      </c>
      <c r="E514" s="658">
        <v>-4377127.68</v>
      </c>
      <c r="F514" s="1309" t="s">
        <v>65</v>
      </c>
      <c r="G514" s="1310">
        <f ca="1">ROUND(IF(CostTrack[[#This Row],[Holdback (Y/N/R)]]="Yes",CostTrack[[#This Row],[Value]]*-0.1,IF(CostTrack[[#This Row],[Holdback (Y/N/R)]]="Release",CostTrack[[#This Row],[Value]],0)),2)</f>
        <v>437712.77</v>
      </c>
      <c r="H514" s="1311">
        <f ca="1">IF(CostTrack[[#This Row],[Holdback (Y/N/R)]]="Release",CostTrack[[#This Row],[Value]],CostTrack[[#This Row],[Value]]+CostTrack[[#This Row],[Holdback Value]])</f>
        <v>-3939414.9099999997</v>
      </c>
      <c r="I514" s="1312" t="s">
        <v>1200</v>
      </c>
      <c r="J514" s="1312"/>
      <c r="K514" s="1313"/>
      <c r="L514" s="1325">
        <v>45036</v>
      </c>
      <c r="M514" s="1326">
        <v>45036</v>
      </c>
      <c r="N514" s="1327"/>
      <c r="O514" s="1328" t="s">
        <v>106</v>
      </c>
      <c r="P514" s="1308">
        <v>45040</v>
      </c>
      <c r="Q514" s="1314" t="str">
        <f ca="1">IF(CostTrack[[#This Row],[Vendor - Contract]]="","",INDEX(VendorList[PA ID],MATCH(CostTrack[[#This Row],[Vendor - Contract]],VendorList[Vendor / Org. with Contract ID],0)))</f>
        <v>300.030.F1</v>
      </c>
      <c r="R514" s="1314" t="str">
        <f ca="1">IF(CostTrack[[#This Row],[Vendor - Contract]]="","",INDEX(VendorList[Primary Category],MATCH(CostTrack[[#This Row],[Vendor - Contract]],VendorList[Vendor / Org. with Contract ID],0)))</f>
        <v>Construction</v>
      </c>
      <c r="S514" s="1314" t="str">
        <f ca="1">IF(CostTrack[[#This Row],[Vendor - Contract]]="","",INDEX(VendorList[Secondary Category],MATCH(CostTrack[[#This Row],[Vendor - Contract]],VendorList[Vendor / Org. with Contract ID],0)))</f>
        <v>Prime Contractor</v>
      </c>
      <c r="T514" s="1314" t="str">
        <f ca="1">IF(CostTrack[[#This Row],[Vendor - Contract]]="","",INDEX(VendorList[Phase / Subproject],MATCH(CostTrack[[#This Row],[Vendor - Contract]],VendorList[Vendor / Org. with Contract ID],0)))</f>
        <v>--</v>
      </c>
      <c r="U514" s="1314" t="str">
        <f ca="1">IF(CostTrack[[#This Row],[Vendor - Contract]]="","",INDEX(VendorList[Phase / Subproject 2],MATCH(CostTrack[[#This Row],[Vendor - Contract]],VendorList[Vendor / Org. with Contract ID],0)))</f>
        <v>--</v>
      </c>
      <c r="V514" s="1314" t="str">
        <f ca="1">IF(CostTrack[[#This Row],[Vendor - Contract]]="","",INDEX(VendorList[Funding Source],MATCH(CostTrack[[#This Row],[Vendor - Contract]],VendorList[Vendor / Org. with Contract ID],0)))</f>
        <v>P-002360</v>
      </c>
      <c r="W514" s="1308">
        <v>45040</v>
      </c>
      <c r="X514" s="1315" t="str">
        <f ca="1">IF(CostTrack[[#This Row],[Release Date (CMS)]]="","*","")</f>
        <v/>
      </c>
      <c r="Y514" s="1308" t="s">
        <v>58</v>
      </c>
      <c r="Z514" s="1345" t="s">
        <v>1203</v>
      </c>
      <c r="AA514" s="1316">
        <f ca="1">IF(OR(CostTrack[[#This Row],[Release Date (CMS)]]&gt;=DATE(VALUE(REPLACE(CostTrack[[#This Row],[Fiscal Period]],3,3,"")),3,1),CostTrack[[#This Row],[Release Date (CMS)]]&lt;DATE(VALUE(LEFT(CostTrack[[#This Row],[Fiscal Period]],4)),4,1)),1,0)</f>
        <v>0</v>
      </c>
      <c r="AB514" s="1317">
        <v>-4377127.68</v>
      </c>
      <c r="AC514" s="1308">
        <v>45058</v>
      </c>
      <c r="AD514" s="402" t="str">
        <f ca="1">IF(CostTrack[[#This Row],[Reconciled Amount]]="","",IF(CostTrack[[#This Row],[Value]]&lt;&gt;CostTrack[[#This Row],[Reconciled Amount]],"Yes","No"))</f>
        <v>No</v>
      </c>
    </row>
    <row r="515" spans="2:30" ht="28.5" customHeight="1">
      <c r="B515" s="1324" t="s">
        <v>529</v>
      </c>
      <c r="C515" s="1312">
        <v>28566</v>
      </c>
      <c r="D515" s="1308">
        <v>45016</v>
      </c>
      <c r="E515" s="658">
        <v>249689.24</v>
      </c>
      <c r="F515" s="1309" t="s">
        <v>65</v>
      </c>
      <c r="G515" s="1310">
        <f ca="1">ROUND(IF(CostTrack[[#This Row],[Holdback (Y/N/R)]]="Yes",CostTrack[[#This Row],[Value]]*-0.1,IF(CostTrack[[#This Row],[Holdback (Y/N/R)]]="Release",CostTrack[[#This Row],[Value]],0)),2)</f>
        <v>-24968.92</v>
      </c>
      <c r="H515" s="1311">
        <f ca="1">IF(CostTrack[[#This Row],[Holdback (Y/N/R)]]="Release",CostTrack[[#This Row],[Value]],CostTrack[[#This Row],[Value]]+CostTrack[[#This Row],[Holdback Value]])</f>
        <v>224720.32</v>
      </c>
      <c r="I515" s="1312" t="s">
        <v>1200</v>
      </c>
      <c r="J515" s="1312"/>
      <c r="K515" s="1313"/>
      <c r="L515" s="1325">
        <v>45036</v>
      </c>
      <c r="M515" s="1326">
        <v>45036</v>
      </c>
      <c r="N515" s="1327"/>
      <c r="O515" s="1328" t="s">
        <v>106</v>
      </c>
      <c r="P515" s="1308">
        <v>45040</v>
      </c>
      <c r="Q515" s="1314" t="str">
        <f ca="1">IF(CostTrack[[#This Row],[Vendor - Contract]]="","",INDEX(VendorList[PA ID],MATCH(CostTrack[[#This Row],[Vendor - Contract]],VendorList[Vendor / Org. with Contract ID],0)))</f>
        <v>300.030.F1</v>
      </c>
      <c r="R515" s="1314" t="str">
        <f ca="1">IF(CostTrack[[#This Row],[Vendor - Contract]]="","",INDEX(VendorList[Primary Category],MATCH(CostTrack[[#This Row],[Vendor - Contract]],VendorList[Vendor / Org. with Contract ID],0)))</f>
        <v>Construction</v>
      </c>
      <c r="S515" s="1314" t="str">
        <f ca="1">IF(CostTrack[[#This Row],[Vendor - Contract]]="","",INDEX(VendorList[Secondary Category],MATCH(CostTrack[[#This Row],[Vendor - Contract]],VendorList[Vendor / Org. with Contract ID],0)))</f>
        <v>Prime Contractor</v>
      </c>
      <c r="T515" s="1314" t="str">
        <f ca="1">IF(CostTrack[[#This Row],[Vendor - Contract]]="","",INDEX(VendorList[Phase / Subproject],MATCH(CostTrack[[#This Row],[Vendor - Contract]],VendorList[Vendor / Org. with Contract ID],0)))</f>
        <v>--</v>
      </c>
      <c r="U515" s="1314" t="str">
        <f ca="1">IF(CostTrack[[#This Row],[Vendor - Contract]]="","",INDEX(VendorList[Phase / Subproject 2],MATCH(CostTrack[[#This Row],[Vendor - Contract]],VendorList[Vendor / Org. with Contract ID],0)))</f>
        <v>--</v>
      </c>
      <c r="V515" s="1314" t="str">
        <f ca="1">IF(CostTrack[[#This Row],[Vendor - Contract]]="","",INDEX(VendorList[Funding Source],MATCH(CostTrack[[#This Row],[Vendor - Contract]],VendorList[Vendor / Org. with Contract ID],0)))</f>
        <v>P-002360</v>
      </c>
      <c r="W515" s="1308">
        <v>45040</v>
      </c>
      <c r="X515" s="1315" t="str">
        <f ca="1">IF(CostTrack[[#This Row],[Release Date (CMS)]]="","*","")</f>
        <v/>
      </c>
      <c r="Y515" s="1308" t="s">
        <v>58</v>
      </c>
      <c r="Z515" s="1346" t="s">
        <v>1204</v>
      </c>
      <c r="AA515" s="1316">
        <f ca="1">IF(OR(CostTrack[[#This Row],[Release Date (CMS)]]&gt;=DATE(VALUE(REPLACE(CostTrack[[#This Row],[Fiscal Period]],3,3,"")),3,1),CostTrack[[#This Row],[Release Date (CMS)]]&lt;DATE(VALUE(LEFT(CostTrack[[#This Row],[Fiscal Period]],4)),4,1)),1,0)</f>
        <v>0</v>
      </c>
      <c r="AB515" s="1317">
        <v>249689.24</v>
      </c>
      <c r="AC515" s="1308">
        <v>45061</v>
      </c>
      <c r="AD515" s="402" t="str">
        <f ca="1">IF(CostTrack[[#This Row],[Reconciled Amount]]="","",IF(CostTrack[[#This Row],[Value]]&lt;&gt;CostTrack[[#This Row],[Reconciled Amount]],"Yes","No"))</f>
        <v>No</v>
      </c>
    </row>
    <row r="516" spans="2:30" ht="28.5" customHeight="1">
      <c r="B516" s="1324" t="s">
        <v>624</v>
      </c>
      <c r="C516" s="1312" t="s">
        <v>1205</v>
      </c>
      <c r="D516" s="1308">
        <v>44999</v>
      </c>
      <c r="E516" s="658">
        <v>2200</v>
      </c>
      <c r="F516" s="1309" t="s">
        <v>69</v>
      </c>
      <c r="G516" s="1310">
        <f ca="1">ROUND(IF(CostTrack[[#This Row],[Holdback (Y/N/R)]]="Yes",CostTrack[[#This Row],[Value]]*-0.1,IF(CostTrack[[#This Row],[Holdback (Y/N/R)]]="Release",CostTrack[[#This Row],[Value]],0)),2)</f>
        <v>0</v>
      </c>
      <c r="H516" s="1311">
        <f ca="1">IF(CostTrack[[#This Row],[Holdback (Y/N/R)]]="Release",CostTrack[[#This Row],[Value]],CostTrack[[#This Row],[Value]]+CostTrack[[#This Row],[Holdback Value]])</f>
        <v>2200</v>
      </c>
      <c r="I516" s="1312"/>
      <c r="J516" s="1312"/>
      <c r="K516" s="1313"/>
      <c r="L516" s="1325">
        <v>44999</v>
      </c>
      <c r="M516" s="1326">
        <v>44999</v>
      </c>
      <c r="N516" s="1327"/>
      <c r="O516" s="1328" t="s">
        <v>106</v>
      </c>
      <c r="P516" s="1308">
        <v>45000</v>
      </c>
      <c r="Q516" s="1314" t="str">
        <f ca="1">IF(CostTrack[[#This Row],[Vendor - Contract]]="","",INDEX(VendorList[PA ID],MATCH(CostTrack[[#This Row],[Vendor - Contract]],VendorList[Vendor / Org. with Contract ID],0)))</f>
        <v>200.040.F1</v>
      </c>
      <c r="R516" s="1314" t="str">
        <f ca="1">IF(CostTrack[[#This Row],[Vendor - Contract]]="","",INDEX(VendorList[Primary Category],MATCH(CostTrack[[#This Row],[Vendor - Contract]],VendorList[Vendor / Org. with Contract ID],0)))</f>
        <v>Professional Services</v>
      </c>
      <c r="S516" s="1314" t="str">
        <f ca="1">IF(CostTrack[[#This Row],[Vendor - Contract]]="","",INDEX(VendorList[Secondary Category],MATCH(CostTrack[[#This Row],[Vendor - Contract]],VendorList[Vendor / Org. with Contract ID],0)))</f>
        <v>Commissioning</v>
      </c>
      <c r="T516" s="1314" t="str">
        <f ca="1">IF(CostTrack[[#This Row],[Vendor - Contract]]="","",INDEX(VendorList[Phase / Subproject],MATCH(CostTrack[[#This Row],[Vendor - Contract]],VendorList[Vendor / Org. with Contract ID],0)))</f>
        <v>--</v>
      </c>
      <c r="U516" s="1314" t="str">
        <f ca="1">IF(CostTrack[[#This Row],[Vendor - Contract]]="","",INDEX(VendorList[Phase / Subproject 2],MATCH(CostTrack[[#This Row],[Vendor - Contract]],VendorList[Vendor / Org. with Contract ID],0)))</f>
        <v>--</v>
      </c>
      <c r="V516" s="1314" t="str">
        <f ca="1">IF(CostTrack[[#This Row],[Vendor - Contract]]="","",INDEX(VendorList[Funding Source],MATCH(CostTrack[[#This Row],[Vendor - Contract]],VendorList[Vendor / Org. with Contract ID],0)))</f>
        <v>P-002360</v>
      </c>
      <c r="W516" s="1308">
        <v>45016</v>
      </c>
      <c r="X516" s="1315" t="str">
        <f ca="1">IF(CostTrack[[#This Row],[Release Date (CMS)]]="","*","")</f>
        <v/>
      </c>
      <c r="Y516" s="1308" t="s">
        <v>53</v>
      </c>
      <c r="Z516" s="1343" t="s">
        <v>1188</v>
      </c>
      <c r="AA516" s="1316">
        <f ca="1">IF(OR(CostTrack[[#This Row],[Release Date (CMS)]]&gt;=DATE(VALUE(REPLACE(CostTrack[[#This Row],[Fiscal Period]],3,3,"")),3,1),CostTrack[[#This Row],[Release Date (CMS)]]&lt;DATE(VALUE(LEFT(CostTrack[[#This Row],[Fiscal Period]],4)),4,1)),1,0)</f>
        <v>1</v>
      </c>
      <c r="AB516" s="1317">
        <v>2200</v>
      </c>
      <c r="AC516" s="1308">
        <v>45029</v>
      </c>
      <c r="AD516" s="402" t="str">
        <f ca="1">IF(CostTrack[[#This Row],[Reconciled Amount]]="","",IF(CostTrack[[#This Row],[Value]]&lt;&gt;CostTrack[[#This Row],[Reconciled Amount]],"Yes","No"))</f>
        <v>No</v>
      </c>
    </row>
    <row r="517" spans="2:30" ht="26.25" customHeight="1">
      <c r="B517" s="1324" t="s">
        <v>624</v>
      </c>
      <c r="C517" s="1312" t="s">
        <v>1206</v>
      </c>
      <c r="D517" s="1308">
        <v>45017</v>
      </c>
      <c r="E517" s="658">
        <v>2200</v>
      </c>
      <c r="F517" s="1309" t="s">
        <v>69</v>
      </c>
      <c r="G517" s="1310">
        <f ca="1">ROUND(IF(CostTrack[[#This Row],[Holdback (Y/N/R)]]="Yes",CostTrack[[#This Row],[Value]]*-0.1,IF(CostTrack[[#This Row],[Holdback (Y/N/R)]]="Release",CostTrack[[#This Row],[Value]],0)),2)</f>
        <v>0</v>
      </c>
      <c r="H517" s="1311">
        <f ca="1">IF(CostTrack[[#This Row],[Holdback (Y/N/R)]]="Release",CostTrack[[#This Row],[Value]],CostTrack[[#This Row],[Value]]+CostTrack[[#This Row],[Holdback Value]])</f>
        <v>2200</v>
      </c>
      <c r="I517" s="1312"/>
      <c r="J517" s="1312"/>
      <c r="K517" s="1313"/>
      <c r="L517" s="1325">
        <v>45019</v>
      </c>
      <c r="M517" s="1326">
        <v>45019</v>
      </c>
      <c r="N517" s="1327"/>
      <c r="O517" s="1328" t="s">
        <v>106</v>
      </c>
      <c r="P517" s="1308">
        <v>45019</v>
      </c>
      <c r="Q517" s="1314" t="str">
        <f ca="1">IF(CostTrack[[#This Row],[Vendor - Contract]]="","",INDEX(VendorList[PA ID],MATCH(CostTrack[[#This Row],[Vendor - Contract]],VendorList[Vendor / Org. with Contract ID],0)))</f>
        <v>200.040.F1</v>
      </c>
      <c r="R517" s="1314" t="str">
        <f ca="1">IF(CostTrack[[#This Row],[Vendor - Contract]]="","",INDEX(VendorList[Primary Category],MATCH(CostTrack[[#This Row],[Vendor - Contract]],VendorList[Vendor / Org. with Contract ID],0)))</f>
        <v>Professional Services</v>
      </c>
      <c r="S517" s="1314" t="str">
        <f ca="1">IF(CostTrack[[#This Row],[Vendor - Contract]]="","",INDEX(VendorList[Secondary Category],MATCH(CostTrack[[#This Row],[Vendor - Contract]],VendorList[Vendor / Org. with Contract ID],0)))</f>
        <v>Commissioning</v>
      </c>
      <c r="T517" s="1314" t="str">
        <f ca="1">IF(CostTrack[[#This Row],[Vendor - Contract]]="","",INDEX(VendorList[Phase / Subproject],MATCH(CostTrack[[#This Row],[Vendor - Contract]],VendorList[Vendor / Org. with Contract ID],0)))</f>
        <v>--</v>
      </c>
      <c r="U517" s="1314" t="str">
        <f ca="1">IF(CostTrack[[#This Row],[Vendor - Contract]]="","",INDEX(VendorList[Phase / Subproject 2],MATCH(CostTrack[[#This Row],[Vendor - Contract]],VendorList[Vendor / Org. with Contract ID],0)))</f>
        <v>--</v>
      </c>
      <c r="V517" s="1314" t="str">
        <f ca="1">IF(CostTrack[[#This Row],[Vendor - Contract]]="","",INDEX(VendorList[Funding Source],MATCH(CostTrack[[#This Row],[Vendor - Contract]],VendorList[Vendor / Org. with Contract ID],0)))</f>
        <v>P-002360</v>
      </c>
      <c r="W517" s="1308">
        <v>45028</v>
      </c>
      <c r="X517" s="1315" t="str">
        <f ca="1">IF(CostTrack[[#This Row],[Release Date (CMS)]]="","*","")</f>
        <v/>
      </c>
      <c r="Y517" s="1308" t="s">
        <v>58</v>
      </c>
      <c r="Z517" s="1344" t="s">
        <v>1207</v>
      </c>
      <c r="AA517" s="1316">
        <f ca="1">IF(OR(CostTrack[[#This Row],[Release Date (CMS)]]&gt;=DATE(VALUE(REPLACE(CostTrack[[#This Row],[Fiscal Period]],3,3,"")),3,1),CostTrack[[#This Row],[Release Date (CMS)]]&lt;DATE(VALUE(LEFT(CostTrack[[#This Row],[Fiscal Period]],4)),4,1)),1,0)</f>
        <v>0</v>
      </c>
      <c r="AB517" s="1317">
        <v>2200</v>
      </c>
      <c r="AC517" s="1308">
        <v>45058</v>
      </c>
      <c r="AD517" s="402" t="str">
        <f ca="1">IF(CostTrack[[#This Row],[Reconciled Amount]]="","",IF(CostTrack[[#This Row],[Value]]&lt;&gt;CostTrack[[#This Row],[Reconciled Amount]],"Yes","No"))</f>
        <v>No</v>
      </c>
    </row>
    <row r="518" spans="2:30" ht="42.75" customHeight="1">
      <c r="B518" s="1324" t="s">
        <v>624</v>
      </c>
      <c r="C518" s="1312" t="s">
        <v>1206</v>
      </c>
      <c r="D518" s="1308">
        <v>45017</v>
      </c>
      <c r="E518" s="658">
        <v>-2200</v>
      </c>
      <c r="F518" s="1309" t="s">
        <v>69</v>
      </c>
      <c r="G518" s="1310">
        <f ca="1">ROUND(IF(CostTrack[[#This Row],[Holdback (Y/N/R)]]="Yes",CostTrack[[#This Row],[Value]]*-0.1,IF(CostTrack[[#This Row],[Holdback (Y/N/R)]]="Release",CostTrack[[#This Row],[Value]],0)),2)</f>
        <v>0</v>
      </c>
      <c r="H518" s="1311">
        <f ca="1">IF(CostTrack[[#This Row],[Holdback (Y/N/R)]]="Release",CostTrack[[#This Row],[Value]],CostTrack[[#This Row],[Value]]+CostTrack[[#This Row],[Holdback Value]])</f>
        <v>-2200</v>
      </c>
      <c r="I518" s="1312"/>
      <c r="J518" s="1312"/>
      <c r="K518" s="1313"/>
      <c r="L518" s="1325">
        <v>45019</v>
      </c>
      <c r="M518" s="1326">
        <v>45019</v>
      </c>
      <c r="N518" s="1327"/>
      <c r="O518" s="1328" t="s">
        <v>106</v>
      </c>
      <c r="P518" s="1308">
        <v>45019</v>
      </c>
      <c r="Q518" s="1314" t="str">
        <f ca="1">IF(CostTrack[[#This Row],[Vendor - Contract]]="","",INDEX(VendorList[PA ID],MATCH(CostTrack[[#This Row],[Vendor - Contract]],VendorList[Vendor / Org. with Contract ID],0)))</f>
        <v>200.040.F1</v>
      </c>
      <c r="R518" s="1314" t="str">
        <f ca="1">IF(CostTrack[[#This Row],[Vendor - Contract]]="","",INDEX(VendorList[Primary Category],MATCH(CostTrack[[#This Row],[Vendor - Contract]],VendorList[Vendor / Org. with Contract ID],0)))</f>
        <v>Professional Services</v>
      </c>
      <c r="S518" s="1314" t="str">
        <f ca="1">IF(CostTrack[[#This Row],[Vendor - Contract]]="","",INDEX(VendorList[Secondary Category],MATCH(CostTrack[[#This Row],[Vendor - Contract]],VendorList[Vendor / Org. with Contract ID],0)))</f>
        <v>Commissioning</v>
      </c>
      <c r="T518" s="1314" t="str">
        <f ca="1">IF(CostTrack[[#This Row],[Vendor - Contract]]="","",INDEX(VendorList[Phase / Subproject],MATCH(CostTrack[[#This Row],[Vendor - Contract]],VendorList[Vendor / Org. with Contract ID],0)))</f>
        <v>--</v>
      </c>
      <c r="U518" s="1314" t="str">
        <f ca="1">IF(CostTrack[[#This Row],[Vendor - Contract]]="","",INDEX(VendorList[Phase / Subproject 2],MATCH(CostTrack[[#This Row],[Vendor - Contract]],VendorList[Vendor / Org. with Contract ID],0)))</f>
        <v>--</v>
      </c>
      <c r="V518" s="1314" t="str">
        <f ca="1">IF(CostTrack[[#This Row],[Vendor - Contract]]="","",INDEX(VendorList[Funding Source],MATCH(CostTrack[[#This Row],[Vendor - Contract]],VendorList[Vendor / Org. with Contract ID],0)))</f>
        <v>P-002360</v>
      </c>
      <c r="W518" s="1308">
        <v>45028</v>
      </c>
      <c r="X518" s="1315" t="str">
        <f ca="1">IF(CostTrack[[#This Row],[Release Date (CMS)]]="","*","")</f>
        <v/>
      </c>
      <c r="Y518" s="1308" t="s">
        <v>58</v>
      </c>
      <c r="Z518" s="1345" t="s">
        <v>1208</v>
      </c>
      <c r="AA518" s="1316">
        <f ca="1">IF(OR(CostTrack[[#This Row],[Release Date (CMS)]]&gt;=DATE(VALUE(REPLACE(CostTrack[[#This Row],[Fiscal Period]],3,3,"")),3,1),CostTrack[[#This Row],[Release Date (CMS)]]&lt;DATE(VALUE(LEFT(CostTrack[[#This Row],[Fiscal Period]],4)),4,1)),1,0)</f>
        <v>0</v>
      </c>
      <c r="AB518" s="1317">
        <v>-2200</v>
      </c>
      <c r="AC518" s="1308">
        <v>45058</v>
      </c>
      <c r="AD518" s="402" t="str">
        <f ca="1">IF(CostTrack[[#This Row],[Reconciled Amount]]="","",IF(CostTrack[[#This Row],[Value]]&lt;&gt;CostTrack[[#This Row],[Reconciled Amount]],"Yes","No"))</f>
        <v>No</v>
      </c>
    </row>
    <row r="519" spans="2:30" ht="28.5" customHeight="1">
      <c r="B519" s="1324" t="s">
        <v>528</v>
      </c>
      <c r="C519" s="1312" t="s">
        <v>1209</v>
      </c>
      <c r="D519" s="1308">
        <v>45013</v>
      </c>
      <c r="E519" s="658">
        <v>1654.5</v>
      </c>
      <c r="F519" s="1309" t="s">
        <v>69</v>
      </c>
      <c r="G519" s="1310">
        <f ca="1">ROUND(IF(CostTrack[[#This Row],[Holdback (Y/N/R)]]="Yes",CostTrack[[#This Row],[Value]]*-0.1,IF(CostTrack[[#This Row],[Holdback (Y/N/R)]]="Release",CostTrack[[#This Row],[Value]],0)),2)</f>
        <v>0</v>
      </c>
      <c r="H519" s="1311">
        <f ca="1">IF(CostTrack[[#This Row],[Holdback (Y/N/R)]]="Release",CostTrack[[#This Row],[Value]],CostTrack[[#This Row],[Value]]+CostTrack[[#This Row],[Holdback Value]])</f>
        <v>1654.5</v>
      </c>
      <c r="I519" s="1312"/>
      <c r="J519" s="1312"/>
      <c r="K519" s="1313"/>
      <c r="L519" s="1325">
        <v>45013</v>
      </c>
      <c r="M519" s="1326">
        <v>45013</v>
      </c>
      <c r="N519" s="1327"/>
      <c r="O519" s="1328" t="s">
        <v>106</v>
      </c>
      <c r="P519" s="1308">
        <v>45013</v>
      </c>
      <c r="Q519" s="1314" t="str">
        <f ca="1">IF(CostTrack[[#This Row],[Vendor - Contract]]="","",INDEX(VendorList[PA ID],MATCH(CostTrack[[#This Row],[Vendor - Contract]],VendorList[Vendor / Org. with Contract ID],0)))</f>
        <v>200.050.F1</v>
      </c>
      <c r="R519" s="1314" t="str">
        <f ca="1">IF(CostTrack[[#This Row],[Vendor - Contract]]="","",INDEX(VendorList[Primary Category],MATCH(CostTrack[[#This Row],[Vendor - Contract]],VendorList[Vendor / Org. with Contract ID],0)))</f>
        <v>Professional Services</v>
      </c>
      <c r="S519" s="1314" t="str">
        <f ca="1">IF(CostTrack[[#This Row],[Vendor - Contract]]="","",INDEX(VendorList[Secondary Category],MATCH(CostTrack[[#This Row],[Vendor - Contract]],VendorList[Vendor / Org. with Contract ID],0)))</f>
        <v>Other Professional Services</v>
      </c>
      <c r="T519" s="1314" t="str">
        <f ca="1">IF(CostTrack[[#This Row],[Vendor - Contract]]="","",INDEX(VendorList[Phase / Subproject],MATCH(CostTrack[[#This Row],[Vendor - Contract]],VendorList[Vendor / Org. with Contract ID],0)))</f>
        <v>--</v>
      </c>
      <c r="U519" s="1314" t="str">
        <f ca="1">IF(CostTrack[[#This Row],[Vendor - Contract]]="","",INDEX(VendorList[Phase / Subproject 2],MATCH(CostTrack[[#This Row],[Vendor - Contract]],VendorList[Vendor / Org. with Contract ID],0)))</f>
        <v>--</v>
      </c>
      <c r="V519" s="1314" t="str">
        <f ca="1">IF(CostTrack[[#This Row],[Vendor - Contract]]="","",INDEX(VendorList[Funding Source],MATCH(CostTrack[[#This Row],[Vendor - Contract]],VendorList[Vendor / Org. with Contract ID],0)))</f>
        <v>P-002360</v>
      </c>
      <c r="W519" s="1308">
        <v>45016</v>
      </c>
      <c r="X519" s="1315" t="str">
        <f ca="1">IF(CostTrack[[#This Row],[Release Date (CMS)]]="","*","")</f>
        <v/>
      </c>
      <c r="Y519" s="1308" t="s">
        <v>53</v>
      </c>
      <c r="Z519" s="1343" t="s">
        <v>1188</v>
      </c>
      <c r="AA519" s="1316">
        <f ca="1">IF(OR(CostTrack[[#This Row],[Release Date (CMS)]]&gt;=DATE(VALUE(REPLACE(CostTrack[[#This Row],[Fiscal Period]],3,3,"")),3,1),CostTrack[[#This Row],[Release Date (CMS)]]&lt;DATE(VALUE(LEFT(CostTrack[[#This Row],[Fiscal Period]],4)),4,1)),1,0)</f>
        <v>1</v>
      </c>
      <c r="AB519" s="1317">
        <v>1654.5</v>
      </c>
      <c r="AC519" s="1308">
        <v>45029</v>
      </c>
      <c r="AD519" s="402" t="str">
        <f ca="1">IF(CostTrack[[#This Row],[Reconciled Amount]]="","",IF(CostTrack[[#This Row],[Value]]&lt;&gt;CostTrack[[#This Row],[Reconciled Amount]],"Yes","No"))</f>
        <v>No</v>
      </c>
    </row>
    <row r="520" spans="2:30" ht="28.5" customHeight="1">
      <c r="B520" s="1324" t="s">
        <v>528</v>
      </c>
      <c r="C520" s="1312" t="s">
        <v>1210</v>
      </c>
      <c r="D520" s="1308">
        <v>45034</v>
      </c>
      <c r="E520" s="658">
        <v>1654.5</v>
      </c>
      <c r="F520" s="1309" t="s">
        <v>69</v>
      </c>
      <c r="G520" s="1310">
        <f ca="1">ROUND(IF(CostTrack[[#This Row],[Holdback (Y/N/R)]]="Yes",CostTrack[[#This Row],[Value]]*-0.1,IF(CostTrack[[#This Row],[Holdback (Y/N/R)]]="Release",CostTrack[[#This Row],[Value]],0)),2)</f>
        <v>0</v>
      </c>
      <c r="H520" s="1311">
        <f ca="1">IF(CostTrack[[#This Row],[Holdback (Y/N/R)]]="Release",CostTrack[[#This Row],[Value]],CostTrack[[#This Row],[Value]]+CostTrack[[#This Row],[Holdback Value]])</f>
        <v>1654.5</v>
      </c>
      <c r="I520" s="1312"/>
      <c r="J520" s="1312"/>
      <c r="K520" s="1313"/>
      <c r="L520" s="1325">
        <v>45036</v>
      </c>
      <c r="M520" s="1326">
        <v>45036</v>
      </c>
      <c r="N520" s="1327"/>
      <c r="O520" s="1328" t="s">
        <v>106</v>
      </c>
      <c r="P520" s="1308">
        <v>45036</v>
      </c>
      <c r="Q520" s="1314" t="str">
        <f ca="1">IF(CostTrack[[#This Row],[Vendor - Contract]]="","",INDEX(VendorList[PA ID],MATCH(CostTrack[[#This Row],[Vendor - Contract]],VendorList[Vendor / Org. with Contract ID],0)))</f>
        <v>200.050.F1</v>
      </c>
      <c r="R520" s="1314" t="str">
        <f ca="1">IF(CostTrack[[#This Row],[Vendor - Contract]]="","",INDEX(VendorList[Primary Category],MATCH(CostTrack[[#This Row],[Vendor - Contract]],VendorList[Vendor / Org. with Contract ID],0)))</f>
        <v>Professional Services</v>
      </c>
      <c r="S520" s="1314" t="str">
        <f ca="1">IF(CostTrack[[#This Row],[Vendor - Contract]]="","",INDEX(VendorList[Secondary Category],MATCH(CostTrack[[#This Row],[Vendor - Contract]],VendorList[Vendor / Org. with Contract ID],0)))</f>
        <v>Other Professional Services</v>
      </c>
      <c r="T520" s="1314" t="str">
        <f ca="1">IF(CostTrack[[#This Row],[Vendor - Contract]]="","",INDEX(VendorList[Phase / Subproject],MATCH(CostTrack[[#This Row],[Vendor - Contract]],VendorList[Vendor / Org. with Contract ID],0)))</f>
        <v>--</v>
      </c>
      <c r="U520" s="1314" t="str">
        <f ca="1">IF(CostTrack[[#This Row],[Vendor - Contract]]="","",INDEX(VendorList[Phase / Subproject 2],MATCH(CostTrack[[#This Row],[Vendor - Contract]],VendorList[Vendor / Org. with Contract ID],0)))</f>
        <v>--</v>
      </c>
      <c r="V520" s="1314" t="str">
        <f ca="1">IF(CostTrack[[#This Row],[Vendor - Contract]]="","",INDEX(VendorList[Funding Source],MATCH(CostTrack[[#This Row],[Vendor - Contract]],VendorList[Vendor / Org. with Contract ID],0)))</f>
        <v>P-002360</v>
      </c>
      <c r="W520" s="1308">
        <v>45037</v>
      </c>
      <c r="X520" s="1315" t="str">
        <f ca="1">IF(CostTrack[[#This Row],[Release Date (CMS)]]="","*","")</f>
        <v/>
      </c>
      <c r="Y520" s="1308" t="s">
        <v>58</v>
      </c>
      <c r="Z520" s="1344" t="s">
        <v>1211</v>
      </c>
      <c r="AA520" s="1316">
        <f ca="1">IF(OR(CostTrack[[#This Row],[Release Date (CMS)]]&gt;=DATE(VALUE(REPLACE(CostTrack[[#This Row],[Fiscal Period]],3,3,"")),3,1),CostTrack[[#This Row],[Release Date (CMS)]]&lt;DATE(VALUE(LEFT(CostTrack[[#This Row],[Fiscal Period]],4)),4,1)),1,0)</f>
        <v>0</v>
      </c>
      <c r="AB520" s="1317">
        <v>1654.5</v>
      </c>
      <c r="AC520" s="1308">
        <v>45058</v>
      </c>
      <c r="AD520" s="402" t="str">
        <f ca="1">IF(CostTrack[[#This Row],[Reconciled Amount]]="","",IF(CostTrack[[#This Row],[Value]]&lt;&gt;CostTrack[[#This Row],[Reconciled Amount]],"Yes","No"))</f>
        <v>No</v>
      </c>
    </row>
    <row r="521" spans="2:30" ht="45" customHeight="1">
      <c r="B521" s="1324" t="s">
        <v>528</v>
      </c>
      <c r="C521" s="1312" t="s">
        <v>1212</v>
      </c>
      <c r="D521" s="1308">
        <v>45034</v>
      </c>
      <c r="E521" s="658">
        <v>-1654.5</v>
      </c>
      <c r="F521" s="1309" t="s">
        <v>69</v>
      </c>
      <c r="G521" s="1310">
        <f ca="1">ROUND(IF(CostTrack[[#This Row],[Holdback (Y/N/R)]]="Yes",CostTrack[[#This Row],[Value]]*-0.1,IF(CostTrack[[#This Row],[Holdback (Y/N/R)]]="Release",CostTrack[[#This Row],[Value]],0)),2)</f>
        <v>0</v>
      </c>
      <c r="H521" s="1311">
        <f ca="1">IF(CostTrack[[#This Row],[Holdback (Y/N/R)]]="Release",CostTrack[[#This Row],[Value]],CostTrack[[#This Row],[Value]]+CostTrack[[#This Row],[Holdback Value]])</f>
        <v>-1654.5</v>
      </c>
      <c r="I521" s="1312"/>
      <c r="J521" s="1312"/>
      <c r="K521" s="1313"/>
      <c r="L521" s="1325">
        <v>45036</v>
      </c>
      <c r="M521" s="1326">
        <v>45036</v>
      </c>
      <c r="N521" s="1327"/>
      <c r="O521" s="1328" t="s">
        <v>106</v>
      </c>
      <c r="P521" s="1308">
        <v>45036</v>
      </c>
      <c r="Q521" s="1314" t="str">
        <f ca="1">IF(CostTrack[[#This Row],[Vendor - Contract]]="","",INDEX(VendorList[PA ID],MATCH(CostTrack[[#This Row],[Vendor - Contract]],VendorList[Vendor / Org. with Contract ID],0)))</f>
        <v>200.050.F1</v>
      </c>
      <c r="R521" s="1314" t="str">
        <f ca="1">IF(CostTrack[[#This Row],[Vendor - Contract]]="","",INDEX(VendorList[Primary Category],MATCH(CostTrack[[#This Row],[Vendor - Contract]],VendorList[Vendor / Org. with Contract ID],0)))</f>
        <v>Professional Services</v>
      </c>
      <c r="S521" s="1314" t="str">
        <f ca="1">IF(CostTrack[[#This Row],[Vendor - Contract]]="","",INDEX(VendorList[Secondary Category],MATCH(CostTrack[[#This Row],[Vendor - Contract]],VendorList[Vendor / Org. with Contract ID],0)))</f>
        <v>Other Professional Services</v>
      </c>
      <c r="T521" s="1314" t="str">
        <f ca="1">IF(CostTrack[[#This Row],[Vendor - Contract]]="","",INDEX(VendorList[Phase / Subproject],MATCH(CostTrack[[#This Row],[Vendor - Contract]],VendorList[Vendor / Org. with Contract ID],0)))</f>
        <v>--</v>
      </c>
      <c r="U521" s="1314" t="str">
        <f ca="1">IF(CostTrack[[#This Row],[Vendor - Contract]]="","",INDEX(VendorList[Phase / Subproject 2],MATCH(CostTrack[[#This Row],[Vendor - Contract]],VendorList[Vendor / Org. with Contract ID],0)))</f>
        <v>--</v>
      </c>
      <c r="V521" s="1314" t="str">
        <f ca="1">IF(CostTrack[[#This Row],[Vendor - Contract]]="","",INDEX(VendorList[Funding Source],MATCH(CostTrack[[#This Row],[Vendor - Contract]],VendorList[Vendor / Org. with Contract ID],0)))</f>
        <v>P-002360</v>
      </c>
      <c r="W521" s="1308">
        <v>45037</v>
      </c>
      <c r="X521" s="1315" t="str">
        <f ca="1">IF(CostTrack[[#This Row],[Release Date (CMS)]]="","*","")</f>
        <v/>
      </c>
      <c r="Y521" s="1308" t="s">
        <v>58</v>
      </c>
      <c r="Z521" s="1345" t="s">
        <v>1213</v>
      </c>
      <c r="AA521" s="1316">
        <f ca="1">IF(OR(CostTrack[[#This Row],[Release Date (CMS)]]&gt;=DATE(VALUE(REPLACE(CostTrack[[#This Row],[Fiscal Period]],3,3,"")),3,1),CostTrack[[#This Row],[Release Date (CMS)]]&lt;DATE(VALUE(LEFT(CostTrack[[#This Row],[Fiscal Period]],4)),4,1)),1,0)</f>
        <v>0</v>
      </c>
      <c r="AB521" s="1317">
        <v>-1654.5</v>
      </c>
      <c r="AC521" s="1308">
        <v>45058</v>
      </c>
      <c r="AD521" s="402" t="str">
        <f ca="1">IF(CostTrack[[#This Row],[Reconciled Amount]]="","",IF(CostTrack[[#This Row],[Value]]&lt;&gt;CostTrack[[#This Row],[Reconciled Amount]],"Yes","No"))</f>
        <v>No</v>
      </c>
    </row>
    <row r="522" spans="2:30" ht="28.5" customHeight="1">
      <c r="B522" s="1324" t="s">
        <v>528</v>
      </c>
      <c r="C522" s="1312">
        <v>1792626</v>
      </c>
      <c r="D522" s="1308">
        <v>45034</v>
      </c>
      <c r="E522" s="658">
        <v>151</v>
      </c>
      <c r="F522" s="1309" t="s">
        <v>69</v>
      </c>
      <c r="G522" s="1310">
        <f ca="1">ROUND(IF(CostTrack[[#This Row],[Holdback (Y/N/R)]]="Yes",CostTrack[[#This Row],[Value]]*-0.1,IF(CostTrack[[#This Row],[Holdback (Y/N/R)]]="Release",CostTrack[[#This Row],[Value]],0)),2)</f>
        <v>0</v>
      </c>
      <c r="H522" s="1311">
        <f ca="1">IF(CostTrack[[#This Row],[Holdback (Y/N/R)]]="Release",CostTrack[[#This Row],[Value]],CostTrack[[#This Row],[Value]]+CostTrack[[#This Row],[Holdback Value]])</f>
        <v>151</v>
      </c>
      <c r="I522" s="1312"/>
      <c r="J522" s="1312"/>
      <c r="K522" s="1313"/>
      <c r="L522" s="1325">
        <v>45036</v>
      </c>
      <c r="M522" s="1326">
        <v>45036</v>
      </c>
      <c r="N522" s="1327"/>
      <c r="O522" s="1328" t="s">
        <v>106</v>
      </c>
      <c r="P522" s="1308">
        <v>45036</v>
      </c>
      <c r="Q522" s="1314" t="str">
        <f ca="1">IF(CostTrack[[#This Row],[Vendor - Contract]]="","",INDEX(VendorList[PA ID],MATCH(CostTrack[[#This Row],[Vendor - Contract]],VendorList[Vendor / Org. with Contract ID],0)))</f>
        <v>200.050.F1</v>
      </c>
      <c r="R522" s="1314" t="str">
        <f ca="1">IF(CostTrack[[#This Row],[Vendor - Contract]]="","",INDEX(VendorList[Primary Category],MATCH(CostTrack[[#This Row],[Vendor - Contract]],VendorList[Vendor / Org. with Contract ID],0)))</f>
        <v>Professional Services</v>
      </c>
      <c r="S522" s="1314" t="str">
        <f ca="1">IF(CostTrack[[#This Row],[Vendor - Contract]]="","",INDEX(VendorList[Secondary Category],MATCH(CostTrack[[#This Row],[Vendor - Contract]],VendorList[Vendor / Org. with Contract ID],0)))</f>
        <v>Other Professional Services</v>
      </c>
      <c r="T522" s="1314" t="str">
        <f ca="1">IF(CostTrack[[#This Row],[Vendor - Contract]]="","",INDEX(VendorList[Phase / Subproject],MATCH(CostTrack[[#This Row],[Vendor - Contract]],VendorList[Vendor / Org. with Contract ID],0)))</f>
        <v>--</v>
      </c>
      <c r="U522" s="1314" t="str">
        <f ca="1">IF(CostTrack[[#This Row],[Vendor - Contract]]="","",INDEX(VendorList[Phase / Subproject 2],MATCH(CostTrack[[#This Row],[Vendor - Contract]],VendorList[Vendor / Org. with Contract ID],0)))</f>
        <v>--</v>
      </c>
      <c r="V522" s="1314" t="str">
        <f ca="1">IF(CostTrack[[#This Row],[Vendor - Contract]]="","",INDEX(VendorList[Funding Source],MATCH(CostTrack[[#This Row],[Vendor - Contract]],VendorList[Vendor / Org. with Contract ID],0)))</f>
        <v>P-002360</v>
      </c>
      <c r="W522" s="1308">
        <v>45037</v>
      </c>
      <c r="X522" s="1315" t="str">
        <f ca="1">IF(CostTrack[[#This Row],[Release Date (CMS)]]="","*","")</f>
        <v/>
      </c>
      <c r="Y522" s="1347" t="s">
        <v>58</v>
      </c>
      <c r="Z522" s="1346" t="s">
        <v>1204</v>
      </c>
      <c r="AA522" s="1316">
        <f ca="1">IF(OR(CostTrack[[#This Row],[Release Date (CMS)]]&gt;=DATE(VALUE(REPLACE(CostTrack[[#This Row],[Fiscal Period]],3,3,"")),3,1),CostTrack[[#This Row],[Release Date (CMS)]]&lt;DATE(VALUE(LEFT(CostTrack[[#This Row],[Fiscal Period]],4)),4,1)),1,0)</f>
        <v>0</v>
      </c>
      <c r="AB522" s="1317">
        <v>151</v>
      </c>
      <c r="AC522" s="1308">
        <v>45061</v>
      </c>
      <c r="AD522" s="402" t="str">
        <f ca="1">IF(CostTrack[[#This Row],[Reconciled Amount]]="","",IF(CostTrack[[#This Row],[Value]]&lt;&gt;CostTrack[[#This Row],[Reconciled Amount]],"Yes","No"))</f>
        <v>No</v>
      </c>
    </row>
    <row r="523" spans="2:30" ht="28.5" customHeight="1">
      <c r="B523" s="1324" t="s">
        <v>527</v>
      </c>
      <c r="C523" s="1312" t="s">
        <v>1214</v>
      </c>
      <c r="D523" s="1308">
        <v>45382</v>
      </c>
      <c r="E523" s="658">
        <v>31269.37</v>
      </c>
      <c r="F523" s="1309" t="s">
        <v>69</v>
      </c>
      <c r="G523" s="1310">
        <f ca="1">ROUND(IF(CostTrack[[#This Row],[Holdback (Y/N/R)]]="Yes",CostTrack[[#This Row],[Value]]*-0.1,IF(CostTrack[[#This Row],[Holdback (Y/N/R)]]="Release",CostTrack[[#This Row],[Value]],0)),2)</f>
        <v>0</v>
      </c>
      <c r="H523" s="1311">
        <f ca="1">IF(CostTrack[[#This Row],[Holdback (Y/N/R)]]="Release",CostTrack[[#This Row],[Value]],CostTrack[[#This Row],[Value]]+CostTrack[[#This Row],[Holdback Value]])</f>
        <v>31269.37</v>
      </c>
      <c r="I523" s="1312"/>
      <c r="J523" s="1312"/>
      <c r="K523" s="1313"/>
      <c r="L523" s="1325">
        <v>45002</v>
      </c>
      <c r="M523" s="1326">
        <v>45002</v>
      </c>
      <c r="N523" s="1327"/>
      <c r="O523" s="1328" t="s">
        <v>106</v>
      </c>
      <c r="P523" s="1308">
        <v>45002</v>
      </c>
      <c r="Q523" s="1314" t="str">
        <f ca="1">IF(CostTrack[[#This Row],[Vendor - Contract]]="","",INDEX(VendorList[PA ID],MATCH(CostTrack[[#This Row],[Vendor - Contract]],VendorList[Vendor / Org. with Contract ID],0)))</f>
        <v>200.010.F1</v>
      </c>
      <c r="R523" s="1314" t="str">
        <f ca="1">IF(CostTrack[[#This Row],[Vendor - Contract]]="","",INDEX(VendorList[Primary Category],MATCH(CostTrack[[#This Row],[Vendor - Contract]],VendorList[Vendor / Org. with Contract ID],0)))</f>
        <v>Professional Services</v>
      </c>
      <c r="S523" s="1314" t="str">
        <f ca="1">IF(CostTrack[[#This Row],[Vendor - Contract]]="","",INDEX(VendorList[Secondary Category],MATCH(CostTrack[[#This Row],[Vendor - Contract]],VendorList[Vendor / Org. with Contract ID],0)))</f>
        <v>Prime Consultant</v>
      </c>
      <c r="T523" s="1314" t="str">
        <f ca="1">IF(CostTrack[[#This Row],[Vendor - Contract]]="","",INDEX(VendorList[Phase / Subproject],MATCH(CostTrack[[#This Row],[Vendor - Contract]],VendorList[Vendor / Org. with Contract ID],0)))</f>
        <v>--</v>
      </c>
      <c r="U523" s="1314" t="str">
        <f ca="1">IF(CostTrack[[#This Row],[Vendor - Contract]]="","",INDEX(VendorList[Phase / Subproject 2],MATCH(CostTrack[[#This Row],[Vendor - Contract]],VendorList[Vendor / Org. with Contract ID],0)))</f>
        <v>--</v>
      </c>
      <c r="V523" s="1314" t="str">
        <f ca="1">IF(CostTrack[[#This Row],[Vendor - Contract]]="","",INDEX(VendorList[Funding Source],MATCH(CostTrack[[#This Row],[Vendor - Contract]],VendorList[Vendor / Org. with Contract ID],0)))</f>
        <v>P-002360</v>
      </c>
      <c r="W523" s="1308">
        <v>45016</v>
      </c>
      <c r="X523" s="1315" t="str">
        <f ca="1">IF(CostTrack[[#This Row],[Release Date (CMS)]]="","*","")</f>
        <v/>
      </c>
      <c r="Y523" s="1308" t="s">
        <v>53</v>
      </c>
      <c r="Z523" s="1343" t="s">
        <v>1188</v>
      </c>
      <c r="AA523" s="1316">
        <f ca="1">IF(OR(CostTrack[[#This Row],[Release Date (CMS)]]&gt;=DATE(VALUE(REPLACE(CostTrack[[#This Row],[Fiscal Period]],3,3,"")),3,1),CostTrack[[#This Row],[Release Date (CMS)]]&lt;DATE(VALUE(LEFT(CostTrack[[#This Row],[Fiscal Period]],4)),4,1)),1,0)</f>
        <v>1</v>
      </c>
      <c r="AB523" s="1317">
        <v>31269.37</v>
      </c>
      <c r="AC523" s="1308">
        <v>45029</v>
      </c>
      <c r="AD523" s="402" t="str">
        <f ca="1">IF(CostTrack[[#This Row],[Reconciled Amount]]="","",IF(CostTrack[[#This Row],[Value]]&lt;&gt;CostTrack[[#This Row],[Reconciled Amount]],"Yes","No"))</f>
        <v>No</v>
      </c>
    </row>
    <row r="524" spans="2:30" ht="28.5" customHeight="1">
      <c r="B524" s="1324" t="s">
        <v>527</v>
      </c>
      <c r="C524" s="1312" t="s">
        <v>1215</v>
      </c>
      <c r="D524" s="1308">
        <v>45016</v>
      </c>
      <c r="E524" s="658">
        <v>31269.37</v>
      </c>
      <c r="F524" s="1309" t="s">
        <v>69</v>
      </c>
      <c r="G524" s="1310">
        <f ca="1">ROUND(IF(CostTrack[[#This Row],[Holdback (Y/N/R)]]="Yes",CostTrack[[#This Row],[Value]]*-0.1,IF(CostTrack[[#This Row],[Holdback (Y/N/R)]]="Release",CostTrack[[#This Row],[Value]],0)),2)</f>
        <v>0</v>
      </c>
      <c r="H524" s="1311">
        <f ca="1">IF(CostTrack[[#This Row],[Holdback (Y/N/R)]]="Release",CostTrack[[#This Row],[Value]],CostTrack[[#This Row],[Value]]+CostTrack[[#This Row],[Holdback Value]])</f>
        <v>31269.37</v>
      </c>
      <c r="I524" s="1312"/>
      <c r="J524" s="1312"/>
      <c r="K524" s="1313"/>
      <c r="L524" s="1325">
        <v>45021</v>
      </c>
      <c r="M524" s="1326">
        <v>45021</v>
      </c>
      <c r="N524" s="1327"/>
      <c r="O524" s="1328" t="s">
        <v>106</v>
      </c>
      <c r="P524" s="1308">
        <v>45021</v>
      </c>
      <c r="Q524" s="1314" t="str">
        <f ca="1">IF(CostTrack[[#This Row],[Vendor - Contract]]="","",INDEX(VendorList[PA ID],MATCH(CostTrack[[#This Row],[Vendor - Contract]],VendorList[Vendor / Org. with Contract ID],0)))</f>
        <v>200.010.F1</v>
      </c>
      <c r="R524" s="1314" t="str">
        <f ca="1">IF(CostTrack[[#This Row],[Vendor - Contract]]="","",INDEX(VendorList[Primary Category],MATCH(CostTrack[[#This Row],[Vendor - Contract]],VendorList[Vendor / Org. with Contract ID],0)))</f>
        <v>Professional Services</v>
      </c>
      <c r="S524" s="1314" t="str">
        <f ca="1">IF(CostTrack[[#This Row],[Vendor - Contract]]="","",INDEX(VendorList[Secondary Category],MATCH(CostTrack[[#This Row],[Vendor - Contract]],VendorList[Vendor / Org. with Contract ID],0)))</f>
        <v>Prime Consultant</v>
      </c>
      <c r="T524" s="1314" t="str">
        <f ca="1">IF(CostTrack[[#This Row],[Vendor - Contract]]="","",INDEX(VendorList[Phase / Subproject],MATCH(CostTrack[[#This Row],[Vendor - Contract]],VendorList[Vendor / Org. with Contract ID],0)))</f>
        <v>--</v>
      </c>
      <c r="U524" s="1314" t="str">
        <f ca="1">IF(CostTrack[[#This Row],[Vendor - Contract]]="","",INDEX(VendorList[Phase / Subproject 2],MATCH(CostTrack[[#This Row],[Vendor - Contract]],VendorList[Vendor / Org. with Contract ID],0)))</f>
        <v>--</v>
      </c>
      <c r="V524" s="1314" t="str">
        <f ca="1">IF(CostTrack[[#This Row],[Vendor - Contract]]="","",INDEX(VendorList[Funding Source],MATCH(CostTrack[[#This Row],[Vendor - Contract]],VendorList[Vendor / Org. with Contract ID],0)))</f>
        <v>P-002360</v>
      </c>
      <c r="W524" s="1308">
        <v>45028</v>
      </c>
      <c r="X524" s="1315" t="str">
        <f ca="1">IF(CostTrack[[#This Row],[Release Date (CMS)]]="","*","")</f>
        <v/>
      </c>
      <c r="Y524" s="1308" t="s">
        <v>58</v>
      </c>
      <c r="Z524" s="1344" t="s">
        <v>1216</v>
      </c>
      <c r="AA524" s="1316">
        <f ca="1">IF(OR(CostTrack[[#This Row],[Release Date (CMS)]]&gt;=DATE(VALUE(REPLACE(CostTrack[[#This Row],[Fiscal Period]],3,3,"")),3,1),CostTrack[[#This Row],[Release Date (CMS)]]&lt;DATE(VALUE(LEFT(CostTrack[[#This Row],[Fiscal Period]],4)),4,1)),1,0)</f>
        <v>0</v>
      </c>
      <c r="AB524" s="1317">
        <v>31269.37</v>
      </c>
      <c r="AC524" s="1308">
        <v>45058</v>
      </c>
      <c r="AD524" s="402" t="str">
        <f ca="1">IF(CostTrack[[#This Row],[Reconciled Amount]]="","",IF(CostTrack[[#This Row],[Value]]&lt;&gt;CostTrack[[#This Row],[Reconciled Amount]],"Yes","No"))</f>
        <v>No</v>
      </c>
    </row>
    <row r="525" spans="2:30" ht="44.65" customHeight="1">
      <c r="B525" s="1324" t="s">
        <v>527</v>
      </c>
      <c r="C525" s="1312" t="s">
        <v>1215</v>
      </c>
      <c r="D525" s="1308">
        <v>45016</v>
      </c>
      <c r="E525" s="658">
        <v>-31269.37</v>
      </c>
      <c r="F525" s="1309" t="s">
        <v>69</v>
      </c>
      <c r="G525" s="1310">
        <f ca="1">ROUND(IF(CostTrack[[#This Row],[Holdback (Y/N/R)]]="Yes",CostTrack[[#This Row],[Value]]*-0.1,IF(CostTrack[[#This Row],[Holdback (Y/N/R)]]="Release",CostTrack[[#This Row],[Value]],0)),2)</f>
        <v>0</v>
      </c>
      <c r="H525" s="1311">
        <f ca="1">IF(CostTrack[[#This Row],[Holdback (Y/N/R)]]="Release",CostTrack[[#This Row],[Value]],CostTrack[[#This Row],[Value]]+CostTrack[[#This Row],[Holdback Value]])</f>
        <v>-31269.37</v>
      </c>
      <c r="I525" s="1312"/>
      <c r="J525" s="1312"/>
      <c r="K525" s="1313"/>
      <c r="L525" s="1325">
        <v>45021</v>
      </c>
      <c r="M525" s="1326">
        <v>45021</v>
      </c>
      <c r="N525" s="1327"/>
      <c r="O525" s="1328" t="s">
        <v>106</v>
      </c>
      <c r="P525" s="1308">
        <v>45021</v>
      </c>
      <c r="Q525" s="1314" t="str">
        <f ca="1">IF(CostTrack[[#This Row],[Vendor - Contract]]="","",INDEX(VendorList[PA ID],MATCH(CostTrack[[#This Row],[Vendor - Contract]],VendorList[Vendor / Org. with Contract ID],0)))</f>
        <v>200.010.F1</v>
      </c>
      <c r="R525" s="1314" t="str">
        <f ca="1">IF(CostTrack[[#This Row],[Vendor - Contract]]="","",INDEX(VendorList[Primary Category],MATCH(CostTrack[[#This Row],[Vendor - Contract]],VendorList[Vendor / Org. with Contract ID],0)))</f>
        <v>Professional Services</v>
      </c>
      <c r="S525" s="1314" t="str">
        <f ca="1">IF(CostTrack[[#This Row],[Vendor - Contract]]="","",INDEX(VendorList[Secondary Category],MATCH(CostTrack[[#This Row],[Vendor - Contract]],VendorList[Vendor / Org. with Contract ID],0)))</f>
        <v>Prime Consultant</v>
      </c>
      <c r="T525" s="1314" t="str">
        <f ca="1">IF(CostTrack[[#This Row],[Vendor - Contract]]="","",INDEX(VendorList[Phase / Subproject],MATCH(CostTrack[[#This Row],[Vendor - Contract]],VendorList[Vendor / Org. with Contract ID],0)))</f>
        <v>--</v>
      </c>
      <c r="U525" s="1314" t="str">
        <f ca="1">IF(CostTrack[[#This Row],[Vendor - Contract]]="","",INDEX(VendorList[Phase / Subproject 2],MATCH(CostTrack[[#This Row],[Vendor - Contract]],VendorList[Vendor / Org. with Contract ID],0)))</f>
        <v>--</v>
      </c>
      <c r="V525" s="1314" t="str">
        <f ca="1">IF(CostTrack[[#This Row],[Vendor - Contract]]="","",INDEX(VendorList[Funding Source],MATCH(CostTrack[[#This Row],[Vendor - Contract]],VendorList[Vendor / Org. with Contract ID],0)))</f>
        <v>P-002360</v>
      </c>
      <c r="W525" s="1308">
        <v>45028</v>
      </c>
      <c r="X525" s="1315" t="str">
        <f ca="1">IF(CostTrack[[#This Row],[Release Date (CMS)]]="","*","")</f>
        <v/>
      </c>
      <c r="Y525" s="1308" t="s">
        <v>58</v>
      </c>
      <c r="Z525" s="1345" t="s">
        <v>1217</v>
      </c>
      <c r="AA525" s="1316">
        <f ca="1">IF(OR(CostTrack[[#This Row],[Release Date (CMS)]]&gt;=DATE(VALUE(REPLACE(CostTrack[[#This Row],[Fiscal Period]],3,3,"")),3,1),CostTrack[[#This Row],[Release Date (CMS)]]&lt;DATE(VALUE(LEFT(CostTrack[[#This Row],[Fiscal Period]],4)),4,1)),1,0)</f>
        <v>0</v>
      </c>
      <c r="AB525" s="1317">
        <v>-31269.37</v>
      </c>
      <c r="AC525" s="1308">
        <v>45058</v>
      </c>
      <c r="AD525" s="402" t="str">
        <f ca="1">IF(CostTrack[[#This Row],[Reconciled Amount]]="","",IF(CostTrack[[#This Row],[Value]]&lt;&gt;CostTrack[[#This Row],[Reconciled Amount]],"Yes","No"))</f>
        <v>No</v>
      </c>
    </row>
    <row r="526" spans="2:30" ht="28.5" customHeight="1">
      <c r="B526" s="1324" t="s">
        <v>710</v>
      </c>
      <c r="C526" s="877">
        <v>101503614054</v>
      </c>
      <c r="D526" s="1308">
        <v>45005</v>
      </c>
      <c r="E526" s="658">
        <v>1361.05</v>
      </c>
      <c r="F526" s="1309" t="s">
        <v>69</v>
      </c>
      <c r="G526" s="1310">
        <f ca="1">ROUND(IF(CostTrack[[#This Row],[Holdback (Y/N/R)]]="Yes",CostTrack[[#This Row],[Value]]*-0.1,IF(CostTrack[[#This Row],[Holdback (Y/N/R)]]="Release",CostTrack[[#This Row],[Value]],0)),2)</f>
        <v>0</v>
      </c>
      <c r="H526" s="1311">
        <f ca="1">IF(CostTrack[[#This Row],[Holdback (Y/N/R)]]="Release",CostTrack[[#This Row],[Value]],CostTrack[[#This Row],[Value]]+CostTrack[[#This Row],[Holdback Value]])</f>
        <v>1361.05</v>
      </c>
      <c r="I526" s="1312"/>
      <c r="J526" s="1312"/>
      <c r="K526" s="1313"/>
      <c r="L526" s="1325">
        <v>45013</v>
      </c>
      <c r="M526" s="1326">
        <v>45013</v>
      </c>
      <c r="N526" s="1327"/>
      <c r="O526" s="1328" t="s">
        <v>106</v>
      </c>
      <c r="P526" s="1308">
        <v>45013</v>
      </c>
      <c r="Q526" s="1314" t="str">
        <f ca="1">IF(CostTrack[[#This Row],[Vendor - Contract]]="","",INDEX(VendorList[PA ID],MATCH(CostTrack[[#This Row],[Vendor - Contract]],VendorList[Vendor / Org. with Contract ID],0)))</f>
        <v>300.040.F1</v>
      </c>
      <c r="R526" s="1314" t="str">
        <f ca="1">IF(CostTrack[[#This Row],[Vendor - Contract]]="","",INDEX(VendorList[Primary Category],MATCH(CostTrack[[#This Row],[Vendor - Contract]],VendorList[Vendor / Org. with Contract ID],0)))</f>
        <v>Construction</v>
      </c>
      <c r="S526" s="1314" t="str">
        <f ca="1">IF(CostTrack[[#This Row],[Vendor - Contract]]="","",INDEX(VendorList[Secondary Category],MATCH(CostTrack[[#This Row],[Vendor - Contract]],VendorList[Vendor / Org. with Contract ID],0)))</f>
        <v>Other Contractor</v>
      </c>
      <c r="T526" s="1314" t="str">
        <f ca="1">IF(CostTrack[[#This Row],[Vendor - Contract]]="","",INDEX(VendorList[Phase / Subproject],MATCH(CostTrack[[#This Row],[Vendor - Contract]],VendorList[Vendor / Org. with Contract ID],0)))</f>
        <v>--</v>
      </c>
      <c r="U526" s="1314" t="str">
        <f ca="1">IF(CostTrack[[#This Row],[Vendor - Contract]]="","",INDEX(VendorList[Phase / Subproject 2],MATCH(CostTrack[[#This Row],[Vendor - Contract]],VendorList[Vendor / Org. with Contract ID],0)))</f>
        <v>--</v>
      </c>
      <c r="V526" s="1314" t="str">
        <f ca="1">IF(CostTrack[[#This Row],[Vendor - Contract]]="","",INDEX(VendorList[Funding Source],MATCH(CostTrack[[#This Row],[Vendor - Contract]],VendorList[Vendor / Org. with Contract ID],0)))</f>
        <v>P-002360</v>
      </c>
      <c r="W526" s="1308">
        <v>45015</v>
      </c>
      <c r="X526" s="1315" t="str">
        <f ca="1">IF(CostTrack[[#This Row],[Release Date (CMS)]]="","*","")</f>
        <v/>
      </c>
      <c r="Y526" s="1308" t="s">
        <v>53</v>
      </c>
      <c r="Z526" s="713"/>
      <c r="AA526" s="1316">
        <f ca="1">IF(OR(CostTrack[[#This Row],[Release Date (CMS)]]&gt;=DATE(VALUE(REPLACE(CostTrack[[#This Row],[Fiscal Period]],3,3,"")),3,1),CostTrack[[#This Row],[Release Date (CMS)]]&lt;DATE(VALUE(LEFT(CostTrack[[#This Row],[Fiscal Period]],4)),4,1)),1,0)</f>
        <v>1</v>
      </c>
      <c r="AB526" s="1317">
        <v>1361.05</v>
      </c>
      <c r="AC526" s="1308">
        <v>45029</v>
      </c>
      <c r="AD526" s="402" t="str">
        <f ca="1">IF(CostTrack[[#This Row],[Reconciled Amount]]="","",IF(CostTrack[[#This Row],[Value]]&lt;&gt;CostTrack[[#This Row],[Reconciled Amount]],"Yes","No"))</f>
        <v>No</v>
      </c>
    </row>
    <row r="527" spans="2:30" ht="28.5" customHeight="1">
      <c r="B527" s="1324" t="s">
        <v>693</v>
      </c>
      <c r="C527" s="1312">
        <v>800105290</v>
      </c>
      <c r="D527" s="1308">
        <v>45014</v>
      </c>
      <c r="E527" s="658">
        <v>19.809999999999999</v>
      </c>
      <c r="F527" s="1309" t="s">
        <v>69</v>
      </c>
      <c r="G527" s="1310">
        <f ca="1">ROUND(IF(CostTrack[[#This Row],[Holdback (Y/N/R)]]="Yes",CostTrack[[#This Row],[Value]]*-0.1,IF(CostTrack[[#This Row],[Holdback (Y/N/R)]]="Release",CostTrack[[#This Row],[Value]],0)),2)</f>
        <v>0</v>
      </c>
      <c r="H527" s="1311">
        <f ca="1">IF(CostTrack[[#This Row],[Holdback (Y/N/R)]]="Release",CostTrack[[#This Row],[Value]],CostTrack[[#This Row],[Value]]+CostTrack[[#This Row],[Holdback Value]])</f>
        <v>19.809999999999999</v>
      </c>
      <c r="I527" s="1312"/>
      <c r="J527" s="1312"/>
      <c r="K527" s="1313"/>
      <c r="L527" s="1325">
        <v>45014</v>
      </c>
      <c r="M527" s="1326">
        <v>45014</v>
      </c>
      <c r="N527" s="1327"/>
      <c r="O527" s="1328" t="s">
        <v>106</v>
      </c>
      <c r="P527" s="1308">
        <v>45014</v>
      </c>
      <c r="Q527" s="1314" t="str">
        <f ca="1">IF(CostTrack[[#This Row],[Vendor - Contract]]="","",INDEX(VendorList[PA ID],MATCH(CostTrack[[#This Row],[Vendor - Contract]],VendorList[Vendor / Org. with Contract ID],0)))</f>
        <v>100.050.F1</v>
      </c>
      <c r="R527" s="1314" t="str">
        <f ca="1">IF(CostTrack[[#This Row],[Vendor - Contract]]="","",INDEX(VendorList[Primary Category],MATCH(CostTrack[[#This Row],[Vendor - Contract]],VendorList[Vendor / Org. with Contract ID],0)))</f>
        <v>Administration</v>
      </c>
      <c r="S527" s="1314" t="str">
        <f ca="1">IF(CostTrack[[#This Row],[Vendor - Contract]]="","",INDEX(VendorList[Secondary Category],MATCH(CostTrack[[#This Row],[Vendor - Contract]],VendorList[Vendor / Org. with Contract ID],0)))</f>
        <v>Other Administration</v>
      </c>
      <c r="T527" s="1314" t="str">
        <f ca="1">IF(CostTrack[[#This Row],[Vendor - Contract]]="","",INDEX(VendorList[Phase / Subproject],MATCH(CostTrack[[#This Row],[Vendor - Contract]],VendorList[Vendor / Org. with Contract ID],0)))</f>
        <v>--</v>
      </c>
      <c r="U527" s="1314" t="str">
        <f ca="1">IF(CostTrack[[#This Row],[Vendor - Contract]]="","",INDEX(VendorList[Phase / Subproject 2],MATCH(CostTrack[[#This Row],[Vendor - Contract]],VendorList[Vendor / Org. with Contract ID],0)))</f>
        <v>--</v>
      </c>
      <c r="V527" s="1314" t="str">
        <f ca="1">IF(CostTrack[[#This Row],[Vendor - Contract]]="","",INDEX(VendorList[Funding Source],MATCH(CostTrack[[#This Row],[Vendor - Contract]],VendorList[Vendor / Org. with Contract ID],0)))</f>
        <v>P-002360</v>
      </c>
      <c r="W527" s="1308">
        <v>45014</v>
      </c>
      <c r="X527" s="1315" t="str">
        <f ca="1">IF(CostTrack[[#This Row],[Release Date (CMS)]]="","*","")</f>
        <v/>
      </c>
      <c r="Y527" s="1308" t="s">
        <v>53</v>
      </c>
      <c r="Z527" s="713"/>
      <c r="AA527" s="1316">
        <f ca="1">IF(OR(CostTrack[[#This Row],[Release Date (CMS)]]&gt;=DATE(VALUE(REPLACE(CostTrack[[#This Row],[Fiscal Period]],3,3,"")),3,1),CostTrack[[#This Row],[Release Date (CMS)]]&lt;DATE(VALUE(LEFT(CostTrack[[#This Row],[Fiscal Period]],4)),4,1)),1,0)</f>
        <v>1</v>
      </c>
      <c r="AB527" s="1317">
        <v>19.809999999999999</v>
      </c>
      <c r="AC527" s="1308">
        <v>45029</v>
      </c>
      <c r="AD527" s="402" t="str">
        <f ca="1">IF(CostTrack[[#This Row],[Reconciled Amount]]="","",IF(CostTrack[[#This Row],[Value]]&lt;&gt;CostTrack[[#This Row],[Reconciled Amount]],"Yes","No"))</f>
        <v>No</v>
      </c>
    </row>
    <row r="528" spans="2:30" ht="28.5" customHeight="1">
      <c r="B528" s="1324" t="s">
        <v>693</v>
      </c>
      <c r="C528" s="1312">
        <v>800101950</v>
      </c>
      <c r="D528" s="1308">
        <v>44993</v>
      </c>
      <c r="E528" s="658">
        <v>118.76</v>
      </c>
      <c r="F528" s="1309" t="s">
        <v>69</v>
      </c>
      <c r="G528" s="1310">
        <f ca="1">ROUND(IF(CostTrack[[#This Row],[Holdback (Y/N/R)]]="Yes",CostTrack[[#This Row],[Value]]*-0.1,IF(CostTrack[[#This Row],[Holdback (Y/N/R)]]="Release",CostTrack[[#This Row],[Value]],0)),2)</f>
        <v>0</v>
      </c>
      <c r="H528" s="1311">
        <f ca="1">IF(CostTrack[[#This Row],[Holdback (Y/N/R)]]="Release",CostTrack[[#This Row],[Value]],CostTrack[[#This Row],[Value]]+CostTrack[[#This Row],[Holdback Value]])</f>
        <v>118.76</v>
      </c>
      <c r="I528" s="1312"/>
      <c r="J528" s="1312"/>
      <c r="K528" s="1313"/>
      <c r="L528" s="1325">
        <v>44993</v>
      </c>
      <c r="M528" s="1326">
        <v>44993</v>
      </c>
      <c r="N528" s="1327"/>
      <c r="O528" s="1328" t="s">
        <v>106</v>
      </c>
      <c r="P528" s="1308">
        <v>44993</v>
      </c>
      <c r="Q528" s="1314" t="str">
        <f ca="1">IF(CostTrack[[#This Row],[Vendor - Contract]]="","",INDEX(VendorList[PA ID],MATCH(CostTrack[[#This Row],[Vendor - Contract]],VendorList[Vendor / Org. with Contract ID],0)))</f>
        <v>100.050.F1</v>
      </c>
      <c r="R528" s="1314" t="str">
        <f ca="1">IF(CostTrack[[#This Row],[Vendor - Contract]]="","",INDEX(VendorList[Primary Category],MATCH(CostTrack[[#This Row],[Vendor - Contract]],VendorList[Vendor / Org. with Contract ID],0)))</f>
        <v>Administration</v>
      </c>
      <c r="S528" s="1314" t="str">
        <f ca="1">IF(CostTrack[[#This Row],[Vendor - Contract]]="","",INDEX(VendorList[Secondary Category],MATCH(CostTrack[[#This Row],[Vendor - Contract]],VendorList[Vendor / Org. with Contract ID],0)))</f>
        <v>Other Administration</v>
      </c>
      <c r="T528" s="1314" t="str">
        <f ca="1">IF(CostTrack[[#This Row],[Vendor - Contract]]="","",INDEX(VendorList[Phase / Subproject],MATCH(CostTrack[[#This Row],[Vendor - Contract]],VendorList[Vendor / Org. with Contract ID],0)))</f>
        <v>--</v>
      </c>
      <c r="U528" s="1314" t="str">
        <f ca="1">IF(CostTrack[[#This Row],[Vendor - Contract]]="","",INDEX(VendorList[Phase / Subproject 2],MATCH(CostTrack[[#This Row],[Vendor - Contract]],VendorList[Vendor / Org. with Contract ID],0)))</f>
        <v>--</v>
      </c>
      <c r="V528" s="1314" t="str">
        <f ca="1">IF(CostTrack[[#This Row],[Vendor - Contract]]="","",INDEX(VendorList[Funding Source],MATCH(CostTrack[[#This Row],[Vendor - Contract]],VendorList[Vendor / Org. with Contract ID],0)))</f>
        <v>P-002360</v>
      </c>
      <c r="W528" s="1308">
        <v>44993</v>
      </c>
      <c r="X528" s="1315" t="str">
        <f ca="1">IF(CostTrack[[#This Row],[Release Date (CMS)]]="","*","")</f>
        <v/>
      </c>
      <c r="Y528" s="1308" t="s">
        <v>53</v>
      </c>
      <c r="Z528" s="713"/>
      <c r="AA528" s="1316">
        <f ca="1">IF(OR(CostTrack[[#This Row],[Release Date (CMS)]]&gt;=DATE(VALUE(REPLACE(CostTrack[[#This Row],[Fiscal Period]],3,3,"")),3,1),CostTrack[[#This Row],[Release Date (CMS)]]&lt;DATE(VALUE(LEFT(CostTrack[[#This Row],[Fiscal Period]],4)),4,1)),1,0)</f>
        <v>1</v>
      </c>
      <c r="AB528" s="1317">
        <v>118.76</v>
      </c>
      <c r="AC528" s="1308">
        <v>45029</v>
      </c>
      <c r="AD528" s="402" t="str">
        <f ca="1">IF(CostTrack[[#This Row],[Reconciled Amount]]="","",IF(CostTrack[[#This Row],[Value]]&lt;&gt;CostTrack[[#This Row],[Reconciled Amount]],"Yes","No"))</f>
        <v>No</v>
      </c>
    </row>
    <row r="529" spans="2:31" ht="28.5" customHeight="1">
      <c r="B529" s="1324" t="s">
        <v>736</v>
      </c>
      <c r="C529" s="792" t="s">
        <v>1218</v>
      </c>
      <c r="D529" s="1308">
        <v>45016</v>
      </c>
      <c r="E529" s="658">
        <v>66427.240000000005</v>
      </c>
      <c r="F529" s="1309" t="s">
        <v>69</v>
      </c>
      <c r="G529" s="1310">
        <f ca="1">ROUND(IF(CostTrack[[#This Row],[Holdback (Y/N/R)]]="Yes",CostTrack[[#This Row],[Value]]*-0.1,IF(CostTrack[[#This Row],[Holdback (Y/N/R)]]="Release",CostTrack[[#This Row],[Value]],0)),2)</f>
        <v>0</v>
      </c>
      <c r="H529" s="1311">
        <f ca="1">IF(CostTrack[[#This Row],[Holdback (Y/N/R)]]="Release",CostTrack[[#This Row],[Value]],CostTrack[[#This Row],[Value]]+CostTrack[[#This Row],[Holdback Value]])</f>
        <v>66427.240000000005</v>
      </c>
      <c r="I529" s="1312"/>
      <c r="J529" s="1312"/>
      <c r="K529" s="1313"/>
      <c r="L529" s="1325">
        <v>45016</v>
      </c>
      <c r="M529" s="708">
        <v>45016</v>
      </c>
      <c r="N529" s="1327"/>
      <c r="O529" s="1328" t="s">
        <v>106</v>
      </c>
      <c r="P529" s="1308">
        <v>45016</v>
      </c>
      <c r="Q529" s="1314" t="str">
        <f ca="1">IF(CostTrack[[#This Row],[Vendor - Contract]]="","",INDEX(VendorList[PA ID],MATCH(CostTrack[[#This Row],[Vendor - Contract]],VendorList[Vendor / Org. with Contract ID],0)))</f>
        <v>100.010.F1</v>
      </c>
      <c r="R529" s="1314" t="str">
        <f ca="1">IF(CostTrack[[#This Row],[Vendor - Contract]]="","",INDEX(VendorList[Primary Category],MATCH(CostTrack[[#This Row],[Vendor - Contract]],VendorList[Vendor / Org. with Contract ID],0)))</f>
        <v>Administration</v>
      </c>
      <c r="S529" s="1314" t="str">
        <f ca="1">IF(CostTrack[[#This Row],[Vendor - Contract]]="","",INDEX(VendorList[Secondary Category],MATCH(CostTrack[[#This Row],[Vendor - Contract]],VendorList[Vendor / Org. with Contract ID],0)))</f>
        <v>Staff Capitalization - INFRA</v>
      </c>
      <c r="T529" s="1314" t="str">
        <f ca="1">IF(CostTrack[[#This Row],[Vendor - Contract]]="","",INDEX(VendorList[Phase / Subproject],MATCH(CostTrack[[#This Row],[Vendor - Contract]],VendorList[Vendor / Org. with Contract ID],0)))</f>
        <v>--</v>
      </c>
      <c r="U529" s="1314" t="str">
        <f ca="1">IF(CostTrack[[#This Row],[Vendor - Contract]]="","",INDEX(VendorList[Phase / Subproject 2],MATCH(CostTrack[[#This Row],[Vendor - Contract]],VendorList[Vendor / Org. with Contract ID],0)))</f>
        <v>--</v>
      </c>
      <c r="V529" s="1314" t="str">
        <f ca="1">IF(CostTrack[[#This Row],[Vendor - Contract]]="","",INDEX(VendorList[Funding Source],MATCH(CostTrack[[#This Row],[Vendor - Contract]],VendorList[Vendor / Org. with Contract ID],0)))</f>
        <v>P-002360</v>
      </c>
      <c r="W529" s="267">
        <v>45016</v>
      </c>
      <c r="X529" s="1315" t="str">
        <f ca="1">IF(CostTrack[[#This Row],[Release Date (CMS)]]="","*","")</f>
        <v/>
      </c>
      <c r="Y529" s="1308" t="s">
        <v>53</v>
      </c>
      <c r="Z529" s="713"/>
      <c r="AA529" s="1316">
        <f ca="1">IF(OR(CostTrack[[#This Row],[Release Date (CMS)]]&gt;=DATE(VALUE(REPLACE(CostTrack[[#This Row],[Fiscal Period]],3,3,"")),3,1),CostTrack[[#This Row],[Release Date (CMS)]]&lt;DATE(VALUE(LEFT(CostTrack[[#This Row],[Fiscal Period]],4)),4,1)),1,0)</f>
        <v>1</v>
      </c>
      <c r="AB529" s="1317">
        <v>66427.240000000005</v>
      </c>
      <c r="AC529" s="1308">
        <v>45029</v>
      </c>
      <c r="AD529" s="402" t="str">
        <f ca="1">IF(CostTrack[[#This Row],[Reconciled Amount]]="","",IF(CostTrack[[#This Row],[Value]]&lt;&gt;CostTrack[[#This Row],[Reconciled Amount]],"Yes","No"))</f>
        <v>No</v>
      </c>
    </row>
    <row r="530" spans="2:31" ht="28.5" customHeight="1">
      <c r="B530" s="1324" t="s">
        <v>1219</v>
      </c>
      <c r="C530" s="650" t="s">
        <v>1220</v>
      </c>
      <c r="D530" s="1308">
        <v>45016</v>
      </c>
      <c r="E530" s="658">
        <v>8005.14</v>
      </c>
      <c r="F530" s="1309" t="s">
        <v>69</v>
      </c>
      <c r="G530" s="1310">
        <f ca="1">ROUND(IF(CostTrack[[#This Row],[Holdback (Y/N/R)]]="Yes",CostTrack[[#This Row],[Value]]*-0.1,IF(CostTrack[[#This Row],[Holdback (Y/N/R)]]="Release",CostTrack[[#This Row],[Value]],0)),2)</f>
        <v>0</v>
      </c>
      <c r="H530" s="1311">
        <f ca="1">IF(CostTrack[[#This Row],[Holdback (Y/N/R)]]="Release",CostTrack[[#This Row],[Value]],CostTrack[[#This Row],[Value]]+CostTrack[[#This Row],[Holdback Value]])</f>
        <v>8005.14</v>
      </c>
      <c r="I530" s="1312"/>
      <c r="J530" s="1312"/>
      <c r="K530" s="1313"/>
      <c r="L530" s="1325">
        <v>45016</v>
      </c>
      <c r="M530" s="1326">
        <v>45016</v>
      </c>
      <c r="N530" s="1327"/>
      <c r="O530" s="1328" t="s">
        <v>106</v>
      </c>
      <c r="P530" s="1308">
        <v>45016</v>
      </c>
      <c r="Q530" s="1314" t="str">
        <f ca="1">IF(CostTrack[[#This Row],[Vendor - Contract]]="","",INDEX(VendorList[PA ID],MATCH(CostTrack[[#This Row],[Vendor - Contract]],VendorList[Vendor / Org. with Contract ID],0)))</f>
        <v>400.020.F1</v>
      </c>
      <c r="R530" s="1314" t="str">
        <f ca="1">IF(CostTrack[[#This Row],[Vendor - Contract]]="","",INDEX(VendorList[Primary Category],MATCH(CostTrack[[#This Row],[Vendor - Contract]],VendorList[Vendor / Org. with Contract ID],0)))</f>
        <v>FE_IT</v>
      </c>
      <c r="S530" s="1314" t="str">
        <f ca="1">IF(CostTrack[[#This Row],[Vendor - Contract]]="","",INDEX(VendorList[Secondary Category],MATCH(CostTrack[[#This Row],[Vendor - Contract]],VendorList[Vendor / Org. with Contract ID],0)))</f>
        <v>Information Technology</v>
      </c>
      <c r="T530" s="1314" t="str">
        <f ca="1">IF(CostTrack[[#This Row],[Vendor - Contract]]="","",INDEX(VendorList[Phase / Subproject],MATCH(CostTrack[[#This Row],[Vendor - Contract]],VendorList[Vendor / Org. with Contract ID],0)))</f>
        <v>--</v>
      </c>
      <c r="U530" s="1314" t="str">
        <f ca="1">IF(CostTrack[[#This Row],[Vendor - Contract]]="","",INDEX(VendorList[Phase / Subproject 2],MATCH(CostTrack[[#This Row],[Vendor - Contract]],VendorList[Vendor / Org. with Contract ID],0)))</f>
        <v>--</v>
      </c>
      <c r="V530" s="1314" t="str">
        <f ca="1">IF(CostTrack[[#This Row],[Vendor - Contract]]="","",INDEX(VendorList[Funding Source],MATCH(CostTrack[[#This Row],[Vendor - Contract]],VendorList[Vendor / Org. with Contract ID],0)))</f>
        <v>P-002360</v>
      </c>
      <c r="W530" s="1308">
        <v>45016</v>
      </c>
      <c r="X530" s="1315" t="str">
        <f ca="1">IF(CostTrack[[#This Row],[Release Date (CMS)]]="","*","")</f>
        <v/>
      </c>
      <c r="Y530" s="1308" t="s">
        <v>53</v>
      </c>
      <c r="Z530" s="713"/>
      <c r="AA530" s="1316">
        <f ca="1">IF(OR(CostTrack[[#This Row],[Release Date (CMS)]]&gt;=DATE(VALUE(REPLACE(CostTrack[[#This Row],[Fiscal Period]],3,3,"")),3,1),CostTrack[[#This Row],[Release Date (CMS)]]&lt;DATE(VALUE(LEFT(CostTrack[[#This Row],[Fiscal Period]],4)),4,1)),1,0)</f>
        <v>1</v>
      </c>
      <c r="AB530" s="1317">
        <v>8005.14</v>
      </c>
      <c r="AC530" s="1308">
        <v>45029</v>
      </c>
      <c r="AD530" s="402" t="str">
        <f ca="1">IF(CostTrack[[#This Row],[Reconciled Amount]]="","",IF(CostTrack[[#This Row],[Value]]&lt;&gt;CostTrack[[#This Row],[Reconciled Amount]],"Yes","No"))</f>
        <v>No</v>
      </c>
    </row>
    <row r="531" spans="2:31" ht="28.5" customHeight="1">
      <c r="B531" s="706" t="s">
        <v>1219</v>
      </c>
      <c r="C531" s="650" t="s">
        <v>1221</v>
      </c>
      <c r="D531" s="267">
        <v>45010</v>
      </c>
      <c r="E531" s="654">
        <v>266.83999999999997</v>
      </c>
      <c r="F531" s="647" t="s">
        <v>69</v>
      </c>
      <c r="G531" s="406">
        <f ca="1">ROUND(IF(CostTrack[[#This Row],[Holdback (Y/N/R)]]="Yes",CostTrack[[#This Row],[Value]]*-0.1,IF(CostTrack[[#This Row],[Holdback (Y/N/R)]]="Release",CostTrack[[#This Row],[Value]],0)),2)</f>
        <v>0</v>
      </c>
      <c r="H531" s="407">
        <f ca="1">IF(CostTrack[[#This Row],[Holdback (Y/N/R)]]="Release",CostTrack[[#This Row],[Value]],CostTrack[[#This Row],[Value]]+CostTrack[[#This Row],[Holdback Value]])</f>
        <v>266.83999999999997</v>
      </c>
      <c r="I531" s="650"/>
      <c r="J531" s="650"/>
      <c r="K531" s="648"/>
      <c r="L531" s="707">
        <v>45010</v>
      </c>
      <c r="M531" s="708">
        <v>45010</v>
      </c>
      <c r="N531" s="709"/>
      <c r="O531" s="712" t="s">
        <v>106</v>
      </c>
      <c r="P531" s="267">
        <v>45010</v>
      </c>
      <c r="Q531" s="243" t="str">
        <f ca="1">IF(CostTrack[[#This Row],[Vendor - Contract]]="","",INDEX(VendorList[PA ID],MATCH(CostTrack[[#This Row],[Vendor - Contract]],VendorList[Vendor / Org. with Contract ID],0)))</f>
        <v>400.020.F1</v>
      </c>
      <c r="R531" s="243" t="str">
        <f ca="1">IF(CostTrack[[#This Row],[Vendor - Contract]]="","",INDEX(VendorList[Primary Category],MATCH(CostTrack[[#This Row],[Vendor - Contract]],VendorList[Vendor / Org. with Contract ID],0)))</f>
        <v>FE_IT</v>
      </c>
      <c r="S531" s="243" t="str">
        <f ca="1">IF(CostTrack[[#This Row],[Vendor - Contract]]="","",INDEX(VendorList[Secondary Category],MATCH(CostTrack[[#This Row],[Vendor - Contract]],VendorList[Vendor / Org. with Contract ID],0)))</f>
        <v>Information Technology</v>
      </c>
      <c r="T531" s="243" t="str">
        <f ca="1">IF(CostTrack[[#This Row],[Vendor - Contract]]="","",INDEX(VendorList[Phase / Subproject],MATCH(CostTrack[[#This Row],[Vendor - Contract]],VendorList[Vendor / Org. with Contract ID],0)))</f>
        <v>--</v>
      </c>
      <c r="U531" s="243" t="str">
        <f ca="1">IF(CostTrack[[#This Row],[Vendor - Contract]]="","",INDEX(VendorList[Phase / Subproject 2],MATCH(CostTrack[[#This Row],[Vendor - Contract]],VendorList[Vendor / Org. with Contract ID],0)))</f>
        <v>--</v>
      </c>
      <c r="V531" s="243" t="str">
        <f ca="1">IF(CostTrack[[#This Row],[Vendor - Contract]]="","",INDEX(VendorList[Funding Source],MATCH(CostTrack[[#This Row],[Vendor - Contract]],VendorList[Vendor / Org. with Contract ID],0)))</f>
        <v>P-002360</v>
      </c>
      <c r="W531" s="267">
        <v>45010</v>
      </c>
      <c r="X531" s="251" t="str">
        <f ca="1">IF(CostTrack[[#This Row],[Release Date (CMS)]]="","*","")</f>
        <v/>
      </c>
      <c r="Y531" s="267" t="s">
        <v>53</v>
      </c>
      <c r="Z531" s="652"/>
      <c r="AA531" s="245">
        <f ca="1">IF(OR(CostTrack[[#This Row],[Release Date (CMS)]]&gt;=DATE(VALUE(REPLACE(CostTrack[[#This Row],[Fiscal Period]],3,3,"")),3,1),CostTrack[[#This Row],[Release Date (CMS)]]&lt;DATE(VALUE(LEFT(CostTrack[[#This Row],[Fiscal Period]],4)),4,1)),1,0)</f>
        <v>1</v>
      </c>
      <c r="AB531" s="655">
        <v>266.83999999999997</v>
      </c>
      <c r="AC531" s="267">
        <v>45029</v>
      </c>
      <c r="AD531" s="402" t="str">
        <f ca="1">IF(CostTrack[[#This Row],[Reconciled Amount]]="","",IF(CostTrack[[#This Row],[Value]]&lt;&gt;CostTrack[[#This Row],[Reconciled Amount]],"Yes","No"))</f>
        <v>No</v>
      </c>
    </row>
    <row r="532" spans="2:31" ht="28.5" customHeight="1">
      <c r="B532" s="706" t="s">
        <v>1219</v>
      </c>
      <c r="C532" s="650" t="s">
        <v>1222</v>
      </c>
      <c r="D532" s="267">
        <v>45007</v>
      </c>
      <c r="E532" s="654">
        <v>193187.6</v>
      </c>
      <c r="F532" s="647" t="s">
        <v>69</v>
      </c>
      <c r="G532" s="406">
        <f ca="1">ROUND(IF(CostTrack[[#This Row],[Holdback (Y/N/R)]]="Yes",CostTrack[[#This Row],[Value]]*-0.1,IF(CostTrack[[#This Row],[Holdback (Y/N/R)]]="Release",CostTrack[[#This Row],[Value]],0)),2)</f>
        <v>0</v>
      </c>
      <c r="H532" s="407">
        <f ca="1">IF(CostTrack[[#This Row],[Holdback (Y/N/R)]]="Release",CostTrack[[#This Row],[Value]],CostTrack[[#This Row],[Value]]+CostTrack[[#This Row],[Holdback Value]])</f>
        <v>193187.6</v>
      </c>
      <c r="I532" s="650"/>
      <c r="J532" s="650"/>
      <c r="K532" s="648"/>
      <c r="L532" s="707">
        <v>45007</v>
      </c>
      <c r="M532" s="708">
        <v>45007</v>
      </c>
      <c r="N532" s="709"/>
      <c r="O532" s="712" t="s">
        <v>106</v>
      </c>
      <c r="P532" s="267">
        <v>45007</v>
      </c>
      <c r="Q532" s="243" t="str">
        <f ca="1">IF(CostTrack[[#This Row],[Vendor - Contract]]="","",INDEX(VendorList[PA ID],MATCH(CostTrack[[#This Row],[Vendor - Contract]],VendorList[Vendor / Org. with Contract ID],0)))</f>
        <v>400.020.F1</v>
      </c>
      <c r="R532" s="243" t="str">
        <f ca="1">IF(CostTrack[[#This Row],[Vendor - Contract]]="","",INDEX(VendorList[Primary Category],MATCH(CostTrack[[#This Row],[Vendor - Contract]],VendorList[Vendor / Org. with Contract ID],0)))</f>
        <v>FE_IT</v>
      </c>
      <c r="S532" s="243" t="str">
        <f ca="1">IF(CostTrack[[#This Row],[Vendor - Contract]]="","",INDEX(VendorList[Secondary Category],MATCH(CostTrack[[#This Row],[Vendor - Contract]],VendorList[Vendor / Org. with Contract ID],0)))</f>
        <v>Information Technology</v>
      </c>
      <c r="T532" s="243" t="str">
        <f ca="1">IF(CostTrack[[#This Row],[Vendor - Contract]]="","",INDEX(VendorList[Phase / Subproject],MATCH(CostTrack[[#This Row],[Vendor - Contract]],VendorList[Vendor / Org. with Contract ID],0)))</f>
        <v>--</v>
      </c>
      <c r="U532" s="243" t="str">
        <f ca="1">IF(CostTrack[[#This Row],[Vendor - Contract]]="","",INDEX(VendorList[Phase / Subproject 2],MATCH(CostTrack[[#This Row],[Vendor - Contract]],VendorList[Vendor / Org. with Contract ID],0)))</f>
        <v>--</v>
      </c>
      <c r="V532" s="243" t="str">
        <f ca="1">IF(CostTrack[[#This Row],[Vendor - Contract]]="","",INDEX(VendorList[Funding Source],MATCH(CostTrack[[#This Row],[Vendor - Contract]],VendorList[Vendor / Org. with Contract ID],0)))</f>
        <v>P-002360</v>
      </c>
      <c r="W532" s="267">
        <v>45007</v>
      </c>
      <c r="X532" s="251" t="str">
        <f ca="1">IF(CostTrack[[#This Row],[Release Date (CMS)]]="","*","")</f>
        <v/>
      </c>
      <c r="Y532" s="267" t="s">
        <v>53</v>
      </c>
      <c r="Z532" s="652"/>
      <c r="AA532" s="245">
        <f ca="1">IF(OR(CostTrack[[#This Row],[Release Date (CMS)]]&gt;=DATE(VALUE(REPLACE(CostTrack[[#This Row],[Fiscal Period]],3,3,"")),3,1),CostTrack[[#This Row],[Release Date (CMS)]]&lt;DATE(VALUE(LEFT(CostTrack[[#This Row],[Fiscal Period]],4)),4,1)),1,0)</f>
        <v>1</v>
      </c>
      <c r="AB532" s="655">
        <v>193187.6</v>
      </c>
      <c r="AC532" s="267">
        <v>45029</v>
      </c>
      <c r="AD532" s="402" t="str">
        <f ca="1">IF(CostTrack[[#This Row],[Reconciled Amount]]="","",IF(CostTrack[[#This Row],[Value]]&lt;&gt;CostTrack[[#This Row],[Reconciled Amount]],"Yes","No"))</f>
        <v>No</v>
      </c>
    </row>
    <row r="533" spans="2:31" ht="28.5" customHeight="1">
      <c r="B533" s="706" t="s">
        <v>1219</v>
      </c>
      <c r="C533" s="650" t="s">
        <v>1223</v>
      </c>
      <c r="D533" s="267">
        <v>45007</v>
      </c>
      <c r="E533" s="654">
        <v>15032.08</v>
      </c>
      <c r="F533" s="647" t="s">
        <v>69</v>
      </c>
      <c r="G533" s="406">
        <f ca="1">ROUND(IF(CostTrack[[#This Row],[Holdback (Y/N/R)]]="Yes",CostTrack[[#This Row],[Value]]*-0.1,IF(CostTrack[[#This Row],[Holdback (Y/N/R)]]="Release",CostTrack[[#This Row],[Value]],0)),2)</f>
        <v>0</v>
      </c>
      <c r="H533" s="407">
        <f ca="1">IF(CostTrack[[#This Row],[Holdback (Y/N/R)]]="Release",CostTrack[[#This Row],[Value]],CostTrack[[#This Row],[Value]]+CostTrack[[#This Row],[Holdback Value]])</f>
        <v>15032.08</v>
      </c>
      <c r="I533" s="650"/>
      <c r="J533" s="650"/>
      <c r="K533" s="648"/>
      <c r="L533" s="707">
        <v>45007</v>
      </c>
      <c r="M533" s="708">
        <v>45007</v>
      </c>
      <c r="N533" s="709"/>
      <c r="O533" s="712" t="s">
        <v>106</v>
      </c>
      <c r="P533" s="267">
        <v>45007</v>
      </c>
      <c r="Q533" s="243" t="str">
        <f ca="1">IF(CostTrack[[#This Row],[Vendor - Contract]]="","",INDEX(VendorList[PA ID],MATCH(CostTrack[[#This Row],[Vendor - Contract]],VendorList[Vendor / Org. with Contract ID],0)))</f>
        <v>400.020.F1</v>
      </c>
      <c r="R533" s="243" t="str">
        <f ca="1">IF(CostTrack[[#This Row],[Vendor - Contract]]="","",INDEX(VendorList[Primary Category],MATCH(CostTrack[[#This Row],[Vendor - Contract]],VendorList[Vendor / Org. with Contract ID],0)))</f>
        <v>FE_IT</v>
      </c>
      <c r="S533" s="243" t="str">
        <f ca="1">IF(CostTrack[[#This Row],[Vendor - Contract]]="","",INDEX(VendorList[Secondary Category],MATCH(CostTrack[[#This Row],[Vendor - Contract]],VendorList[Vendor / Org. with Contract ID],0)))</f>
        <v>Information Technology</v>
      </c>
      <c r="T533" s="243" t="str">
        <f ca="1">IF(CostTrack[[#This Row],[Vendor - Contract]]="","",INDEX(VendorList[Phase / Subproject],MATCH(CostTrack[[#This Row],[Vendor - Contract]],VendorList[Vendor / Org. with Contract ID],0)))</f>
        <v>--</v>
      </c>
      <c r="U533" s="243" t="str">
        <f ca="1">IF(CostTrack[[#This Row],[Vendor - Contract]]="","",INDEX(VendorList[Phase / Subproject 2],MATCH(CostTrack[[#This Row],[Vendor - Contract]],VendorList[Vendor / Org. with Contract ID],0)))</f>
        <v>--</v>
      </c>
      <c r="V533" s="243" t="str">
        <f ca="1">IF(CostTrack[[#This Row],[Vendor - Contract]]="","",INDEX(VendorList[Funding Source],MATCH(CostTrack[[#This Row],[Vendor - Contract]],VendorList[Vendor / Org. with Contract ID],0)))</f>
        <v>P-002360</v>
      </c>
      <c r="W533" s="267">
        <v>45007</v>
      </c>
      <c r="X533" s="251" t="str">
        <f ca="1">IF(CostTrack[[#This Row],[Release Date (CMS)]]="","*","")</f>
        <v/>
      </c>
      <c r="Y533" s="267" t="s">
        <v>53</v>
      </c>
      <c r="Z533" s="652"/>
      <c r="AA533" s="245">
        <f ca="1">IF(OR(CostTrack[[#This Row],[Release Date (CMS)]]&gt;=DATE(VALUE(REPLACE(CostTrack[[#This Row],[Fiscal Period]],3,3,"")),3,1),CostTrack[[#This Row],[Release Date (CMS)]]&lt;DATE(VALUE(LEFT(CostTrack[[#This Row],[Fiscal Period]],4)),4,1)),1,0)</f>
        <v>1</v>
      </c>
      <c r="AB533" s="655">
        <v>15032.08</v>
      </c>
      <c r="AC533" s="267">
        <v>45029</v>
      </c>
      <c r="AD533" s="402" t="str">
        <f ca="1">IF(CostTrack[[#This Row],[Reconciled Amount]]="","",IF(CostTrack[[#This Row],[Value]]&lt;&gt;CostTrack[[#This Row],[Reconciled Amount]],"Yes","No"))</f>
        <v>No</v>
      </c>
    </row>
    <row r="534" spans="2:31" ht="28.5" customHeight="1">
      <c r="B534" s="706" t="s">
        <v>1219</v>
      </c>
      <c r="C534" s="650" t="s">
        <v>1224</v>
      </c>
      <c r="D534" s="267">
        <v>45014</v>
      </c>
      <c r="E534" s="654">
        <v>226624.94</v>
      </c>
      <c r="F534" s="647" t="s">
        <v>69</v>
      </c>
      <c r="G534" s="406">
        <f ca="1">ROUND(IF(CostTrack[[#This Row],[Holdback (Y/N/R)]]="Yes",CostTrack[[#This Row],[Value]]*-0.1,IF(CostTrack[[#This Row],[Holdback (Y/N/R)]]="Release",CostTrack[[#This Row],[Value]],0)),2)</f>
        <v>0</v>
      </c>
      <c r="H534" s="407">
        <f ca="1">IF(CostTrack[[#This Row],[Holdback (Y/N/R)]]="Release",CostTrack[[#This Row],[Value]],CostTrack[[#This Row],[Value]]+CostTrack[[#This Row],[Holdback Value]])</f>
        <v>226624.94</v>
      </c>
      <c r="I534" s="650"/>
      <c r="J534" s="650"/>
      <c r="K534" s="648"/>
      <c r="L534" s="707">
        <v>45014</v>
      </c>
      <c r="M534" s="708">
        <v>45014</v>
      </c>
      <c r="N534" s="709"/>
      <c r="O534" s="712" t="s">
        <v>106</v>
      </c>
      <c r="P534" s="267">
        <v>45014</v>
      </c>
      <c r="Q534" s="243" t="str">
        <f ca="1">IF(CostTrack[[#This Row],[Vendor - Contract]]="","",INDEX(VendorList[PA ID],MATCH(CostTrack[[#This Row],[Vendor - Contract]],VendorList[Vendor / Org. with Contract ID],0)))</f>
        <v>400.020.F1</v>
      </c>
      <c r="R534" s="243" t="str">
        <f ca="1">IF(CostTrack[[#This Row],[Vendor - Contract]]="","",INDEX(VendorList[Primary Category],MATCH(CostTrack[[#This Row],[Vendor - Contract]],VendorList[Vendor / Org. with Contract ID],0)))</f>
        <v>FE_IT</v>
      </c>
      <c r="S534" s="243" t="str">
        <f ca="1">IF(CostTrack[[#This Row],[Vendor - Contract]]="","",INDEX(VendorList[Secondary Category],MATCH(CostTrack[[#This Row],[Vendor - Contract]],VendorList[Vendor / Org. with Contract ID],0)))</f>
        <v>Information Technology</v>
      </c>
      <c r="T534" s="243" t="str">
        <f ca="1">IF(CostTrack[[#This Row],[Vendor - Contract]]="","",INDEX(VendorList[Phase / Subproject],MATCH(CostTrack[[#This Row],[Vendor - Contract]],VendorList[Vendor / Org. with Contract ID],0)))</f>
        <v>--</v>
      </c>
      <c r="U534" s="243" t="str">
        <f ca="1">IF(CostTrack[[#This Row],[Vendor - Contract]]="","",INDEX(VendorList[Phase / Subproject 2],MATCH(CostTrack[[#This Row],[Vendor - Contract]],VendorList[Vendor / Org. with Contract ID],0)))</f>
        <v>--</v>
      </c>
      <c r="V534" s="243" t="str">
        <f ca="1">IF(CostTrack[[#This Row],[Vendor - Contract]]="","",INDEX(VendorList[Funding Source],MATCH(CostTrack[[#This Row],[Vendor - Contract]],VendorList[Vendor / Org. with Contract ID],0)))</f>
        <v>P-002360</v>
      </c>
      <c r="W534" s="267">
        <v>45014</v>
      </c>
      <c r="X534" s="251" t="str">
        <f ca="1">IF(CostTrack[[#This Row],[Release Date (CMS)]]="","*","")</f>
        <v/>
      </c>
      <c r="Y534" s="267" t="s">
        <v>53</v>
      </c>
      <c r="Z534" s="652"/>
      <c r="AA534" s="245">
        <f ca="1">IF(OR(CostTrack[[#This Row],[Release Date (CMS)]]&gt;=DATE(VALUE(REPLACE(CostTrack[[#This Row],[Fiscal Period]],3,3,"")),3,1),CostTrack[[#This Row],[Release Date (CMS)]]&lt;DATE(VALUE(LEFT(CostTrack[[#This Row],[Fiscal Period]],4)),4,1)),1,0)</f>
        <v>1</v>
      </c>
      <c r="AB534" s="655">
        <v>226624.94</v>
      </c>
      <c r="AC534" s="267">
        <v>45029</v>
      </c>
      <c r="AD534" s="402" t="str">
        <f ca="1">IF(CostTrack[[#This Row],[Reconciled Amount]]="","",IF(CostTrack[[#This Row],[Value]]&lt;&gt;CostTrack[[#This Row],[Reconciled Amount]],"Yes","No"))</f>
        <v>No</v>
      </c>
    </row>
    <row r="535" spans="2:31" ht="28.5" customHeight="1">
      <c r="B535" s="1324" t="s">
        <v>1073</v>
      </c>
      <c r="C535" s="650" t="s">
        <v>1225</v>
      </c>
      <c r="D535" s="1308">
        <v>44990</v>
      </c>
      <c r="E535" s="658">
        <v>2319.7800000000002</v>
      </c>
      <c r="F535" s="1309" t="s">
        <v>69</v>
      </c>
      <c r="G535" s="1310">
        <f ca="1">ROUND(IF(CostTrack[[#This Row],[Holdback (Y/N/R)]]="Yes",CostTrack[[#This Row],[Value]]*-0.1,IF(CostTrack[[#This Row],[Holdback (Y/N/R)]]="Release",CostTrack[[#This Row],[Value]],0)),2)</f>
        <v>0</v>
      </c>
      <c r="H535" s="1311">
        <f ca="1">IF(CostTrack[[#This Row],[Holdback (Y/N/R)]]="Release",CostTrack[[#This Row],[Value]],CostTrack[[#This Row],[Value]]+CostTrack[[#This Row],[Holdback Value]])</f>
        <v>2319.7800000000002</v>
      </c>
      <c r="I535" s="1312"/>
      <c r="J535" s="1312"/>
      <c r="K535" s="1313"/>
      <c r="L535" s="1325">
        <v>44990</v>
      </c>
      <c r="M535" s="1326">
        <v>44990</v>
      </c>
      <c r="N535" s="1327"/>
      <c r="O535" s="1328" t="s">
        <v>106</v>
      </c>
      <c r="P535" s="1308">
        <v>44990</v>
      </c>
      <c r="Q535" s="1314" t="str">
        <f ca="1">IF(CostTrack[[#This Row],[Vendor - Contract]]="","",INDEX(VendorList[PA ID],MATCH(CostTrack[[#This Row],[Vendor - Contract]],VendorList[Vendor / Org. with Contract ID],0)))</f>
        <v>400.020.F1</v>
      </c>
      <c r="R535" s="1314" t="str">
        <f ca="1">IF(CostTrack[[#This Row],[Vendor - Contract]]="","",INDEX(VendorList[Primary Category],MATCH(CostTrack[[#This Row],[Vendor - Contract]],VendorList[Vendor / Org. with Contract ID],0)))</f>
        <v>FE_IT</v>
      </c>
      <c r="S535" s="1314" t="str">
        <f ca="1">IF(CostTrack[[#This Row],[Vendor - Contract]]="","",INDEX(VendorList[Secondary Category],MATCH(CostTrack[[#This Row],[Vendor - Contract]],VendorList[Vendor / Org. with Contract ID],0)))</f>
        <v>Information Technology</v>
      </c>
      <c r="T535" s="1314" t="str">
        <f ca="1">IF(CostTrack[[#This Row],[Vendor - Contract]]="","",INDEX(VendorList[Phase / Subproject],MATCH(CostTrack[[#This Row],[Vendor - Contract]],VendorList[Vendor / Org. with Contract ID],0)))</f>
        <v>--</v>
      </c>
      <c r="U535" s="1314" t="str">
        <f ca="1">IF(CostTrack[[#This Row],[Vendor - Contract]]="","",INDEX(VendorList[Phase / Subproject 2],MATCH(CostTrack[[#This Row],[Vendor - Contract]],VendorList[Vendor / Org. with Contract ID],0)))</f>
        <v>--</v>
      </c>
      <c r="V535" s="1314" t="str">
        <f ca="1">IF(CostTrack[[#This Row],[Vendor - Contract]]="","",INDEX(VendorList[Funding Source],MATCH(CostTrack[[#This Row],[Vendor - Contract]],VendorList[Vendor / Org. with Contract ID],0)))</f>
        <v>P-002360</v>
      </c>
      <c r="W535" s="1308">
        <v>44990</v>
      </c>
      <c r="X535" s="1315" t="str">
        <f ca="1">IF(CostTrack[[#This Row],[Release Date (CMS)]]="","*","")</f>
        <v/>
      </c>
      <c r="Y535" s="1308" t="s">
        <v>53</v>
      </c>
      <c r="Z535" s="713"/>
      <c r="AA535" s="1316">
        <f ca="1">IF(OR(CostTrack[[#This Row],[Release Date (CMS)]]&gt;=DATE(VALUE(REPLACE(CostTrack[[#This Row],[Fiscal Period]],3,3,"")),3,1),CostTrack[[#This Row],[Release Date (CMS)]]&lt;DATE(VALUE(LEFT(CostTrack[[#This Row],[Fiscal Period]],4)),4,1)),1,0)</f>
        <v>1</v>
      </c>
      <c r="AB535" s="1317">
        <v>2319.7800000000002</v>
      </c>
      <c r="AC535" s="1308">
        <v>45029</v>
      </c>
      <c r="AD535" s="402" t="str">
        <f ca="1">IF(CostTrack[[#This Row],[Reconciled Amount]]="","",IF(CostTrack[[#This Row],[Value]]&lt;&gt;CostTrack[[#This Row],[Reconciled Amount]],"Yes","No"))</f>
        <v>No</v>
      </c>
    </row>
    <row r="536" spans="2:31" ht="28.5" customHeight="1">
      <c r="B536" s="1324" t="s">
        <v>1134</v>
      </c>
      <c r="C536" s="1312" t="s">
        <v>1226</v>
      </c>
      <c r="D536" s="1308">
        <v>44990</v>
      </c>
      <c r="E536" s="658">
        <v>448183.4</v>
      </c>
      <c r="F536" s="1309" t="s">
        <v>69</v>
      </c>
      <c r="G536" s="1310">
        <f ca="1">ROUND(IF(CostTrack[[#This Row],[Holdback (Y/N/R)]]="Yes",CostTrack[[#This Row],[Value]]*-0.1,IF(CostTrack[[#This Row],[Holdback (Y/N/R)]]="Release",CostTrack[[#This Row],[Value]],0)),2)</f>
        <v>0</v>
      </c>
      <c r="H536" s="1311">
        <f ca="1">IF(CostTrack[[#This Row],[Holdback (Y/N/R)]]="Release",CostTrack[[#This Row],[Value]],CostTrack[[#This Row],[Value]]+CostTrack[[#This Row],[Holdback Value]])</f>
        <v>448183.4</v>
      </c>
      <c r="I536" s="1312"/>
      <c r="J536" s="1312"/>
      <c r="K536" s="1313"/>
      <c r="L536" s="1325">
        <v>44990</v>
      </c>
      <c r="M536" s="1326">
        <v>44990</v>
      </c>
      <c r="N536" s="1327"/>
      <c r="O536" s="1328" t="s">
        <v>106</v>
      </c>
      <c r="P536" s="1308">
        <v>44990</v>
      </c>
      <c r="Q536" s="1314" t="str">
        <f ca="1">IF(CostTrack[[#This Row],[Vendor - Contract]]="","",INDEX(VendorList[PA ID],MATCH(CostTrack[[#This Row],[Vendor - Contract]],VendorList[Vendor / Org. with Contract ID],0)))</f>
        <v>400.020.F1</v>
      </c>
      <c r="R536" s="1314" t="str">
        <f ca="1">IF(CostTrack[[#This Row],[Vendor - Contract]]="","",INDEX(VendorList[Primary Category],MATCH(CostTrack[[#This Row],[Vendor - Contract]],VendorList[Vendor / Org. with Contract ID],0)))</f>
        <v>FE_IT</v>
      </c>
      <c r="S536" s="1314" t="str">
        <f ca="1">IF(CostTrack[[#This Row],[Vendor - Contract]]="","",INDEX(VendorList[Secondary Category],MATCH(CostTrack[[#This Row],[Vendor - Contract]],VendorList[Vendor / Org. with Contract ID],0)))</f>
        <v>Information Technology</v>
      </c>
      <c r="T536" s="1314" t="str">
        <f ca="1">IF(CostTrack[[#This Row],[Vendor - Contract]]="","",INDEX(VendorList[Phase / Subproject],MATCH(CostTrack[[#This Row],[Vendor - Contract]],VendorList[Vendor / Org. with Contract ID],0)))</f>
        <v>--</v>
      </c>
      <c r="U536" s="1314" t="str">
        <f ca="1">IF(CostTrack[[#This Row],[Vendor - Contract]]="","",INDEX(VendorList[Phase / Subproject 2],MATCH(CostTrack[[#This Row],[Vendor - Contract]],VendorList[Vendor / Org. with Contract ID],0)))</f>
        <v>--</v>
      </c>
      <c r="V536" s="1314" t="str">
        <f ca="1">IF(CostTrack[[#This Row],[Vendor - Contract]]="","",INDEX(VendorList[Funding Source],MATCH(CostTrack[[#This Row],[Vendor - Contract]],VendorList[Vendor / Org. with Contract ID],0)))</f>
        <v>P-002360</v>
      </c>
      <c r="W536" s="1308">
        <v>44990</v>
      </c>
      <c r="X536" s="1315" t="str">
        <f ca="1">IF(CostTrack[[#This Row],[Release Date (CMS)]]="","*","")</f>
        <v/>
      </c>
      <c r="Y536" s="1308" t="s">
        <v>53</v>
      </c>
      <c r="Z536" s="713"/>
      <c r="AA536" s="1316">
        <f ca="1">IF(OR(CostTrack[[#This Row],[Release Date (CMS)]]&gt;=DATE(VALUE(REPLACE(CostTrack[[#This Row],[Fiscal Period]],3,3,"")),3,1),CostTrack[[#This Row],[Release Date (CMS)]]&lt;DATE(VALUE(LEFT(CostTrack[[#This Row],[Fiscal Period]],4)),4,1)),1,0)</f>
        <v>1</v>
      </c>
      <c r="AB536" s="1317">
        <v>448183.4</v>
      </c>
      <c r="AC536" s="1308">
        <v>45029</v>
      </c>
      <c r="AD536" s="402" t="str">
        <f ca="1">IF(CostTrack[[#This Row],[Reconciled Amount]]="","",IF(CostTrack[[#This Row],[Value]]&lt;&gt;CostTrack[[#This Row],[Reconciled Amount]],"Yes","No"))</f>
        <v>No</v>
      </c>
    </row>
    <row r="537" spans="2:31" ht="28.5" customHeight="1">
      <c r="B537" s="1324" t="s">
        <v>1134</v>
      </c>
      <c r="C537" s="1312" t="s">
        <v>1227</v>
      </c>
      <c r="D537" s="1308">
        <v>45015</v>
      </c>
      <c r="E537" s="658">
        <v>305937.62</v>
      </c>
      <c r="F537" s="1309" t="s">
        <v>69</v>
      </c>
      <c r="G537" s="1310">
        <f ca="1">ROUND(IF(CostTrack[[#This Row],[Holdback (Y/N/R)]]="Yes",CostTrack[[#This Row],[Value]]*-0.1,IF(CostTrack[[#This Row],[Holdback (Y/N/R)]]="Release",CostTrack[[#This Row],[Value]],0)),2)</f>
        <v>0</v>
      </c>
      <c r="H537" s="1311">
        <f ca="1">IF(CostTrack[[#This Row],[Holdback (Y/N/R)]]="Release",CostTrack[[#This Row],[Value]],CostTrack[[#This Row],[Value]]+CostTrack[[#This Row],[Holdback Value]])</f>
        <v>305937.62</v>
      </c>
      <c r="I537" s="1312"/>
      <c r="J537" s="1312"/>
      <c r="K537" s="1313"/>
      <c r="L537" s="1325">
        <v>45015</v>
      </c>
      <c r="M537" s="1326">
        <v>45015</v>
      </c>
      <c r="N537" s="1327"/>
      <c r="O537" s="1328" t="s">
        <v>106</v>
      </c>
      <c r="P537" s="1308">
        <v>45015</v>
      </c>
      <c r="Q537" s="1314" t="str">
        <f ca="1">IF(CostTrack[[#This Row],[Vendor - Contract]]="","",INDEX(VendorList[PA ID],MATCH(CostTrack[[#This Row],[Vendor - Contract]],VendorList[Vendor / Org. with Contract ID],0)))</f>
        <v>400.020.F1</v>
      </c>
      <c r="R537" s="1314" t="str">
        <f ca="1">IF(CostTrack[[#This Row],[Vendor - Contract]]="","",INDEX(VendorList[Primary Category],MATCH(CostTrack[[#This Row],[Vendor - Contract]],VendorList[Vendor / Org. with Contract ID],0)))</f>
        <v>FE_IT</v>
      </c>
      <c r="S537" s="1314" t="str">
        <f ca="1">IF(CostTrack[[#This Row],[Vendor - Contract]]="","",INDEX(VendorList[Secondary Category],MATCH(CostTrack[[#This Row],[Vendor - Contract]],VendorList[Vendor / Org. with Contract ID],0)))</f>
        <v>Information Technology</v>
      </c>
      <c r="T537" s="1314" t="str">
        <f ca="1">IF(CostTrack[[#This Row],[Vendor - Contract]]="","",INDEX(VendorList[Phase / Subproject],MATCH(CostTrack[[#This Row],[Vendor - Contract]],VendorList[Vendor / Org. with Contract ID],0)))</f>
        <v>--</v>
      </c>
      <c r="U537" s="1314" t="str">
        <f ca="1">IF(CostTrack[[#This Row],[Vendor - Contract]]="","",INDEX(VendorList[Phase / Subproject 2],MATCH(CostTrack[[#This Row],[Vendor - Contract]],VendorList[Vendor / Org. with Contract ID],0)))</f>
        <v>--</v>
      </c>
      <c r="V537" s="1314" t="str">
        <f ca="1">IF(CostTrack[[#This Row],[Vendor - Contract]]="","",INDEX(VendorList[Funding Source],MATCH(CostTrack[[#This Row],[Vendor - Contract]],VendorList[Vendor / Org. with Contract ID],0)))</f>
        <v>P-002360</v>
      </c>
      <c r="W537" s="1308">
        <v>45015</v>
      </c>
      <c r="X537" s="1315" t="str">
        <f ca="1">IF(CostTrack[[#This Row],[Release Date (CMS)]]="","*","")</f>
        <v/>
      </c>
      <c r="Y537" s="1308" t="s">
        <v>53</v>
      </c>
      <c r="Z537" s="713"/>
      <c r="AA537" s="1316">
        <f ca="1">IF(OR(CostTrack[[#This Row],[Release Date (CMS)]]&gt;=DATE(VALUE(REPLACE(CostTrack[[#This Row],[Fiscal Period]],3,3,"")),3,1),CostTrack[[#This Row],[Release Date (CMS)]]&lt;DATE(VALUE(LEFT(CostTrack[[#This Row],[Fiscal Period]],4)),4,1)),1,0)</f>
        <v>1</v>
      </c>
      <c r="AB537" s="1317">
        <v>305937.62</v>
      </c>
      <c r="AC537" s="1308">
        <v>45029</v>
      </c>
      <c r="AD537" s="402" t="str">
        <f ca="1">IF(CostTrack[[#This Row],[Reconciled Amount]]="","",IF(CostTrack[[#This Row],[Value]]&lt;&gt;CostTrack[[#This Row],[Reconciled Amount]],"Yes","No"))</f>
        <v>No</v>
      </c>
    </row>
    <row r="538" spans="2:31" ht="28.5" customHeight="1">
      <c r="B538" s="1324" t="s">
        <v>1134</v>
      </c>
      <c r="C538" s="1312" t="s">
        <v>1228</v>
      </c>
      <c r="D538" s="1308">
        <v>45009</v>
      </c>
      <c r="E538" s="658">
        <v>6837.28</v>
      </c>
      <c r="F538" s="1309" t="s">
        <v>69</v>
      </c>
      <c r="G538" s="1310">
        <f ca="1">ROUND(IF(CostTrack[[#This Row],[Holdback (Y/N/R)]]="Yes",CostTrack[[#This Row],[Value]]*-0.1,IF(CostTrack[[#This Row],[Holdback (Y/N/R)]]="Release",CostTrack[[#This Row],[Value]],0)),2)</f>
        <v>0</v>
      </c>
      <c r="H538" s="1311">
        <f ca="1">IF(CostTrack[[#This Row],[Holdback (Y/N/R)]]="Release",CostTrack[[#This Row],[Value]],CostTrack[[#This Row],[Value]]+CostTrack[[#This Row],[Holdback Value]])</f>
        <v>6837.28</v>
      </c>
      <c r="I538" s="1312"/>
      <c r="J538" s="1312"/>
      <c r="K538" s="1313"/>
      <c r="L538" s="1325">
        <v>45009</v>
      </c>
      <c r="M538" s="1326">
        <v>45009</v>
      </c>
      <c r="N538" s="1327"/>
      <c r="O538" s="1328" t="s">
        <v>106</v>
      </c>
      <c r="P538" s="1308">
        <v>45009</v>
      </c>
      <c r="Q538" s="1314" t="str">
        <f ca="1">IF(CostTrack[[#This Row],[Vendor - Contract]]="","",INDEX(VendorList[PA ID],MATCH(CostTrack[[#This Row],[Vendor - Contract]],VendorList[Vendor / Org. with Contract ID],0)))</f>
        <v>400.020.F1</v>
      </c>
      <c r="R538" s="1314" t="str">
        <f ca="1">IF(CostTrack[[#This Row],[Vendor - Contract]]="","",INDEX(VendorList[Primary Category],MATCH(CostTrack[[#This Row],[Vendor - Contract]],VendorList[Vendor / Org. with Contract ID],0)))</f>
        <v>FE_IT</v>
      </c>
      <c r="S538" s="1314" t="str">
        <f ca="1">IF(CostTrack[[#This Row],[Vendor - Contract]]="","",INDEX(VendorList[Secondary Category],MATCH(CostTrack[[#This Row],[Vendor - Contract]],VendorList[Vendor / Org. with Contract ID],0)))</f>
        <v>Information Technology</v>
      </c>
      <c r="T538" s="1314" t="str">
        <f ca="1">IF(CostTrack[[#This Row],[Vendor - Contract]]="","",INDEX(VendorList[Phase / Subproject],MATCH(CostTrack[[#This Row],[Vendor - Contract]],VendorList[Vendor / Org. with Contract ID],0)))</f>
        <v>--</v>
      </c>
      <c r="U538" s="1314" t="str">
        <f ca="1">IF(CostTrack[[#This Row],[Vendor - Contract]]="","",INDEX(VendorList[Phase / Subproject 2],MATCH(CostTrack[[#This Row],[Vendor - Contract]],VendorList[Vendor / Org. with Contract ID],0)))</f>
        <v>--</v>
      </c>
      <c r="V538" s="1314" t="str">
        <f ca="1">IF(CostTrack[[#This Row],[Vendor - Contract]]="","",INDEX(VendorList[Funding Source],MATCH(CostTrack[[#This Row],[Vendor - Contract]],VendorList[Vendor / Org. with Contract ID],0)))</f>
        <v>P-002360</v>
      </c>
      <c r="W538" s="1308">
        <v>45009</v>
      </c>
      <c r="X538" s="1315" t="str">
        <f ca="1">IF(CostTrack[[#This Row],[Release Date (CMS)]]="","*","")</f>
        <v/>
      </c>
      <c r="Y538" s="1308" t="s">
        <v>53</v>
      </c>
      <c r="Z538" s="713"/>
      <c r="AA538" s="1316">
        <f ca="1">IF(OR(CostTrack[[#This Row],[Release Date (CMS)]]&gt;=DATE(VALUE(REPLACE(CostTrack[[#This Row],[Fiscal Period]],3,3,"")),3,1),CostTrack[[#This Row],[Release Date (CMS)]]&lt;DATE(VALUE(LEFT(CostTrack[[#This Row],[Fiscal Period]],4)),4,1)),1,0)</f>
        <v>1</v>
      </c>
      <c r="AB538" s="1317">
        <v>6837.28</v>
      </c>
      <c r="AC538" s="1308">
        <v>45029</v>
      </c>
      <c r="AD538" s="402" t="str">
        <f ca="1">IF(CostTrack[[#This Row],[Reconciled Amount]]="","",IF(CostTrack[[#This Row],[Value]]&lt;&gt;CostTrack[[#This Row],[Reconciled Amount]],"Yes","No"))</f>
        <v>No</v>
      </c>
    </row>
    <row r="539" spans="2:31" ht="28.5" customHeight="1">
      <c r="B539" s="1324" t="s">
        <v>1134</v>
      </c>
      <c r="C539" s="1312" t="s">
        <v>1226</v>
      </c>
      <c r="D539" s="1308">
        <v>44990</v>
      </c>
      <c r="E539" s="658">
        <v>33165.64</v>
      </c>
      <c r="F539" s="1309" t="s">
        <v>69</v>
      </c>
      <c r="G539" s="1310">
        <f ca="1">ROUND(IF(CostTrack[[#This Row],[Holdback (Y/N/R)]]="Yes",CostTrack[[#This Row],[Value]]*-0.1,IF(CostTrack[[#This Row],[Holdback (Y/N/R)]]="Release",CostTrack[[#This Row],[Value]],0)),2)</f>
        <v>0</v>
      </c>
      <c r="H539" s="1311">
        <f ca="1">IF(CostTrack[[#This Row],[Holdback (Y/N/R)]]="Release",CostTrack[[#This Row],[Value]],CostTrack[[#This Row],[Value]]+CostTrack[[#This Row],[Holdback Value]])</f>
        <v>33165.64</v>
      </c>
      <c r="I539" s="1312"/>
      <c r="J539" s="1312"/>
      <c r="K539" s="1313"/>
      <c r="L539" s="1325">
        <v>44990</v>
      </c>
      <c r="M539" s="1326">
        <v>44990</v>
      </c>
      <c r="N539" s="1327"/>
      <c r="O539" s="1328" t="s">
        <v>106</v>
      </c>
      <c r="P539" s="1308">
        <v>44990</v>
      </c>
      <c r="Q539" s="1314" t="str">
        <f ca="1">IF(CostTrack[[#This Row],[Vendor - Contract]]="","",INDEX(VendorList[PA ID],MATCH(CostTrack[[#This Row],[Vendor - Contract]],VendorList[Vendor / Org. with Contract ID],0)))</f>
        <v>400.020.F1</v>
      </c>
      <c r="R539" s="1314" t="str">
        <f ca="1">IF(CostTrack[[#This Row],[Vendor - Contract]]="","",INDEX(VendorList[Primary Category],MATCH(CostTrack[[#This Row],[Vendor - Contract]],VendorList[Vendor / Org. with Contract ID],0)))</f>
        <v>FE_IT</v>
      </c>
      <c r="S539" s="1314" t="str">
        <f ca="1">IF(CostTrack[[#This Row],[Vendor - Contract]]="","",INDEX(VendorList[Secondary Category],MATCH(CostTrack[[#This Row],[Vendor - Contract]],VendorList[Vendor / Org. with Contract ID],0)))</f>
        <v>Information Technology</v>
      </c>
      <c r="T539" s="1314" t="str">
        <f ca="1">IF(CostTrack[[#This Row],[Vendor - Contract]]="","",INDEX(VendorList[Phase / Subproject],MATCH(CostTrack[[#This Row],[Vendor - Contract]],VendorList[Vendor / Org. with Contract ID],0)))</f>
        <v>--</v>
      </c>
      <c r="U539" s="1314" t="str">
        <f ca="1">IF(CostTrack[[#This Row],[Vendor - Contract]]="","",INDEX(VendorList[Phase / Subproject 2],MATCH(CostTrack[[#This Row],[Vendor - Contract]],VendorList[Vendor / Org. with Contract ID],0)))</f>
        <v>--</v>
      </c>
      <c r="V539" s="1314" t="str">
        <f ca="1">IF(CostTrack[[#This Row],[Vendor - Contract]]="","",INDEX(VendorList[Funding Source],MATCH(CostTrack[[#This Row],[Vendor - Contract]],VendorList[Vendor / Org. with Contract ID],0)))</f>
        <v>P-002360</v>
      </c>
      <c r="W539" s="1308">
        <v>44990</v>
      </c>
      <c r="X539" s="1315" t="str">
        <f ca="1">IF(CostTrack[[#This Row],[Release Date (CMS)]]="","*","")</f>
        <v/>
      </c>
      <c r="Y539" s="1308" t="s">
        <v>53</v>
      </c>
      <c r="Z539" s="713"/>
      <c r="AA539" s="1316">
        <f ca="1">IF(OR(CostTrack[[#This Row],[Release Date (CMS)]]&gt;=DATE(VALUE(REPLACE(CostTrack[[#This Row],[Fiscal Period]],3,3,"")),3,1),CostTrack[[#This Row],[Release Date (CMS)]]&lt;DATE(VALUE(LEFT(CostTrack[[#This Row],[Fiscal Period]],4)),4,1)),1,0)</f>
        <v>1</v>
      </c>
      <c r="AB539" s="1317">
        <v>33165.64</v>
      </c>
      <c r="AC539" s="1308">
        <v>45029</v>
      </c>
      <c r="AD539" s="402" t="str">
        <f ca="1">IF(CostTrack[[#This Row],[Reconciled Amount]]="","",IF(CostTrack[[#This Row],[Value]]&lt;&gt;CostTrack[[#This Row],[Reconciled Amount]],"Yes","No"))</f>
        <v>No</v>
      </c>
    </row>
    <row r="540" spans="2:31" ht="28.5" customHeight="1">
      <c r="B540" s="1324" t="s">
        <v>1134</v>
      </c>
      <c r="C540" s="1312" t="s">
        <v>1229</v>
      </c>
      <c r="D540" s="1308">
        <v>44988</v>
      </c>
      <c r="E540" s="658">
        <v>82038.52</v>
      </c>
      <c r="F540" s="1309" t="s">
        <v>69</v>
      </c>
      <c r="G540" s="1310">
        <f ca="1">ROUND(IF(CostTrack[[#This Row],[Holdback (Y/N/R)]]="Yes",CostTrack[[#This Row],[Value]]*-0.1,IF(CostTrack[[#This Row],[Holdback (Y/N/R)]]="Release",CostTrack[[#This Row],[Value]],0)),2)</f>
        <v>0</v>
      </c>
      <c r="H540" s="1311">
        <f ca="1">IF(CostTrack[[#This Row],[Holdback (Y/N/R)]]="Release",CostTrack[[#This Row],[Value]],CostTrack[[#This Row],[Value]]+CostTrack[[#This Row],[Holdback Value]])</f>
        <v>82038.52</v>
      </c>
      <c r="I540" s="1312"/>
      <c r="J540" s="1312"/>
      <c r="K540" s="1313"/>
      <c r="L540" s="1325">
        <v>44988</v>
      </c>
      <c r="M540" s="1326">
        <v>44988</v>
      </c>
      <c r="N540" s="1327"/>
      <c r="O540" s="1328" t="s">
        <v>106</v>
      </c>
      <c r="P540" s="1308">
        <v>44988</v>
      </c>
      <c r="Q540" s="1314" t="str">
        <f ca="1">IF(CostTrack[[#This Row],[Vendor - Contract]]="","",INDEX(VendorList[PA ID],MATCH(CostTrack[[#This Row],[Vendor - Contract]],VendorList[Vendor / Org. with Contract ID],0)))</f>
        <v>400.020.F1</v>
      </c>
      <c r="R540" s="1314" t="str">
        <f ca="1">IF(CostTrack[[#This Row],[Vendor - Contract]]="","",INDEX(VendorList[Primary Category],MATCH(CostTrack[[#This Row],[Vendor - Contract]],VendorList[Vendor / Org. with Contract ID],0)))</f>
        <v>FE_IT</v>
      </c>
      <c r="S540" s="1314" t="str">
        <f ca="1">IF(CostTrack[[#This Row],[Vendor - Contract]]="","",INDEX(VendorList[Secondary Category],MATCH(CostTrack[[#This Row],[Vendor - Contract]],VendorList[Vendor / Org. with Contract ID],0)))</f>
        <v>Information Technology</v>
      </c>
      <c r="T540" s="1314" t="str">
        <f ca="1">IF(CostTrack[[#This Row],[Vendor - Contract]]="","",INDEX(VendorList[Phase / Subproject],MATCH(CostTrack[[#This Row],[Vendor - Contract]],VendorList[Vendor / Org. with Contract ID],0)))</f>
        <v>--</v>
      </c>
      <c r="U540" s="1314" t="str">
        <f ca="1">IF(CostTrack[[#This Row],[Vendor - Contract]]="","",INDEX(VendorList[Phase / Subproject 2],MATCH(CostTrack[[#This Row],[Vendor - Contract]],VendorList[Vendor / Org. with Contract ID],0)))</f>
        <v>--</v>
      </c>
      <c r="V540" s="1314" t="str">
        <f ca="1">IF(CostTrack[[#This Row],[Vendor - Contract]]="","",INDEX(VendorList[Funding Source],MATCH(CostTrack[[#This Row],[Vendor - Contract]],VendorList[Vendor / Org. with Contract ID],0)))</f>
        <v>P-002360</v>
      </c>
      <c r="W540" s="1308">
        <v>44988</v>
      </c>
      <c r="X540" s="1315" t="str">
        <f ca="1">IF(CostTrack[[#This Row],[Release Date (CMS)]]="","*","")</f>
        <v/>
      </c>
      <c r="Y540" s="1308" t="s">
        <v>53</v>
      </c>
      <c r="Z540" s="713"/>
      <c r="AA540" s="1316">
        <f ca="1">IF(OR(CostTrack[[#This Row],[Release Date (CMS)]]&gt;=DATE(VALUE(REPLACE(CostTrack[[#This Row],[Fiscal Period]],3,3,"")),3,1),CostTrack[[#This Row],[Release Date (CMS)]]&lt;DATE(VALUE(LEFT(CostTrack[[#This Row],[Fiscal Period]],4)),4,1)),1,0)</f>
        <v>1</v>
      </c>
      <c r="AB540" s="1317">
        <v>82038.52</v>
      </c>
      <c r="AC540" s="1308">
        <v>45029</v>
      </c>
      <c r="AD540" s="402" t="str">
        <f ca="1">IF(CostTrack[[#This Row],[Reconciled Amount]]="","",IF(CostTrack[[#This Row],[Value]]&lt;&gt;CostTrack[[#This Row],[Reconciled Amount]],"Yes","No"))</f>
        <v>No</v>
      </c>
    </row>
    <row r="541" spans="2:31" ht="28.5" customHeight="1">
      <c r="B541" s="1324" t="s">
        <v>754</v>
      </c>
      <c r="C541" s="1312">
        <v>800105291</v>
      </c>
      <c r="D541" s="1308">
        <v>45014</v>
      </c>
      <c r="E541" s="658">
        <v>19.809999999999999</v>
      </c>
      <c r="F541" s="1309" t="s">
        <v>69</v>
      </c>
      <c r="G541" s="1310">
        <f ca="1">ROUND(IF(CostTrack[[#This Row],[Holdback (Y/N/R)]]="Yes",CostTrack[[#This Row],[Value]]*-0.1,IF(CostTrack[[#This Row],[Holdback (Y/N/R)]]="Release",CostTrack[[#This Row],[Value]],0)),2)</f>
        <v>0</v>
      </c>
      <c r="H541" s="1311">
        <f ca="1">IF(CostTrack[[#This Row],[Holdback (Y/N/R)]]="Release",CostTrack[[#This Row],[Value]],CostTrack[[#This Row],[Value]]+CostTrack[[#This Row],[Holdback Value]])</f>
        <v>19.809999999999999</v>
      </c>
      <c r="I541" s="1312"/>
      <c r="J541" s="1312"/>
      <c r="K541" s="1313"/>
      <c r="L541" s="1325">
        <v>45014</v>
      </c>
      <c r="M541" s="1326">
        <v>45014</v>
      </c>
      <c r="N541" s="1327"/>
      <c r="O541" s="1328" t="s">
        <v>106</v>
      </c>
      <c r="P541" s="1308">
        <v>45014</v>
      </c>
      <c r="Q541" s="1314" t="str">
        <f ca="1">IF(CostTrack[[#This Row],[Vendor - Contract]]="","",INDEX(VendorList[PA ID],MATCH(CostTrack[[#This Row],[Vendor - Contract]],VendorList[Vendor / Org. with Contract ID],0)))</f>
        <v>100.050.F1</v>
      </c>
      <c r="R541" s="1314" t="str">
        <f ca="1">IF(CostTrack[[#This Row],[Vendor - Contract]]="","",INDEX(VendorList[Primary Category],MATCH(CostTrack[[#This Row],[Vendor - Contract]],VendorList[Vendor / Org. with Contract ID],0)))</f>
        <v>Administration</v>
      </c>
      <c r="S541" s="1314" t="str">
        <f ca="1">IF(CostTrack[[#This Row],[Vendor - Contract]]="","",INDEX(VendorList[Secondary Category],MATCH(CostTrack[[#This Row],[Vendor - Contract]],VendorList[Vendor / Org. with Contract ID],0)))</f>
        <v>Other Administration</v>
      </c>
      <c r="T541" s="1314" t="str">
        <f ca="1">IF(CostTrack[[#This Row],[Vendor - Contract]]="","",INDEX(VendorList[Phase / Subproject],MATCH(CostTrack[[#This Row],[Vendor - Contract]],VendorList[Vendor / Org. with Contract ID],0)))</f>
        <v>--</v>
      </c>
      <c r="U541" s="1314" t="str">
        <f ca="1">IF(CostTrack[[#This Row],[Vendor - Contract]]="","",INDEX(VendorList[Phase / Subproject 2],MATCH(CostTrack[[#This Row],[Vendor - Contract]],VendorList[Vendor / Org. with Contract ID],0)))</f>
        <v>--</v>
      </c>
      <c r="V541" s="1314" t="str">
        <f ca="1">IF(CostTrack[[#This Row],[Vendor - Contract]]="","",INDEX(VendorList[Funding Source],MATCH(CostTrack[[#This Row],[Vendor - Contract]],VendorList[Vendor / Org. with Contract ID],0)))</f>
        <v>P-002360</v>
      </c>
      <c r="W541" s="1308">
        <v>45014</v>
      </c>
      <c r="X541" s="1315" t="str">
        <f ca="1">IF(CostTrack[[#This Row],[Release Date (CMS)]]="","*","")</f>
        <v/>
      </c>
      <c r="Y541" s="1308" t="s">
        <v>53</v>
      </c>
      <c r="Z541" s="713"/>
      <c r="AA541" s="1316">
        <f ca="1">IF(OR(CostTrack[[#This Row],[Release Date (CMS)]]&gt;=DATE(VALUE(REPLACE(CostTrack[[#This Row],[Fiscal Period]],3,3,"")),3,1),CostTrack[[#This Row],[Release Date (CMS)]]&lt;DATE(VALUE(LEFT(CostTrack[[#This Row],[Fiscal Period]],4)),4,1)),1,0)</f>
        <v>1</v>
      </c>
      <c r="AB541" s="1317">
        <v>19.809999999999999</v>
      </c>
      <c r="AC541" s="1308">
        <v>45029</v>
      </c>
      <c r="AD541" s="402" t="str">
        <f ca="1">IF(CostTrack[[#This Row],[Reconciled Amount]]="","",IF(CostTrack[[#This Row],[Value]]&lt;&gt;CostTrack[[#This Row],[Reconciled Amount]],"Yes","No"))</f>
        <v>No</v>
      </c>
    </row>
    <row r="542" spans="2:31" ht="62.65" customHeight="1">
      <c r="B542" s="706" t="s">
        <v>1087</v>
      </c>
      <c r="C542" s="884" t="s">
        <v>1230</v>
      </c>
      <c r="D542" s="267">
        <v>45017</v>
      </c>
      <c r="E542" s="654">
        <v>13333.91</v>
      </c>
      <c r="F542" s="647" t="s">
        <v>69</v>
      </c>
      <c r="G542" s="406">
        <f ca="1">ROUND(IF(CostTrack[[#This Row],[Holdback (Y/N/R)]]="Yes",CostTrack[[#This Row],[Value]]*-0.1,IF(CostTrack[[#This Row],[Holdback (Y/N/R)]]="Release",CostTrack[[#This Row],[Value]],0)),2)</f>
        <v>0</v>
      </c>
      <c r="H542" s="407">
        <f ca="1">IF(CostTrack[[#This Row],[Holdback (Y/N/R)]]="Release",CostTrack[[#This Row],[Value]],CostTrack[[#This Row],[Value]]+CostTrack[[#This Row],[Holdback Value]])</f>
        <v>13333.91</v>
      </c>
      <c r="I542" s="650"/>
      <c r="J542" s="650"/>
      <c r="K542" s="648"/>
      <c r="L542" s="707">
        <v>45027</v>
      </c>
      <c r="M542" s="708">
        <v>45027</v>
      </c>
      <c r="N542" s="709"/>
      <c r="O542" s="712" t="s">
        <v>106</v>
      </c>
      <c r="P542" s="267">
        <v>45028</v>
      </c>
      <c r="Q542" s="243" t="str">
        <f ca="1">IF(CostTrack[[#This Row],[Vendor - Contract]]="","",INDEX(VendorList[PA ID],MATCH(CostTrack[[#This Row],[Vendor - Contract]],VendorList[Vendor / Org. with Contract ID],0)))</f>
        <v>300.040.F1</v>
      </c>
      <c r="R542" s="243" t="str">
        <f ca="1">IF(CostTrack[[#This Row],[Vendor - Contract]]="","",INDEX(VendorList[Primary Category],MATCH(CostTrack[[#This Row],[Vendor - Contract]],VendorList[Vendor / Org. with Contract ID],0)))</f>
        <v>Construction</v>
      </c>
      <c r="S542" s="243" t="str">
        <f ca="1">IF(CostTrack[[#This Row],[Vendor - Contract]]="","",INDEX(VendorList[Secondary Category],MATCH(CostTrack[[#This Row],[Vendor - Contract]],VendorList[Vendor / Org. with Contract ID],0)))</f>
        <v>Other Contractor</v>
      </c>
      <c r="T542" s="243" t="str">
        <f ca="1">IF(CostTrack[[#This Row],[Vendor - Contract]]="","",INDEX(VendorList[Phase / Subproject],MATCH(CostTrack[[#This Row],[Vendor - Contract]],VendorList[Vendor / Org. with Contract ID],0)))</f>
        <v>--</v>
      </c>
      <c r="U542" s="243" t="str">
        <f ca="1">IF(CostTrack[[#This Row],[Vendor - Contract]]="","",INDEX(VendorList[Phase / Subproject 2],MATCH(CostTrack[[#This Row],[Vendor - Contract]],VendorList[Vendor / Org. with Contract ID],0)))</f>
        <v>--</v>
      </c>
      <c r="V542" s="243" t="str">
        <f ca="1">IF(CostTrack[[#This Row],[Vendor - Contract]]="","",INDEX(VendorList[Funding Source],MATCH(CostTrack[[#This Row],[Vendor - Contract]],VendorList[Vendor / Org. with Contract ID],0)))</f>
        <v>P-002360</v>
      </c>
      <c r="W542" s="267">
        <v>45035</v>
      </c>
      <c r="X542" s="251" t="str">
        <f ca="1">IF(CostTrack[[#This Row],[Release Date (CMS)]]="","*","")</f>
        <v/>
      </c>
      <c r="Y542" s="267" t="s">
        <v>58</v>
      </c>
      <c r="Z542" s="652" t="s">
        <v>1231</v>
      </c>
      <c r="AA542" s="245">
        <f ca="1">IF(OR(CostTrack[[#This Row],[Release Date (CMS)]]&gt;=DATE(VALUE(REPLACE(CostTrack[[#This Row],[Fiscal Period]],3,3,"")),3,1),CostTrack[[#This Row],[Release Date (CMS)]]&lt;DATE(VALUE(LEFT(CostTrack[[#This Row],[Fiscal Period]],4)),4,1)),1,0)</f>
        <v>0</v>
      </c>
      <c r="AB542" s="655">
        <v>13333.91</v>
      </c>
      <c r="AC542" s="267">
        <v>45061</v>
      </c>
      <c r="AD542" s="402" t="str">
        <f ca="1">IF(CostTrack[[#This Row],[Reconciled Amount]]="","",IF(CostTrack[[#This Row],[Value]]&lt;&gt;CostTrack[[#This Row],[Reconciled Amount]],"Yes","No"))</f>
        <v>No</v>
      </c>
    </row>
    <row r="543" spans="2:31" ht="71.650000000000006" customHeight="1">
      <c r="B543" s="706" t="s">
        <v>1087</v>
      </c>
      <c r="C543" s="884" t="s">
        <v>1232</v>
      </c>
      <c r="D543" s="267">
        <v>45048</v>
      </c>
      <c r="E543" s="654">
        <v>13333.91</v>
      </c>
      <c r="F543" s="647" t="s">
        <v>69</v>
      </c>
      <c r="G543" s="406">
        <f ca="1">ROUND(IF(CostTrack[[#This Row],[Holdback (Y/N/R)]]="Yes",CostTrack[[#This Row],[Value]]*-0.1,IF(CostTrack[[#This Row],[Holdback (Y/N/R)]]="Release",CostTrack[[#This Row],[Value]],0)),2)</f>
        <v>0</v>
      </c>
      <c r="H543" s="407">
        <f ca="1">IF(CostTrack[[#This Row],[Holdback (Y/N/R)]]="Release",CostTrack[[#This Row],[Value]],CostTrack[[#This Row],[Value]]+CostTrack[[#This Row],[Holdback Value]])</f>
        <v>13333.91</v>
      </c>
      <c r="I543" s="650"/>
      <c r="J543" s="650"/>
      <c r="K543" s="648"/>
      <c r="L543" s="707">
        <v>45056</v>
      </c>
      <c r="M543" s="708">
        <v>45056</v>
      </c>
      <c r="N543" s="709"/>
      <c r="O543" s="712" t="s">
        <v>106</v>
      </c>
      <c r="P543" s="267">
        <v>45057</v>
      </c>
      <c r="Q543" s="243" t="str">
        <f ca="1">IF(CostTrack[[#This Row],[Vendor - Contract]]="","",INDEX(VendorList[PA ID],MATCH(CostTrack[[#This Row],[Vendor - Contract]],VendorList[Vendor / Org. with Contract ID],0)))</f>
        <v>300.040.F1</v>
      </c>
      <c r="R543" s="243" t="str">
        <f ca="1">IF(CostTrack[[#This Row],[Vendor - Contract]]="","",INDEX(VendorList[Primary Category],MATCH(CostTrack[[#This Row],[Vendor - Contract]],VendorList[Vendor / Org. with Contract ID],0)))</f>
        <v>Construction</v>
      </c>
      <c r="S543" s="243" t="str">
        <f ca="1">IF(CostTrack[[#This Row],[Vendor - Contract]]="","",INDEX(VendorList[Secondary Category],MATCH(CostTrack[[#This Row],[Vendor - Contract]],VendorList[Vendor / Org. with Contract ID],0)))</f>
        <v>Other Contractor</v>
      </c>
      <c r="T543" s="243" t="str">
        <f ca="1">IF(CostTrack[[#This Row],[Vendor - Contract]]="","",INDEX(VendorList[Phase / Subproject],MATCH(CostTrack[[#This Row],[Vendor - Contract]],VendorList[Vendor / Org. with Contract ID],0)))</f>
        <v>--</v>
      </c>
      <c r="U543" s="243" t="str">
        <f ca="1">IF(CostTrack[[#This Row],[Vendor - Contract]]="","",INDEX(VendorList[Phase / Subproject 2],MATCH(CostTrack[[#This Row],[Vendor - Contract]],VendorList[Vendor / Org. with Contract ID],0)))</f>
        <v>--</v>
      </c>
      <c r="V543" s="243" t="str">
        <f ca="1">IF(CostTrack[[#This Row],[Vendor - Contract]]="","",INDEX(VendorList[Funding Source],MATCH(CostTrack[[#This Row],[Vendor - Contract]],VendorList[Vendor / Org. with Contract ID],0)))</f>
        <v>P-002360</v>
      </c>
      <c r="W543" s="267">
        <v>45057</v>
      </c>
      <c r="X543" s="251" t="str">
        <f ca="1">IF(CostTrack[[#This Row],[Release Date (CMS)]]="","*","")</f>
        <v/>
      </c>
      <c r="Y543" s="267" t="s">
        <v>58</v>
      </c>
      <c r="Z543" s="652" t="s">
        <v>1233</v>
      </c>
      <c r="AA543" s="245">
        <f ca="1">IF(OR(CostTrack[[#This Row],[Release Date (CMS)]]&gt;=DATE(VALUE(REPLACE(CostTrack[[#This Row],[Fiscal Period]],3,3,"")),3,1),CostTrack[[#This Row],[Release Date (CMS)]]&lt;DATE(VALUE(LEFT(CostTrack[[#This Row],[Fiscal Period]],4)),4,1)),1,0)</f>
        <v>0</v>
      </c>
      <c r="AB543" s="655">
        <v>13333.91</v>
      </c>
      <c r="AC543" s="267">
        <v>45096</v>
      </c>
      <c r="AD543" s="402" t="str">
        <f ca="1">IF(CostTrack[[#This Row],[Reconciled Amount]]="","",IF(CostTrack[[#This Row],[Value]]&lt;&gt;CostTrack[[#This Row],[Reconciled Amount]],"Yes","No"))</f>
        <v>No</v>
      </c>
      <c r="AE543" s="654"/>
    </row>
    <row r="544" spans="2:31" ht="39" customHeight="1">
      <c r="B544" s="706" t="s">
        <v>711</v>
      </c>
      <c r="C544" s="884">
        <v>4521042</v>
      </c>
      <c r="D544" s="267">
        <v>45016</v>
      </c>
      <c r="E544" s="654">
        <v>329.71</v>
      </c>
      <c r="F544" s="647" t="s">
        <v>69</v>
      </c>
      <c r="G544" s="406">
        <f ca="1">ROUND(IF(CostTrack[[#This Row],[Holdback (Y/N/R)]]="Yes",CostTrack[[#This Row],[Value]]*-0.1,IF(CostTrack[[#This Row],[Holdback (Y/N/R)]]="Release",CostTrack[[#This Row],[Value]],0)),2)</f>
        <v>0</v>
      </c>
      <c r="H544" s="407">
        <f ca="1">IF(CostTrack[[#This Row],[Holdback (Y/N/R)]]="Release",CostTrack[[#This Row],[Value]],CostTrack[[#This Row],[Value]]+CostTrack[[#This Row],[Holdback Value]])</f>
        <v>329.71</v>
      </c>
      <c r="I544" s="650"/>
      <c r="J544" s="650"/>
      <c r="K544" s="648"/>
      <c r="L544" s="707">
        <v>45022</v>
      </c>
      <c r="M544" s="708">
        <v>45022</v>
      </c>
      <c r="N544" s="709"/>
      <c r="O544" s="712" t="s">
        <v>106</v>
      </c>
      <c r="P544" s="267">
        <v>45022</v>
      </c>
      <c r="Q544" s="243" t="str">
        <f ca="1">IF(CostTrack[[#This Row],[Vendor - Contract]]="","",INDEX(VendorList[PA ID],MATCH(CostTrack[[#This Row],[Vendor - Contract]],VendorList[Vendor / Org. with Contract ID],0)))</f>
        <v>300.040.F1</v>
      </c>
      <c r="R544" s="243" t="str">
        <f ca="1">IF(CostTrack[[#This Row],[Vendor - Contract]]="","",INDEX(VendorList[Primary Category],MATCH(CostTrack[[#This Row],[Vendor - Contract]],VendorList[Vendor / Org. with Contract ID],0)))</f>
        <v>Construction</v>
      </c>
      <c r="S544" s="243" t="str">
        <f ca="1">IF(CostTrack[[#This Row],[Vendor - Contract]]="","",INDEX(VendorList[Secondary Category],MATCH(CostTrack[[#This Row],[Vendor - Contract]],VendorList[Vendor / Org. with Contract ID],0)))</f>
        <v>Other Contractor</v>
      </c>
      <c r="T544" s="243" t="str">
        <f ca="1">IF(CostTrack[[#This Row],[Vendor - Contract]]="","",INDEX(VendorList[Phase / Subproject],MATCH(CostTrack[[#This Row],[Vendor - Contract]],VendorList[Vendor / Org. with Contract ID],0)))</f>
        <v>--</v>
      </c>
      <c r="U544" s="243" t="str">
        <f ca="1">IF(CostTrack[[#This Row],[Vendor - Contract]]="","",INDEX(VendorList[Phase / Subproject 2],MATCH(CostTrack[[#This Row],[Vendor - Contract]],VendorList[Vendor / Org. with Contract ID],0)))</f>
        <v>--</v>
      </c>
      <c r="V544" s="243" t="str">
        <f ca="1">IF(CostTrack[[#This Row],[Vendor - Contract]]="","",INDEX(VendorList[Funding Source],MATCH(CostTrack[[#This Row],[Vendor - Contract]],VendorList[Vendor / Org. with Contract ID],0)))</f>
        <v>P-002360</v>
      </c>
      <c r="W544" s="267">
        <v>45028</v>
      </c>
      <c r="X544" s="251" t="str">
        <f ca="1">IF(CostTrack[[#This Row],[Release Date (CMS)]]="","*","")</f>
        <v/>
      </c>
      <c r="Y544" s="267" t="s">
        <v>58</v>
      </c>
      <c r="Z544" s="652"/>
      <c r="AA544" s="245">
        <f ca="1">IF(OR(CostTrack[[#This Row],[Release Date (CMS)]]&gt;=DATE(VALUE(REPLACE(CostTrack[[#This Row],[Fiscal Period]],3,3,"")),3,1),CostTrack[[#This Row],[Release Date (CMS)]]&lt;DATE(VALUE(LEFT(CostTrack[[#This Row],[Fiscal Period]],4)),4,1)),1,0)</f>
        <v>0</v>
      </c>
      <c r="AB544" s="655">
        <v>329.71</v>
      </c>
      <c r="AC544" s="267">
        <v>45061</v>
      </c>
      <c r="AD544" s="402" t="str">
        <f ca="1">IF(CostTrack[[#This Row],[Reconciled Amount]]="","",IF(CostTrack[[#This Row],[Value]]&lt;&gt;CostTrack[[#This Row],[Reconciled Amount]],"Yes","No"))</f>
        <v>No</v>
      </c>
      <c r="AE544" s="654"/>
    </row>
    <row r="545" spans="2:31" ht="28.5" customHeight="1">
      <c r="B545" s="706" t="s">
        <v>711</v>
      </c>
      <c r="C545" s="650">
        <v>4537551</v>
      </c>
      <c r="D545" s="267">
        <v>45046</v>
      </c>
      <c r="E545" s="654">
        <v>265.77</v>
      </c>
      <c r="F545" s="647" t="s">
        <v>69</v>
      </c>
      <c r="G545" s="406">
        <f ca="1">ROUND(IF(CostTrack[[#This Row],[Holdback (Y/N/R)]]="Yes",CostTrack[[#This Row],[Value]]*-0.1,IF(CostTrack[[#This Row],[Holdback (Y/N/R)]]="Release",CostTrack[[#This Row],[Value]],0)),2)</f>
        <v>0</v>
      </c>
      <c r="H545" s="407">
        <f ca="1">IF(CostTrack[[#This Row],[Holdback (Y/N/R)]]="Release",CostTrack[[#This Row],[Value]],CostTrack[[#This Row],[Value]]+CostTrack[[#This Row],[Holdback Value]])</f>
        <v>265.77</v>
      </c>
      <c r="I545" s="650"/>
      <c r="J545" s="650"/>
      <c r="K545" s="648"/>
      <c r="L545" s="707">
        <v>45050</v>
      </c>
      <c r="M545" s="708">
        <v>45050</v>
      </c>
      <c r="N545" s="709"/>
      <c r="O545" s="712" t="s">
        <v>106</v>
      </c>
      <c r="P545" s="267">
        <v>45050</v>
      </c>
      <c r="Q545" s="243" t="str">
        <f ca="1">IF(CostTrack[[#This Row],[Vendor - Contract]]="","",INDEX(VendorList[PA ID],MATCH(CostTrack[[#This Row],[Vendor - Contract]],VendorList[Vendor / Org. with Contract ID],0)))</f>
        <v>300.040.F1</v>
      </c>
      <c r="R545" s="243" t="str">
        <f ca="1">IF(CostTrack[[#This Row],[Vendor - Contract]]="","",INDEX(VendorList[Primary Category],MATCH(CostTrack[[#This Row],[Vendor - Contract]],VendorList[Vendor / Org. with Contract ID],0)))</f>
        <v>Construction</v>
      </c>
      <c r="S545" s="243" t="str">
        <f ca="1">IF(CostTrack[[#This Row],[Vendor - Contract]]="","",INDEX(VendorList[Secondary Category],MATCH(CostTrack[[#This Row],[Vendor - Contract]],VendorList[Vendor / Org. with Contract ID],0)))</f>
        <v>Other Contractor</v>
      </c>
      <c r="T545" s="243" t="str">
        <f ca="1">IF(CostTrack[[#This Row],[Vendor - Contract]]="","",INDEX(VendorList[Phase / Subproject],MATCH(CostTrack[[#This Row],[Vendor - Contract]],VendorList[Vendor / Org. with Contract ID],0)))</f>
        <v>--</v>
      </c>
      <c r="U545" s="243" t="str">
        <f ca="1">IF(CostTrack[[#This Row],[Vendor - Contract]]="","",INDEX(VendorList[Phase / Subproject 2],MATCH(CostTrack[[#This Row],[Vendor - Contract]],VendorList[Vendor / Org. with Contract ID],0)))</f>
        <v>--</v>
      </c>
      <c r="V545" s="243" t="str">
        <f ca="1">IF(CostTrack[[#This Row],[Vendor - Contract]]="","",INDEX(VendorList[Funding Source],MATCH(CostTrack[[#This Row],[Vendor - Contract]],VendorList[Vendor / Org. with Contract ID],0)))</f>
        <v>P-002360</v>
      </c>
      <c r="W545" s="267">
        <v>45054</v>
      </c>
      <c r="X545" s="251" t="str">
        <f ca="1">IF(CostTrack[[#This Row],[Release Date (CMS)]]="","*","")</f>
        <v/>
      </c>
      <c r="Y545" s="267" t="s">
        <v>58</v>
      </c>
      <c r="Z545" s="652"/>
      <c r="AA545" s="245">
        <f ca="1">IF(OR(CostTrack[[#This Row],[Release Date (CMS)]]&gt;=DATE(VALUE(REPLACE(CostTrack[[#This Row],[Fiscal Period]],3,3,"")),3,1),CostTrack[[#This Row],[Release Date (CMS)]]&lt;DATE(VALUE(LEFT(CostTrack[[#This Row],[Fiscal Period]],4)),4,1)),1,0)</f>
        <v>0</v>
      </c>
      <c r="AB545" s="655">
        <v>265.77</v>
      </c>
      <c r="AC545" s="267">
        <v>45096</v>
      </c>
      <c r="AD545" s="402" t="str">
        <f ca="1">IF(CostTrack[[#This Row],[Reconciled Amount]]="","",IF(CostTrack[[#This Row],[Value]]&lt;&gt;CostTrack[[#This Row],[Reconciled Amount]],"Yes","No"))</f>
        <v>No</v>
      </c>
      <c r="AE545" s="654"/>
    </row>
    <row r="546" spans="2:31" ht="28.5" customHeight="1">
      <c r="B546" s="706" t="s">
        <v>1234</v>
      </c>
      <c r="C546" s="650">
        <v>7573</v>
      </c>
      <c r="D546" s="267">
        <v>45016</v>
      </c>
      <c r="E546" s="654">
        <v>23.94</v>
      </c>
      <c r="F546" s="647" t="s">
        <v>69</v>
      </c>
      <c r="G546" s="406">
        <f ca="1">ROUND(IF(CostTrack[[#This Row],[Holdback (Y/N/R)]]="Yes",CostTrack[[#This Row],[Value]]*-0.1,IF(CostTrack[[#This Row],[Holdback (Y/N/R)]]="Release",CostTrack[[#This Row],[Value]],0)),2)</f>
        <v>0</v>
      </c>
      <c r="H546" s="407">
        <f ca="1">IF(CostTrack[[#This Row],[Holdback (Y/N/R)]]="Release",CostTrack[[#This Row],[Value]],CostTrack[[#This Row],[Value]]+CostTrack[[#This Row],[Holdback Value]])</f>
        <v>23.94</v>
      </c>
      <c r="I546" s="650"/>
      <c r="J546" s="650"/>
      <c r="K546" s="648"/>
      <c r="L546" s="707">
        <v>45020</v>
      </c>
      <c r="M546" s="708">
        <v>45020</v>
      </c>
      <c r="N546" s="709"/>
      <c r="O546" s="712" t="s">
        <v>106</v>
      </c>
      <c r="P546" s="267">
        <v>45021</v>
      </c>
      <c r="Q546" s="243" t="str">
        <f ca="1">IF(CostTrack[[#This Row],[Vendor - Contract]]="","",INDEX(VendorList[PA ID],MATCH(CostTrack[[#This Row],[Vendor - Contract]],VendorList[Vendor / Org. with Contract ID],0)))</f>
        <v>100.050.F1</v>
      </c>
      <c r="R546" s="243" t="str">
        <f ca="1">IF(CostTrack[[#This Row],[Vendor - Contract]]="","",INDEX(VendorList[Primary Category],MATCH(CostTrack[[#This Row],[Vendor - Contract]],VendorList[Vendor / Org. with Contract ID],0)))</f>
        <v>Administration</v>
      </c>
      <c r="S546" s="243" t="str">
        <f ca="1">IF(CostTrack[[#This Row],[Vendor - Contract]]="","",INDEX(VendorList[Secondary Category],MATCH(CostTrack[[#This Row],[Vendor - Contract]],VendorList[Vendor / Org. with Contract ID],0)))</f>
        <v>Other Administration</v>
      </c>
      <c r="T546" s="243" t="str">
        <f ca="1">IF(CostTrack[[#This Row],[Vendor - Contract]]="","",INDEX(VendorList[Phase / Subproject],MATCH(CostTrack[[#This Row],[Vendor - Contract]],VendorList[Vendor / Org. with Contract ID],0)))</f>
        <v>--</v>
      </c>
      <c r="U546" s="243" t="str">
        <f ca="1">IF(CostTrack[[#This Row],[Vendor - Contract]]="","",INDEX(VendorList[Phase / Subproject 2],MATCH(CostTrack[[#This Row],[Vendor - Contract]],VendorList[Vendor / Org. with Contract ID],0)))</f>
        <v>--</v>
      </c>
      <c r="V546" s="243" t="str">
        <f ca="1">IF(CostTrack[[#This Row],[Vendor - Contract]]="","",INDEX(VendorList[Funding Source],MATCH(CostTrack[[#This Row],[Vendor - Contract]],VendorList[Vendor / Org. with Contract ID],0)))</f>
        <v>P-002360</v>
      </c>
      <c r="W546" s="267">
        <v>45028</v>
      </c>
      <c r="X546" s="251" t="str">
        <f ca="1">IF(CostTrack[[#This Row],[Release Date (CMS)]]="","*","")</f>
        <v/>
      </c>
      <c r="Y546" s="267" t="s">
        <v>58</v>
      </c>
      <c r="Z546" s="652" t="s">
        <v>1235</v>
      </c>
      <c r="AA546" s="245">
        <f ca="1">IF(OR(CostTrack[[#This Row],[Release Date (CMS)]]&gt;=DATE(VALUE(REPLACE(CostTrack[[#This Row],[Fiscal Period]],3,3,"")),3,1),CostTrack[[#This Row],[Release Date (CMS)]]&lt;DATE(VALUE(LEFT(CostTrack[[#This Row],[Fiscal Period]],4)),4,1)),1,0)</f>
        <v>0</v>
      </c>
      <c r="AB546" s="655">
        <v>23.94</v>
      </c>
      <c r="AC546" s="267">
        <v>45061</v>
      </c>
      <c r="AD546" s="402" t="str">
        <f ca="1">IF(CostTrack[[#This Row],[Reconciled Amount]]="","",IF(CostTrack[[#This Row],[Value]]&lt;&gt;CostTrack[[#This Row],[Reconciled Amount]],"Yes","No"))</f>
        <v>No</v>
      </c>
      <c r="AE546" s="654"/>
    </row>
    <row r="547" spans="2:31" ht="28.5" customHeight="1">
      <c r="B547" s="706" t="s">
        <v>662</v>
      </c>
      <c r="C547" s="650">
        <v>8114</v>
      </c>
      <c r="D547" s="267">
        <v>45037</v>
      </c>
      <c r="E547" s="654">
        <v>1494</v>
      </c>
      <c r="F547" s="647" t="s">
        <v>69</v>
      </c>
      <c r="G547" s="406">
        <f ca="1">ROUND(IF(CostTrack[[#This Row],[Holdback (Y/N/R)]]="Yes",CostTrack[[#This Row],[Value]]*-0.1,IF(CostTrack[[#This Row],[Holdback (Y/N/R)]]="Release",CostTrack[[#This Row],[Value]],0)),2)</f>
        <v>0</v>
      </c>
      <c r="H547" s="407">
        <f ca="1">IF(CostTrack[[#This Row],[Holdback (Y/N/R)]]="Release",CostTrack[[#This Row],[Value]],CostTrack[[#This Row],[Value]]+CostTrack[[#This Row],[Holdback Value]])</f>
        <v>1494</v>
      </c>
      <c r="I547" s="650"/>
      <c r="J547" s="650"/>
      <c r="K547" s="648"/>
      <c r="L547" s="707">
        <v>45041</v>
      </c>
      <c r="M547" s="708">
        <v>45041</v>
      </c>
      <c r="N547" s="709"/>
      <c r="O547" s="712" t="s">
        <v>106</v>
      </c>
      <c r="P547" s="267">
        <v>45041</v>
      </c>
      <c r="Q547" s="243" t="str">
        <f ca="1">IF(CostTrack[[#This Row],[Vendor - Contract]]="","",INDEX(VendorList[PA ID],MATCH(CostTrack[[#This Row],[Vendor - Contract]],VendorList[Vendor / Org. with Contract ID],0)))</f>
        <v>200.050.F1</v>
      </c>
      <c r="R547" s="243" t="str">
        <f ca="1">IF(CostTrack[[#This Row],[Vendor - Contract]]="","",INDEX(VendorList[Primary Category],MATCH(CostTrack[[#This Row],[Vendor - Contract]],VendorList[Vendor / Org. with Contract ID],0)))</f>
        <v>Professional Services</v>
      </c>
      <c r="S547" s="243" t="str">
        <f ca="1">IF(CostTrack[[#This Row],[Vendor - Contract]]="","",INDEX(VendorList[Secondary Category],MATCH(CostTrack[[#This Row],[Vendor - Contract]],VendorList[Vendor / Org. with Contract ID],0)))</f>
        <v>Other Professional Services</v>
      </c>
      <c r="T547" s="243" t="str">
        <f ca="1">IF(CostTrack[[#This Row],[Vendor - Contract]]="","",INDEX(VendorList[Phase / Subproject],MATCH(CostTrack[[#This Row],[Vendor - Contract]],VendorList[Vendor / Org. with Contract ID],0)))</f>
        <v>--</v>
      </c>
      <c r="U547" s="243" t="str">
        <f ca="1">IF(CostTrack[[#This Row],[Vendor - Contract]]="","",INDEX(VendorList[Phase / Subproject 2],MATCH(CostTrack[[#This Row],[Vendor - Contract]],VendorList[Vendor / Org. with Contract ID],0)))</f>
        <v>--</v>
      </c>
      <c r="V547" s="243" t="str">
        <f ca="1">IF(CostTrack[[#This Row],[Vendor - Contract]]="","",INDEX(VendorList[Funding Source],MATCH(CostTrack[[#This Row],[Vendor - Contract]],VendorList[Vendor / Org. with Contract ID],0)))</f>
        <v>P-002360</v>
      </c>
      <c r="W547" s="267">
        <v>45044</v>
      </c>
      <c r="X547" s="251" t="str">
        <f ca="1">IF(CostTrack[[#This Row],[Release Date (CMS)]]="","*","")</f>
        <v/>
      </c>
      <c r="Y547" s="267" t="s">
        <v>58</v>
      </c>
      <c r="Z547" s="652"/>
      <c r="AA547" s="245">
        <f ca="1">IF(OR(CostTrack[[#This Row],[Release Date (CMS)]]&gt;=DATE(VALUE(REPLACE(CostTrack[[#This Row],[Fiscal Period]],3,3,"")),3,1),CostTrack[[#This Row],[Release Date (CMS)]]&lt;DATE(VALUE(LEFT(CostTrack[[#This Row],[Fiscal Period]],4)),4,1)),1,0)</f>
        <v>0</v>
      </c>
      <c r="AB547" s="655">
        <v>1494</v>
      </c>
      <c r="AC547" s="267">
        <v>45061</v>
      </c>
      <c r="AD547" s="402" t="str">
        <f ca="1">IF(CostTrack[[#This Row],[Reconciled Amount]]="","",IF(CostTrack[[#This Row],[Value]]&lt;&gt;CostTrack[[#This Row],[Reconciled Amount]],"Yes","No"))</f>
        <v>No</v>
      </c>
      <c r="AE547" s="654"/>
    </row>
    <row r="548" spans="2:31" ht="28.5" customHeight="1">
      <c r="B548" s="706" t="s">
        <v>731</v>
      </c>
      <c r="C548" s="650">
        <v>800002189</v>
      </c>
      <c r="D548" s="267">
        <v>45028</v>
      </c>
      <c r="E548" s="654">
        <v>141.44999999999999</v>
      </c>
      <c r="F548" s="647" t="s">
        <v>69</v>
      </c>
      <c r="G548" s="406">
        <f ca="1">ROUND(IF(CostTrack[[#This Row],[Holdback (Y/N/R)]]="Yes",CostTrack[[#This Row],[Value]]*-0.1,IF(CostTrack[[#This Row],[Holdback (Y/N/R)]]="Release",CostTrack[[#This Row],[Value]],0)),2)</f>
        <v>0</v>
      </c>
      <c r="H548" s="407">
        <f ca="1">IF(CostTrack[[#This Row],[Holdback (Y/N/R)]]="Release",CostTrack[[#This Row],[Value]],CostTrack[[#This Row],[Value]]+CostTrack[[#This Row],[Holdback Value]])</f>
        <v>141.44999999999999</v>
      </c>
      <c r="I548" s="650"/>
      <c r="J548" s="650"/>
      <c r="K548" s="648"/>
      <c r="L548" s="707">
        <v>45028</v>
      </c>
      <c r="M548" s="708">
        <v>45028</v>
      </c>
      <c r="N548" s="709"/>
      <c r="O548" s="712" t="s">
        <v>106</v>
      </c>
      <c r="P548" s="267">
        <v>45028</v>
      </c>
      <c r="Q548" s="243" t="str">
        <f ca="1">IF(CostTrack[[#This Row],[Vendor - Contract]]="","",INDEX(VendorList[PA ID],MATCH(CostTrack[[#This Row],[Vendor - Contract]],VendorList[Vendor / Org. with Contract ID],0)))</f>
        <v>100.050.F1</v>
      </c>
      <c r="R548" s="243" t="str">
        <f ca="1">IF(CostTrack[[#This Row],[Vendor - Contract]]="","",INDEX(VendorList[Primary Category],MATCH(CostTrack[[#This Row],[Vendor - Contract]],VendorList[Vendor / Org. with Contract ID],0)))</f>
        <v>Administration</v>
      </c>
      <c r="S548" s="243" t="str">
        <f ca="1">IF(CostTrack[[#This Row],[Vendor - Contract]]="","",INDEX(VendorList[Secondary Category],MATCH(CostTrack[[#This Row],[Vendor - Contract]],VendorList[Vendor / Org. with Contract ID],0)))</f>
        <v>Other Administration</v>
      </c>
      <c r="T548" s="243" t="str">
        <f ca="1">IF(CostTrack[[#This Row],[Vendor - Contract]]="","",INDEX(VendorList[Phase / Subproject],MATCH(CostTrack[[#This Row],[Vendor - Contract]],VendorList[Vendor / Org. with Contract ID],0)))</f>
        <v>--</v>
      </c>
      <c r="U548" s="243" t="str">
        <f ca="1">IF(CostTrack[[#This Row],[Vendor - Contract]]="","",INDEX(VendorList[Phase / Subproject 2],MATCH(CostTrack[[#This Row],[Vendor - Contract]],VendorList[Vendor / Org. with Contract ID],0)))</f>
        <v>--</v>
      </c>
      <c r="V548" s="243" t="str">
        <f ca="1">IF(CostTrack[[#This Row],[Vendor - Contract]]="","",INDEX(VendorList[Funding Source],MATCH(CostTrack[[#This Row],[Vendor - Contract]],VendorList[Vendor / Org. with Contract ID],0)))</f>
        <v>P-002360</v>
      </c>
      <c r="W548" s="267">
        <v>45028</v>
      </c>
      <c r="X548" s="251" t="str">
        <f ca="1">IF(CostTrack[[#This Row],[Release Date (CMS)]]="","*","")</f>
        <v/>
      </c>
      <c r="Y548" s="267" t="s">
        <v>58</v>
      </c>
      <c r="Z548" s="652" t="s">
        <v>1236</v>
      </c>
      <c r="AA548" s="245">
        <f ca="1">IF(OR(CostTrack[[#This Row],[Release Date (CMS)]]&gt;=DATE(VALUE(REPLACE(CostTrack[[#This Row],[Fiscal Period]],3,3,"")),3,1),CostTrack[[#This Row],[Release Date (CMS)]]&lt;DATE(VALUE(LEFT(CostTrack[[#This Row],[Fiscal Period]],4)),4,1)),1,0)</f>
        <v>0</v>
      </c>
      <c r="AB548" s="655">
        <v>141.44999999999999</v>
      </c>
      <c r="AC548" s="267">
        <v>45061</v>
      </c>
      <c r="AD548" s="402" t="str">
        <f ca="1">IF(CostTrack[[#This Row],[Reconciled Amount]]="","",IF(CostTrack[[#This Row],[Value]]&lt;&gt;CostTrack[[#This Row],[Reconciled Amount]],"Yes","No"))</f>
        <v>No</v>
      </c>
      <c r="AE548" s="654"/>
    </row>
    <row r="549" spans="2:31" ht="28.5" customHeight="1">
      <c r="B549" s="1324" t="s">
        <v>624</v>
      </c>
      <c r="C549" s="1312">
        <v>1801593</v>
      </c>
      <c r="D549" s="1308">
        <v>45050</v>
      </c>
      <c r="E549" s="658">
        <v>11500</v>
      </c>
      <c r="F549" s="1309" t="s">
        <v>69</v>
      </c>
      <c r="G549" s="1310">
        <f ca="1">ROUND(IF(CostTrack[[#This Row],[Holdback (Y/N/R)]]="Yes",CostTrack[[#This Row],[Value]]*-0.1,IF(CostTrack[[#This Row],[Holdback (Y/N/R)]]="Release",CostTrack[[#This Row],[Value]],0)),2)</f>
        <v>0</v>
      </c>
      <c r="H549" s="1311">
        <f ca="1">IF(CostTrack[[#This Row],[Holdback (Y/N/R)]]="Release",CostTrack[[#This Row],[Value]],CostTrack[[#This Row],[Value]]+CostTrack[[#This Row],[Holdback Value]])</f>
        <v>11500</v>
      </c>
      <c r="I549" s="1312"/>
      <c r="J549" s="1312"/>
      <c r="K549" s="1313"/>
      <c r="L549" s="1325">
        <v>45050</v>
      </c>
      <c r="M549" s="1326">
        <v>45050</v>
      </c>
      <c r="N549" s="1327"/>
      <c r="O549" s="1328" t="s">
        <v>106</v>
      </c>
      <c r="P549" s="1308">
        <v>45050</v>
      </c>
      <c r="Q549" s="1314" t="str">
        <f ca="1">IF(CostTrack[[#This Row],[Vendor - Contract]]="","",INDEX(VendorList[PA ID],MATCH(CostTrack[[#This Row],[Vendor - Contract]],VendorList[Vendor / Org. with Contract ID],0)))</f>
        <v>200.040.F1</v>
      </c>
      <c r="R549" s="1314" t="str">
        <f ca="1">IF(CostTrack[[#This Row],[Vendor - Contract]]="","",INDEX(VendorList[Primary Category],MATCH(CostTrack[[#This Row],[Vendor - Contract]],VendorList[Vendor / Org. with Contract ID],0)))</f>
        <v>Professional Services</v>
      </c>
      <c r="S549" s="1314" t="str">
        <f ca="1">IF(CostTrack[[#This Row],[Vendor - Contract]]="","",INDEX(VendorList[Secondary Category],MATCH(CostTrack[[#This Row],[Vendor - Contract]],VendorList[Vendor / Org. with Contract ID],0)))</f>
        <v>Commissioning</v>
      </c>
      <c r="T549" s="1314" t="str">
        <f ca="1">IF(CostTrack[[#This Row],[Vendor - Contract]]="","",INDEX(VendorList[Phase / Subproject],MATCH(CostTrack[[#This Row],[Vendor - Contract]],VendorList[Vendor / Org. with Contract ID],0)))</f>
        <v>--</v>
      </c>
      <c r="U549" s="1314" t="str">
        <f ca="1">IF(CostTrack[[#This Row],[Vendor - Contract]]="","",INDEX(VendorList[Phase / Subproject 2],MATCH(CostTrack[[#This Row],[Vendor - Contract]],VendorList[Vendor / Org. with Contract ID],0)))</f>
        <v>--</v>
      </c>
      <c r="V549" s="1314" t="str">
        <f ca="1">IF(CostTrack[[#This Row],[Vendor - Contract]]="","",INDEX(VendorList[Funding Source],MATCH(CostTrack[[#This Row],[Vendor - Contract]],VendorList[Vendor / Org. with Contract ID],0)))</f>
        <v>P-002360</v>
      </c>
      <c r="W549" s="1308">
        <v>45054</v>
      </c>
      <c r="X549" s="1315" t="str">
        <f ca="1">IF(CostTrack[[#This Row],[Release Date (CMS)]]="","*","")</f>
        <v/>
      </c>
      <c r="Y549" s="1308" t="s">
        <v>58</v>
      </c>
      <c r="Z549" s="652"/>
      <c r="AA549" s="1316">
        <f ca="1">IF(OR(CostTrack[[#This Row],[Release Date (CMS)]]&gt;=DATE(VALUE(REPLACE(CostTrack[[#This Row],[Fiscal Period]],3,3,"")),3,1),CostTrack[[#This Row],[Release Date (CMS)]]&lt;DATE(VALUE(LEFT(CostTrack[[#This Row],[Fiscal Period]],4)),4,1)),1,0)</f>
        <v>0</v>
      </c>
      <c r="AB549" s="1317">
        <v>11500</v>
      </c>
      <c r="AC549" s="1308">
        <v>45096</v>
      </c>
      <c r="AD549" s="402" t="str">
        <f ca="1">IF(CostTrack[[#This Row],[Reconciled Amount]]="","",IF(CostTrack[[#This Row],[Value]]&lt;&gt;CostTrack[[#This Row],[Reconciled Amount]],"Yes","No"))</f>
        <v>No</v>
      </c>
      <c r="AE549" s="658"/>
    </row>
    <row r="550" spans="2:31" ht="28.5" customHeight="1">
      <c r="B550" s="1324" t="s">
        <v>527</v>
      </c>
      <c r="C550" s="650" t="s">
        <v>1237</v>
      </c>
      <c r="D550" s="1308">
        <v>45046</v>
      </c>
      <c r="E550" s="658">
        <v>38440.449999999997</v>
      </c>
      <c r="F550" s="1309" t="s">
        <v>69</v>
      </c>
      <c r="G550" s="1310">
        <f ca="1">ROUND(IF(CostTrack[[#This Row],[Holdback (Y/N/R)]]="Yes",CostTrack[[#This Row],[Value]]*-0.1,IF(CostTrack[[#This Row],[Holdback (Y/N/R)]]="Release",CostTrack[[#This Row],[Value]],0)),2)</f>
        <v>0</v>
      </c>
      <c r="H550" s="1311">
        <f ca="1">IF(CostTrack[[#This Row],[Holdback (Y/N/R)]]="Release",CostTrack[[#This Row],[Value]],CostTrack[[#This Row],[Value]]+CostTrack[[#This Row],[Holdback Value]])</f>
        <v>38440.449999999997</v>
      </c>
      <c r="I550" s="1312"/>
      <c r="J550" s="1312"/>
      <c r="K550" s="1313"/>
      <c r="L550" s="1325">
        <v>45054</v>
      </c>
      <c r="M550" s="1326">
        <v>45054</v>
      </c>
      <c r="N550" s="1327"/>
      <c r="O550" s="1328" t="s">
        <v>106</v>
      </c>
      <c r="P550" s="1308">
        <v>45063</v>
      </c>
      <c r="Q550" s="1314" t="str">
        <f ca="1">IF(CostTrack[[#This Row],[Vendor - Contract]]="","",INDEX(VendorList[PA ID],MATCH(CostTrack[[#This Row],[Vendor - Contract]],VendorList[Vendor / Org. with Contract ID],0)))</f>
        <v>200.010.F1</v>
      </c>
      <c r="R550" s="1314" t="str">
        <f ca="1">IF(CostTrack[[#This Row],[Vendor - Contract]]="","",INDEX(VendorList[Primary Category],MATCH(CostTrack[[#This Row],[Vendor - Contract]],VendorList[Vendor / Org. with Contract ID],0)))</f>
        <v>Professional Services</v>
      </c>
      <c r="S550" s="1314" t="str">
        <f ca="1">IF(CostTrack[[#This Row],[Vendor - Contract]]="","",INDEX(VendorList[Secondary Category],MATCH(CostTrack[[#This Row],[Vendor - Contract]],VendorList[Vendor / Org. with Contract ID],0)))</f>
        <v>Prime Consultant</v>
      </c>
      <c r="T550" s="1314" t="str">
        <f ca="1">IF(CostTrack[[#This Row],[Vendor - Contract]]="","",INDEX(VendorList[Phase / Subproject],MATCH(CostTrack[[#This Row],[Vendor - Contract]],VendorList[Vendor / Org. with Contract ID],0)))</f>
        <v>--</v>
      </c>
      <c r="U550" s="1314" t="str">
        <f ca="1">IF(CostTrack[[#This Row],[Vendor - Contract]]="","",INDEX(VendorList[Phase / Subproject 2],MATCH(CostTrack[[#This Row],[Vendor - Contract]],VendorList[Vendor / Org. with Contract ID],0)))</f>
        <v>--</v>
      </c>
      <c r="V550" s="1314" t="str">
        <f ca="1">IF(CostTrack[[#This Row],[Vendor - Contract]]="","",INDEX(VendorList[Funding Source],MATCH(CostTrack[[#This Row],[Vendor - Contract]],VendorList[Vendor / Org. with Contract ID],0)))</f>
        <v>P-002360</v>
      </c>
      <c r="W550" s="1308">
        <v>45064</v>
      </c>
      <c r="X550" s="1315" t="str">
        <f ca="1">IF(CostTrack[[#This Row],[Release Date (CMS)]]="","*","")</f>
        <v/>
      </c>
      <c r="Y550" s="1308" t="s">
        <v>58</v>
      </c>
      <c r="Z550" s="652"/>
      <c r="AA550" s="1316">
        <f ca="1">IF(OR(CostTrack[[#This Row],[Release Date (CMS)]]&gt;=DATE(VALUE(REPLACE(CostTrack[[#This Row],[Fiscal Period]],3,3,"")),3,1),CostTrack[[#This Row],[Release Date (CMS)]]&lt;DATE(VALUE(LEFT(CostTrack[[#This Row],[Fiscal Period]],4)),4,1)),1,0)</f>
        <v>0</v>
      </c>
      <c r="AB550" s="1317">
        <v>38440.449999999997</v>
      </c>
      <c r="AC550" s="1308">
        <v>45096</v>
      </c>
      <c r="AD550" s="402" t="str">
        <f ca="1">IF(CostTrack[[#This Row],[Reconciled Amount]]="","",IF(CostTrack[[#This Row],[Value]]&lt;&gt;CostTrack[[#This Row],[Reconciled Amount]],"Yes","No"))</f>
        <v>No</v>
      </c>
      <c r="AE550" s="658"/>
    </row>
    <row r="551" spans="2:31" ht="28.5" customHeight="1">
      <c r="B551" s="1324" t="s">
        <v>666</v>
      </c>
      <c r="C551" s="1312" t="s">
        <v>1238</v>
      </c>
      <c r="D551" s="1308">
        <v>45061</v>
      </c>
      <c r="E551" s="658">
        <v>3157.51</v>
      </c>
      <c r="F551" s="1309" t="s">
        <v>69</v>
      </c>
      <c r="G551" s="1310">
        <f ca="1">ROUND(IF(CostTrack[[#This Row],[Holdback (Y/N/R)]]="Yes",CostTrack[[#This Row],[Value]]*-0.1,IF(CostTrack[[#This Row],[Holdback (Y/N/R)]]="Release",CostTrack[[#This Row],[Value]],0)),2)</f>
        <v>0</v>
      </c>
      <c r="H551" s="1311">
        <f ca="1">IF(CostTrack[[#This Row],[Holdback (Y/N/R)]]="Release",CostTrack[[#This Row],[Value]],CostTrack[[#This Row],[Value]]+CostTrack[[#This Row],[Holdback Value]])</f>
        <v>3157.51</v>
      </c>
      <c r="I551" s="1312"/>
      <c r="J551" s="1312"/>
      <c r="K551" s="1313"/>
      <c r="L551" s="1325">
        <v>45061</v>
      </c>
      <c r="M551" s="1326">
        <v>45061</v>
      </c>
      <c r="N551" s="1327"/>
      <c r="O551" s="1328" t="s">
        <v>106</v>
      </c>
      <c r="P551" s="1308">
        <v>45061</v>
      </c>
      <c r="Q551" s="1314" t="str">
        <f ca="1">IF(CostTrack[[#This Row],[Vendor - Contract]]="","",INDEX(VendorList[PA ID],MATCH(CostTrack[[#This Row],[Vendor - Contract]],VendorList[Vendor / Org. with Contract ID],0)))</f>
        <v>200.050.F1</v>
      </c>
      <c r="R551" s="1314" t="str">
        <f ca="1">IF(CostTrack[[#This Row],[Vendor - Contract]]="","",INDEX(VendorList[Primary Category],MATCH(CostTrack[[#This Row],[Vendor - Contract]],VendorList[Vendor / Org. with Contract ID],0)))</f>
        <v>Professional Services</v>
      </c>
      <c r="S551" s="1314" t="str">
        <f ca="1">IF(CostTrack[[#This Row],[Vendor - Contract]]="","",INDEX(VendorList[Secondary Category],MATCH(CostTrack[[#This Row],[Vendor - Contract]],VendorList[Vendor / Org. with Contract ID],0)))</f>
        <v>Other Professional Services</v>
      </c>
      <c r="T551" s="1314" t="str">
        <f ca="1">IF(CostTrack[[#This Row],[Vendor - Contract]]="","",INDEX(VendorList[Phase / Subproject],MATCH(CostTrack[[#This Row],[Vendor - Contract]],VendorList[Vendor / Org. with Contract ID],0)))</f>
        <v>--</v>
      </c>
      <c r="U551" s="1314" t="str">
        <f ca="1">IF(CostTrack[[#This Row],[Vendor - Contract]]="","",INDEX(VendorList[Phase / Subproject 2],MATCH(CostTrack[[#This Row],[Vendor - Contract]],VendorList[Vendor / Org. with Contract ID],0)))</f>
        <v>--</v>
      </c>
      <c r="V551" s="1314" t="str">
        <f ca="1">IF(CostTrack[[#This Row],[Vendor - Contract]]="","",INDEX(VendorList[Funding Source],MATCH(CostTrack[[#This Row],[Vendor - Contract]],VendorList[Vendor / Org. with Contract ID],0)))</f>
        <v>P-002360</v>
      </c>
      <c r="W551" s="1308">
        <v>45062</v>
      </c>
      <c r="X551" s="1315" t="str">
        <f ca="1">IF(CostTrack[[#This Row],[Release Date (CMS)]]="","*","")</f>
        <v/>
      </c>
      <c r="Y551" s="1308" t="s">
        <v>58</v>
      </c>
      <c r="Z551" s="713"/>
      <c r="AA551" s="1316">
        <f ca="1">IF(OR(CostTrack[[#This Row],[Release Date (CMS)]]&gt;=DATE(VALUE(REPLACE(CostTrack[[#This Row],[Fiscal Period]],3,3,"")),3,1),CostTrack[[#This Row],[Release Date (CMS)]]&lt;DATE(VALUE(LEFT(CostTrack[[#This Row],[Fiscal Period]],4)),4,1)),1,0)</f>
        <v>0</v>
      </c>
      <c r="AB551" s="1317">
        <v>3157.51</v>
      </c>
      <c r="AC551" s="1308">
        <v>45096</v>
      </c>
      <c r="AD551" s="402" t="str">
        <f ca="1">IF(CostTrack[[#This Row],[Reconciled Amount]]="","",IF(CostTrack[[#This Row],[Value]]&lt;&gt;CostTrack[[#This Row],[Reconciled Amount]],"Yes","No"))</f>
        <v>No</v>
      </c>
      <c r="AE551" s="658"/>
    </row>
    <row r="552" spans="2:31" ht="28.5" customHeight="1">
      <c r="B552" s="1324" t="s">
        <v>666</v>
      </c>
      <c r="C552" s="1312" t="s">
        <v>1239</v>
      </c>
      <c r="D552" s="1308">
        <v>45061</v>
      </c>
      <c r="E552" s="658">
        <v>6250</v>
      </c>
      <c r="F552" s="1309" t="s">
        <v>69</v>
      </c>
      <c r="G552" s="1310">
        <f ca="1">ROUND(IF(CostTrack[[#This Row],[Holdback (Y/N/R)]]="Yes",CostTrack[[#This Row],[Value]]*-0.1,IF(CostTrack[[#This Row],[Holdback (Y/N/R)]]="Release",CostTrack[[#This Row],[Value]],0)),2)</f>
        <v>0</v>
      </c>
      <c r="H552" s="1311">
        <f ca="1">IF(CostTrack[[#This Row],[Holdback (Y/N/R)]]="Release",CostTrack[[#This Row],[Value]],CostTrack[[#This Row],[Value]]+CostTrack[[#This Row],[Holdback Value]])</f>
        <v>6250</v>
      </c>
      <c r="I552" s="1312"/>
      <c r="J552" s="1312"/>
      <c r="K552" s="1313"/>
      <c r="L552" s="1325">
        <v>45061</v>
      </c>
      <c r="M552" s="1326">
        <v>45061</v>
      </c>
      <c r="N552" s="1327"/>
      <c r="O552" s="1328" t="s">
        <v>106</v>
      </c>
      <c r="P552" s="1308">
        <v>45061</v>
      </c>
      <c r="Q552" s="1314" t="str">
        <f ca="1">IF(CostTrack[[#This Row],[Vendor - Contract]]="","",INDEX(VendorList[PA ID],MATCH(CostTrack[[#This Row],[Vendor - Contract]],VendorList[Vendor / Org. with Contract ID],0)))</f>
        <v>200.050.F1</v>
      </c>
      <c r="R552" s="1314" t="str">
        <f ca="1">IF(CostTrack[[#This Row],[Vendor - Contract]]="","",INDEX(VendorList[Primary Category],MATCH(CostTrack[[#This Row],[Vendor - Contract]],VendorList[Vendor / Org. with Contract ID],0)))</f>
        <v>Professional Services</v>
      </c>
      <c r="S552" s="1314" t="str">
        <f ca="1">IF(CostTrack[[#This Row],[Vendor - Contract]]="","",INDEX(VendorList[Secondary Category],MATCH(CostTrack[[#This Row],[Vendor - Contract]],VendorList[Vendor / Org. with Contract ID],0)))</f>
        <v>Other Professional Services</v>
      </c>
      <c r="T552" s="1314" t="str">
        <f ca="1">IF(CostTrack[[#This Row],[Vendor - Contract]]="","",INDEX(VendorList[Phase / Subproject],MATCH(CostTrack[[#This Row],[Vendor - Contract]],VendorList[Vendor / Org. with Contract ID],0)))</f>
        <v>--</v>
      </c>
      <c r="U552" s="1314" t="str">
        <f ca="1">IF(CostTrack[[#This Row],[Vendor - Contract]]="","",INDEX(VendorList[Phase / Subproject 2],MATCH(CostTrack[[#This Row],[Vendor - Contract]],VendorList[Vendor / Org. with Contract ID],0)))</f>
        <v>--</v>
      </c>
      <c r="V552" s="1314" t="str">
        <f ca="1">IF(CostTrack[[#This Row],[Vendor - Contract]]="","",INDEX(VendorList[Funding Source],MATCH(CostTrack[[#This Row],[Vendor - Contract]],VendorList[Vendor / Org. with Contract ID],0)))</f>
        <v>P-002360</v>
      </c>
      <c r="W552" s="1308">
        <v>45062</v>
      </c>
      <c r="X552" s="1315" t="str">
        <f ca="1">IF(CostTrack[[#This Row],[Release Date (CMS)]]="","*","")</f>
        <v/>
      </c>
      <c r="Y552" s="1308" t="s">
        <v>58</v>
      </c>
      <c r="Z552" s="713"/>
      <c r="AA552" s="1316">
        <f ca="1">IF(OR(CostTrack[[#This Row],[Release Date (CMS)]]&gt;=DATE(VALUE(REPLACE(CostTrack[[#This Row],[Fiscal Period]],3,3,"")),3,1),CostTrack[[#This Row],[Release Date (CMS)]]&lt;DATE(VALUE(LEFT(CostTrack[[#This Row],[Fiscal Period]],4)),4,1)),1,0)</f>
        <v>0</v>
      </c>
      <c r="AB552" s="1317">
        <v>6250</v>
      </c>
      <c r="AC552" s="1308">
        <v>45096</v>
      </c>
      <c r="AD552" s="402" t="str">
        <f ca="1">IF(CostTrack[[#This Row],[Reconciled Amount]]="","",IF(CostTrack[[#This Row],[Value]]&lt;&gt;CostTrack[[#This Row],[Reconciled Amount]],"Yes","No"))</f>
        <v>No</v>
      </c>
      <c r="AE552" s="658"/>
    </row>
    <row r="553" spans="2:31" ht="28.5" customHeight="1">
      <c r="B553" s="1324" t="s">
        <v>666</v>
      </c>
      <c r="C553" s="1312">
        <v>447933</v>
      </c>
      <c r="D553" s="1308">
        <v>44917</v>
      </c>
      <c r="E553" s="658">
        <v>6394.25</v>
      </c>
      <c r="F553" s="1309" t="s">
        <v>69</v>
      </c>
      <c r="G553" s="1310">
        <f ca="1">ROUND(IF(CostTrack[[#This Row],[Holdback (Y/N/R)]]="Yes",CostTrack[[#This Row],[Value]]*-0.1,IF(CostTrack[[#This Row],[Holdback (Y/N/R)]]="Release",CostTrack[[#This Row],[Value]],0)),2)</f>
        <v>0</v>
      </c>
      <c r="H553" s="1311">
        <f ca="1">IF(CostTrack[[#This Row],[Holdback (Y/N/R)]]="Release",CostTrack[[#This Row],[Value]],CostTrack[[#This Row],[Value]]+CostTrack[[#This Row],[Holdback Value]])</f>
        <v>6394.25</v>
      </c>
      <c r="I553" s="1312"/>
      <c r="J553" s="1312"/>
      <c r="K553" s="1313"/>
      <c r="L553" s="1325">
        <v>45061</v>
      </c>
      <c r="M553" s="1326">
        <v>45061</v>
      </c>
      <c r="N553" s="1327"/>
      <c r="O553" s="1328" t="s">
        <v>106</v>
      </c>
      <c r="P553" s="1308">
        <v>45061</v>
      </c>
      <c r="Q553" s="1314" t="str">
        <f ca="1">IF(CostTrack[[#This Row],[Vendor - Contract]]="","",INDEX(VendorList[PA ID],MATCH(CostTrack[[#This Row],[Vendor - Contract]],VendorList[Vendor / Org. with Contract ID],0)))</f>
        <v>200.050.F1</v>
      </c>
      <c r="R553" s="1314" t="str">
        <f ca="1">IF(CostTrack[[#This Row],[Vendor - Contract]]="","",INDEX(VendorList[Primary Category],MATCH(CostTrack[[#This Row],[Vendor - Contract]],VendorList[Vendor / Org. with Contract ID],0)))</f>
        <v>Professional Services</v>
      </c>
      <c r="S553" s="1314" t="str">
        <f ca="1">IF(CostTrack[[#This Row],[Vendor - Contract]]="","",INDEX(VendorList[Secondary Category],MATCH(CostTrack[[#This Row],[Vendor - Contract]],VendorList[Vendor / Org. with Contract ID],0)))</f>
        <v>Other Professional Services</v>
      </c>
      <c r="T553" s="1314" t="str">
        <f ca="1">IF(CostTrack[[#This Row],[Vendor - Contract]]="","",INDEX(VendorList[Phase / Subproject],MATCH(CostTrack[[#This Row],[Vendor - Contract]],VendorList[Vendor / Org. with Contract ID],0)))</f>
        <v>--</v>
      </c>
      <c r="U553" s="1314" t="str">
        <f ca="1">IF(CostTrack[[#This Row],[Vendor - Contract]]="","",INDEX(VendorList[Phase / Subproject 2],MATCH(CostTrack[[#This Row],[Vendor - Contract]],VendorList[Vendor / Org. with Contract ID],0)))</f>
        <v>--</v>
      </c>
      <c r="V553" s="1314" t="str">
        <f ca="1">IF(CostTrack[[#This Row],[Vendor - Contract]]="","",INDEX(VendorList[Funding Source],MATCH(CostTrack[[#This Row],[Vendor - Contract]],VendorList[Vendor / Org. with Contract ID],0)))</f>
        <v>P-002360</v>
      </c>
      <c r="W553" s="1308">
        <v>45062</v>
      </c>
      <c r="X553" s="1315" t="str">
        <f ca="1">IF(CostTrack[[#This Row],[Release Date (CMS)]]="","*","")</f>
        <v/>
      </c>
      <c r="Y553" s="1308" t="s">
        <v>58</v>
      </c>
      <c r="Z553" s="713"/>
      <c r="AA553" s="1316">
        <f ca="1">IF(OR(CostTrack[[#This Row],[Release Date (CMS)]]&gt;=DATE(VALUE(REPLACE(CostTrack[[#This Row],[Fiscal Period]],3,3,"")),3,1),CostTrack[[#This Row],[Release Date (CMS)]]&lt;DATE(VALUE(LEFT(CostTrack[[#This Row],[Fiscal Period]],4)),4,1)),1,0)</f>
        <v>0</v>
      </c>
      <c r="AB553" s="1317">
        <v>6394.25</v>
      </c>
      <c r="AC553" s="1308">
        <v>45096</v>
      </c>
      <c r="AD553" s="402" t="str">
        <f ca="1">IF(CostTrack[[#This Row],[Reconciled Amount]]="","",IF(CostTrack[[#This Row],[Value]]&lt;&gt;CostTrack[[#This Row],[Reconciled Amount]],"Yes","No"))</f>
        <v>No</v>
      </c>
      <c r="AE553" s="658"/>
    </row>
    <row r="554" spans="2:31" ht="28.5" customHeight="1">
      <c r="B554" s="1324" t="s">
        <v>731</v>
      </c>
      <c r="C554" s="1312">
        <v>800013378</v>
      </c>
      <c r="D554" s="1308">
        <v>45063</v>
      </c>
      <c r="E554" s="658">
        <v>79.239999999999995</v>
      </c>
      <c r="F554" s="1309" t="s">
        <v>69</v>
      </c>
      <c r="G554" s="1310">
        <f ca="1">ROUND(IF(CostTrack[[#This Row],[Holdback (Y/N/R)]]="Yes",CostTrack[[#This Row],[Value]]*-0.1,IF(CostTrack[[#This Row],[Holdback (Y/N/R)]]="Release",CostTrack[[#This Row],[Value]],0)),2)</f>
        <v>0</v>
      </c>
      <c r="H554" s="1311">
        <f ca="1">IF(CostTrack[[#This Row],[Holdback (Y/N/R)]]="Release",CostTrack[[#This Row],[Value]],CostTrack[[#This Row],[Value]]+CostTrack[[#This Row],[Holdback Value]])</f>
        <v>79.239999999999995</v>
      </c>
      <c r="I554" s="1312"/>
      <c r="J554" s="1312"/>
      <c r="K554" s="1313"/>
      <c r="L554" s="1325">
        <v>45065</v>
      </c>
      <c r="M554" s="1326">
        <v>45065</v>
      </c>
      <c r="N554" s="1327"/>
      <c r="O554" s="1328" t="s">
        <v>106</v>
      </c>
      <c r="P554" s="1308">
        <v>45065</v>
      </c>
      <c r="Q554" s="1314" t="str">
        <f ca="1">IF(CostTrack[[#This Row],[Vendor - Contract]]="","",INDEX(VendorList[PA ID],MATCH(CostTrack[[#This Row],[Vendor - Contract]],VendorList[Vendor / Org. with Contract ID],0)))</f>
        <v>100.050.F1</v>
      </c>
      <c r="R554" s="1314" t="str">
        <f ca="1">IF(CostTrack[[#This Row],[Vendor - Contract]]="","",INDEX(VendorList[Primary Category],MATCH(CostTrack[[#This Row],[Vendor - Contract]],VendorList[Vendor / Org. with Contract ID],0)))</f>
        <v>Administration</v>
      </c>
      <c r="S554" s="1314" t="str">
        <f ca="1">IF(CostTrack[[#This Row],[Vendor - Contract]]="","",INDEX(VendorList[Secondary Category],MATCH(CostTrack[[#This Row],[Vendor - Contract]],VendorList[Vendor / Org. with Contract ID],0)))</f>
        <v>Other Administration</v>
      </c>
      <c r="T554" s="1314" t="str">
        <f ca="1">IF(CostTrack[[#This Row],[Vendor - Contract]]="","",INDEX(VendorList[Phase / Subproject],MATCH(CostTrack[[#This Row],[Vendor - Contract]],VendorList[Vendor / Org. with Contract ID],0)))</f>
        <v>--</v>
      </c>
      <c r="U554" s="1314" t="str">
        <f ca="1">IF(CostTrack[[#This Row],[Vendor - Contract]]="","",INDEX(VendorList[Phase / Subproject 2],MATCH(CostTrack[[#This Row],[Vendor - Contract]],VendorList[Vendor / Org. with Contract ID],0)))</f>
        <v>--</v>
      </c>
      <c r="V554" s="1314" t="str">
        <f ca="1">IF(CostTrack[[#This Row],[Vendor - Contract]]="","",INDEX(VendorList[Funding Source],MATCH(CostTrack[[#This Row],[Vendor - Contract]],VendorList[Vendor / Org. with Contract ID],0)))</f>
        <v>P-002360</v>
      </c>
      <c r="W554" s="1308">
        <v>45065</v>
      </c>
      <c r="X554" s="1315" t="str">
        <f ca="1">IF(CostTrack[[#This Row],[Release Date (CMS)]]="","*","")</f>
        <v/>
      </c>
      <c r="Y554" s="1308" t="s">
        <v>58</v>
      </c>
      <c r="Z554" s="713"/>
      <c r="AA554" s="1316">
        <f ca="1">IF(OR(CostTrack[[#This Row],[Release Date (CMS)]]&gt;=DATE(VALUE(REPLACE(CostTrack[[#This Row],[Fiscal Period]],3,3,"")),3,1),CostTrack[[#This Row],[Release Date (CMS)]]&lt;DATE(VALUE(LEFT(CostTrack[[#This Row],[Fiscal Period]],4)),4,1)),1,0)</f>
        <v>0</v>
      </c>
      <c r="AB554" s="1317">
        <v>79.239999999999995</v>
      </c>
      <c r="AC554" s="1308">
        <v>45096</v>
      </c>
      <c r="AD554" s="402" t="str">
        <f ca="1">IF(CostTrack[[#This Row],[Reconciled Amount]]="","",IF(CostTrack[[#This Row],[Value]]&lt;&gt;CostTrack[[#This Row],[Reconciled Amount]],"Yes","No"))</f>
        <v>No</v>
      </c>
      <c r="AE554" s="658"/>
    </row>
    <row r="555" spans="2:31" ht="28.5" customHeight="1">
      <c r="B555" s="1324" t="s">
        <v>529</v>
      </c>
      <c r="C555" s="1312">
        <v>28724</v>
      </c>
      <c r="D555" s="1308">
        <v>45042</v>
      </c>
      <c r="E555" s="658">
        <v>4723990.28</v>
      </c>
      <c r="F555" s="1309" t="s">
        <v>65</v>
      </c>
      <c r="G555" s="1310">
        <f ca="1">ROUND(IF(CostTrack[[#This Row],[Holdback (Y/N/R)]]="Yes",CostTrack[[#This Row],[Value]]*-0.1,IF(CostTrack[[#This Row],[Holdback (Y/N/R)]]="Release",CostTrack[[#This Row],[Value]],0)),2)</f>
        <v>-472399.03</v>
      </c>
      <c r="H555" s="1311">
        <f ca="1">IF(CostTrack[[#This Row],[Holdback (Y/N/R)]]="Release",CostTrack[[#This Row],[Value]],CostTrack[[#This Row],[Value]]+CostTrack[[#This Row],[Holdback Value]])</f>
        <v>4251591.25</v>
      </c>
      <c r="I555" s="650" t="s">
        <v>1240</v>
      </c>
      <c r="J555" s="1312"/>
      <c r="K555" s="1313"/>
      <c r="L555" s="1325">
        <v>45064</v>
      </c>
      <c r="M555" s="1326">
        <v>45064</v>
      </c>
      <c r="N555" s="1327"/>
      <c r="O555" s="1328" t="s">
        <v>106</v>
      </c>
      <c r="P555" s="1308">
        <v>45064</v>
      </c>
      <c r="Q555" s="1314" t="str">
        <f ca="1">IF(CostTrack[[#This Row],[Vendor - Contract]]="","",INDEX(VendorList[PA ID],MATCH(CostTrack[[#This Row],[Vendor - Contract]],VendorList[Vendor / Org. with Contract ID],0)))</f>
        <v>300.030.F1</v>
      </c>
      <c r="R555" s="1314" t="str">
        <f ca="1">IF(CostTrack[[#This Row],[Vendor - Contract]]="","",INDEX(VendorList[Primary Category],MATCH(CostTrack[[#This Row],[Vendor - Contract]],VendorList[Vendor / Org. with Contract ID],0)))</f>
        <v>Construction</v>
      </c>
      <c r="S555" s="1314" t="str">
        <f ca="1">IF(CostTrack[[#This Row],[Vendor - Contract]]="","",INDEX(VendorList[Secondary Category],MATCH(CostTrack[[#This Row],[Vendor - Contract]],VendorList[Vendor / Org. with Contract ID],0)))</f>
        <v>Prime Contractor</v>
      </c>
      <c r="T555" s="1314" t="str">
        <f ca="1">IF(CostTrack[[#This Row],[Vendor - Contract]]="","",INDEX(VendorList[Phase / Subproject],MATCH(CostTrack[[#This Row],[Vendor - Contract]],VendorList[Vendor / Org. with Contract ID],0)))</f>
        <v>--</v>
      </c>
      <c r="U555" s="1314" t="str">
        <f ca="1">IF(CostTrack[[#This Row],[Vendor - Contract]]="","",INDEX(VendorList[Phase / Subproject 2],MATCH(CostTrack[[#This Row],[Vendor - Contract]],VendorList[Vendor / Org. with Contract ID],0)))</f>
        <v>--</v>
      </c>
      <c r="V555" s="1314" t="str">
        <f ca="1">IF(CostTrack[[#This Row],[Vendor - Contract]]="","",INDEX(VendorList[Funding Source],MATCH(CostTrack[[#This Row],[Vendor - Contract]],VendorList[Vendor / Org. with Contract ID],0)))</f>
        <v>P-002360</v>
      </c>
      <c r="W555" s="1308">
        <v>45065</v>
      </c>
      <c r="X555" s="1315" t="str">
        <f ca="1">IF(CostTrack[[#This Row],[Release Date (CMS)]]="","*","")</f>
        <v/>
      </c>
      <c r="Y555" s="1308" t="s">
        <v>58</v>
      </c>
      <c r="Z555" s="713"/>
      <c r="AA555" s="1316">
        <f ca="1">IF(OR(CostTrack[[#This Row],[Release Date (CMS)]]&gt;=DATE(VALUE(REPLACE(CostTrack[[#This Row],[Fiscal Period]],3,3,"")),3,1),CostTrack[[#This Row],[Release Date (CMS)]]&lt;DATE(VALUE(LEFT(CostTrack[[#This Row],[Fiscal Period]],4)),4,1)),1,0)</f>
        <v>0</v>
      </c>
      <c r="AB555" s="1317">
        <v>4723990.28</v>
      </c>
      <c r="AC555" s="1308">
        <v>45096</v>
      </c>
      <c r="AD555" s="402" t="str">
        <f ca="1">IF(CostTrack[[#This Row],[Reconciled Amount]]="","",IF(CostTrack[[#This Row],[Value]]&lt;&gt;CostTrack[[#This Row],[Reconciled Amount]],"Yes","No"))</f>
        <v>No</v>
      </c>
      <c r="AE555" s="658"/>
    </row>
    <row r="556" spans="2:31" ht="28.5" customHeight="1">
      <c r="B556" s="1324" t="s">
        <v>528</v>
      </c>
      <c r="C556" s="1312">
        <v>60812061</v>
      </c>
      <c r="D556" s="1308">
        <v>45064</v>
      </c>
      <c r="E556" s="658">
        <v>485</v>
      </c>
      <c r="F556" s="1309" t="s">
        <v>69</v>
      </c>
      <c r="G556" s="1310">
        <f ca="1">ROUND(IF(CostTrack[[#This Row],[Holdback (Y/N/R)]]="Yes",CostTrack[[#This Row],[Value]]*-0.1,IF(CostTrack[[#This Row],[Holdback (Y/N/R)]]="Release",CostTrack[[#This Row],[Value]],0)),2)</f>
        <v>0</v>
      </c>
      <c r="H556" s="1311">
        <f ca="1">IF(CostTrack[[#This Row],[Holdback (Y/N/R)]]="Release",CostTrack[[#This Row],[Value]],CostTrack[[#This Row],[Value]]+CostTrack[[#This Row],[Holdback Value]])</f>
        <v>485</v>
      </c>
      <c r="I556" s="1312"/>
      <c r="J556" s="1312"/>
      <c r="K556" s="1313"/>
      <c r="L556" s="1325">
        <v>45069</v>
      </c>
      <c r="M556" s="1326">
        <v>45069</v>
      </c>
      <c r="N556" s="1327"/>
      <c r="O556" s="1328" t="s">
        <v>106</v>
      </c>
      <c r="P556" s="1308">
        <v>45069</v>
      </c>
      <c r="Q556" s="1314" t="str">
        <f ca="1">IF(CostTrack[[#This Row],[Vendor - Contract]]="","",INDEX(VendorList[PA ID],MATCH(CostTrack[[#This Row],[Vendor - Contract]],VendorList[Vendor / Org. with Contract ID],0)))</f>
        <v>200.050.F1</v>
      </c>
      <c r="R556" s="1314" t="str">
        <f ca="1">IF(CostTrack[[#This Row],[Vendor - Contract]]="","",INDEX(VendorList[Primary Category],MATCH(CostTrack[[#This Row],[Vendor - Contract]],VendorList[Vendor / Org. with Contract ID],0)))</f>
        <v>Professional Services</v>
      </c>
      <c r="S556" s="1314" t="str">
        <f ca="1">IF(CostTrack[[#This Row],[Vendor - Contract]]="","",INDEX(VendorList[Secondary Category],MATCH(CostTrack[[#This Row],[Vendor - Contract]],VendorList[Vendor / Org. with Contract ID],0)))</f>
        <v>Other Professional Services</v>
      </c>
      <c r="T556" s="1314" t="str">
        <f ca="1">IF(CostTrack[[#This Row],[Vendor - Contract]]="","",INDEX(VendorList[Phase / Subproject],MATCH(CostTrack[[#This Row],[Vendor - Contract]],VendorList[Vendor / Org. with Contract ID],0)))</f>
        <v>--</v>
      </c>
      <c r="U556" s="1314" t="str">
        <f ca="1">IF(CostTrack[[#This Row],[Vendor - Contract]]="","",INDEX(VendorList[Phase / Subproject 2],MATCH(CostTrack[[#This Row],[Vendor - Contract]],VendorList[Vendor / Org. with Contract ID],0)))</f>
        <v>--</v>
      </c>
      <c r="V556" s="1314" t="str">
        <f ca="1">IF(CostTrack[[#This Row],[Vendor - Contract]]="","",INDEX(VendorList[Funding Source],MATCH(CostTrack[[#This Row],[Vendor - Contract]],VendorList[Vendor / Org. with Contract ID],0)))</f>
        <v>P-002360</v>
      </c>
      <c r="W556" s="1308">
        <v>45070</v>
      </c>
      <c r="X556" s="1315" t="str">
        <f ca="1">IF(CostTrack[[#This Row],[Release Date (CMS)]]="","*","")</f>
        <v/>
      </c>
      <c r="Y556" s="1308" t="s">
        <v>58</v>
      </c>
      <c r="Z556" s="713"/>
      <c r="AA556" s="1316">
        <f ca="1">IF(OR(CostTrack[[#This Row],[Release Date (CMS)]]&gt;=DATE(VALUE(REPLACE(CostTrack[[#This Row],[Fiscal Period]],3,3,"")),3,1),CostTrack[[#This Row],[Release Date (CMS)]]&lt;DATE(VALUE(LEFT(CostTrack[[#This Row],[Fiscal Period]],4)),4,1)),1,0)</f>
        <v>0</v>
      </c>
      <c r="AB556" s="1317">
        <v>485</v>
      </c>
      <c r="AC556" s="1308">
        <v>45096</v>
      </c>
      <c r="AD556" s="402" t="str">
        <f ca="1">IF(CostTrack[[#This Row],[Reconciled Amount]]="","",IF(CostTrack[[#This Row],[Value]]&lt;&gt;CostTrack[[#This Row],[Reconciled Amount]],"Yes","No"))</f>
        <v>No</v>
      </c>
      <c r="AE556" s="658"/>
    </row>
    <row r="557" spans="2:31" ht="80.650000000000006" customHeight="1">
      <c r="B557" s="1324" t="s">
        <v>710</v>
      </c>
      <c r="C557" s="1323">
        <v>101803631788</v>
      </c>
      <c r="D557" s="1308">
        <v>45063</v>
      </c>
      <c r="E557" s="658">
        <v>2168.48</v>
      </c>
      <c r="F557" s="1309" t="s">
        <v>69</v>
      </c>
      <c r="G557" s="1310">
        <f ca="1">ROUND(IF(CostTrack[[#This Row],[Holdback (Y/N/R)]]="Yes",CostTrack[[#This Row],[Value]]*-0.1,IF(CostTrack[[#This Row],[Holdback (Y/N/R)]]="Release",CostTrack[[#This Row],[Value]],0)),2)</f>
        <v>0</v>
      </c>
      <c r="H557" s="1311">
        <f ca="1">IF(CostTrack[[#This Row],[Holdback (Y/N/R)]]="Release",CostTrack[[#This Row],[Value]],CostTrack[[#This Row],[Value]]+CostTrack[[#This Row],[Holdback Value]])</f>
        <v>2168.48</v>
      </c>
      <c r="I557" s="1312"/>
      <c r="J557" s="1312"/>
      <c r="K557" s="1313"/>
      <c r="L557" s="1325">
        <v>45061</v>
      </c>
      <c r="M557" s="1326">
        <v>45071</v>
      </c>
      <c r="N557" s="1327"/>
      <c r="O557" s="1328" t="s">
        <v>106</v>
      </c>
      <c r="P557" s="1308">
        <v>45071</v>
      </c>
      <c r="Q557" s="1314" t="str">
        <f ca="1">IF(CostTrack[[#This Row],[Vendor - Contract]]="","",INDEX(VendorList[PA ID],MATCH(CostTrack[[#This Row],[Vendor - Contract]],VendorList[Vendor / Org. with Contract ID],0)))</f>
        <v>300.040.F1</v>
      </c>
      <c r="R557" s="1314" t="str">
        <f ca="1">IF(CostTrack[[#This Row],[Vendor - Contract]]="","",INDEX(VendorList[Primary Category],MATCH(CostTrack[[#This Row],[Vendor - Contract]],VendorList[Vendor / Org. with Contract ID],0)))</f>
        <v>Construction</v>
      </c>
      <c r="S557" s="1314" t="str">
        <f ca="1">IF(CostTrack[[#This Row],[Vendor - Contract]]="","",INDEX(VendorList[Secondary Category],MATCH(CostTrack[[#This Row],[Vendor - Contract]],VendorList[Vendor / Org. with Contract ID],0)))</f>
        <v>Other Contractor</v>
      </c>
      <c r="T557" s="1314" t="str">
        <f ca="1">IF(CostTrack[[#This Row],[Vendor - Contract]]="","",INDEX(VendorList[Phase / Subproject],MATCH(CostTrack[[#This Row],[Vendor - Contract]],VendorList[Vendor / Org. with Contract ID],0)))</f>
        <v>--</v>
      </c>
      <c r="U557" s="1314" t="str">
        <f ca="1">IF(CostTrack[[#This Row],[Vendor - Contract]]="","",INDEX(VendorList[Phase / Subproject 2],MATCH(CostTrack[[#This Row],[Vendor - Contract]],VendorList[Vendor / Org. with Contract ID],0)))</f>
        <v>--</v>
      </c>
      <c r="V557" s="1314" t="str">
        <f ca="1">IF(CostTrack[[#This Row],[Vendor - Contract]]="","",INDEX(VendorList[Funding Source],MATCH(CostTrack[[#This Row],[Vendor - Contract]],VendorList[Vendor / Org. with Contract ID],0)))</f>
        <v>P-002360</v>
      </c>
      <c r="W557" s="1308">
        <v>45072</v>
      </c>
      <c r="X557" s="1315" t="str">
        <f ca="1">IF(CostTrack[[#This Row],[Release Date (CMS)]]="","*","")</f>
        <v/>
      </c>
      <c r="Y557" s="1308" t="s">
        <v>58</v>
      </c>
      <c r="Z557" s="652" t="s">
        <v>1241</v>
      </c>
      <c r="AA557" s="1316">
        <f ca="1">IF(OR(CostTrack[[#This Row],[Release Date (CMS)]]&gt;=DATE(VALUE(REPLACE(CostTrack[[#This Row],[Fiscal Period]],3,3,"")),3,1),CostTrack[[#This Row],[Release Date (CMS)]]&lt;DATE(VALUE(LEFT(CostTrack[[#This Row],[Fiscal Period]],4)),4,1)),1,0)</f>
        <v>0</v>
      </c>
      <c r="AB557" s="1317">
        <v>2168.48</v>
      </c>
      <c r="AC557" s="1308">
        <v>45096</v>
      </c>
      <c r="AD557" s="402" t="str">
        <f ca="1">IF(CostTrack[[#This Row],[Reconciled Amount]]="","",IF(CostTrack[[#This Row],[Value]]&lt;&gt;CostTrack[[#This Row],[Reconciled Amount]],"Yes","No"))</f>
        <v>No</v>
      </c>
      <c r="AE557" s="658"/>
    </row>
    <row r="558" spans="2:31" ht="80.650000000000006" customHeight="1">
      <c r="B558" s="706" t="s">
        <v>1242</v>
      </c>
      <c r="C558" s="877" t="s">
        <v>1243</v>
      </c>
      <c r="D558" s="267">
        <v>45062</v>
      </c>
      <c r="E558" s="654">
        <v>1881.6</v>
      </c>
      <c r="F558" s="647" t="s">
        <v>69</v>
      </c>
      <c r="G558" s="406">
        <f ca="1">ROUND(IF(CostTrack[[#This Row],[Holdback (Y/N/R)]]="Yes",CostTrack[[#This Row],[Value]]*-0.1,IF(CostTrack[[#This Row],[Holdback (Y/N/R)]]="Release",CostTrack[[#This Row],[Value]],0)),2)</f>
        <v>0</v>
      </c>
      <c r="H558" s="407">
        <f ca="1">IF(CostTrack[[#This Row],[Holdback (Y/N/R)]]="Release",CostTrack[[#This Row],[Value]],CostTrack[[#This Row],[Value]]+CostTrack[[#This Row],[Holdback Value]])</f>
        <v>1881.6</v>
      </c>
      <c r="I558" s="650"/>
      <c r="J558" s="650"/>
      <c r="K558" s="648"/>
      <c r="L558" s="707">
        <v>45062</v>
      </c>
      <c r="M558" s="708">
        <v>45062</v>
      </c>
      <c r="N558" s="709"/>
      <c r="O558" s="712" t="s">
        <v>106</v>
      </c>
      <c r="P558" s="267">
        <v>45062</v>
      </c>
      <c r="Q558" s="243" t="str">
        <f ca="1">IF(CostTrack[[#This Row],[Vendor - Contract]]="","",INDEX(VendorList[PA ID],MATCH(CostTrack[[#This Row],[Vendor - Contract]],VendorList[Vendor / Org. with Contract ID],0)))</f>
        <v>400.020.F1</v>
      </c>
      <c r="R558" s="243" t="str">
        <f ca="1">IF(CostTrack[[#This Row],[Vendor - Contract]]="","",INDEX(VendorList[Primary Category],MATCH(CostTrack[[#This Row],[Vendor - Contract]],VendorList[Vendor / Org. with Contract ID],0)))</f>
        <v>FE_IT</v>
      </c>
      <c r="S558" s="243" t="str">
        <f ca="1">IF(CostTrack[[#This Row],[Vendor - Contract]]="","",INDEX(VendorList[Secondary Category],MATCH(CostTrack[[#This Row],[Vendor - Contract]],VendorList[Vendor / Org. with Contract ID],0)))</f>
        <v>Information Technology</v>
      </c>
      <c r="T558" s="243" t="str">
        <f ca="1">IF(CostTrack[[#This Row],[Vendor - Contract]]="","",INDEX(VendorList[Phase / Subproject],MATCH(CostTrack[[#This Row],[Vendor - Contract]],VendorList[Vendor / Org. with Contract ID],0)))</f>
        <v>--</v>
      </c>
      <c r="U558" s="243" t="str">
        <f ca="1">IF(CostTrack[[#This Row],[Vendor - Contract]]="","",INDEX(VendorList[Phase / Subproject 2],MATCH(CostTrack[[#This Row],[Vendor - Contract]],VendorList[Vendor / Org. with Contract ID],0)))</f>
        <v>--</v>
      </c>
      <c r="V558" s="243" t="str">
        <f ca="1">IF(CostTrack[[#This Row],[Vendor - Contract]]="","",INDEX(VendorList[Funding Source],MATCH(CostTrack[[#This Row],[Vendor - Contract]],VendorList[Vendor / Org. with Contract ID],0)))</f>
        <v>P-002360</v>
      </c>
      <c r="W558" s="267">
        <v>45062</v>
      </c>
      <c r="X558" s="251" t="str">
        <f ca="1">IF(CostTrack[[#This Row],[Release Date (CMS)]]="","*","")</f>
        <v/>
      </c>
      <c r="Y558" s="267" t="s">
        <v>58</v>
      </c>
      <c r="Z558" s="893">
        <v>9000050226</v>
      </c>
      <c r="AA558" s="245">
        <f ca="1">IF(OR(CostTrack[[#This Row],[Release Date (CMS)]]&gt;=DATE(VALUE(REPLACE(CostTrack[[#This Row],[Fiscal Period]],3,3,"")),3,1),CostTrack[[#This Row],[Release Date (CMS)]]&lt;DATE(VALUE(LEFT(CostTrack[[#This Row],[Fiscal Period]],4)),4,1)),1,0)</f>
        <v>0</v>
      </c>
      <c r="AB558" s="655">
        <v>1881.6</v>
      </c>
      <c r="AC558" s="267">
        <v>45096</v>
      </c>
      <c r="AD558" s="75" t="str">
        <f ca="1">IF(CostTrack[[#This Row],[Reconciled Amount]]="","",IF(CostTrack[[#This Row],[Value]]&lt;&gt;CostTrack[[#This Row],[Reconciled Amount]],"Yes","No"))</f>
        <v>No</v>
      </c>
      <c r="AE558" s="895"/>
    </row>
    <row r="559" spans="2:31" ht="26.25" customHeight="1">
      <c r="B559" s="706" t="s">
        <v>736</v>
      </c>
      <c r="C559" s="792" t="s">
        <v>1244</v>
      </c>
      <c r="D559" s="1308">
        <v>45077</v>
      </c>
      <c r="E559" s="658">
        <v>74117.5</v>
      </c>
      <c r="F559" s="1309" t="s">
        <v>69</v>
      </c>
      <c r="G559" s="1310">
        <f ca="1">ROUND(IF(CostTrack[[#This Row],[Holdback (Y/N/R)]]="Yes",CostTrack[[#This Row],[Value]]*-0.1,IF(CostTrack[[#This Row],[Holdback (Y/N/R)]]="Release",CostTrack[[#This Row],[Value]],0)),2)</f>
        <v>0</v>
      </c>
      <c r="H559" s="1311">
        <f ca="1">IF(CostTrack[[#This Row],[Holdback (Y/N/R)]]="Release",CostTrack[[#This Row],[Value]],CostTrack[[#This Row],[Value]]+CostTrack[[#This Row],[Holdback Value]])</f>
        <v>74117.5</v>
      </c>
      <c r="I559" s="1312"/>
      <c r="J559" s="1312"/>
      <c r="K559" s="1313"/>
      <c r="L559" s="1325">
        <v>45096</v>
      </c>
      <c r="M559" s="1326">
        <v>45096</v>
      </c>
      <c r="N559" s="1327"/>
      <c r="O559" s="1321" t="s">
        <v>106</v>
      </c>
      <c r="P559" s="1308">
        <v>45077</v>
      </c>
      <c r="Q559" s="1314" t="str">
        <f ca="1">IF(CostTrack[[#This Row],[Vendor - Contract]]="","",INDEX(VendorList[PA ID],MATCH(CostTrack[[#This Row],[Vendor - Contract]],VendorList[Vendor / Org. with Contract ID],0)))</f>
        <v>100.010.F1</v>
      </c>
      <c r="R559" s="1314" t="str">
        <f ca="1">IF(CostTrack[[#This Row],[Vendor - Contract]]="","",INDEX(VendorList[Primary Category],MATCH(CostTrack[[#This Row],[Vendor - Contract]],VendorList[Vendor / Org. with Contract ID],0)))</f>
        <v>Administration</v>
      </c>
      <c r="S559" s="1314" t="str">
        <f ca="1">IF(CostTrack[[#This Row],[Vendor - Contract]]="","",INDEX(VendorList[Secondary Category],MATCH(CostTrack[[#This Row],[Vendor - Contract]],VendorList[Vendor / Org. with Contract ID],0)))</f>
        <v>Staff Capitalization - INFRA</v>
      </c>
      <c r="T559" s="1314" t="str">
        <f ca="1">IF(CostTrack[[#This Row],[Vendor - Contract]]="","",INDEX(VendorList[Phase / Subproject],MATCH(CostTrack[[#This Row],[Vendor - Contract]],VendorList[Vendor / Org. with Contract ID],0)))</f>
        <v>--</v>
      </c>
      <c r="U559" s="1314" t="str">
        <f ca="1">IF(CostTrack[[#This Row],[Vendor - Contract]]="","",INDEX(VendorList[Phase / Subproject 2],MATCH(CostTrack[[#This Row],[Vendor - Contract]],VendorList[Vendor / Org. with Contract ID],0)))</f>
        <v>--</v>
      </c>
      <c r="V559" s="1314" t="str">
        <f ca="1">IF(CostTrack[[#This Row],[Vendor - Contract]]="","",INDEX(VendorList[Funding Source],MATCH(CostTrack[[#This Row],[Vendor - Contract]],VendorList[Vendor / Org. with Contract ID],0)))</f>
        <v>P-002360</v>
      </c>
      <c r="W559" s="1308">
        <v>45077</v>
      </c>
      <c r="X559" s="1315" t="str">
        <f ca="1">IF(CostTrack[[#This Row],[Release Date (CMS)]]="","*","")</f>
        <v/>
      </c>
      <c r="Y559" s="1308" t="s">
        <v>58</v>
      </c>
      <c r="Z559" s="652" t="s">
        <v>980</v>
      </c>
      <c r="AA559" s="1316">
        <f ca="1">IF(OR(CostTrack[[#This Row],[Release Date (CMS)]]&gt;=DATE(VALUE(REPLACE(CostTrack[[#This Row],[Fiscal Period]],3,3,"")),3,1),CostTrack[[#This Row],[Release Date (CMS)]]&lt;DATE(VALUE(LEFT(CostTrack[[#This Row],[Fiscal Period]],4)),4,1)),1,0)</f>
        <v>0</v>
      </c>
      <c r="AB559" s="1317">
        <v>74117.5</v>
      </c>
      <c r="AC559" s="1308">
        <v>45096</v>
      </c>
      <c r="AD559" s="75" t="str">
        <f ca="1">IF(CostTrack[[#This Row],[Reconciled Amount]]="","",IF(CostTrack[[#This Row],[Value]]&lt;&gt;CostTrack[[#This Row],[Reconciled Amount]],"Yes","No"))</f>
        <v>No</v>
      </c>
    </row>
    <row r="560" spans="2:31" ht="27" customHeight="1">
      <c r="B560" s="706" t="s">
        <v>529</v>
      </c>
      <c r="C560" s="650">
        <v>28866</v>
      </c>
      <c r="D560" s="267">
        <v>45075</v>
      </c>
      <c r="E560" s="654">
        <v>3834542.69</v>
      </c>
      <c r="F560" s="647" t="s">
        <v>65</v>
      </c>
      <c r="G560" s="406">
        <f ca="1">ROUND(IF(CostTrack[[#This Row],[Holdback (Y/N/R)]]="Yes",CostTrack[[#This Row],[Value]]*-0.1,IF(CostTrack[[#This Row],[Holdback (Y/N/R)]]="Release",CostTrack[[#This Row],[Value]],0)),2)</f>
        <v>-383454.27</v>
      </c>
      <c r="H560" s="407">
        <f ca="1">IF(CostTrack[[#This Row],[Holdback (Y/N/R)]]="Release",CostTrack[[#This Row],[Value]],CostTrack[[#This Row],[Value]]+CostTrack[[#This Row],[Holdback Value]])</f>
        <v>3451088.42</v>
      </c>
      <c r="I560" s="650" t="s">
        <v>1245</v>
      </c>
      <c r="J560" s="650"/>
      <c r="K560" s="648"/>
      <c r="L560" s="707">
        <v>45092</v>
      </c>
      <c r="M560" s="708">
        <v>45092</v>
      </c>
      <c r="N560" s="773"/>
      <c r="O560" s="712" t="s">
        <v>106</v>
      </c>
      <c r="P560" s="267">
        <v>45093</v>
      </c>
      <c r="Q560" s="243" t="str">
        <f ca="1">IF(CostTrack[[#This Row],[Vendor - Contract]]="","",INDEX(VendorList[PA ID],MATCH(CostTrack[[#This Row],[Vendor - Contract]],VendorList[Vendor / Org. with Contract ID],0)))</f>
        <v>300.030.F1</v>
      </c>
      <c r="R560" s="243" t="str">
        <f ca="1">IF(CostTrack[[#This Row],[Vendor - Contract]]="","",INDEX(VendorList[Primary Category],MATCH(CostTrack[[#This Row],[Vendor - Contract]],VendorList[Vendor / Org. with Contract ID],0)))</f>
        <v>Construction</v>
      </c>
      <c r="S560" s="243" t="str">
        <f ca="1">IF(CostTrack[[#This Row],[Vendor - Contract]]="","",INDEX(VendorList[Secondary Category],MATCH(CostTrack[[#This Row],[Vendor - Contract]],VendorList[Vendor / Org. with Contract ID],0)))</f>
        <v>Prime Contractor</v>
      </c>
      <c r="T560" s="243" t="str">
        <f ca="1">IF(CostTrack[[#This Row],[Vendor - Contract]]="","",INDEX(VendorList[Phase / Subproject],MATCH(CostTrack[[#This Row],[Vendor - Contract]],VendorList[Vendor / Org. with Contract ID],0)))</f>
        <v>--</v>
      </c>
      <c r="U560" s="243" t="str">
        <f ca="1">IF(CostTrack[[#This Row],[Vendor - Contract]]="","",INDEX(VendorList[Phase / Subproject 2],MATCH(CostTrack[[#This Row],[Vendor - Contract]],VendorList[Vendor / Org. with Contract ID],0)))</f>
        <v>--</v>
      </c>
      <c r="V560" s="243" t="str">
        <f ca="1">IF(CostTrack[[#This Row],[Vendor - Contract]]="","",INDEX(VendorList[Funding Source],MATCH(CostTrack[[#This Row],[Vendor - Contract]],VendorList[Vendor / Org. with Contract ID],0)))</f>
        <v>P-002360</v>
      </c>
      <c r="W560" s="267">
        <v>45093</v>
      </c>
      <c r="X560" s="251" t="str">
        <f ca="1">IF(CostTrack[[#This Row],[Release Date (CMS)]]="","*","")</f>
        <v/>
      </c>
      <c r="Y560" s="267" t="s">
        <v>58</v>
      </c>
      <c r="Z560" s="695" t="s">
        <v>1246</v>
      </c>
      <c r="AA560" s="245">
        <f ca="1">IF(OR(CostTrack[[#This Row],[Release Date (CMS)]]&gt;=DATE(VALUE(REPLACE(CostTrack[[#This Row],[Fiscal Period]],3,3,"")),3,1),CostTrack[[#This Row],[Release Date (CMS)]]&lt;DATE(VALUE(LEFT(CostTrack[[#This Row],[Fiscal Period]],4)),4,1)),1,0)</f>
        <v>0</v>
      </c>
      <c r="AB560" s="655">
        <v>3834542.69</v>
      </c>
      <c r="AC560" s="267">
        <v>45124</v>
      </c>
      <c r="AD560" s="75" t="str">
        <f ca="1">IF(CostTrack[[#This Row],[Reconciled Amount]]="","",IF(CostTrack[[#This Row],[Value]]&lt;&gt;CostTrack[[#This Row],[Reconciled Amount]],"Yes","No"))</f>
        <v>No</v>
      </c>
      <c r="AE560" s="895"/>
    </row>
    <row r="561" spans="2:31" ht="24" customHeight="1">
      <c r="B561" s="1324" t="s">
        <v>529</v>
      </c>
      <c r="C561" s="1312" t="s">
        <v>1247</v>
      </c>
      <c r="D561" s="1308">
        <v>45075</v>
      </c>
      <c r="E561" s="658">
        <v>24528.07</v>
      </c>
      <c r="F561" s="1309" t="s">
        <v>65</v>
      </c>
      <c r="G561" s="1310">
        <f ca="1">ROUND(IF(CostTrack[[#This Row],[Holdback (Y/N/R)]]="Yes",CostTrack[[#This Row],[Value]]*-0.1,IF(CostTrack[[#This Row],[Holdback (Y/N/R)]]="Release",CostTrack[[#This Row],[Value]],0)),2)</f>
        <v>-2452.81</v>
      </c>
      <c r="H561" s="1311">
        <f ca="1">IF(CostTrack[[#This Row],[Holdback (Y/N/R)]]="Release",CostTrack[[#This Row],[Value]],CostTrack[[#This Row],[Value]]+CostTrack[[#This Row],[Holdback Value]])</f>
        <v>22075.26</v>
      </c>
      <c r="I561" s="1312" t="s">
        <v>1245</v>
      </c>
      <c r="J561" s="1312"/>
      <c r="K561" s="1313"/>
      <c r="L561" s="1325">
        <v>45092</v>
      </c>
      <c r="M561" s="1326">
        <v>45092</v>
      </c>
      <c r="N561" s="1327"/>
      <c r="O561" s="1328" t="s">
        <v>106</v>
      </c>
      <c r="P561" s="1308">
        <v>45104</v>
      </c>
      <c r="Q561" s="1314" t="str">
        <f ca="1">IF(CostTrack[[#This Row],[Vendor - Contract]]="","",INDEX(VendorList[PA ID],MATCH(CostTrack[[#This Row],[Vendor - Contract]],VendorList[Vendor / Org. with Contract ID],0)))</f>
        <v>300.030.F1</v>
      </c>
      <c r="R561" s="1314" t="str">
        <f ca="1">IF(CostTrack[[#This Row],[Vendor - Contract]]="","",INDEX(VendorList[Primary Category],MATCH(CostTrack[[#This Row],[Vendor - Contract]],VendorList[Vendor / Org. with Contract ID],0)))</f>
        <v>Construction</v>
      </c>
      <c r="S561" s="1314" t="str">
        <f ca="1">IF(CostTrack[[#This Row],[Vendor - Contract]]="","",INDEX(VendorList[Secondary Category],MATCH(CostTrack[[#This Row],[Vendor - Contract]],VendorList[Vendor / Org. with Contract ID],0)))</f>
        <v>Prime Contractor</v>
      </c>
      <c r="T561" s="1314" t="str">
        <f ca="1">IF(CostTrack[[#This Row],[Vendor - Contract]]="","",INDEX(VendorList[Phase / Subproject],MATCH(CostTrack[[#This Row],[Vendor - Contract]],VendorList[Vendor / Org. with Contract ID],0)))</f>
        <v>--</v>
      </c>
      <c r="U561" s="1314" t="str">
        <f ca="1">IF(CostTrack[[#This Row],[Vendor - Contract]]="","",INDEX(VendorList[Phase / Subproject 2],MATCH(CostTrack[[#This Row],[Vendor - Contract]],VendorList[Vendor / Org. with Contract ID],0)))</f>
        <v>--</v>
      </c>
      <c r="V561" s="1314" t="str">
        <f ca="1">IF(CostTrack[[#This Row],[Vendor - Contract]]="","",INDEX(VendorList[Funding Source],MATCH(CostTrack[[#This Row],[Vendor - Contract]],VendorList[Vendor / Org. with Contract ID],0)))</f>
        <v>P-002360</v>
      </c>
      <c r="W561" s="1308">
        <v>45104</v>
      </c>
      <c r="X561" s="1315" t="str">
        <f ca="1">IF(CostTrack[[#This Row],[Release Date (CMS)]]="","*","")</f>
        <v/>
      </c>
      <c r="Y561" s="1308" t="s">
        <v>58</v>
      </c>
      <c r="Z561" s="758" t="s">
        <v>1248</v>
      </c>
      <c r="AA561" s="1316">
        <f ca="1">IF(OR(CostTrack[[#This Row],[Release Date (CMS)]]&gt;=DATE(VALUE(REPLACE(CostTrack[[#This Row],[Fiscal Period]],3,3,"")),3,1),CostTrack[[#This Row],[Release Date (CMS)]]&lt;DATE(VALUE(LEFT(CostTrack[[#This Row],[Fiscal Period]],4)),4,1)),1,0)</f>
        <v>0</v>
      </c>
      <c r="AB561" s="1317">
        <v>24528.07</v>
      </c>
      <c r="AC561" s="1308">
        <v>45124</v>
      </c>
      <c r="AD561" s="402" t="str">
        <f ca="1">IF(CostTrack[[#This Row],[Reconciled Amount]]="","",IF(CostTrack[[#This Row],[Value]]&lt;&gt;CostTrack[[#This Row],[Reconciled Amount]],"Yes","No"))</f>
        <v>No</v>
      </c>
      <c r="AE561" s="658"/>
    </row>
    <row r="562" spans="2:31" ht="26.25" customHeight="1">
      <c r="B562" s="706" t="s">
        <v>527</v>
      </c>
      <c r="C562" s="650" t="s">
        <v>1249</v>
      </c>
      <c r="D562" s="267">
        <v>45077</v>
      </c>
      <c r="E562" s="654">
        <v>95401.49</v>
      </c>
      <c r="F562" s="647" t="s">
        <v>69</v>
      </c>
      <c r="G562" s="406">
        <f ca="1">ROUND(IF(CostTrack[[#This Row],[Holdback (Y/N/R)]]="Yes",CostTrack[[#This Row],[Value]]*-0.1,IF(CostTrack[[#This Row],[Holdback (Y/N/R)]]="Release",CostTrack[[#This Row],[Value]],0)),2)</f>
        <v>0</v>
      </c>
      <c r="H562" s="407">
        <f ca="1">IF(CostTrack[[#This Row],[Holdback (Y/N/R)]]="Release",CostTrack[[#This Row],[Value]],CostTrack[[#This Row],[Value]]+CostTrack[[#This Row],[Holdback Value]])</f>
        <v>95401.49</v>
      </c>
      <c r="I562" s="650"/>
      <c r="J562" s="650"/>
      <c r="K562" s="648"/>
      <c r="L562" s="707">
        <v>45092</v>
      </c>
      <c r="M562" s="708">
        <v>45092</v>
      </c>
      <c r="N562" s="773"/>
      <c r="O562" s="712" t="s">
        <v>106</v>
      </c>
      <c r="P562" s="267">
        <v>41440</v>
      </c>
      <c r="Q562" s="243" t="str">
        <f ca="1">IF(CostTrack[[#This Row],[Vendor - Contract]]="","",INDEX(VendorList[PA ID],MATCH(CostTrack[[#This Row],[Vendor - Contract]],VendorList[Vendor / Org. with Contract ID],0)))</f>
        <v>200.010.F1</v>
      </c>
      <c r="R562" s="243" t="str">
        <f ca="1">IF(CostTrack[[#This Row],[Vendor - Contract]]="","",INDEX(VendorList[Primary Category],MATCH(CostTrack[[#This Row],[Vendor - Contract]],VendorList[Vendor / Org. with Contract ID],0)))</f>
        <v>Professional Services</v>
      </c>
      <c r="S562" s="243" t="str">
        <f ca="1">IF(CostTrack[[#This Row],[Vendor - Contract]]="","",INDEX(VendorList[Secondary Category],MATCH(CostTrack[[#This Row],[Vendor - Contract]],VendorList[Vendor / Org. with Contract ID],0)))</f>
        <v>Prime Consultant</v>
      </c>
      <c r="T562" s="243" t="str">
        <f ca="1">IF(CostTrack[[#This Row],[Vendor - Contract]]="","",INDEX(VendorList[Phase / Subproject],MATCH(CostTrack[[#This Row],[Vendor - Contract]],VendorList[Vendor / Org. with Contract ID],0)))</f>
        <v>--</v>
      </c>
      <c r="U562" s="243" t="str">
        <f ca="1">IF(CostTrack[[#This Row],[Vendor - Contract]]="","",INDEX(VendorList[Phase / Subproject 2],MATCH(CostTrack[[#This Row],[Vendor - Contract]],VendorList[Vendor / Org. with Contract ID],0)))</f>
        <v>--</v>
      </c>
      <c r="V562" s="243" t="str">
        <f ca="1">IF(CostTrack[[#This Row],[Vendor - Contract]]="","",INDEX(VendorList[Funding Source],MATCH(CostTrack[[#This Row],[Vendor - Contract]],VendorList[Vendor / Org. with Contract ID],0)))</f>
        <v>P-002360</v>
      </c>
      <c r="W562" s="267">
        <v>45092</v>
      </c>
      <c r="X562" s="251" t="str">
        <f ca="1">IF(CostTrack[[#This Row],[Release Date (CMS)]]="","*","")</f>
        <v/>
      </c>
      <c r="Y562" s="267" t="s">
        <v>58</v>
      </c>
      <c r="Z562" s="894"/>
      <c r="AA562" s="245">
        <f ca="1">IF(OR(CostTrack[[#This Row],[Release Date (CMS)]]&gt;=DATE(VALUE(REPLACE(CostTrack[[#This Row],[Fiscal Period]],3,3,"")),3,1),CostTrack[[#This Row],[Release Date (CMS)]]&lt;DATE(VALUE(LEFT(CostTrack[[#This Row],[Fiscal Period]],4)),4,1)),1,0)</f>
        <v>0</v>
      </c>
      <c r="AB562" s="655">
        <v>95401.49</v>
      </c>
      <c r="AC562" s="267">
        <v>45124</v>
      </c>
      <c r="AD562" s="75" t="str">
        <f ca="1">IF(CostTrack[[#This Row],[Reconciled Amount]]="","",IF(CostTrack[[#This Row],[Value]]&lt;&gt;CostTrack[[#This Row],[Reconciled Amount]],"Yes","No"))</f>
        <v>No</v>
      </c>
      <c r="AE562" s="895"/>
    </row>
    <row r="563" spans="2:31" ht="26.25" customHeight="1">
      <c r="B563" s="706" t="s">
        <v>711</v>
      </c>
      <c r="C563" s="650">
        <v>4554035</v>
      </c>
      <c r="D563" s="267">
        <v>45077</v>
      </c>
      <c r="E563" s="654">
        <v>261.12</v>
      </c>
      <c r="F563" s="647" t="s">
        <v>69</v>
      </c>
      <c r="G563" s="406">
        <f ca="1">ROUND(IF(CostTrack[[#This Row],[Holdback (Y/N/R)]]="Yes",CostTrack[[#This Row],[Value]]*-0.1,IF(CostTrack[[#This Row],[Holdback (Y/N/R)]]="Release",CostTrack[[#This Row],[Value]],0)),2)</f>
        <v>0</v>
      </c>
      <c r="H563" s="407">
        <f ca="1">IF(CostTrack[[#This Row],[Holdback (Y/N/R)]]="Release",CostTrack[[#This Row],[Value]],CostTrack[[#This Row],[Value]]+CostTrack[[#This Row],[Holdback Value]])</f>
        <v>261.12</v>
      </c>
      <c r="I563" s="650"/>
      <c r="J563" s="650"/>
      <c r="K563" s="648"/>
      <c r="L563" s="707">
        <v>45092</v>
      </c>
      <c r="M563" s="708">
        <v>45092</v>
      </c>
      <c r="N563" s="773"/>
      <c r="O563" s="712" t="s">
        <v>106</v>
      </c>
      <c r="P563" s="267">
        <v>45092</v>
      </c>
      <c r="Q563" s="243" t="str">
        <f ca="1">IF(CostTrack[[#This Row],[Vendor - Contract]]="","",INDEX(VendorList[PA ID],MATCH(CostTrack[[#This Row],[Vendor - Contract]],VendorList[Vendor / Org. with Contract ID],0)))</f>
        <v>300.040.F1</v>
      </c>
      <c r="R563" s="243" t="str">
        <f ca="1">IF(CostTrack[[#This Row],[Vendor - Contract]]="","",INDEX(VendorList[Primary Category],MATCH(CostTrack[[#This Row],[Vendor - Contract]],VendorList[Vendor / Org. with Contract ID],0)))</f>
        <v>Construction</v>
      </c>
      <c r="S563" s="243" t="str">
        <f ca="1">IF(CostTrack[[#This Row],[Vendor - Contract]]="","",INDEX(VendorList[Secondary Category],MATCH(CostTrack[[#This Row],[Vendor - Contract]],VendorList[Vendor / Org. with Contract ID],0)))</f>
        <v>Other Contractor</v>
      </c>
      <c r="T563" s="243" t="str">
        <f ca="1">IF(CostTrack[[#This Row],[Vendor - Contract]]="","",INDEX(VendorList[Phase / Subproject],MATCH(CostTrack[[#This Row],[Vendor - Contract]],VendorList[Vendor / Org. with Contract ID],0)))</f>
        <v>--</v>
      </c>
      <c r="U563" s="243" t="str">
        <f ca="1">IF(CostTrack[[#This Row],[Vendor - Contract]]="","",INDEX(VendorList[Phase / Subproject 2],MATCH(CostTrack[[#This Row],[Vendor - Contract]],VendorList[Vendor / Org. with Contract ID],0)))</f>
        <v>--</v>
      </c>
      <c r="V563" s="243" t="str">
        <f ca="1">IF(CostTrack[[#This Row],[Vendor - Contract]]="","",INDEX(VendorList[Funding Source],MATCH(CostTrack[[#This Row],[Vendor - Contract]],VendorList[Vendor / Org. with Contract ID],0)))</f>
        <v>P-002360</v>
      </c>
      <c r="W563" s="267">
        <v>45096</v>
      </c>
      <c r="X563" s="251" t="str">
        <f ca="1">IF(CostTrack[[#This Row],[Release Date (CMS)]]="","*","")</f>
        <v/>
      </c>
      <c r="Y563" s="267" t="s">
        <v>58</v>
      </c>
      <c r="Z563" s="894"/>
      <c r="AA563" s="245">
        <f ca="1">IF(OR(CostTrack[[#This Row],[Release Date (CMS)]]&gt;=DATE(VALUE(REPLACE(CostTrack[[#This Row],[Fiscal Period]],3,3,"")),3,1),CostTrack[[#This Row],[Release Date (CMS)]]&lt;DATE(VALUE(LEFT(CostTrack[[#This Row],[Fiscal Period]],4)),4,1)),1,0)</f>
        <v>0</v>
      </c>
      <c r="AB563" s="655">
        <v>261.12</v>
      </c>
      <c r="AC563" s="267">
        <v>45124</v>
      </c>
      <c r="AD563" s="75" t="str">
        <f ca="1">IF(CostTrack[[#This Row],[Reconciled Amount]]="","",IF(CostTrack[[#This Row],[Value]]&lt;&gt;CostTrack[[#This Row],[Reconciled Amount]],"Yes","No"))</f>
        <v>No</v>
      </c>
      <c r="AE563" s="895"/>
    </row>
    <row r="564" spans="2:31" ht="35.25" customHeight="1">
      <c r="B564" s="706" t="s">
        <v>1087</v>
      </c>
      <c r="C564" s="650">
        <v>39689070123</v>
      </c>
      <c r="D564" s="267">
        <v>45079</v>
      </c>
      <c r="E564" s="654">
        <v>13333.91</v>
      </c>
      <c r="F564" s="647" t="s">
        <v>69</v>
      </c>
      <c r="G564" s="406">
        <f ca="1">ROUND(IF(CostTrack[[#This Row],[Holdback (Y/N/R)]]="Yes",CostTrack[[#This Row],[Value]]*-0.1,IF(CostTrack[[#This Row],[Holdback (Y/N/R)]]="Release",CostTrack[[#This Row],[Value]],0)),2)</f>
        <v>0</v>
      </c>
      <c r="H564" s="407">
        <f ca="1">IF(CostTrack[[#This Row],[Holdback (Y/N/R)]]="Release",CostTrack[[#This Row],[Value]],CostTrack[[#This Row],[Value]]+CostTrack[[#This Row],[Holdback Value]])</f>
        <v>13333.91</v>
      </c>
      <c r="I564" s="650"/>
      <c r="J564" s="650"/>
      <c r="K564" s="648"/>
      <c r="L564" s="707">
        <v>45079</v>
      </c>
      <c r="M564" s="708">
        <v>45079</v>
      </c>
      <c r="N564" s="773"/>
      <c r="O564" s="712" t="s">
        <v>106</v>
      </c>
      <c r="P564" s="267">
        <v>45079</v>
      </c>
      <c r="Q564" s="243" t="str">
        <f ca="1">IF(CostTrack[[#This Row],[Vendor - Contract]]="","",INDEX(VendorList[PA ID],MATCH(CostTrack[[#This Row],[Vendor - Contract]],VendorList[Vendor / Org. with Contract ID],0)))</f>
        <v>300.040.F1</v>
      </c>
      <c r="R564" s="243" t="str">
        <f ca="1">IF(CostTrack[[#This Row],[Vendor - Contract]]="","",INDEX(VendorList[Primary Category],MATCH(CostTrack[[#This Row],[Vendor - Contract]],VendorList[Vendor / Org. with Contract ID],0)))</f>
        <v>Construction</v>
      </c>
      <c r="S564" s="243" t="str">
        <f ca="1">IF(CostTrack[[#This Row],[Vendor - Contract]]="","",INDEX(VendorList[Secondary Category],MATCH(CostTrack[[#This Row],[Vendor - Contract]],VendorList[Vendor / Org. with Contract ID],0)))</f>
        <v>Other Contractor</v>
      </c>
      <c r="T564" s="243" t="str">
        <f ca="1">IF(CostTrack[[#This Row],[Vendor - Contract]]="","",INDEX(VendorList[Phase / Subproject],MATCH(CostTrack[[#This Row],[Vendor - Contract]],VendorList[Vendor / Org. with Contract ID],0)))</f>
        <v>--</v>
      </c>
      <c r="U564" s="243" t="str">
        <f ca="1">IF(CostTrack[[#This Row],[Vendor - Contract]]="","",INDEX(VendorList[Phase / Subproject 2],MATCH(CostTrack[[#This Row],[Vendor - Contract]],VendorList[Vendor / Org. with Contract ID],0)))</f>
        <v>--</v>
      </c>
      <c r="V564" s="243" t="str">
        <f ca="1">IF(CostTrack[[#This Row],[Vendor - Contract]]="","",INDEX(VendorList[Funding Source],MATCH(CostTrack[[#This Row],[Vendor - Contract]],VendorList[Vendor / Org. with Contract ID],0)))</f>
        <v>P-002360</v>
      </c>
      <c r="W564" s="267">
        <v>45078</v>
      </c>
      <c r="X564" s="251" t="str">
        <f ca="1">IF(CostTrack[[#This Row],[Release Date (CMS)]]="","*","")</f>
        <v/>
      </c>
      <c r="Y564" s="267" t="s">
        <v>58</v>
      </c>
      <c r="Z564" s="894" t="s">
        <v>1250</v>
      </c>
      <c r="AA564" s="245">
        <f ca="1">IF(OR(CostTrack[[#This Row],[Release Date (CMS)]]&gt;=DATE(VALUE(REPLACE(CostTrack[[#This Row],[Fiscal Period]],3,3,"")),3,1),CostTrack[[#This Row],[Release Date (CMS)]]&lt;DATE(VALUE(LEFT(CostTrack[[#This Row],[Fiscal Period]],4)),4,1)),1,0)</f>
        <v>0</v>
      </c>
      <c r="AB564" s="655">
        <v>13333.91</v>
      </c>
      <c r="AC564" s="267">
        <v>45124</v>
      </c>
      <c r="AD564" s="75" t="str">
        <f ca="1">IF(CostTrack[[#This Row],[Reconciled Amount]]="","",IF(CostTrack[[#This Row],[Value]]&lt;&gt;CostTrack[[#This Row],[Reconciled Amount]],"Yes","No"))</f>
        <v>No</v>
      </c>
      <c r="AE564" s="895"/>
    </row>
    <row r="565" spans="2:31" ht="26.25" customHeight="1">
      <c r="B565" s="706" t="s">
        <v>731</v>
      </c>
      <c r="C565" s="650">
        <v>800020298</v>
      </c>
      <c r="D565" s="267">
        <v>45082</v>
      </c>
      <c r="E565" s="654">
        <v>39.619999999999997</v>
      </c>
      <c r="F565" s="647" t="s">
        <v>69</v>
      </c>
      <c r="G565" s="406">
        <f ca="1">ROUND(IF(CostTrack[[#This Row],[Holdback (Y/N/R)]]="Yes",CostTrack[[#This Row],[Value]]*-0.1,IF(CostTrack[[#This Row],[Holdback (Y/N/R)]]="Release",CostTrack[[#This Row],[Value]],0)),2)</f>
        <v>0</v>
      </c>
      <c r="H565" s="407">
        <f ca="1">IF(CostTrack[[#This Row],[Holdback (Y/N/R)]]="Release",CostTrack[[#This Row],[Value]],CostTrack[[#This Row],[Value]]+CostTrack[[#This Row],[Holdback Value]])</f>
        <v>39.619999999999997</v>
      </c>
      <c r="I565" s="650"/>
      <c r="J565" s="650"/>
      <c r="K565" s="648"/>
      <c r="L565" s="707">
        <v>45085</v>
      </c>
      <c r="M565" s="708">
        <v>45085</v>
      </c>
      <c r="N565" s="773"/>
      <c r="O565" s="712" t="s">
        <v>106</v>
      </c>
      <c r="P565" s="267">
        <v>45082</v>
      </c>
      <c r="Q565" s="243" t="str">
        <f ca="1">IF(CostTrack[[#This Row],[Vendor - Contract]]="","",INDEX(VendorList[PA ID],MATCH(CostTrack[[#This Row],[Vendor - Contract]],VendorList[Vendor / Org. with Contract ID],0)))</f>
        <v>100.050.F1</v>
      </c>
      <c r="R565" s="243" t="str">
        <f ca="1">IF(CostTrack[[#This Row],[Vendor - Contract]]="","",INDEX(VendorList[Primary Category],MATCH(CostTrack[[#This Row],[Vendor - Contract]],VendorList[Vendor / Org. with Contract ID],0)))</f>
        <v>Administration</v>
      </c>
      <c r="S565" s="243" t="str">
        <f ca="1">IF(CostTrack[[#This Row],[Vendor - Contract]]="","",INDEX(VendorList[Secondary Category],MATCH(CostTrack[[#This Row],[Vendor - Contract]],VendorList[Vendor / Org. with Contract ID],0)))</f>
        <v>Other Administration</v>
      </c>
      <c r="T565" s="243" t="str">
        <f ca="1">IF(CostTrack[[#This Row],[Vendor - Contract]]="","",INDEX(VendorList[Phase / Subproject],MATCH(CostTrack[[#This Row],[Vendor - Contract]],VendorList[Vendor / Org. with Contract ID],0)))</f>
        <v>--</v>
      </c>
      <c r="U565" s="243" t="str">
        <f ca="1">IF(CostTrack[[#This Row],[Vendor - Contract]]="","",INDEX(VendorList[Phase / Subproject 2],MATCH(CostTrack[[#This Row],[Vendor - Contract]],VendorList[Vendor / Org. with Contract ID],0)))</f>
        <v>--</v>
      </c>
      <c r="V565" s="243" t="str">
        <f ca="1">IF(CostTrack[[#This Row],[Vendor - Contract]]="","",INDEX(VendorList[Funding Source],MATCH(CostTrack[[#This Row],[Vendor - Contract]],VendorList[Vendor / Org. with Contract ID],0)))</f>
        <v>P-002360</v>
      </c>
      <c r="W565" s="267">
        <v>45085</v>
      </c>
      <c r="X565" s="251" t="str">
        <f ca="1">IF(CostTrack[[#This Row],[Release Date (CMS)]]="","*","")</f>
        <v/>
      </c>
      <c r="Y565" s="267" t="s">
        <v>58</v>
      </c>
      <c r="Z565" s="894"/>
      <c r="AA565" s="245">
        <f ca="1">IF(OR(CostTrack[[#This Row],[Release Date (CMS)]]&gt;=DATE(VALUE(REPLACE(CostTrack[[#This Row],[Fiscal Period]],3,3,"")),3,1),CostTrack[[#This Row],[Release Date (CMS)]]&lt;DATE(VALUE(LEFT(CostTrack[[#This Row],[Fiscal Period]],4)),4,1)),1,0)</f>
        <v>0</v>
      </c>
      <c r="AB565" s="655">
        <v>39.619999999999997</v>
      </c>
      <c r="AC565" s="267">
        <v>45124</v>
      </c>
      <c r="AD565" s="402" t="str">
        <f ca="1">IF(CostTrack[[#This Row],[Reconciled Amount]]="","",IF(CostTrack[[#This Row],[Value]]&lt;&gt;CostTrack[[#This Row],[Reconciled Amount]],"Yes","No"))</f>
        <v>No</v>
      </c>
      <c r="AE565" s="654"/>
    </row>
    <row r="566" spans="2:31" ht="26.25" customHeight="1">
      <c r="B566" s="1324" t="s">
        <v>528</v>
      </c>
      <c r="C566" s="1312">
        <v>60816252</v>
      </c>
      <c r="D566" s="1308">
        <v>45093</v>
      </c>
      <c r="E566" s="658">
        <v>1929</v>
      </c>
      <c r="F566" s="1309" t="s">
        <v>69</v>
      </c>
      <c r="G566" s="1310">
        <f ca="1">ROUND(IF(CostTrack[[#This Row],[Holdback (Y/N/R)]]="Yes",CostTrack[[#This Row],[Value]]*-0.1,IF(CostTrack[[#This Row],[Holdback (Y/N/R)]]="Release",CostTrack[[#This Row],[Value]],0)),2)</f>
        <v>0</v>
      </c>
      <c r="H566" s="1311">
        <f ca="1">IF(CostTrack[[#This Row],[Holdback (Y/N/R)]]="Release",CostTrack[[#This Row],[Value]],CostTrack[[#This Row],[Value]]+CostTrack[[#This Row],[Holdback Value]])</f>
        <v>1929</v>
      </c>
      <c r="I566" s="1312"/>
      <c r="J566" s="1312"/>
      <c r="K566" s="1313"/>
      <c r="L566" s="1325">
        <v>45098</v>
      </c>
      <c r="M566" s="1326">
        <v>45098</v>
      </c>
      <c r="N566" s="1335"/>
      <c r="O566" s="1328" t="s">
        <v>106</v>
      </c>
      <c r="P566" s="1308">
        <v>45098</v>
      </c>
      <c r="Q566" s="1314" t="str">
        <f ca="1">IF(CostTrack[[#This Row],[Vendor - Contract]]="","",INDEX(VendorList[PA ID],MATCH(CostTrack[[#This Row],[Vendor - Contract]],VendorList[Vendor / Org. with Contract ID],0)))</f>
        <v>200.050.F1</v>
      </c>
      <c r="R566" s="1314" t="str">
        <f ca="1">IF(CostTrack[[#This Row],[Vendor - Contract]]="","",INDEX(VendorList[Primary Category],MATCH(CostTrack[[#This Row],[Vendor - Contract]],VendorList[Vendor / Org. with Contract ID],0)))</f>
        <v>Professional Services</v>
      </c>
      <c r="S566" s="1314" t="str">
        <f ca="1">IF(CostTrack[[#This Row],[Vendor - Contract]]="","",INDEX(VendorList[Secondary Category],MATCH(CostTrack[[#This Row],[Vendor - Contract]],VendorList[Vendor / Org. with Contract ID],0)))</f>
        <v>Other Professional Services</v>
      </c>
      <c r="T566" s="1314" t="str">
        <f ca="1">IF(CostTrack[[#This Row],[Vendor - Contract]]="","",INDEX(VendorList[Phase / Subproject],MATCH(CostTrack[[#This Row],[Vendor - Contract]],VendorList[Vendor / Org. with Contract ID],0)))</f>
        <v>--</v>
      </c>
      <c r="U566" s="1314" t="str">
        <f ca="1">IF(CostTrack[[#This Row],[Vendor - Contract]]="","",INDEX(VendorList[Phase / Subproject 2],MATCH(CostTrack[[#This Row],[Vendor - Contract]],VendorList[Vendor / Org. with Contract ID],0)))</f>
        <v>--</v>
      </c>
      <c r="V566" s="1314" t="str">
        <f ca="1">IF(CostTrack[[#This Row],[Vendor - Contract]]="","",INDEX(VendorList[Funding Source],MATCH(CostTrack[[#This Row],[Vendor - Contract]],VendorList[Vendor / Org. with Contract ID],0)))</f>
        <v>P-002360</v>
      </c>
      <c r="W566" s="267">
        <v>45098</v>
      </c>
      <c r="X566" s="1315" t="str">
        <f ca="1">IF(CostTrack[[#This Row],[Release Date (CMS)]]="","*","")</f>
        <v/>
      </c>
      <c r="Y566" s="1308" t="s">
        <v>58</v>
      </c>
      <c r="Z566" s="894"/>
      <c r="AA566" s="1316">
        <f ca="1">IF(OR(CostTrack[[#This Row],[Release Date (CMS)]]&gt;=DATE(VALUE(REPLACE(CostTrack[[#This Row],[Fiscal Period]],3,3,"")),3,1),CostTrack[[#This Row],[Release Date (CMS)]]&lt;DATE(VALUE(LEFT(CostTrack[[#This Row],[Fiscal Period]],4)),4,1)),1,0)</f>
        <v>0</v>
      </c>
      <c r="AB566" s="1317">
        <v>1929</v>
      </c>
      <c r="AC566" s="1308">
        <v>45124</v>
      </c>
      <c r="AD566" s="402" t="str">
        <f ca="1">IF(CostTrack[[#This Row],[Reconciled Amount]]="","",IF(CostTrack[[#This Row],[Value]]&lt;&gt;CostTrack[[#This Row],[Reconciled Amount]],"Yes","No"))</f>
        <v>No</v>
      </c>
      <c r="AE566" s="658"/>
    </row>
    <row r="567" spans="2:31" ht="26.25" customHeight="1">
      <c r="B567" s="1324" t="s">
        <v>710</v>
      </c>
      <c r="C567" s="1312">
        <v>502881597</v>
      </c>
      <c r="D567" s="1308">
        <v>45097</v>
      </c>
      <c r="E567" s="658">
        <v>242.5</v>
      </c>
      <c r="F567" s="1309" t="s">
        <v>69</v>
      </c>
      <c r="G567" s="1310">
        <f ca="1">ROUND(IF(CostTrack[[#This Row],[Holdback (Y/N/R)]]="Yes",CostTrack[[#This Row],[Value]]*-0.1,IF(CostTrack[[#This Row],[Holdback (Y/N/R)]]="Release",CostTrack[[#This Row],[Value]],0)),2)</f>
        <v>0</v>
      </c>
      <c r="H567" s="1311">
        <f ca="1">IF(CostTrack[[#This Row],[Holdback (Y/N/R)]]="Release",CostTrack[[#This Row],[Value]],CostTrack[[#This Row],[Value]]+CostTrack[[#This Row],[Holdback Value]])</f>
        <v>242.5</v>
      </c>
      <c r="I567" s="1312"/>
      <c r="J567" s="1312"/>
      <c r="K567" s="1313"/>
      <c r="L567" s="1325">
        <v>45100</v>
      </c>
      <c r="M567" s="1326">
        <v>45100</v>
      </c>
      <c r="N567" s="1335"/>
      <c r="O567" s="1328" t="s">
        <v>106</v>
      </c>
      <c r="P567" s="1308">
        <v>45100</v>
      </c>
      <c r="Q567" s="1314" t="str">
        <f ca="1">IF(CostTrack[[#This Row],[Vendor - Contract]]="","",INDEX(VendorList[PA ID],MATCH(CostTrack[[#This Row],[Vendor - Contract]],VendorList[Vendor / Org. with Contract ID],0)))</f>
        <v>300.040.F1</v>
      </c>
      <c r="R567" s="1314" t="str">
        <f ca="1">IF(CostTrack[[#This Row],[Vendor - Contract]]="","",INDEX(VendorList[Primary Category],MATCH(CostTrack[[#This Row],[Vendor - Contract]],VendorList[Vendor / Org. with Contract ID],0)))</f>
        <v>Construction</v>
      </c>
      <c r="S567" s="1314" t="str">
        <f ca="1">IF(CostTrack[[#This Row],[Vendor - Contract]]="","",INDEX(VendorList[Secondary Category],MATCH(CostTrack[[#This Row],[Vendor - Contract]],VendorList[Vendor / Org. with Contract ID],0)))</f>
        <v>Other Contractor</v>
      </c>
      <c r="T567" s="1314" t="str">
        <f ca="1">IF(CostTrack[[#This Row],[Vendor - Contract]]="","",INDEX(VendorList[Phase / Subproject],MATCH(CostTrack[[#This Row],[Vendor - Contract]],VendorList[Vendor / Org. with Contract ID],0)))</f>
        <v>--</v>
      </c>
      <c r="U567" s="1314" t="str">
        <f ca="1">IF(CostTrack[[#This Row],[Vendor - Contract]]="","",INDEX(VendorList[Phase / Subproject 2],MATCH(CostTrack[[#This Row],[Vendor - Contract]],VendorList[Vendor / Org. with Contract ID],0)))</f>
        <v>--</v>
      </c>
      <c r="V567" s="1314" t="str">
        <f ca="1">IF(CostTrack[[#This Row],[Vendor - Contract]]="","",INDEX(VendorList[Funding Source],MATCH(CostTrack[[#This Row],[Vendor - Contract]],VendorList[Vendor / Org. with Contract ID],0)))</f>
        <v>P-002360</v>
      </c>
      <c r="W567" s="1308">
        <v>45100</v>
      </c>
      <c r="X567" s="1315" t="str">
        <f ca="1">IF(CostTrack[[#This Row],[Release Date (CMS)]]="","*","")</f>
        <v/>
      </c>
      <c r="Y567" s="1308" t="s">
        <v>58</v>
      </c>
      <c r="Z567" s="713" t="s">
        <v>1251</v>
      </c>
      <c r="AA567" s="1316">
        <f ca="1">IF(OR(CostTrack[[#This Row],[Release Date (CMS)]]&gt;=DATE(VALUE(REPLACE(CostTrack[[#This Row],[Fiscal Period]],3,3,"")),3,1),CostTrack[[#This Row],[Release Date (CMS)]]&lt;DATE(VALUE(LEFT(CostTrack[[#This Row],[Fiscal Period]],4)),4,1)),1,0)</f>
        <v>0</v>
      </c>
      <c r="AB567" s="1317">
        <v>242.5</v>
      </c>
      <c r="AC567" s="1308">
        <v>45124</v>
      </c>
      <c r="AD567" s="402" t="str">
        <f ca="1">IF(CostTrack[[#This Row],[Reconciled Amount]]="","",IF(CostTrack[[#This Row],[Value]]&lt;&gt;CostTrack[[#This Row],[Reconciled Amount]],"Yes","No"))</f>
        <v>No</v>
      </c>
      <c r="AE567" s="658"/>
    </row>
    <row r="568" spans="2:31" ht="26.25" customHeight="1">
      <c r="B568" s="1324" t="s">
        <v>729</v>
      </c>
      <c r="C568" s="1312">
        <v>20125346</v>
      </c>
      <c r="D568" s="1308">
        <v>45098</v>
      </c>
      <c r="E568" s="658">
        <v>5614</v>
      </c>
      <c r="F568" s="1309" t="s">
        <v>69</v>
      </c>
      <c r="G568" s="1310">
        <f ca="1">ROUND(IF(CostTrack[[#This Row],[Holdback (Y/N/R)]]="Yes",CostTrack[[#This Row],[Value]]*-0.1,IF(CostTrack[[#This Row],[Holdback (Y/N/R)]]="Release",CostTrack[[#This Row],[Value]],0)),2)</f>
        <v>0</v>
      </c>
      <c r="H568" s="1311">
        <f ca="1">IF(CostTrack[[#This Row],[Holdback (Y/N/R)]]="Release",CostTrack[[#This Row],[Value]],CostTrack[[#This Row],[Value]]+CostTrack[[#This Row],[Holdback Value]])</f>
        <v>5614</v>
      </c>
      <c r="I568" s="1312"/>
      <c r="J568" s="1312"/>
      <c r="K568" s="1313"/>
      <c r="L568" s="1325">
        <v>45099</v>
      </c>
      <c r="M568" s="1326">
        <v>45099</v>
      </c>
      <c r="N568" s="1335"/>
      <c r="O568" s="1328" t="s">
        <v>106</v>
      </c>
      <c r="P568" s="1308">
        <v>45065</v>
      </c>
      <c r="Q568" s="1314" t="str">
        <f ca="1">IF(CostTrack[[#This Row],[Vendor - Contract]]="","",INDEX(VendorList[PA ID],MATCH(CostTrack[[#This Row],[Vendor - Contract]],VendorList[Vendor / Org. with Contract ID],0)))</f>
        <v>400.010.F1</v>
      </c>
      <c r="R568" s="1314" t="str">
        <f ca="1">IF(CostTrack[[#This Row],[Vendor - Contract]]="","",INDEX(VendorList[Primary Category],MATCH(CostTrack[[#This Row],[Vendor - Contract]],VendorList[Vendor / Org. with Contract ID],0)))</f>
        <v>FE_IT</v>
      </c>
      <c r="S568" s="1314" t="str">
        <f ca="1">IF(CostTrack[[#This Row],[Vendor - Contract]]="","",INDEX(VendorList[Secondary Category],MATCH(CostTrack[[#This Row],[Vendor - Contract]],VendorList[Vendor / Org. with Contract ID],0)))</f>
        <v>Furniture &amp; Equipment</v>
      </c>
      <c r="T568" s="1314" t="str">
        <f ca="1">IF(CostTrack[[#This Row],[Vendor - Contract]]="","",INDEX(VendorList[Phase / Subproject],MATCH(CostTrack[[#This Row],[Vendor - Contract]],VendorList[Vendor / Org. with Contract ID],0)))</f>
        <v>--</v>
      </c>
      <c r="U568" s="1314" t="str">
        <f ca="1">IF(CostTrack[[#This Row],[Vendor - Contract]]="","",INDEX(VendorList[Phase / Subproject 2],MATCH(CostTrack[[#This Row],[Vendor - Contract]],VendorList[Vendor / Org. with Contract ID],0)))</f>
        <v>--</v>
      </c>
      <c r="V568" s="1314" t="str">
        <f ca="1">IF(CostTrack[[#This Row],[Vendor - Contract]]="","",INDEX(VendorList[Funding Source],MATCH(CostTrack[[#This Row],[Vendor - Contract]],VendorList[Vendor / Org. with Contract ID],0)))</f>
        <v>P-002360</v>
      </c>
      <c r="W568" s="1308">
        <v>45103</v>
      </c>
      <c r="X568" s="1315" t="str">
        <f ca="1">IF(CostTrack[[#This Row],[Release Date (CMS)]]="","*","")</f>
        <v/>
      </c>
      <c r="Y568" s="1308" t="s">
        <v>58</v>
      </c>
      <c r="Z568" s="713" t="s">
        <v>1252</v>
      </c>
      <c r="AA568" s="1316">
        <f ca="1">IF(OR(CostTrack[[#This Row],[Release Date (CMS)]]&gt;=DATE(VALUE(REPLACE(CostTrack[[#This Row],[Fiscal Period]],3,3,"")),3,1),CostTrack[[#This Row],[Release Date (CMS)]]&lt;DATE(VALUE(LEFT(CostTrack[[#This Row],[Fiscal Period]],4)),4,1)),1,0)</f>
        <v>0</v>
      </c>
      <c r="AB568" s="1317">
        <v>5614</v>
      </c>
      <c r="AC568" s="1308">
        <v>45124</v>
      </c>
      <c r="AD568" s="402" t="str">
        <f ca="1">IF(CostTrack[[#This Row],[Reconciled Amount]]="","",IF(CostTrack[[#This Row],[Value]]&lt;&gt;CostTrack[[#This Row],[Reconciled Amount]],"Yes","No"))</f>
        <v>No</v>
      </c>
      <c r="AE568" s="658"/>
    </row>
    <row r="569" spans="2:31" ht="26.25" customHeight="1">
      <c r="B569" s="1324" t="s">
        <v>666</v>
      </c>
      <c r="C569" s="650" t="s">
        <v>1253</v>
      </c>
      <c r="D569" s="1308">
        <v>45097</v>
      </c>
      <c r="E569" s="658">
        <v>1250</v>
      </c>
      <c r="F569" s="1309" t="s">
        <v>69</v>
      </c>
      <c r="G569" s="1310">
        <f ca="1">ROUND(IF(CostTrack[[#This Row],[Holdback (Y/N/R)]]="Yes",CostTrack[[#This Row],[Value]]*-0.1,IF(CostTrack[[#This Row],[Holdback (Y/N/R)]]="Release",CostTrack[[#This Row],[Value]],0)),2)</f>
        <v>0</v>
      </c>
      <c r="H569" s="1311">
        <f ca="1">IF(CostTrack[[#This Row],[Holdback (Y/N/R)]]="Release",CostTrack[[#This Row],[Value]],CostTrack[[#This Row],[Value]]+CostTrack[[#This Row],[Holdback Value]])</f>
        <v>1250</v>
      </c>
      <c r="I569" s="1312"/>
      <c r="J569" s="1312"/>
      <c r="K569" s="1313"/>
      <c r="L569" s="1325">
        <v>45103</v>
      </c>
      <c r="M569" s="1326">
        <v>45103</v>
      </c>
      <c r="N569" s="1335"/>
      <c r="O569" s="1328" t="s">
        <v>106</v>
      </c>
      <c r="P569" s="1308">
        <v>45104</v>
      </c>
      <c r="Q569" s="1314" t="str">
        <f ca="1">IF(CostTrack[[#This Row],[Vendor - Contract]]="","",INDEX(VendorList[PA ID],MATCH(CostTrack[[#This Row],[Vendor - Contract]],VendorList[Vendor / Org. with Contract ID],0)))</f>
        <v>200.050.F1</v>
      </c>
      <c r="R569" s="1314" t="str">
        <f ca="1">IF(CostTrack[[#This Row],[Vendor - Contract]]="","",INDEX(VendorList[Primary Category],MATCH(CostTrack[[#This Row],[Vendor - Contract]],VendorList[Vendor / Org. with Contract ID],0)))</f>
        <v>Professional Services</v>
      </c>
      <c r="S569" s="1314" t="str">
        <f ca="1">IF(CostTrack[[#This Row],[Vendor - Contract]]="","",INDEX(VendorList[Secondary Category],MATCH(CostTrack[[#This Row],[Vendor - Contract]],VendorList[Vendor / Org. with Contract ID],0)))</f>
        <v>Other Professional Services</v>
      </c>
      <c r="T569" s="1314" t="str">
        <f ca="1">IF(CostTrack[[#This Row],[Vendor - Contract]]="","",INDEX(VendorList[Phase / Subproject],MATCH(CostTrack[[#This Row],[Vendor - Contract]],VendorList[Vendor / Org. with Contract ID],0)))</f>
        <v>--</v>
      </c>
      <c r="U569" s="1314" t="str">
        <f ca="1">IF(CostTrack[[#This Row],[Vendor - Contract]]="","",INDEX(VendorList[Phase / Subproject 2],MATCH(CostTrack[[#This Row],[Vendor - Contract]],VendorList[Vendor / Org. with Contract ID],0)))</f>
        <v>--</v>
      </c>
      <c r="V569" s="1314" t="str">
        <f ca="1">IF(CostTrack[[#This Row],[Vendor - Contract]]="","",INDEX(VendorList[Funding Source],MATCH(CostTrack[[#This Row],[Vendor - Contract]],VendorList[Vendor / Org. with Contract ID],0)))</f>
        <v>P-002360</v>
      </c>
      <c r="W569" s="1308">
        <v>45104</v>
      </c>
      <c r="X569" s="1315" t="str">
        <f ca="1">IF(CostTrack[[#This Row],[Release Date (CMS)]]="","*","")</f>
        <v/>
      </c>
      <c r="Y569" s="1308" t="s">
        <v>58</v>
      </c>
      <c r="Z569" s="713"/>
      <c r="AA569" s="1316">
        <f ca="1">IF(OR(CostTrack[[#This Row],[Release Date (CMS)]]&gt;=DATE(VALUE(REPLACE(CostTrack[[#This Row],[Fiscal Period]],3,3,"")),3,1),CostTrack[[#This Row],[Release Date (CMS)]]&lt;DATE(VALUE(LEFT(CostTrack[[#This Row],[Fiscal Period]],4)),4,1)),1,0)</f>
        <v>0</v>
      </c>
      <c r="AB569" s="1317">
        <v>1250</v>
      </c>
      <c r="AC569" s="1308">
        <v>45124</v>
      </c>
      <c r="AD569" s="402" t="str">
        <f ca="1">IF(CostTrack[[#This Row],[Reconciled Amount]]="","",IF(CostTrack[[#This Row],[Value]]&lt;&gt;CostTrack[[#This Row],[Reconciled Amount]],"Yes","No"))</f>
        <v>No</v>
      </c>
      <c r="AE569" s="658"/>
    </row>
    <row r="570" spans="2:31" ht="26.25" customHeight="1">
      <c r="B570" s="706" t="s">
        <v>666</v>
      </c>
      <c r="C570" s="650" t="s">
        <v>1254</v>
      </c>
      <c r="D570" s="267">
        <v>45097</v>
      </c>
      <c r="E570" s="654">
        <v>6250</v>
      </c>
      <c r="F570" s="647" t="s">
        <v>69</v>
      </c>
      <c r="G570" s="406">
        <f ca="1">ROUND(IF(CostTrack[[#This Row],[Holdback (Y/N/R)]]="Yes",CostTrack[[#This Row],[Value]]*-0.1,IF(CostTrack[[#This Row],[Holdback (Y/N/R)]]="Release",CostTrack[[#This Row],[Value]],0)),2)</f>
        <v>0</v>
      </c>
      <c r="H570" s="407">
        <f ca="1">IF(CostTrack[[#This Row],[Holdback (Y/N/R)]]="Release",CostTrack[[#This Row],[Value]],CostTrack[[#This Row],[Value]]+CostTrack[[#This Row],[Holdback Value]])</f>
        <v>6250</v>
      </c>
      <c r="I570" s="650"/>
      <c r="J570" s="650"/>
      <c r="K570" s="648"/>
      <c r="L570" s="707">
        <v>45103</v>
      </c>
      <c r="M570" s="708">
        <v>45103</v>
      </c>
      <c r="N570" s="709"/>
      <c r="O570" s="210" t="s">
        <v>106</v>
      </c>
      <c r="P570" s="267">
        <v>45104</v>
      </c>
      <c r="Q570" s="243" t="str">
        <f ca="1">IF(CostTrack[[#This Row],[Vendor - Contract]]="","",INDEX(VendorList[PA ID],MATCH(CostTrack[[#This Row],[Vendor - Contract]],VendorList[Vendor / Org. with Contract ID],0)))</f>
        <v>200.050.F1</v>
      </c>
      <c r="R570" s="243" t="str">
        <f ca="1">IF(CostTrack[[#This Row],[Vendor - Contract]]="","",INDEX(VendorList[Primary Category],MATCH(CostTrack[[#This Row],[Vendor - Contract]],VendorList[Vendor / Org. with Contract ID],0)))</f>
        <v>Professional Services</v>
      </c>
      <c r="S570" s="243" t="str">
        <f ca="1">IF(CostTrack[[#This Row],[Vendor - Contract]]="","",INDEX(VendorList[Secondary Category],MATCH(CostTrack[[#This Row],[Vendor - Contract]],VendorList[Vendor / Org. with Contract ID],0)))</f>
        <v>Other Professional Services</v>
      </c>
      <c r="T570" s="243" t="str">
        <f ca="1">IF(CostTrack[[#This Row],[Vendor - Contract]]="","",INDEX(VendorList[Phase / Subproject],MATCH(CostTrack[[#This Row],[Vendor - Contract]],VendorList[Vendor / Org. with Contract ID],0)))</f>
        <v>--</v>
      </c>
      <c r="U570" s="243" t="str">
        <f ca="1">IF(CostTrack[[#This Row],[Vendor - Contract]]="","",INDEX(VendorList[Phase / Subproject 2],MATCH(CostTrack[[#This Row],[Vendor - Contract]],VendorList[Vendor / Org. with Contract ID],0)))</f>
        <v>--</v>
      </c>
      <c r="V570" s="243" t="str">
        <f ca="1">IF(CostTrack[[#This Row],[Vendor - Contract]]="","",INDEX(VendorList[Funding Source],MATCH(CostTrack[[#This Row],[Vendor - Contract]],VendorList[Vendor / Org. with Contract ID],0)))</f>
        <v>P-002360</v>
      </c>
      <c r="W570" s="267">
        <v>45104</v>
      </c>
      <c r="X570" s="251" t="str">
        <f ca="1">IF(CostTrack[[#This Row],[Release Date (CMS)]]="","*","")</f>
        <v/>
      </c>
      <c r="Y570" s="267" t="s">
        <v>58</v>
      </c>
      <c r="Z570" s="652"/>
      <c r="AA570" s="245">
        <f ca="1">IF(OR(CostTrack[[#This Row],[Release Date (CMS)]]&gt;=DATE(VALUE(REPLACE(CostTrack[[#This Row],[Fiscal Period]],3,3,"")),3,1),CostTrack[[#This Row],[Release Date (CMS)]]&lt;DATE(VALUE(LEFT(CostTrack[[#This Row],[Fiscal Period]],4)),4,1)),1,0)</f>
        <v>0</v>
      </c>
      <c r="AB570" s="655">
        <v>6250</v>
      </c>
      <c r="AC570" s="267">
        <v>45124</v>
      </c>
      <c r="AD570" s="402" t="str">
        <f ca="1">IF(CostTrack[[#This Row],[Reconciled Amount]]="","",IF(CostTrack[[#This Row],[Value]]&lt;&gt;CostTrack[[#This Row],[Reconciled Amount]],"Yes","No"))</f>
        <v>No</v>
      </c>
      <c r="AE570" s="654"/>
    </row>
    <row r="571" spans="2:31" ht="26.25" customHeight="1">
      <c r="B571" s="1324" t="s">
        <v>736</v>
      </c>
      <c r="C571" s="792" t="s">
        <v>1255</v>
      </c>
      <c r="D571" s="1308">
        <v>45107</v>
      </c>
      <c r="E571" s="658">
        <v>37745.589999999997</v>
      </c>
      <c r="F571" s="1309" t="s">
        <v>69</v>
      </c>
      <c r="G571" s="1310">
        <f ca="1">ROUND(IF(CostTrack[[#This Row],[Holdback (Y/N/R)]]="Yes",CostTrack[[#This Row],[Value]]*-0.1,IF(CostTrack[[#This Row],[Holdback (Y/N/R)]]="Release",CostTrack[[#This Row],[Value]],0)),2)</f>
        <v>0</v>
      </c>
      <c r="H571" s="1311">
        <f ca="1">IF(CostTrack[[#This Row],[Holdback (Y/N/R)]]="Release",CostTrack[[#This Row],[Value]],CostTrack[[#This Row],[Value]]+CostTrack[[#This Row],[Holdback Value]])</f>
        <v>37745.589999999997</v>
      </c>
      <c r="I571" s="1312"/>
      <c r="J571" s="1312"/>
      <c r="K571" s="1313"/>
      <c r="L571" s="1325">
        <v>45107</v>
      </c>
      <c r="M571" s="1326">
        <v>45107</v>
      </c>
      <c r="N571" s="1327"/>
      <c r="O571" s="1328" t="s">
        <v>106</v>
      </c>
      <c r="P571" s="1308">
        <v>45107</v>
      </c>
      <c r="Q571" s="1314" t="str">
        <f ca="1">IF(CostTrack[[#This Row],[Vendor - Contract]]="","",INDEX(VendorList[PA ID],MATCH(CostTrack[[#This Row],[Vendor - Contract]],VendorList[Vendor / Org. with Contract ID],0)))</f>
        <v>100.010.F1</v>
      </c>
      <c r="R571" s="1314" t="str">
        <f ca="1">IF(CostTrack[[#This Row],[Vendor - Contract]]="","",INDEX(VendorList[Primary Category],MATCH(CostTrack[[#This Row],[Vendor - Contract]],VendorList[Vendor / Org. with Contract ID],0)))</f>
        <v>Administration</v>
      </c>
      <c r="S571" s="1314" t="str">
        <f ca="1">IF(CostTrack[[#This Row],[Vendor - Contract]]="","",INDEX(VendorList[Secondary Category],MATCH(CostTrack[[#This Row],[Vendor - Contract]],VendorList[Vendor / Org. with Contract ID],0)))</f>
        <v>Staff Capitalization - INFRA</v>
      </c>
      <c r="T571" s="1314" t="str">
        <f ca="1">IF(CostTrack[[#This Row],[Vendor - Contract]]="","",INDEX(VendorList[Phase / Subproject],MATCH(CostTrack[[#This Row],[Vendor - Contract]],VendorList[Vendor / Org. with Contract ID],0)))</f>
        <v>--</v>
      </c>
      <c r="U571" s="1314" t="str">
        <f ca="1">IF(CostTrack[[#This Row],[Vendor - Contract]]="","",INDEX(VendorList[Phase / Subproject 2],MATCH(CostTrack[[#This Row],[Vendor - Contract]],VendorList[Vendor / Org. with Contract ID],0)))</f>
        <v>--</v>
      </c>
      <c r="V571" s="1314" t="str">
        <f ca="1">IF(CostTrack[[#This Row],[Vendor - Contract]]="","",INDEX(VendorList[Funding Source],MATCH(CostTrack[[#This Row],[Vendor - Contract]],VendorList[Vendor / Org. with Contract ID],0)))</f>
        <v>P-002360</v>
      </c>
      <c r="W571" s="1308">
        <v>45107</v>
      </c>
      <c r="X571" s="1315" t="str">
        <f ca="1">IF(CostTrack[[#This Row],[Release Date (CMS)]]="","*","")</f>
        <v/>
      </c>
      <c r="Y571" s="1308" t="s">
        <v>58</v>
      </c>
      <c r="Z571" s="1348"/>
      <c r="AA571" s="1316">
        <f ca="1">IF(OR(CostTrack[[#This Row],[Release Date (CMS)]]&gt;=DATE(VALUE(REPLACE(CostTrack[[#This Row],[Fiscal Period]],3,3,"")),3,1),CostTrack[[#This Row],[Release Date (CMS)]]&lt;DATE(VALUE(LEFT(CostTrack[[#This Row],[Fiscal Period]],4)),4,1)),1,0)</f>
        <v>0</v>
      </c>
      <c r="AB571" s="1317">
        <v>37745.589999999997</v>
      </c>
      <c r="AC571" s="1308">
        <v>45124</v>
      </c>
      <c r="AD571" s="402" t="str">
        <f ca="1">IF(CostTrack[[#This Row],[Reconciled Amount]]="","",IF(CostTrack[[#This Row],[Value]]&lt;&gt;CostTrack[[#This Row],[Reconciled Amount]],"Yes","No"))</f>
        <v>No</v>
      </c>
      <c r="AE571" s="658"/>
    </row>
    <row r="572" spans="2:31" ht="26.25" customHeight="1">
      <c r="B572" s="1324" t="s">
        <v>1256</v>
      </c>
      <c r="C572" s="1312" t="s">
        <v>1257</v>
      </c>
      <c r="D572" s="1308">
        <v>45085</v>
      </c>
      <c r="E572" s="658">
        <v>210540.7</v>
      </c>
      <c r="F572" s="1309" t="s">
        <v>69</v>
      </c>
      <c r="G572" s="1310">
        <f ca="1">ROUND(IF(CostTrack[[#This Row],[Holdback (Y/N/R)]]="Yes",CostTrack[[#This Row],[Value]]*-0.1,IF(CostTrack[[#This Row],[Holdback (Y/N/R)]]="Release",CostTrack[[#This Row],[Value]],0)),2)</f>
        <v>0</v>
      </c>
      <c r="H572" s="1311">
        <f ca="1">IF(CostTrack[[#This Row],[Holdback (Y/N/R)]]="Release",CostTrack[[#This Row],[Value]],CostTrack[[#This Row],[Value]]+CostTrack[[#This Row],[Holdback Value]])</f>
        <v>210540.7</v>
      </c>
      <c r="I572" s="1312"/>
      <c r="J572" s="1312"/>
      <c r="K572" s="1313"/>
      <c r="L572" s="1325">
        <v>45085</v>
      </c>
      <c r="M572" s="1326">
        <v>45085</v>
      </c>
      <c r="N572" s="1327"/>
      <c r="O572" s="1328" t="s">
        <v>106</v>
      </c>
      <c r="P572" s="1308">
        <v>45085</v>
      </c>
      <c r="Q572" s="1314" t="str">
        <f ca="1">IF(CostTrack[[#This Row],[Vendor - Contract]]="","",INDEX(VendorList[PA ID],MATCH(CostTrack[[#This Row],[Vendor - Contract]],VendorList[Vendor / Org. with Contract ID],0)))</f>
        <v>400.020.F1</v>
      </c>
      <c r="R572" s="1314" t="str">
        <f ca="1">IF(CostTrack[[#This Row],[Vendor - Contract]]="","",INDEX(VendorList[Primary Category],MATCH(CostTrack[[#This Row],[Vendor - Contract]],VendorList[Vendor / Org. with Contract ID],0)))</f>
        <v>FE_IT</v>
      </c>
      <c r="S572" s="1314" t="str">
        <f ca="1">IF(CostTrack[[#This Row],[Vendor - Contract]]="","",INDEX(VendorList[Secondary Category],MATCH(CostTrack[[#This Row],[Vendor - Contract]],VendorList[Vendor / Org. with Contract ID],0)))</f>
        <v>Information Technology</v>
      </c>
      <c r="T572" s="1314" t="str">
        <f ca="1">IF(CostTrack[[#This Row],[Vendor - Contract]]="","",INDEX(VendorList[Phase / Subproject],MATCH(CostTrack[[#This Row],[Vendor - Contract]],VendorList[Vendor / Org. with Contract ID],0)))</f>
        <v>--</v>
      </c>
      <c r="U572" s="1314" t="str">
        <f ca="1">IF(CostTrack[[#This Row],[Vendor - Contract]]="","",INDEX(VendorList[Phase / Subproject 2],MATCH(CostTrack[[#This Row],[Vendor - Contract]],VendorList[Vendor / Org. with Contract ID],0)))</f>
        <v>--</v>
      </c>
      <c r="V572" s="1314" t="str">
        <f ca="1">IF(CostTrack[[#This Row],[Vendor - Contract]]="","",INDEX(VendorList[Funding Source],MATCH(CostTrack[[#This Row],[Vendor - Contract]],VendorList[Vendor / Org. with Contract ID],0)))</f>
        <v>P-002360</v>
      </c>
      <c r="W572" s="1308">
        <v>45085</v>
      </c>
      <c r="X572" s="1315" t="str">
        <f ca="1">IF(CostTrack[[#This Row],[Release Date (CMS)]]="","*","")</f>
        <v/>
      </c>
      <c r="Y572" s="1308" t="s">
        <v>58</v>
      </c>
      <c r="Z572" s="593" t="s">
        <v>1258</v>
      </c>
      <c r="AA572" s="1316">
        <f ca="1">IF(OR(CostTrack[[#This Row],[Release Date (CMS)]]&gt;=DATE(VALUE(REPLACE(CostTrack[[#This Row],[Fiscal Period]],3,3,"")),3,1),CostTrack[[#This Row],[Release Date (CMS)]]&lt;DATE(VALUE(LEFT(CostTrack[[#This Row],[Fiscal Period]],4)),4,1)),1,0)</f>
        <v>0</v>
      </c>
      <c r="AB572" s="1317">
        <v>210540.7</v>
      </c>
      <c r="AC572" s="1308">
        <v>45124</v>
      </c>
      <c r="AD572" s="402" t="str">
        <f ca="1">IF(CostTrack[[#This Row],[Reconciled Amount]]="","",IF(CostTrack[[#This Row],[Value]]&lt;&gt;CostTrack[[#This Row],[Reconciled Amount]],"Yes","No"))</f>
        <v>No</v>
      </c>
      <c r="AE572" s="658"/>
    </row>
    <row r="573" spans="2:31" ht="26.25" customHeight="1">
      <c r="B573" s="1324" t="s">
        <v>1219</v>
      </c>
      <c r="C573" s="1312" t="s">
        <v>1259</v>
      </c>
      <c r="D573" s="1308">
        <v>45085</v>
      </c>
      <c r="E573" s="658">
        <v>500230.78</v>
      </c>
      <c r="F573" s="1309" t="s">
        <v>69</v>
      </c>
      <c r="G573" s="1310">
        <f ca="1">ROUND(IF(CostTrack[[#This Row],[Holdback (Y/N/R)]]="Yes",CostTrack[[#This Row],[Value]]*-0.1,IF(CostTrack[[#This Row],[Holdback (Y/N/R)]]="Release",CostTrack[[#This Row],[Value]],0)),2)</f>
        <v>0</v>
      </c>
      <c r="H573" s="1311">
        <f ca="1">IF(CostTrack[[#This Row],[Holdback (Y/N/R)]]="Release",CostTrack[[#This Row],[Value]],CostTrack[[#This Row],[Value]]+CostTrack[[#This Row],[Holdback Value]])</f>
        <v>500230.78</v>
      </c>
      <c r="I573" s="1312"/>
      <c r="J573" s="1312"/>
      <c r="K573" s="1313"/>
      <c r="L573" s="1325">
        <v>45085</v>
      </c>
      <c r="M573" s="1326">
        <v>45085</v>
      </c>
      <c r="N573" s="1327"/>
      <c r="O573" s="1328" t="s">
        <v>106</v>
      </c>
      <c r="P573" s="1308">
        <v>45085</v>
      </c>
      <c r="Q573" s="1314" t="str">
        <f ca="1">IF(CostTrack[[#This Row],[Vendor - Contract]]="","",INDEX(VendorList[PA ID],MATCH(CostTrack[[#This Row],[Vendor - Contract]],VendorList[Vendor / Org. with Contract ID],0)))</f>
        <v>400.020.F1</v>
      </c>
      <c r="R573" s="1314" t="str">
        <f ca="1">IF(CostTrack[[#This Row],[Vendor - Contract]]="","",INDEX(VendorList[Primary Category],MATCH(CostTrack[[#This Row],[Vendor - Contract]],VendorList[Vendor / Org. with Contract ID],0)))</f>
        <v>FE_IT</v>
      </c>
      <c r="S573" s="1314" t="str">
        <f ca="1">IF(CostTrack[[#This Row],[Vendor - Contract]]="","",INDEX(VendorList[Secondary Category],MATCH(CostTrack[[#This Row],[Vendor - Contract]],VendorList[Vendor / Org. with Contract ID],0)))</f>
        <v>Information Technology</v>
      </c>
      <c r="T573" s="1314" t="str">
        <f ca="1">IF(CostTrack[[#This Row],[Vendor - Contract]]="","",INDEX(VendorList[Phase / Subproject],MATCH(CostTrack[[#This Row],[Vendor - Contract]],VendorList[Vendor / Org. with Contract ID],0)))</f>
        <v>--</v>
      </c>
      <c r="U573" s="1314" t="str">
        <f ca="1">IF(CostTrack[[#This Row],[Vendor - Contract]]="","",INDEX(VendorList[Phase / Subproject 2],MATCH(CostTrack[[#This Row],[Vendor - Contract]],VendorList[Vendor / Org. with Contract ID],0)))</f>
        <v>--</v>
      </c>
      <c r="V573" s="1314" t="str">
        <f ca="1">IF(CostTrack[[#This Row],[Vendor - Contract]]="","",INDEX(VendorList[Funding Source],MATCH(CostTrack[[#This Row],[Vendor - Contract]],VendorList[Vendor / Org. with Contract ID],0)))</f>
        <v>P-002360</v>
      </c>
      <c r="W573" s="1308">
        <v>45085</v>
      </c>
      <c r="X573" s="1315" t="str">
        <f ca="1">IF(CostTrack[[#This Row],[Release Date (CMS)]]="","*","")</f>
        <v/>
      </c>
      <c r="Y573" s="1308" t="s">
        <v>58</v>
      </c>
      <c r="Z573" s="593" t="s">
        <v>1260</v>
      </c>
      <c r="AA573" s="1316">
        <f ca="1">IF(OR(CostTrack[[#This Row],[Release Date (CMS)]]&gt;=DATE(VALUE(REPLACE(CostTrack[[#This Row],[Fiscal Period]],3,3,"")),3,1),CostTrack[[#This Row],[Release Date (CMS)]]&lt;DATE(VALUE(LEFT(CostTrack[[#This Row],[Fiscal Period]],4)),4,1)),1,0)</f>
        <v>0</v>
      </c>
      <c r="AB573" s="1317">
        <v>500230.78</v>
      </c>
      <c r="AC573" s="1308">
        <v>45124</v>
      </c>
      <c r="AD573" s="402" t="str">
        <f ca="1">IF(CostTrack[[#This Row],[Reconciled Amount]]="","",IF(CostTrack[[#This Row],[Value]]&lt;&gt;CostTrack[[#This Row],[Reconciled Amount]],"Yes","No"))</f>
        <v>No</v>
      </c>
      <c r="AE573" s="658"/>
    </row>
    <row r="574" spans="2:31" ht="26.25" customHeight="1">
      <c r="B574" s="1324" t="s">
        <v>527</v>
      </c>
      <c r="C574" s="1312" t="s">
        <v>1261</v>
      </c>
      <c r="D574" s="1308">
        <v>45107</v>
      </c>
      <c r="E574" s="658">
        <v>72741.02</v>
      </c>
      <c r="F574" s="1309" t="s">
        <v>69</v>
      </c>
      <c r="G574" s="1310">
        <f ca="1">ROUND(IF(CostTrack[[#This Row],[Holdback (Y/N/R)]]="Yes",CostTrack[[#This Row],[Value]]*-0.1,IF(CostTrack[[#This Row],[Holdback (Y/N/R)]]="Release",CostTrack[[#This Row],[Value]],0)),2)</f>
        <v>0</v>
      </c>
      <c r="H574" s="1311">
        <f ca="1">IF(CostTrack[[#This Row],[Holdback (Y/N/R)]]="Release",CostTrack[[#This Row],[Value]],CostTrack[[#This Row],[Value]]+CostTrack[[#This Row],[Holdback Value]])</f>
        <v>72741.02</v>
      </c>
      <c r="I574" s="1312"/>
      <c r="J574" s="1312"/>
      <c r="K574" s="1313"/>
      <c r="L574" s="1325">
        <v>45117</v>
      </c>
      <c r="M574" s="1326">
        <v>45117</v>
      </c>
      <c r="N574" s="1327"/>
      <c r="O574" s="1328" t="s">
        <v>106</v>
      </c>
      <c r="P574" s="1308">
        <v>45117</v>
      </c>
      <c r="Q574" s="1314" t="str">
        <f ca="1">IF(CostTrack[[#This Row],[Vendor - Contract]]="","",INDEX(VendorList[PA ID],MATCH(CostTrack[[#This Row],[Vendor - Contract]],VendorList[Vendor / Org. with Contract ID],0)))</f>
        <v>200.010.F1</v>
      </c>
      <c r="R574" s="1314" t="str">
        <f ca="1">IF(CostTrack[[#This Row],[Vendor - Contract]]="","",INDEX(VendorList[Primary Category],MATCH(CostTrack[[#This Row],[Vendor - Contract]],VendorList[Vendor / Org. with Contract ID],0)))</f>
        <v>Professional Services</v>
      </c>
      <c r="S574" s="1314" t="str">
        <f ca="1">IF(CostTrack[[#This Row],[Vendor - Contract]]="","",INDEX(VendorList[Secondary Category],MATCH(CostTrack[[#This Row],[Vendor - Contract]],VendorList[Vendor / Org. with Contract ID],0)))</f>
        <v>Prime Consultant</v>
      </c>
      <c r="T574" s="1314" t="str">
        <f ca="1">IF(CostTrack[[#This Row],[Vendor - Contract]]="","",INDEX(VendorList[Phase / Subproject],MATCH(CostTrack[[#This Row],[Vendor - Contract]],VendorList[Vendor / Org. with Contract ID],0)))</f>
        <v>--</v>
      </c>
      <c r="U574" s="1314" t="str">
        <f ca="1">IF(CostTrack[[#This Row],[Vendor - Contract]]="","",INDEX(VendorList[Phase / Subproject 2],MATCH(CostTrack[[#This Row],[Vendor - Contract]],VendorList[Vendor / Org. with Contract ID],0)))</f>
        <v>--</v>
      </c>
      <c r="V574" s="1314" t="str">
        <f ca="1">IF(CostTrack[[#This Row],[Vendor - Contract]]="","",INDEX(VendorList[Funding Source],MATCH(CostTrack[[#This Row],[Vendor - Contract]],VendorList[Vendor / Org. with Contract ID],0)))</f>
        <v>P-002360</v>
      </c>
      <c r="W574" s="1308">
        <v>45117</v>
      </c>
      <c r="X574" s="1315" t="str">
        <f ca="1">IF(CostTrack[[#This Row],[Release Date (CMS)]]="","*","")</f>
        <v/>
      </c>
      <c r="Y574" s="1308" t="s">
        <v>58</v>
      </c>
      <c r="Z574" s="907"/>
      <c r="AA574" s="1316">
        <f ca="1">IF(OR(CostTrack[[#This Row],[Release Date (CMS)]]&gt;=DATE(VALUE(REPLACE(CostTrack[[#This Row],[Fiscal Period]],3,3,"")),3,1),CostTrack[[#This Row],[Release Date (CMS)]]&lt;DATE(VALUE(LEFT(CostTrack[[#This Row],[Fiscal Period]],4)),4,1)),1,0)</f>
        <v>0</v>
      </c>
      <c r="AB574" s="1317">
        <v>72741.02</v>
      </c>
      <c r="AC574" s="1308">
        <v>45141</v>
      </c>
      <c r="AD574" s="402" t="str">
        <f ca="1">IF(CostTrack[[#This Row],[Reconciled Amount]]="","",IF(CostTrack[[#This Row],[Value]]&lt;&gt;CostTrack[[#This Row],[Reconciled Amount]],"Yes","No"))</f>
        <v>No</v>
      </c>
      <c r="AE574" s="658"/>
    </row>
    <row r="575" spans="2:31" ht="26.25" customHeight="1">
      <c r="B575" s="1324" t="s">
        <v>711</v>
      </c>
      <c r="C575" s="1312">
        <v>4571527</v>
      </c>
      <c r="D575" s="1308">
        <v>45107</v>
      </c>
      <c r="E575" s="658">
        <v>248.62</v>
      </c>
      <c r="F575" s="1309" t="s">
        <v>69</v>
      </c>
      <c r="G575" s="1310">
        <f ca="1">ROUND(IF(CostTrack[[#This Row],[Holdback (Y/N/R)]]="Yes",CostTrack[[#This Row],[Value]]*-0.1,IF(CostTrack[[#This Row],[Holdback (Y/N/R)]]="Release",CostTrack[[#This Row],[Value]],0)),2)</f>
        <v>0</v>
      </c>
      <c r="H575" s="1311">
        <f ca="1">IF(CostTrack[[#This Row],[Holdback (Y/N/R)]]="Release",CostTrack[[#This Row],[Value]],CostTrack[[#This Row],[Value]]+CostTrack[[#This Row],[Holdback Value]])</f>
        <v>248.62</v>
      </c>
      <c r="I575" s="1312"/>
      <c r="J575" s="1312"/>
      <c r="K575" s="1313"/>
      <c r="L575" s="1325">
        <v>45117</v>
      </c>
      <c r="M575" s="1326">
        <v>45117</v>
      </c>
      <c r="N575" s="1327"/>
      <c r="O575" s="1328" t="s">
        <v>106</v>
      </c>
      <c r="P575" s="1308">
        <v>45117</v>
      </c>
      <c r="Q575" s="1314" t="str">
        <f ca="1">IF(CostTrack[[#This Row],[Vendor - Contract]]="","",INDEX(VendorList[PA ID],MATCH(CostTrack[[#This Row],[Vendor - Contract]],VendorList[Vendor / Org. with Contract ID],0)))</f>
        <v>300.040.F1</v>
      </c>
      <c r="R575" s="1314" t="str">
        <f ca="1">IF(CostTrack[[#This Row],[Vendor - Contract]]="","",INDEX(VendorList[Primary Category],MATCH(CostTrack[[#This Row],[Vendor - Contract]],VendorList[Vendor / Org. with Contract ID],0)))</f>
        <v>Construction</v>
      </c>
      <c r="S575" s="1314" t="str">
        <f ca="1">IF(CostTrack[[#This Row],[Vendor - Contract]]="","",INDEX(VendorList[Secondary Category],MATCH(CostTrack[[#This Row],[Vendor - Contract]],VendorList[Vendor / Org. with Contract ID],0)))</f>
        <v>Other Contractor</v>
      </c>
      <c r="T575" s="1314" t="str">
        <f ca="1">IF(CostTrack[[#This Row],[Vendor - Contract]]="","",INDEX(VendorList[Phase / Subproject],MATCH(CostTrack[[#This Row],[Vendor - Contract]],VendorList[Vendor / Org. with Contract ID],0)))</f>
        <v>--</v>
      </c>
      <c r="U575" s="1314" t="str">
        <f ca="1">IF(CostTrack[[#This Row],[Vendor - Contract]]="","",INDEX(VendorList[Phase / Subproject 2],MATCH(CostTrack[[#This Row],[Vendor - Contract]],VendorList[Vendor / Org. with Contract ID],0)))</f>
        <v>--</v>
      </c>
      <c r="V575" s="1314" t="str">
        <f ca="1">IF(CostTrack[[#This Row],[Vendor - Contract]]="","",INDEX(VendorList[Funding Source],MATCH(CostTrack[[#This Row],[Vendor - Contract]],VendorList[Vendor / Org. with Contract ID],0)))</f>
        <v>P-002360</v>
      </c>
      <c r="W575" s="1308">
        <v>45117</v>
      </c>
      <c r="X575" s="1315" t="str">
        <f ca="1">IF(CostTrack[[#This Row],[Release Date (CMS)]]="","*","")</f>
        <v/>
      </c>
      <c r="Y575" s="1308" t="s">
        <v>58</v>
      </c>
      <c r="Z575" s="907" t="s">
        <v>1262</v>
      </c>
      <c r="AA575" s="1316">
        <f ca="1">IF(OR(CostTrack[[#This Row],[Release Date (CMS)]]&gt;=DATE(VALUE(REPLACE(CostTrack[[#This Row],[Fiscal Period]],3,3,"")),3,1),CostTrack[[#This Row],[Release Date (CMS)]]&lt;DATE(VALUE(LEFT(CostTrack[[#This Row],[Fiscal Period]],4)),4,1)),1,0)</f>
        <v>0</v>
      </c>
      <c r="AB575" s="1317">
        <v>248.62</v>
      </c>
      <c r="AC575" s="1308">
        <v>45141</v>
      </c>
      <c r="AD575" s="402" t="str">
        <f ca="1">IF(CostTrack[[#This Row],[Reconciled Amount]]="","",IF(CostTrack[[#This Row],[Value]]&lt;&gt;CostTrack[[#This Row],[Reconciled Amount]],"Yes","No"))</f>
        <v>No</v>
      </c>
      <c r="AE575" s="658"/>
    </row>
    <row r="576" spans="2:31" ht="26.25" customHeight="1">
      <c r="B576" s="1324" t="s">
        <v>698</v>
      </c>
      <c r="C576" s="1312">
        <v>14051</v>
      </c>
      <c r="D576" s="1308">
        <v>45118</v>
      </c>
      <c r="E576" s="658">
        <v>4550</v>
      </c>
      <c r="F576" s="1309" t="s">
        <v>69</v>
      </c>
      <c r="G576" s="1310">
        <f ca="1">ROUND(IF(CostTrack[[#This Row],[Holdback (Y/N/R)]]="Yes",CostTrack[[#This Row],[Value]]*-0.1,IF(CostTrack[[#This Row],[Holdback (Y/N/R)]]="Release",CostTrack[[#This Row],[Value]],0)),2)</f>
        <v>0</v>
      </c>
      <c r="H576" s="1311">
        <f ca="1">IF(CostTrack[[#This Row],[Holdback (Y/N/R)]]="Release",CostTrack[[#This Row],[Value]],CostTrack[[#This Row],[Value]]+CostTrack[[#This Row],[Holdback Value]])</f>
        <v>4550</v>
      </c>
      <c r="I576" s="1312"/>
      <c r="J576" s="1312"/>
      <c r="K576" s="1313"/>
      <c r="L576" s="1325">
        <v>45118</v>
      </c>
      <c r="M576" s="1326">
        <v>45118</v>
      </c>
      <c r="N576" s="1327"/>
      <c r="O576" s="1328" t="s">
        <v>106</v>
      </c>
      <c r="P576" s="1308">
        <v>45119</v>
      </c>
      <c r="Q576" s="1314" t="str">
        <f ca="1">IF(CostTrack[[#This Row],[Vendor - Contract]]="","",INDEX(VendorList[PA ID],MATCH(CostTrack[[#This Row],[Vendor - Contract]],VendorList[Vendor / Org. with Contract ID],0)))</f>
        <v>400.030.F1</v>
      </c>
      <c r="R576" s="1314" t="str">
        <f ca="1">IF(CostTrack[[#This Row],[Vendor - Contract]]="","",INDEX(VendorList[Primary Category],MATCH(CostTrack[[#This Row],[Vendor - Contract]],VendorList[Vendor / Org. with Contract ID],0)))</f>
        <v>FE_IT</v>
      </c>
      <c r="S576" s="1314" t="str">
        <f ca="1">IF(CostTrack[[#This Row],[Vendor - Contract]]="","",INDEX(VendorList[Secondary Category],MATCH(CostTrack[[#This Row],[Vendor - Contract]],VendorList[Vendor / Org. with Contract ID],0)))</f>
        <v>Movers</v>
      </c>
      <c r="T576" s="1314" t="str">
        <f ca="1">IF(CostTrack[[#This Row],[Vendor - Contract]]="","",INDEX(VendorList[Phase / Subproject],MATCH(CostTrack[[#This Row],[Vendor - Contract]],VendorList[Vendor / Org. with Contract ID],0)))</f>
        <v>--</v>
      </c>
      <c r="U576" s="1314" t="str">
        <f ca="1">IF(CostTrack[[#This Row],[Vendor - Contract]]="","",INDEX(VendorList[Phase / Subproject 2],MATCH(CostTrack[[#This Row],[Vendor - Contract]],VendorList[Vendor / Org. with Contract ID],0)))</f>
        <v>--</v>
      </c>
      <c r="V576" s="1314" t="str">
        <f ca="1">IF(CostTrack[[#This Row],[Vendor - Contract]]="","",INDEX(VendorList[Funding Source],MATCH(CostTrack[[#This Row],[Vendor - Contract]],VendorList[Vendor / Org. with Contract ID],0)))</f>
        <v>P-002360</v>
      </c>
      <c r="W576" s="1308">
        <v>45121</v>
      </c>
      <c r="X576" s="1315" t="str">
        <f ca="1">IF(CostTrack[[#This Row],[Release Date (CMS)]]="","*","")</f>
        <v/>
      </c>
      <c r="Y576" s="1308" t="s">
        <v>58</v>
      </c>
      <c r="Z576" s="907"/>
      <c r="AA576" s="1316">
        <f ca="1">IF(OR(CostTrack[[#This Row],[Release Date (CMS)]]&gt;=DATE(VALUE(REPLACE(CostTrack[[#This Row],[Fiscal Period]],3,3,"")),3,1),CostTrack[[#This Row],[Release Date (CMS)]]&lt;DATE(VALUE(LEFT(CostTrack[[#This Row],[Fiscal Period]],4)),4,1)),1,0)</f>
        <v>0</v>
      </c>
      <c r="AB576" s="1317">
        <v>4550</v>
      </c>
      <c r="AC576" s="1308">
        <v>45141</v>
      </c>
      <c r="AD576" s="402" t="str">
        <f ca="1">IF(CostTrack[[#This Row],[Reconciled Amount]]="","",IF(CostTrack[[#This Row],[Value]]&lt;&gt;CostTrack[[#This Row],[Reconciled Amount]],"Yes","No"))</f>
        <v>No</v>
      </c>
      <c r="AE576" s="658"/>
    </row>
    <row r="577" spans="2:31" ht="26.25" customHeight="1">
      <c r="B577" s="1324" t="s">
        <v>624</v>
      </c>
      <c r="C577" s="1312">
        <v>1815871</v>
      </c>
      <c r="D577" s="1308">
        <v>45107</v>
      </c>
      <c r="E577" s="658">
        <v>6550</v>
      </c>
      <c r="F577" s="1309" t="s">
        <v>69</v>
      </c>
      <c r="G577" s="1310">
        <f ca="1">ROUND(IF(CostTrack[[#This Row],[Holdback (Y/N/R)]]="Yes",CostTrack[[#This Row],[Value]]*-0.1,IF(CostTrack[[#This Row],[Holdback (Y/N/R)]]="Release",CostTrack[[#This Row],[Value]],0)),2)</f>
        <v>0</v>
      </c>
      <c r="H577" s="1311">
        <f ca="1">IF(CostTrack[[#This Row],[Holdback (Y/N/R)]]="Release",CostTrack[[#This Row],[Value]],CostTrack[[#This Row],[Value]]+CostTrack[[#This Row],[Holdback Value]])</f>
        <v>6550</v>
      </c>
      <c r="I577" s="1312"/>
      <c r="J577" s="1312"/>
      <c r="K577" s="1313"/>
      <c r="L577" s="1325">
        <v>45120</v>
      </c>
      <c r="M577" s="1326">
        <v>45120</v>
      </c>
      <c r="N577" s="1327"/>
      <c r="O577" s="1328" t="s">
        <v>106</v>
      </c>
      <c r="P577" s="1308">
        <v>45120</v>
      </c>
      <c r="Q577" s="1314" t="str">
        <f ca="1">IF(CostTrack[[#This Row],[Vendor - Contract]]="","",INDEX(VendorList[PA ID],MATCH(CostTrack[[#This Row],[Vendor - Contract]],VendorList[Vendor / Org. with Contract ID],0)))</f>
        <v>200.040.F1</v>
      </c>
      <c r="R577" s="1314" t="str">
        <f ca="1">IF(CostTrack[[#This Row],[Vendor - Contract]]="","",INDEX(VendorList[Primary Category],MATCH(CostTrack[[#This Row],[Vendor - Contract]],VendorList[Vendor / Org. with Contract ID],0)))</f>
        <v>Professional Services</v>
      </c>
      <c r="S577" s="1314" t="str">
        <f ca="1">IF(CostTrack[[#This Row],[Vendor - Contract]]="","",INDEX(VendorList[Secondary Category],MATCH(CostTrack[[#This Row],[Vendor - Contract]],VendorList[Vendor / Org. with Contract ID],0)))</f>
        <v>Commissioning</v>
      </c>
      <c r="T577" s="1314" t="str">
        <f ca="1">IF(CostTrack[[#This Row],[Vendor - Contract]]="","",INDEX(VendorList[Phase / Subproject],MATCH(CostTrack[[#This Row],[Vendor - Contract]],VendorList[Vendor / Org. with Contract ID],0)))</f>
        <v>--</v>
      </c>
      <c r="U577" s="1314" t="str">
        <f ca="1">IF(CostTrack[[#This Row],[Vendor - Contract]]="","",INDEX(VendorList[Phase / Subproject 2],MATCH(CostTrack[[#This Row],[Vendor - Contract]],VendorList[Vendor / Org. with Contract ID],0)))</f>
        <v>--</v>
      </c>
      <c r="V577" s="1314" t="str">
        <f ca="1">IF(CostTrack[[#This Row],[Vendor - Contract]]="","",INDEX(VendorList[Funding Source],MATCH(CostTrack[[#This Row],[Vendor - Contract]],VendorList[Vendor / Org. with Contract ID],0)))</f>
        <v>P-002360</v>
      </c>
      <c r="W577" s="1308">
        <v>45121</v>
      </c>
      <c r="X577" s="1315" t="str">
        <f ca="1">IF(CostTrack[[#This Row],[Release Date (CMS)]]="","*","")</f>
        <v/>
      </c>
      <c r="Y577" s="1308" t="s">
        <v>58</v>
      </c>
      <c r="Z577" s="907"/>
      <c r="AA577" s="1316">
        <f ca="1">IF(OR(CostTrack[[#This Row],[Release Date (CMS)]]&gt;=DATE(VALUE(REPLACE(CostTrack[[#This Row],[Fiscal Period]],3,3,"")),3,1),CostTrack[[#This Row],[Release Date (CMS)]]&lt;DATE(VALUE(LEFT(CostTrack[[#This Row],[Fiscal Period]],4)),4,1)),1,0)</f>
        <v>0</v>
      </c>
      <c r="AB577" s="1317">
        <v>6550</v>
      </c>
      <c r="AC577" s="1308">
        <v>45141</v>
      </c>
      <c r="AD577" s="402" t="str">
        <f ca="1">IF(CostTrack[[#This Row],[Reconciled Amount]]="","",IF(CostTrack[[#This Row],[Value]]&lt;&gt;CostTrack[[#This Row],[Reconciled Amount]],"Yes","No"))</f>
        <v>No</v>
      </c>
      <c r="AE577" s="658"/>
    </row>
    <row r="578" spans="2:31" ht="26.25" customHeight="1">
      <c r="B578" s="1324" t="s">
        <v>1087</v>
      </c>
      <c r="C578" s="691" t="s">
        <v>1263</v>
      </c>
      <c r="D578" s="1308">
        <v>45109</v>
      </c>
      <c r="E578" s="658">
        <v>13333.91</v>
      </c>
      <c r="F578" s="1309" t="s">
        <v>69</v>
      </c>
      <c r="G578" s="1310">
        <f ca="1">ROUND(IF(CostTrack[[#This Row],[Holdback (Y/N/R)]]="Yes",CostTrack[[#This Row],[Value]]*-0.1,IF(CostTrack[[#This Row],[Holdback (Y/N/R)]]="Release",CostTrack[[#This Row],[Value]],0)),2)</f>
        <v>0</v>
      </c>
      <c r="H578" s="1311">
        <f ca="1">IF(CostTrack[[#This Row],[Holdback (Y/N/R)]]="Release",CostTrack[[#This Row],[Value]],CostTrack[[#This Row],[Value]]+CostTrack[[#This Row],[Holdback Value]])</f>
        <v>13333.91</v>
      </c>
      <c r="I578" s="1312"/>
      <c r="J578" s="1312"/>
      <c r="K578" s="1313"/>
      <c r="L578" s="1325">
        <v>45118</v>
      </c>
      <c r="M578" s="1326">
        <v>45118</v>
      </c>
      <c r="N578" s="1327"/>
      <c r="O578" s="1328" t="s">
        <v>106</v>
      </c>
      <c r="P578" s="1308">
        <v>45119</v>
      </c>
      <c r="Q578" s="1314" t="str">
        <f ca="1">IF(CostTrack[[#This Row],[Vendor - Contract]]="","",INDEX(VendorList[PA ID],MATCH(CostTrack[[#This Row],[Vendor - Contract]],VendorList[Vendor / Org. with Contract ID],0)))</f>
        <v>300.040.F1</v>
      </c>
      <c r="R578" s="1314" t="str">
        <f ca="1">IF(CostTrack[[#This Row],[Vendor - Contract]]="","",INDEX(VendorList[Primary Category],MATCH(CostTrack[[#This Row],[Vendor - Contract]],VendorList[Vendor / Org. with Contract ID],0)))</f>
        <v>Construction</v>
      </c>
      <c r="S578" s="1314" t="str">
        <f ca="1">IF(CostTrack[[#This Row],[Vendor - Contract]]="","",INDEX(VendorList[Secondary Category],MATCH(CostTrack[[#This Row],[Vendor - Contract]],VendorList[Vendor / Org. with Contract ID],0)))</f>
        <v>Other Contractor</v>
      </c>
      <c r="T578" s="1314" t="str">
        <f ca="1">IF(CostTrack[[#This Row],[Vendor - Contract]]="","",INDEX(VendorList[Phase / Subproject],MATCH(CostTrack[[#This Row],[Vendor - Contract]],VendorList[Vendor / Org. with Contract ID],0)))</f>
        <v>--</v>
      </c>
      <c r="U578" s="1314" t="str">
        <f ca="1">IF(CostTrack[[#This Row],[Vendor - Contract]]="","",INDEX(VendorList[Phase / Subproject 2],MATCH(CostTrack[[#This Row],[Vendor - Contract]],VendorList[Vendor / Org. with Contract ID],0)))</f>
        <v>--</v>
      </c>
      <c r="V578" s="1314" t="str">
        <f ca="1">IF(CostTrack[[#This Row],[Vendor - Contract]]="","",INDEX(VendorList[Funding Source],MATCH(CostTrack[[#This Row],[Vendor - Contract]],VendorList[Vendor / Org. with Contract ID],0)))</f>
        <v>P-002360</v>
      </c>
      <c r="W578" s="1308">
        <v>45120</v>
      </c>
      <c r="X578" s="1315" t="str">
        <f ca="1">IF(CostTrack[[#This Row],[Release Date (CMS)]]="","*","")</f>
        <v/>
      </c>
      <c r="Y578" s="1308" t="s">
        <v>58</v>
      </c>
      <c r="Z578" s="894" t="s">
        <v>1264</v>
      </c>
      <c r="AA578" s="1316">
        <f ca="1">IF(OR(CostTrack[[#This Row],[Release Date (CMS)]]&gt;=DATE(VALUE(REPLACE(CostTrack[[#This Row],[Fiscal Period]],3,3,"")),3,1),CostTrack[[#This Row],[Release Date (CMS)]]&lt;DATE(VALUE(LEFT(CostTrack[[#This Row],[Fiscal Period]],4)),4,1)),1,0)</f>
        <v>0</v>
      </c>
      <c r="AB578" s="1317">
        <v>13333.91</v>
      </c>
      <c r="AC578" s="1308">
        <v>45141</v>
      </c>
      <c r="AD578" s="402" t="str">
        <f ca="1">IF(CostTrack[[#This Row],[Reconciled Amount]]="","",IF(CostTrack[[#This Row],[Value]]&lt;&gt;CostTrack[[#This Row],[Reconciled Amount]],"Yes","No"))</f>
        <v>No</v>
      </c>
      <c r="AE578" s="658"/>
    </row>
    <row r="579" spans="2:31" ht="26.25" customHeight="1">
      <c r="B579" s="1324" t="s">
        <v>710</v>
      </c>
      <c r="C579" s="691" t="s">
        <v>1265</v>
      </c>
      <c r="D579" s="1308">
        <v>45126</v>
      </c>
      <c r="E579" s="658">
        <v>67.89</v>
      </c>
      <c r="F579" s="1309" t="s">
        <v>69</v>
      </c>
      <c r="G579" s="1310">
        <f ca="1">ROUND(IF(CostTrack[[#This Row],[Holdback (Y/N/R)]]="Yes",CostTrack[[#This Row],[Value]]*-0.1,IF(CostTrack[[#This Row],[Holdback (Y/N/R)]]="Release",CostTrack[[#This Row],[Value]],0)),2)</f>
        <v>0</v>
      </c>
      <c r="H579" s="1311">
        <f ca="1">IF(CostTrack[[#This Row],[Holdback (Y/N/R)]]="Release",CostTrack[[#This Row],[Value]],CostTrack[[#This Row],[Value]]+CostTrack[[#This Row],[Holdback Value]])</f>
        <v>67.89</v>
      </c>
      <c r="I579" s="1312"/>
      <c r="J579" s="1312"/>
      <c r="K579" s="1313"/>
      <c r="L579" s="1325">
        <v>45128</v>
      </c>
      <c r="M579" s="1326">
        <v>45128</v>
      </c>
      <c r="N579" s="1337"/>
      <c r="O579" s="1328" t="s">
        <v>106</v>
      </c>
      <c r="P579" s="1308">
        <v>45128</v>
      </c>
      <c r="Q579" s="1314" t="str">
        <f ca="1">IF(CostTrack[[#This Row],[Vendor - Contract]]="","",INDEX(VendorList[PA ID],MATCH(CostTrack[[#This Row],[Vendor - Contract]],VendorList[Vendor / Org. with Contract ID],0)))</f>
        <v>300.040.F1</v>
      </c>
      <c r="R579" s="1314" t="str">
        <f ca="1">IF(CostTrack[[#This Row],[Vendor - Contract]]="","",INDEX(VendorList[Primary Category],MATCH(CostTrack[[#This Row],[Vendor - Contract]],VendorList[Vendor / Org. with Contract ID],0)))</f>
        <v>Construction</v>
      </c>
      <c r="S579" s="1314" t="str">
        <f ca="1">IF(CostTrack[[#This Row],[Vendor - Contract]]="","",INDEX(VendorList[Secondary Category],MATCH(CostTrack[[#This Row],[Vendor - Contract]],VendorList[Vendor / Org. with Contract ID],0)))</f>
        <v>Other Contractor</v>
      </c>
      <c r="T579" s="1314" t="str">
        <f ca="1">IF(CostTrack[[#This Row],[Vendor - Contract]]="","",INDEX(VendorList[Phase / Subproject],MATCH(CostTrack[[#This Row],[Vendor - Contract]],VendorList[Vendor / Org. with Contract ID],0)))</f>
        <v>--</v>
      </c>
      <c r="U579" s="1314" t="str">
        <f ca="1">IF(CostTrack[[#This Row],[Vendor - Contract]]="","",INDEX(VendorList[Phase / Subproject 2],MATCH(CostTrack[[#This Row],[Vendor - Contract]],VendorList[Vendor / Org. with Contract ID],0)))</f>
        <v>--</v>
      </c>
      <c r="V579" s="1314" t="str">
        <f ca="1">IF(CostTrack[[#This Row],[Vendor - Contract]]="","",INDEX(VendorList[Funding Source],MATCH(CostTrack[[#This Row],[Vendor - Contract]],VendorList[Vendor / Org. with Contract ID],0)))</f>
        <v>P-002360</v>
      </c>
      <c r="W579" s="1308">
        <v>45132</v>
      </c>
      <c r="X579" s="1315" t="str">
        <f ca="1">IF(CostTrack[[#This Row],[Release Date (CMS)]]="","*","")</f>
        <v/>
      </c>
      <c r="Y579" s="1308" t="s">
        <v>58</v>
      </c>
      <c r="Z579" s="907" t="s">
        <v>1262</v>
      </c>
      <c r="AA579" s="1316">
        <f ca="1">IF(OR(CostTrack[[#This Row],[Release Date (CMS)]]&gt;=DATE(VALUE(REPLACE(CostTrack[[#This Row],[Fiscal Period]],3,3,"")),3,1),CostTrack[[#This Row],[Release Date (CMS)]]&lt;DATE(VALUE(LEFT(CostTrack[[#This Row],[Fiscal Period]],4)),4,1)),1,0)</f>
        <v>0</v>
      </c>
      <c r="AB579" s="1317">
        <v>67.89</v>
      </c>
      <c r="AC579" s="1308">
        <v>45141</v>
      </c>
      <c r="AD579" s="402" t="str">
        <f ca="1">IF(CostTrack[[#This Row],[Reconciled Amount]]="","",IF(CostTrack[[#This Row],[Value]]&lt;&gt;CostTrack[[#This Row],[Reconciled Amount]],"Yes","No"))</f>
        <v>No</v>
      </c>
      <c r="AE579" s="658"/>
    </row>
    <row r="580" spans="2:31" ht="26.25" customHeight="1">
      <c r="B580" s="706" t="s">
        <v>529</v>
      </c>
      <c r="C580" s="691">
        <v>28998</v>
      </c>
      <c r="D580" s="267">
        <v>45104</v>
      </c>
      <c r="E580" s="654">
        <v>3465497.25</v>
      </c>
      <c r="F580" s="647" t="s">
        <v>65</v>
      </c>
      <c r="G580" s="406">
        <f ca="1">ROUND(IF(CostTrack[[#This Row],[Holdback (Y/N/R)]]="Yes",CostTrack[[#This Row],[Value]]*-0.1,IF(CostTrack[[#This Row],[Holdback (Y/N/R)]]="Release",CostTrack[[#This Row],[Value]],0)),2)</f>
        <v>-346549.73</v>
      </c>
      <c r="H580" s="407">
        <f ca="1">IF(CostTrack[[#This Row],[Holdback (Y/N/R)]]="Release",CostTrack[[#This Row],[Value]],CostTrack[[#This Row],[Value]]+CostTrack[[#This Row],[Holdback Value]])</f>
        <v>3118947.52</v>
      </c>
      <c r="I580" s="650" t="s">
        <v>1266</v>
      </c>
      <c r="J580" s="650"/>
      <c r="K580" s="648"/>
      <c r="L580" s="707">
        <v>45131</v>
      </c>
      <c r="M580" s="708">
        <v>45131</v>
      </c>
      <c r="N580" s="709"/>
      <c r="O580" s="712" t="s">
        <v>106</v>
      </c>
      <c r="P580" s="267">
        <v>45131</v>
      </c>
      <c r="Q580" s="243" t="str">
        <f ca="1">IF(CostTrack[[#This Row],[Vendor - Contract]]="","",INDEX(VendorList[PA ID],MATCH(CostTrack[[#This Row],[Vendor - Contract]],VendorList[Vendor / Org. with Contract ID],0)))</f>
        <v>300.030.F1</v>
      </c>
      <c r="R580" s="243" t="str">
        <f ca="1">IF(CostTrack[[#This Row],[Vendor - Contract]]="","",INDEX(VendorList[Primary Category],MATCH(CostTrack[[#This Row],[Vendor - Contract]],VendorList[Vendor / Org. with Contract ID],0)))</f>
        <v>Construction</v>
      </c>
      <c r="S580" s="243" t="str">
        <f ca="1">IF(CostTrack[[#This Row],[Vendor - Contract]]="","",INDEX(VendorList[Secondary Category],MATCH(CostTrack[[#This Row],[Vendor - Contract]],VendorList[Vendor / Org. with Contract ID],0)))</f>
        <v>Prime Contractor</v>
      </c>
      <c r="T580" s="243" t="str">
        <f ca="1">IF(CostTrack[[#This Row],[Vendor - Contract]]="","",INDEX(VendorList[Phase / Subproject],MATCH(CostTrack[[#This Row],[Vendor - Contract]],VendorList[Vendor / Org. with Contract ID],0)))</f>
        <v>--</v>
      </c>
      <c r="U580" s="243" t="str">
        <f ca="1">IF(CostTrack[[#This Row],[Vendor - Contract]]="","",INDEX(VendorList[Phase / Subproject 2],MATCH(CostTrack[[#This Row],[Vendor - Contract]],VendorList[Vendor / Org. with Contract ID],0)))</f>
        <v>--</v>
      </c>
      <c r="V580" s="243" t="str">
        <f ca="1">IF(CostTrack[[#This Row],[Vendor - Contract]]="","",INDEX(VendorList[Funding Source],MATCH(CostTrack[[#This Row],[Vendor - Contract]],VendorList[Vendor / Org. with Contract ID],0)))</f>
        <v>P-002360</v>
      </c>
      <c r="W580" s="267">
        <v>45132</v>
      </c>
      <c r="X580" s="251" t="str">
        <f ca="1">IF(CostTrack[[#This Row],[Release Date (CMS)]]="","*","")</f>
        <v/>
      </c>
      <c r="Y580" s="267" t="s">
        <v>58</v>
      </c>
      <c r="Z580" s="652"/>
      <c r="AA580" s="245">
        <f ca="1">IF(OR(CostTrack[[#This Row],[Release Date (CMS)]]&gt;=DATE(VALUE(REPLACE(CostTrack[[#This Row],[Fiscal Period]],3,3,"")),3,1),CostTrack[[#This Row],[Release Date (CMS)]]&lt;DATE(VALUE(LEFT(CostTrack[[#This Row],[Fiscal Period]],4)),4,1)),1,0)</f>
        <v>0</v>
      </c>
      <c r="AB580" s="655">
        <v>3465497.25</v>
      </c>
      <c r="AC580" s="267">
        <v>45141</v>
      </c>
      <c r="AD580" s="402" t="str">
        <f ca="1">IF(CostTrack[[#This Row],[Reconciled Amount]]="","",IF(CostTrack[[#This Row],[Value]]&lt;&gt;CostTrack[[#This Row],[Reconciled Amount]],"Yes","No"))</f>
        <v>No</v>
      </c>
      <c r="AE580" s="654"/>
    </row>
    <row r="581" spans="2:31" ht="26.25" customHeight="1">
      <c r="B581" s="706" t="s">
        <v>528</v>
      </c>
      <c r="C581" s="691">
        <v>60821512</v>
      </c>
      <c r="D581" s="267">
        <v>45126</v>
      </c>
      <c r="E581" s="654">
        <v>5374</v>
      </c>
      <c r="F581" s="647" t="s">
        <v>69</v>
      </c>
      <c r="G581" s="406">
        <f ca="1">ROUND(IF(CostTrack[[#This Row],[Holdback (Y/N/R)]]="Yes",CostTrack[[#This Row],[Value]]*-0.1,IF(CostTrack[[#This Row],[Holdback (Y/N/R)]]="Release",CostTrack[[#This Row],[Value]],0)),2)</f>
        <v>0</v>
      </c>
      <c r="H581" s="407">
        <f ca="1">IF(CostTrack[[#This Row],[Holdback (Y/N/R)]]="Release",CostTrack[[#This Row],[Value]],CostTrack[[#This Row],[Value]]+CostTrack[[#This Row],[Holdback Value]])</f>
        <v>5374</v>
      </c>
      <c r="I581" s="650"/>
      <c r="J581" s="650"/>
      <c r="K581" s="648"/>
      <c r="L581" s="707">
        <v>45134</v>
      </c>
      <c r="M581" s="708">
        <v>45134</v>
      </c>
      <c r="N581" s="709"/>
      <c r="O581" s="712" t="s">
        <v>106</v>
      </c>
      <c r="P581" s="267">
        <v>45138</v>
      </c>
      <c r="Q581" s="243" t="str">
        <f ca="1">IF(CostTrack[[#This Row],[Vendor - Contract]]="","",INDEX(VendorList[PA ID],MATCH(CostTrack[[#This Row],[Vendor - Contract]],VendorList[Vendor / Org. with Contract ID],0)))</f>
        <v>200.050.F1</v>
      </c>
      <c r="R581" s="243" t="str">
        <f ca="1">IF(CostTrack[[#This Row],[Vendor - Contract]]="","",INDEX(VendorList[Primary Category],MATCH(CostTrack[[#This Row],[Vendor - Contract]],VendorList[Vendor / Org. with Contract ID],0)))</f>
        <v>Professional Services</v>
      </c>
      <c r="S581" s="243" t="str">
        <f ca="1">IF(CostTrack[[#This Row],[Vendor - Contract]]="","",INDEX(VendorList[Secondary Category],MATCH(CostTrack[[#This Row],[Vendor - Contract]],VendorList[Vendor / Org. with Contract ID],0)))</f>
        <v>Other Professional Services</v>
      </c>
      <c r="T581" s="243" t="str">
        <f ca="1">IF(CostTrack[[#This Row],[Vendor - Contract]]="","",INDEX(VendorList[Phase / Subproject],MATCH(CostTrack[[#This Row],[Vendor - Contract]],VendorList[Vendor / Org. with Contract ID],0)))</f>
        <v>--</v>
      </c>
      <c r="U581" s="243" t="str">
        <f ca="1">IF(CostTrack[[#This Row],[Vendor - Contract]]="","",INDEX(VendorList[Phase / Subproject 2],MATCH(CostTrack[[#This Row],[Vendor - Contract]],VendorList[Vendor / Org. with Contract ID],0)))</f>
        <v>--</v>
      </c>
      <c r="V581" s="243" t="str">
        <f ca="1">IF(CostTrack[[#This Row],[Vendor - Contract]]="","",INDEX(VendorList[Funding Source],MATCH(CostTrack[[#This Row],[Vendor - Contract]],VendorList[Vendor / Org. with Contract ID],0)))</f>
        <v>P-002360</v>
      </c>
      <c r="W581" s="267">
        <v>45138</v>
      </c>
      <c r="X581" s="251" t="str">
        <f ca="1">IF(CostTrack[[#This Row],[Release Date (CMS)]]="","*","")</f>
        <v/>
      </c>
      <c r="Y581" s="267" t="s">
        <v>58</v>
      </c>
      <c r="Z581" s="652"/>
      <c r="AA581" s="245">
        <f ca="1">IF(OR(CostTrack[[#This Row],[Release Date (CMS)]]&gt;=DATE(VALUE(REPLACE(CostTrack[[#This Row],[Fiscal Period]],3,3,"")),3,1),CostTrack[[#This Row],[Release Date (CMS)]]&lt;DATE(VALUE(LEFT(CostTrack[[#This Row],[Fiscal Period]],4)),4,1)),1,0)</f>
        <v>0</v>
      </c>
      <c r="AB581" s="655">
        <v>5374</v>
      </c>
      <c r="AC581" s="267">
        <v>45141</v>
      </c>
      <c r="AD581" s="402" t="str">
        <f ca="1">IF(CostTrack[[#This Row],[Reconciled Amount]]="","",IF(CostTrack[[#This Row],[Value]]&lt;&gt;CostTrack[[#This Row],[Reconciled Amount]],"Yes","No"))</f>
        <v>No</v>
      </c>
      <c r="AE581" s="654"/>
    </row>
    <row r="582" spans="2:31" ht="26.25" customHeight="1">
      <c r="B582" s="706" t="s">
        <v>666</v>
      </c>
      <c r="C582" s="691" t="s">
        <v>1267</v>
      </c>
      <c r="D582" s="267">
        <v>45132</v>
      </c>
      <c r="E582" s="654">
        <v>5000</v>
      </c>
      <c r="F582" s="647" t="s">
        <v>69</v>
      </c>
      <c r="G582" s="406">
        <f ca="1">ROUND(IF(CostTrack[[#This Row],[Holdback (Y/N/R)]]="Yes",CostTrack[[#This Row],[Value]]*-0.1,IF(CostTrack[[#This Row],[Holdback (Y/N/R)]]="Release",CostTrack[[#This Row],[Value]],0)),2)</f>
        <v>0</v>
      </c>
      <c r="H582" s="407">
        <f ca="1">IF(CostTrack[[#This Row],[Holdback (Y/N/R)]]="Release",CostTrack[[#This Row],[Value]],CostTrack[[#This Row],[Value]]+CostTrack[[#This Row],[Holdback Value]])</f>
        <v>5000</v>
      </c>
      <c r="I582" s="650"/>
      <c r="J582" s="650"/>
      <c r="K582" s="648"/>
      <c r="L582" s="707">
        <v>45132</v>
      </c>
      <c r="M582" s="708">
        <v>45132</v>
      </c>
      <c r="N582" s="709"/>
      <c r="O582" s="712" t="s">
        <v>106</v>
      </c>
      <c r="P582" s="267">
        <v>45132</v>
      </c>
      <c r="Q582" s="243" t="str">
        <f ca="1">IF(CostTrack[[#This Row],[Vendor - Contract]]="","",INDEX(VendorList[PA ID],MATCH(CostTrack[[#This Row],[Vendor - Contract]],VendorList[Vendor / Org. with Contract ID],0)))</f>
        <v>200.050.F1</v>
      </c>
      <c r="R582" s="243" t="str">
        <f ca="1">IF(CostTrack[[#This Row],[Vendor - Contract]]="","",INDEX(VendorList[Primary Category],MATCH(CostTrack[[#This Row],[Vendor - Contract]],VendorList[Vendor / Org. with Contract ID],0)))</f>
        <v>Professional Services</v>
      </c>
      <c r="S582" s="243" t="str">
        <f ca="1">IF(CostTrack[[#This Row],[Vendor - Contract]]="","",INDEX(VendorList[Secondary Category],MATCH(CostTrack[[#This Row],[Vendor - Contract]],VendorList[Vendor / Org. with Contract ID],0)))</f>
        <v>Other Professional Services</v>
      </c>
      <c r="T582" s="243" t="str">
        <f ca="1">IF(CostTrack[[#This Row],[Vendor - Contract]]="","",INDEX(VendorList[Phase / Subproject],MATCH(CostTrack[[#This Row],[Vendor - Contract]],VendorList[Vendor / Org. with Contract ID],0)))</f>
        <v>--</v>
      </c>
      <c r="U582" s="243" t="str">
        <f ca="1">IF(CostTrack[[#This Row],[Vendor - Contract]]="","",INDEX(VendorList[Phase / Subproject 2],MATCH(CostTrack[[#This Row],[Vendor - Contract]],VendorList[Vendor / Org. with Contract ID],0)))</f>
        <v>--</v>
      </c>
      <c r="V582" s="243" t="str">
        <f ca="1">IF(CostTrack[[#This Row],[Vendor - Contract]]="","",INDEX(VendorList[Funding Source],MATCH(CostTrack[[#This Row],[Vendor - Contract]],VendorList[Vendor / Org. with Contract ID],0)))</f>
        <v>P-002360</v>
      </c>
      <c r="W582" s="267">
        <v>45133</v>
      </c>
      <c r="X582" s="251" t="str">
        <f ca="1">IF(CostTrack[[#This Row],[Release Date (CMS)]]="","*","")</f>
        <v/>
      </c>
      <c r="Y582" s="267" t="s">
        <v>58</v>
      </c>
      <c r="Z582" s="652"/>
      <c r="AA582" s="245">
        <f ca="1">IF(OR(CostTrack[[#This Row],[Release Date (CMS)]]&gt;=DATE(VALUE(REPLACE(CostTrack[[#This Row],[Fiscal Period]],3,3,"")),3,1),CostTrack[[#This Row],[Release Date (CMS)]]&lt;DATE(VALUE(LEFT(CostTrack[[#This Row],[Fiscal Period]],4)),4,1)),1,0)</f>
        <v>0</v>
      </c>
      <c r="AB582" s="655">
        <v>5000</v>
      </c>
      <c r="AC582" s="267">
        <v>45141</v>
      </c>
      <c r="AD582" s="402" t="str">
        <f ca="1">IF(CostTrack[[#This Row],[Reconciled Amount]]="","",IF(CostTrack[[#This Row],[Value]]&lt;&gt;CostTrack[[#This Row],[Reconciled Amount]],"Yes","No"))</f>
        <v>No</v>
      </c>
      <c r="AE582" s="654"/>
    </row>
    <row r="583" spans="2:31" ht="26.25" customHeight="1">
      <c r="B583" s="706" t="s">
        <v>666</v>
      </c>
      <c r="C583" s="691" t="s">
        <v>1268</v>
      </c>
      <c r="D583" s="267">
        <v>45132</v>
      </c>
      <c r="E583" s="654">
        <v>1500</v>
      </c>
      <c r="F583" s="647" t="s">
        <v>69</v>
      </c>
      <c r="G583" s="406">
        <f ca="1">ROUND(IF(CostTrack[[#This Row],[Holdback (Y/N/R)]]="Yes",CostTrack[[#This Row],[Value]]*-0.1,IF(CostTrack[[#This Row],[Holdback (Y/N/R)]]="Release",CostTrack[[#This Row],[Value]],0)),2)</f>
        <v>0</v>
      </c>
      <c r="H583" s="407">
        <f ca="1">IF(CostTrack[[#This Row],[Holdback (Y/N/R)]]="Release",CostTrack[[#This Row],[Value]],CostTrack[[#This Row],[Value]]+CostTrack[[#This Row],[Holdback Value]])</f>
        <v>1500</v>
      </c>
      <c r="I583" s="650"/>
      <c r="J583" s="650"/>
      <c r="K583" s="648"/>
      <c r="L583" s="707">
        <v>45132</v>
      </c>
      <c r="M583" s="708">
        <v>45132</v>
      </c>
      <c r="N583" s="709"/>
      <c r="O583" s="712" t="s">
        <v>106</v>
      </c>
      <c r="P583" s="267">
        <v>45132</v>
      </c>
      <c r="Q583" s="243" t="str">
        <f ca="1">IF(CostTrack[[#This Row],[Vendor - Contract]]="","",INDEX(VendorList[PA ID],MATCH(CostTrack[[#This Row],[Vendor - Contract]],VendorList[Vendor / Org. with Contract ID],0)))</f>
        <v>200.050.F1</v>
      </c>
      <c r="R583" s="243" t="str">
        <f ca="1">IF(CostTrack[[#This Row],[Vendor - Contract]]="","",INDEX(VendorList[Primary Category],MATCH(CostTrack[[#This Row],[Vendor - Contract]],VendorList[Vendor / Org. with Contract ID],0)))</f>
        <v>Professional Services</v>
      </c>
      <c r="S583" s="243" t="str">
        <f ca="1">IF(CostTrack[[#This Row],[Vendor - Contract]]="","",INDEX(VendorList[Secondary Category],MATCH(CostTrack[[#This Row],[Vendor - Contract]],VendorList[Vendor / Org. with Contract ID],0)))</f>
        <v>Other Professional Services</v>
      </c>
      <c r="T583" s="243" t="str">
        <f ca="1">IF(CostTrack[[#This Row],[Vendor - Contract]]="","",INDEX(VendorList[Phase / Subproject],MATCH(CostTrack[[#This Row],[Vendor - Contract]],VendorList[Vendor / Org. with Contract ID],0)))</f>
        <v>--</v>
      </c>
      <c r="U583" s="243" t="str">
        <f ca="1">IF(CostTrack[[#This Row],[Vendor - Contract]]="","",INDEX(VendorList[Phase / Subproject 2],MATCH(CostTrack[[#This Row],[Vendor - Contract]],VendorList[Vendor / Org. with Contract ID],0)))</f>
        <v>--</v>
      </c>
      <c r="V583" s="243" t="str">
        <f ca="1">IF(CostTrack[[#This Row],[Vendor - Contract]]="","",INDEX(VendorList[Funding Source],MATCH(CostTrack[[#This Row],[Vendor - Contract]],VendorList[Vendor / Org. with Contract ID],0)))</f>
        <v>P-002360</v>
      </c>
      <c r="W583" s="267">
        <v>45133</v>
      </c>
      <c r="X583" s="251" t="str">
        <f ca="1">IF(CostTrack[[#This Row],[Release Date (CMS)]]="","*","")</f>
        <v/>
      </c>
      <c r="Y583" s="267" t="s">
        <v>58</v>
      </c>
      <c r="Z583" s="652"/>
      <c r="AA583" s="245">
        <f ca="1">IF(OR(CostTrack[[#This Row],[Release Date (CMS)]]&gt;=DATE(VALUE(REPLACE(CostTrack[[#This Row],[Fiscal Period]],3,3,"")),3,1),CostTrack[[#This Row],[Release Date (CMS)]]&lt;DATE(VALUE(LEFT(CostTrack[[#This Row],[Fiscal Period]],4)),4,1)),1,0)</f>
        <v>0</v>
      </c>
      <c r="AB583" s="655">
        <v>1500</v>
      </c>
      <c r="AC583" s="267">
        <v>45141</v>
      </c>
      <c r="AD583" s="402" t="str">
        <f ca="1">IF(CostTrack[[#This Row],[Reconciled Amount]]="","",IF(CostTrack[[#This Row],[Value]]&lt;&gt;CostTrack[[#This Row],[Reconciled Amount]],"Yes","No"))</f>
        <v>No</v>
      </c>
      <c r="AE583" s="654"/>
    </row>
    <row r="584" spans="2:31" ht="26.25" customHeight="1">
      <c r="B584" s="706" t="s">
        <v>1219</v>
      </c>
      <c r="C584" s="691" t="s">
        <v>1269</v>
      </c>
      <c r="D584" s="267">
        <v>45119</v>
      </c>
      <c r="E584" s="654">
        <v>16861.810000000001</v>
      </c>
      <c r="F584" s="647" t="s">
        <v>69</v>
      </c>
      <c r="G584" s="406">
        <f ca="1">ROUND(IF(CostTrack[[#This Row],[Holdback (Y/N/R)]]="Yes",CostTrack[[#This Row],[Value]]*-0.1,IF(CostTrack[[#This Row],[Holdback (Y/N/R)]]="Release",CostTrack[[#This Row],[Value]],0)),2)</f>
        <v>0</v>
      </c>
      <c r="H584" s="407">
        <f ca="1">IF(CostTrack[[#This Row],[Holdback (Y/N/R)]]="Release",CostTrack[[#This Row],[Value]],CostTrack[[#This Row],[Value]]+CostTrack[[#This Row],[Holdback Value]])</f>
        <v>16861.810000000001</v>
      </c>
      <c r="I584" s="650"/>
      <c r="J584" s="650"/>
      <c r="K584" s="648"/>
      <c r="L584" s="707">
        <v>45119</v>
      </c>
      <c r="M584" s="708">
        <v>45119</v>
      </c>
      <c r="N584" s="709"/>
      <c r="O584" s="712" t="s">
        <v>106</v>
      </c>
      <c r="P584" s="267">
        <v>45119</v>
      </c>
      <c r="Q584" s="243" t="str">
        <f ca="1">IF(CostTrack[[#This Row],[Vendor - Contract]]="","",INDEX(VendorList[PA ID],MATCH(CostTrack[[#This Row],[Vendor - Contract]],VendorList[Vendor / Org. with Contract ID],0)))</f>
        <v>400.020.F1</v>
      </c>
      <c r="R584" s="243" t="str">
        <f ca="1">IF(CostTrack[[#This Row],[Vendor - Contract]]="","",INDEX(VendorList[Primary Category],MATCH(CostTrack[[#This Row],[Vendor - Contract]],VendorList[Vendor / Org. with Contract ID],0)))</f>
        <v>FE_IT</v>
      </c>
      <c r="S584" s="243" t="str">
        <f ca="1">IF(CostTrack[[#This Row],[Vendor - Contract]]="","",INDEX(VendorList[Secondary Category],MATCH(CostTrack[[#This Row],[Vendor - Contract]],VendorList[Vendor / Org. with Contract ID],0)))</f>
        <v>Information Technology</v>
      </c>
      <c r="T584" s="243" t="str">
        <f ca="1">IF(CostTrack[[#This Row],[Vendor - Contract]]="","",INDEX(VendorList[Phase / Subproject],MATCH(CostTrack[[#This Row],[Vendor - Contract]],VendorList[Vendor / Org. with Contract ID],0)))</f>
        <v>--</v>
      </c>
      <c r="U584" s="243" t="str">
        <f ca="1">IF(CostTrack[[#This Row],[Vendor - Contract]]="","",INDEX(VendorList[Phase / Subproject 2],MATCH(CostTrack[[#This Row],[Vendor - Contract]],VendorList[Vendor / Org. with Contract ID],0)))</f>
        <v>--</v>
      </c>
      <c r="V584" s="243" t="str">
        <f ca="1">IF(CostTrack[[#This Row],[Vendor - Contract]]="","",INDEX(VendorList[Funding Source],MATCH(CostTrack[[#This Row],[Vendor - Contract]],VendorList[Vendor / Org. with Contract ID],0)))</f>
        <v>P-002360</v>
      </c>
      <c r="W584" s="267">
        <v>45119</v>
      </c>
      <c r="X584" s="251" t="str">
        <f ca="1">IF(CostTrack[[#This Row],[Release Date (CMS)]]="","*","")</f>
        <v/>
      </c>
      <c r="Y584" s="267" t="s">
        <v>58</v>
      </c>
      <c r="Z584" s="652"/>
      <c r="AA584" s="245">
        <f ca="1">IF(OR(CostTrack[[#This Row],[Release Date (CMS)]]&gt;=DATE(VALUE(REPLACE(CostTrack[[#This Row],[Fiscal Period]],3,3,"")),3,1),CostTrack[[#This Row],[Release Date (CMS)]]&lt;DATE(VALUE(LEFT(CostTrack[[#This Row],[Fiscal Period]],4)),4,1)),1,0)</f>
        <v>0</v>
      </c>
      <c r="AB584" s="655">
        <v>16861.810000000001</v>
      </c>
      <c r="AC584" s="267">
        <v>45141</v>
      </c>
      <c r="AD584" s="402" t="str">
        <f ca="1">IF(CostTrack[[#This Row],[Reconciled Amount]]="","",IF(CostTrack[[#This Row],[Value]]&lt;&gt;CostTrack[[#This Row],[Reconciled Amount]],"Yes","No"))</f>
        <v>No</v>
      </c>
      <c r="AE584" s="654"/>
    </row>
    <row r="585" spans="2:31" ht="26.25" customHeight="1">
      <c r="B585" s="706" t="s">
        <v>1219</v>
      </c>
      <c r="C585" s="691" t="s">
        <v>1270</v>
      </c>
      <c r="D585" s="267">
        <v>45118</v>
      </c>
      <c r="E585" s="654">
        <v>9863.5499999999993</v>
      </c>
      <c r="F585" s="647" t="s">
        <v>69</v>
      </c>
      <c r="G585" s="406">
        <f ca="1">ROUND(IF(CostTrack[[#This Row],[Holdback (Y/N/R)]]="Yes",CostTrack[[#This Row],[Value]]*-0.1,IF(CostTrack[[#This Row],[Holdback (Y/N/R)]]="Release",CostTrack[[#This Row],[Value]],0)),2)</f>
        <v>0</v>
      </c>
      <c r="H585" s="407">
        <f ca="1">IF(CostTrack[[#This Row],[Holdback (Y/N/R)]]="Release",CostTrack[[#This Row],[Value]],CostTrack[[#This Row],[Value]]+CostTrack[[#This Row],[Holdback Value]])</f>
        <v>9863.5499999999993</v>
      </c>
      <c r="I585" s="650"/>
      <c r="J585" s="650"/>
      <c r="K585" s="648"/>
      <c r="L585" s="707">
        <v>45118</v>
      </c>
      <c r="M585" s="708">
        <v>45118</v>
      </c>
      <c r="N585" s="709"/>
      <c r="O585" s="712" t="s">
        <v>106</v>
      </c>
      <c r="P585" s="267">
        <v>45118</v>
      </c>
      <c r="Q585" s="243" t="str">
        <f ca="1">IF(CostTrack[[#This Row],[Vendor - Contract]]="","",INDEX(VendorList[PA ID],MATCH(CostTrack[[#This Row],[Vendor - Contract]],VendorList[Vendor / Org. with Contract ID],0)))</f>
        <v>400.020.F1</v>
      </c>
      <c r="R585" s="243" t="str">
        <f ca="1">IF(CostTrack[[#This Row],[Vendor - Contract]]="","",INDEX(VendorList[Primary Category],MATCH(CostTrack[[#This Row],[Vendor - Contract]],VendorList[Vendor / Org. with Contract ID],0)))</f>
        <v>FE_IT</v>
      </c>
      <c r="S585" s="243" t="str">
        <f ca="1">IF(CostTrack[[#This Row],[Vendor - Contract]]="","",INDEX(VendorList[Secondary Category],MATCH(CostTrack[[#This Row],[Vendor - Contract]],VendorList[Vendor / Org. with Contract ID],0)))</f>
        <v>Information Technology</v>
      </c>
      <c r="T585" s="243" t="str">
        <f ca="1">IF(CostTrack[[#This Row],[Vendor - Contract]]="","",INDEX(VendorList[Phase / Subproject],MATCH(CostTrack[[#This Row],[Vendor - Contract]],VendorList[Vendor / Org. with Contract ID],0)))</f>
        <v>--</v>
      </c>
      <c r="U585" s="243" t="str">
        <f ca="1">IF(CostTrack[[#This Row],[Vendor - Contract]]="","",INDEX(VendorList[Phase / Subproject 2],MATCH(CostTrack[[#This Row],[Vendor - Contract]],VendorList[Vendor / Org. with Contract ID],0)))</f>
        <v>--</v>
      </c>
      <c r="V585" s="243" t="str">
        <f ca="1">IF(CostTrack[[#This Row],[Vendor - Contract]]="","",INDEX(VendorList[Funding Source],MATCH(CostTrack[[#This Row],[Vendor - Contract]],VendorList[Vendor / Org. with Contract ID],0)))</f>
        <v>P-002360</v>
      </c>
      <c r="W585" s="267">
        <v>45118</v>
      </c>
      <c r="X585" s="251" t="str">
        <f ca="1">IF(CostTrack[[#This Row],[Release Date (CMS)]]="","*","")</f>
        <v/>
      </c>
      <c r="Y585" s="267" t="s">
        <v>58</v>
      </c>
      <c r="Z585" s="652"/>
      <c r="AA585" s="245">
        <f ca="1">IF(OR(CostTrack[[#This Row],[Release Date (CMS)]]&gt;=DATE(VALUE(REPLACE(CostTrack[[#This Row],[Fiscal Period]],3,3,"")),3,1),CostTrack[[#This Row],[Release Date (CMS)]]&lt;DATE(VALUE(LEFT(CostTrack[[#This Row],[Fiscal Period]],4)),4,1)),1,0)</f>
        <v>0</v>
      </c>
      <c r="AB585" s="655">
        <v>9863.5499999999993</v>
      </c>
      <c r="AC585" s="267">
        <v>45141</v>
      </c>
      <c r="AD585" s="402" t="str">
        <f ca="1">IF(CostTrack[[#This Row],[Reconciled Amount]]="","",IF(CostTrack[[#This Row],[Value]]&lt;&gt;CostTrack[[#This Row],[Reconciled Amount]],"Yes","No"))</f>
        <v>No</v>
      </c>
      <c r="AE585" s="654"/>
    </row>
    <row r="586" spans="2:31" ht="26.25" customHeight="1">
      <c r="B586" s="706" t="s">
        <v>1219</v>
      </c>
      <c r="C586" s="691" t="s">
        <v>1271</v>
      </c>
      <c r="D586" s="267">
        <v>45118</v>
      </c>
      <c r="E586" s="654">
        <v>93186.43</v>
      </c>
      <c r="F586" s="647" t="s">
        <v>69</v>
      </c>
      <c r="G586" s="406">
        <f ca="1">ROUND(IF(CostTrack[[#This Row],[Holdback (Y/N/R)]]="Yes",CostTrack[[#This Row],[Value]]*-0.1,IF(CostTrack[[#This Row],[Holdback (Y/N/R)]]="Release",CostTrack[[#This Row],[Value]],0)),2)</f>
        <v>0</v>
      </c>
      <c r="H586" s="407">
        <f ca="1">IF(CostTrack[[#This Row],[Holdback (Y/N/R)]]="Release",CostTrack[[#This Row],[Value]],CostTrack[[#This Row],[Value]]+CostTrack[[#This Row],[Holdback Value]])</f>
        <v>93186.43</v>
      </c>
      <c r="I586" s="650"/>
      <c r="J586" s="650"/>
      <c r="K586" s="648"/>
      <c r="L586" s="707">
        <v>45118</v>
      </c>
      <c r="M586" s="708">
        <v>45118</v>
      </c>
      <c r="N586" s="709"/>
      <c r="O586" s="712" t="s">
        <v>106</v>
      </c>
      <c r="P586" s="267">
        <v>45118</v>
      </c>
      <c r="Q586" s="243" t="str">
        <f ca="1">IF(CostTrack[[#This Row],[Vendor - Contract]]="","",INDEX(VendorList[PA ID],MATCH(CostTrack[[#This Row],[Vendor - Contract]],VendorList[Vendor / Org. with Contract ID],0)))</f>
        <v>400.020.F1</v>
      </c>
      <c r="R586" s="243" t="str">
        <f ca="1">IF(CostTrack[[#This Row],[Vendor - Contract]]="","",INDEX(VendorList[Primary Category],MATCH(CostTrack[[#This Row],[Vendor - Contract]],VendorList[Vendor / Org. with Contract ID],0)))</f>
        <v>FE_IT</v>
      </c>
      <c r="S586" s="243" t="str">
        <f ca="1">IF(CostTrack[[#This Row],[Vendor - Contract]]="","",INDEX(VendorList[Secondary Category],MATCH(CostTrack[[#This Row],[Vendor - Contract]],VendorList[Vendor / Org. with Contract ID],0)))</f>
        <v>Information Technology</v>
      </c>
      <c r="T586" s="243" t="str">
        <f ca="1">IF(CostTrack[[#This Row],[Vendor - Contract]]="","",INDEX(VendorList[Phase / Subproject],MATCH(CostTrack[[#This Row],[Vendor - Contract]],VendorList[Vendor / Org. with Contract ID],0)))</f>
        <v>--</v>
      </c>
      <c r="U586" s="243" t="str">
        <f ca="1">IF(CostTrack[[#This Row],[Vendor - Contract]]="","",INDEX(VendorList[Phase / Subproject 2],MATCH(CostTrack[[#This Row],[Vendor - Contract]],VendorList[Vendor / Org. with Contract ID],0)))</f>
        <v>--</v>
      </c>
      <c r="V586" s="243" t="str">
        <f ca="1">IF(CostTrack[[#This Row],[Vendor - Contract]]="","",INDEX(VendorList[Funding Source],MATCH(CostTrack[[#This Row],[Vendor - Contract]],VendorList[Vendor / Org. with Contract ID],0)))</f>
        <v>P-002360</v>
      </c>
      <c r="W586" s="267">
        <v>45118</v>
      </c>
      <c r="X586" s="251" t="str">
        <f ca="1">IF(CostTrack[[#This Row],[Release Date (CMS)]]="","*","")</f>
        <v/>
      </c>
      <c r="Y586" s="267" t="s">
        <v>58</v>
      </c>
      <c r="Z586" s="652"/>
      <c r="AA586" s="245">
        <f ca="1">IF(OR(CostTrack[[#This Row],[Release Date (CMS)]]&gt;=DATE(VALUE(REPLACE(CostTrack[[#This Row],[Fiscal Period]],3,3,"")),3,1),CostTrack[[#This Row],[Release Date (CMS)]]&lt;DATE(VALUE(LEFT(CostTrack[[#This Row],[Fiscal Period]],4)),4,1)),1,0)</f>
        <v>0</v>
      </c>
      <c r="AB586" s="655">
        <v>93186.43</v>
      </c>
      <c r="AC586" s="267">
        <v>45141</v>
      </c>
      <c r="AD586" s="402" t="str">
        <f ca="1">IF(CostTrack[[#This Row],[Reconciled Amount]]="","",IF(CostTrack[[#This Row],[Value]]&lt;&gt;CostTrack[[#This Row],[Reconciled Amount]],"Yes","No"))</f>
        <v>No</v>
      </c>
      <c r="AE586" s="654"/>
    </row>
    <row r="587" spans="2:31" ht="26.25" customHeight="1">
      <c r="B587" s="706" t="s">
        <v>736</v>
      </c>
      <c r="C587" s="691" t="s">
        <v>1272</v>
      </c>
      <c r="D587" s="267">
        <v>45138</v>
      </c>
      <c r="E587" s="654">
        <v>34201.870000000003</v>
      </c>
      <c r="F587" s="647" t="s">
        <v>69</v>
      </c>
      <c r="G587" s="406">
        <f ca="1">ROUND(IF(CostTrack[[#This Row],[Holdback (Y/N/R)]]="Yes",CostTrack[[#This Row],[Value]]*-0.1,IF(CostTrack[[#This Row],[Holdback (Y/N/R)]]="Release",CostTrack[[#This Row],[Value]],0)),2)</f>
        <v>0</v>
      </c>
      <c r="H587" s="407">
        <f ca="1">IF(CostTrack[[#This Row],[Holdback (Y/N/R)]]="Release",CostTrack[[#This Row],[Value]],CostTrack[[#This Row],[Value]]+CostTrack[[#This Row],[Holdback Value]])</f>
        <v>34201.870000000003</v>
      </c>
      <c r="I587" s="650"/>
      <c r="J587" s="650"/>
      <c r="K587" s="648"/>
      <c r="L587" s="707">
        <v>45138</v>
      </c>
      <c r="M587" s="708">
        <v>45138</v>
      </c>
      <c r="N587" s="709"/>
      <c r="O587" s="712" t="s">
        <v>106</v>
      </c>
      <c r="P587" s="267">
        <v>45138</v>
      </c>
      <c r="Q587" s="243" t="str">
        <f ca="1">IF(CostTrack[[#This Row],[Vendor - Contract]]="","",INDEX(VendorList[PA ID],MATCH(CostTrack[[#This Row],[Vendor - Contract]],VendorList[Vendor / Org. with Contract ID],0)))</f>
        <v>100.010.F1</v>
      </c>
      <c r="R587" s="243" t="str">
        <f ca="1">IF(CostTrack[[#This Row],[Vendor - Contract]]="","",INDEX(VendorList[Primary Category],MATCH(CostTrack[[#This Row],[Vendor - Contract]],VendorList[Vendor / Org. with Contract ID],0)))</f>
        <v>Administration</v>
      </c>
      <c r="S587" s="243" t="str">
        <f ca="1">IF(CostTrack[[#This Row],[Vendor - Contract]]="","",INDEX(VendorList[Secondary Category],MATCH(CostTrack[[#This Row],[Vendor - Contract]],VendorList[Vendor / Org. with Contract ID],0)))</f>
        <v>Staff Capitalization - INFRA</v>
      </c>
      <c r="T587" s="243" t="str">
        <f ca="1">IF(CostTrack[[#This Row],[Vendor - Contract]]="","",INDEX(VendorList[Phase / Subproject],MATCH(CostTrack[[#This Row],[Vendor - Contract]],VendorList[Vendor / Org. with Contract ID],0)))</f>
        <v>--</v>
      </c>
      <c r="U587" s="243" t="str">
        <f ca="1">IF(CostTrack[[#This Row],[Vendor - Contract]]="","",INDEX(VendorList[Phase / Subproject 2],MATCH(CostTrack[[#This Row],[Vendor - Contract]],VendorList[Vendor / Org. with Contract ID],0)))</f>
        <v>--</v>
      </c>
      <c r="V587" s="243" t="str">
        <f ca="1">IF(CostTrack[[#This Row],[Vendor - Contract]]="","",INDEX(VendorList[Funding Source],MATCH(CostTrack[[#This Row],[Vendor - Contract]],VendorList[Vendor / Org. with Contract ID],0)))</f>
        <v>P-002360</v>
      </c>
      <c r="W587" s="267">
        <v>45138</v>
      </c>
      <c r="X587" s="251" t="str">
        <f ca="1">IF(CostTrack[[#This Row],[Release Date (CMS)]]="","*","")</f>
        <v/>
      </c>
      <c r="Y587" s="267" t="s">
        <v>58</v>
      </c>
      <c r="Z587" s="652"/>
      <c r="AA587" s="245">
        <f ca="1">IF(OR(CostTrack[[#This Row],[Release Date (CMS)]]&gt;=DATE(VALUE(REPLACE(CostTrack[[#This Row],[Fiscal Period]],3,3,"")),3,1),CostTrack[[#This Row],[Release Date (CMS)]]&lt;DATE(VALUE(LEFT(CostTrack[[#This Row],[Fiscal Period]],4)),4,1)),1,0)</f>
        <v>0</v>
      </c>
      <c r="AB587" s="655">
        <v>34201.870000000003</v>
      </c>
      <c r="AC587" s="267">
        <v>45141</v>
      </c>
      <c r="AD587" s="402" t="str">
        <f ca="1">IF(CostTrack[[#This Row],[Reconciled Amount]]="","",IF(CostTrack[[#This Row],[Value]]&lt;&gt;CostTrack[[#This Row],[Reconciled Amount]],"Yes","No"))</f>
        <v>No</v>
      </c>
      <c r="AE587" s="654"/>
    </row>
    <row r="588" spans="2:31" ht="26.25" customHeight="1">
      <c r="B588" s="1324" t="s">
        <v>662</v>
      </c>
      <c r="C588" s="1334">
        <v>8735</v>
      </c>
      <c r="D588" s="1308">
        <v>45134</v>
      </c>
      <c r="E588" s="658">
        <v>2988</v>
      </c>
      <c r="F588" s="1309" t="s">
        <v>69</v>
      </c>
      <c r="G588" s="1310">
        <f ca="1">ROUND(IF(CostTrack[[#This Row],[Holdback (Y/N/R)]]="Yes",CostTrack[[#This Row],[Value]]*-0.1,IF(CostTrack[[#This Row],[Holdback (Y/N/R)]]="Release",CostTrack[[#This Row],[Value]],0)),2)</f>
        <v>0</v>
      </c>
      <c r="H588" s="1311">
        <f ca="1">IF(CostTrack[[#This Row],[Holdback (Y/N/R)]]="Release",CostTrack[[#This Row],[Value]],CostTrack[[#This Row],[Value]]+CostTrack[[#This Row],[Holdback Value]])</f>
        <v>2988</v>
      </c>
      <c r="I588" s="1312"/>
      <c r="J588" s="1312"/>
      <c r="K588" s="1313"/>
      <c r="L588" s="1325">
        <v>45139</v>
      </c>
      <c r="M588" s="1326">
        <v>45139</v>
      </c>
      <c r="N588" s="1327"/>
      <c r="O588" s="1328" t="s">
        <v>106</v>
      </c>
      <c r="P588" s="1308">
        <v>45141</v>
      </c>
      <c r="Q588" s="1314" t="str">
        <f ca="1">IF(CostTrack[[#This Row],[Vendor - Contract]]="","",INDEX(VendorList[PA ID],MATCH(CostTrack[[#This Row],[Vendor - Contract]],VendorList[Vendor / Org. with Contract ID],0)))</f>
        <v>200.050.F1</v>
      </c>
      <c r="R588" s="1314" t="str">
        <f ca="1">IF(CostTrack[[#This Row],[Vendor - Contract]]="","",INDEX(VendorList[Primary Category],MATCH(CostTrack[[#This Row],[Vendor - Contract]],VendorList[Vendor / Org. with Contract ID],0)))</f>
        <v>Professional Services</v>
      </c>
      <c r="S588" s="1314" t="str">
        <f ca="1">IF(CostTrack[[#This Row],[Vendor - Contract]]="","",INDEX(VendorList[Secondary Category],MATCH(CostTrack[[#This Row],[Vendor - Contract]],VendorList[Vendor / Org. with Contract ID],0)))</f>
        <v>Other Professional Services</v>
      </c>
      <c r="T588" s="1314" t="str">
        <f ca="1">IF(CostTrack[[#This Row],[Vendor - Contract]]="","",INDEX(VendorList[Phase / Subproject],MATCH(CostTrack[[#This Row],[Vendor - Contract]],VendorList[Vendor / Org. with Contract ID],0)))</f>
        <v>--</v>
      </c>
      <c r="U588" s="1314" t="str">
        <f ca="1">IF(CostTrack[[#This Row],[Vendor - Contract]]="","",INDEX(VendorList[Phase / Subproject 2],MATCH(CostTrack[[#This Row],[Vendor - Contract]],VendorList[Vendor / Org. with Contract ID],0)))</f>
        <v>--</v>
      </c>
      <c r="V588" s="1314" t="str">
        <f ca="1">IF(CostTrack[[#This Row],[Vendor - Contract]]="","",INDEX(VendorList[Funding Source],MATCH(CostTrack[[#This Row],[Vendor - Contract]],VendorList[Vendor / Org. with Contract ID],0)))</f>
        <v>P-002360</v>
      </c>
      <c r="W588" s="1308">
        <v>45141</v>
      </c>
      <c r="X588" s="1315" t="str">
        <f ca="1">IF(CostTrack[[#This Row],[Release Date (CMS)]]="","*","")</f>
        <v/>
      </c>
      <c r="Y588" s="1308" t="s">
        <v>58</v>
      </c>
      <c r="Z588" s="713"/>
      <c r="AA588" s="1316">
        <f ca="1">IF(OR(CostTrack[[#This Row],[Release Date (CMS)]]&gt;=DATE(VALUE(REPLACE(CostTrack[[#This Row],[Fiscal Period]],3,3,"")),3,1),CostTrack[[#This Row],[Release Date (CMS)]]&lt;DATE(VALUE(LEFT(CostTrack[[#This Row],[Fiscal Period]],4)),4,1)),1,0)</f>
        <v>0</v>
      </c>
      <c r="AB588" s="1317">
        <v>2988</v>
      </c>
      <c r="AC588" s="1308">
        <v>45183</v>
      </c>
      <c r="AD588" s="402" t="str">
        <f ca="1">IF(CostTrack[[#This Row],[Reconciled Amount]]="","",IF(CostTrack[[#This Row],[Value]]&lt;&gt;CostTrack[[#This Row],[Reconciled Amount]],"Yes","No"))</f>
        <v>No</v>
      </c>
      <c r="AE588" s="658"/>
    </row>
    <row r="589" spans="2:31" ht="26.25" customHeight="1">
      <c r="B589" s="706" t="s">
        <v>529</v>
      </c>
      <c r="C589" s="691">
        <v>2911</v>
      </c>
      <c r="D589" s="267">
        <v>45133</v>
      </c>
      <c r="E589" s="654">
        <v>3909650.29</v>
      </c>
      <c r="F589" s="647" t="s">
        <v>65</v>
      </c>
      <c r="G589" s="406">
        <f ca="1">ROUND(IF(CostTrack[[#This Row],[Holdback (Y/N/R)]]="Yes",CostTrack[[#This Row],[Value]]*-0.1,IF(CostTrack[[#This Row],[Holdback (Y/N/R)]]="Release",CostTrack[[#This Row],[Value]],0)),2)</f>
        <v>-390965.03</v>
      </c>
      <c r="H589" s="407">
        <f ca="1">IF(CostTrack[[#This Row],[Holdback (Y/N/R)]]="Release",CostTrack[[#This Row],[Value]],CostTrack[[#This Row],[Value]]+CostTrack[[#This Row],[Holdback Value]])</f>
        <v>3518685.26</v>
      </c>
      <c r="I589" s="650" t="s">
        <v>1273</v>
      </c>
      <c r="J589" s="650"/>
      <c r="K589" s="648"/>
      <c r="L589" s="707">
        <v>45160</v>
      </c>
      <c r="M589" s="708">
        <v>45160</v>
      </c>
      <c r="N589" s="709"/>
      <c r="O589" s="712" t="s">
        <v>106</v>
      </c>
      <c r="P589" s="267">
        <v>45160</v>
      </c>
      <c r="Q589" s="243" t="str">
        <f ca="1">IF(CostTrack[[#This Row],[Vendor - Contract]]="","",INDEX(VendorList[PA ID],MATCH(CostTrack[[#This Row],[Vendor - Contract]],VendorList[Vendor / Org. with Contract ID],0)))</f>
        <v>300.030.F1</v>
      </c>
      <c r="R589" s="243" t="str">
        <f ca="1">IF(CostTrack[[#This Row],[Vendor - Contract]]="","",INDEX(VendorList[Primary Category],MATCH(CostTrack[[#This Row],[Vendor - Contract]],VendorList[Vendor / Org. with Contract ID],0)))</f>
        <v>Construction</v>
      </c>
      <c r="S589" s="243" t="str">
        <f ca="1">IF(CostTrack[[#This Row],[Vendor - Contract]]="","",INDEX(VendorList[Secondary Category],MATCH(CostTrack[[#This Row],[Vendor - Contract]],VendorList[Vendor / Org. with Contract ID],0)))</f>
        <v>Prime Contractor</v>
      </c>
      <c r="T589" s="243" t="str">
        <f ca="1">IF(CostTrack[[#This Row],[Vendor - Contract]]="","",INDEX(VendorList[Phase / Subproject],MATCH(CostTrack[[#This Row],[Vendor - Contract]],VendorList[Vendor / Org. with Contract ID],0)))</f>
        <v>--</v>
      </c>
      <c r="U589" s="243" t="str">
        <f ca="1">IF(CostTrack[[#This Row],[Vendor - Contract]]="","",INDEX(VendorList[Phase / Subproject 2],MATCH(CostTrack[[#This Row],[Vendor - Contract]],VendorList[Vendor / Org. with Contract ID],0)))</f>
        <v>--</v>
      </c>
      <c r="V589" s="243" t="str">
        <f ca="1">IF(CostTrack[[#This Row],[Vendor - Contract]]="","",INDEX(VendorList[Funding Source],MATCH(CostTrack[[#This Row],[Vendor - Contract]],VendorList[Vendor / Org. with Contract ID],0)))</f>
        <v>P-002360</v>
      </c>
      <c r="W589" s="267">
        <v>45160</v>
      </c>
      <c r="X589" s="251" t="str">
        <f ca="1">IF(CostTrack[[#This Row],[Release Date (CMS)]]="","*","")</f>
        <v/>
      </c>
      <c r="Y589" s="267" t="s">
        <v>58</v>
      </c>
      <c r="Z589" s="652"/>
      <c r="AA589" s="245">
        <f ca="1">IF(OR(CostTrack[[#This Row],[Release Date (CMS)]]&gt;=DATE(VALUE(REPLACE(CostTrack[[#This Row],[Fiscal Period]],3,3,"")),3,1),CostTrack[[#This Row],[Release Date (CMS)]]&lt;DATE(VALUE(LEFT(CostTrack[[#This Row],[Fiscal Period]],4)),4,1)),1,0)</f>
        <v>0</v>
      </c>
      <c r="AB589" s="655">
        <v>3909650.29</v>
      </c>
      <c r="AC589" s="1308">
        <v>45183</v>
      </c>
      <c r="AD589" s="402" t="str">
        <f ca="1">IF(CostTrack[[#This Row],[Reconciled Amount]]="","",IF(CostTrack[[#This Row],[Value]]&lt;&gt;CostTrack[[#This Row],[Reconciled Amount]],"Yes","No"))</f>
        <v>No</v>
      </c>
      <c r="AE589" s="654"/>
    </row>
    <row r="590" spans="2:31" ht="26.25" customHeight="1">
      <c r="B590" s="1324" t="s">
        <v>1087</v>
      </c>
      <c r="C590" s="1334">
        <v>39689090123</v>
      </c>
      <c r="D590" s="1308">
        <v>45140</v>
      </c>
      <c r="E590" s="658">
        <v>13333.91</v>
      </c>
      <c r="F590" s="1309" t="s">
        <v>69</v>
      </c>
      <c r="G590" s="1310">
        <f ca="1">ROUND(IF(CostTrack[[#This Row],[Holdback (Y/N/R)]]="Yes",CostTrack[[#This Row],[Value]]*-0.1,IF(CostTrack[[#This Row],[Holdback (Y/N/R)]]="Release",CostTrack[[#This Row],[Value]],0)),2)</f>
        <v>0</v>
      </c>
      <c r="H590" s="1311">
        <f ca="1">IF(CostTrack[[#This Row],[Holdback (Y/N/R)]]="Release",CostTrack[[#This Row],[Value]],CostTrack[[#This Row],[Value]]+CostTrack[[#This Row],[Holdback Value]])</f>
        <v>13333.91</v>
      </c>
      <c r="I590" s="1312"/>
      <c r="J590" s="1312"/>
      <c r="K590" s="1313"/>
      <c r="L590" s="1325">
        <v>45142</v>
      </c>
      <c r="M590" s="1326">
        <v>45142</v>
      </c>
      <c r="N590" s="1327"/>
      <c r="O590" s="1328" t="s">
        <v>106</v>
      </c>
      <c r="P590" s="1308">
        <v>45142</v>
      </c>
      <c r="Q590" s="1314" t="str">
        <f ca="1">IF(CostTrack[[#This Row],[Vendor - Contract]]="","",INDEX(VendorList[PA ID],MATCH(CostTrack[[#This Row],[Vendor - Contract]],VendorList[Vendor / Org. with Contract ID],0)))</f>
        <v>300.040.F1</v>
      </c>
      <c r="R590" s="1314" t="str">
        <f ca="1">IF(CostTrack[[#This Row],[Vendor - Contract]]="","",INDEX(VendorList[Primary Category],MATCH(CostTrack[[#This Row],[Vendor - Contract]],VendorList[Vendor / Org. with Contract ID],0)))</f>
        <v>Construction</v>
      </c>
      <c r="S590" s="1314" t="str">
        <f ca="1">IF(CostTrack[[#This Row],[Vendor - Contract]]="","",INDEX(VendorList[Secondary Category],MATCH(CostTrack[[#This Row],[Vendor - Contract]],VendorList[Vendor / Org. with Contract ID],0)))</f>
        <v>Other Contractor</v>
      </c>
      <c r="T590" s="1314" t="str">
        <f ca="1">IF(CostTrack[[#This Row],[Vendor - Contract]]="","",INDEX(VendorList[Phase / Subproject],MATCH(CostTrack[[#This Row],[Vendor - Contract]],VendorList[Vendor / Org. with Contract ID],0)))</f>
        <v>--</v>
      </c>
      <c r="U590" s="1314" t="str">
        <f ca="1">IF(CostTrack[[#This Row],[Vendor - Contract]]="","",INDEX(VendorList[Phase / Subproject 2],MATCH(CostTrack[[#This Row],[Vendor - Contract]],VendorList[Vendor / Org. with Contract ID],0)))</f>
        <v>--</v>
      </c>
      <c r="V590" s="1314" t="str">
        <f ca="1">IF(CostTrack[[#This Row],[Vendor - Contract]]="","",INDEX(VendorList[Funding Source],MATCH(CostTrack[[#This Row],[Vendor - Contract]],VendorList[Vendor / Org. with Contract ID],0)))</f>
        <v>P-002360</v>
      </c>
      <c r="W590" s="1308">
        <v>45142</v>
      </c>
      <c r="X590" s="1315" t="str">
        <f ca="1">IF(CostTrack[[#This Row],[Release Date (CMS)]]="","*","")</f>
        <v/>
      </c>
      <c r="Y590" s="1308" t="s">
        <v>58</v>
      </c>
      <c r="Z590" s="894" t="s">
        <v>1274</v>
      </c>
      <c r="AA590" s="1316">
        <f ca="1">IF(OR(CostTrack[[#This Row],[Release Date (CMS)]]&gt;=DATE(VALUE(REPLACE(CostTrack[[#This Row],[Fiscal Period]],3,3,"")),3,1),CostTrack[[#This Row],[Release Date (CMS)]]&lt;DATE(VALUE(LEFT(CostTrack[[#This Row],[Fiscal Period]],4)),4,1)),1,0)</f>
        <v>0</v>
      </c>
      <c r="AB590" s="1317">
        <v>13333.91</v>
      </c>
      <c r="AC590" s="1308">
        <v>45183</v>
      </c>
      <c r="AD590" s="402" t="str">
        <f ca="1">IF(CostTrack[[#This Row],[Reconciled Amount]]="","",IF(CostTrack[[#This Row],[Value]]&lt;&gt;CostTrack[[#This Row],[Reconciled Amount]],"Yes","No"))</f>
        <v>No</v>
      </c>
      <c r="AE590" s="658"/>
    </row>
    <row r="591" spans="2:31" ht="26.25" customHeight="1">
      <c r="B591" s="1324" t="s">
        <v>711</v>
      </c>
      <c r="C591" s="1334">
        <v>4587684</v>
      </c>
      <c r="D591" s="1308">
        <v>45138</v>
      </c>
      <c r="E591" s="658">
        <v>247.56</v>
      </c>
      <c r="F591" s="1309" t="s">
        <v>69</v>
      </c>
      <c r="G591" s="1310">
        <f ca="1">ROUND(IF(CostTrack[[#This Row],[Holdback (Y/N/R)]]="Yes",CostTrack[[#This Row],[Value]]*-0.1,IF(CostTrack[[#This Row],[Holdback (Y/N/R)]]="Release",CostTrack[[#This Row],[Value]],0)),2)</f>
        <v>0</v>
      </c>
      <c r="H591" s="1311">
        <f ca="1">IF(CostTrack[[#This Row],[Holdback (Y/N/R)]]="Release",CostTrack[[#This Row],[Value]],CostTrack[[#This Row],[Value]]+CostTrack[[#This Row],[Holdback Value]])</f>
        <v>247.56</v>
      </c>
      <c r="I591" s="1312"/>
      <c r="J591" s="1312"/>
      <c r="K591" s="1313"/>
      <c r="L591" s="1325">
        <v>45146</v>
      </c>
      <c r="M591" s="1326">
        <v>45146</v>
      </c>
      <c r="N591" s="1327"/>
      <c r="O591" s="1328" t="s">
        <v>106</v>
      </c>
      <c r="P591" s="1308">
        <v>45146</v>
      </c>
      <c r="Q591" s="1314" t="str">
        <f ca="1">IF(CostTrack[[#This Row],[Vendor - Contract]]="","",INDEX(VendorList[PA ID],MATCH(CostTrack[[#This Row],[Vendor - Contract]],VendorList[Vendor / Org. with Contract ID],0)))</f>
        <v>300.040.F1</v>
      </c>
      <c r="R591" s="1314" t="str">
        <f ca="1">IF(CostTrack[[#This Row],[Vendor - Contract]]="","",INDEX(VendorList[Primary Category],MATCH(CostTrack[[#This Row],[Vendor - Contract]],VendorList[Vendor / Org. with Contract ID],0)))</f>
        <v>Construction</v>
      </c>
      <c r="S591" s="1314" t="str">
        <f ca="1">IF(CostTrack[[#This Row],[Vendor - Contract]]="","",INDEX(VendorList[Secondary Category],MATCH(CostTrack[[#This Row],[Vendor - Contract]],VendorList[Vendor / Org. with Contract ID],0)))</f>
        <v>Other Contractor</v>
      </c>
      <c r="T591" s="1314" t="str">
        <f ca="1">IF(CostTrack[[#This Row],[Vendor - Contract]]="","",INDEX(VendorList[Phase / Subproject],MATCH(CostTrack[[#This Row],[Vendor - Contract]],VendorList[Vendor / Org. with Contract ID],0)))</f>
        <v>--</v>
      </c>
      <c r="U591" s="1314" t="str">
        <f ca="1">IF(CostTrack[[#This Row],[Vendor - Contract]]="","",INDEX(VendorList[Phase / Subproject 2],MATCH(CostTrack[[#This Row],[Vendor - Contract]],VendorList[Vendor / Org. with Contract ID],0)))</f>
        <v>--</v>
      </c>
      <c r="V591" s="1314" t="str">
        <f ca="1">IF(CostTrack[[#This Row],[Vendor - Contract]]="","",INDEX(VendorList[Funding Source],MATCH(CostTrack[[#This Row],[Vendor - Contract]],VendorList[Vendor / Org. with Contract ID],0)))</f>
        <v>P-002360</v>
      </c>
      <c r="W591" s="1308">
        <v>45148</v>
      </c>
      <c r="X591" s="1315" t="str">
        <f ca="1">IF(CostTrack[[#This Row],[Release Date (CMS)]]="","*","")</f>
        <v/>
      </c>
      <c r="Y591" s="1308" t="s">
        <v>58</v>
      </c>
      <c r="Z591" s="713"/>
      <c r="AA591" s="1316">
        <f ca="1">IF(OR(CostTrack[[#This Row],[Release Date (CMS)]]&gt;=DATE(VALUE(REPLACE(CostTrack[[#This Row],[Fiscal Period]],3,3,"")),3,1),CostTrack[[#This Row],[Release Date (CMS)]]&lt;DATE(VALUE(LEFT(CostTrack[[#This Row],[Fiscal Period]],4)),4,1)),1,0)</f>
        <v>0</v>
      </c>
      <c r="AB591" s="1317">
        <v>247.56</v>
      </c>
      <c r="AC591" s="1308">
        <v>45183</v>
      </c>
      <c r="AD591" s="402" t="str">
        <f ca="1">IF(CostTrack[[#This Row],[Reconciled Amount]]="","",IF(CostTrack[[#This Row],[Value]]&lt;&gt;CostTrack[[#This Row],[Reconciled Amount]],"Yes","No"))</f>
        <v>No</v>
      </c>
      <c r="AE591" s="658"/>
    </row>
    <row r="592" spans="2:31" ht="26.25" customHeight="1">
      <c r="B592" s="1324" t="s">
        <v>662</v>
      </c>
      <c r="C592" s="1334">
        <v>8767</v>
      </c>
      <c r="D592" s="1308">
        <v>45138</v>
      </c>
      <c r="E592" s="658">
        <v>2988</v>
      </c>
      <c r="F592" s="1309" t="s">
        <v>69</v>
      </c>
      <c r="G592" s="1310">
        <f ca="1">ROUND(IF(CostTrack[[#This Row],[Holdback (Y/N/R)]]="Yes",CostTrack[[#This Row],[Value]]*-0.1,IF(CostTrack[[#This Row],[Holdback (Y/N/R)]]="Release",CostTrack[[#This Row],[Value]],0)),2)</f>
        <v>0</v>
      </c>
      <c r="H592" s="1311">
        <f ca="1">IF(CostTrack[[#This Row],[Holdback (Y/N/R)]]="Release",CostTrack[[#This Row],[Value]],CostTrack[[#This Row],[Value]]+CostTrack[[#This Row],[Holdback Value]])</f>
        <v>2988</v>
      </c>
      <c r="I592" s="1312"/>
      <c r="J592" s="1312"/>
      <c r="K592" s="1313"/>
      <c r="L592" s="1325">
        <v>45148</v>
      </c>
      <c r="M592" s="1326">
        <v>45148</v>
      </c>
      <c r="N592" s="1327"/>
      <c r="O592" s="1328" t="s">
        <v>106</v>
      </c>
      <c r="P592" s="1308">
        <v>45148</v>
      </c>
      <c r="Q592" s="1314" t="str">
        <f ca="1">IF(CostTrack[[#This Row],[Vendor - Contract]]="","",INDEX(VendorList[PA ID],MATCH(CostTrack[[#This Row],[Vendor - Contract]],VendorList[Vendor / Org. with Contract ID],0)))</f>
        <v>200.050.F1</v>
      </c>
      <c r="R592" s="1314" t="str">
        <f ca="1">IF(CostTrack[[#This Row],[Vendor - Contract]]="","",INDEX(VendorList[Primary Category],MATCH(CostTrack[[#This Row],[Vendor - Contract]],VendorList[Vendor / Org. with Contract ID],0)))</f>
        <v>Professional Services</v>
      </c>
      <c r="S592" s="1314" t="str">
        <f ca="1">IF(CostTrack[[#This Row],[Vendor - Contract]]="","",INDEX(VendorList[Secondary Category],MATCH(CostTrack[[#This Row],[Vendor - Contract]],VendorList[Vendor / Org. with Contract ID],0)))</f>
        <v>Other Professional Services</v>
      </c>
      <c r="T592" s="1314" t="str">
        <f ca="1">IF(CostTrack[[#This Row],[Vendor - Contract]]="","",INDEX(VendorList[Phase / Subproject],MATCH(CostTrack[[#This Row],[Vendor - Contract]],VendorList[Vendor / Org. with Contract ID],0)))</f>
        <v>--</v>
      </c>
      <c r="U592" s="1314" t="str">
        <f ca="1">IF(CostTrack[[#This Row],[Vendor - Contract]]="","",INDEX(VendorList[Phase / Subproject 2],MATCH(CostTrack[[#This Row],[Vendor - Contract]],VendorList[Vendor / Org. with Contract ID],0)))</f>
        <v>--</v>
      </c>
      <c r="V592" s="1314" t="str">
        <f ca="1">IF(CostTrack[[#This Row],[Vendor - Contract]]="","",INDEX(VendorList[Funding Source],MATCH(CostTrack[[#This Row],[Vendor - Contract]],VendorList[Vendor / Org. with Contract ID],0)))</f>
        <v>P-002360</v>
      </c>
      <c r="W592" s="1308">
        <v>45148</v>
      </c>
      <c r="X592" s="1315" t="str">
        <f ca="1">IF(CostTrack[[#This Row],[Release Date (CMS)]]="","*","")</f>
        <v/>
      </c>
      <c r="Y592" s="1308" t="s">
        <v>58</v>
      </c>
      <c r="Z592" s="713"/>
      <c r="AA592" s="1316">
        <f ca="1">IF(OR(CostTrack[[#This Row],[Release Date (CMS)]]&gt;=DATE(VALUE(REPLACE(CostTrack[[#This Row],[Fiscal Period]],3,3,"")),3,1),CostTrack[[#This Row],[Release Date (CMS)]]&lt;DATE(VALUE(LEFT(CostTrack[[#This Row],[Fiscal Period]],4)),4,1)),1,0)</f>
        <v>0</v>
      </c>
      <c r="AB592" s="1317">
        <v>2988</v>
      </c>
      <c r="AC592" s="1308">
        <v>45183</v>
      </c>
      <c r="AD592" s="402" t="str">
        <f ca="1">IF(CostTrack[[#This Row],[Reconciled Amount]]="","",IF(CostTrack[[#This Row],[Value]]&lt;&gt;CostTrack[[#This Row],[Reconciled Amount]],"Yes","No"))</f>
        <v>No</v>
      </c>
      <c r="AE592" s="658"/>
    </row>
    <row r="593" spans="2:31" ht="26.25" customHeight="1">
      <c r="B593" s="1324" t="s">
        <v>734</v>
      </c>
      <c r="C593" s="1334">
        <v>1076</v>
      </c>
      <c r="D593" s="1308">
        <v>45150</v>
      </c>
      <c r="E593" s="658">
        <v>565.20000000000005</v>
      </c>
      <c r="F593" s="1309" t="s">
        <v>69</v>
      </c>
      <c r="G593" s="1310">
        <f ca="1">ROUND(IF(CostTrack[[#This Row],[Holdback (Y/N/R)]]="Yes",CostTrack[[#This Row],[Value]]*-0.1,IF(CostTrack[[#This Row],[Holdback (Y/N/R)]]="Release",CostTrack[[#This Row],[Value]],0)),2)</f>
        <v>0</v>
      </c>
      <c r="H593" s="1311">
        <f ca="1">IF(CostTrack[[#This Row],[Holdback (Y/N/R)]]="Release",CostTrack[[#This Row],[Value]],CostTrack[[#This Row],[Value]]+CostTrack[[#This Row],[Holdback Value]])</f>
        <v>565.20000000000005</v>
      </c>
      <c r="I593" s="1312"/>
      <c r="J593" s="1312"/>
      <c r="K593" s="1313"/>
      <c r="L593" s="1325">
        <v>45152</v>
      </c>
      <c r="M593" s="1326">
        <v>45152</v>
      </c>
      <c r="N593" s="1327"/>
      <c r="O593" s="1328" t="s">
        <v>106</v>
      </c>
      <c r="P593" s="1308">
        <v>45152</v>
      </c>
      <c r="Q593" s="1314" t="str">
        <f ca="1">IF(CostTrack[[#This Row],[Vendor - Contract]]="","",INDEX(VendorList[PA ID],MATCH(CostTrack[[#This Row],[Vendor - Contract]],VendorList[Vendor / Org. with Contract ID],0)))</f>
        <v>200.050.F1</v>
      </c>
      <c r="R593" s="1314" t="str">
        <f ca="1">IF(CostTrack[[#This Row],[Vendor - Contract]]="","",INDEX(VendorList[Primary Category],MATCH(CostTrack[[#This Row],[Vendor - Contract]],VendorList[Vendor / Org. with Contract ID],0)))</f>
        <v>Professional Services</v>
      </c>
      <c r="S593" s="1314" t="str">
        <f ca="1">IF(CostTrack[[#This Row],[Vendor - Contract]]="","",INDEX(VendorList[Secondary Category],MATCH(CostTrack[[#This Row],[Vendor - Contract]],VendorList[Vendor / Org. with Contract ID],0)))</f>
        <v>Other Professional Services</v>
      </c>
      <c r="T593" s="1314" t="str">
        <f ca="1">IF(CostTrack[[#This Row],[Vendor - Contract]]="","",INDEX(VendorList[Phase / Subproject],MATCH(CostTrack[[#This Row],[Vendor - Contract]],VendorList[Vendor / Org. with Contract ID],0)))</f>
        <v>--</v>
      </c>
      <c r="U593" s="1314" t="str">
        <f ca="1">IF(CostTrack[[#This Row],[Vendor - Contract]]="","",INDEX(VendorList[Phase / Subproject 2],MATCH(CostTrack[[#This Row],[Vendor - Contract]],VendorList[Vendor / Org. with Contract ID],0)))</f>
        <v>--</v>
      </c>
      <c r="V593" s="1314" t="str">
        <f ca="1">IF(CostTrack[[#This Row],[Vendor - Contract]]="","",INDEX(VendorList[Funding Source],MATCH(CostTrack[[#This Row],[Vendor - Contract]],VendorList[Vendor / Org. with Contract ID],0)))</f>
        <v>P-002360</v>
      </c>
      <c r="W593" s="1308">
        <v>45152</v>
      </c>
      <c r="X593" s="1315" t="str">
        <f ca="1">IF(CostTrack[[#This Row],[Release Date (CMS)]]="","*","")</f>
        <v/>
      </c>
      <c r="Y593" s="1308" t="s">
        <v>58</v>
      </c>
      <c r="Z593" s="713"/>
      <c r="AA593" s="1316">
        <f ca="1">IF(OR(CostTrack[[#This Row],[Release Date (CMS)]]&gt;=DATE(VALUE(REPLACE(CostTrack[[#This Row],[Fiscal Period]],3,3,"")),3,1),CostTrack[[#This Row],[Release Date (CMS)]]&lt;DATE(VALUE(LEFT(CostTrack[[#This Row],[Fiscal Period]],4)),4,1)),1,0)</f>
        <v>0</v>
      </c>
      <c r="AB593" s="1317">
        <v>565.20000000000005</v>
      </c>
      <c r="AC593" s="1308">
        <v>45183</v>
      </c>
      <c r="AD593" s="402" t="str">
        <f ca="1">IF(CostTrack[[#This Row],[Reconciled Amount]]="","",IF(CostTrack[[#This Row],[Value]]&lt;&gt;CostTrack[[#This Row],[Reconciled Amount]],"Yes","No"))</f>
        <v>No</v>
      </c>
      <c r="AE593" s="658"/>
    </row>
    <row r="594" spans="2:31" ht="26.25" customHeight="1">
      <c r="B594" s="1324" t="s">
        <v>527</v>
      </c>
      <c r="C594" s="1334" t="s">
        <v>1275</v>
      </c>
      <c r="D594" s="1308">
        <v>45138</v>
      </c>
      <c r="E594" s="658">
        <v>30797.16</v>
      </c>
      <c r="F594" s="1309" t="s">
        <v>69</v>
      </c>
      <c r="G594" s="1310">
        <f ca="1">ROUND(IF(CostTrack[[#This Row],[Holdback (Y/N/R)]]="Yes",CostTrack[[#This Row],[Value]]*-0.1,IF(CostTrack[[#This Row],[Holdback (Y/N/R)]]="Release",CostTrack[[#This Row],[Value]],0)),2)</f>
        <v>0</v>
      </c>
      <c r="H594" s="1311">
        <f ca="1">IF(CostTrack[[#This Row],[Holdback (Y/N/R)]]="Release",CostTrack[[#This Row],[Value]],CostTrack[[#This Row],[Value]]+CostTrack[[#This Row],[Holdback Value]])</f>
        <v>30797.16</v>
      </c>
      <c r="I594" s="1312"/>
      <c r="J594" s="1312"/>
      <c r="K594" s="1313"/>
      <c r="L594" s="1325">
        <v>45148</v>
      </c>
      <c r="M594" s="1326">
        <v>45148</v>
      </c>
      <c r="N594" s="1327"/>
      <c r="O594" s="1328" t="s">
        <v>106</v>
      </c>
      <c r="P594" s="1308">
        <v>45149</v>
      </c>
      <c r="Q594" s="1314" t="str">
        <f ca="1">IF(CostTrack[[#This Row],[Vendor - Contract]]="","",INDEX(VendorList[PA ID],MATCH(CostTrack[[#This Row],[Vendor - Contract]],VendorList[Vendor / Org. with Contract ID],0)))</f>
        <v>200.010.F1</v>
      </c>
      <c r="R594" s="1314" t="str">
        <f ca="1">IF(CostTrack[[#This Row],[Vendor - Contract]]="","",INDEX(VendorList[Primary Category],MATCH(CostTrack[[#This Row],[Vendor - Contract]],VendorList[Vendor / Org. with Contract ID],0)))</f>
        <v>Professional Services</v>
      </c>
      <c r="S594" s="1314" t="str">
        <f ca="1">IF(CostTrack[[#This Row],[Vendor - Contract]]="","",INDEX(VendorList[Secondary Category],MATCH(CostTrack[[#This Row],[Vendor - Contract]],VendorList[Vendor / Org. with Contract ID],0)))</f>
        <v>Prime Consultant</v>
      </c>
      <c r="T594" s="1314" t="str">
        <f ca="1">IF(CostTrack[[#This Row],[Vendor - Contract]]="","",INDEX(VendorList[Phase / Subproject],MATCH(CostTrack[[#This Row],[Vendor - Contract]],VendorList[Vendor / Org. with Contract ID],0)))</f>
        <v>--</v>
      </c>
      <c r="U594" s="1314" t="str">
        <f ca="1">IF(CostTrack[[#This Row],[Vendor - Contract]]="","",INDEX(VendorList[Phase / Subproject 2],MATCH(CostTrack[[#This Row],[Vendor - Contract]],VendorList[Vendor / Org. with Contract ID],0)))</f>
        <v>--</v>
      </c>
      <c r="V594" s="1314" t="str">
        <f ca="1">IF(CostTrack[[#This Row],[Vendor - Contract]]="","",INDEX(VendorList[Funding Source],MATCH(CostTrack[[#This Row],[Vendor - Contract]],VendorList[Vendor / Org. with Contract ID],0)))</f>
        <v>P-002360</v>
      </c>
      <c r="W594" s="1308">
        <v>45149</v>
      </c>
      <c r="X594" s="1315" t="str">
        <f ca="1">IF(CostTrack[[#This Row],[Release Date (CMS)]]="","*","")</f>
        <v/>
      </c>
      <c r="Y594" s="1308" t="s">
        <v>58</v>
      </c>
      <c r="Z594" s="713"/>
      <c r="AA594" s="1316">
        <f ca="1">IF(OR(CostTrack[[#This Row],[Release Date (CMS)]]&gt;=DATE(VALUE(REPLACE(CostTrack[[#This Row],[Fiscal Period]],3,3,"")),3,1),CostTrack[[#This Row],[Release Date (CMS)]]&lt;DATE(VALUE(LEFT(CostTrack[[#This Row],[Fiscal Period]],4)),4,1)),1,0)</f>
        <v>0</v>
      </c>
      <c r="AB594" s="1317">
        <v>30797.16</v>
      </c>
      <c r="AC594" s="1308">
        <v>45183</v>
      </c>
      <c r="AD594" s="402" t="str">
        <f ca="1">IF(CostTrack[[#This Row],[Reconciled Amount]]="","",IF(CostTrack[[#This Row],[Value]]&lt;&gt;CostTrack[[#This Row],[Reconciled Amount]],"Yes","No"))</f>
        <v>No</v>
      </c>
      <c r="AE594" s="658"/>
    </row>
    <row r="595" spans="2:31" ht="26.25" customHeight="1">
      <c r="B595" s="1324" t="s">
        <v>624</v>
      </c>
      <c r="C595" s="1334">
        <v>1823993</v>
      </c>
      <c r="D595" s="1308">
        <v>45142</v>
      </c>
      <c r="E595" s="658">
        <v>7000</v>
      </c>
      <c r="F595" s="1309" t="s">
        <v>69</v>
      </c>
      <c r="G595" s="1310">
        <f ca="1">ROUND(IF(CostTrack[[#This Row],[Holdback (Y/N/R)]]="Yes",CostTrack[[#This Row],[Value]]*-0.1,IF(CostTrack[[#This Row],[Holdback (Y/N/R)]]="Release",CostTrack[[#This Row],[Value]],0)),2)</f>
        <v>0</v>
      </c>
      <c r="H595" s="1311">
        <f ca="1">IF(CostTrack[[#This Row],[Holdback (Y/N/R)]]="Release",CostTrack[[#This Row],[Value]],CostTrack[[#This Row],[Value]]+CostTrack[[#This Row],[Holdback Value]])</f>
        <v>7000</v>
      </c>
      <c r="I595" s="1312"/>
      <c r="J595" s="1312"/>
      <c r="K595" s="1313"/>
      <c r="L595" s="1325">
        <v>45142</v>
      </c>
      <c r="M595" s="1326">
        <v>45142</v>
      </c>
      <c r="N595" s="1327"/>
      <c r="O595" s="1328" t="s">
        <v>106</v>
      </c>
      <c r="P595" s="1308">
        <v>45146</v>
      </c>
      <c r="Q595" s="1314" t="str">
        <f ca="1">IF(CostTrack[[#This Row],[Vendor - Contract]]="","",INDEX(VendorList[PA ID],MATCH(CostTrack[[#This Row],[Vendor - Contract]],VendorList[Vendor / Org. with Contract ID],0)))</f>
        <v>200.040.F1</v>
      </c>
      <c r="R595" s="1314" t="str">
        <f ca="1">IF(CostTrack[[#This Row],[Vendor - Contract]]="","",INDEX(VendorList[Primary Category],MATCH(CostTrack[[#This Row],[Vendor - Contract]],VendorList[Vendor / Org. with Contract ID],0)))</f>
        <v>Professional Services</v>
      </c>
      <c r="S595" s="1314" t="str">
        <f ca="1">IF(CostTrack[[#This Row],[Vendor - Contract]]="","",INDEX(VendorList[Secondary Category],MATCH(CostTrack[[#This Row],[Vendor - Contract]],VendorList[Vendor / Org. with Contract ID],0)))</f>
        <v>Commissioning</v>
      </c>
      <c r="T595" s="1314" t="str">
        <f ca="1">IF(CostTrack[[#This Row],[Vendor - Contract]]="","",INDEX(VendorList[Phase / Subproject],MATCH(CostTrack[[#This Row],[Vendor - Contract]],VendorList[Vendor / Org. with Contract ID],0)))</f>
        <v>--</v>
      </c>
      <c r="U595" s="1314" t="str">
        <f ca="1">IF(CostTrack[[#This Row],[Vendor - Contract]]="","",INDEX(VendorList[Phase / Subproject 2],MATCH(CostTrack[[#This Row],[Vendor - Contract]],VendorList[Vendor / Org. with Contract ID],0)))</f>
        <v>--</v>
      </c>
      <c r="V595" s="1314" t="str">
        <f ca="1">IF(CostTrack[[#This Row],[Vendor - Contract]]="","",INDEX(VendorList[Funding Source],MATCH(CostTrack[[#This Row],[Vendor - Contract]],VendorList[Vendor / Org. with Contract ID],0)))</f>
        <v>P-002360</v>
      </c>
      <c r="W595" s="1308">
        <v>45147</v>
      </c>
      <c r="X595" s="1315" t="str">
        <f ca="1">IF(CostTrack[[#This Row],[Release Date (CMS)]]="","*","")</f>
        <v/>
      </c>
      <c r="Y595" s="1308" t="s">
        <v>58</v>
      </c>
      <c r="Z595" s="713"/>
      <c r="AA595" s="1316">
        <f ca="1">IF(OR(CostTrack[[#This Row],[Release Date (CMS)]]&gt;=DATE(VALUE(REPLACE(CostTrack[[#This Row],[Fiscal Period]],3,3,"")),3,1),CostTrack[[#This Row],[Release Date (CMS)]]&lt;DATE(VALUE(LEFT(CostTrack[[#This Row],[Fiscal Period]],4)),4,1)),1,0)</f>
        <v>0</v>
      </c>
      <c r="AB595" s="1317">
        <v>7000</v>
      </c>
      <c r="AC595" s="1308">
        <v>45183</v>
      </c>
      <c r="AD595" s="402" t="str">
        <f ca="1">IF(CostTrack[[#This Row],[Reconciled Amount]]="","",IF(CostTrack[[#This Row],[Value]]&lt;&gt;CostTrack[[#This Row],[Reconciled Amount]],"Yes","No"))</f>
        <v>No</v>
      </c>
      <c r="AE595" s="658"/>
    </row>
    <row r="596" spans="2:31" ht="26.25" customHeight="1">
      <c r="B596" s="1324" t="s">
        <v>736</v>
      </c>
      <c r="C596" s="1334" t="s">
        <v>1276</v>
      </c>
      <c r="D596" s="1308">
        <v>45169</v>
      </c>
      <c r="E596" s="658">
        <v>32573.06</v>
      </c>
      <c r="F596" s="1309" t="s">
        <v>69</v>
      </c>
      <c r="G596" s="1310">
        <f ca="1">ROUND(IF(CostTrack[[#This Row],[Holdback (Y/N/R)]]="Yes",CostTrack[[#This Row],[Value]]*-0.1,IF(CostTrack[[#This Row],[Holdback (Y/N/R)]]="Release",CostTrack[[#This Row],[Value]],0)),2)</f>
        <v>0</v>
      </c>
      <c r="H596" s="1311">
        <f ca="1">IF(CostTrack[[#This Row],[Holdback (Y/N/R)]]="Release",CostTrack[[#This Row],[Value]],CostTrack[[#This Row],[Value]]+CostTrack[[#This Row],[Holdback Value]])</f>
        <v>32573.06</v>
      </c>
      <c r="I596" s="1312"/>
      <c r="J596" s="1312"/>
      <c r="K596" s="1313"/>
      <c r="L596" s="1325">
        <v>45169</v>
      </c>
      <c r="M596" s="1326">
        <v>45169</v>
      </c>
      <c r="N596" s="1327"/>
      <c r="O596" s="1328" t="s">
        <v>106</v>
      </c>
      <c r="P596" s="1308">
        <v>45169</v>
      </c>
      <c r="Q596" s="1314" t="str">
        <f ca="1">IF(CostTrack[[#This Row],[Vendor - Contract]]="","",INDEX(VendorList[PA ID],MATCH(CostTrack[[#This Row],[Vendor - Contract]],VendorList[Vendor / Org. with Contract ID],0)))</f>
        <v>100.010.F1</v>
      </c>
      <c r="R596" s="1314" t="str">
        <f ca="1">IF(CostTrack[[#This Row],[Vendor - Contract]]="","",INDEX(VendorList[Primary Category],MATCH(CostTrack[[#This Row],[Vendor - Contract]],VendorList[Vendor / Org. with Contract ID],0)))</f>
        <v>Administration</v>
      </c>
      <c r="S596" s="1314" t="str">
        <f ca="1">IF(CostTrack[[#This Row],[Vendor - Contract]]="","",INDEX(VendorList[Secondary Category],MATCH(CostTrack[[#This Row],[Vendor - Contract]],VendorList[Vendor / Org. with Contract ID],0)))</f>
        <v>Staff Capitalization - INFRA</v>
      </c>
      <c r="T596" s="1314" t="str">
        <f ca="1">IF(CostTrack[[#This Row],[Vendor - Contract]]="","",INDEX(VendorList[Phase / Subproject],MATCH(CostTrack[[#This Row],[Vendor - Contract]],VendorList[Vendor / Org. with Contract ID],0)))</f>
        <v>--</v>
      </c>
      <c r="U596" s="1314" t="str">
        <f ca="1">IF(CostTrack[[#This Row],[Vendor - Contract]]="","",INDEX(VendorList[Phase / Subproject 2],MATCH(CostTrack[[#This Row],[Vendor - Contract]],VendorList[Vendor / Org. with Contract ID],0)))</f>
        <v>--</v>
      </c>
      <c r="V596" s="1314" t="str">
        <f ca="1">IF(CostTrack[[#This Row],[Vendor - Contract]]="","",INDEX(VendorList[Funding Source],MATCH(CostTrack[[#This Row],[Vendor - Contract]],VendorList[Vendor / Org. with Contract ID],0)))</f>
        <v>P-002360</v>
      </c>
      <c r="W596" s="1308">
        <v>45169</v>
      </c>
      <c r="X596" s="1315" t="str">
        <f ca="1">IF(CostTrack[[#This Row],[Release Date (CMS)]]="","*","")</f>
        <v/>
      </c>
      <c r="Y596" s="1308" t="s">
        <v>58</v>
      </c>
      <c r="Z596" s="713"/>
      <c r="AA596" s="1316">
        <f ca="1">IF(OR(CostTrack[[#This Row],[Release Date (CMS)]]&gt;=DATE(VALUE(REPLACE(CostTrack[[#This Row],[Fiscal Period]],3,3,"")),3,1),CostTrack[[#This Row],[Release Date (CMS)]]&lt;DATE(VALUE(LEFT(CostTrack[[#This Row],[Fiscal Period]],4)),4,1)),1,0)</f>
        <v>0</v>
      </c>
      <c r="AB596" s="1317">
        <v>32573.06</v>
      </c>
      <c r="AC596" s="1308">
        <v>45183</v>
      </c>
      <c r="AD596" s="402" t="str">
        <f ca="1">IF(CostTrack[[#This Row],[Reconciled Amount]]="","",IF(CostTrack[[#This Row],[Value]]&lt;&gt;CostTrack[[#This Row],[Reconciled Amount]],"Yes","No"))</f>
        <v>No</v>
      </c>
      <c r="AE596" s="658"/>
    </row>
    <row r="597" spans="2:31" ht="26.25" customHeight="1">
      <c r="B597" s="706" t="s">
        <v>528</v>
      </c>
      <c r="C597" s="691">
        <v>60826299</v>
      </c>
      <c r="D597" s="267">
        <v>45161</v>
      </c>
      <c r="E597" s="654">
        <v>3318</v>
      </c>
      <c r="F597" s="647" t="s">
        <v>69</v>
      </c>
      <c r="G597" s="406">
        <f ca="1">ROUND(IF(CostTrack[[#This Row],[Holdback (Y/N/R)]]="Yes",CostTrack[[#This Row],[Value]]*-0.1,IF(CostTrack[[#This Row],[Holdback (Y/N/R)]]="Release",CostTrack[[#This Row],[Value]],0)),2)</f>
        <v>0</v>
      </c>
      <c r="H597" s="407">
        <f ca="1">IF(CostTrack[[#This Row],[Holdback (Y/N/R)]]="Release",CostTrack[[#This Row],[Value]],CostTrack[[#This Row],[Value]]+CostTrack[[#This Row],[Holdback Value]])</f>
        <v>3318</v>
      </c>
      <c r="I597" s="650"/>
      <c r="J597" s="650"/>
      <c r="K597" s="648"/>
      <c r="L597" s="707">
        <v>45167</v>
      </c>
      <c r="M597" s="708">
        <v>45167</v>
      </c>
      <c r="N597" s="709"/>
      <c r="O597" s="712" t="s">
        <v>106</v>
      </c>
      <c r="P597" s="267">
        <v>45167</v>
      </c>
      <c r="Q597" s="243" t="str">
        <f ca="1">IF(CostTrack[[#This Row],[Vendor - Contract]]="","",INDEX(VendorList[PA ID],MATCH(CostTrack[[#This Row],[Vendor - Contract]],VendorList[Vendor / Org. with Contract ID],0)))</f>
        <v>200.050.F1</v>
      </c>
      <c r="R597" s="243" t="str">
        <f ca="1">IF(CostTrack[[#This Row],[Vendor - Contract]]="","",INDEX(VendorList[Primary Category],MATCH(CostTrack[[#This Row],[Vendor - Contract]],VendorList[Vendor / Org. with Contract ID],0)))</f>
        <v>Professional Services</v>
      </c>
      <c r="S597" s="243" t="str">
        <f ca="1">IF(CostTrack[[#This Row],[Vendor - Contract]]="","",INDEX(VendorList[Secondary Category],MATCH(CostTrack[[#This Row],[Vendor - Contract]],VendorList[Vendor / Org. with Contract ID],0)))</f>
        <v>Other Professional Services</v>
      </c>
      <c r="T597" s="243" t="str">
        <f ca="1">IF(CostTrack[[#This Row],[Vendor - Contract]]="","",INDEX(VendorList[Phase / Subproject],MATCH(CostTrack[[#This Row],[Vendor - Contract]],VendorList[Vendor / Org. with Contract ID],0)))</f>
        <v>--</v>
      </c>
      <c r="U597" s="243" t="str">
        <f ca="1">IF(CostTrack[[#This Row],[Vendor - Contract]]="","",INDEX(VendorList[Phase / Subproject 2],MATCH(CostTrack[[#This Row],[Vendor - Contract]],VendorList[Vendor / Org. with Contract ID],0)))</f>
        <v>--</v>
      </c>
      <c r="V597" s="243" t="str">
        <f ca="1">IF(CostTrack[[#This Row],[Vendor - Contract]]="","",INDEX(VendorList[Funding Source],MATCH(CostTrack[[#This Row],[Vendor - Contract]],VendorList[Vendor / Org. with Contract ID],0)))</f>
        <v>P-002360</v>
      </c>
      <c r="W597" s="267">
        <v>45168</v>
      </c>
      <c r="X597" s="251" t="str">
        <f ca="1">IF(CostTrack[[#This Row],[Release Date (CMS)]]="","*","")</f>
        <v/>
      </c>
      <c r="Y597" s="267" t="s">
        <v>58</v>
      </c>
      <c r="Z597" s="652"/>
      <c r="AA597" s="245">
        <f ca="1">IF(OR(CostTrack[[#This Row],[Release Date (CMS)]]&gt;=DATE(VALUE(REPLACE(CostTrack[[#This Row],[Fiscal Period]],3,3,"")),3,1),CostTrack[[#This Row],[Release Date (CMS)]]&lt;DATE(VALUE(LEFT(CostTrack[[#This Row],[Fiscal Period]],4)),4,1)),1,0)</f>
        <v>0</v>
      </c>
      <c r="AB597" s="655">
        <v>3318</v>
      </c>
      <c r="AC597" s="1308">
        <v>45183</v>
      </c>
      <c r="AD597" s="402" t="str">
        <f ca="1">IF(CostTrack[[#This Row],[Reconciled Amount]]="","",IF(CostTrack[[#This Row],[Value]]&lt;&gt;CostTrack[[#This Row],[Reconciled Amount]],"Yes","No"))</f>
        <v>No</v>
      </c>
      <c r="AE597" s="654"/>
    </row>
    <row r="598" spans="2:31" ht="26.25" customHeight="1">
      <c r="B598" s="706" t="s">
        <v>710</v>
      </c>
      <c r="C598" s="884">
        <v>101203776270</v>
      </c>
      <c r="D598" s="267">
        <v>45159</v>
      </c>
      <c r="E598" s="654">
        <v>36.15</v>
      </c>
      <c r="F598" s="647" t="s">
        <v>69</v>
      </c>
      <c r="G598" s="406">
        <f ca="1">ROUND(IF(CostTrack[[#This Row],[Holdback (Y/N/R)]]="Yes",CostTrack[[#This Row],[Value]]*-0.1,IF(CostTrack[[#This Row],[Holdback (Y/N/R)]]="Release",CostTrack[[#This Row],[Value]],0)),2)</f>
        <v>0</v>
      </c>
      <c r="H598" s="407">
        <f ca="1">IF(CostTrack[[#This Row],[Holdback (Y/N/R)]]="Release",CostTrack[[#This Row],[Value]],CostTrack[[#This Row],[Value]]+CostTrack[[#This Row],[Holdback Value]])</f>
        <v>36.15</v>
      </c>
      <c r="I598" s="650"/>
      <c r="J598" s="650"/>
      <c r="K598" s="648"/>
      <c r="L598" s="707">
        <v>45161</v>
      </c>
      <c r="M598" s="708">
        <v>45161</v>
      </c>
      <c r="N598" s="709"/>
      <c r="O598" s="712" t="s">
        <v>106</v>
      </c>
      <c r="P598" s="267">
        <v>45161</v>
      </c>
      <c r="Q598" s="243" t="str">
        <f ca="1">IF(CostTrack[[#This Row],[Vendor - Contract]]="","",INDEX(VendorList[PA ID],MATCH(CostTrack[[#This Row],[Vendor - Contract]],VendorList[Vendor / Org. with Contract ID],0)))</f>
        <v>300.040.F1</v>
      </c>
      <c r="R598" s="243" t="str">
        <f ca="1">IF(CostTrack[[#This Row],[Vendor - Contract]]="","",INDEX(VendorList[Primary Category],MATCH(CostTrack[[#This Row],[Vendor - Contract]],VendorList[Vendor / Org. with Contract ID],0)))</f>
        <v>Construction</v>
      </c>
      <c r="S598" s="243" t="str">
        <f ca="1">IF(CostTrack[[#This Row],[Vendor - Contract]]="","",INDEX(VendorList[Secondary Category],MATCH(CostTrack[[#This Row],[Vendor - Contract]],VendorList[Vendor / Org. with Contract ID],0)))</f>
        <v>Other Contractor</v>
      </c>
      <c r="T598" s="243" t="str">
        <f ca="1">IF(CostTrack[[#This Row],[Vendor - Contract]]="","",INDEX(VendorList[Phase / Subproject],MATCH(CostTrack[[#This Row],[Vendor - Contract]],VendorList[Vendor / Org. with Contract ID],0)))</f>
        <v>--</v>
      </c>
      <c r="U598" s="243" t="str">
        <f ca="1">IF(CostTrack[[#This Row],[Vendor - Contract]]="","",INDEX(VendorList[Phase / Subproject 2],MATCH(CostTrack[[#This Row],[Vendor - Contract]],VendorList[Vendor / Org. with Contract ID],0)))</f>
        <v>--</v>
      </c>
      <c r="V598" s="243" t="str">
        <f ca="1">IF(CostTrack[[#This Row],[Vendor - Contract]]="","",INDEX(VendorList[Funding Source],MATCH(CostTrack[[#This Row],[Vendor - Contract]],VendorList[Vendor / Org. with Contract ID],0)))</f>
        <v>P-002360</v>
      </c>
      <c r="W598" s="267">
        <v>45162</v>
      </c>
      <c r="X598" s="251" t="str">
        <f ca="1">IF(CostTrack[[#This Row],[Release Date (CMS)]]="","*","")</f>
        <v/>
      </c>
      <c r="Y598" s="267" t="s">
        <v>58</v>
      </c>
      <c r="Z598" s="652"/>
      <c r="AA598" s="245">
        <f ca="1">IF(OR(CostTrack[[#This Row],[Release Date (CMS)]]&gt;=DATE(VALUE(REPLACE(CostTrack[[#This Row],[Fiscal Period]],3,3,"")),3,1),CostTrack[[#This Row],[Release Date (CMS)]]&lt;DATE(VALUE(LEFT(CostTrack[[#This Row],[Fiscal Period]],4)),4,1)),1,0)</f>
        <v>0</v>
      </c>
      <c r="AB598" s="655">
        <v>36.15</v>
      </c>
      <c r="AC598" s="1308">
        <v>45183</v>
      </c>
      <c r="AD598" s="402" t="str">
        <f ca="1">IF(CostTrack[[#This Row],[Reconciled Amount]]="","",IF(CostTrack[[#This Row],[Value]]&lt;&gt;CostTrack[[#This Row],[Reconciled Amount]],"Yes","No"))</f>
        <v>No</v>
      </c>
      <c r="AE598" s="654"/>
    </row>
    <row r="599" spans="2:31" ht="26.25" customHeight="1">
      <c r="B599" s="1324" t="s">
        <v>693</v>
      </c>
      <c r="C599" s="1334">
        <v>800039320</v>
      </c>
      <c r="D599" s="1308">
        <v>45142</v>
      </c>
      <c r="E599" s="658">
        <v>138.66999999999999</v>
      </c>
      <c r="F599" s="1309" t="s">
        <v>69</v>
      </c>
      <c r="G599" s="1310">
        <f ca="1">ROUND(IF(CostTrack[[#This Row],[Holdback (Y/N/R)]]="Yes",CostTrack[[#This Row],[Value]]*-0.1,IF(CostTrack[[#This Row],[Holdback (Y/N/R)]]="Release",CostTrack[[#This Row],[Value]],0)),2)</f>
        <v>0</v>
      </c>
      <c r="H599" s="1311">
        <f ca="1">IF(CostTrack[[#This Row],[Holdback (Y/N/R)]]="Release",CostTrack[[#This Row],[Value]],CostTrack[[#This Row],[Value]]+CostTrack[[#This Row],[Holdback Value]])</f>
        <v>138.66999999999999</v>
      </c>
      <c r="I599" s="1312"/>
      <c r="J599" s="1312"/>
      <c r="K599" s="1313"/>
      <c r="L599" s="1325">
        <v>45142</v>
      </c>
      <c r="M599" s="1326">
        <v>45142</v>
      </c>
      <c r="N599" s="1327"/>
      <c r="O599" s="1328" t="s">
        <v>106</v>
      </c>
      <c r="P599" s="1308">
        <v>45142</v>
      </c>
      <c r="Q599" s="1314" t="str">
        <f ca="1">IF(CostTrack[[#This Row],[Vendor - Contract]]="","",INDEX(VendorList[PA ID],MATCH(CostTrack[[#This Row],[Vendor - Contract]],VendorList[Vendor / Org. with Contract ID],0)))</f>
        <v>100.050.F1</v>
      </c>
      <c r="R599" s="1314" t="str">
        <f ca="1">IF(CostTrack[[#This Row],[Vendor - Contract]]="","",INDEX(VendorList[Primary Category],MATCH(CostTrack[[#This Row],[Vendor - Contract]],VendorList[Vendor / Org. with Contract ID],0)))</f>
        <v>Administration</v>
      </c>
      <c r="S599" s="1314" t="str">
        <f ca="1">IF(CostTrack[[#This Row],[Vendor - Contract]]="","",INDEX(VendorList[Secondary Category],MATCH(CostTrack[[#This Row],[Vendor - Contract]],VendorList[Vendor / Org. with Contract ID],0)))</f>
        <v>Other Administration</v>
      </c>
      <c r="T599" s="1314" t="str">
        <f ca="1">IF(CostTrack[[#This Row],[Vendor - Contract]]="","",INDEX(VendorList[Phase / Subproject],MATCH(CostTrack[[#This Row],[Vendor - Contract]],VendorList[Vendor / Org. with Contract ID],0)))</f>
        <v>--</v>
      </c>
      <c r="U599" s="1314" t="str">
        <f ca="1">IF(CostTrack[[#This Row],[Vendor - Contract]]="","",INDEX(VendorList[Phase / Subproject 2],MATCH(CostTrack[[#This Row],[Vendor - Contract]],VendorList[Vendor / Org. with Contract ID],0)))</f>
        <v>--</v>
      </c>
      <c r="V599" s="1314" t="str">
        <f ca="1">IF(CostTrack[[#This Row],[Vendor - Contract]]="","",INDEX(VendorList[Funding Source],MATCH(CostTrack[[#This Row],[Vendor - Contract]],VendorList[Vendor / Org. with Contract ID],0)))</f>
        <v>P-002360</v>
      </c>
      <c r="W599" s="1308">
        <v>45142</v>
      </c>
      <c r="X599" s="1315" t="str">
        <f ca="1">IF(CostTrack[[#This Row],[Release Date (CMS)]]="","*","")</f>
        <v/>
      </c>
      <c r="Y599" s="1308" t="s">
        <v>58</v>
      </c>
      <c r="Z599" s="713" t="s">
        <v>1277</v>
      </c>
      <c r="AA599" s="1316">
        <f ca="1">IF(OR(CostTrack[[#This Row],[Release Date (CMS)]]&gt;=DATE(VALUE(REPLACE(CostTrack[[#This Row],[Fiscal Period]],3,3,"")),3,1),CostTrack[[#This Row],[Release Date (CMS)]]&lt;DATE(VALUE(LEFT(CostTrack[[#This Row],[Fiscal Period]],4)),4,1)),1,0)</f>
        <v>0</v>
      </c>
      <c r="AB599" s="1317">
        <v>138.66999999999999</v>
      </c>
      <c r="AC599" s="1308">
        <v>45183</v>
      </c>
      <c r="AD599" s="402" t="str">
        <f ca="1">IF(CostTrack[[#This Row],[Reconciled Amount]]="","",IF(CostTrack[[#This Row],[Value]]&lt;&gt;CostTrack[[#This Row],[Reconciled Amount]],"Yes","No"))</f>
        <v>No</v>
      </c>
      <c r="AE599" s="658"/>
    </row>
    <row r="600" spans="2:31" ht="26.25" customHeight="1">
      <c r="B600" s="1324" t="s">
        <v>731</v>
      </c>
      <c r="C600" s="1334">
        <v>800040875</v>
      </c>
      <c r="D600" s="1308">
        <v>45147</v>
      </c>
      <c r="E600" s="658">
        <v>119.78</v>
      </c>
      <c r="F600" s="1309" t="s">
        <v>69</v>
      </c>
      <c r="G600" s="1310">
        <f ca="1">ROUND(IF(CostTrack[[#This Row],[Holdback (Y/N/R)]]="Yes",CostTrack[[#This Row],[Value]]*-0.1,IF(CostTrack[[#This Row],[Holdback (Y/N/R)]]="Release",CostTrack[[#This Row],[Value]],0)),2)</f>
        <v>0</v>
      </c>
      <c r="H600" s="1311">
        <f ca="1">IF(CostTrack[[#This Row],[Holdback (Y/N/R)]]="Release",CostTrack[[#This Row],[Value]],CostTrack[[#This Row],[Value]]+CostTrack[[#This Row],[Holdback Value]])</f>
        <v>119.78</v>
      </c>
      <c r="I600" s="1312"/>
      <c r="J600" s="1312"/>
      <c r="K600" s="1313"/>
      <c r="L600" s="1325">
        <v>45147</v>
      </c>
      <c r="M600" s="1326">
        <v>45147</v>
      </c>
      <c r="N600" s="1327"/>
      <c r="O600" s="1328" t="s">
        <v>106</v>
      </c>
      <c r="P600" s="1308">
        <v>45147</v>
      </c>
      <c r="Q600" s="1314" t="str">
        <f ca="1">IF(CostTrack[[#This Row],[Vendor - Contract]]="","",INDEX(VendorList[PA ID],MATCH(CostTrack[[#This Row],[Vendor - Contract]],VendorList[Vendor / Org. with Contract ID],0)))</f>
        <v>100.050.F1</v>
      </c>
      <c r="R600" s="1314" t="str">
        <f ca="1">IF(CostTrack[[#This Row],[Vendor - Contract]]="","",INDEX(VendorList[Primary Category],MATCH(CostTrack[[#This Row],[Vendor - Contract]],VendorList[Vendor / Org. with Contract ID],0)))</f>
        <v>Administration</v>
      </c>
      <c r="S600" s="1314" t="str">
        <f ca="1">IF(CostTrack[[#This Row],[Vendor - Contract]]="","",INDEX(VendorList[Secondary Category],MATCH(CostTrack[[#This Row],[Vendor - Contract]],VendorList[Vendor / Org. with Contract ID],0)))</f>
        <v>Other Administration</v>
      </c>
      <c r="T600" s="1314" t="str">
        <f ca="1">IF(CostTrack[[#This Row],[Vendor - Contract]]="","",INDEX(VendorList[Phase / Subproject],MATCH(CostTrack[[#This Row],[Vendor - Contract]],VendorList[Vendor / Org. with Contract ID],0)))</f>
        <v>--</v>
      </c>
      <c r="U600" s="1314" t="str">
        <f ca="1">IF(CostTrack[[#This Row],[Vendor - Contract]]="","",INDEX(VendorList[Phase / Subproject 2],MATCH(CostTrack[[#This Row],[Vendor - Contract]],VendorList[Vendor / Org. with Contract ID],0)))</f>
        <v>--</v>
      </c>
      <c r="V600" s="1314" t="str">
        <f ca="1">IF(CostTrack[[#This Row],[Vendor - Contract]]="","",INDEX(VendorList[Funding Source],MATCH(CostTrack[[#This Row],[Vendor - Contract]],VendorList[Vendor / Org. with Contract ID],0)))</f>
        <v>P-002360</v>
      </c>
      <c r="W600" s="1308">
        <v>45147</v>
      </c>
      <c r="X600" s="1315" t="str">
        <f ca="1">IF(CostTrack[[#This Row],[Release Date (CMS)]]="","*","")</f>
        <v/>
      </c>
      <c r="Y600" s="1308" t="s">
        <v>58</v>
      </c>
      <c r="Z600" s="713" t="s">
        <v>1278</v>
      </c>
      <c r="AA600" s="1316">
        <f ca="1">IF(OR(CostTrack[[#This Row],[Release Date (CMS)]]&gt;=DATE(VALUE(REPLACE(CostTrack[[#This Row],[Fiscal Period]],3,3,"")),3,1),CostTrack[[#This Row],[Release Date (CMS)]]&lt;DATE(VALUE(LEFT(CostTrack[[#This Row],[Fiscal Period]],4)),4,1)),1,0)</f>
        <v>0</v>
      </c>
      <c r="AB600" s="1317">
        <v>119.78</v>
      </c>
      <c r="AC600" s="1308">
        <v>45183</v>
      </c>
      <c r="AD600" s="402" t="str">
        <f ca="1">IF(CostTrack[[#This Row],[Reconciled Amount]]="","",IF(CostTrack[[#This Row],[Value]]&lt;&gt;CostTrack[[#This Row],[Reconciled Amount]],"Yes","No"))</f>
        <v>No</v>
      </c>
      <c r="AE600" s="658"/>
    </row>
    <row r="601" spans="2:31" ht="26.25" customHeight="1">
      <c r="B601" s="1324" t="s">
        <v>666</v>
      </c>
      <c r="C601" s="1334" t="s">
        <v>1279</v>
      </c>
      <c r="D601" s="1308">
        <v>45162</v>
      </c>
      <c r="E601" s="658">
        <v>5000</v>
      </c>
      <c r="F601" s="1309" t="s">
        <v>69</v>
      </c>
      <c r="G601" s="1310">
        <f ca="1">ROUND(IF(CostTrack[[#This Row],[Holdback (Y/N/R)]]="Yes",CostTrack[[#This Row],[Value]]*-0.1,IF(CostTrack[[#This Row],[Holdback (Y/N/R)]]="Release",CostTrack[[#This Row],[Value]],0)),2)</f>
        <v>0</v>
      </c>
      <c r="H601" s="1311">
        <f ca="1">IF(CostTrack[[#This Row],[Holdback (Y/N/R)]]="Release",CostTrack[[#This Row],[Value]],CostTrack[[#This Row],[Value]]+CostTrack[[#This Row],[Holdback Value]])</f>
        <v>5000</v>
      </c>
      <c r="I601" s="1312"/>
      <c r="J601" s="1312"/>
      <c r="K601" s="1313"/>
      <c r="L601" s="1325">
        <v>45167</v>
      </c>
      <c r="M601" s="1326">
        <v>45175</v>
      </c>
      <c r="N601" s="1327"/>
      <c r="O601" s="1328" t="s">
        <v>106</v>
      </c>
      <c r="P601" s="1308">
        <v>45175</v>
      </c>
      <c r="Q601" s="1314" t="str">
        <f ca="1">IF(CostTrack[[#This Row],[Vendor - Contract]]="","",INDEX(VendorList[PA ID],MATCH(CostTrack[[#This Row],[Vendor - Contract]],VendorList[Vendor / Org. with Contract ID],0)))</f>
        <v>200.050.F1</v>
      </c>
      <c r="R601" s="1314" t="str">
        <f ca="1">IF(CostTrack[[#This Row],[Vendor - Contract]]="","",INDEX(VendorList[Primary Category],MATCH(CostTrack[[#This Row],[Vendor - Contract]],VendorList[Vendor / Org. with Contract ID],0)))</f>
        <v>Professional Services</v>
      </c>
      <c r="S601" s="1314" t="str">
        <f ca="1">IF(CostTrack[[#This Row],[Vendor - Contract]]="","",INDEX(VendorList[Secondary Category],MATCH(CostTrack[[#This Row],[Vendor - Contract]],VendorList[Vendor / Org. with Contract ID],0)))</f>
        <v>Other Professional Services</v>
      </c>
      <c r="T601" s="1314" t="str">
        <f ca="1">IF(CostTrack[[#This Row],[Vendor - Contract]]="","",INDEX(VendorList[Phase / Subproject],MATCH(CostTrack[[#This Row],[Vendor - Contract]],VendorList[Vendor / Org. with Contract ID],0)))</f>
        <v>--</v>
      </c>
      <c r="U601" s="1314" t="str">
        <f ca="1">IF(CostTrack[[#This Row],[Vendor - Contract]]="","",INDEX(VendorList[Phase / Subproject 2],MATCH(CostTrack[[#This Row],[Vendor - Contract]],VendorList[Vendor / Org. with Contract ID],0)))</f>
        <v>--</v>
      </c>
      <c r="V601" s="1314" t="str">
        <f ca="1">IF(CostTrack[[#This Row],[Vendor - Contract]]="","",INDEX(VendorList[Funding Source],MATCH(CostTrack[[#This Row],[Vendor - Contract]],VendorList[Vendor / Org. with Contract ID],0)))</f>
        <v>P-002360</v>
      </c>
      <c r="W601" s="1308">
        <v>45175</v>
      </c>
      <c r="X601" s="1315" t="str">
        <f ca="1">IF(CostTrack[[#This Row],[Release Date (CMS)]]="","*","")</f>
        <v/>
      </c>
      <c r="Y601" s="1308" t="s">
        <v>58</v>
      </c>
      <c r="Z601" s="713"/>
      <c r="AA601" s="1316">
        <f ca="1">IF(OR(CostTrack[[#This Row],[Release Date (CMS)]]&gt;=DATE(VALUE(REPLACE(CostTrack[[#This Row],[Fiscal Period]],3,3,"")),3,1),CostTrack[[#This Row],[Release Date (CMS)]]&lt;DATE(VALUE(LEFT(CostTrack[[#This Row],[Fiscal Period]],4)),4,1)),1,0)</f>
        <v>0</v>
      </c>
      <c r="AB601" s="1317">
        <v>5000</v>
      </c>
      <c r="AC601" s="1308">
        <v>45204</v>
      </c>
      <c r="AD601" s="402" t="str">
        <f ca="1">IF(CostTrack[[#This Row],[Reconciled Amount]]="","",IF(CostTrack[[#This Row],[Value]]&lt;&gt;CostTrack[[#This Row],[Reconciled Amount]],"Yes","No"))</f>
        <v>No</v>
      </c>
      <c r="AE601" s="658"/>
    </row>
    <row r="602" spans="2:31" ht="26.25" customHeight="1">
      <c r="B602" s="1324" t="s">
        <v>666</v>
      </c>
      <c r="C602" s="1334" t="s">
        <v>1280</v>
      </c>
      <c r="D602" s="1308">
        <v>45162</v>
      </c>
      <c r="E602" s="658">
        <v>4375</v>
      </c>
      <c r="F602" s="1309" t="s">
        <v>69</v>
      </c>
      <c r="G602" s="1310">
        <f ca="1">ROUND(IF(CostTrack[[#This Row],[Holdback (Y/N/R)]]="Yes",CostTrack[[#This Row],[Value]]*-0.1,IF(CostTrack[[#This Row],[Holdback (Y/N/R)]]="Release",CostTrack[[#This Row],[Value]],0)),2)</f>
        <v>0</v>
      </c>
      <c r="H602" s="1311">
        <f ca="1">IF(CostTrack[[#This Row],[Holdback (Y/N/R)]]="Release",CostTrack[[#This Row],[Value]],CostTrack[[#This Row],[Value]]+CostTrack[[#This Row],[Holdback Value]])</f>
        <v>4375</v>
      </c>
      <c r="I602" s="1312"/>
      <c r="J602" s="1312"/>
      <c r="K602" s="1313"/>
      <c r="L602" s="1325">
        <v>45167</v>
      </c>
      <c r="M602" s="1326">
        <v>45175</v>
      </c>
      <c r="N602" s="1327"/>
      <c r="O602" s="1328" t="s">
        <v>106</v>
      </c>
      <c r="P602" s="1308">
        <v>45175</v>
      </c>
      <c r="Q602" s="1314" t="str">
        <f ca="1">IF(CostTrack[[#This Row],[Vendor - Contract]]="","",INDEX(VendorList[PA ID],MATCH(CostTrack[[#This Row],[Vendor - Contract]],VendorList[Vendor / Org. with Contract ID],0)))</f>
        <v>200.050.F1</v>
      </c>
      <c r="R602" s="1314" t="str">
        <f ca="1">IF(CostTrack[[#This Row],[Vendor - Contract]]="","",INDEX(VendorList[Primary Category],MATCH(CostTrack[[#This Row],[Vendor - Contract]],VendorList[Vendor / Org. with Contract ID],0)))</f>
        <v>Professional Services</v>
      </c>
      <c r="S602" s="1314" t="str">
        <f ca="1">IF(CostTrack[[#This Row],[Vendor - Contract]]="","",INDEX(VendorList[Secondary Category],MATCH(CostTrack[[#This Row],[Vendor - Contract]],VendorList[Vendor / Org. with Contract ID],0)))</f>
        <v>Other Professional Services</v>
      </c>
      <c r="T602" s="1314" t="str">
        <f ca="1">IF(CostTrack[[#This Row],[Vendor - Contract]]="","",INDEX(VendorList[Phase / Subproject],MATCH(CostTrack[[#This Row],[Vendor - Contract]],VendorList[Vendor / Org. with Contract ID],0)))</f>
        <v>--</v>
      </c>
      <c r="U602" s="1314" t="str">
        <f ca="1">IF(CostTrack[[#This Row],[Vendor - Contract]]="","",INDEX(VendorList[Phase / Subproject 2],MATCH(CostTrack[[#This Row],[Vendor - Contract]],VendorList[Vendor / Org. with Contract ID],0)))</f>
        <v>--</v>
      </c>
      <c r="V602" s="1314" t="str">
        <f ca="1">IF(CostTrack[[#This Row],[Vendor - Contract]]="","",INDEX(VendorList[Funding Source],MATCH(CostTrack[[#This Row],[Vendor - Contract]],VendorList[Vendor / Org. with Contract ID],0)))</f>
        <v>P-002360</v>
      </c>
      <c r="W602" s="1308">
        <v>45175</v>
      </c>
      <c r="X602" s="1315" t="str">
        <f ca="1">IF(CostTrack[[#This Row],[Release Date (CMS)]]="","*","")</f>
        <v/>
      </c>
      <c r="Y602" s="1308" t="s">
        <v>58</v>
      </c>
      <c r="Z602" s="713"/>
      <c r="AA602" s="1316">
        <f ca="1">IF(OR(CostTrack[[#This Row],[Release Date (CMS)]]&gt;=DATE(VALUE(REPLACE(CostTrack[[#This Row],[Fiscal Period]],3,3,"")),3,1),CostTrack[[#This Row],[Release Date (CMS)]]&lt;DATE(VALUE(LEFT(CostTrack[[#This Row],[Fiscal Period]],4)),4,1)),1,0)</f>
        <v>0</v>
      </c>
      <c r="AB602" s="1317">
        <v>4375</v>
      </c>
      <c r="AC602" s="1308">
        <v>45204</v>
      </c>
      <c r="AD602" s="402" t="str">
        <f ca="1">IF(CostTrack[[#This Row],[Reconciled Amount]]="","",IF(CostTrack[[#This Row],[Value]]&lt;&gt;CostTrack[[#This Row],[Reconciled Amount]],"Yes","No"))</f>
        <v>No</v>
      </c>
      <c r="AE602" s="658"/>
    </row>
    <row r="603" spans="2:31" ht="26.25" customHeight="1">
      <c r="B603" s="1324" t="s">
        <v>624</v>
      </c>
      <c r="C603" s="1334">
        <v>1830926</v>
      </c>
      <c r="D603" s="1308">
        <v>45170</v>
      </c>
      <c r="E603" s="658">
        <v>7300</v>
      </c>
      <c r="F603" s="1309" t="s">
        <v>69</v>
      </c>
      <c r="G603" s="1310">
        <f ca="1">ROUND(IF(CostTrack[[#This Row],[Holdback (Y/N/R)]]="Yes",CostTrack[[#This Row],[Value]]*-0.1,IF(CostTrack[[#This Row],[Holdback (Y/N/R)]]="Release",CostTrack[[#This Row],[Value]],0)),2)</f>
        <v>0</v>
      </c>
      <c r="H603" s="1311">
        <f ca="1">IF(CostTrack[[#This Row],[Holdback (Y/N/R)]]="Release",CostTrack[[#This Row],[Value]],CostTrack[[#This Row],[Value]]+CostTrack[[#This Row],[Holdback Value]])</f>
        <v>7300</v>
      </c>
      <c r="I603" s="1312"/>
      <c r="J603" s="1312"/>
      <c r="K603" s="1313"/>
      <c r="L603" s="1325">
        <v>45174</v>
      </c>
      <c r="M603" s="1326">
        <v>45174</v>
      </c>
      <c r="N603" s="1327"/>
      <c r="O603" s="1328" t="s">
        <v>106</v>
      </c>
      <c r="P603" s="1308">
        <v>45174</v>
      </c>
      <c r="Q603" s="1314" t="str">
        <f ca="1">IF(CostTrack[[#This Row],[Vendor - Contract]]="","",INDEX(VendorList[PA ID],MATCH(CostTrack[[#This Row],[Vendor - Contract]],VendorList[Vendor / Org. with Contract ID],0)))</f>
        <v>200.040.F1</v>
      </c>
      <c r="R603" s="1314" t="str">
        <f ca="1">IF(CostTrack[[#This Row],[Vendor - Contract]]="","",INDEX(VendorList[Primary Category],MATCH(CostTrack[[#This Row],[Vendor - Contract]],VendorList[Vendor / Org. with Contract ID],0)))</f>
        <v>Professional Services</v>
      </c>
      <c r="S603" s="1314" t="str">
        <f ca="1">IF(CostTrack[[#This Row],[Vendor - Contract]]="","",INDEX(VendorList[Secondary Category],MATCH(CostTrack[[#This Row],[Vendor - Contract]],VendorList[Vendor / Org. with Contract ID],0)))</f>
        <v>Commissioning</v>
      </c>
      <c r="T603" s="1314" t="str">
        <f ca="1">IF(CostTrack[[#This Row],[Vendor - Contract]]="","",INDEX(VendorList[Phase / Subproject],MATCH(CostTrack[[#This Row],[Vendor - Contract]],VendorList[Vendor / Org. with Contract ID],0)))</f>
        <v>--</v>
      </c>
      <c r="U603" s="1314" t="str">
        <f ca="1">IF(CostTrack[[#This Row],[Vendor - Contract]]="","",INDEX(VendorList[Phase / Subproject 2],MATCH(CostTrack[[#This Row],[Vendor - Contract]],VendorList[Vendor / Org. with Contract ID],0)))</f>
        <v>--</v>
      </c>
      <c r="V603" s="1314" t="str">
        <f ca="1">IF(CostTrack[[#This Row],[Vendor - Contract]]="","",INDEX(VendorList[Funding Source],MATCH(CostTrack[[#This Row],[Vendor - Contract]],VendorList[Vendor / Org. with Contract ID],0)))</f>
        <v>P-002360</v>
      </c>
      <c r="W603" s="1308">
        <v>45174</v>
      </c>
      <c r="X603" s="1315" t="str">
        <f ca="1">IF(CostTrack[[#This Row],[Release Date (CMS)]]="","*","")</f>
        <v/>
      </c>
      <c r="Y603" s="1308" t="s">
        <v>58</v>
      </c>
      <c r="Z603" s="713"/>
      <c r="AA603" s="1316">
        <f ca="1">IF(OR(CostTrack[[#This Row],[Release Date (CMS)]]&gt;=DATE(VALUE(REPLACE(CostTrack[[#This Row],[Fiscal Period]],3,3,"")),3,1),CostTrack[[#This Row],[Release Date (CMS)]]&lt;DATE(VALUE(LEFT(CostTrack[[#This Row],[Fiscal Period]],4)),4,1)),1,0)</f>
        <v>0</v>
      </c>
      <c r="AB603" s="1317">
        <v>7300</v>
      </c>
      <c r="AC603" s="1308">
        <v>45204</v>
      </c>
      <c r="AD603" s="402" t="str">
        <f ca="1">IF(CostTrack[[#This Row],[Reconciled Amount]]="","",IF(CostTrack[[#This Row],[Value]]&lt;&gt;CostTrack[[#This Row],[Reconciled Amount]],"Yes","No"))</f>
        <v>No</v>
      </c>
      <c r="AE603" s="658"/>
    </row>
    <row r="604" spans="2:31" ht="26.25" customHeight="1">
      <c r="B604" s="1324" t="s">
        <v>1087</v>
      </c>
      <c r="C604" s="691" t="s">
        <v>1281</v>
      </c>
      <c r="D604" s="1308">
        <v>45174</v>
      </c>
      <c r="E604" s="658">
        <v>13333.91</v>
      </c>
      <c r="F604" s="1309" t="s">
        <v>69</v>
      </c>
      <c r="G604" s="1310">
        <f ca="1">ROUND(IF(CostTrack[[#This Row],[Holdback (Y/N/R)]]="Yes",CostTrack[[#This Row],[Value]]*-0.1,IF(CostTrack[[#This Row],[Holdback (Y/N/R)]]="Release",CostTrack[[#This Row],[Value]],0)),2)</f>
        <v>0</v>
      </c>
      <c r="H604" s="1311">
        <f ca="1">IF(CostTrack[[#This Row],[Holdback (Y/N/R)]]="Release",CostTrack[[#This Row],[Value]],CostTrack[[#This Row],[Value]]+CostTrack[[#This Row],[Holdback Value]])</f>
        <v>13333.91</v>
      </c>
      <c r="I604" s="1312"/>
      <c r="J604" s="1312"/>
      <c r="K604" s="1313"/>
      <c r="L604" s="1325">
        <v>45174</v>
      </c>
      <c r="M604" s="1326">
        <v>45174</v>
      </c>
      <c r="N604" s="1327"/>
      <c r="O604" s="1328" t="s">
        <v>106</v>
      </c>
      <c r="P604" s="1308">
        <v>45174</v>
      </c>
      <c r="Q604" s="1314" t="str">
        <f ca="1">IF(CostTrack[[#This Row],[Vendor - Contract]]="","",INDEX(VendorList[PA ID],MATCH(CostTrack[[#This Row],[Vendor - Contract]],VendorList[Vendor / Org. with Contract ID],0)))</f>
        <v>300.040.F1</v>
      </c>
      <c r="R604" s="1314" t="str">
        <f ca="1">IF(CostTrack[[#This Row],[Vendor - Contract]]="","",INDEX(VendorList[Primary Category],MATCH(CostTrack[[#This Row],[Vendor - Contract]],VendorList[Vendor / Org. with Contract ID],0)))</f>
        <v>Construction</v>
      </c>
      <c r="S604" s="1314" t="str">
        <f ca="1">IF(CostTrack[[#This Row],[Vendor - Contract]]="","",INDEX(VendorList[Secondary Category],MATCH(CostTrack[[#This Row],[Vendor - Contract]],VendorList[Vendor / Org. with Contract ID],0)))</f>
        <v>Other Contractor</v>
      </c>
      <c r="T604" s="1314" t="str">
        <f ca="1">IF(CostTrack[[#This Row],[Vendor - Contract]]="","",INDEX(VendorList[Phase / Subproject],MATCH(CostTrack[[#This Row],[Vendor - Contract]],VendorList[Vendor / Org. with Contract ID],0)))</f>
        <v>--</v>
      </c>
      <c r="U604" s="1314" t="str">
        <f ca="1">IF(CostTrack[[#This Row],[Vendor - Contract]]="","",INDEX(VendorList[Phase / Subproject 2],MATCH(CostTrack[[#This Row],[Vendor - Contract]],VendorList[Vendor / Org. with Contract ID],0)))</f>
        <v>--</v>
      </c>
      <c r="V604" s="1314" t="str">
        <f ca="1">IF(CostTrack[[#This Row],[Vendor - Contract]]="","",INDEX(VendorList[Funding Source],MATCH(CostTrack[[#This Row],[Vendor - Contract]],VendorList[Vendor / Org. with Contract ID],0)))</f>
        <v>P-002360</v>
      </c>
      <c r="W604" s="1308">
        <v>45174</v>
      </c>
      <c r="X604" s="1315" t="str">
        <f ca="1">IF(CostTrack[[#This Row],[Release Date (CMS)]]="","*","")</f>
        <v/>
      </c>
      <c r="Y604" s="1308" t="s">
        <v>58</v>
      </c>
      <c r="Z604" s="984" t="s">
        <v>1282</v>
      </c>
      <c r="AA604" s="1316">
        <f ca="1">IF(OR(CostTrack[[#This Row],[Release Date (CMS)]]&gt;=DATE(VALUE(REPLACE(CostTrack[[#This Row],[Fiscal Period]],3,3,"")),3,1),CostTrack[[#This Row],[Release Date (CMS)]]&lt;DATE(VALUE(LEFT(CostTrack[[#This Row],[Fiscal Period]],4)),4,1)),1,0)</f>
        <v>0</v>
      </c>
      <c r="AB604" s="1317">
        <v>13333.91</v>
      </c>
      <c r="AC604" s="1308">
        <v>45204</v>
      </c>
      <c r="AD604" s="402" t="str">
        <f ca="1">IF(CostTrack[[#This Row],[Reconciled Amount]]="","",IF(CostTrack[[#This Row],[Value]]&lt;&gt;CostTrack[[#This Row],[Reconciled Amount]],"Yes","No"))</f>
        <v>No</v>
      </c>
      <c r="AE604" s="658"/>
    </row>
    <row r="605" spans="2:31" ht="26.25" customHeight="1">
      <c r="B605" s="706" t="s">
        <v>711</v>
      </c>
      <c r="C605" s="691">
        <v>4603180</v>
      </c>
      <c r="D605" s="267">
        <v>45169</v>
      </c>
      <c r="E605" s="654">
        <v>202.28</v>
      </c>
      <c r="F605" s="647" t="s">
        <v>69</v>
      </c>
      <c r="G605" s="406">
        <f ca="1">ROUND(IF(CostTrack[[#This Row],[Holdback (Y/N/R)]]="Yes",CostTrack[[#This Row],[Value]]*-0.1,IF(CostTrack[[#This Row],[Holdback (Y/N/R)]]="Release",CostTrack[[#This Row],[Value]],0)),2)</f>
        <v>0</v>
      </c>
      <c r="H605" s="407">
        <f ca="1">IF(CostTrack[[#This Row],[Holdback (Y/N/R)]]="Release",CostTrack[[#This Row],[Value]],CostTrack[[#This Row],[Value]]+CostTrack[[#This Row],[Holdback Value]])</f>
        <v>202.28</v>
      </c>
      <c r="I605" s="650"/>
      <c r="J605" s="650"/>
      <c r="K605" s="648"/>
      <c r="L605" s="707">
        <v>45181</v>
      </c>
      <c r="M605" s="708">
        <v>45181</v>
      </c>
      <c r="N605" s="709"/>
      <c r="O605" s="712" t="s">
        <v>106</v>
      </c>
      <c r="P605" s="267">
        <v>45181</v>
      </c>
      <c r="Q605" s="243" t="str">
        <f ca="1">IF(CostTrack[[#This Row],[Vendor - Contract]]="","",INDEX(VendorList[PA ID],MATCH(CostTrack[[#This Row],[Vendor - Contract]],VendorList[Vendor / Org. with Contract ID],0)))</f>
        <v>300.040.F1</v>
      </c>
      <c r="R605" s="243" t="str">
        <f ca="1">IF(CostTrack[[#This Row],[Vendor - Contract]]="","",INDEX(VendorList[Primary Category],MATCH(CostTrack[[#This Row],[Vendor - Contract]],VendorList[Vendor / Org. with Contract ID],0)))</f>
        <v>Construction</v>
      </c>
      <c r="S605" s="243" t="str">
        <f ca="1">IF(CostTrack[[#This Row],[Vendor - Contract]]="","",INDEX(VendorList[Secondary Category],MATCH(CostTrack[[#This Row],[Vendor - Contract]],VendorList[Vendor / Org. with Contract ID],0)))</f>
        <v>Other Contractor</v>
      </c>
      <c r="T605" s="243" t="str">
        <f ca="1">IF(CostTrack[[#This Row],[Vendor - Contract]]="","",INDEX(VendorList[Phase / Subproject],MATCH(CostTrack[[#This Row],[Vendor - Contract]],VendorList[Vendor / Org. with Contract ID],0)))</f>
        <v>--</v>
      </c>
      <c r="U605" s="243" t="str">
        <f ca="1">IF(CostTrack[[#This Row],[Vendor - Contract]]="","",INDEX(VendorList[Phase / Subproject 2],MATCH(CostTrack[[#This Row],[Vendor - Contract]],VendorList[Vendor / Org. with Contract ID],0)))</f>
        <v>--</v>
      </c>
      <c r="V605" s="243" t="str">
        <f ca="1">IF(CostTrack[[#This Row],[Vendor - Contract]]="","",INDEX(VendorList[Funding Source],MATCH(CostTrack[[#This Row],[Vendor - Contract]],VendorList[Vendor / Org. with Contract ID],0)))</f>
        <v>P-002360</v>
      </c>
      <c r="W605" s="267">
        <v>45182</v>
      </c>
      <c r="X605" s="251" t="str">
        <f ca="1">IF(CostTrack[[#This Row],[Release Date (CMS)]]="","*","")</f>
        <v/>
      </c>
      <c r="Y605" s="267" t="s">
        <v>58</v>
      </c>
      <c r="Z605" s="713"/>
      <c r="AA605" s="245">
        <f ca="1">IF(OR(CostTrack[[#This Row],[Release Date (CMS)]]&gt;=DATE(VALUE(REPLACE(CostTrack[[#This Row],[Fiscal Period]],3,3,"")),3,1),CostTrack[[#This Row],[Release Date (CMS)]]&lt;DATE(VALUE(LEFT(CostTrack[[#This Row],[Fiscal Period]],4)),4,1)),1,0)</f>
        <v>0</v>
      </c>
      <c r="AB605" s="655">
        <v>202.28</v>
      </c>
      <c r="AC605" s="267">
        <v>45204</v>
      </c>
      <c r="AD605" s="402" t="str">
        <f ca="1">IF(CostTrack[[#This Row],[Reconciled Amount]]="","",IF(CostTrack[[#This Row],[Value]]&lt;&gt;CostTrack[[#This Row],[Reconciled Amount]],"Yes","No"))</f>
        <v>No</v>
      </c>
      <c r="AE605" s="654"/>
    </row>
    <row r="606" spans="2:31" ht="26.25" customHeight="1">
      <c r="B606" s="706" t="s">
        <v>698</v>
      </c>
      <c r="C606" s="691">
        <v>14241</v>
      </c>
      <c r="D606" s="267">
        <v>45169</v>
      </c>
      <c r="E606" s="654">
        <v>980</v>
      </c>
      <c r="F606" s="647" t="s">
        <v>69</v>
      </c>
      <c r="G606" s="406">
        <f ca="1">ROUND(IF(CostTrack[[#This Row],[Holdback (Y/N/R)]]="Yes",CostTrack[[#This Row],[Value]]*-0.1,IF(CostTrack[[#This Row],[Holdback (Y/N/R)]]="Release",CostTrack[[#This Row],[Value]],0)),2)</f>
        <v>0</v>
      </c>
      <c r="H606" s="407">
        <f ca="1">IF(CostTrack[[#This Row],[Holdback (Y/N/R)]]="Release",CostTrack[[#This Row],[Value]],CostTrack[[#This Row],[Value]]+CostTrack[[#This Row],[Holdback Value]])</f>
        <v>980</v>
      </c>
      <c r="I606" s="650"/>
      <c r="J606" s="650"/>
      <c r="K606" s="648"/>
      <c r="L606" s="707">
        <v>45175</v>
      </c>
      <c r="M606" s="708">
        <v>45175</v>
      </c>
      <c r="N606" s="709"/>
      <c r="O606" s="712" t="s">
        <v>106</v>
      </c>
      <c r="P606" s="267">
        <v>45175</v>
      </c>
      <c r="Q606" s="243" t="str">
        <f ca="1">IF(CostTrack[[#This Row],[Vendor - Contract]]="","",INDEX(VendorList[PA ID],MATCH(CostTrack[[#This Row],[Vendor - Contract]],VendorList[Vendor / Org. with Contract ID],0)))</f>
        <v>400.030.F1</v>
      </c>
      <c r="R606" s="243" t="str">
        <f ca="1">IF(CostTrack[[#This Row],[Vendor - Contract]]="","",INDEX(VendorList[Primary Category],MATCH(CostTrack[[#This Row],[Vendor - Contract]],VendorList[Vendor / Org. with Contract ID],0)))</f>
        <v>FE_IT</v>
      </c>
      <c r="S606" s="243" t="str">
        <f ca="1">IF(CostTrack[[#This Row],[Vendor - Contract]]="","",INDEX(VendorList[Secondary Category],MATCH(CostTrack[[#This Row],[Vendor - Contract]],VendorList[Vendor / Org. with Contract ID],0)))</f>
        <v>Movers</v>
      </c>
      <c r="T606" s="243" t="str">
        <f ca="1">IF(CostTrack[[#This Row],[Vendor - Contract]]="","",INDEX(VendorList[Phase / Subproject],MATCH(CostTrack[[#This Row],[Vendor - Contract]],VendorList[Vendor / Org. with Contract ID],0)))</f>
        <v>--</v>
      </c>
      <c r="U606" s="243" t="str">
        <f ca="1">IF(CostTrack[[#This Row],[Vendor - Contract]]="","",INDEX(VendorList[Phase / Subproject 2],MATCH(CostTrack[[#This Row],[Vendor - Contract]],VendorList[Vendor / Org. with Contract ID],0)))</f>
        <v>--</v>
      </c>
      <c r="V606" s="243" t="str">
        <f ca="1">IF(CostTrack[[#This Row],[Vendor - Contract]]="","",INDEX(VendorList[Funding Source],MATCH(CostTrack[[#This Row],[Vendor - Contract]],VendorList[Vendor / Org. with Contract ID],0)))</f>
        <v>P-002360</v>
      </c>
      <c r="W606" s="267">
        <v>45175</v>
      </c>
      <c r="X606" s="251" t="str">
        <f ca="1">IF(CostTrack[[#This Row],[Release Date (CMS)]]="","*","")</f>
        <v/>
      </c>
      <c r="Y606" s="267" t="s">
        <v>58</v>
      </c>
      <c r="Z606" s="713"/>
      <c r="AA606" s="245">
        <f ca="1">IF(OR(CostTrack[[#This Row],[Release Date (CMS)]]&gt;=DATE(VALUE(REPLACE(CostTrack[[#This Row],[Fiscal Period]],3,3,"")),3,1),CostTrack[[#This Row],[Release Date (CMS)]]&lt;DATE(VALUE(LEFT(CostTrack[[#This Row],[Fiscal Period]],4)),4,1)),1,0)</f>
        <v>0</v>
      </c>
      <c r="AB606" s="655">
        <v>980</v>
      </c>
      <c r="AC606" s="267">
        <v>45204</v>
      </c>
      <c r="AD606" s="402" t="str">
        <f ca="1">IF(CostTrack[[#This Row],[Reconciled Amount]]="","",IF(CostTrack[[#This Row],[Value]]&lt;&gt;CostTrack[[#This Row],[Reconciled Amount]],"Yes","No"))</f>
        <v>No</v>
      </c>
      <c r="AE606" s="654"/>
    </row>
    <row r="607" spans="2:31" ht="25.15" customHeight="1">
      <c r="B607" s="1324" t="s">
        <v>527</v>
      </c>
      <c r="C607" s="1334" t="s">
        <v>1283</v>
      </c>
      <c r="D607" s="1308">
        <v>45169</v>
      </c>
      <c r="E607" s="658">
        <v>26181.87</v>
      </c>
      <c r="F607" s="1309" t="s">
        <v>69</v>
      </c>
      <c r="G607" s="1310">
        <f ca="1">ROUND(IF(CostTrack[[#This Row],[Holdback (Y/N/R)]]="Yes",CostTrack[[#This Row],[Value]]*-0.1,IF(CostTrack[[#This Row],[Holdback (Y/N/R)]]="Release",CostTrack[[#This Row],[Value]],0)),2)</f>
        <v>0</v>
      </c>
      <c r="H607" s="1311">
        <f ca="1">IF(CostTrack[[#This Row],[Holdback (Y/N/R)]]="Release",CostTrack[[#This Row],[Value]],CostTrack[[#This Row],[Value]]+CostTrack[[#This Row],[Holdback Value]])</f>
        <v>26181.87</v>
      </c>
      <c r="I607" s="1312"/>
      <c r="J607" s="1312"/>
      <c r="K607" s="1313"/>
      <c r="L607" s="1325">
        <v>45180</v>
      </c>
      <c r="M607" s="1326">
        <v>45183</v>
      </c>
      <c r="N607" s="1327"/>
      <c r="O607" s="1328" t="s">
        <v>106</v>
      </c>
      <c r="P607" s="1308">
        <v>45183</v>
      </c>
      <c r="Q607" s="1314" t="str">
        <f ca="1">IF(CostTrack[[#This Row],[Vendor - Contract]]="","",INDEX(VendorList[PA ID],MATCH(CostTrack[[#This Row],[Vendor - Contract]],VendorList[Vendor / Org. with Contract ID],0)))</f>
        <v>200.010.F1</v>
      </c>
      <c r="R607" s="1314" t="str">
        <f ca="1">IF(CostTrack[[#This Row],[Vendor - Contract]]="","",INDEX(VendorList[Primary Category],MATCH(CostTrack[[#This Row],[Vendor - Contract]],VendorList[Vendor / Org. with Contract ID],0)))</f>
        <v>Professional Services</v>
      </c>
      <c r="S607" s="1314" t="str">
        <f ca="1">IF(CostTrack[[#This Row],[Vendor - Contract]]="","",INDEX(VendorList[Secondary Category],MATCH(CostTrack[[#This Row],[Vendor - Contract]],VendorList[Vendor / Org. with Contract ID],0)))</f>
        <v>Prime Consultant</v>
      </c>
      <c r="T607" s="1314" t="str">
        <f ca="1">IF(CostTrack[[#This Row],[Vendor - Contract]]="","",INDEX(VendorList[Phase / Subproject],MATCH(CostTrack[[#This Row],[Vendor - Contract]],VendorList[Vendor / Org. with Contract ID],0)))</f>
        <v>--</v>
      </c>
      <c r="U607" s="1314" t="str">
        <f ca="1">IF(CostTrack[[#This Row],[Vendor - Contract]]="","",INDEX(VendorList[Phase / Subproject 2],MATCH(CostTrack[[#This Row],[Vendor - Contract]],VendorList[Vendor / Org. with Contract ID],0)))</f>
        <v>--</v>
      </c>
      <c r="V607" s="1314" t="str">
        <f ca="1">IF(CostTrack[[#This Row],[Vendor - Contract]]="","",INDEX(VendorList[Funding Source],MATCH(CostTrack[[#This Row],[Vendor - Contract]],VendorList[Vendor / Org. with Contract ID],0)))</f>
        <v>P-002360</v>
      </c>
      <c r="W607" s="1308">
        <v>45183</v>
      </c>
      <c r="X607" s="1315" t="str">
        <f ca="1">IF(CostTrack[[#This Row],[Release Date (CMS)]]="","*","")</f>
        <v/>
      </c>
      <c r="Y607" s="1308" t="s">
        <v>58</v>
      </c>
      <c r="Z607" s="713"/>
      <c r="AA607" s="1316">
        <f ca="1">IF(OR(CostTrack[[#This Row],[Release Date (CMS)]]&gt;=DATE(VALUE(REPLACE(CostTrack[[#This Row],[Fiscal Period]],3,3,"")),3,1),CostTrack[[#This Row],[Release Date (CMS)]]&lt;DATE(VALUE(LEFT(CostTrack[[#This Row],[Fiscal Period]],4)),4,1)),1,0)</f>
        <v>0</v>
      </c>
      <c r="AB607" s="1317">
        <v>26181.87</v>
      </c>
      <c r="AC607" s="1308">
        <v>45204</v>
      </c>
      <c r="AD607" s="402" t="str">
        <f ca="1">IF(CostTrack[[#This Row],[Reconciled Amount]]="","",IF(CostTrack[[#This Row],[Value]]&lt;&gt;CostTrack[[#This Row],[Reconciled Amount]],"Yes","No"))</f>
        <v>No</v>
      </c>
      <c r="AE607" s="658"/>
    </row>
    <row r="608" spans="2:31" ht="26.25" customHeight="1">
      <c r="B608" s="1324" t="s">
        <v>528</v>
      </c>
      <c r="C608" s="1334">
        <v>60828122</v>
      </c>
      <c r="D608" s="1308">
        <v>45176</v>
      </c>
      <c r="E608" s="658">
        <v>1750</v>
      </c>
      <c r="F608" s="1309" t="s">
        <v>69</v>
      </c>
      <c r="G608" s="1310">
        <f ca="1">ROUND(IF(CostTrack[[#This Row],[Holdback (Y/N/R)]]="Yes",CostTrack[[#This Row],[Value]]*-0.1,IF(CostTrack[[#This Row],[Holdback (Y/N/R)]]="Release",CostTrack[[#This Row],[Value]],0)),2)</f>
        <v>0</v>
      </c>
      <c r="H608" s="1311">
        <f ca="1">IF(CostTrack[[#This Row],[Holdback (Y/N/R)]]="Release",CostTrack[[#This Row],[Value]],CostTrack[[#This Row],[Value]]+CostTrack[[#This Row],[Holdback Value]])</f>
        <v>1750</v>
      </c>
      <c r="I608" s="1312"/>
      <c r="J608" s="1312"/>
      <c r="K608" s="1313"/>
      <c r="L608" s="1325">
        <v>45183</v>
      </c>
      <c r="M608" s="1326">
        <v>45183</v>
      </c>
      <c r="N608" s="1327"/>
      <c r="O608" s="1328" t="s">
        <v>106</v>
      </c>
      <c r="P608" s="1308">
        <v>45183</v>
      </c>
      <c r="Q608" s="1314" t="str">
        <f ca="1">IF(CostTrack[[#This Row],[Vendor - Contract]]="","",INDEX(VendorList[PA ID],MATCH(CostTrack[[#This Row],[Vendor - Contract]],VendorList[Vendor / Org. with Contract ID],0)))</f>
        <v>200.050.F1</v>
      </c>
      <c r="R608" s="1314" t="str">
        <f ca="1">IF(CostTrack[[#This Row],[Vendor - Contract]]="","",INDEX(VendorList[Primary Category],MATCH(CostTrack[[#This Row],[Vendor - Contract]],VendorList[Vendor / Org. with Contract ID],0)))</f>
        <v>Professional Services</v>
      </c>
      <c r="S608" s="1314" t="str">
        <f ca="1">IF(CostTrack[[#This Row],[Vendor - Contract]]="","",INDEX(VendorList[Secondary Category],MATCH(CostTrack[[#This Row],[Vendor - Contract]],VendorList[Vendor / Org. with Contract ID],0)))</f>
        <v>Other Professional Services</v>
      </c>
      <c r="T608" s="1314" t="str">
        <f ca="1">IF(CostTrack[[#This Row],[Vendor - Contract]]="","",INDEX(VendorList[Phase / Subproject],MATCH(CostTrack[[#This Row],[Vendor - Contract]],VendorList[Vendor / Org. with Contract ID],0)))</f>
        <v>--</v>
      </c>
      <c r="U608" s="1314" t="str">
        <f ca="1">IF(CostTrack[[#This Row],[Vendor - Contract]]="","",INDEX(VendorList[Phase / Subproject 2],MATCH(CostTrack[[#This Row],[Vendor - Contract]],VendorList[Vendor / Org. with Contract ID],0)))</f>
        <v>--</v>
      </c>
      <c r="V608" s="1314" t="str">
        <f ca="1">IF(CostTrack[[#This Row],[Vendor - Contract]]="","",INDEX(VendorList[Funding Source],MATCH(CostTrack[[#This Row],[Vendor - Contract]],VendorList[Vendor / Org. with Contract ID],0)))</f>
        <v>P-002360</v>
      </c>
      <c r="W608" s="1308">
        <v>45183</v>
      </c>
      <c r="X608" s="1315" t="str">
        <f ca="1">IF(CostTrack[[#This Row],[Release Date (CMS)]]="","*","")</f>
        <v/>
      </c>
      <c r="Y608" s="1308" t="s">
        <v>58</v>
      </c>
      <c r="Z608" s="713"/>
      <c r="AA608" s="1316">
        <f ca="1">IF(OR(CostTrack[[#This Row],[Release Date (CMS)]]&gt;=DATE(VALUE(REPLACE(CostTrack[[#This Row],[Fiscal Period]],3,3,"")),3,1),CostTrack[[#This Row],[Release Date (CMS)]]&lt;DATE(VALUE(LEFT(CostTrack[[#This Row],[Fiscal Period]],4)),4,1)),1,0)</f>
        <v>0</v>
      </c>
      <c r="AB608" s="1317">
        <v>1750</v>
      </c>
      <c r="AC608" s="1308">
        <v>45204</v>
      </c>
      <c r="AD608" s="402" t="str">
        <f ca="1">IF(CostTrack[[#This Row],[Reconciled Amount]]="","",IF(CostTrack[[#This Row],[Value]]&lt;&gt;CostTrack[[#This Row],[Reconciled Amount]],"Yes","No"))</f>
        <v>No</v>
      </c>
      <c r="AE608" s="658"/>
    </row>
    <row r="609" spans="2:31" ht="26.25" customHeight="1">
      <c r="B609" s="1324" t="s">
        <v>710</v>
      </c>
      <c r="C609" s="1349">
        <v>101103825659</v>
      </c>
      <c r="D609" s="1308">
        <v>45188</v>
      </c>
      <c r="E609" s="658">
        <v>47.77</v>
      </c>
      <c r="F609" s="1309" t="s">
        <v>69</v>
      </c>
      <c r="G609" s="1310">
        <f ca="1">ROUND(IF(CostTrack[[#This Row],[Holdback (Y/N/R)]]="Yes",CostTrack[[#This Row],[Value]]*-0.1,IF(CostTrack[[#This Row],[Holdback (Y/N/R)]]="Release",CostTrack[[#This Row],[Value]],0)),2)</f>
        <v>0</v>
      </c>
      <c r="H609" s="1311">
        <f ca="1">IF(CostTrack[[#This Row],[Holdback (Y/N/R)]]="Release",CostTrack[[#This Row],[Value]],CostTrack[[#This Row],[Value]]+CostTrack[[#This Row],[Holdback Value]])</f>
        <v>47.77</v>
      </c>
      <c r="I609" s="1312"/>
      <c r="J609" s="1312"/>
      <c r="K609" s="1313"/>
      <c r="L609" s="1325">
        <v>45190</v>
      </c>
      <c r="M609" s="1326">
        <v>45190</v>
      </c>
      <c r="N609" s="1327"/>
      <c r="O609" s="1328" t="s">
        <v>106</v>
      </c>
      <c r="P609" s="1308">
        <v>45190</v>
      </c>
      <c r="Q609" s="1314" t="str">
        <f ca="1">IF(CostTrack[[#This Row],[Vendor - Contract]]="","",INDEX(VendorList[PA ID],MATCH(CostTrack[[#This Row],[Vendor - Contract]],VendorList[Vendor / Org. with Contract ID],0)))</f>
        <v>300.040.F1</v>
      </c>
      <c r="R609" s="1314" t="str">
        <f ca="1">IF(CostTrack[[#This Row],[Vendor - Contract]]="","",INDEX(VendorList[Primary Category],MATCH(CostTrack[[#This Row],[Vendor - Contract]],VendorList[Vendor / Org. with Contract ID],0)))</f>
        <v>Construction</v>
      </c>
      <c r="S609" s="1314" t="str">
        <f ca="1">IF(CostTrack[[#This Row],[Vendor - Contract]]="","",INDEX(VendorList[Secondary Category],MATCH(CostTrack[[#This Row],[Vendor - Contract]],VendorList[Vendor / Org. with Contract ID],0)))</f>
        <v>Other Contractor</v>
      </c>
      <c r="T609" s="1314" t="str">
        <f ca="1">IF(CostTrack[[#This Row],[Vendor - Contract]]="","",INDEX(VendorList[Phase / Subproject],MATCH(CostTrack[[#This Row],[Vendor - Contract]],VendorList[Vendor / Org. with Contract ID],0)))</f>
        <v>--</v>
      </c>
      <c r="U609" s="1314" t="str">
        <f ca="1">IF(CostTrack[[#This Row],[Vendor - Contract]]="","",INDEX(VendorList[Phase / Subproject 2],MATCH(CostTrack[[#This Row],[Vendor - Contract]],VendorList[Vendor / Org. with Contract ID],0)))</f>
        <v>--</v>
      </c>
      <c r="V609" s="1314" t="str">
        <f ca="1">IF(CostTrack[[#This Row],[Vendor - Contract]]="","",INDEX(VendorList[Funding Source],MATCH(CostTrack[[#This Row],[Vendor - Contract]],VendorList[Vendor / Org. with Contract ID],0)))</f>
        <v>P-002360</v>
      </c>
      <c r="W609" s="1308">
        <v>45190</v>
      </c>
      <c r="X609" s="1315" t="str">
        <f ca="1">IF(CostTrack[[#This Row],[Release Date (CMS)]]="","*","")</f>
        <v/>
      </c>
      <c r="Y609" s="1308" t="s">
        <v>58</v>
      </c>
      <c r="Z609" s="713"/>
      <c r="AA609" s="1316">
        <f ca="1">IF(OR(CostTrack[[#This Row],[Release Date (CMS)]]&gt;=DATE(VALUE(REPLACE(CostTrack[[#This Row],[Fiscal Period]],3,3,"")),3,1),CostTrack[[#This Row],[Release Date (CMS)]]&lt;DATE(VALUE(LEFT(CostTrack[[#This Row],[Fiscal Period]],4)),4,1)),1,0)</f>
        <v>0</v>
      </c>
      <c r="AB609" s="1317">
        <v>47.77</v>
      </c>
      <c r="AC609" s="1308">
        <v>45204</v>
      </c>
      <c r="AD609" s="402" t="str">
        <f ca="1">IF(CostTrack[[#This Row],[Reconciled Amount]]="","",IF(CostTrack[[#This Row],[Value]]&lt;&gt;CostTrack[[#This Row],[Reconciled Amount]],"Yes","No"))</f>
        <v>No</v>
      </c>
      <c r="AE609" s="658"/>
    </row>
    <row r="610" spans="2:31" ht="26.25" customHeight="1">
      <c r="B610" s="1324" t="s">
        <v>736</v>
      </c>
      <c r="C610" s="691" t="s">
        <v>1284</v>
      </c>
      <c r="D610" s="1308">
        <v>45199</v>
      </c>
      <c r="E610" s="658">
        <v>30323.759999999998</v>
      </c>
      <c r="F610" s="1309" t="s">
        <v>69</v>
      </c>
      <c r="G610" s="1310">
        <f ca="1">ROUND(IF(CostTrack[[#This Row],[Holdback (Y/N/R)]]="Yes",CostTrack[[#This Row],[Value]]*-0.1,IF(CostTrack[[#This Row],[Holdback (Y/N/R)]]="Release",CostTrack[[#This Row],[Value]],0)),2)</f>
        <v>0</v>
      </c>
      <c r="H610" s="1311">
        <f ca="1">IF(CostTrack[[#This Row],[Holdback (Y/N/R)]]="Release",CostTrack[[#This Row],[Value]],CostTrack[[#This Row],[Value]]+CostTrack[[#This Row],[Holdback Value]])</f>
        <v>30323.759999999998</v>
      </c>
      <c r="I610" s="1312"/>
      <c r="J610" s="1312"/>
      <c r="K610" s="1313"/>
      <c r="L610" s="1325">
        <v>45199</v>
      </c>
      <c r="M610" s="1326">
        <v>45199</v>
      </c>
      <c r="N610" s="1327"/>
      <c r="O610" s="1328" t="s">
        <v>106</v>
      </c>
      <c r="P610" s="1308">
        <v>45199</v>
      </c>
      <c r="Q610" s="1314" t="str">
        <f ca="1">IF(CostTrack[[#This Row],[Vendor - Contract]]="","",INDEX(VendorList[PA ID],MATCH(CostTrack[[#This Row],[Vendor - Contract]],VendorList[Vendor / Org. with Contract ID],0)))</f>
        <v>100.010.F1</v>
      </c>
      <c r="R610" s="1314" t="str">
        <f ca="1">IF(CostTrack[[#This Row],[Vendor - Contract]]="","",INDEX(VendorList[Primary Category],MATCH(CostTrack[[#This Row],[Vendor - Contract]],VendorList[Vendor / Org. with Contract ID],0)))</f>
        <v>Administration</v>
      </c>
      <c r="S610" s="1314" t="str">
        <f ca="1">IF(CostTrack[[#This Row],[Vendor - Contract]]="","",INDEX(VendorList[Secondary Category],MATCH(CostTrack[[#This Row],[Vendor - Contract]],VendorList[Vendor / Org. with Contract ID],0)))</f>
        <v>Staff Capitalization - INFRA</v>
      </c>
      <c r="T610" s="1314" t="str">
        <f ca="1">IF(CostTrack[[#This Row],[Vendor - Contract]]="","",INDEX(VendorList[Phase / Subproject],MATCH(CostTrack[[#This Row],[Vendor - Contract]],VendorList[Vendor / Org. with Contract ID],0)))</f>
        <v>--</v>
      </c>
      <c r="U610" s="1314" t="str">
        <f ca="1">IF(CostTrack[[#This Row],[Vendor - Contract]]="","",INDEX(VendorList[Phase / Subproject 2],MATCH(CostTrack[[#This Row],[Vendor - Contract]],VendorList[Vendor / Org. with Contract ID],0)))</f>
        <v>--</v>
      </c>
      <c r="V610" s="1314" t="str">
        <f ca="1">IF(CostTrack[[#This Row],[Vendor - Contract]]="","",INDEX(VendorList[Funding Source],MATCH(CostTrack[[#This Row],[Vendor - Contract]],VendorList[Vendor / Org. with Contract ID],0)))</f>
        <v>P-002360</v>
      </c>
      <c r="W610" s="1308">
        <v>45199</v>
      </c>
      <c r="X610" s="1315" t="str">
        <f ca="1">IF(CostTrack[[#This Row],[Release Date (CMS)]]="","*","")</f>
        <v/>
      </c>
      <c r="Y610" s="1308" t="s">
        <v>58</v>
      </c>
      <c r="Z610" s="713"/>
      <c r="AA610" s="1316">
        <f ca="1">IF(OR(CostTrack[[#This Row],[Release Date (CMS)]]&gt;=DATE(VALUE(REPLACE(CostTrack[[#This Row],[Fiscal Period]],3,3,"")),3,1),CostTrack[[#This Row],[Release Date (CMS)]]&lt;DATE(VALUE(LEFT(CostTrack[[#This Row],[Fiscal Period]],4)),4,1)),1,0)</f>
        <v>0</v>
      </c>
      <c r="AB610" s="1317">
        <v>30323.759999999998</v>
      </c>
      <c r="AC610" s="1308">
        <v>45204</v>
      </c>
      <c r="AD610" s="402" t="str">
        <f ca="1">IF(CostTrack[[#This Row],[Reconciled Amount]]="","",IF(CostTrack[[#This Row],[Value]]&lt;&gt;CostTrack[[#This Row],[Reconciled Amount]],"Yes","No"))</f>
        <v>No</v>
      </c>
      <c r="AE610" s="658"/>
    </row>
    <row r="611" spans="2:31" ht="26.25" customHeight="1">
      <c r="B611" s="706" t="s">
        <v>693</v>
      </c>
      <c r="C611" s="691">
        <v>800048415</v>
      </c>
      <c r="D611" s="267">
        <v>45174</v>
      </c>
      <c r="E611" s="654">
        <v>39.619999999999997</v>
      </c>
      <c r="F611" s="647" t="s">
        <v>69</v>
      </c>
      <c r="G611" s="406">
        <f ca="1">ROUND(IF(CostTrack[[#This Row],[Holdback (Y/N/R)]]="Yes",CostTrack[[#This Row],[Value]]*-0.1,IF(CostTrack[[#This Row],[Holdback (Y/N/R)]]="Release",CostTrack[[#This Row],[Value]],0)),2)</f>
        <v>0</v>
      </c>
      <c r="H611" s="407">
        <f ca="1">IF(CostTrack[[#This Row],[Holdback (Y/N/R)]]="Release",CostTrack[[#This Row],[Value]],CostTrack[[#This Row],[Value]]+CostTrack[[#This Row],[Holdback Value]])</f>
        <v>39.619999999999997</v>
      </c>
      <c r="I611" s="650"/>
      <c r="J611" s="650"/>
      <c r="K611" s="648"/>
      <c r="L611" s="707">
        <v>45174</v>
      </c>
      <c r="M611" s="708">
        <v>45174</v>
      </c>
      <c r="N611" s="709"/>
      <c r="O611" s="712" t="s">
        <v>106</v>
      </c>
      <c r="P611" s="267">
        <v>45174</v>
      </c>
      <c r="Q611" s="243" t="str">
        <f ca="1">IF(CostTrack[[#This Row],[Vendor - Contract]]="","",INDEX(VendorList[PA ID],MATCH(CostTrack[[#This Row],[Vendor - Contract]],VendorList[Vendor / Org. with Contract ID],0)))</f>
        <v>100.050.F1</v>
      </c>
      <c r="R611" s="243" t="str">
        <f ca="1">IF(CostTrack[[#This Row],[Vendor - Contract]]="","",INDEX(VendorList[Primary Category],MATCH(CostTrack[[#This Row],[Vendor - Contract]],VendorList[Vendor / Org. with Contract ID],0)))</f>
        <v>Administration</v>
      </c>
      <c r="S611" s="243" t="str">
        <f ca="1">IF(CostTrack[[#This Row],[Vendor - Contract]]="","",INDEX(VendorList[Secondary Category],MATCH(CostTrack[[#This Row],[Vendor - Contract]],VendorList[Vendor / Org. with Contract ID],0)))</f>
        <v>Other Administration</v>
      </c>
      <c r="T611" s="243" t="str">
        <f ca="1">IF(CostTrack[[#This Row],[Vendor - Contract]]="","",INDEX(VendorList[Phase / Subproject],MATCH(CostTrack[[#This Row],[Vendor - Contract]],VendorList[Vendor / Org. with Contract ID],0)))</f>
        <v>--</v>
      </c>
      <c r="U611" s="243" t="str">
        <f ca="1">IF(CostTrack[[#This Row],[Vendor - Contract]]="","",INDEX(VendorList[Phase / Subproject 2],MATCH(CostTrack[[#This Row],[Vendor - Contract]],VendorList[Vendor / Org. with Contract ID],0)))</f>
        <v>--</v>
      </c>
      <c r="V611" s="243" t="str">
        <f ca="1">IF(CostTrack[[#This Row],[Vendor - Contract]]="","",INDEX(VendorList[Funding Source],MATCH(CostTrack[[#This Row],[Vendor - Contract]],VendorList[Vendor / Org. with Contract ID],0)))</f>
        <v>P-002360</v>
      </c>
      <c r="W611" s="267">
        <v>45174</v>
      </c>
      <c r="X611" s="251" t="str">
        <f ca="1">IF(CostTrack[[#This Row],[Release Date (CMS)]]="","*","")</f>
        <v/>
      </c>
      <c r="Y611" s="267" t="s">
        <v>58</v>
      </c>
      <c r="Z611" s="652"/>
      <c r="AA611" s="245">
        <f ca="1">IF(OR(CostTrack[[#This Row],[Release Date (CMS)]]&gt;=DATE(VALUE(REPLACE(CostTrack[[#This Row],[Fiscal Period]],3,3,"")),3,1),CostTrack[[#This Row],[Release Date (CMS)]]&lt;DATE(VALUE(LEFT(CostTrack[[#This Row],[Fiscal Period]],4)),4,1)),1,0)</f>
        <v>0</v>
      </c>
      <c r="AB611" s="655">
        <v>39.619999999999997</v>
      </c>
      <c r="AC611" s="267">
        <v>45204</v>
      </c>
      <c r="AD611" s="402" t="str">
        <f ca="1">IF(CostTrack[[#This Row],[Reconciled Amount]]="","",IF(CostTrack[[#This Row],[Value]]&lt;&gt;CostTrack[[#This Row],[Reconciled Amount]],"Yes","No"))</f>
        <v>No</v>
      </c>
      <c r="AE611" s="654"/>
    </row>
    <row r="612" spans="2:31" ht="26.25" customHeight="1">
      <c r="B612" s="706" t="s">
        <v>529</v>
      </c>
      <c r="C612" s="691">
        <v>29166</v>
      </c>
      <c r="D612" s="267">
        <v>45163</v>
      </c>
      <c r="E612" s="654">
        <v>3866623.04</v>
      </c>
      <c r="F612" s="647" t="s">
        <v>65</v>
      </c>
      <c r="G612" s="406">
        <f ca="1">ROUND(IF(CostTrack[[#This Row],[Holdback (Y/N/R)]]="Yes",CostTrack[[#This Row],[Value]]*-0.1,IF(CostTrack[[#This Row],[Holdback (Y/N/R)]]="Release",CostTrack[[#This Row],[Value]],0)),2)</f>
        <v>-386662.3</v>
      </c>
      <c r="H612" s="407">
        <f ca="1">IF(CostTrack[[#This Row],[Holdback (Y/N/R)]]="Release",CostTrack[[#This Row],[Value]],CostTrack[[#This Row],[Value]]+CostTrack[[#This Row],[Holdback Value]])</f>
        <v>3479960.74</v>
      </c>
      <c r="I612" s="650" t="s">
        <v>1285</v>
      </c>
      <c r="J612" s="650"/>
      <c r="K612" s="648"/>
      <c r="L612" s="707">
        <v>45195</v>
      </c>
      <c r="M612" s="708">
        <v>45195</v>
      </c>
      <c r="N612" s="709"/>
      <c r="O612" s="712" t="s">
        <v>106</v>
      </c>
      <c r="P612" s="267">
        <v>45197</v>
      </c>
      <c r="Q612" s="243" t="str">
        <f ca="1">IF(CostTrack[[#This Row],[Vendor - Contract]]="","",INDEX(VendorList[PA ID],MATCH(CostTrack[[#This Row],[Vendor - Contract]],VendorList[Vendor / Org. with Contract ID],0)))</f>
        <v>300.030.F1</v>
      </c>
      <c r="R612" s="243" t="str">
        <f ca="1">IF(CostTrack[[#This Row],[Vendor - Contract]]="","",INDEX(VendorList[Primary Category],MATCH(CostTrack[[#This Row],[Vendor - Contract]],VendorList[Vendor / Org. with Contract ID],0)))</f>
        <v>Construction</v>
      </c>
      <c r="S612" s="243" t="str">
        <f ca="1">IF(CostTrack[[#This Row],[Vendor - Contract]]="","",INDEX(VendorList[Secondary Category],MATCH(CostTrack[[#This Row],[Vendor - Contract]],VendorList[Vendor / Org. with Contract ID],0)))</f>
        <v>Prime Contractor</v>
      </c>
      <c r="T612" s="243" t="str">
        <f ca="1">IF(CostTrack[[#This Row],[Vendor - Contract]]="","",INDEX(VendorList[Phase / Subproject],MATCH(CostTrack[[#This Row],[Vendor - Contract]],VendorList[Vendor / Org. with Contract ID],0)))</f>
        <v>--</v>
      </c>
      <c r="U612" s="243" t="str">
        <f ca="1">IF(CostTrack[[#This Row],[Vendor - Contract]]="","",INDEX(VendorList[Phase / Subproject 2],MATCH(CostTrack[[#This Row],[Vendor - Contract]],VendorList[Vendor / Org. with Contract ID],0)))</f>
        <v>--</v>
      </c>
      <c r="V612" s="243" t="str">
        <f ca="1">IF(CostTrack[[#This Row],[Vendor - Contract]]="","",INDEX(VendorList[Funding Source],MATCH(CostTrack[[#This Row],[Vendor - Contract]],VendorList[Vendor / Org. with Contract ID],0)))</f>
        <v>P-002360</v>
      </c>
      <c r="W612" s="267">
        <v>45198</v>
      </c>
      <c r="X612" s="251" t="str">
        <f ca="1">IF(CostTrack[[#This Row],[Release Date (CMS)]]="","*","")</f>
        <v/>
      </c>
      <c r="Y612" s="267" t="s">
        <v>58</v>
      </c>
      <c r="Z612" s="652"/>
      <c r="AA612" s="245">
        <f ca="1">IF(OR(CostTrack[[#This Row],[Release Date (CMS)]]&gt;=DATE(VALUE(REPLACE(CostTrack[[#This Row],[Fiscal Period]],3,3,"")),3,1),CostTrack[[#This Row],[Release Date (CMS)]]&lt;DATE(VALUE(LEFT(CostTrack[[#This Row],[Fiscal Period]],4)),4,1)),1,0)</f>
        <v>0</v>
      </c>
      <c r="AB612" s="655">
        <v>3866623.04</v>
      </c>
      <c r="AC612" s="267">
        <v>45204</v>
      </c>
      <c r="AD612" s="402" t="str">
        <f ca="1">IF(CostTrack[[#This Row],[Reconciled Amount]]="","",IF(CostTrack[[#This Row],[Value]]&lt;&gt;CostTrack[[#This Row],[Reconciled Amount]],"Yes","No"))</f>
        <v>No</v>
      </c>
      <c r="AE612" s="654"/>
    </row>
    <row r="613" spans="2:31" ht="26.25" customHeight="1">
      <c r="B613" s="706" t="s">
        <v>666</v>
      </c>
      <c r="C613" s="691" t="s">
        <v>1286</v>
      </c>
      <c r="D613" s="267">
        <v>45188</v>
      </c>
      <c r="E613" s="654">
        <v>1375</v>
      </c>
      <c r="F613" s="647" t="s">
        <v>69</v>
      </c>
      <c r="G613" s="406">
        <f ca="1">ROUND(IF(CostTrack[[#This Row],[Holdback (Y/N/R)]]="Yes",CostTrack[[#This Row],[Value]]*-0.1,IF(CostTrack[[#This Row],[Holdback (Y/N/R)]]="Release",CostTrack[[#This Row],[Value]],0)),2)</f>
        <v>0</v>
      </c>
      <c r="H613" s="407">
        <f ca="1">IF(CostTrack[[#This Row],[Holdback (Y/N/R)]]="Release",CostTrack[[#This Row],[Value]],CostTrack[[#This Row],[Value]]+CostTrack[[#This Row],[Holdback Value]])</f>
        <v>1375</v>
      </c>
      <c r="I613" s="650"/>
      <c r="J613" s="650"/>
      <c r="K613" s="648"/>
      <c r="L613" s="707">
        <v>45194</v>
      </c>
      <c r="M613" s="708">
        <v>45202</v>
      </c>
      <c r="N613" s="709"/>
      <c r="O613" s="712" t="s">
        <v>106</v>
      </c>
      <c r="P613" s="267">
        <v>45202</v>
      </c>
      <c r="Q613" s="243" t="str">
        <f ca="1">IF(CostTrack[[#This Row],[Vendor - Contract]]="","",INDEX(VendorList[PA ID],MATCH(CostTrack[[#This Row],[Vendor - Contract]],VendorList[Vendor / Org. with Contract ID],0)))</f>
        <v>200.050.F1</v>
      </c>
      <c r="R613" s="243" t="str">
        <f ca="1">IF(CostTrack[[#This Row],[Vendor - Contract]]="","",INDEX(VendorList[Primary Category],MATCH(CostTrack[[#This Row],[Vendor - Contract]],VendorList[Vendor / Org. with Contract ID],0)))</f>
        <v>Professional Services</v>
      </c>
      <c r="S613" s="243" t="str">
        <f ca="1">IF(CostTrack[[#This Row],[Vendor - Contract]]="","",INDEX(VendorList[Secondary Category],MATCH(CostTrack[[#This Row],[Vendor - Contract]],VendorList[Vendor / Org. with Contract ID],0)))</f>
        <v>Other Professional Services</v>
      </c>
      <c r="T613" s="243" t="str">
        <f ca="1">IF(CostTrack[[#This Row],[Vendor - Contract]]="","",INDEX(VendorList[Phase / Subproject],MATCH(CostTrack[[#This Row],[Vendor - Contract]],VendorList[Vendor / Org. with Contract ID],0)))</f>
        <v>--</v>
      </c>
      <c r="U613" s="243" t="str">
        <f ca="1">IF(CostTrack[[#This Row],[Vendor - Contract]]="","",INDEX(VendorList[Phase / Subproject 2],MATCH(CostTrack[[#This Row],[Vendor - Contract]],VendorList[Vendor / Org. with Contract ID],0)))</f>
        <v>--</v>
      </c>
      <c r="V613" s="243" t="str">
        <f ca="1">IF(CostTrack[[#This Row],[Vendor - Contract]]="","",INDEX(VendorList[Funding Source],MATCH(CostTrack[[#This Row],[Vendor - Contract]],VendorList[Vendor / Org. with Contract ID],0)))</f>
        <v>P-002360</v>
      </c>
      <c r="W613" s="267">
        <v>45203</v>
      </c>
      <c r="X613" s="251" t="str">
        <f ca="1">IF(CostTrack[[#This Row],[Release Date (CMS)]]="","*","")</f>
        <v/>
      </c>
      <c r="Y613" s="267" t="s">
        <v>58</v>
      </c>
      <c r="Z613" s="652"/>
      <c r="AA613" s="245">
        <f ca="1">IF(OR(CostTrack[[#This Row],[Release Date (CMS)]]&gt;=DATE(VALUE(REPLACE(CostTrack[[#This Row],[Fiscal Period]],3,3,"")),3,1),CostTrack[[#This Row],[Release Date (CMS)]]&lt;DATE(VALUE(LEFT(CostTrack[[#This Row],[Fiscal Period]],4)),4,1)),1,0)</f>
        <v>0</v>
      </c>
      <c r="AB613" s="655">
        <v>1375</v>
      </c>
      <c r="AC613" s="267">
        <v>45246</v>
      </c>
      <c r="AD613" s="402" t="str">
        <f ca="1">IF(CostTrack[[#This Row],[Reconciled Amount]]="","",IF(CostTrack[[#This Row],[Value]]&lt;&gt;CostTrack[[#This Row],[Reconciled Amount]],"Yes","No"))</f>
        <v>No</v>
      </c>
      <c r="AE613" s="654"/>
    </row>
    <row r="614" spans="2:31" ht="26.25" customHeight="1">
      <c r="B614" s="706" t="s">
        <v>666</v>
      </c>
      <c r="C614" s="691" t="s">
        <v>1287</v>
      </c>
      <c r="D614" s="267">
        <v>45188</v>
      </c>
      <c r="E614" s="654">
        <v>6250</v>
      </c>
      <c r="F614" s="647" t="s">
        <v>69</v>
      </c>
      <c r="G614" s="406">
        <f ca="1">ROUND(IF(CostTrack[[#This Row],[Holdback (Y/N/R)]]="Yes",CostTrack[[#This Row],[Value]]*-0.1,IF(CostTrack[[#This Row],[Holdback (Y/N/R)]]="Release",CostTrack[[#This Row],[Value]],0)),2)</f>
        <v>0</v>
      </c>
      <c r="H614" s="407">
        <f ca="1">IF(CostTrack[[#This Row],[Holdback (Y/N/R)]]="Release",CostTrack[[#This Row],[Value]],CostTrack[[#This Row],[Value]]+CostTrack[[#This Row],[Holdback Value]])</f>
        <v>6250</v>
      </c>
      <c r="I614" s="650"/>
      <c r="J614" s="650"/>
      <c r="K614" s="648"/>
      <c r="L614" s="707">
        <v>45194</v>
      </c>
      <c r="M614" s="708">
        <v>45202</v>
      </c>
      <c r="N614" s="709"/>
      <c r="O614" s="712" t="s">
        <v>106</v>
      </c>
      <c r="P614" s="267">
        <v>45202</v>
      </c>
      <c r="Q614" s="243" t="str">
        <f ca="1">IF(CostTrack[[#This Row],[Vendor - Contract]]="","",INDEX(VendorList[PA ID],MATCH(CostTrack[[#This Row],[Vendor - Contract]],VendorList[Vendor / Org. with Contract ID],0)))</f>
        <v>200.050.F1</v>
      </c>
      <c r="R614" s="243" t="str">
        <f ca="1">IF(CostTrack[[#This Row],[Vendor - Contract]]="","",INDEX(VendorList[Primary Category],MATCH(CostTrack[[#This Row],[Vendor - Contract]],VendorList[Vendor / Org. with Contract ID],0)))</f>
        <v>Professional Services</v>
      </c>
      <c r="S614" s="243" t="str">
        <f ca="1">IF(CostTrack[[#This Row],[Vendor - Contract]]="","",INDEX(VendorList[Secondary Category],MATCH(CostTrack[[#This Row],[Vendor - Contract]],VendorList[Vendor / Org. with Contract ID],0)))</f>
        <v>Other Professional Services</v>
      </c>
      <c r="T614" s="243" t="str">
        <f ca="1">IF(CostTrack[[#This Row],[Vendor - Contract]]="","",INDEX(VendorList[Phase / Subproject],MATCH(CostTrack[[#This Row],[Vendor - Contract]],VendorList[Vendor / Org. with Contract ID],0)))</f>
        <v>--</v>
      </c>
      <c r="U614" s="243" t="str">
        <f ca="1">IF(CostTrack[[#This Row],[Vendor - Contract]]="","",INDEX(VendorList[Phase / Subproject 2],MATCH(CostTrack[[#This Row],[Vendor - Contract]],VendorList[Vendor / Org. with Contract ID],0)))</f>
        <v>--</v>
      </c>
      <c r="V614" s="243" t="str">
        <f ca="1">IF(CostTrack[[#This Row],[Vendor - Contract]]="","",INDEX(VendorList[Funding Source],MATCH(CostTrack[[#This Row],[Vendor - Contract]],VendorList[Vendor / Org. with Contract ID],0)))</f>
        <v>P-002360</v>
      </c>
      <c r="W614" s="267">
        <v>45203</v>
      </c>
      <c r="X614" s="251" t="str">
        <f ca="1">IF(CostTrack[[#This Row],[Release Date (CMS)]]="","*","")</f>
        <v/>
      </c>
      <c r="Y614" s="267" t="s">
        <v>58</v>
      </c>
      <c r="Z614" s="652"/>
      <c r="AA614" s="245">
        <f ca="1">IF(OR(CostTrack[[#This Row],[Release Date (CMS)]]&gt;=DATE(VALUE(REPLACE(CostTrack[[#This Row],[Fiscal Period]],3,3,"")),3,1),CostTrack[[#This Row],[Release Date (CMS)]]&lt;DATE(VALUE(LEFT(CostTrack[[#This Row],[Fiscal Period]],4)),4,1)),1,0)</f>
        <v>0</v>
      </c>
      <c r="AB614" s="655">
        <v>6250</v>
      </c>
      <c r="AC614" s="267">
        <v>45246</v>
      </c>
      <c r="AD614" s="402" t="str">
        <f ca="1">IF(CostTrack[[#This Row],[Reconciled Amount]]="","",IF(CostTrack[[#This Row],[Value]]&lt;&gt;CostTrack[[#This Row],[Reconciled Amount]],"Yes","No"))</f>
        <v>No</v>
      </c>
      <c r="AE614" s="654"/>
    </row>
    <row r="615" spans="2:31" ht="26.25" customHeight="1">
      <c r="B615" s="1324" t="s">
        <v>666</v>
      </c>
      <c r="C615" s="1334" t="s">
        <v>1288</v>
      </c>
      <c r="D615" s="1308">
        <v>45215</v>
      </c>
      <c r="E615" s="658">
        <v>5000</v>
      </c>
      <c r="F615" s="1309" t="s">
        <v>69</v>
      </c>
      <c r="G615" s="1310">
        <f ca="1">ROUND(IF(CostTrack[[#This Row],[Holdback (Y/N/R)]]="Yes",CostTrack[[#This Row],[Value]]*-0.1,IF(CostTrack[[#This Row],[Holdback (Y/N/R)]]="Release",CostTrack[[#This Row],[Value]],0)),2)</f>
        <v>0</v>
      </c>
      <c r="H615" s="1311">
        <f ca="1">IF(CostTrack[[#This Row],[Holdback (Y/N/R)]]="Release",CostTrack[[#This Row],[Value]],CostTrack[[#This Row],[Value]]+CostTrack[[#This Row],[Holdback Value]])</f>
        <v>5000</v>
      </c>
      <c r="I615" s="1312"/>
      <c r="J615" s="1312"/>
      <c r="K615" s="1313"/>
      <c r="L615" s="1325">
        <v>45218</v>
      </c>
      <c r="M615" s="1326">
        <v>45218</v>
      </c>
      <c r="N615" s="1327"/>
      <c r="O615" s="1328" t="s">
        <v>106</v>
      </c>
      <c r="P615" s="1308">
        <v>45218</v>
      </c>
      <c r="Q615" s="1314" t="str">
        <f ca="1">IF(CostTrack[[#This Row],[Vendor - Contract]]="","",INDEX(VendorList[PA ID],MATCH(CostTrack[[#This Row],[Vendor - Contract]],VendorList[Vendor / Org. with Contract ID],0)))</f>
        <v>200.050.F1</v>
      </c>
      <c r="R615" s="1314" t="str">
        <f ca="1">IF(CostTrack[[#This Row],[Vendor - Contract]]="","",INDEX(VendorList[Primary Category],MATCH(CostTrack[[#This Row],[Vendor - Contract]],VendorList[Vendor / Org. with Contract ID],0)))</f>
        <v>Professional Services</v>
      </c>
      <c r="S615" s="1314" t="str">
        <f ca="1">IF(CostTrack[[#This Row],[Vendor - Contract]]="","",INDEX(VendorList[Secondary Category],MATCH(CostTrack[[#This Row],[Vendor - Contract]],VendorList[Vendor / Org. with Contract ID],0)))</f>
        <v>Other Professional Services</v>
      </c>
      <c r="T615" s="1314" t="str">
        <f ca="1">IF(CostTrack[[#This Row],[Vendor - Contract]]="","",INDEX(VendorList[Phase / Subproject],MATCH(CostTrack[[#This Row],[Vendor - Contract]],VendorList[Vendor / Org. with Contract ID],0)))</f>
        <v>--</v>
      </c>
      <c r="U615" s="1314" t="str">
        <f ca="1">IF(CostTrack[[#This Row],[Vendor - Contract]]="","",INDEX(VendorList[Phase / Subproject 2],MATCH(CostTrack[[#This Row],[Vendor - Contract]],VendorList[Vendor / Org. with Contract ID],0)))</f>
        <v>--</v>
      </c>
      <c r="V615" s="1314" t="str">
        <f ca="1">IF(CostTrack[[#This Row],[Vendor - Contract]]="","",INDEX(VendorList[Funding Source],MATCH(CostTrack[[#This Row],[Vendor - Contract]],VendorList[Vendor / Org. with Contract ID],0)))</f>
        <v>P-002360</v>
      </c>
      <c r="W615" s="1308">
        <v>45219</v>
      </c>
      <c r="X615" s="1315" t="str">
        <f ca="1">IF(CostTrack[[#This Row],[Release Date (CMS)]]="","*","")</f>
        <v/>
      </c>
      <c r="Y615" s="1308" t="s">
        <v>58</v>
      </c>
      <c r="Z615" s="713"/>
      <c r="AA615" s="1316">
        <f ca="1">IF(OR(CostTrack[[#This Row],[Release Date (CMS)]]&gt;=DATE(VALUE(REPLACE(CostTrack[[#This Row],[Fiscal Period]],3,3,"")),3,1),CostTrack[[#This Row],[Release Date (CMS)]]&lt;DATE(VALUE(LEFT(CostTrack[[#This Row],[Fiscal Period]],4)),4,1)),1,0)</f>
        <v>0</v>
      </c>
      <c r="AB615" s="1317">
        <v>5000</v>
      </c>
      <c r="AC615" s="267">
        <v>45246</v>
      </c>
      <c r="AD615" s="402" t="str">
        <f ca="1">IF(CostTrack[[#This Row],[Reconciled Amount]]="","",IF(CostTrack[[#This Row],[Value]]&lt;&gt;CostTrack[[#This Row],[Reconciled Amount]],"Yes","No"))</f>
        <v>No</v>
      </c>
      <c r="AE615" s="658"/>
    </row>
    <row r="616" spans="2:31" ht="26.25" customHeight="1">
      <c r="B616" s="1324" t="s">
        <v>666</v>
      </c>
      <c r="C616" s="1334" t="s">
        <v>1289</v>
      </c>
      <c r="D616" s="1308">
        <v>45215</v>
      </c>
      <c r="E616" s="658">
        <v>5000</v>
      </c>
      <c r="F616" s="1309" t="s">
        <v>69</v>
      </c>
      <c r="G616" s="1310">
        <f ca="1">ROUND(IF(CostTrack[[#This Row],[Holdback (Y/N/R)]]="Yes",CostTrack[[#This Row],[Value]]*-0.1,IF(CostTrack[[#This Row],[Holdback (Y/N/R)]]="Release",CostTrack[[#This Row],[Value]],0)),2)</f>
        <v>0</v>
      </c>
      <c r="H616" s="1311">
        <f ca="1">IF(CostTrack[[#This Row],[Holdback (Y/N/R)]]="Release",CostTrack[[#This Row],[Value]],CostTrack[[#This Row],[Value]]+CostTrack[[#This Row],[Holdback Value]])</f>
        <v>5000</v>
      </c>
      <c r="I616" s="1312"/>
      <c r="J616" s="1312"/>
      <c r="K616" s="1313"/>
      <c r="L616" s="1325">
        <v>45218</v>
      </c>
      <c r="M616" s="1326">
        <v>45218</v>
      </c>
      <c r="N616" s="1327"/>
      <c r="O616" s="1328" t="s">
        <v>106</v>
      </c>
      <c r="P616" s="1308">
        <v>45218</v>
      </c>
      <c r="Q616" s="1314" t="str">
        <f ca="1">IF(CostTrack[[#This Row],[Vendor - Contract]]="","",INDEX(VendorList[PA ID],MATCH(CostTrack[[#This Row],[Vendor - Contract]],VendorList[Vendor / Org. with Contract ID],0)))</f>
        <v>200.050.F1</v>
      </c>
      <c r="R616" s="1314" t="str">
        <f ca="1">IF(CostTrack[[#This Row],[Vendor - Contract]]="","",INDEX(VendorList[Primary Category],MATCH(CostTrack[[#This Row],[Vendor - Contract]],VendorList[Vendor / Org. with Contract ID],0)))</f>
        <v>Professional Services</v>
      </c>
      <c r="S616" s="1314" t="str">
        <f ca="1">IF(CostTrack[[#This Row],[Vendor - Contract]]="","",INDEX(VendorList[Secondary Category],MATCH(CostTrack[[#This Row],[Vendor - Contract]],VendorList[Vendor / Org. with Contract ID],0)))</f>
        <v>Other Professional Services</v>
      </c>
      <c r="T616" s="1314" t="str">
        <f ca="1">IF(CostTrack[[#This Row],[Vendor - Contract]]="","",INDEX(VendorList[Phase / Subproject],MATCH(CostTrack[[#This Row],[Vendor - Contract]],VendorList[Vendor / Org. with Contract ID],0)))</f>
        <v>--</v>
      </c>
      <c r="U616" s="1314" t="str">
        <f ca="1">IF(CostTrack[[#This Row],[Vendor - Contract]]="","",INDEX(VendorList[Phase / Subproject 2],MATCH(CostTrack[[#This Row],[Vendor - Contract]],VendorList[Vendor / Org. with Contract ID],0)))</f>
        <v>--</v>
      </c>
      <c r="V616" s="1314" t="str">
        <f ca="1">IF(CostTrack[[#This Row],[Vendor - Contract]]="","",INDEX(VendorList[Funding Source],MATCH(CostTrack[[#This Row],[Vendor - Contract]],VendorList[Vendor / Org. with Contract ID],0)))</f>
        <v>P-002360</v>
      </c>
      <c r="W616" s="1308">
        <v>45219</v>
      </c>
      <c r="X616" s="1315" t="str">
        <f ca="1">IF(CostTrack[[#This Row],[Release Date (CMS)]]="","*","")</f>
        <v/>
      </c>
      <c r="Y616" s="1308" t="s">
        <v>58</v>
      </c>
      <c r="Z616" s="713"/>
      <c r="AA616" s="1316">
        <f ca="1">IF(OR(CostTrack[[#This Row],[Release Date (CMS)]]&gt;=DATE(VALUE(REPLACE(CostTrack[[#This Row],[Fiscal Period]],3,3,"")),3,1),CostTrack[[#This Row],[Release Date (CMS)]]&lt;DATE(VALUE(LEFT(CostTrack[[#This Row],[Fiscal Period]],4)),4,1)),1,0)</f>
        <v>0</v>
      </c>
      <c r="AB616" s="1317">
        <v>5000</v>
      </c>
      <c r="AC616" s="267">
        <v>45246</v>
      </c>
      <c r="AD616" s="402" t="str">
        <f ca="1">IF(CostTrack[[#This Row],[Reconciled Amount]]="","",IF(CostTrack[[#This Row],[Value]]&lt;&gt;CostTrack[[#This Row],[Reconciled Amount]],"Yes","No"))</f>
        <v>No</v>
      </c>
      <c r="AE616" s="658"/>
    </row>
    <row r="617" spans="2:31" ht="26.25" customHeight="1">
      <c r="B617" s="706" t="s">
        <v>1087</v>
      </c>
      <c r="C617" s="691">
        <v>39689110123</v>
      </c>
      <c r="D617" s="267">
        <v>45204</v>
      </c>
      <c r="E617" s="654">
        <v>13333.91</v>
      </c>
      <c r="F617" s="647" t="s">
        <v>69</v>
      </c>
      <c r="G617" s="406">
        <f ca="1">ROUND(IF(CostTrack[[#This Row],[Holdback (Y/N/R)]]="Yes",CostTrack[[#This Row],[Value]]*-0.1,IF(CostTrack[[#This Row],[Holdback (Y/N/R)]]="Release",CostTrack[[#This Row],[Value]],0)),2)</f>
        <v>0</v>
      </c>
      <c r="H617" s="407">
        <f ca="1">IF(CostTrack[[#This Row],[Holdback (Y/N/R)]]="Release",CostTrack[[#This Row],[Value]],CostTrack[[#This Row],[Value]]+CostTrack[[#This Row],[Holdback Value]])</f>
        <v>13333.91</v>
      </c>
      <c r="I617" s="650"/>
      <c r="J617" s="650"/>
      <c r="K617" s="648"/>
      <c r="L617" s="707">
        <v>45204</v>
      </c>
      <c r="M617" s="708">
        <v>45204</v>
      </c>
      <c r="N617" s="709"/>
      <c r="O617" s="712" t="s">
        <v>106</v>
      </c>
      <c r="P617" s="267">
        <v>45204</v>
      </c>
      <c r="Q617" s="243" t="str">
        <f ca="1">IF(CostTrack[[#This Row],[Vendor - Contract]]="","",INDEX(VendorList[PA ID],MATCH(CostTrack[[#This Row],[Vendor - Contract]],VendorList[Vendor / Org. with Contract ID],0)))</f>
        <v>300.040.F1</v>
      </c>
      <c r="R617" s="243" t="str">
        <f ca="1">IF(CostTrack[[#This Row],[Vendor - Contract]]="","",INDEX(VendorList[Primary Category],MATCH(CostTrack[[#This Row],[Vendor - Contract]],VendorList[Vendor / Org. with Contract ID],0)))</f>
        <v>Construction</v>
      </c>
      <c r="S617" s="243" t="str">
        <f ca="1">IF(CostTrack[[#This Row],[Vendor - Contract]]="","",INDEX(VendorList[Secondary Category],MATCH(CostTrack[[#This Row],[Vendor - Contract]],VendorList[Vendor / Org. with Contract ID],0)))</f>
        <v>Other Contractor</v>
      </c>
      <c r="T617" s="243" t="str">
        <f ca="1">IF(CostTrack[[#This Row],[Vendor - Contract]]="","",INDEX(VendorList[Phase / Subproject],MATCH(CostTrack[[#This Row],[Vendor - Contract]],VendorList[Vendor / Org. with Contract ID],0)))</f>
        <v>--</v>
      </c>
      <c r="U617" s="243" t="str">
        <f ca="1">IF(CostTrack[[#This Row],[Vendor - Contract]]="","",INDEX(VendorList[Phase / Subproject 2],MATCH(CostTrack[[#This Row],[Vendor - Contract]],VendorList[Vendor / Org. with Contract ID],0)))</f>
        <v>--</v>
      </c>
      <c r="V617" s="243" t="str">
        <f ca="1">IF(CostTrack[[#This Row],[Vendor - Contract]]="","",INDEX(VendorList[Funding Source],MATCH(CostTrack[[#This Row],[Vendor - Contract]],VendorList[Vendor / Org. with Contract ID],0)))</f>
        <v>P-002360</v>
      </c>
      <c r="W617" s="267">
        <v>45204</v>
      </c>
      <c r="X617" s="251"/>
      <c r="Y617" s="267" t="s">
        <v>58</v>
      </c>
      <c r="Z617" s="652" t="s">
        <v>1290</v>
      </c>
      <c r="AA617" s="245">
        <f ca="1">IF(OR(CostTrack[[#This Row],[Release Date (CMS)]]&gt;=DATE(VALUE(REPLACE(CostTrack[[#This Row],[Fiscal Period]],3,3,"")),3,1),CostTrack[[#This Row],[Release Date (CMS)]]&lt;DATE(VALUE(LEFT(CostTrack[[#This Row],[Fiscal Period]],4)),4,1)),1,0)</f>
        <v>0</v>
      </c>
      <c r="AB617" s="655">
        <v>13333.91</v>
      </c>
      <c r="AC617" s="267">
        <v>45246</v>
      </c>
      <c r="AD617" s="402" t="str">
        <f ca="1">IF(CostTrack[[#This Row],[Reconciled Amount]]="","",IF(CostTrack[[#This Row],[Value]]&lt;&gt;CostTrack[[#This Row],[Reconciled Amount]],"Yes","No"))</f>
        <v>No</v>
      </c>
      <c r="AE617" s="654"/>
    </row>
    <row r="618" spans="2:31" ht="26.25" customHeight="1">
      <c r="B618" s="1350" t="s">
        <v>711</v>
      </c>
      <c r="C618" s="1351">
        <v>4619718</v>
      </c>
      <c r="D618" s="1352">
        <v>45199</v>
      </c>
      <c r="E618" s="1353">
        <v>189.08</v>
      </c>
      <c r="F618" s="1309" t="s">
        <v>69</v>
      </c>
      <c r="G618" s="1310">
        <f ca="1">ROUND(IF(CostTrack[[#This Row],[Holdback (Y/N/R)]]="Yes",CostTrack[[#This Row],[Value]]*-0.1,IF(CostTrack[[#This Row],[Holdback (Y/N/R)]]="Release",CostTrack[[#This Row],[Value]],0)),2)</f>
        <v>0</v>
      </c>
      <c r="H618" s="1311">
        <f ca="1">IF(CostTrack[[#This Row],[Holdback (Y/N/R)]]="Release",CostTrack[[#This Row],[Value]],CostTrack[[#This Row],[Value]]+CostTrack[[#This Row],[Holdback Value]])</f>
        <v>189.08</v>
      </c>
      <c r="I618" s="1312"/>
      <c r="J618" s="1312"/>
      <c r="K618" s="1313"/>
      <c r="L618" s="1325">
        <v>45205</v>
      </c>
      <c r="M618" s="1326">
        <v>45205</v>
      </c>
      <c r="N618" s="1327"/>
      <c r="O618" s="1328" t="s">
        <v>106</v>
      </c>
      <c r="P618" s="1308">
        <v>45205</v>
      </c>
      <c r="Q618" s="1314" t="str">
        <f ca="1">IF(CostTrack[[#This Row],[Vendor - Contract]]="","",INDEX(VendorList[PA ID],MATCH(CostTrack[[#This Row],[Vendor - Contract]],VendorList[Vendor / Org. with Contract ID],0)))</f>
        <v>300.040.F1</v>
      </c>
      <c r="R618" s="1314" t="str">
        <f ca="1">IF(CostTrack[[#This Row],[Vendor - Contract]]="","",INDEX(VendorList[Primary Category],MATCH(CostTrack[[#This Row],[Vendor - Contract]],VendorList[Vendor / Org. with Contract ID],0)))</f>
        <v>Construction</v>
      </c>
      <c r="S618" s="1314" t="str">
        <f ca="1">IF(CostTrack[[#This Row],[Vendor - Contract]]="","",INDEX(VendorList[Secondary Category],MATCH(CostTrack[[#This Row],[Vendor - Contract]],VendorList[Vendor / Org. with Contract ID],0)))</f>
        <v>Other Contractor</v>
      </c>
      <c r="T618" s="1314" t="str">
        <f ca="1">IF(CostTrack[[#This Row],[Vendor - Contract]]="","",INDEX(VendorList[Phase / Subproject],MATCH(CostTrack[[#This Row],[Vendor - Contract]],VendorList[Vendor / Org. with Contract ID],0)))</f>
        <v>--</v>
      </c>
      <c r="U618" s="1314" t="str">
        <f ca="1">IF(CostTrack[[#This Row],[Vendor - Contract]]="","",INDEX(VendorList[Phase / Subproject 2],MATCH(CostTrack[[#This Row],[Vendor - Contract]],VendorList[Vendor / Org. with Contract ID],0)))</f>
        <v>--</v>
      </c>
      <c r="V618" s="1314" t="str">
        <f ca="1">IF(CostTrack[[#This Row],[Vendor - Contract]]="","",INDEX(VendorList[Funding Source],MATCH(CostTrack[[#This Row],[Vendor - Contract]],VendorList[Vendor / Org. with Contract ID],0)))</f>
        <v>P-002360</v>
      </c>
      <c r="W618" s="1352">
        <v>45210</v>
      </c>
      <c r="X618" s="1354" t="str">
        <f ca="1">IF(CostTrack[[#This Row],[Release Date (CMS)]]="","*","")</f>
        <v/>
      </c>
      <c r="Y618" s="1352" t="s">
        <v>58</v>
      </c>
      <c r="Z618" s="985"/>
      <c r="AA618" s="1316">
        <f ca="1">IF(OR(CostTrack[[#This Row],[Release Date (CMS)]]&gt;=DATE(VALUE(REPLACE(CostTrack[[#This Row],[Fiscal Period]],3,3,"")),3,1),CostTrack[[#This Row],[Release Date (CMS)]]&lt;DATE(VALUE(LEFT(CostTrack[[#This Row],[Fiscal Period]],4)),4,1)),1,0)</f>
        <v>0</v>
      </c>
      <c r="AB618" s="1317">
        <v>189.08</v>
      </c>
      <c r="AC618" s="267">
        <v>45246</v>
      </c>
      <c r="AD618" s="402" t="str">
        <f ca="1">IF(CostTrack[[#This Row],[Reconciled Amount]]="","",IF(CostTrack[[#This Row],[Value]]&lt;&gt;CostTrack[[#This Row],[Reconciled Amount]],"Yes","No"))</f>
        <v>No</v>
      </c>
      <c r="AE618" s="658"/>
    </row>
    <row r="619" spans="2:31" ht="26.25" customHeight="1">
      <c r="B619" s="1350" t="s">
        <v>710</v>
      </c>
      <c r="C619" s="1355">
        <v>100903876376</v>
      </c>
      <c r="D619" s="1352">
        <v>45218</v>
      </c>
      <c r="E619" s="1353">
        <v>99.05</v>
      </c>
      <c r="F619" s="1309" t="s">
        <v>69</v>
      </c>
      <c r="G619" s="1310">
        <f ca="1">ROUND(IF(CostTrack[[#This Row],[Holdback (Y/N/R)]]="Yes",CostTrack[[#This Row],[Value]]*-0.1,IF(CostTrack[[#This Row],[Holdback (Y/N/R)]]="Release",CostTrack[[#This Row],[Value]],0)),2)</f>
        <v>0</v>
      </c>
      <c r="H619" s="1311">
        <f ca="1">IF(CostTrack[[#This Row],[Holdback (Y/N/R)]]="Release",CostTrack[[#This Row],[Value]],CostTrack[[#This Row],[Value]]+CostTrack[[#This Row],[Holdback Value]])</f>
        <v>99.05</v>
      </c>
      <c r="I619" s="1312"/>
      <c r="J619" s="1312"/>
      <c r="K619" s="1313"/>
      <c r="L619" s="1325">
        <v>45222</v>
      </c>
      <c r="M619" s="1326">
        <v>45222</v>
      </c>
      <c r="N619" s="1327"/>
      <c r="O619" s="1328" t="s">
        <v>106</v>
      </c>
      <c r="P619" s="1308">
        <v>45222</v>
      </c>
      <c r="Q619" s="1314" t="str">
        <f ca="1">IF(CostTrack[[#This Row],[Vendor - Contract]]="","",INDEX(VendorList[PA ID],MATCH(CostTrack[[#This Row],[Vendor - Contract]],VendorList[Vendor / Org. with Contract ID],0)))</f>
        <v>300.040.F1</v>
      </c>
      <c r="R619" s="1314" t="str">
        <f ca="1">IF(CostTrack[[#This Row],[Vendor - Contract]]="","",INDEX(VendorList[Primary Category],MATCH(CostTrack[[#This Row],[Vendor - Contract]],VendorList[Vendor / Org. with Contract ID],0)))</f>
        <v>Construction</v>
      </c>
      <c r="S619" s="1314" t="str">
        <f ca="1">IF(CostTrack[[#This Row],[Vendor - Contract]]="","",INDEX(VendorList[Secondary Category],MATCH(CostTrack[[#This Row],[Vendor - Contract]],VendorList[Vendor / Org. with Contract ID],0)))</f>
        <v>Other Contractor</v>
      </c>
      <c r="T619" s="1314" t="str">
        <f ca="1">IF(CostTrack[[#This Row],[Vendor - Contract]]="","",INDEX(VendorList[Phase / Subproject],MATCH(CostTrack[[#This Row],[Vendor - Contract]],VendorList[Vendor / Org. with Contract ID],0)))</f>
        <v>--</v>
      </c>
      <c r="U619" s="1314" t="str">
        <f ca="1">IF(CostTrack[[#This Row],[Vendor - Contract]]="","",INDEX(VendorList[Phase / Subproject 2],MATCH(CostTrack[[#This Row],[Vendor - Contract]],VendorList[Vendor / Org. with Contract ID],0)))</f>
        <v>--</v>
      </c>
      <c r="V619" s="1314" t="str">
        <f ca="1">IF(CostTrack[[#This Row],[Vendor - Contract]]="","",INDEX(VendorList[Funding Source],MATCH(CostTrack[[#This Row],[Vendor - Contract]],VendorList[Vendor / Org. with Contract ID],0)))</f>
        <v>P-002360</v>
      </c>
      <c r="W619" s="1352">
        <v>45230</v>
      </c>
      <c r="X619" s="1354" t="str">
        <f ca="1">IF(CostTrack[[#This Row],[Release Date (CMS)]]="","*","")</f>
        <v/>
      </c>
      <c r="Y619" s="1352" t="s">
        <v>58</v>
      </c>
      <c r="Z619" s="985"/>
      <c r="AA619" s="1316">
        <f ca="1">IF(OR(CostTrack[[#This Row],[Release Date (CMS)]]&gt;=DATE(VALUE(REPLACE(CostTrack[[#This Row],[Fiscal Period]],3,3,"")),3,1),CostTrack[[#This Row],[Release Date (CMS)]]&lt;DATE(VALUE(LEFT(CostTrack[[#This Row],[Fiscal Period]],4)),4,1)),1,0)</f>
        <v>0</v>
      </c>
      <c r="AB619" s="1317">
        <v>99.05</v>
      </c>
      <c r="AC619" s="1308">
        <v>45246</v>
      </c>
      <c r="AD619" s="402" t="str">
        <f ca="1">IF(CostTrack[[#This Row],[Reconciled Amount]]="","",IF(CostTrack[[#This Row],[Value]]&lt;&gt;CostTrack[[#This Row],[Reconciled Amount]],"Yes","No"))</f>
        <v>No</v>
      </c>
      <c r="AE619" s="658"/>
    </row>
    <row r="620" spans="2:31" ht="26.25" customHeight="1">
      <c r="B620" s="1350" t="s">
        <v>527</v>
      </c>
      <c r="C620" s="1351" t="s">
        <v>1291</v>
      </c>
      <c r="D620" s="1352">
        <v>45199</v>
      </c>
      <c r="E620" s="1353">
        <v>20572.8</v>
      </c>
      <c r="F620" s="1309" t="s">
        <v>69</v>
      </c>
      <c r="G620" s="1310">
        <f ca="1">ROUND(IF(CostTrack[[#This Row],[Holdback (Y/N/R)]]="Yes",CostTrack[[#This Row],[Value]]*-0.1,IF(CostTrack[[#This Row],[Holdback (Y/N/R)]]="Release",CostTrack[[#This Row],[Value]],0)),2)</f>
        <v>0</v>
      </c>
      <c r="H620" s="1311">
        <f ca="1">IF(CostTrack[[#This Row],[Holdback (Y/N/R)]]="Release",CostTrack[[#This Row],[Value]],CostTrack[[#This Row],[Value]]+CostTrack[[#This Row],[Holdback Value]])</f>
        <v>20572.8</v>
      </c>
      <c r="I620" s="1312"/>
      <c r="J620" s="1312"/>
      <c r="K620" s="1313"/>
      <c r="L620" s="1325">
        <v>45205</v>
      </c>
      <c r="M620" s="1326">
        <v>45211</v>
      </c>
      <c r="N620" s="1327"/>
      <c r="O620" s="1328" t="s">
        <v>106</v>
      </c>
      <c r="P620" s="1308">
        <v>45211</v>
      </c>
      <c r="Q620" s="1314" t="str">
        <f ca="1">IF(CostTrack[[#This Row],[Vendor - Contract]]="","",INDEX(VendorList[PA ID],MATCH(CostTrack[[#This Row],[Vendor - Contract]],VendorList[Vendor / Org. with Contract ID],0)))</f>
        <v>200.010.F1</v>
      </c>
      <c r="R620" s="1314" t="str">
        <f ca="1">IF(CostTrack[[#This Row],[Vendor - Contract]]="","",INDEX(VendorList[Primary Category],MATCH(CostTrack[[#This Row],[Vendor - Contract]],VendorList[Vendor / Org. with Contract ID],0)))</f>
        <v>Professional Services</v>
      </c>
      <c r="S620" s="1314" t="str">
        <f ca="1">IF(CostTrack[[#This Row],[Vendor - Contract]]="","",INDEX(VendorList[Secondary Category],MATCH(CostTrack[[#This Row],[Vendor - Contract]],VendorList[Vendor / Org. with Contract ID],0)))</f>
        <v>Prime Consultant</v>
      </c>
      <c r="T620" s="1314" t="str">
        <f ca="1">IF(CostTrack[[#This Row],[Vendor - Contract]]="","",INDEX(VendorList[Phase / Subproject],MATCH(CostTrack[[#This Row],[Vendor - Contract]],VendorList[Vendor / Org. with Contract ID],0)))</f>
        <v>--</v>
      </c>
      <c r="U620" s="1314" t="str">
        <f ca="1">IF(CostTrack[[#This Row],[Vendor - Contract]]="","",INDEX(VendorList[Phase / Subproject 2],MATCH(CostTrack[[#This Row],[Vendor - Contract]],VendorList[Vendor / Org. with Contract ID],0)))</f>
        <v>--</v>
      </c>
      <c r="V620" s="1314" t="str">
        <f ca="1">IF(CostTrack[[#This Row],[Vendor - Contract]]="","",INDEX(VendorList[Funding Source],MATCH(CostTrack[[#This Row],[Vendor - Contract]],VendorList[Vendor / Org. with Contract ID],0)))</f>
        <v>P-002360</v>
      </c>
      <c r="W620" s="1352">
        <v>45211</v>
      </c>
      <c r="X620" s="1354" t="str">
        <f ca="1">IF(CostTrack[[#This Row],[Release Date (CMS)]]="","*","")</f>
        <v/>
      </c>
      <c r="Y620" s="1352" t="s">
        <v>58</v>
      </c>
      <c r="Z620" s="1352"/>
      <c r="AA620" s="1316">
        <f ca="1">IF(OR(CostTrack[[#This Row],[Release Date (CMS)]]&gt;=DATE(VALUE(REPLACE(CostTrack[[#This Row],[Fiscal Period]],3,3,"")),3,1),CostTrack[[#This Row],[Release Date (CMS)]]&lt;DATE(VALUE(LEFT(CostTrack[[#This Row],[Fiscal Period]],4)),4,1)),1,0)</f>
        <v>0</v>
      </c>
      <c r="AB620" s="1317">
        <v>20572.8</v>
      </c>
      <c r="AC620" s="1308">
        <v>45246</v>
      </c>
      <c r="AD620" s="402" t="str">
        <f ca="1">IF(CostTrack[[#This Row],[Reconciled Amount]]="","",IF(CostTrack[[#This Row],[Value]]&lt;&gt;CostTrack[[#This Row],[Reconciled Amount]],"Yes","No"))</f>
        <v>No</v>
      </c>
      <c r="AE620" s="658"/>
    </row>
    <row r="621" spans="2:31" ht="28.35" customHeight="1">
      <c r="B621" s="1350" t="s">
        <v>1292</v>
      </c>
      <c r="C621" s="1351">
        <v>5000028825</v>
      </c>
      <c r="D621" s="1352">
        <v>45223</v>
      </c>
      <c r="E621" s="1353">
        <v>3285</v>
      </c>
      <c r="F621" s="1309" t="s">
        <v>69</v>
      </c>
      <c r="G621" s="1310">
        <f ca="1">ROUND(IF(CostTrack[[#This Row],[Holdback (Y/N/R)]]="Yes",CostTrack[[#This Row],[Value]]*-0.1,IF(CostTrack[[#This Row],[Holdback (Y/N/R)]]="Release",CostTrack[[#This Row],[Value]],0)),2)</f>
        <v>0</v>
      </c>
      <c r="H621" s="1311">
        <f ca="1">IF(CostTrack[[#This Row],[Holdback (Y/N/R)]]="Release",CostTrack[[#This Row],[Value]],CostTrack[[#This Row],[Value]]+CostTrack[[#This Row],[Holdback Value]])</f>
        <v>3285</v>
      </c>
      <c r="I621" s="1312"/>
      <c r="J621" s="1312"/>
      <c r="K621" s="1313"/>
      <c r="L621" s="1325">
        <v>45223</v>
      </c>
      <c r="M621" s="1326">
        <v>45223</v>
      </c>
      <c r="N621" s="1356"/>
      <c r="O621" s="1357" t="s">
        <v>106</v>
      </c>
      <c r="P621" s="1352">
        <v>45223</v>
      </c>
      <c r="Q621" s="1314" t="str">
        <f ca="1">IF(CostTrack[[#This Row],[Vendor - Contract]]="","",INDEX(VendorList[PA ID],MATCH(CostTrack[[#This Row],[Vendor - Contract]],VendorList[Vendor / Org. with Contract ID],0)))</f>
        <v>400.010.F1</v>
      </c>
      <c r="R621" s="1314" t="str">
        <f ca="1">IF(CostTrack[[#This Row],[Vendor - Contract]]="","",INDEX(VendorList[Primary Category],MATCH(CostTrack[[#This Row],[Vendor - Contract]],VendorList[Vendor / Org. with Contract ID],0)))</f>
        <v>FE_IT</v>
      </c>
      <c r="S621" s="1314" t="str">
        <f ca="1">IF(CostTrack[[#This Row],[Vendor - Contract]]="","",INDEX(VendorList[Secondary Category],MATCH(CostTrack[[#This Row],[Vendor - Contract]],VendorList[Vendor / Org. with Contract ID],0)))</f>
        <v>Furniture &amp; Equipment</v>
      </c>
      <c r="T621" s="1314" t="str">
        <f ca="1">IF(CostTrack[[#This Row],[Vendor - Contract]]="","",INDEX(VendorList[Phase / Subproject],MATCH(CostTrack[[#This Row],[Vendor - Contract]],VendorList[Vendor / Org. with Contract ID],0)))</f>
        <v>--</v>
      </c>
      <c r="U621" s="1314" t="str">
        <f ca="1">IF(CostTrack[[#This Row],[Vendor - Contract]]="","",INDEX(VendorList[Phase / Subproject 2],MATCH(CostTrack[[#This Row],[Vendor - Contract]],VendorList[Vendor / Org. with Contract ID],0)))</f>
        <v>--</v>
      </c>
      <c r="V621" s="1314" t="str">
        <f ca="1">IF(CostTrack[[#This Row],[Vendor - Contract]]="","",INDEX(VendorList[Funding Source],MATCH(CostTrack[[#This Row],[Vendor - Contract]],VendorList[Vendor / Org. with Contract ID],0)))</f>
        <v>P-002360</v>
      </c>
      <c r="W621" s="1352">
        <v>45223</v>
      </c>
      <c r="X621" s="1354" t="str">
        <f ca="1">IF(CostTrack[[#This Row],[Release Date (CMS)]]="","*","")</f>
        <v/>
      </c>
      <c r="Y621" s="1352" t="s">
        <v>58</v>
      </c>
      <c r="Z621" s="985" t="s">
        <v>1293</v>
      </c>
      <c r="AA621" s="1316">
        <f ca="1">IF(OR(CostTrack[[#This Row],[Release Date (CMS)]]&gt;=DATE(VALUE(REPLACE(CostTrack[[#This Row],[Fiscal Period]],3,3,"")),3,1),CostTrack[[#This Row],[Release Date (CMS)]]&lt;DATE(VALUE(LEFT(CostTrack[[#This Row],[Fiscal Period]],4)),4,1)),1,0)</f>
        <v>0</v>
      </c>
      <c r="AB621" s="1317">
        <v>3285</v>
      </c>
      <c r="AC621" s="1308">
        <v>45246</v>
      </c>
      <c r="AD621" s="402" t="str">
        <f ca="1">IF(CostTrack[[#This Row],[Reconciled Amount]]="","",IF(CostTrack[[#This Row],[Value]]&lt;&gt;CostTrack[[#This Row],[Reconciled Amount]],"Yes","No"))</f>
        <v>No</v>
      </c>
      <c r="AE621" s="658"/>
    </row>
    <row r="622" spans="2:31" ht="28.35" customHeight="1">
      <c r="B622" s="1324" t="s">
        <v>624</v>
      </c>
      <c r="C622" s="1334">
        <v>1844324</v>
      </c>
      <c r="D622" s="1308">
        <v>45223</v>
      </c>
      <c r="E622" s="658">
        <v>16245</v>
      </c>
      <c r="F622" s="1309" t="s">
        <v>69</v>
      </c>
      <c r="G622" s="1310">
        <f ca="1">ROUND(IF(CostTrack[[#This Row],[Holdback (Y/N/R)]]="Yes",CostTrack[[#This Row],[Value]]*-0.1,IF(CostTrack[[#This Row],[Holdback (Y/N/R)]]="Release",CostTrack[[#This Row],[Value]],0)),2)</f>
        <v>0</v>
      </c>
      <c r="H622" s="1311">
        <f ca="1">IF(CostTrack[[#This Row],[Holdback (Y/N/R)]]="Release",CostTrack[[#This Row],[Value]],CostTrack[[#This Row],[Value]]+CostTrack[[#This Row],[Holdback Value]])</f>
        <v>16245</v>
      </c>
      <c r="I622" s="1312"/>
      <c r="J622" s="1312"/>
      <c r="K622" s="1313"/>
      <c r="L622" s="1325">
        <v>45223</v>
      </c>
      <c r="M622" s="1326">
        <v>45223</v>
      </c>
      <c r="N622" s="1327"/>
      <c r="O622" s="1328" t="s">
        <v>106</v>
      </c>
      <c r="P622" s="1308">
        <v>45223</v>
      </c>
      <c r="Q622" s="1314" t="str">
        <f ca="1">IF(CostTrack[[#This Row],[Vendor - Contract]]="","",INDEX(VendorList[PA ID],MATCH(CostTrack[[#This Row],[Vendor - Contract]],VendorList[Vendor / Org. with Contract ID],0)))</f>
        <v>200.040.F1</v>
      </c>
      <c r="R622" s="1314" t="str">
        <f ca="1">IF(CostTrack[[#This Row],[Vendor - Contract]]="","",INDEX(VendorList[Primary Category],MATCH(CostTrack[[#This Row],[Vendor - Contract]],VendorList[Vendor / Org. with Contract ID],0)))</f>
        <v>Professional Services</v>
      </c>
      <c r="S622" s="1314" t="str">
        <f ca="1">IF(CostTrack[[#This Row],[Vendor - Contract]]="","",INDEX(VendorList[Secondary Category],MATCH(CostTrack[[#This Row],[Vendor - Contract]],VendorList[Vendor / Org. with Contract ID],0)))</f>
        <v>Commissioning</v>
      </c>
      <c r="T622" s="1314" t="str">
        <f ca="1">IF(CostTrack[[#This Row],[Vendor - Contract]]="","",INDEX(VendorList[Phase / Subproject],MATCH(CostTrack[[#This Row],[Vendor - Contract]],VendorList[Vendor / Org. with Contract ID],0)))</f>
        <v>--</v>
      </c>
      <c r="U622" s="1314" t="str">
        <f ca="1">IF(CostTrack[[#This Row],[Vendor - Contract]]="","",INDEX(VendorList[Phase / Subproject 2],MATCH(CostTrack[[#This Row],[Vendor - Contract]],VendorList[Vendor / Org. with Contract ID],0)))</f>
        <v>--</v>
      </c>
      <c r="V622" s="1314" t="str">
        <f ca="1">IF(CostTrack[[#This Row],[Vendor - Contract]]="","",INDEX(VendorList[Funding Source],MATCH(CostTrack[[#This Row],[Vendor - Contract]],VendorList[Vendor / Org. with Contract ID],0)))</f>
        <v>P-002360</v>
      </c>
      <c r="W622" s="1308">
        <v>45223</v>
      </c>
      <c r="X622" s="1315" t="str">
        <f ca="1">IF(CostTrack[[#This Row],[Release Date (CMS)]]="","*","")</f>
        <v/>
      </c>
      <c r="Y622" s="1308" t="s">
        <v>58</v>
      </c>
      <c r="Z622" s="713"/>
      <c r="AA622" s="1316">
        <f ca="1">IF(OR(CostTrack[[#This Row],[Release Date (CMS)]]&gt;=DATE(VALUE(REPLACE(CostTrack[[#This Row],[Fiscal Period]],3,3,"")),3,1),CostTrack[[#This Row],[Release Date (CMS)]]&lt;DATE(VALUE(LEFT(CostTrack[[#This Row],[Fiscal Period]],4)),4,1)),1,0)</f>
        <v>0</v>
      </c>
      <c r="AB622" s="1317">
        <v>16245</v>
      </c>
      <c r="AC622" s="1308">
        <v>45246</v>
      </c>
      <c r="AD622" s="402" t="str">
        <f ca="1">IF(CostTrack[[#This Row],[Reconciled Amount]]="","",IF(CostTrack[[#This Row],[Value]]&lt;&gt;CostTrack[[#This Row],[Reconciled Amount]],"Yes","No"))</f>
        <v>No</v>
      </c>
      <c r="AE622" s="658"/>
    </row>
    <row r="623" spans="2:31" ht="28.35" customHeight="1">
      <c r="B623" s="1324" t="s">
        <v>529</v>
      </c>
      <c r="C623" s="1334" t="s">
        <v>1294</v>
      </c>
      <c r="D623" s="1308">
        <v>45194</v>
      </c>
      <c r="E623" s="658">
        <v>2879499.12</v>
      </c>
      <c r="F623" s="1309" t="s">
        <v>65</v>
      </c>
      <c r="G623" s="1310">
        <f ca="1">ROUND(IF(CostTrack[[#This Row],[Holdback (Y/N/R)]]="Yes",CostTrack[[#This Row],[Value]]*-0.1,IF(CostTrack[[#This Row],[Holdback (Y/N/R)]]="Release",CostTrack[[#This Row],[Value]],0)),2)</f>
        <v>-287949.90999999997</v>
      </c>
      <c r="H623" s="1311">
        <f ca="1">IF(CostTrack[[#This Row],[Holdback (Y/N/R)]]="Release",CostTrack[[#This Row],[Value]],CostTrack[[#This Row],[Value]]+CostTrack[[#This Row],[Holdback Value]])</f>
        <v>2591549.21</v>
      </c>
      <c r="I623" s="1312" t="s">
        <v>1295</v>
      </c>
      <c r="J623" s="1312"/>
      <c r="K623" s="1313"/>
      <c r="L623" s="1325">
        <v>45224</v>
      </c>
      <c r="M623" s="1326">
        <v>45224</v>
      </c>
      <c r="N623" s="1327"/>
      <c r="O623" s="1328" t="s">
        <v>106</v>
      </c>
      <c r="P623" s="1308">
        <v>45225</v>
      </c>
      <c r="Q623" s="1314" t="str">
        <f ca="1">IF(CostTrack[[#This Row],[Vendor - Contract]]="","",INDEX(VendorList[PA ID],MATCH(CostTrack[[#This Row],[Vendor - Contract]],VendorList[Vendor / Org. with Contract ID],0)))</f>
        <v>300.030.F1</v>
      </c>
      <c r="R623" s="1314" t="str">
        <f ca="1">IF(CostTrack[[#This Row],[Vendor - Contract]]="","",INDEX(VendorList[Primary Category],MATCH(CostTrack[[#This Row],[Vendor - Contract]],VendorList[Vendor / Org. with Contract ID],0)))</f>
        <v>Construction</v>
      </c>
      <c r="S623" s="1314" t="str">
        <f ca="1">IF(CostTrack[[#This Row],[Vendor - Contract]]="","",INDEX(VendorList[Secondary Category],MATCH(CostTrack[[#This Row],[Vendor - Contract]],VendorList[Vendor / Org. with Contract ID],0)))</f>
        <v>Prime Contractor</v>
      </c>
      <c r="T623" s="1314" t="str">
        <f ca="1">IF(CostTrack[[#This Row],[Vendor - Contract]]="","",INDEX(VendorList[Phase / Subproject],MATCH(CostTrack[[#This Row],[Vendor - Contract]],VendorList[Vendor / Org. with Contract ID],0)))</f>
        <v>--</v>
      </c>
      <c r="U623" s="1314" t="str">
        <f ca="1">IF(CostTrack[[#This Row],[Vendor - Contract]]="","",INDEX(VendorList[Phase / Subproject 2],MATCH(CostTrack[[#This Row],[Vendor - Contract]],VendorList[Vendor / Org. with Contract ID],0)))</f>
        <v>--</v>
      </c>
      <c r="V623" s="1314" t="str">
        <f ca="1">IF(CostTrack[[#This Row],[Vendor - Contract]]="","",INDEX(VendorList[Funding Source],MATCH(CostTrack[[#This Row],[Vendor - Contract]],VendorList[Vendor / Org. with Contract ID],0)))</f>
        <v>P-002360</v>
      </c>
      <c r="W623" s="1308">
        <v>45225</v>
      </c>
      <c r="X623" s="1315" t="str">
        <f ca="1">IF(CostTrack[[#This Row],[Release Date (CMS)]]="","*","")</f>
        <v/>
      </c>
      <c r="Y623" s="1308" t="s">
        <v>58</v>
      </c>
      <c r="Z623" s="713"/>
      <c r="AA623" s="1316">
        <f ca="1">IF(OR(CostTrack[[#This Row],[Release Date (CMS)]]&gt;=DATE(VALUE(REPLACE(CostTrack[[#This Row],[Fiscal Period]],3,3,"")),3,1),CostTrack[[#This Row],[Release Date (CMS)]]&lt;DATE(VALUE(LEFT(CostTrack[[#This Row],[Fiscal Period]],4)),4,1)),1,0)</f>
        <v>0</v>
      </c>
      <c r="AB623" s="1317">
        <v>2879499.12</v>
      </c>
      <c r="AC623" s="1308">
        <v>45246</v>
      </c>
      <c r="AD623" s="402" t="str">
        <f ca="1">IF(CostTrack[[#This Row],[Reconciled Amount]]="","",IF(CostTrack[[#This Row],[Value]]&lt;&gt;CostTrack[[#This Row],[Reconciled Amount]],"Yes","No"))</f>
        <v>No</v>
      </c>
      <c r="AE623" s="658"/>
    </row>
    <row r="624" spans="2:31" ht="28.35" customHeight="1">
      <c r="B624" s="1324" t="s">
        <v>597</v>
      </c>
      <c r="C624" s="1334">
        <v>440107</v>
      </c>
      <c r="D624" s="1308">
        <v>45188</v>
      </c>
      <c r="E624" s="658">
        <v>85350</v>
      </c>
      <c r="F624" s="1309" t="s">
        <v>69</v>
      </c>
      <c r="G624" s="1310">
        <f ca="1">ROUND(IF(CostTrack[[#This Row],[Holdback (Y/N/R)]]="Yes",CostTrack[[#This Row],[Value]]*-0.1,IF(CostTrack[[#This Row],[Holdback (Y/N/R)]]="Release",CostTrack[[#This Row],[Value]],0)),2)</f>
        <v>0</v>
      </c>
      <c r="H624" s="1311">
        <f ca="1">IF(CostTrack[[#This Row],[Holdback (Y/N/R)]]="Release",CostTrack[[#This Row],[Value]],CostTrack[[#This Row],[Value]]+CostTrack[[#This Row],[Holdback Value]])</f>
        <v>85350</v>
      </c>
      <c r="I624" s="1312"/>
      <c r="J624" s="1312"/>
      <c r="K624" s="1313"/>
      <c r="L624" s="1325">
        <v>45224</v>
      </c>
      <c r="M624" s="1326">
        <v>45224</v>
      </c>
      <c r="N624" s="1327"/>
      <c r="O624" s="1328" t="s">
        <v>106</v>
      </c>
      <c r="P624" s="1308">
        <v>45225</v>
      </c>
      <c r="Q624" s="1314" t="str">
        <f ca="1">IF(CostTrack[[#This Row],[Vendor - Contract]]="","",INDEX(VendorList[PA ID],MATCH(CostTrack[[#This Row],[Vendor - Contract]],VendorList[Vendor / Org. with Contract ID],0)))</f>
        <v>300.040.F1</v>
      </c>
      <c r="R624" s="1314" t="str">
        <f ca="1">IF(CostTrack[[#This Row],[Vendor - Contract]]="","",INDEX(VendorList[Primary Category],MATCH(CostTrack[[#This Row],[Vendor - Contract]],VendorList[Vendor / Org. with Contract ID],0)))</f>
        <v>Construction</v>
      </c>
      <c r="S624" s="1314" t="str">
        <f ca="1">IF(CostTrack[[#This Row],[Vendor - Contract]]="","",INDEX(VendorList[Secondary Category],MATCH(CostTrack[[#This Row],[Vendor - Contract]],VendorList[Vendor / Org. with Contract ID],0)))</f>
        <v>Other Contractor</v>
      </c>
      <c r="T624" s="1314" t="str">
        <f ca="1">IF(CostTrack[[#This Row],[Vendor - Contract]]="","",INDEX(VendorList[Phase / Subproject],MATCH(CostTrack[[#This Row],[Vendor - Contract]],VendorList[Vendor / Org. with Contract ID],0)))</f>
        <v>--</v>
      </c>
      <c r="U624" s="1314" t="str">
        <f ca="1">IF(CostTrack[[#This Row],[Vendor - Contract]]="","",INDEX(VendorList[Phase / Subproject 2],MATCH(CostTrack[[#This Row],[Vendor - Contract]],VendorList[Vendor / Org. with Contract ID],0)))</f>
        <v>--</v>
      </c>
      <c r="V624" s="1314" t="str">
        <f ca="1">IF(CostTrack[[#This Row],[Vendor - Contract]]="","",INDEX(VendorList[Funding Source],MATCH(CostTrack[[#This Row],[Vendor - Contract]],VendorList[Vendor / Org. with Contract ID],0)))</f>
        <v>P-002360</v>
      </c>
      <c r="W624" s="1308">
        <v>45225</v>
      </c>
      <c r="X624" s="1315" t="str">
        <f ca="1">IF(CostTrack[[#This Row],[Release Date (CMS)]]="","*","")</f>
        <v/>
      </c>
      <c r="Y624" s="1308" t="s">
        <v>58</v>
      </c>
      <c r="Z624" s="713"/>
      <c r="AA624" s="1316">
        <f ca="1">IF(OR(CostTrack[[#This Row],[Release Date (CMS)]]&gt;=DATE(VALUE(REPLACE(CostTrack[[#This Row],[Fiscal Period]],3,3,"")),3,1),CostTrack[[#This Row],[Release Date (CMS)]]&lt;DATE(VALUE(LEFT(CostTrack[[#This Row],[Fiscal Period]],4)),4,1)),1,0)</f>
        <v>0</v>
      </c>
      <c r="AB624" s="1317">
        <v>85350</v>
      </c>
      <c r="AC624" s="1308">
        <v>45246</v>
      </c>
      <c r="AD624" s="402" t="str">
        <f ca="1">IF(CostTrack[[#This Row],[Reconciled Amount]]="","",IF(CostTrack[[#This Row],[Value]]&lt;&gt;CostTrack[[#This Row],[Reconciled Amount]],"Yes","No"))</f>
        <v>No</v>
      </c>
      <c r="AE624" s="658"/>
    </row>
    <row r="625" spans="2:31" ht="28.35" customHeight="1">
      <c r="B625" s="1324" t="s">
        <v>528</v>
      </c>
      <c r="C625" s="1334">
        <v>60835081</v>
      </c>
      <c r="D625" s="1308">
        <v>45218</v>
      </c>
      <c r="E625" s="658">
        <v>4333.5</v>
      </c>
      <c r="F625" s="1309" t="s">
        <v>69</v>
      </c>
      <c r="G625" s="1310">
        <f ca="1">ROUND(IF(CostTrack[[#This Row],[Holdback (Y/N/R)]]="Yes",CostTrack[[#This Row],[Value]]*-0.1,IF(CostTrack[[#This Row],[Holdback (Y/N/R)]]="Release",CostTrack[[#This Row],[Value]],0)),2)</f>
        <v>0</v>
      </c>
      <c r="H625" s="1311">
        <f ca="1">IF(CostTrack[[#This Row],[Holdback (Y/N/R)]]="Release",CostTrack[[#This Row],[Value]],CostTrack[[#This Row],[Value]]+CostTrack[[#This Row],[Holdback Value]])</f>
        <v>4333.5</v>
      </c>
      <c r="I625" s="1312"/>
      <c r="J625" s="1312"/>
      <c r="K625" s="1313"/>
      <c r="L625" s="1325">
        <v>45222</v>
      </c>
      <c r="M625" s="1326">
        <v>45222</v>
      </c>
      <c r="N625" s="1327"/>
      <c r="O625" s="1328" t="s">
        <v>106</v>
      </c>
      <c r="P625" s="1308">
        <v>45222</v>
      </c>
      <c r="Q625" s="1314" t="str">
        <f ca="1">IF(CostTrack[[#This Row],[Vendor - Contract]]="","",INDEX(VendorList[PA ID],MATCH(CostTrack[[#This Row],[Vendor - Contract]],VendorList[Vendor / Org. with Contract ID],0)))</f>
        <v>200.050.F1</v>
      </c>
      <c r="R625" s="1314" t="str">
        <f ca="1">IF(CostTrack[[#This Row],[Vendor - Contract]]="","",INDEX(VendorList[Primary Category],MATCH(CostTrack[[#This Row],[Vendor - Contract]],VendorList[Vendor / Org. with Contract ID],0)))</f>
        <v>Professional Services</v>
      </c>
      <c r="S625" s="1314" t="str">
        <f ca="1">IF(CostTrack[[#This Row],[Vendor - Contract]]="","",INDEX(VendorList[Secondary Category],MATCH(CostTrack[[#This Row],[Vendor - Contract]],VendorList[Vendor / Org. with Contract ID],0)))</f>
        <v>Other Professional Services</v>
      </c>
      <c r="T625" s="1314" t="str">
        <f ca="1">IF(CostTrack[[#This Row],[Vendor - Contract]]="","",INDEX(VendorList[Phase / Subproject],MATCH(CostTrack[[#This Row],[Vendor - Contract]],VendorList[Vendor / Org. with Contract ID],0)))</f>
        <v>--</v>
      </c>
      <c r="U625" s="1314" t="str">
        <f ca="1">IF(CostTrack[[#This Row],[Vendor - Contract]]="","",INDEX(VendorList[Phase / Subproject 2],MATCH(CostTrack[[#This Row],[Vendor - Contract]],VendorList[Vendor / Org. with Contract ID],0)))</f>
        <v>--</v>
      </c>
      <c r="V625" s="1314" t="str">
        <f ca="1">IF(CostTrack[[#This Row],[Vendor - Contract]]="","",INDEX(VendorList[Funding Source],MATCH(CostTrack[[#This Row],[Vendor - Contract]],VendorList[Vendor / Org. with Contract ID],0)))</f>
        <v>P-002360</v>
      </c>
      <c r="W625" s="1308">
        <v>45222</v>
      </c>
      <c r="X625" s="1315" t="str">
        <f ca="1">IF(CostTrack[[#This Row],[Release Date (CMS)]]="","*","")</f>
        <v/>
      </c>
      <c r="Y625" s="1308" t="s">
        <v>58</v>
      </c>
      <c r="Z625" s="713"/>
      <c r="AA625" s="1316">
        <f ca="1">IF(OR(CostTrack[[#This Row],[Release Date (CMS)]]&gt;=DATE(VALUE(REPLACE(CostTrack[[#This Row],[Fiscal Period]],3,3,"")),3,1),CostTrack[[#This Row],[Release Date (CMS)]]&lt;DATE(VALUE(LEFT(CostTrack[[#This Row],[Fiscal Period]],4)),4,1)),1,0)</f>
        <v>0</v>
      </c>
      <c r="AB625" s="1317">
        <v>4333.5</v>
      </c>
      <c r="AC625" s="1308">
        <v>45246</v>
      </c>
      <c r="AD625" s="402" t="str">
        <f ca="1">IF(CostTrack[[#This Row],[Reconciled Amount]]="","",IF(CostTrack[[#This Row],[Value]]&lt;&gt;CostTrack[[#This Row],[Reconciled Amount]],"Yes","No"))</f>
        <v>No</v>
      </c>
      <c r="AE625" s="658"/>
    </row>
    <row r="626" spans="2:31" ht="28.35" customHeight="1">
      <c r="B626" s="1324" t="s">
        <v>736</v>
      </c>
      <c r="C626" s="691" t="s">
        <v>1296</v>
      </c>
      <c r="D626" s="1308">
        <v>45230</v>
      </c>
      <c r="E626" s="658">
        <v>32452.22</v>
      </c>
      <c r="F626" s="1309" t="s">
        <v>69</v>
      </c>
      <c r="G626" s="1310">
        <f ca="1">ROUND(IF(CostTrack[[#This Row],[Holdback (Y/N/R)]]="Yes",CostTrack[[#This Row],[Value]]*-0.1,IF(CostTrack[[#This Row],[Holdback (Y/N/R)]]="Release",CostTrack[[#This Row],[Value]],0)),2)</f>
        <v>0</v>
      </c>
      <c r="H626" s="1311">
        <f ca="1">IF(CostTrack[[#This Row],[Holdback (Y/N/R)]]="Release",CostTrack[[#This Row],[Value]],CostTrack[[#This Row],[Value]]+CostTrack[[#This Row],[Holdback Value]])</f>
        <v>32452.22</v>
      </c>
      <c r="I626" s="1312"/>
      <c r="J626" s="1312"/>
      <c r="K626" s="1313"/>
      <c r="L626" s="1325">
        <v>45230</v>
      </c>
      <c r="M626" s="1326">
        <v>45230</v>
      </c>
      <c r="N626" s="1327"/>
      <c r="O626" s="1328" t="s">
        <v>106</v>
      </c>
      <c r="P626" s="1308">
        <v>45230</v>
      </c>
      <c r="Q626" s="1314" t="str">
        <f ca="1">IF(CostTrack[[#This Row],[Vendor - Contract]]="","",INDEX(VendorList[PA ID],MATCH(CostTrack[[#This Row],[Vendor - Contract]],VendorList[Vendor / Org. with Contract ID],0)))</f>
        <v>100.010.F1</v>
      </c>
      <c r="R626" s="1314" t="str">
        <f ca="1">IF(CostTrack[[#This Row],[Vendor - Contract]]="","",INDEX(VendorList[Primary Category],MATCH(CostTrack[[#This Row],[Vendor - Contract]],VendorList[Vendor / Org. with Contract ID],0)))</f>
        <v>Administration</v>
      </c>
      <c r="S626" s="1314" t="str">
        <f ca="1">IF(CostTrack[[#This Row],[Vendor - Contract]]="","",INDEX(VendorList[Secondary Category],MATCH(CostTrack[[#This Row],[Vendor - Contract]],VendorList[Vendor / Org. with Contract ID],0)))</f>
        <v>Staff Capitalization - INFRA</v>
      </c>
      <c r="T626" s="1314" t="str">
        <f ca="1">IF(CostTrack[[#This Row],[Vendor - Contract]]="","",INDEX(VendorList[Phase / Subproject],MATCH(CostTrack[[#This Row],[Vendor - Contract]],VendorList[Vendor / Org. with Contract ID],0)))</f>
        <v>--</v>
      </c>
      <c r="U626" s="1314" t="str">
        <f ca="1">IF(CostTrack[[#This Row],[Vendor - Contract]]="","",INDEX(VendorList[Phase / Subproject 2],MATCH(CostTrack[[#This Row],[Vendor - Contract]],VendorList[Vendor / Org. with Contract ID],0)))</f>
        <v>--</v>
      </c>
      <c r="V626" s="1314" t="str">
        <f ca="1">IF(CostTrack[[#This Row],[Vendor - Contract]]="","",INDEX(VendorList[Funding Source],MATCH(CostTrack[[#This Row],[Vendor - Contract]],VendorList[Vendor / Org. with Contract ID],0)))</f>
        <v>P-002360</v>
      </c>
      <c r="W626" s="1308">
        <v>45230</v>
      </c>
      <c r="X626" s="1315" t="str">
        <f ca="1">IF(CostTrack[[#This Row],[Release Date (CMS)]]="","*","")</f>
        <v/>
      </c>
      <c r="Y626" s="1308" t="s">
        <v>58</v>
      </c>
      <c r="Z626" s="713"/>
      <c r="AA626" s="1316">
        <f ca="1">IF(OR(CostTrack[[#This Row],[Release Date (CMS)]]&gt;=DATE(VALUE(REPLACE(CostTrack[[#This Row],[Fiscal Period]],3,3,"")),3,1),CostTrack[[#This Row],[Release Date (CMS)]]&lt;DATE(VALUE(LEFT(CostTrack[[#This Row],[Fiscal Period]],4)),4,1)),1,0)</f>
        <v>0</v>
      </c>
      <c r="AB626" s="1317">
        <v>32452.22</v>
      </c>
      <c r="AC626" s="1308">
        <v>45246</v>
      </c>
      <c r="AD626" s="402" t="str">
        <f ca="1">IF(CostTrack[[#This Row],[Reconciled Amount]]="","",IF(CostTrack[[#This Row],[Value]]&lt;&gt;CostTrack[[#This Row],[Reconciled Amount]],"Yes","No"))</f>
        <v>No</v>
      </c>
      <c r="AE626" s="658"/>
    </row>
    <row r="627" spans="2:31" ht="28.35" customHeight="1">
      <c r="B627" s="1324" t="s">
        <v>731</v>
      </c>
      <c r="C627" s="1334">
        <v>800059042</v>
      </c>
      <c r="D627" s="1308">
        <v>45202</v>
      </c>
      <c r="E627" s="658">
        <v>66.290000000000006</v>
      </c>
      <c r="F627" s="1309" t="s">
        <v>69</v>
      </c>
      <c r="G627" s="1310">
        <f ca="1">ROUND(IF(CostTrack[[#This Row],[Holdback (Y/N/R)]]="Yes",CostTrack[[#This Row],[Value]]*-0.1,IF(CostTrack[[#This Row],[Holdback (Y/N/R)]]="Release",CostTrack[[#This Row],[Value]],0)),2)</f>
        <v>0</v>
      </c>
      <c r="H627" s="1311">
        <f ca="1">IF(CostTrack[[#This Row],[Holdback (Y/N/R)]]="Release",CostTrack[[#This Row],[Value]],CostTrack[[#This Row],[Value]]+CostTrack[[#This Row],[Holdback Value]])</f>
        <v>66.290000000000006</v>
      </c>
      <c r="I627" s="1312"/>
      <c r="J627" s="1312"/>
      <c r="K627" s="1313"/>
      <c r="L627" s="1325">
        <v>45202</v>
      </c>
      <c r="M627" s="1326">
        <v>45202</v>
      </c>
      <c r="N627" s="1327"/>
      <c r="O627" s="1328" t="s">
        <v>106</v>
      </c>
      <c r="P627" s="1308">
        <v>45202</v>
      </c>
      <c r="Q627" s="1314" t="str">
        <f ca="1">IF(CostTrack[[#This Row],[Vendor - Contract]]="","",INDEX(VendorList[PA ID],MATCH(CostTrack[[#This Row],[Vendor - Contract]],VendorList[Vendor / Org. with Contract ID],0)))</f>
        <v>100.050.F1</v>
      </c>
      <c r="R627" s="1314" t="str">
        <f ca="1">IF(CostTrack[[#This Row],[Vendor - Contract]]="","",INDEX(VendorList[Primary Category],MATCH(CostTrack[[#This Row],[Vendor - Contract]],VendorList[Vendor / Org. with Contract ID],0)))</f>
        <v>Administration</v>
      </c>
      <c r="S627" s="1314" t="str">
        <f ca="1">IF(CostTrack[[#This Row],[Vendor - Contract]]="","",INDEX(VendorList[Secondary Category],MATCH(CostTrack[[#This Row],[Vendor - Contract]],VendorList[Vendor / Org. with Contract ID],0)))</f>
        <v>Other Administration</v>
      </c>
      <c r="T627" s="1314" t="str">
        <f ca="1">IF(CostTrack[[#This Row],[Vendor - Contract]]="","",INDEX(VendorList[Phase / Subproject],MATCH(CostTrack[[#This Row],[Vendor - Contract]],VendorList[Vendor / Org. with Contract ID],0)))</f>
        <v>--</v>
      </c>
      <c r="U627" s="1314" t="str">
        <f ca="1">IF(CostTrack[[#This Row],[Vendor - Contract]]="","",INDEX(VendorList[Phase / Subproject 2],MATCH(CostTrack[[#This Row],[Vendor - Contract]],VendorList[Vendor / Org. with Contract ID],0)))</f>
        <v>--</v>
      </c>
      <c r="V627" s="1314" t="str">
        <f ca="1">IF(CostTrack[[#This Row],[Vendor - Contract]]="","",INDEX(VendorList[Funding Source],MATCH(CostTrack[[#This Row],[Vendor - Contract]],VendorList[Vendor / Org. with Contract ID],0)))</f>
        <v>P-002360</v>
      </c>
      <c r="W627" s="1308">
        <v>45202</v>
      </c>
      <c r="X627" s="1315" t="str">
        <f ca="1">IF(CostTrack[[#This Row],[Release Date (CMS)]]="","*","")</f>
        <v/>
      </c>
      <c r="Y627" s="1308" t="s">
        <v>58</v>
      </c>
      <c r="Z627" s="713" t="s">
        <v>1297</v>
      </c>
      <c r="AA627" s="1316">
        <f ca="1">IF(OR(CostTrack[[#This Row],[Release Date (CMS)]]&gt;=DATE(VALUE(REPLACE(CostTrack[[#This Row],[Fiscal Period]],3,3,"")),3,1),CostTrack[[#This Row],[Release Date (CMS)]]&lt;DATE(VALUE(LEFT(CostTrack[[#This Row],[Fiscal Period]],4)),4,1)),1,0)</f>
        <v>0</v>
      </c>
      <c r="AB627" s="1317">
        <v>66.290000000000006</v>
      </c>
      <c r="AC627" s="1308">
        <v>45246</v>
      </c>
      <c r="AD627" s="402" t="str">
        <f ca="1">IF(CostTrack[[#This Row],[Reconciled Amount]]="","",IF(CostTrack[[#This Row],[Value]]&lt;&gt;CostTrack[[#This Row],[Reconciled Amount]],"Yes","No"))</f>
        <v>No</v>
      </c>
      <c r="AE627" s="658"/>
    </row>
    <row r="628" spans="2:31" ht="47.1" customHeight="1">
      <c r="B628" s="1324" t="s">
        <v>731</v>
      </c>
      <c r="C628" s="1334">
        <v>800061251</v>
      </c>
      <c r="D628" s="1308">
        <v>45209</v>
      </c>
      <c r="E628" s="658">
        <v>189.26</v>
      </c>
      <c r="F628" s="1309" t="s">
        <v>69</v>
      </c>
      <c r="G628" s="1310">
        <f ca="1">ROUND(IF(CostTrack[[#This Row],[Holdback (Y/N/R)]]="Yes",CostTrack[[#This Row],[Value]]*-0.1,IF(CostTrack[[#This Row],[Holdback (Y/N/R)]]="Release",CostTrack[[#This Row],[Value]],0)),2)</f>
        <v>0</v>
      </c>
      <c r="H628" s="1311">
        <f ca="1">IF(CostTrack[[#This Row],[Holdback (Y/N/R)]]="Release",CostTrack[[#This Row],[Value]],CostTrack[[#This Row],[Value]]+CostTrack[[#This Row],[Holdback Value]])</f>
        <v>189.26</v>
      </c>
      <c r="I628" s="1312"/>
      <c r="J628" s="1312"/>
      <c r="K628" s="1313"/>
      <c r="L628" s="1325">
        <v>45209</v>
      </c>
      <c r="M628" s="1326">
        <v>45209</v>
      </c>
      <c r="N628" s="1327"/>
      <c r="O628" s="1328" t="s">
        <v>106</v>
      </c>
      <c r="P628" s="1308">
        <v>45209</v>
      </c>
      <c r="Q628" s="1314" t="str">
        <f ca="1">IF(CostTrack[[#This Row],[Vendor - Contract]]="","",INDEX(VendorList[PA ID],MATCH(CostTrack[[#This Row],[Vendor - Contract]],VendorList[Vendor / Org. with Contract ID],0)))</f>
        <v>100.050.F1</v>
      </c>
      <c r="R628" s="1314" t="str">
        <f ca="1">IF(CostTrack[[#This Row],[Vendor - Contract]]="","",INDEX(VendorList[Primary Category],MATCH(CostTrack[[#This Row],[Vendor - Contract]],VendorList[Vendor / Org. with Contract ID],0)))</f>
        <v>Administration</v>
      </c>
      <c r="S628" s="1314" t="str">
        <f ca="1">IF(CostTrack[[#This Row],[Vendor - Contract]]="","",INDEX(VendorList[Secondary Category],MATCH(CostTrack[[#This Row],[Vendor - Contract]],VendorList[Vendor / Org. with Contract ID],0)))</f>
        <v>Other Administration</v>
      </c>
      <c r="T628" s="1314" t="str">
        <f ca="1">IF(CostTrack[[#This Row],[Vendor - Contract]]="","",INDEX(VendorList[Phase / Subproject],MATCH(CostTrack[[#This Row],[Vendor - Contract]],VendorList[Vendor / Org. with Contract ID],0)))</f>
        <v>--</v>
      </c>
      <c r="U628" s="1314" t="str">
        <f ca="1">IF(CostTrack[[#This Row],[Vendor - Contract]]="","",INDEX(VendorList[Phase / Subproject 2],MATCH(CostTrack[[#This Row],[Vendor - Contract]],VendorList[Vendor / Org. with Contract ID],0)))</f>
        <v>--</v>
      </c>
      <c r="V628" s="1314" t="str">
        <f ca="1">IF(CostTrack[[#This Row],[Vendor - Contract]]="","",INDEX(VendorList[Funding Source],MATCH(CostTrack[[#This Row],[Vendor - Contract]],VendorList[Vendor / Org. with Contract ID],0)))</f>
        <v>P-002360</v>
      </c>
      <c r="W628" s="1308">
        <v>45209</v>
      </c>
      <c r="X628" s="1315" t="str">
        <f ca="1">IF(CostTrack[[#This Row],[Release Date (CMS)]]="","*","")</f>
        <v/>
      </c>
      <c r="Y628" s="1308" t="s">
        <v>58</v>
      </c>
      <c r="Z628" s="713" t="s">
        <v>1298</v>
      </c>
      <c r="AA628" s="1316">
        <f ca="1">IF(OR(CostTrack[[#This Row],[Release Date (CMS)]]&gt;=DATE(VALUE(REPLACE(CostTrack[[#This Row],[Fiscal Period]],3,3,"")),3,1),CostTrack[[#This Row],[Release Date (CMS)]]&lt;DATE(VALUE(LEFT(CostTrack[[#This Row],[Fiscal Period]],4)),4,1)),1,0)</f>
        <v>0</v>
      </c>
      <c r="AB628" s="1317">
        <v>189.26</v>
      </c>
      <c r="AC628" s="1308">
        <v>45246</v>
      </c>
      <c r="AD628" s="402" t="str">
        <f ca="1">IF(CostTrack[[#This Row],[Reconciled Amount]]="","",IF(CostTrack[[#This Row],[Value]]&lt;&gt;CostTrack[[#This Row],[Reconciled Amount]],"Yes","No"))</f>
        <v>No</v>
      </c>
      <c r="AE628" s="658"/>
    </row>
    <row r="629" spans="2:31" ht="28.35" customHeight="1">
      <c r="B629" s="1324" t="s">
        <v>698</v>
      </c>
      <c r="C629" s="1334">
        <v>14362</v>
      </c>
      <c r="D629" s="1308">
        <v>45230</v>
      </c>
      <c r="E629" s="658">
        <v>2208</v>
      </c>
      <c r="F629" s="1309" t="s">
        <v>69</v>
      </c>
      <c r="G629" s="1310">
        <f ca="1">ROUND(IF(CostTrack[[#This Row],[Holdback (Y/N/R)]]="Yes",CostTrack[[#This Row],[Value]]*-0.1,IF(CostTrack[[#This Row],[Holdback (Y/N/R)]]="Release",CostTrack[[#This Row],[Value]],0)),2)</f>
        <v>0</v>
      </c>
      <c r="H629" s="1311">
        <f ca="1">IF(CostTrack[[#This Row],[Holdback (Y/N/R)]]="Release",CostTrack[[#This Row],[Value]],CostTrack[[#This Row],[Value]]+CostTrack[[#This Row],[Holdback Value]])</f>
        <v>2208</v>
      </c>
      <c r="I629" s="1312"/>
      <c r="J629" s="1312"/>
      <c r="K629" s="1313"/>
      <c r="L629" s="1325">
        <v>45230</v>
      </c>
      <c r="M629" s="1326">
        <v>45238</v>
      </c>
      <c r="N629" s="1327"/>
      <c r="O629" s="1328" t="s">
        <v>106</v>
      </c>
      <c r="P629" s="1308">
        <v>45238</v>
      </c>
      <c r="Q629" s="1314" t="str">
        <f ca="1">IF(CostTrack[[#This Row],[Vendor - Contract]]="","",INDEX(VendorList[PA ID],MATCH(CostTrack[[#This Row],[Vendor - Contract]],VendorList[Vendor / Org. with Contract ID],0)))</f>
        <v>400.030.F1</v>
      </c>
      <c r="R629" s="1314" t="str">
        <f ca="1">IF(CostTrack[[#This Row],[Vendor - Contract]]="","",INDEX(VendorList[Primary Category],MATCH(CostTrack[[#This Row],[Vendor - Contract]],VendorList[Vendor / Org. with Contract ID],0)))</f>
        <v>FE_IT</v>
      </c>
      <c r="S629" s="1314" t="str">
        <f ca="1">IF(CostTrack[[#This Row],[Vendor - Contract]]="","",INDEX(VendorList[Secondary Category],MATCH(CostTrack[[#This Row],[Vendor - Contract]],VendorList[Vendor / Org. with Contract ID],0)))</f>
        <v>Movers</v>
      </c>
      <c r="T629" s="1314" t="str">
        <f ca="1">IF(CostTrack[[#This Row],[Vendor - Contract]]="","",INDEX(VendorList[Phase / Subproject],MATCH(CostTrack[[#This Row],[Vendor - Contract]],VendorList[Vendor / Org. with Contract ID],0)))</f>
        <v>--</v>
      </c>
      <c r="U629" s="1314" t="str">
        <f ca="1">IF(CostTrack[[#This Row],[Vendor - Contract]]="","",INDEX(VendorList[Phase / Subproject 2],MATCH(CostTrack[[#This Row],[Vendor - Contract]],VendorList[Vendor / Org. with Contract ID],0)))</f>
        <v>--</v>
      </c>
      <c r="V629" s="1314" t="str">
        <f ca="1">IF(CostTrack[[#This Row],[Vendor - Contract]]="","",INDEX(VendorList[Funding Source],MATCH(CostTrack[[#This Row],[Vendor - Contract]],VendorList[Vendor / Org. with Contract ID],0)))</f>
        <v>P-002360</v>
      </c>
      <c r="W629" s="1308">
        <v>45238</v>
      </c>
      <c r="X629" s="1315" t="str">
        <f ca="1">IF(CostTrack[[#This Row],[Release Date (CMS)]]="","*","")</f>
        <v/>
      </c>
      <c r="Y629" s="1308" t="s">
        <v>58</v>
      </c>
      <c r="Z629" s="713"/>
      <c r="AA629" s="1316">
        <f ca="1">IF(OR(CostTrack[[#This Row],[Release Date (CMS)]]&gt;=DATE(VALUE(REPLACE(CostTrack[[#This Row],[Fiscal Period]],3,3,"")),3,1),CostTrack[[#This Row],[Release Date (CMS)]]&lt;DATE(VALUE(LEFT(CostTrack[[#This Row],[Fiscal Period]],4)),4,1)),1,0)</f>
        <v>0</v>
      </c>
      <c r="AB629" s="1317">
        <v>2208</v>
      </c>
      <c r="AC629" s="1308">
        <v>45268</v>
      </c>
      <c r="AD629" s="402" t="str">
        <f ca="1">IF(CostTrack[[#This Row],[Reconciled Amount]]="","",IF(CostTrack[[#This Row],[Value]]&lt;&gt;CostTrack[[#This Row],[Reconciled Amount]],"Yes","No"))</f>
        <v>No</v>
      </c>
      <c r="AE629" s="658"/>
    </row>
    <row r="630" spans="2:31" ht="28.35" customHeight="1">
      <c r="B630" s="1324" t="s">
        <v>711</v>
      </c>
      <c r="C630" s="1334">
        <v>4636350</v>
      </c>
      <c r="D630" s="1308">
        <v>45230</v>
      </c>
      <c r="E630" s="658">
        <v>199.36</v>
      </c>
      <c r="F630" s="1309" t="s">
        <v>69</v>
      </c>
      <c r="G630" s="1310">
        <f ca="1">ROUND(IF(CostTrack[[#This Row],[Holdback (Y/N/R)]]="Yes",CostTrack[[#This Row],[Value]]*-0.1,IF(CostTrack[[#This Row],[Holdback (Y/N/R)]]="Release",CostTrack[[#This Row],[Value]],0)),2)</f>
        <v>0</v>
      </c>
      <c r="H630" s="1311">
        <f ca="1">IF(CostTrack[[#This Row],[Holdback (Y/N/R)]]="Release",CostTrack[[#This Row],[Value]],CostTrack[[#This Row],[Value]]+CostTrack[[#This Row],[Holdback Value]])</f>
        <v>199.36</v>
      </c>
      <c r="I630" s="1312"/>
      <c r="J630" s="1312"/>
      <c r="K630" s="1313"/>
      <c r="L630" s="1325">
        <v>45240</v>
      </c>
      <c r="M630" s="1326">
        <v>45240</v>
      </c>
      <c r="N630" s="1327"/>
      <c r="O630" s="1328" t="s">
        <v>106</v>
      </c>
      <c r="P630" s="1308">
        <v>45240</v>
      </c>
      <c r="Q630" s="1314" t="str">
        <f ca="1">IF(CostTrack[[#This Row],[Vendor - Contract]]="","",INDEX(VendorList[PA ID],MATCH(CostTrack[[#This Row],[Vendor - Contract]],VendorList[Vendor / Org. with Contract ID],0)))</f>
        <v>300.040.F1</v>
      </c>
      <c r="R630" s="1314" t="str">
        <f ca="1">IF(CostTrack[[#This Row],[Vendor - Contract]]="","",INDEX(VendorList[Primary Category],MATCH(CostTrack[[#This Row],[Vendor - Contract]],VendorList[Vendor / Org. with Contract ID],0)))</f>
        <v>Construction</v>
      </c>
      <c r="S630" s="1314" t="str">
        <f ca="1">IF(CostTrack[[#This Row],[Vendor - Contract]]="","",INDEX(VendorList[Secondary Category],MATCH(CostTrack[[#This Row],[Vendor - Contract]],VendorList[Vendor / Org. with Contract ID],0)))</f>
        <v>Other Contractor</v>
      </c>
      <c r="T630" s="1314" t="str">
        <f ca="1">IF(CostTrack[[#This Row],[Vendor - Contract]]="","",INDEX(VendorList[Phase / Subproject],MATCH(CostTrack[[#This Row],[Vendor - Contract]],VendorList[Vendor / Org. with Contract ID],0)))</f>
        <v>--</v>
      </c>
      <c r="U630" s="1314" t="str">
        <f ca="1">IF(CostTrack[[#This Row],[Vendor - Contract]]="","",INDEX(VendorList[Phase / Subproject 2],MATCH(CostTrack[[#This Row],[Vendor - Contract]],VendorList[Vendor / Org. with Contract ID],0)))</f>
        <v>--</v>
      </c>
      <c r="V630" s="1314" t="str">
        <f ca="1">IF(CostTrack[[#This Row],[Vendor - Contract]]="","",INDEX(VendorList[Funding Source],MATCH(CostTrack[[#This Row],[Vendor - Contract]],VendorList[Vendor / Org. with Contract ID],0)))</f>
        <v>P-002360</v>
      </c>
      <c r="W630" s="1308">
        <v>45239</v>
      </c>
      <c r="X630" s="1315" t="str">
        <f ca="1">IF(CostTrack[[#This Row],[Release Date (CMS)]]="","*","")</f>
        <v/>
      </c>
      <c r="Y630" s="1308" t="s">
        <v>58</v>
      </c>
      <c r="Z630" s="713"/>
      <c r="AA630" s="1316">
        <f ca="1">IF(OR(CostTrack[[#This Row],[Release Date (CMS)]]&gt;=DATE(VALUE(REPLACE(CostTrack[[#This Row],[Fiscal Period]],3,3,"")),3,1),CostTrack[[#This Row],[Release Date (CMS)]]&lt;DATE(VALUE(LEFT(CostTrack[[#This Row],[Fiscal Period]],4)),4,1)),1,0)</f>
        <v>0</v>
      </c>
      <c r="AB630" s="1317">
        <v>199.36</v>
      </c>
      <c r="AC630" s="1308">
        <v>45268</v>
      </c>
      <c r="AD630" s="402" t="str">
        <f ca="1">IF(CostTrack[[#This Row],[Reconciled Amount]]="","",IF(CostTrack[[#This Row],[Value]]&lt;&gt;CostTrack[[#This Row],[Reconciled Amount]],"Yes","No"))</f>
        <v>No</v>
      </c>
      <c r="AE630" s="658"/>
    </row>
    <row r="631" spans="2:31" ht="28.35" customHeight="1">
      <c r="B631" s="1324" t="s">
        <v>1087</v>
      </c>
      <c r="C631" s="1334">
        <v>39689120123</v>
      </c>
      <c r="D631" s="1308">
        <v>45240</v>
      </c>
      <c r="E631" s="658">
        <v>13333.91</v>
      </c>
      <c r="F631" s="1309" t="s">
        <v>69</v>
      </c>
      <c r="G631" s="1310">
        <f ca="1">ROUND(IF(CostTrack[[#This Row],[Holdback (Y/N/R)]]="Yes",CostTrack[[#This Row],[Value]]*-0.1,IF(CostTrack[[#This Row],[Holdback (Y/N/R)]]="Release",CostTrack[[#This Row],[Value]],0)),2)</f>
        <v>0</v>
      </c>
      <c r="H631" s="1311">
        <f ca="1">IF(CostTrack[[#This Row],[Holdback (Y/N/R)]]="Release",CostTrack[[#This Row],[Value]],CostTrack[[#This Row],[Value]]+CostTrack[[#This Row],[Holdback Value]])</f>
        <v>13333.91</v>
      </c>
      <c r="I631" s="1312"/>
      <c r="J631" s="1312"/>
      <c r="K631" s="1313"/>
      <c r="L631" s="1325">
        <v>45236</v>
      </c>
      <c r="M631" s="1326">
        <v>45236</v>
      </c>
      <c r="N631" s="1327"/>
      <c r="O631" s="1328" t="s">
        <v>106</v>
      </c>
      <c r="P631" s="1308">
        <v>45236</v>
      </c>
      <c r="Q631" s="1314" t="str">
        <f ca="1">IF(CostTrack[[#This Row],[Vendor - Contract]]="","",INDEX(VendorList[PA ID],MATCH(CostTrack[[#This Row],[Vendor - Contract]],VendorList[Vendor / Org. with Contract ID],0)))</f>
        <v>300.040.F1</v>
      </c>
      <c r="R631" s="1314" t="str">
        <f ca="1">IF(CostTrack[[#This Row],[Vendor - Contract]]="","",INDEX(VendorList[Primary Category],MATCH(CostTrack[[#This Row],[Vendor - Contract]],VendorList[Vendor / Org. with Contract ID],0)))</f>
        <v>Construction</v>
      </c>
      <c r="S631" s="1314" t="str">
        <f ca="1">IF(CostTrack[[#This Row],[Vendor - Contract]]="","",INDEX(VendorList[Secondary Category],MATCH(CostTrack[[#This Row],[Vendor - Contract]],VendorList[Vendor / Org. with Contract ID],0)))</f>
        <v>Other Contractor</v>
      </c>
      <c r="T631" s="1314" t="str">
        <f ca="1">IF(CostTrack[[#This Row],[Vendor - Contract]]="","",INDEX(VendorList[Phase / Subproject],MATCH(CostTrack[[#This Row],[Vendor - Contract]],VendorList[Vendor / Org. with Contract ID],0)))</f>
        <v>--</v>
      </c>
      <c r="U631" s="1314" t="str">
        <f ca="1">IF(CostTrack[[#This Row],[Vendor - Contract]]="","",INDEX(VendorList[Phase / Subproject 2],MATCH(CostTrack[[#This Row],[Vendor - Contract]],VendorList[Vendor / Org. with Contract ID],0)))</f>
        <v>--</v>
      </c>
      <c r="V631" s="1314" t="str">
        <f ca="1">IF(CostTrack[[#This Row],[Vendor - Contract]]="","",INDEX(VendorList[Funding Source],MATCH(CostTrack[[#This Row],[Vendor - Contract]],VendorList[Vendor / Org. with Contract ID],0)))</f>
        <v>P-002360</v>
      </c>
      <c r="W631" s="1308">
        <v>45246</v>
      </c>
      <c r="X631" s="1315" t="str">
        <f ca="1">IF(CostTrack[[#This Row],[Release Date (CMS)]]="","*","")</f>
        <v/>
      </c>
      <c r="Y631" s="1308" t="s">
        <v>58</v>
      </c>
      <c r="Z631" s="652" t="s">
        <v>1299</v>
      </c>
      <c r="AA631" s="1316">
        <f ca="1">IF(OR(CostTrack[[#This Row],[Release Date (CMS)]]&gt;=DATE(VALUE(REPLACE(CostTrack[[#This Row],[Fiscal Period]],3,3,"")),3,1),CostTrack[[#This Row],[Release Date (CMS)]]&lt;DATE(VALUE(LEFT(CostTrack[[#This Row],[Fiscal Period]],4)),4,1)),1,0)</f>
        <v>0</v>
      </c>
      <c r="AB631" s="1317">
        <v>13333.91</v>
      </c>
      <c r="AC631" s="1308">
        <v>45268</v>
      </c>
      <c r="AD631" s="402" t="str">
        <f ca="1">IF(CostTrack[[#This Row],[Reconciled Amount]]="","",IF(CostTrack[[#This Row],[Value]]&lt;&gt;CostTrack[[#This Row],[Reconciled Amount]],"Yes","No"))</f>
        <v>No</v>
      </c>
      <c r="AE631" s="658"/>
    </row>
    <row r="632" spans="2:31" ht="28.35" customHeight="1">
      <c r="B632" s="1324" t="s">
        <v>666</v>
      </c>
      <c r="C632" s="1334" t="s">
        <v>1300</v>
      </c>
      <c r="D632" s="1308">
        <v>45239</v>
      </c>
      <c r="E632" s="658">
        <v>2750</v>
      </c>
      <c r="F632" s="1309" t="s">
        <v>69</v>
      </c>
      <c r="G632" s="1310">
        <f ca="1">ROUND(IF(CostTrack[[#This Row],[Holdback (Y/N/R)]]="Yes",CostTrack[[#This Row],[Value]]*-0.1,IF(CostTrack[[#This Row],[Holdback (Y/N/R)]]="Release",CostTrack[[#This Row],[Value]],0)),2)</f>
        <v>0</v>
      </c>
      <c r="H632" s="1311">
        <f ca="1">IF(CostTrack[[#This Row],[Holdback (Y/N/R)]]="Release",CostTrack[[#This Row],[Value]],CostTrack[[#This Row],[Value]]+CostTrack[[#This Row],[Holdback Value]])</f>
        <v>2750</v>
      </c>
      <c r="I632" s="1312"/>
      <c r="J632" s="1312"/>
      <c r="K632" s="1313"/>
      <c r="L632" s="1325">
        <v>45240</v>
      </c>
      <c r="M632" s="1326">
        <v>45240</v>
      </c>
      <c r="N632" s="1327"/>
      <c r="O632" s="1328" t="s">
        <v>106</v>
      </c>
      <c r="P632" s="1308">
        <v>45245</v>
      </c>
      <c r="Q632" s="1314" t="str">
        <f ca="1">IF(CostTrack[[#This Row],[Vendor - Contract]]="","",INDEX(VendorList[PA ID],MATCH(CostTrack[[#This Row],[Vendor - Contract]],VendorList[Vendor / Org. with Contract ID],0)))</f>
        <v>200.050.F1</v>
      </c>
      <c r="R632" s="1314" t="str">
        <f ca="1">IF(CostTrack[[#This Row],[Vendor - Contract]]="","",INDEX(VendorList[Primary Category],MATCH(CostTrack[[#This Row],[Vendor - Contract]],VendorList[Vendor / Org. with Contract ID],0)))</f>
        <v>Professional Services</v>
      </c>
      <c r="S632" s="1314" t="str">
        <f ca="1">IF(CostTrack[[#This Row],[Vendor - Contract]]="","",INDEX(VendorList[Secondary Category],MATCH(CostTrack[[#This Row],[Vendor - Contract]],VendorList[Vendor / Org. with Contract ID],0)))</f>
        <v>Other Professional Services</v>
      </c>
      <c r="T632" s="1314" t="str">
        <f ca="1">IF(CostTrack[[#This Row],[Vendor - Contract]]="","",INDEX(VendorList[Phase / Subproject],MATCH(CostTrack[[#This Row],[Vendor - Contract]],VendorList[Vendor / Org. with Contract ID],0)))</f>
        <v>--</v>
      </c>
      <c r="U632" s="1314" t="str">
        <f ca="1">IF(CostTrack[[#This Row],[Vendor - Contract]]="","",INDEX(VendorList[Phase / Subproject 2],MATCH(CostTrack[[#This Row],[Vendor - Contract]],VendorList[Vendor / Org. with Contract ID],0)))</f>
        <v>--</v>
      </c>
      <c r="V632" s="1314" t="str">
        <f ca="1">IF(CostTrack[[#This Row],[Vendor - Contract]]="","",INDEX(VendorList[Funding Source],MATCH(CostTrack[[#This Row],[Vendor - Contract]],VendorList[Vendor / Org. with Contract ID],0)))</f>
        <v>P-002360</v>
      </c>
      <c r="W632" s="1308">
        <v>45245</v>
      </c>
      <c r="X632" s="1315" t="str">
        <f ca="1">IF(CostTrack[[#This Row],[Release Date (CMS)]]="","*","")</f>
        <v/>
      </c>
      <c r="Y632" s="1308" t="s">
        <v>58</v>
      </c>
      <c r="Z632" s="713"/>
      <c r="AA632" s="1316">
        <f ca="1">IF(OR(CostTrack[[#This Row],[Release Date (CMS)]]&gt;=DATE(VALUE(REPLACE(CostTrack[[#This Row],[Fiscal Period]],3,3,"")),3,1),CostTrack[[#This Row],[Release Date (CMS)]]&lt;DATE(VALUE(LEFT(CostTrack[[#This Row],[Fiscal Period]],4)),4,1)),1,0)</f>
        <v>0</v>
      </c>
      <c r="AB632" s="1317">
        <v>2750</v>
      </c>
      <c r="AC632" s="1308">
        <v>45268</v>
      </c>
      <c r="AD632" s="402" t="str">
        <f ca="1">IF(CostTrack[[#This Row],[Reconciled Amount]]="","",IF(CostTrack[[#This Row],[Value]]&lt;&gt;CostTrack[[#This Row],[Reconciled Amount]],"Yes","No"))</f>
        <v>No</v>
      </c>
      <c r="AE632" s="658"/>
    </row>
    <row r="633" spans="2:31" ht="28.35" customHeight="1">
      <c r="B633" s="1324" t="s">
        <v>666</v>
      </c>
      <c r="C633" s="1334" t="s">
        <v>1301</v>
      </c>
      <c r="D633" s="1308">
        <v>45239</v>
      </c>
      <c r="E633" s="658">
        <v>5000</v>
      </c>
      <c r="F633" s="1309" t="s">
        <v>69</v>
      </c>
      <c r="G633" s="1310">
        <f ca="1">ROUND(IF(CostTrack[[#This Row],[Holdback (Y/N/R)]]="Yes",CostTrack[[#This Row],[Value]]*-0.1,IF(CostTrack[[#This Row],[Holdback (Y/N/R)]]="Release",CostTrack[[#This Row],[Value]],0)),2)</f>
        <v>0</v>
      </c>
      <c r="H633" s="1311">
        <f ca="1">IF(CostTrack[[#This Row],[Holdback (Y/N/R)]]="Release",CostTrack[[#This Row],[Value]],CostTrack[[#This Row],[Value]]+CostTrack[[#This Row],[Holdback Value]])</f>
        <v>5000</v>
      </c>
      <c r="I633" s="1312"/>
      <c r="J633" s="1312"/>
      <c r="K633" s="1313"/>
      <c r="L633" s="1325">
        <v>45240</v>
      </c>
      <c r="M633" s="1326">
        <v>45240</v>
      </c>
      <c r="N633" s="1327"/>
      <c r="O633" s="1328" t="s">
        <v>106</v>
      </c>
      <c r="P633" s="1308">
        <v>45245</v>
      </c>
      <c r="Q633" s="1314" t="str">
        <f ca="1">IF(CostTrack[[#This Row],[Vendor - Contract]]="","",INDEX(VendorList[PA ID],MATCH(CostTrack[[#This Row],[Vendor - Contract]],VendorList[Vendor / Org. with Contract ID],0)))</f>
        <v>200.050.F1</v>
      </c>
      <c r="R633" s="1314" t="str">
        <f ca="1">IF(CostTrack[[#This Row],[Vendor - Contract]]="","",INDEX(VendorList[Primary Category],MATCH(CostTrack[[#This Row],[Vendor - Contract]],VendorList[Vendor / Org. with Contract ID],0)))</f>
        <v>Professional Services</v>
      </c>
      <c r="S633" s="1314" t="str">
        <f ca="1">IF(CostTrack[[#This Row],[Vendor - Contract]]="","",INDEX(VendorList[Secondary Category],MATCH(CostTrack[[#This Row],[Vendor - Contract]],VendorList[Vendor / Org. with Contract ID],0)))</f>
        <v>Other Professional Services</v>
      </c>
      <c r="T633" s="1314" t="str">
        <f ca="1">IF(CostTrack[[#This Row],[Vendor - Contract]]="","",INDEX(VendorList[Phase / Subproject],MATCH(CostTrack[[#This Row],[Vendor - Contract]],VendorList[Vendor / Org. with Contract ID],0)))</f>
        <v>--</v>
      </c>
      <c r="U633" s="1314" t="str">
        <f ca="1">IF(CostTrack[[#This Row],[Vendor - Contract]]="","",INDEX(VendorList[Phase / Subproject 2],MATCH(CostTrack[[#This Row],[Vendor - Contract]],VendorList[Vendor / Org. with Contract ID],0)))</f>
        <v>--</v>
      </c>
      <c r="V633" s="1314" t="str">
        <f ca="1">IF(CostTrack[[#This Row],[Vendor - Contract]]="","",INDEX(VendorList[Funding Source],MATCH(CostTrack[[#This Row],[Vendor - Contract]],VendorList[Vendor / Org. with Contract ID],0)))</f>
        <v>P-002360</v>
      </c>
      <c r="W633" s="1308">
        <v>45245</v>
      </c>
      <c r="X633" s="1315" t="str">
        <f ca="1">IF(CostTrack[[#This Row],[Release Date (CMS)]]="","*","")</f>
        <v/>
      </c>
      <c r="Y633" s="1308" t="s">
        <v>58</v>
      </c>
      <c r="Z633" s="713"/>
      <c r="AA633" s="1316">
        <f ca="1">IF(OR(CostTrack[[#This Row],[Release Date (CMS)]]&gt;=DATE(VALUE(REPLACE(CostTrack[[#This Row],[Fiscal Period]],3,3,"")),3,1),CostTrack[[#This Row],[Release Date (CMS)]]&lt;DATE(VALUE(LEFT(CostTrack[[#This Row],[Fiscal Period]],4)),4,1)),1,0)</f>
        <v>0</v>
      </c>
      <c r="AB633" s="1317">
        <v>5000</v>
      </c>
      <c r="AC633" s="1308">
        <v>45268</v>
      </c>
      <c r="AD633" s="402" t="str">
        <f ca="1">IF(CostTrack[[#This Row],[Reconciled Amount]]="","",IF(CostTrack[[#This Row],[Value]]&lt;&gt;CostTrack[[#This Row],[Reconciled Amount]],"Yes","No"))</f>
        <v>No</v>
      </c>
      <c r="AE633" s="658"/>
    </row>
    <row r="634" spans="2:31" ht="28.35" customHeight="1">
      <c r="B634" s="1324" t="s">
        <v>527</v>
      </c>
      <c r="C634" s="1334" t="s">
        <v>1302</v>
      </c>
      <c r="D634" s="1308">
        <v>45230</v>
      </c>
      <c r="E634" s="658">
        <v>52662.97</v>
      </c>
      <c r="F634" s="1309" t="s">
        <v>69</v>
      </c>
      <c r="G634" s="1310">
        <f ca="1">ROUND(IF(CostTrack[[#This Row],[Holdback (Y/N/R)]]="Yes",CostTrack[[#This Row],[Value]]*-0.1,IF(CostTrack[[#This Row],[Holdback (Y/N/R)]]="Release",CostTrack[[#This Row],[Value]],0)),2)</f>
        <v>0</v>
      </c>
      <c r="H634" s="1311">
        <f ca="1">IF(CostTrack[[#This Row],[Holdback (Y/N/R)]]="Release",CostTrack[[#This Row],[Value]],CostTrack[[#This Row],[Value]]+CostTrack[[#This Row],[Holdback Value]])</f>
        <v>52662.97</v>
      </c>
      <c r="I634" s="1312"/>
      <c r="J634" s="1312"/>
      <c r="K634" s="1313"/>
      <c r="L634" s="1325">
        <v>45237</v>
      </c>
      <c r="M634" s="1326">
        <v>45240</v>
      </c>
      <c r="N634" s="1327"/>
      <c r="O634" s="1328" t="s">
        <v>106</v>
      </c>
      <c r="P634" s="1308">
        <v>45245</v>
      </c>
      <c r="Q634" s="1314" t="str">
        <f ca="1">IF(CostTrack[[#This Row],[Vendor - Contract]]="","",INDEX(VendorList[PA ID],MATCH(CostTrack[[#This Row],[Vendor - Contract]],VendorList[Vendor / Org. with Contract ID],0)))</f>
        <v>200.010.F1</v>
      </c>
      <c r="R634" s="1314" t="str">
        <f ca="1">IF(CostTrack[[#This Row],[Vendor - Contract]]="","",INDEX(VendorList[Primary Category],MATCH(CostTrack[[#This Row],[Vendor - Contract]],VendorList[Vendor / Org. with Contract ID],0)))</f>
        <v>Professional Services</v>
      </c>
      <c r="S634" s="1314" t="str">
        <f ca="1">IF(CostTrack[[#This Row],[Vendor - Contract]]="","",INDEX(VendorList[Secondary Category],MATCH(CostTrack[[#This Row],[Vendor - Contract]],VendorList[Vendor / Org. with Contract ID],0)))</f>
        <v>Prime Consultant</v>
      </c>
      <c r="T634" s="1314" t="str">
        <f ca="1">IF(CostTrack[[#This Row],[Vendor - Contract]]="","",INDEX(VendorList[Phase / Subproject],MATCH(CostTrack[[#This Row],[Vendor - Contract]],VendorList[Vendor / Org. with Contract ID],0)))</f>
        <v>--</v>
      </c>
      <c r="U634" s="1314" t="str">
        <f ca="1">IF(CostTrack[[#This Row],[Vendor - Contract]]="","",INDEX(VendorList[Phase / Subproject 2],MATCH(CostTrack[[#This Row],[Vendor - Contract]],VendorList[Vendor / Org. with Contract ID],0)))</f>
        <v>--</v>
      </c>
      <c r="V634" s="1314" t="str">
        <f ca="1">IF(CostTrack[[#This Row],[Vendor - Contract]]="","",INDEX(VendorList[Funding Source],MATCH(CostTrack[[#This Row],[Vendor - Contract]],VendorList[Vendor / Org. with Contract ID],0)))</f>
        <v>P-002360</v>
      </c>
      <c r="W634" s="1358">
        <v>45245</v>
      </c>
      <c r="X634" s="1315" t="str">
        <f ca="1">IF(CostTrack[[#This Row],[Release Date (CMS)]]="","*","")</f>
        <v/>
      </c>
      <c r="Y634" s="1308" t="s">
        <v>58</v>
      </c>
      <c r="Z634" s="713"/>
      <c r="AA634" s="1316">
        <f ca="1">IF(OR(CostTrack[[#This Row],[Release Date (CMS)]]&gt;=DATE(VALUE(REPLACE(CostTrack[[#This Row],[Fiscal Period]],3,3,"")),3,1),CostTrack[[#This Row],[Release Date (CMS)]]&lt;DATE(VALUE(LEFT(CostTrack[[#This Row],[Fiscal Period]],4)),4,1)),1,0)</f>
        <v>0</v>
      </c>
      <c r="AB634" s="1317">
        <v>52662.97</v>
      </c>
      <c r="AC634" s="1308">
        <v>45268</v>
      </c>
      <c r="AD634" s="402" t="str">
        <f ca="1">IF(CostTrack[[#This Row],[Reconciled Amount]]="","",IF(CostTrack[[#This Row],[Value]]&lt;&gt;CostTrack[[#This Row],[Reconciled Amount]],"Yes","No"))</f>
        <v>No</v>
      </c>
      <c r="AE634" s="658"/>
    </row>
    <row r="635" spans="2:31" ht="28.35" customHeight="1">
      <c r="B635" s="1324" t="s">
        <v>731</v>
      </c>
      <c r="C635" s="1334">
        <v>800071600</v>
      </c>
      <c r="D635" s="1308">
        <v>45229</v>
      </c>
      <c r="E635" s="658">
        <v>134.09</v>
      </c>
      <c r="F635" s="1309" t="s">
        <v>69</v>
      </c>
      <c r="G635" s="1310">
        <f ca="1">ROUND(IF(CostTrack[[#This Row],[Holdback (Y/N/R)]]="Yes",CostTrack[[#This Row],[Value]]*-0.1,IF(CostTrack[[#This Row],[Holdback (Y/N/R)]]="Release",CostTrack[[#This Row],[Value]],0)),2)</f>
        <v>0</v>
      </c>
      <c r="H635" s="1311">
        <f ca="1">IF(CostTrack[[#This Row],[Holdback (Y/N/R)]]="Release",CostTrack[[#This Row],[Value]],CostTrack[[#This Row],[Value]]+CostTrack[[#This Row],[Holdback Value]])</f>
        <v>134.09</v>
      </c>
      <c r="I635" s="1312"/>
      <c r="J635" s="1312"/>
      <c r="K635" s="1313"/>
      <c r="L635" s="1325">
        <v>45236</v>
      </c>
      <c r="M635" s="1326">
        <v>45236</v>
      </c>
      <c r="N635" s="1327"/>
      <c r="O635" s="1328" t="s">
        <v>106</v>
      </c>
      <c r="P635" s="1308">
        <v>45236</v>
      </c>
      <c r="Q635" s="1314" t="str">
        <f ca="1">IF(CostTrack[[#This Row],[Vendor - Contract]]="","",INDEX(VendorList[PA ID],MATCH(CostTrack[[#This Row],[Vendor - Contract]],VendorList[Vendor / Org. with Contract ID],0)))</f>
        <v>100.050.F1</v>
      </c>
      <c r="R635" s="1314" t="str">
        <f ca="1">IF(CostTrack[[#This Row],[Vendor - Contract]]="","",INDEX(VendorList[Primary Category],MATCH(CostTrack[[#This Row],[Vendor - Contract]],VendorList[Vendor / Org. with Contract ID],0)))</f>
        <v>Administration</v>
      </c>
      <c r="S635" s="1314" t="str">
        <f ca="1">IF(CostTrack[[#This Row],[Vendor - Contract]]="","",INDEX(VendorList[Secondary Category],MATCH(CostTrack[[#This Row],[Vendor - Contract]],VendorList[Vendor / Org. with Contract ID],0)))</f>
        <v>Other Administration</v>
      </c>
      <c r="T635" s="1314" t="str">
        <f ca="1">IF(CostTrack[[#This Row],[Vendor - Contract]]="","",INDEX(VendorList[Phase / Subproject],MATCH(CostTrack[[#This Row],[Vendor - Contract]],VendorList[Vendor / Org. with Contract ID],0)))</f>
        <v>--</v>
      </c>
      <c r="U635" s="1314" t="str">
        <f ca="1">IF(CostTrack[[#This Row],[Vendor - Contract]]="","",INDEX(VendorList[Phase / Subproject 2],MATCH(CostTrack[[#This Row],[Vendor - Contract]],VendorList[Vendor / Org. with Contract ID],0)))</f>
        <v>--</v>
      </c>
      <c r="V635" s="1314" t="str">
        <f ca="1">IF(CostTrack[[#This Row],[Vendor - Contract]]="","",INDEX(VendorList[Funding Source],MATCH(CostTrack[[#This Row],[Vendor - Contract]],VendorList[Vendor / Org. with Contract ID],0)))</f>
        <v>P-002360</v>
      </c>
      <c r="W635" s="1358">
        <v>45236</v>
      </c>
      <c r="X635" s="1315" t="str">
        <f ca="1">IF(CostTrack[[#This Row],[Release Date (CMS)]]="","*","")</f>
        <v/>
      </c>
      <c r="Y635" s="1308" t="s">
        <v>58</v>
      </c>
      <c r="Z635" s="652" t="s">
        <v>1303</v>
      </c>
      <c r="AA635" s="1316">
        <f ca="1">IF(OR(CostTrack[[#This Row],[Release Date (CMS)]]&gt;=DATE(VALUE(REPLACE(CostTrack[[#This Row],[Fiscal Period]],3,3,"")),3,1),CostTrack[[#This Row],[Release Date (CMS)]]&lt;DATE(VALUE(LEFT(CostTrack[[#This Row],[Fiscal Period]],4)),4,1)),1,0)</f>
        <v>0</v>
      </c>
      <c r="AB635" s="1317">
        <v>134.09</v>
      </c>
      <c r="AC635" s="1308">
        <v>45268</v>
      </c>
      <c r="AD635" s="402" t="str">
        <f ca="1">IF(CostTrack[[#This Row],[Reconciled Amount]]="","",IF(CostTrack[[#This Row],[Value]]&lt;&gt;CostTrack[[#This Row],[Reconciled Amount]],"Yes","No"))</f>
        <v>No</v>
      </c>
      <c r="AE635" s="658"/>
    </row>
    <row r="636" spans="2:31" ht="28.35" customHeight="1">
      <c r="B636" s="706" t="s">
        <v>731</v>
      </c>
      <c r="C636" s="1334">
        <v>800077562</v>
      </c>
      <c r="D636" s="267">
        <v>45253</v>
      </c>
      <c r="E636" s="654">
        <v>242.37</v>
      </c>
      <c r="F636" s="647" t="s">
        <v>69</v>
      </c>
      <c r="G636" s="406">
        <f ca="1">ROUND(IF(CostTrack[[#This Row],[Holdback (Y/N/R)]]="Yes",CostTrack[[#This Row],[Value]]*-0.1,IF(CostTrack[[#This Row],[Holdback (Y/N/R)]]="Release",CostTrack[[#This Row],[Value]],0)),2)</f>
        <v>0</v>
      </c>
      <c r="H636" s="407">
        <f ca="1">IF(CostTrack[[#This Row],[Holdback (Y/N/R)]]="Release",CostTrack[[#This Row],[Value]],CostTrack[[#This Row],[Value]]+CostTrack[[#This Row],[Holdback Value]])</f>
        <v>242.37</v>
      </c>
      <c r="I636" s="650"/>
      <c r="J636" s="650"/>
      <c r="K636" s="648"/>
      <c r="L636" s="707">
        <v>45253</v>
      </c>
      <c r="M636" s="708">
        <v>45253</v>
      </c>
      <c r="N636" s="709"/>
      <c r="O636" s="712" t="s">
        <v>106</v>
      </c>
      <c r="P636" s="267">
        <v>45253</v>
      </c>
      <c r="Q636" s="243" t="str">
        <f ca="1">IF(CostTrack[[#This Row],[Vendor - Contract]]="","",INDEX(VendorList[PA ID],MATCH(CostTrack[[#This Row],[Vendor - Contract]],VendorList[Vendor / Org. with Contract ID],0)))</f>
        <v>100.050.F1</v>
      </c>
      <c r="R636" s="243" t="str">
        <f ca="1">IF(CostTrack[[#This Row],[Vendor - Contract]]="","",INDEX(VendorList[Primary Category],MATCH(CostTrack[[#This Row],[Vendor - Contract]],VendorList[Vendor / Org. with Contract ID],0)))</f>
        <v>Administration</v>
      </c>
      <c r="S636" s="243" t="str">
        <f ca="1">IF(CostTrack[[#This Row],[Vendor - Contract]]="","",INDEX(VendorList[Secondary Category],MATCH(CostTrack[[#This Row],[Vendor - Contract]],VendorList[Vendor / Org. with Contract ID],0)))</f>
        <v>Other Administration</v>
      </c>
      <c r="T636" s="243" t="str">
        <f ca="1">IF(CostTrack[[#This Row],[Vendor - Contract]]="","",INDEX(VendorList[Phase / Subproject],MATCH(CostTrack[[#This Row],[Vendor - Contract]],VendorList[Vendor / Org. with Contract ID],0)))</f>
        <v>--</v>
      </c>
      <c r="U636" s="243" t="str">
        <f ca="1">IF(CostTrack[[#This Row],[Vendor - Contract]]="","",INDEX(VendorList[Phase / Subproject 2],MATCH(CostTrack[[#This Row],[Vendor - Contract]],VendorList[Vendor / Org. with Contract ID],0)))</f>
        <v>--</v>
      </c>
      <c r="V636" s="243" t="str">
        <f ca="1">IF(CostTrack[[#This Row],[Vendor - Contract]]="","",INDEX(VendorList[Funding Source],MATCH(CostTrack[[#This Row],[Vendor - Contract]],VendorList[Vendor / Org. with Contract ID],0)))</f>
        <v>P-002360</v>
      </c>
      <c r="W636" s="267">
        <v>45253</v>
      </c>
      <c r="X636" s="251" t="str">
        <f ca="1">IF(CostTrack[[#This Row],[Release Date (CMS)]]="","*","")</f>
        <v/>
      </c>
      <c r="Y636" s="267" t="s">
        <v>58</v>
      </c>
      <c r="Z636" s="652" t="s">
        <v>1304</v>
      </c>
      <c r="AA636" s="245">
        <f ca="1">IF(OR(CostTrack[[#This Row],[Release Date (CMS)]]&gt;=DATE(VALUE(REPLACE(CostTrack[[#This Row],[Fiscal Period]],3,3,"")),3,1),CostTrack[[#This Row],[Release Date (CMS)]]&lt;DATE(VALUE(LEFT(CostTrack[[#This Row],[Fiscal Period]],4)),4,1)),1,0)</f>
        <v>0</v>
      </c>
      <c r="AB636" s="655">
        <v>242.37</v>
      </c>
      <c r="AC636" s="267">
        <v>45268</v>
      </c>
      <c r="AD636" s="402" t="str">
        <f ca="1">IF(CostTrack[[#This Row],[Reconciled Amount]]="","",IF(CostTrack[[#This Row],[Value]]&lt;&gt;CostTrack[[#This Row],[Reconciled Amount]],"Yes","No"))</f>
        <v>No</v>
      </c>
      <c r="AE636" s="654"/>
    </row>
    <row r="637" spans="2:31" ht="28.35" customHeight="1">
      <c r="B637" s="706" t="s">
        <v>754</v>
      </c>
      <c r="C637" s="691">
        <v>800077876</v>
      </c>
      <c r="D637" s="267">
        <v>45254</v>
      </c>
      <c r="E637" s="654">
        <v>39.619999999999997</v>
      </c>
      <c r="F637" s="647" t="s">
        <v>69</v>
      </c>
      <c r="G637" s="406">
        <f ca="1">ROUND(IF(CostTrack[[#This Row],[Holdback (Y/N/R)]]="Yes",CostTrack[[#This Row],[Value]]*-0.1,IF(CostTrack[[#This Row],[Holdback (Y/N/R)]]="Release",CostTrack[[#This Row],[Value]],0)),2)</f>
        <v>0</v>
      </c>
      <c r="H637" s="407">
        <f ca="1">IF(CostTrack[[#This Row],[Holdback (Y/N/R)]]="Release",CostTrack[[#This Row],[Value]],CostTrack[[#This Row],[Value]]+CostTrack[[#This Row],[Holdback Value]])</f>
        <v>39.619999999999997</v>
      </c>
      <c r="I637" s="650"/>
      <c r="J637" s="650"/>
      <c r="K637" s="648"/>
      <c r="L637" s="707">
        <v>45254</v>
      </c>
      <c r="M637" s="708">
        <v>45254</v>
      </c>
      <c r="N637" s="709"/>
      <c r="O637" s="712" t="s">
        <v>106</v>
      </c>
      <c r="P637" s="267">
        <v>45254</v>
      </c>
      <c r="Q637" s="243" t="str">
        <f ca="1">IF(CostTrack[[#This Row],[Vendor - Contract]]="","",INDEX(VendorList[PA ID],MATCH(CostTrack[[#This Row],[Vendor - Contract]],VendorList[Vendor / Org. with Contract ID],0)))</f>
        <v>100.050.F1</v>
      </c>
      <c r="R637" s="243" t="str">
        <f ca="1">IF(CostTrack[[#This Row],[Vendor - Contract]]="","",INDEX(VendorList[Primary Category],MATCH(CostTrack[[#This Row],[Vendor - Contract]],VendorList[Vendor / Org. with Contract ID],0)))</f>
        <v>Administration</v>
      </c>
      <c r="S637" s="243" t="str">
        <f ca="1">IF(CostTrack[[#This Row],[Vendor - Contract]]="","",INDEX(VendorList[Secondary Category],MATCH(CostTrack[[#This Row],[Vendor - Contract]],VendorList[Vendor / Org. with Contract ID],0)))</f>
        <v>Other Administration</v>
      </c>
      <c r="T637" s="243" t="str">
        <f ca="1">IF(CostTrack[[#This Row],[Vendor - Contract]]="","",INDEX(VendorList[Phase / Subproject],MATCH(CostTrack[[#This Row],[Vendor - Contract]],VendorList[Vendor / Org. with Contract ID],0)))</f>
        <v>--</v>
      </c>
      <c r="U637" s="243" t="str">
        <f ca="1">IF(CostTrack[[#This Row],[Vendor - Contract]]="","",INDEX(VendorList[Phase / Subproject 2],MATCH(CostTrack[[#This Row],[Vendor - Contract]],VendorList[Vendor / Org. with Contract ID],0)))</f>
        <v>--</v>
      </c>
      <c r="V637" s="243" t="str">
        <f ca="1">IF(CostTrack[[#This Row],[Vendor - Contract]]="","",INDEX(VendorList[Funding Source],MATCH(CostTrack[[#This Row],[Vendor - Contract]],VendorList[Vendor / Org. with Contract ID],0)))</f>
        <v>P-002360</v>
      </c>
      <c r="W637" s="267">
        <v>45254</v>
      </c>
      <c r="X637" s="251" t="str">
        <f ca="1">IF(CostTrack[[#This Row],[Release Date (CMS)]]="","*","")</f>
        <v/>
      </c>
      <c r="Y637" s="267" t="s">
        <v>58</v>
      </c>
      <c r="Z637" s="652"/>
      <c r="AA637" s="245">
        <f ca="1">IF(OR(CostTrack[[#This Row],[Release Date (CMS)]]&gt;=DATE(VALUE(REPLACE(CostTrack[[#This Row],[Fiscal Period]],3,3,"")),3,1),CostTrack[[#This Row],[Release Date (CMS)]]&lt;DATE(VALUE(LEFT(CostTrack[[#This Row],[Fiscal Period]],4)),4,1)),1,0)</f>
        <v>0</v>
      </c>
      <c r="AB637" s="655">
        <v>39.619999999999997</v>
      </c>
      <c r="AC637" s="267">
        <v>45268</v>
      </c>
      <c r="AD637" s="402" t="str">
        <f ca="1">IF(CostTrack[[#This Row],[Reconciled Amount]]="","",IF(CostTrack[[#This Row],[Value]]&lt;&gt;CostTrack[[#This Row],[Reconciled Amount]],"Yes","No"))</f>
        <v>No</v>
      </c>
      <c r="AE637" s="654"/>
    </row>
    <row r="638" spans="2:31" ht="28.35" customHeight="1">
      <c r="B638" s="1324" t="s">
        <v>710</v>
      </c>
      <c r="C638" s="1349">
        <v>100203999378</v>
      </c>
      <c r="D638" s="1308">
        <v>45246</v>
      </c>
      <c r="E638" s="658">
        <v>436.9</v>
      </c>
      <c r="F638" s="1309" t="s">
        <v>69</v>
      </c>
      <c r="G638" s="1310">
        <f ca="1">ROUND(IF(CostTrack[[#This Row],[Holdback (Y/N/R)]]="Yes",CostTrack[[#This Row],[Value]]*-0.1,IF(CostTrack[[#This Row],[Holdback (Y/N/R)]]="Release",CostTrack[[#This Row],[Value]],0)),2)</f>
        <v>0</v>
      </c>
      <c r="H638" s="1311">
        <f ca="1">IF(CostTrack[[#This Row],[Holdback (Y/N/R)]]="Release",CostTrack[[#This Row],[Value]],CostTrack[[#This Row],[Value]]+CostTrack[[#This Row],[Holdback Value]])</f>
        <v>436.9</v>
      </c>
      <c r="I638" s="1312"/>
      <c r="J638" s="1312"/>
      <c r="K638" s="1313"/>
      <c r="L638" s="1325">
        <v>45252</v>
      </c>
      <c r="M638" s="1326">
        <v>45252</v>
      </c>
      <c r="N638" s="1327"/>
      <c r="O638" s="1328" t="s">
        <v>106</v>
      </c>
      <c r="P638" s="1308">
        <v>45246</v>
      </c>
      <c r="Q638" s="1314" t="str">
        <f ca="1">IF(CostTrack[[#This Row],[Vendor - Contract]]="","",INDEX(VendorList[PA ID],MATCH(CostTrack[[#This Row],[Vendor - Contract]],VendorList[Vendor / Org. with Contract ID],0)))</f>
        <v>300.040.F1</v>
      </c>
      <c r="R638" s="1314" t="str">
        <f ca="1">IF(CostTrack[[#This Row],[Vendor - Contract]]="","",INDEX(VendorList[Primary Category],MATCH(CostTrack[[#This Row],[Vendor - Contract]],VendorList[Vendor / Org. with Contract ID],0)))</f>
        <v>Construction</v>
      </c>
      <c r="S638" s="1314" t="str">
        <f ca="1">IF(CostTrack[[#This Row],[Vendor - Contract]]="","",INDEX(VendorList[Secondary Category],MATCH(CostTrack[[#This Row],[Vendor - Contract]],VendorList[Vendor / Org. with Contract ID],0)))</f>
        <v>Other Contractor</v>
      </c>
      <c r="T638" s="1314" t="str">
        <f ca="1">IF(CostTrack[[#This Row],[Vendor - Contract]]="","",INDEX(VendorList[Phase / Subproject],MATCH(CostTrack[[#This Row],[Vendor - Contract]],VendorList[Vendor / Org. with Contract ID],0)))</f>
        <v>--</v>
      </c>
      <c r="U638" s="1314" t="str">
        <f ca="1">IF(CostTrack[[#This Row],[Vendor - Contract]]="","",INDEX(VendorList[Phase / Subproject 2],MATCH(CostTrack[[#This Row],[Vendor - Contract]],VendorList[Vendor / Org. with Contract ID],0)))</f>
        <v>--</v>
      </c>
      <c r="V638" s="1314" t="str">
        <f ca="1">IF(CostTrack[[#This Row],[Vendor - Contract]]="","",INDEX(VendorList[Funding Source],MATCH(CostTrack[[#This Row],[Vendor - Contract]],VendorList[Vendor / Org. with Contract ID],0)))</f>
        <v>P-002360</v>
      </c>
      <c r="W638" s="1358">
        <v>45254</v>
      </c>
      <c r="X638" s="1315" t="str">
        <f ca="1">IF(CostTrack[[#This Row],[Release Date (CMS)]]="","*","")</f>
        <v/>
      </c>
      <c r="Y638" s="1308" t="s">
        <v>58</v>
      </c>
      <c r="Z638" s="713"/>
      <c r="AA638" s="1316">
        <f ca="1">IF(OR(CostTrack[[#This Row],[Release Date (CMS)]]&gt;=DATE(VALUE(REPLACE(CostTrack[[#This Row],[Fiscal Period]],3,3,"")),3,1),CostTrack[[#This Row],[Release Date (CMS)]]&lt;DATE(VALUE(LEFT(CostTrack[[#This Row],[Fiscal Period]],4)),4,1)),1,0)</f>
        <v>0</v>
      </c>
      <c r="AB638" s="1317">
        <v>436.9</v>
      </c>
      <c r="AC638" s="1308">
        <v>45268</v>
      </c>
      <c r="AD638" s="402" t="str">
        <f ca="1">IF(CostTrack[[#This Row],[Reconciled Amount]]="","",IF(CostTrack[[#This Row],[Value]]&lt;&gt;CostTrack[[#This Row],[Reconciled Amount]],"Yes","No"))</f>
        <v>No</v>
      </c>
      <c r="AE638" s="658"/>
    </row>
    <row r="639" spans="2:31" ht="28.35" customHeight="1">
      <c r="B639" s="1324" t="s">
        <v>529</v>
      </c>
      <c r="C639" s="1349" t="s">
        <v>1305</v>
      </c>
      <c r="D639" s="1308">
        <v>45224</v>
      </c>
      <c r="E639" s="658">
        <v>1581131.67</v>
      </c>
      <c r="F639" s="1309" t="s">
        <v>65</v>
      </c>
      <c r="G639" s="1310">
        <f ca="1">ROUND(IF(CostTrack[[#This Row],[Holdback (Y/N/R)]]="Yes",CostTrack[[#This Row],[Value]]*-0.1,IF(CostTrack[[#This Row],[Holdback (Y/N/R)]]="Release",CostTrack[[#This Row],[Value]],0)),2)</f>
        <v>-158113.17000000001</v>
      </c>
      <c r="H639" s="1311">
        <f ca="1">IF(CostTrack[[#This Row],[Holdback (Y/N/R)]]="Release",CostTrack[[#This Row],[Value]],CostTrack[[#This Row],[Value]]+CostTrack[[#This Row],[Holdback Value]])</f>
        <v>1423018.5</v>
      </c>
      <c r="I639" s="1312" t="s">
        <v>1306</v>
      </c>
      <c r="J639" s="1312"/>
      <c r="K639" s="1313"/>
      <c r="L639" s="1325">
        <v>45257</v>
      </c>
      <c r="M639" s="1326">
        <v>45257</v>
      </c>
      <c r="N639" s="1327"/>
      <c r="O639" s="1328" t="s">
        <v>106</v>
      </c>
      <c r="P639" s="1308">
        <v>45258</v>
      </c>
      <c r="Q639" s="1314" t="str">
        <f ca="1">IF(CostTrack[[#This Row],[Vendor - Contract]]="","",INDEX(VendorList[PA ID],MATCH(CostTrack[[#This Row],[Vendor - Contract]],VendorList[Vendor / Org. with Contract ID],0)))</f>
        <v>300.030.F1</v>
      </c>
      <c r="R639" s="1314" t="str">
        <f ca="1">IF(CostTrack[[#This Row],[Vendor - Contract]]="","",INDEX(VendorList[Primary Category],MATCH(CostTrack[[#This Row],[Vendor - Contract]],VendorList[Vendor / Org. with Contract ID],0)))</f>
        <v>Construction</v>
      </c>
      <c r="S639" s="1314" t="str">
        <f ca="1">IF(CostTrack[[#This Row],[Vendor - Contract]]="","",INDEX(VendorList[Secondary Category],MATCH(CostTrack[[#This Row],[Vendor - Contract]],VendorList[Vendor / Org. with Contract ID],0)))</f>
        <v>Prime Contractor</v>
      </c>
      <c r="T639" s="1314" t="str">
        <f ca="1">IF(CostTrack[[#This Row],[Vendor - Contract]]="","",INDEX(VendorList[Phase / Subproject],MATCH(CostTrack[[#This Row],[Vendor - Contract]],VendorList[Vendor / Org. with Contract ID],0)))</f>
        <v>--</v>
      </c>
      <c r="U639" s="1314" t="str">
        <f ca="1">IF(CostTrack[[#This Row],[Vendor - Contract]]="","",INDEX(VendorList[Phase / Subproject 2],MATCH(CostTrack[[#This Row],[Vendor - Contract]],VendorList[Vendor / Org. with Contract ID],0)))</f>
        <v>--</v>
      </c>
      <c r="V639" s="1314" t="str">
        <f ca="1">IF(CostTrack[[#This Row],[Vendor - Contract]]="","",INDEX(VendorList[Funding Source],MATCH(CostTrack[[#This Row],[Vendor - Contract]],VendorList[Vendor / Org. with Contract ID],0)))</f>
        <v>P-002360</v>
      </c>
      <c r="W639" s="1308">
        <v>45258</v>
      </c>
      <c r="X639" s="1315" t="str">
        <f ca="1">IF(CostTrack[[#This Row],[Release Date (CMS)]]="","*","")</f>
        <v/>
      </c>
      <c r="Y639" s="1308" t="s">
        <v>58</v>
      </c>
      <c r="Z639" s="713"/>
      <c r="AA639" s="1316">
        <f ca="1">IF(OR(CostTrack[[#This Row],[Release Date (CMS)]]&gt;=DATE(VALUE(REPLACE(CostTrack[[#This Row],[Fiscal Period]],3,3,"")),3,1),CostTrack[[#This Row],[Release Date (CMS)]]&lt;DATE(VALUE(LEFT(CostTrack[[#This Row],[Fiscal Period]],4)),4,1)),1,0)</f>
        <v>0</v>
      </c>
      <c r="AB639" s="1317">
        <v>1581131.67</v>
      </c>
      <c r="AC639" s="1308">
        <v>45268</v>
      </c>
      <c r="AD639" s="402" t="str">
        <f ca="1">IF(CostTrack[[#This Row],[Reconciled Amount]]="","",IF(CostTrack[[#This Row],[Value]]&lt;&gt;CostTrack[[#This Row],[Reconciled Amount]],"Yes","No"))</f>
        <v>No</v>
      </c>
      <c r="AE639" s="658"/>
    </row>
    <row r="640" spans="2:31" ht="157.9" customHeight="1">
      <c r="B640" s="1324" t="s">
        <v>1307</v>
      </c>
      <c r="C640" s="1349" t="s">
        <v>1308</v>
      </c>
      <c r="D640" s="1308">
        <v>45098</v>
      </c>
      <c r="E640" s="658">
        <v>72300</v>
      </c>
      <c r="F640" s="1309" t="s">
        <v>69</v>
      </c>
      <c r="G640" s="1310">
        <f ca="1">ROUND(IF(CostTrack[[#This Row],[Holdback (Y/N/R)]]="Yes",CostTrack[[#This Row],[Value]]*-0.1,IF(CostTrack[[#This Row],[Holdback (Y/N/R)]]="Release",CostTrack[[#This Row],[Value]],0)),2)</f>
        <v>0</v>
      </c>
      <c r="H640" s="1311">
        <f ca="1">IF(CostTrack[[#This Row],[Holdback (Y/N/R)]]="Release",CostTrack[[#This Row],[Value]],CostTrack[[#This Row],[Value]]+CostTrack[[#This Row],[Holdback Value]])</f>
        <v>72300</v>
      </c>
      <c r="I640" s="1312"/>
      <c r="J640" s="1312"/>
      <c r="K640" s="1313"/>
      <c r="L640" s="1325">
        <v>45098</v>
      </c>
      <c r="M640" s="1326">
        <v>45098</v>
      </c>
      <c r="N640" s="1327"/>
      <c r="O640" s="1328" t="s">
        <v>106</v>
      </c>
      <c r="P640" s="1308">
        <v>45098</v>
      </c>
      <c r="Q640" s="1314" t="str">
        <f ca="1">IF(CostTrack[[#This Row],[Vendor - Contract]]="","",INDEX(VendorList[PA ID],MATCH(CostTrack[[#This Row],[Vendor - Contract]],VendorList[Vendor / Org. with Contract ID],0)))</f>
        <v>300.020.F1</v>
      </c>
      <c r="R640" s="1314" t="str">
        <f ca="1">IF(CostTrack[[#This Row],[Vendor - Contract]]="","",INDEX(VendorList[Primary Category],MATCH(CostTrack[[#This Row],[Vendor - Contract]],VendorList[Vendor / Org. with Contract ID],0)))</f>
        <v>Construction</v>
      </c>
      <c r="S640" s="1314" t="str">
        <f ca="1">IF(CostTrack[[#This Row],[Vendor - Contract]]="","",INDEX(VendorList[Secondary Category],MATCH(CostTrack[[#This Row],[Vendor - Contract]],VendorList[Vendor / Org. with Contract ID],0)))</f>
        <v>Utilities</v>
      </c>
      <c r="T640" s="1314" t="str">
        <f ca="1">IF(CostTrack[[#This Row],[Vendor - Contract]]="","",INDEX(VendorList[Phase / Subproject],MATCH(CostTrack[[#This Row],[Vendor - Contract]],VendorList[Vendor / Org. with Contract ID],0)))</f>
        <v>--</v>
      </c>
      <c r="U640" s="1314" t="str">
        <f ca="1">IF(CostTrack[[#This Row],[Vendor - Contract]]="","",INDEX(VendorList[Phase / Subproject 2],MATCH(CostTrack[[#This Row],[Vendor - Contract]],VendorList[Vendor / Org. with Contract ID],0)))</f>
        <v>--</v>
      </c>
      <c r="V640" s="1314" t="str">
        <f ca="1">IF(CostTrack[[#This Row],[Vendor - Contract]]="","",INDEX(VendorList[Funding Source],MATCH(CostTrack[[#This Row],[Vendor - Contract]],VendorList[Vendor / Org. with Contract ID],0)))</f>
        <v>P-002360</v>
      </c>
      <c r="W640" s="1358">
        <v>45259</v>
      </c>
      <c r="X640" s="1315" t="str">
        <f ca="1">IF(CostTrack[[#This Row],[Release Date (CMS)]]="","*","")</f>
        <v/>
      </c>
      <c r="Y640" s="1308" t="s">
        <v>58</v>
      </c>
      <c r="Z640" s="1113" t="s">
        <v>1309</v>
      </c>
      <c r="AA640" s="1316">
        <f ca="1">IF(OR(CostTrack[[#This Row],[Release Date (CMS)]]&gt;=DATE(VALUE(REPLACE(CostTrack[[#This Row],[Fiscal Period]],3,3,"")),3,1),CostTrack[[#This Row],[Release Date (CMS)]]&lt;DATE(VALUE(LEFT(CostTrack[[#This Row],[Fiscal Period]],4)),4,1)),1,0)</f>
        <v>0</v>
      </c>
      <c r="AB640" s="1317">
        <v>72300</v>
      </c>
      <c r="AC640" s="1308">
        <v>45268</v>
      </c>
      <c r="AD640" s="402" t="str">
        <f ca="1">IF(CostTrack[[#This Row],[Reconciled Amount]]="","",IF(CostTrack[[#This Row],[Value]]&lt;&gt;CostTrack[[#This Row],[Reconciled Amount]],"Yes","No"))</f>
        <v>No</v>
      </c>
      <c r="AE640" s="658"/>
    </row>
    <row r="641" spans="2:31" ht="28.35" customHeight="1">
      <c r="B641" s="1324" t="s">
        <v>1310</v>
      </c>
      <c r="C641" s="1349" t="s">
        <v>1311</v>
      </c>
      <c r="D641" s="1308">
        <v>45236</v>
      </c>
      <c r="E641" s="658">
        <v>205685.74</v>
      </c>
      <c r="F641" s="1309" t="s">
        <v>69</v>
      </c>
      <c r="G641" s="1310">
        <f ca="1">ROUND(IF(CostTrack[[#This Row],[Holdback (Y/N/R)]]="Yes",CostTrack[[#This Row],[Value]]*-0.1,IF(CostTrack[[#This Row],[Holdback (Y/N/R)]]="Release",CostTrack[[#This Row],[Value]],0)),2)</f>
        <v>0</v>
      </c>
      <c r="H641" s="1311">
        <f ca="1">IF(CostTrack[[#This Row],[Holdback (Y/N/R)]]="Release",CostTrack[[#This Row],[Value]],CostTrack[[#This Row],[Value]]+CostTrack[[#This Row],[Holdback Value]])</f>
        <v>205685.74</v>
      </c>
      <c r="I641" s="1312"/>
      <c r="J641" s="1312"/>
      <c r="K641" s="1313"/>
      <c r="L641" s="1325">
        <v>45236</v>
      </c>
      <c r="M641" s="1326">
        <v>45236</v>
      </c>
      <c r="N641" s="1327"/>
      <c r="O641" s="1328" t="s">
        <v>106</v>
      </c>
      <c r="P641" s="1308">
        <v>45236</v>
      </c>
      <c r="Q641" s="1314" t="str">
        <f ca="1">IF(CostTrack[[#This Row],[Vendor - Contract]]="","",INDEX(VendorList[PA ID],MATCH(CostTrack[[#This Row],[Vendor - Contract]],VendorList[Vendor / Org. with Contract ID],0)))</f>
        <v>400.010.F1</v>
      </c>
      <c r="R641" s="1314" t="str">
        <f ca="1">IF(CostTrack[[#This Row],[Vendor - Contract]]="","",INDEX(VendorList[Primary Category],MATCH(CostTrack[[#This Row],[Vendor - Contract]],VendorList[Vendor / Org. with Contract ID],0)))</f>
        <v>FE_IT</v>
      </c>
      <c r="S641" s="1314" t="str">
        <f ca="1">IF(CostTrack[[#This Row],[Vendor - Contract]]="","",INDEX(VendorList[Secondary Category],MATCH(CostTrack[[#This Row],[Vendor - Contract]],VendorList[Vendor / Org. with Contract ID],0)))</f>
        <v>Furniture &amp; Equipment</v>
      </c>
      <c r="T641" s="1314" t="str">
        <f ca="1">IF(CostTrack[[#This Row],[Vendor - Contract]]="","",INDEX(VendorList[Phase / Subproject],MATCH(CostTrack[[#This Row],[Vendor - Contract]],VendorList[Vendor / Org. with Contract ID],0)))</f>
        <v>--</v>
      </c>
      <c r="U641" s="1314" t="str">
        <f ca="1">IF(CostTrack[[#This Row],[Vendor - Contract]]="","",INDEX(VendorList[Phase / Subproject 2],MATCH(CostTrack[[#This Row],[Vendor - Contract]],VendorList[Vendor / Org. with Contract ID],0)))</f>
        <v>--</v>
      </c>
      <c r="V641" s="1314" t="str">
        <f ca="1">IF(CostTrack[[#This Row],[Vendor - Contract]]="","",INDEX(VendorList[Funding Source],MATCH(CostTrack[[#This Row],[Vendor - Contract]],VendorList[Vendor / Org. with Contract ID],0)))</f>
        <v>P-002360</v>
      </c>
      <c r="W641" s="1308">
        <v>45236</v>
      </c>
      <c r="X641" s="1315" t="str">
        <f ca="1">IF(CostTrack[[#This Row],[Release Date (CMS)]]="","*","")</f>
        <v/>
      </c>
      <c r="Y641" s="1308" t="s">
        <v>58</v>
      </c>
      <c r="Z641" s="1359">
        <v>9000054326</v>
      </c>
      <c r="AA641" s="1316">
        <f ca="1">IF(OR(CostTrack[[#This Row],[Release Date (CMS)]]&gt;=DATE(VALUE(REPLACE(CostTrack[[#This Row],[Fiscal Period]],3,3,"")),3,1),CostTrack[[#This Row],[Release Date (CMS)]]&lt;DATE(VALUE(LEFT(CostTrack[[#This Row],[Fiscal Period]],4)),4,1)),1,0)</f>
        <v>0</v>
      </c>
      <c r="AB641" s="1317">
        <v>205685.74</v>
      </c>
      <c r="AC641" s="1308">
        <v>45268</v>
      </c>
      <c r="AD641" s="402" t="str">
        <f ca="1">IF(CostTrack[[#This Row],[Reconciled Amount]]="","",IF(CostTrack[[#This Row],[Value]]&lt;&gt;CostTrack[[#This Row],[Reconciled Amount]],"Yes","No"))</f>
        <v>No</v>
      </c>
      <c r="AE641" s="658"/>
    </row>
    <row r="642" spans="2:31" ht="28.35" customHeight="1">
      <c r="B642" s="1324" t="s">
        <v>1312</v>
      </c>
      <c r="C642" s="1349" t="s">
        <v>1313</v>
      </c>
      <c r="D642" s="1308">
        <v>45237</v>
      </c>
      <c r="E642" s="658">
        <v>1900</v>
      </c>
      <c r="F642" s="1309" t="s">
        <v>69</v>
      </c>
      <c r="G642" s="1310">
        <f ca="1">ROUND(IF(CostTrack[[#This Row],[Holdback (Y/N/R)]]="Yes",CostTrack[[#This Row],[Value]]*-0.1,IF(CostTrack[[#This Row],[Holdback (Y/N/R)]]="Release",CostTrack[[#This Row],[Value]],0)),2)</f>
        <v>0</v>
      </c>
      <c r="H642" s="1311">
        <f ca="1">IF(CostTrack[[#This Row],[Holdback (Y/N/R)]]="Release",CostTrack[[#This Row],[Value]],CostTrack[[#This Row],[Value]]+CostTrack[[#This Row],[Holdback Value]])</f>
        <v>1900</v>
      </c>
      <c r="I642" s="1312"/>
      <c r="J642" s="1312"/>
      <c r="K642" s="1313"/>
      <c r="L642" s="1325">
        <v>45237</v>
      </c>
      <c r="M642" s="1326">
        <v>45237</v>
      </c>
      <c r="N642" s="1327"/>
      <c r="O642" s="1328" t="s">
        <v>106</v>
      </c>
      <c r="P642" s="1308">
        <v>45237</v>
      </c>
      <c r="Q642" s="1314" t="str">
        <f ca="1">IF(CostTrack[[#This Row],[Vendor - Contract]]="","",INDEX(VendorList[PA ID],MATCH(CostTrack[[#This Row],[Vendor - Contract]],VendorList[Vendor / Org. with Contract ID],0)))</f>
        <v>400.010.F1</v>
      </c>
      <c r="R642" s="1314" t="str">
        <f ca="1">IF(CostTrack[[#This Row],[Vendor - Contract]]="","",INDEX(VendorList[Primary Category],MATCH(CostTrack[[#This Row],[Vendor - Contract]],VendorList[Vendor / Org. with Contract ID],0)))</f>
        <v>FE_IT</v>
      </c>
      <c r="S642" s="1314" t="str">
        <f ca="1">IF(CostTrack[[#This Row],[Vendor - Contract]]="","",INDEX(VendorList[Secondary Category],MATCH(CostTrack[[#This Row],[Vendor - Contract]],VendorList[Vendor / Org. with Contract ID],0)))</f>
        <v>Furniture &amp; Equipment</v>
      </c>
      <c r="T642" s="1314" t="str">
        <f ca="1">IF(CostTrack[[#This Row],[Vendor - Contract]]="","",INDEX(VendorList[Phase / Subproject],MATCH(CostTrack[[#This Row],[Vendor - Contract]],VendorList[Vendor / Org. with Contract ID],0)))</f>
        <v>--</v>
      </c>
      <c r="U642" s="1314" t="str">
        <f ca="1">IF(CostTrack[[#This Row],[Vendor - Contract]]="","",INDEX(VendorList[Phase / Subproject 2],MATCH(CostTrack[[#This Row],[Vendor - Contract]],VendorList[Vendor / Org. with Contract ID],0)))</f>
        <v>--</v>
      </c>
      <c r="V642" s="1314" t="str">
        <f ca="1">IF(CostTrack[[#This Row],[Vendor - Contract]]="","",INDEX(VendorList[Funding Source],MATCH(CostTrack[[#This Row],[Vendor - Contract]],VendorList[Vendor / Org. with Contract ID],0)))</f>
        <v>P-002360</v>
      </c>
      <c r="W642" s="1308">
        <v>45237</v>
      </c>
      <c r="X642" s="1315" t="str">
        <f ca="1">IF(CostTrack[[#This Row],[Release Date (CMS)]]="","*","")</f>
        <v/>
      </c>
      <c r="Y642" s="1308" t="s">
        <v>58</v>
      </c>
      <c r="Z642" s="713"/>
      <c r="AA642" s="1316">
        <f ca="1">IF(OR(CostTrack[[#This Row],[Release Date (CMS)]]&gt;=DATE(VALUE(REPLACE(CostTrack[[#This Row],[Fiscal Period]],3,3,"")),3,1),CostTrack[[#This Row],[Release Date (CMS)]]&lt;DATE(VALUE(LEFT(CostTrack[[#This Row],[Fiscal Period]],4)),4,1)),1,0)</f>
        <v>0</v>
      </c>
      <c r="AB642" s="1317">
        <v>1900</v>
      </c>
      <c r="AC642" s="1308">
        <v>45268</v>
      </c>
      <c r="AD642" s="402" t="str">
        <f ca="1">IF(CostTrack[[#This Row],[Reconciled Amount]]="","",IF(CostTrack[[#This Row],[Value]]&lt;&gt;CostTrack[[#This Row],[Reconciled Amount]],"Yes","No"))</f>
        <v>No</v>
      </c>
      <c r="AE642" s="658"/>
    </row>
    <row r="643" spans="2:31" ht="28.35" customHeight="1">
      <c r="B643" s="706" t="s">
        <v>736</v>
      </c>
      <c r="C643" s="691" t="s">
        <v>1314</v>
      </c>
      <c r="D643" s="267" t="s">
        <v>1315</v>
      </c>
      <c r="E643" s="654">
        <v>34605.129999999997</v>
      </c>
      <c r="F643" s="647" t="s">
        <v>69</v>
      </c>
      <c r="G643" s="406">
        <f ca="1">ROUND(IF(CostTrack[[#This Row],[Holdback (Y/N/R)]]="Yes",CostTrack[[#This Row],[Value]]*-0.1,IF(CostTrack[[#This Row],[Holdback (Y/N/R)]]="Release",CostTrack[[#This Row],[Value]],0)),2)</f>
        <v>0</v>
      </c>
      <c r="H643" s="407">
        <f ca="1">IF(CostTrack[[#This Row],[Holdback (Y/N/R)]]="Release",CostTrack[[#This Row],[Value]],CostTrack[[#This Row],[Value]]+CostTrack[[#This Row],[Holdback Value]])</f>
        <v>34605.129999999997</v>
      </c>
      <c r="I643" s="650"/>
      <c r="J643" s="650"/>
      <c r="K643" s="648"/>
      <c r="L643" s="707" t="s">
        <v>1315</v>
      </c>
      <c r="M643" s="708">
        <v>45260</v>
      </c>
      <c r="N643" s="709"/>
      <c r="O643" s="712" t="s">
        <v>106</v>
      </c>
      <c r="P643" s="267" t="s">
        <v>1315</v>
      </c>
      <c r="Q643" s="243" t="str">
        <f ca="1">IF(CostTrack[[#This Row],[Vendor - Contract]]="","",INDEX(VendorList[PA ID],MATCH(CostTrack[[#This Row],[Vendor - Contract]],VendorList[Vendor / Org. with Contract ID],0)))</f>
        <v>100.010.F1</v>
      </c>
      <c r="R643" s="243" t="str">
        <f ca="1">IF(CostTrack[[#This Row],[Vendor - Contract]]="","",INDEX(VendorList[Primary Category],MATCH(CostTrack[[#This Row],[Vendor - Contract]],VendorList[Vendor / Org. with Contract ID],0)))</f>
        <v>Administration</v>
      </c>
      <c r="S643" s="243" t="str">
        <f ca="1">IF(CostTrack[[#This Row],[Vendor - Contract]]="","",INDEX(VendorList[Secondary Category],MATCH(CostTrack[[#This Row],[Vendor - Contract]],VendorList[Vendor / Org. with Contract ID],0)))</f>
        <v>Staff Capitalization - INFRA</v>
      </c>
      <c r="T643" s="243" t="str">
        <f ca="1">IF(CostTrack[[#This Row],[Vendor - Contract]]="","",INDEX(VendorList[Phase / Subproject],MATCH(CostTrack[[#This Row],[Vendor - Contract]],VendorList[Vendor / Org. with Contract ID],0)))</f>
        <v>--</v>
      </c>
      <c r="U643" s="243" t="str">
        <f ca="1">IF(CostTrack[[#This Row],[Vendor - Contract]]="","",INDEX(VendorList[Phase / Subproject 2],MATCH(CostTrack[[#This Row],[Vendor - Contract]],VendorList[Vendor / Org. with Contract ID],0)))</f>
        <v>--</v>
      </c>
      <c r="V643" s="243" t="str">
        <f ca="1">IF(CostTrack[[#This Row],[Vendor - Contract]]="","",INDEX(VendorList[Funding Source],MATCH(CostTrack[[#This Row],[Vendor - Contract]],VendorList[Vendor / Org. with Contract ID],0)))</f>
        <v>P-002360</v>
      </c>
      <c r="W643" s="267">
        <v>45260</v>
      </c>
      <c r="X643" s="251" t="str">
        <f ca="1">IF(CostTrack[[#This Row],[Release Date (CMS)]]="","*","")</f>
        <v/>
      </c>
      <c r="Y643" s="267" t="s">
        <v>58</v>
      </c>
      <c r="Z643" s="652"/>
      <c r="AA643" s="245">
        <f ca="1">IF(OR(CostTrack[[#This Row],[Release Date (CMS)]]&gt;=DATE(VALUE(REPLACE(CostTrack[[#This Row],[Fiscal Period]],3,3,"")),3,1),CostTrack[[#This Row],[Release Date (CMS)]]&lt;DATE(VALUE(LEFT(CostTrack[[#This Row],[Fiscal Period]],4)),4,1)),1,0)</f>
        <v>0</v>
      </c>
      <c r="AB643" s="655">
        <v>34605.129999999997</v>
      </c>
      <c r="AC643" s="267">
        <v>45268</v>
      </c>
      <c r="AD643" s="402" t="str">
        <f ca="1">IF(CostTrack[[#This Row],[Reconciled Amount]]="","",IF(CostTrack[[#This Row],[Value]]&lt;&gt;CostTrack[[#This Row],[Reconciled Amount]],"Yes","No"))</f>
        <v>No</v>
      </c>
      <c r="AE643" s="654"/>
    </row>
    <row r="644" spans="2:31" ht="28.35" customHeight="1">
      <c r="B644" s="1324" t="s">
        <v>624</v>
      </c>
      <c r="C644" s="1349">
        <v>1855914</v>
      </c>
      <c r="D644" s="1308">
        <v>45261</v>
      </c>
      <c r="E644" s="658">
        <v>34500</v>
      </c>
      <c r="F644" s="1309" t="s">
        <v>69</v>
      </c>
      <c r="G644" s="1310">
        <f ca="1">ROUND(IF(CostTrack[[#This Row],[Holdback (Y/N/R)]]="Yes",CostTrack[[#This Row],[Value]]*-0.1,IF(CostTrack[[#This Row],[Holdback (Y/N/R)]]="Release",CostTrack[[#This Row],[Value]],0)),2)</f>
        <v>0</v>
      </c>
      <c r="H644" s="1311">
        <f ca="1">IF(CostTrack[[#This Row],[Holdback (Y/N/R)]]="Release",CostTrack[[#This Row],[Value]],CostTrack[[#This Row],[Value]]+CostTrack[[#This Row],[Holdback Value]])</f>
        <v>34500</v>
      </c>
      <c r="I644" s="1312"/>
      <c r="J644" s="1312"/>
      <c r="K644" s="1313"/>
      <c r="L644" s="1325">
        <v>45264</v>
      </c>
      <c r="M644" s="1326">
        <v>45264</v>
      </c>
      <c r="N644" s="1327"/>
      <c r="O644" s="1328" t="s">
        <v>106</v>
      </c>
      <c r="P644" s="1308">
        <v>45264</v>
      </c>
      <c r="Q644" s="1314" t="str">
        <f ca="1">IF(CostTrack[[#This Row],[Vendor - Contract]]="","",INDEX(VendorList[PA ID],MATCH(CostTrack[[#This Row],[Vendor - Contract]],VendorList[Vendor / Org. with Contract ID],0)))</f>
        <v>200.040.F1</v>
      </c>
      <c r="R644" s="1314" t="str">
        <f ca="1">IF(CostTrack[[#This Row],[Vendor - Contract]]="","",INDEX(VendorList[Primary Category],MATCH(CostTrack[[#This Row],[Vendor - Contract]],VendorList[Vendor / Org. with Contract ID],0)))</f>
        <v>Professional Services</v>
      </c>
      <c r="S644" s="1314" t="str">
        <f ca="1">IF(CostTrack[[#This Row],[Vendor - Contract]]="","",INDEX(VendorList[Secondary Category],MATCH(CostTrack[[#This Row],[Vendor - Contract]],VendorList[Vendor / Org. with Contract ID],0)))</f>
        <v>Commissioning</v>
      </c>
      <c r="T644" s="1314" t="str">
        <f ca="1">IF(CostTrack[[#This Row],[Vendor - Contract]]="","",INDEX(VendorList[Phase / Subproject],MATCH(CostTrack[[#This Row],[Vendor - Contract]],VendorList[Vendor / Org. with Contract ID],0)))</f>
        <v>--</v>
      </c>
      <c r="U644" s="1314" t="str">
        <f ca="1">IF(CostTrack[[#This Row],[Vendor - Contract]]="","",INDEX(VendorList[Phase / Subproject 2],MATCH(CostTrack[[#This Row],[Vendor - Contract]],VendorList[Vendor / Org. with Contract ID],0)))</f>
        <v>--</v>
      </c>
      <c r="V644" s="1314" t="str">
        <f ca="1">IF(CostTrack[[#This Row],[Vendor - Contract]]="","",INDEX(VendorList[Funding Source],MATCH(CostTrack[[#This Row],[Vendor - Contract]],VendorList[Vendor / Org. with Contract ID],0)))</f>
        <v>P-002360</v>
      </c>
      <c r="W644" s="1308">
        <v>45264</v>
      </c>
      <c r="X644" s="1315" t="str">
        <f ca="1">IF(CostTrack[[#This Row],[Release Date (CMS)]]="","*","")</f>
        <v/>
      </c>
      <c r="Y644" s="1308" t="s">
        <v>58</v>
      </c>
      <c r="Z644" s="713"/>
      <c r="AA644" s="1316">
        <f ca="1">IF(OR(CostTrack[[#This Row],[Release Date (CMS)]]&gt;=DATE(VALUE(REPLACE(CostTrack[[#This Row],[Fiscal Period]],3,3,"")),3,1),CostTrack[[#This Row],[Release Date (CMS)]]&lt;DATE(VALUE(LEFT(CostTrack[[#This Row],[Fiscal Period]],4)),4,1)),1,0)</f>
        <v>0</v>
      </c>
      <c r="AB644" s="1317">
        <v>34500</v>
      </c>
      <c r="AC644" s="1308">
        <v>45299</v>
      </c>
      <c r="AD644" s="402" t="str">
        <f ca="1">IF(CostTrack[[#This Row],[Reconciled Amount]]="","",IF(CostTrack[[#This Row],[Value]]&lt;&gt;CostTrack[[#This Row],[Reconciled Amount]],"Yes","No"))</f>
        <v>No</v>
      </c>
      <c r="AE644" s="658"/>
    </row>
    <row r="645" spans="2:31" ht="36" customHeight="1">
      <c r="B645" s="706" t="s">
        <v>711</v>
      </c>
      <c r="C645" s="691">
        <v>4653182</v>
      </c>
      <c r="D645" s="267">
        <v>45260</v>
      </c>
      <c r="E645" s="654">
        <v>191.07</v>
      </c>
      <c r="F645" s="647" t="s">
        <v>69</v>
      </c>
      <c r="G645" s="406">
        <f ca="1">ROUND(IF(CostTrack[[#This Row],[Holdback (Y/N/R)]]="Yes",CostTrack[[#This Row],[Value]]*-0.1,IF(CostTrack[[#This Row],[Holdback (Y/N/R)]]="Release",CostTrack[[#This Row],[Value]],0)),2)</f>
        <v>0</v>
      </c>
      <c r="H645" s="407">
        <f ca="1">IF(CostTrack[[#This Row],[Holdback (Y/N/R)]]="Release",CostTrack[[#This Row],[Value]],CostTrack[[#This Row],[Value]]+CostTrack[[#This Row],[Holdback Value]])</f>
        <v>191.07</v>
      </c>
      <c r="I645" s="650"/>
      <c r="J645" s="650"/>
      <c r="K645" s="648"/>
      <c r="L645" s="707">
        <v>45267</v>
      </c>
      <c r="M645" s="708">
        <v>45267</v>
      </c>
      <c r="N645" s="709"/>
      <c r="O645" s="712" t="s">
        <v>106</v>
      </c>
      <c r="P645" s="267">
        <v>45267</v>
      </c>
      <c r="Q645" s="243" t="str">
        <f ca="1">IF(CostTrack[[#This Row],[Vendor - Contract]]="","",INDEX(VendorList[PA ID],MATCH(CostTrack[[#This Row],[Vendor - Contract]],VendorList[Vendor / Org. with Contract ID],0)))</f>
        <v>300.040.F1</v>
      </c>
      <c r="R645" s="243" t="str">
        <f ca="1">IF(CostTrack[[#This Row],[Vendor - Contract]]="","",INDEX(VendorList[Primary Category],MATCH(CostTrack[[#This Row],[Vendor - Contract]],VendorList[Vendor / Org. with Contract ID],0)))</f>
        <v>Construction</v>
      </c>
      <c r="S645" s="243" t="str">
        <f ca="1">IF(CostTrack[[#This Row],[Vendor - Contract]]="","",INDEX(VendorList[Secondary Category],MATCH(CostTrack[[#This Row],[Vendor - Contract]],VendorList[Vendor / Org. with Contract ID],0)))</f>
        <v>Other Contractor</v>
      </c>
      <c r="T645" s="243" t="str">
        <f ca="1">IF(CostTrack[[#This Row],[Vendor - Contract]]="","",INDEX(VendorList[Phase / Subproject],MATCH(CostTrack[[#This Row],[Vendor - Contract]],VendorList[Vendor / Org. with Contract ID],0)))</f>
        <v>--</v>
      </c>
      <c r="U645" s="243" t="str">
        <f ca="1">IF(CostTrack[[#This Row],[Vendor - Contract]]="","",INDEX(VendorList[Phase / Subproject 2],MATCH(CostTrack[[#This Row],[Vendor - Contract]],VendorList[Vendor / Org. with Contract ID],0)))</f>
        <v>--</v>
      </c>
      <c r="V645" s="243" t="str">
        <f ca="1">IF(CostTrack[[#This Row],[Vendor - Contract]]="","",INDEX(VendorList[Funding Source],MATCH(CostTrack[[#This Row],[Vendor - Contract]],VendorList[Vendor / Org. with Contract ID],0)))</f>
        <v>P-002360</v>
      </c>
      <c r="W645" s="267">
        <v>45268</v>
      </c>
      <c r="X645" s="251" t="str">
        <f ca="1">IF(CostTrack[[#This Row],[Release Date (CMS)]]="","*","")</f>
        <v/>
      </c>
      <c r="Y645" s="267" t="s">
        <v>58</v>
      </c>
      <c r="Z645" s="652"/>
      <c r="AA645" s="245">
        <f ca="1">IF(OR(CostTrack[[#This Row],[Release Date (CMS)]]&gt;=DATE(VALUE(REPLACE(CostTrack[[#This Row],[Fiscal Period]],3,3,"")),3,1),CostTrack[[#This Row],[Release Date (CMS)]]&lt;DATE(VALUE(LEFT(CostTrack[[#This Row],[Fiscal Period]],4)),4,1)),1,0)</f>
        <v>0</v>
      </c>
      <c r="AB645" s="655">
        <v>191.07</v>
      </c>
      <c r="AC645" s="267">
        <v>45299</v>
      </c>
      <c r="AD645" s="402" t="str">
        <f ca="1">IF(CostTrack[[#This Row],[Reconciled Amount]]="","",IF(CostTrack[[#This Row],[Value]]&lt;&gt;CostTrack[[#This Row],[Reconciled Amount]],"Yes","No"))</f>
        <v>No</v>
      </c>
      <c r="AE645" s="654"/>
    </row>
    <row r="646" spans="2:31" ht="36" customHeight="1">
      <c r="B646" s="706" t="s">
        <v>529</v>
      </c>
      <c r="C646" s="691">
        <v>29559</v>
      </c>
      <c r="D646" s="267">
        <v>45258</v>
      </c>
      <c r="E646" s="654">
        <v>1826407.64</v>
      </c>
      <c r="F646" s="647" t="s">
        <v>65</v>
      </c>
      <c r="G646" s="406">
        <f ca="1">ROUND(IF(CostTrack[[#This Row],[Holdback (Y/N/R)]]="Yes",CostTrack[[#This Row],[Value]]*-0.1,IF(CostTrack[[#This Row],[Holdback (Y/N/R)]]="Release",CostTrack[[#This Row],[Value]],0)),2)</f>
        <v>-182640.76</v>
      </c>
      <c r="H646" s="407">
        <f ca="1">IF(CostTrack[[#This Row],[Holdback (Y/N/R)]]="Release",CostTrack[[#This Row],[Value]],CostTrack[[#This Row],[Value]]+CostTrack[[#This Row],[Holdback Value]])</f>
        <v>1643766.88</v>
      </c>
      <c r="I646" s="650" t="s">
        <v>1316</v>
      </c>
      <c r="J646" s="650"/>
      <c r="K646" s="648"/>
      <c r="L646" s="707">
        <v>45273</v>
      </c>
      <c r="M646" s="708">
        <v>45273</v>
      </c>
      <c r="N646" s="709"/>
      <c r="O646" s="712" t="s">
        <v>106</v>
      </c>
      <c r="P646" s="267">
        <v>45273</v>
      </c>
      <c r="Q646" s="243" t="str">
        <f ca="1">IF(CostTrack[[#This Row],[Vendor - Contract]]="","",INDEX(VendorList[PA ID],MATCH(CostTrack[[#This Row],[Vendor - Contract]],VendorList[Vendor / Org. with Contract ID],0)))</f>
        <v>300.030.F1</v>
      </c>
      <c r="R646" s="243" t="str">
        <f ca="1">IF(CostTrack[[#This Row],[Vendor - Contract]]="","",INDEX(VendorList[Primary Category],MATCH(CostTrack[[#This Row],[Vendor - Contract]],VendorList[Vendor / Org. with Contract ID],0)))</f>
        <v>Construction</v>
      </c>
      <c r="S646" s="243" t="str">
        <f ca="1">IF(CostTrack[[#This Row],[Vendor - Contract]]="","",INDEX(VendorList[Secondary Category],MATCH(CostTrack[[#This Row],[Vendor - Contract]],VendorList[Vendor / Org. with Contract ID],0)))</f>
        <v>Prime Contractor</v>
      </c>
      <c r="T646" s="243" t="str">
        <f ca="1">IF(CostTrack[[#This Row],[Vendor - Contract]]="","",INDEX(VendorList[Phase / Subproject],MATCH(CostTrack[[#This Row],[Vendor - Contract]],VendorList[Vendor / Org. with Contract ID],0)))</f>
        <v>--</v>
      </c>
      <c r="U646" s="243" t="str">
        <f ca="1">IF(CostTrack[[#This Row],[Vendor - Contract]]="","",INDEX(VendorList[Phase / Subproject 2],MATCH(CostTrack[[#This Row],[Vendor - Contract]],VendorList[Vendor / Org. with Contract ID],0)))</f>
        <v>--</v>
      </c>
      <c r="V646" s="243" t="str">
        <f ca="1">IF(CostTrack[[#This Row],[Vendor - Contract]]="","",INDEX(VendorList[Funding Source],MATCH(CostTrack[[#This Row],[Vendor - Contract]],VendorList[Vendor / Org. with Contract ID],0)))</f>
        <v>P-002360</v>
      </c>
      <c r="W646" s="267">
        <v>45273</v>
      </c>
      <c r="X646" s="251" t="str">
        <f ca="1">IF(CostTrack[[#This Row],[Release Date (CMS)]]="","*","")</f>
        <v/>
      </c>
      <c r="Y646" s="267" t="s">
        <v>58</v>
      </c>
      <c r="Z646" s="652"/>
      <c r="AA646" s="245">
        <f ca="1">IF(OR(CostTrack[[#This Row],[Release Date (CMS)]]&gt;=DATE(VALUE(REPLACE(CostTrack[[#This Row],[Fiscal Period]],3,3,"")),3,1),CostTrack[[#This Row],[Release Date (CMS)]]&lt;DATE(VALUE(LEFT(CostTrack[[#This Row],[Fiscal Period]],4)),4,1)),1,0)</f>
        <v>0</v>
      </c>
      <c r="AB646" s="655">
        <v>1826407.64</v>
      </c>
      <c r="AC646" s="267">
        <v>45299</v>
      </c>
      <c r="AD646" s="402" t="str">
        <f ca="1">IF(CostTrack[[#This Row],[Reconciled Amount]]="","",IF(CostTrack[[#This Row],[Value]]&lt;&gt;CostTrack[[#This Row],[Reconciled Amount]],"Yes","No"))</f>
        <v>No</v>
      </c>
      <c r="AE646" s="654"/>
    </row>
    <row r="647" spans="2:31" ht="26.25" customHeight="1">
      <c r="B647" s="706" t="s">
        <v>527</v>
      </c>
      <c r="C647" s="691" t="s">
        <v>1317</v>
      </c>
      <c r="D647" s="267">
        <v>45260</v>
      </c>
      <c r="E647" s="654">
        <v>31851.01</v>
      </c>
      <c r="F647" s="647" t="s">
        <v>69</v>
      </c>
      <c r="G647" s="406">
        <f ca="1">ROUND(IF(CostTrack[[#This Row],[Holdback (Y/N/R)]]="Yes",CostTrack[[#This Row],[Value]]*-0.1,IF(CostTrack[[#This Row],[Holdback (Y/N/R)]]="Release",CostTrack[[#This Row],[Value]],0)),2)</f>
        <v>0</v>
      </c>
      <c r="H647" s="407">
        <f ca="1">IF(CostTrack[[#This Row],[Holdback (Y/N/R)]]="Release",CostTrack[[#This Row],[Value]],CostTrack[[#This Row],[Value]]+CostTrack[[#This Row],[Holdback Value]])</f>
        <v>31851.01</v>
      </c>
      <c r="I647" s="650"/>
      <c r="J647" s="650"/>
      <c r="K647" s="648"/>
      <c r="L647" s="707">
        <v>45272</v>
      </c>
      <c r="M647" s="708">
        <v>45274</v>
      </c>
      <c r="N647" s="709"/>
      <c r="O647" s="712" t="s">
        <v>106</v>
      </c>
      <c r="P647" s="267">
        <v>45274</v>
      </c>
      <c r="Q647" s="243" t="str">
        <f ca="1">IF(CostTrack[[#This Row],[Vendor - Contract]]="","",INDEX(VendorList[PA ID],MATCH(CostTrack[[#This Row],[Vendor - Contract]],VendorList[Vendor / Org. with Contract ID],0)))</f>
        <v>200.010.F1</v>
      </c>
      <c r="R647" s="243" t="str">
        <f ca="1">IF(CostTrack[[#This Row],[Vendor - Contract]]="","",INDEX(VendorList[Primary Category],MATCH(CostTrack[[#This Row],[Vendor - Contract]],VendorList[Vendor / Org. with Contract ID],0)))</f>
        <v>Professional Services</v>
      </c>
      <c r="S647" s="243" t="str">
        <f ca="1">IF(CostTrack[[#This Row],[Vendor - Contract]]="","",INDEX(VendorList[Secondary Category],MATCH(CostTrack[[#This Row],[Vendor - Contract]],VendorList[Vendor / Org. with Contract ID],0)))</f>
        <v>Prime Consultant</v>
      </c>
      <c r="T647" s="243" t="str">
        <f ca="1">IF(CostTrack[[#This Row],[Vendor - Contract]]="","",INDEX(VendorList[Phase / Subproject],MATCH(CostTrack[[#This Row],[Vendor - Contract]],VendorList[Vendor / Org. with Contract ID],0)))</f>
        <v>--</v>
      </c>
      <c r="U647" s="243" t="str">
        <f ca="1">IF(CostTrack[[#This Row],[Vendor - Contract]]="","",INDEX(VendorList[Phase / Subproject 2],MATCH(CostTrack[[#This Row],[Vendor - Contract]],VendorList[Vendor / Org. with Contract ID],0)))</f>
        <v>--</v>
      </c>
      <c r="V647" s="243" t="str">
        <f ca="1">IF(CostTrack[[#This Row],[Vendor - Contract]]="","",INDEX(VendorList[Funding Source],MATCH(CostTrack[[#This Row],[Vendor - Contract]],VendorList[Vendor / Org. with Contract ID],0)))</f>
        <v>P-002360</v>
      </c>
      <c r="W647" s="1308">
        <v>45274</v>
      </c>
      <c r="X647" s="251" t="str">
        <f ca="1">IF(CostTrack[[#This Row],[Release Date (CMS)]]="","*","")</f>
        <v/>
      </c>
      <c r="Y647" s="267" t="s">
        <v>58</v>
      </c>
      <c r="Z647" s="652"/>
      <c r="AA647" s="245">
        <f ca="1">IF(OR(CostTrack[[#This Row],[Release Date (CMS)]]&gt;=DATE(VALUE(REPLACE(CostTrack[[#This Row],[Fiscal Period]],3,3,"")),3,1),CostTrack[[#This Row],[Release Date (CMS)]]&lt;DATE(VALUE(LEFT(CostTrack[[#This Row],[Fiscal Period]],4)),4,1)),1,0)</f>
        <v>0</v>
      </c>
      <c r="AB647" s="655">
        <v>31851.01</v>
      </c>
      <c r="AC647" s="267">
        <v>45299</v>
      </c>
      <c r="AD647" s="402" t="str">
        <f ca="1">IF(CostTrack[[#This Row],[Reconciled Amount]]="","",IF(CostTrack[[#This Row],[Value]]&lt;&gt;CostTrack[[#This Row],[Reconciled Amount]],"Yes","No"))</f>
        <v>No</v>
      </c>
      <c r="AE647" s="654"/>
    </row>
    <row r="648" spans="2:31" ht="26.25" customHeight="1">
      <c r="B648" s="1324" t="s">
        <v>736</v>
      </c>
      <c r="C648" s="691" t="s">
        <v>1318</v>
      </c>
      <c r="D648" s="1308">
        <v>45291</v>
      </c>
      <c r="E648" s="658">
        <v>32398.77</v>
      </c>
      <c r="F648" s="1309" t="s">
        <v>69</v>
      </c>
      <c r="G648" s="1310">
        <f ca="1">ROUND(IF(CostTrack[[#This Row],[Holdback (Y/N/R)]]="Yes",CostTrack[[#This Row],[Value]]*-0.1,IF(CostTrack[[#This Row],[Holdback (Y/N/R)]]="Release",CostTrack[[#This Row],[Value]],0)),2)</f>
        <v>0</v>
      </c>
      <c r="H648" s="1311">
        <f ca="1">IF(CostTrack[[#This Row],[Holdback (Y/N/R)]]="Release",CostTrack[[#This Row],[Value]],CostTrack[[#This Row],[Value]]+CostTrack[[#This Row],[Holdback Value]])</f>
        <v>32398.77</v>
      </c>
      <c r="I648" s="1312"/>
      <c r="J648" s="1312"/>
      <c r="K648" s="1313"/>
      <c r="L648" s="1325">
        <v>45291</v>
      </c>
      <c r="M648" s="1326">
        <v>45291</v>
      </c>
      <c r="N648" s="1327"/>
      <c r="O648" s="1328" t="s">
        <v>106</v>
      </c>
      <c r="P648" s="1308">
        <v>45291</v>
      </c>
      <c r="Q648" s="1314" t="str">
        <f ca="1">IF(CostTrack[[#This Row],[Vendor - Contract]]="","",INDEX(VendorList[PA ID],MATCH(CostTrack[[#This Row],[Vendor - Contract]],VendorList[Vendor / Org. with Contract ID],0)))</f>
        <v>100.010.F1</v>
      </c>
      <c r="R648" s="1314" t="str">
        <f ca="1">IF(CostTrack[[#This Row],[Vendor - Contract]]="","",INDEX(VendorList[Primary Category],MATCH(CostTrack[[#This Row],[Vendor - Contract]],VendorList[Vendor / Org. with Contract ID],0)))</f>
        <v>Administration</v>
      </c>
      <c r="S648" s="1314" t="str">
        <f ca="1">IF(CostTrack[[#This Row],[Vendor - Contract]]="","",INDEX(VendorList[Secondary Category],MATCH(CostTrack[[#This Row],[Vendor - Contract]],VendorList[Vendor / Org. with Contract ID],0)))</f>
        <v>Staff Capitalization - INFRA</v>
      </c>
      <c r="T648" s="1314" t="str">
        <f ca="1">IF(CostTrack[[#This Row],[Vendor - Contract]]="","",INDEX(VendorList[Phase / Subproject],MATCH(CostTrack[[#This Row],[Vendor - Contract]],VendorList[Vendor / Org. with Contract ID],0)))</f>
        <v>--</v>
      </c>
      <c r="U648" s="1314" t="str">
        <f ca="1">IF(CostTrack[[#This Row],[Vendor - Contract]]="","",INDEX(VendorList[Phase / Subproject 2],MATCH(CostTrack[[#This Row],[Vendor - Contract]],VendorList[Vendor / Org. with Contract ID],0)))</f>
        <v>--</v>
      </c>
      <c r="V648" s="1314" t="str">
        <f ca="1">IF(CostTrack[[#This Row],[Vendor - Contract]]="","",INDEX(VendorList[Funding Source],MATCH(CostTrack[[#This Row],[Vendor - Contract]],VendorList[Vendor / Org. with Contract ID],0)))</f>
        <v>P-002360</v>
      </c>
      <c r="W648" s="1308">
        <v>45291</v>
      </c>
      <c r="X648" s="1315" t="str">
        <f ca="1">IF(CostTrack[[#This Row],[Release Date (CMS)]]="","*","")</f>
        <v/>
      </c>
      <c r="Y648" s="1308" t="s">
        <v>58</v>
      </c>
      <c r="Z648" s="713"/>
      <c r="AA648" s="1316">
        <f ca="1">IF(OR(CostTrack[[#This Row],[Release Date (CMS)]]&gt;=DATE(VALUE(REPLACE(CostTrack[[#This Row],[Fiscal Period]],3,3,"")),3,1),CostTrack[[#This Row],[Release Date (CMS)]]&lt;DATE(VALUE(LEFT(CostTrack[[#This Row],[Fiscal Period]],4)),4,1)),1,0)</f>
        <v>0</v>
      </c>
      <c r="AB648" s="1317">
        <v>32398.77</v>
      </c>
      <c r="AC648" s="1308">
        <v>45299</v>
      </c>
      <c r="AD648" s="402" t="str">
        <f ca="1">IF(CostTrack[[#This Row],[Reconciled Amount]]="","",IF(CostTrack[[#This Row],[Value]]&lt;&gt;CostTrack[[#This Row],[Reconciled Amount]],"Yes","No"))</f>
        <v>No</v>
      </c>
      <c r="AE648" s="658"/>
    </row>
    <row r="649" spans="2:31" ht="26.25" customHeight="1">
      <c r="B649" s="1324" t="s">
        <v>666</v>
      </c>
      <c r="C649" s="1334" t="s">
        <v>1319</v>
      </c>
      <c r="D649" s="1308">
        <v>45272</v>
      </c>
      <c r="E649" s="658">
        <v>1250</v>
      </c>
      <c r="F649" s="1309" t="s">
        <v>69</v>
      </c>
      <c r="G649" s="1310">
        <f ca="1">ROUND(IF(CostTrack[[#This Row],[Holdback (Y/N/R)]]="Yes",CostTrack[[#This Row],[Value]]*-0.1,IF(CostTrack[[#This Row],[Holdback (Y/N/R)]]="Release",CostTrack[[#This Row],[Value]],0)),2)</f>
        <v>0</v>
      </c>
      <c r="H649" s="1311">
        <f ca="1">IF(CostTrack[[#This Row],[Holdback (Y/N/R)]]="Release",CostTrack[[#This Row],[Value]],CostTrack[[#This Row],[Value]]+CostTrack[[#This Row],[Holdback Value]])</f>
        <v>1250</v>
      </c>
      <c r="I649" s="1312"/>
      <c r="J649" s="1312"/>
      <c r="K649" s="1313"/>
      <c r="L649" s="1325">
        <v>45275</v>
      </c>
      <c r="M649" s="1326">
        <v>45275</v>
      </c>
      <c r="N649" s="1327"/>
      <c r="O649" s="1328" t="s">
        <v>106</v>
      </c>
      <c r="P649" s="1308">
        <v>45275</v>
      </c>
      <c r="Q649" s="1314" t="str">
        <f ca="1">IF(CostTrack[[#This Row],[Vendor - Contract]]="","",INDEX(VendorList[PA ID],MATCH(CostTrack[[#This Row],[Vendor - Contract]],VendorList[Vendor / Org. with Contract ID],0)))</f>
        <v>200.050.F1</v>
      </c>
      <c r="R649" s="1314" t="str">
        <f ca="1">IF(CostTrack[[#This Row],[Vendor - Contract]]="","",INDEX(VendorList[Primary Category],MATCH(CostTrack[[#This Row],[Vendor - Contract]],VendorList[Vendor / Org. with Contract ID],0)))</f>
        <v>Professional Services</v>
      </c>
      <c r="S649" s="1314" t="str">
        <f ca="1">IF(CostTrack[[#This Row],[Vendor - Contract]]="","",INDEX(VendorList[Secondary Category],MATCH(CostTrack[[#This Row],[Vendor - Contract]],VendorList[Vendor / Org. with Contract ID],0)))</f>
        <v>Other Professional Services</v>
      </c>
      <c r="T649" s="1314" t="str">
        <f ca="1">IF(CostTrack[[#This Row],[Vendor - Contract]]="","",INDEX(VendorList[Phase / Subproject],MATCH(CostTrack[[#This Row],[Vendor - Contract]],VendorList[Vendor / Org. with Contract ID],0)))</f>
        <v>--</v>
      </c>
      <c r="U649" s="1314" t="str">
        <f ca="1">IF(CostTrack[[#This Row],[Vendor - Contract]]="","",INDEX(VendorList[Phase / Subproject 2],MATCH(CostTrack[[#This Row],[Vendor - Contract]],VendorList[Vendor / Org. with Contract ID],0)))</f>
        <v>--</v>
      </c>
      <c r="V649" s="1314" t="str">
        <f ca="1">IF(CostTrack[[#This Row],[Vendor - Contract]]="","",INDEX(VendorList[Funding Source],MATCH(CostTrack[[#This Row],[Vendor - Contract]],VendorList[Vendor / Org. with Contract ID],0)))</f>
        <v>P-002360</v>
      </c>
      <c r="W649" s="1308">
        <v>45278</v>
      </c>
      <c r="X649" s="1315" t="str">
        <f ca="1">IF(CostTrack[[#This Row],[Release Date (CMS)]]="","*","")</f>
        <v/>
      </c>
      <c r="Y649" s="1308" t="s">
        <v>58</v>
      </c>
      <c r="Z649" s="713"/>
      <c r="AA649" s="1316">
        <f ca="1">IF(OR(CostTrack[[#This Row],[Release Date (CMS)]]&gt;=DATE(VALUE(REPLACE(CostTrack[[#This Row],[Fiscal Period]],3,3,"")),3,1),CostTrack[[#This Row],[Release Date (CMS)]]&lt;DATE(VALUE(LEFT(CostTrack[[#This Row],[Fiscal Period]],4)),4,1)),1,0)</f>
        <v>0</v>
      </c>
      <c r="AB649" s="1317">
        <v>1250</v>
      </c>
      <c r="AC649" s="1308">
        <v>45299</v>
      </c>
      <c r="AD649" s="402" t="str">
        <f ca="1">IF(CostTrack[[#This Row],[Reconciled Amount]]="","",IF(CostTrack[[#This Row],[Value]]&lt;&gt;CostTrack[[#This Row],[Reconciled Amount]],"Yes","No"))</f>
        <v>No</v>
      </c>
      <c r="AE649" s="658"/>
    </row>
    <row r="650" spans="2:31" ht="26.25" customHeight="1">
      <c r="B650" s="1324" t="s">
        <v>666</v>
      </c>
      <c r="C650" s="1334" t="s">
        <v>1320</v>
      </c>
      <c r="D650" s="1308">
        <v>45272</v>
      </c>
      <c r="E650" s="658">
        <v>18735.7</v>
      </c>
      <c r="F650" s="1309" t="s">
        <v>69</v>
      </c>
      <c r="G650" s="1310">
        <f ca="1">ROUND(IF(CostTrack[[#This Row],[Holdback (Y/N/R)]]="Yes",CostTrack[[#This Row],[Value]]*-0.1,IF(CostTrack[[#This Row],[Holdback (Y/N/R)]]="Release",CostTrack[[#This Row],[Value]],0)),2)</f>
        <v>0</v>
      </c>
      <c r="H650" s="1311">
        <f ca="1">IF(CostTrack[[#This Row],[Holdback (Y/N/R)]]="Release",CostTrack[[#This Row],[Value]],CostTrack[[#This Row],[Value]]+CostTrack[[#This Row],[Holdback Value]])</f>
        <v>18735.7</v>
      </c>
      <c r="I650" s="1312"/>
      <c r="J650" s="1312"/>
      <c r="K650" s="1313"/>
      <c r="L650" s="1325">
        <v>45275</v>
      </c>
      <c r="M650" s="1326">
        <v>45275</v>
      </c>
      <c r="N650" s="1327"/>
      <c r="O650" s="1328" t="s">
        <v>106</v>
      </c>
      <c r="P650" s="1308">
        <v>45275</v>
      </c>
      <c r="Q650" s="1314" t="str">
        <f ca="1">IF(CostTrack[[#This Row],[Vendor - Contract]]="","",INDEX(VendorList[PA ID],MATCH(CostTrack[[#This Row],[Vendor - Contract]],VendorList[Vendor / Org. with Contract ID],0)))</f>
        <v>200.050.F1</v>
      </c>
      <c r="R650" s="1314" t="str">
        <f ca="1">IF(CostTrack[[#This Row],[Vendor - Contract]]="","",INDEX(VendorList[Primary Category],MATCH(CostTrack[[#This Row],[Vendor - Contract]],VendorList[Vendor / Org. with Contract ID],0)))</f>
        <v>Professional Services</v>
      </c>
      <c r="S650" s="1314" t="str">
        <f ca="1">IF(CostTrack[[#This Row],[Vendor - Contract]]="","",INDEX(VendorList[Secondary Category],MATCH(CostTrack[[#This Row],[Vendor - Contract]],VendorList[Vendor / Org. with Contract ID],0)))</f>
        <v>Other Professional Services</v>
      </c>
      <c r="T650" s="1314" t="str">
        <f ca="1">IF(CostTrack[[#This Row],[Vendor - Contract]]="","",INDEX(VendorList[Phase / Subproject],MATCH(CostTrack[[#This Row],[Vendor - Contract]],VendorList[Vendor / Org. with Contract ID],0)))</f>
        <v>--</v>
      </c>
      <c r="U650" s="1314" t="str">
        <f ca="1">IF(CostTrack[[#This Row],[Vendor - Contract]]="","",INDEX(VendorList[Phase / Subproject 2],MATCH(CostTrack[[#This Row],[Vendor - Contract]],VendorList[Vendor / Org. with Contract ID],0)))</f>
        <v>--</v>
      </c>
      <c r="V650" s="1314" t="str">
        <f ca="1">IF(CostTrack[[#This Row],[Vendor - Contract]]="","",INDEX(VendorList[Funding Source],MATCH(CostTrack[[#This Row],[Vendor - Contract]],VendorList[Vendor / Org. with Contract ID],0)))</f>
        <v>P-002360</v>
      </c>
      <c r="W650" s="1308">
        <v>45278</v>
      </c>
      <c r="X650" s="1315" t="str">
        <f ca="1">IF(CostTrack[[#This Row],[Release Date (CMS)]]="","*","")</f>
        <v/>
      </c>
      <c r="Y650" s="1308" t="s">
        <v>58</v>
      </c>
      <c r="Z650" s="713"/>
      <c r="AA650" s="1316">
        <f ca="1">IF(OR(CostTrack[[#This Row],[Release Date (CMS)]]&gt;=DATE(VALUE(REPLACE(CostTrack[[#This Row],[Fiscal Period]],3,3,"")),3,1),CostTrack[[#This Row],[Release Date (CMS)]]&lt;DATE(VALUE(LEFT(CostTrack[[#This Row],[Fiscal Period]],4)),4,1)),1,0)</f>
        <v>0</v>
      </c>
      <c r="AB650" s="1317">
        <v>18735.7</v>
      </c>
      <c r="AC650" s="1308">
        <v>45299</v>
      </c>
      <c r="AD650" s="402" t="str">
        <f ca="1">IF(CostTrack[[#This Row],[Reconciled Amount]]="","",IF(CostTrack[[#This Row],[Value]]&lt;&gt;CostTrack[[#This Row],[Reconciled Amount]],"Yes","No"))</f>
        <v>No</v>
      </c>
      <c r="AE650" s="658"/>
    </row>
    <row r="651" spans="2:31" ht="26.25" customHeight="1">
      <c r="B651" s="1324" t="s">
        <v>710</v>
      </c>
      <c r="C651" s="1349">
        <v>100204015006</v>
      </c>
      <c r="D651" s="1308">
        <v>45276</v>
      </c>
      <c r="E651" s="658">
        <v>1237.08</v>
      </c>
      <c r="F651" s="1309" t="s">
        <v>69</v>
      </c>
      <c r="G651" s="1310">
        <f ca="1">ROUND(IF(CostTrack[[#This Row],[Holdback (Y/N/R)]]="Yes",CostTrack[[#This Row],[Value]]*-0.1,IF(CostTrack[[#This Row],[Holdback (Y/N/R)]]="Release",CostTrack[[#This Row],[Value]],0)),2)</f>
        <v>0</v>
      </c>
      <c r="H651" s="1311">
        <f ca="1">IF(CostTrack[[#This Row],[Holdback (Y/N/R)]]="Release",CostTrack[[#This Row],[Value]],CostTrack[[#This Row],[Value]]+CostTrack[[#This Row],[Holdback Value]])</f>
        <v>1237.08</v>
      </c>
      <c r="I651" s="1312"/>
      <c r="J651" s="1312"/>
      <c r="K651" s="1313"/>
      <c r="L651" s="1325">
        <v>45279</v>
      </c>
      <c r="M651" s="1326">
        <v>45279</v>
      </c>
      <c r="N651" s="1327"/>
      <c r="O651" s="1328" t="s">
        <v>106</v>
      </c>
      <c r="P651" s="1308">
        <v>45279</v>
      </c>
      <c r="Q651" s="1314" t="str">
        <f ca="1">IF(CostTrack[[#This Row],[Vendor - Contract]]="","",INDEX(VendorList[PA ID],MATCH(CostTrack[[#This Row],[Vendor - Contract]],VendorList[Vendor / Org. with Contract ID],0)))</f>
        <v>300.040.F1</v>
      </c>
      <c r="R651" s="1314" t="str">
        <f ca="1">IF(CostTrack[[#This Row],[Vendor - Contract]]="","",INDEX(VendorList[Primary Category],MATCH(CostTrack[[#This Row],[Vendor - Contract]],VendorList[Vendor / Org. with Contract ID],0)))</f>
        <v>Construction</v>
      </c>
      <c r="S651" s="1314" t="str">
        <f ca="1">IF(CostTrack[[#This Row],[Vendor - Contract]]="","",INDEX(VendorList[Secondary Category],MATCH(CostTrack[[#This Row],[Vendor - Contract]],VendorList[Vendor / Org. with Contract ID],0)))</f>
        <v>Other Contractor</v>
      </c>
      <c r="T651" s="1314" t="str">
        <f ca="1">IF(CostTrack[[#This Row],[Vendor - Contract]]="","",INDEX(VendorList[Phase / Subproject],MATCH(CostTrack[[#This Row],[Vendor - Contract]],VendorList[Vendor / Org. with Contract ID],0)))</f>
        <v>--</v>
      </c>
      <c r="U651" s="1314" t="str">
        <f ca="1">IF(CostTrack[[#This Row],[Vendor - Contract]]="","",INDEX(VendorList[Phase / Subproject 2],MATCH(CostTrack[[#This Row],[Vendor - Contract]],VendorList[Vendor / Org. with Contract ID],0)))</f>
        <v>--</v>
      </c>
      <c r="V651" s="1314" t="str">
        <f ca="1">IF(CostTrack[[#This Row],[Vendor - Contract]]="","",INDEX(VendorList[Funding Source],MATCH(CostTrack[[#This Row],[Vendor - Contract]],VendorList[Vendor / Org. with Contract ID],0)))</f>
        <v>P-002360</v>
      </c>
      <c r="W651" s="1308">
        <v>45281</v>
      </c>
      <c r="X651" s="1315" t="str">
        <f ca="1">IF(CostTrack[[#This Row],[Release Date (CMS)]]="","*","")</f>
        <v/>
      </c>
      <c r="Y651" s="1308" t="s">
        <v>58</v>
      </c>
      <c r="Z651" s="713"/>
      <c r="AA651" s="1316">
        <f ca="1">IF(OR(CostTrack[[#This Row],[Release Date (CMS)]]&gt;=DATE(VALUE(REPLACE(CostTrack[[#This Row],[Fiscal Period]],3,3,"")),3,1),CostTrack[[#This Row],[Release Date (CMS)]]&lt;DATE(VALUE(LEFT(CostTrack[[#This Row],[Fiscal Period]],4)),4,1)),1,0)</f>
        <v>0</v>
      </c>
      <c r="AB651" s="1317">
        <v>1237.08</v>
      </c>
      <c r="AC651" s="1308">
        <v>45299</v>
      </c>
      <c r="AD651" s="402" t="str">
        <f ca="1">IF(CostTrack[[#This Row],[Reconciled Amount]]="","",IF(CostTrack[[#This Row],[Value]]&lt;&gt;CostTrack[[#This Row],[Reconciled Amount]],"Yes","No"))</f>
        <v>No</v>
      </c>
      <c r="AE651" s="658"/>
    </row>
    <row r="652" spans="2:31" ht="26.25" customHeight="1">
      <c r="B652" s="706" t="s">
        <v>527</v>
      </c>
      <c r="C652" s="884" t="s">
        <v>1321</v>
      </c>
      <c r="D652" s="267">
        <v>45291</v>
      </c>
      <c r="E652" s="654">
        <v>27470.11</v>
      </c>
      <c r="F652" s="647" t="s">
        <v>69</v>
      </c>
      <c r="G652" s="406">
        <f ca="1">ROUND(IF(CostTrack[[#This Row],[Holdback (Y/N/R)]]="Yes",CostTrack[[#This Row],[Value]]*-0.1,IF(CostTrack[[#This Row],[Holdback (Y/N/R)]]="Release",CostTrack[[#This Row],[Value]],0)),2)</f>
        <v>0</v>
      </c>
      <c r="H652" s="407">
        <f ca="1">IF(CostTrack[[#This Row],[Holdback (Y/N/R)]]="Release",CostTrack[[#This Row],[Value]],CostTrack[[#This Row],[Value]]+CostTrack[[#This Row],[Holdback Value]])</f>
        <v>27470.11</v>
      </c>
      <c r="I652" s="650"/>
      <c r="J652" s="650"/>
      <c r="K652" s="648"/>
      <c r="L652" s="707">
        <v>45296</v>
      </c>
      <c r="M652" s="708">
        <v>45296</v>
      </c>
      <c r="N652" s="709"/>
      <c r="O652" s="712" t="s">
        <v>106</v>
      </c>
      <c r="P652" s="267">
        <v>45299</v>
      </c>
      <c r="Q652" s="243" t="str">
        <f ca="1">IF(CostTrack[[#This Row],[Vendor - Contract]]="","",INDEX(VendorList[PA ID],MATCH(CostTrack[[#This Row],[Vendor - Contract]],VendorList[Vendor / Org. with Contract ID],0)))</f>
        <v>200.010.F1</v>
      </c>
      <c r="R652" s="243" t="str">
        <f ca="1">IF(CostTrack[[#This Row],[Vendor - Contract]]="","",INDEX(VendorList[Primary Category],MATCH(CostTrack[[#This Row],[Vendor - Contract]],VendorList[Vendor / Org. with Contract ID],0)))</f>
        <v>Professional Services</v>
      </c>
      <c r="S652" s="243" t="str">
        <f ca="1">IF(CostTrack[[#This Row],[Vendor - Contract]]="","",INDEX(VendorList[Secondary Category],MATCH(CostTrack[[#This Row],[Vendor - Contract]],VendorList[Vendor / Org. with Contract ID],0)))</f>
        <v>Prime Consultant</v>
      </c>
      <c r="T652" s="243" t="str">
        <f ca="1">IF(CostTrack[[#This Row],[Vendor - Contract]]="","",INDEX(VendorList[Phase / Subproject],MATCH(CostTrack[[#This Row],[Vendor - Contract]],VendorList[Vendor / Org. with Contract ID],0)))</f>
        <v>--</v>
      </c>
      <c r="U652" s="243" t="str">
        <f ca="1">IF(CostTrack[[#This Row],[Vendor - Contract]]="","",INDEX(VendorList[Phase / Subproject 2],MATCH(CostTrack[[#This Row],[Vendor - Contract]],VendorList[Vendor / Org. with Contract ID],0)))</f>
        <v>--</v>
      </c>
      <c r="V652" s="243" t="str">
        <f ca="1">IF(CostTrack[[#This Row],[Vendor - Contract]]="","",INDEX(VendorList[Funding Source],MATCH(CostTrack[[#This Row],[Vendor - Contract]],VendorList[Vendor / Org. with Contract ID],0)))</f>
        <v>P-002360</v>
      </c>
      <c r="W652" s="267">
        <v>45299</v>
      </c>
      <c r="X652" s="251" t="str">
        <f ca="1">IF(CostTrack[[#This Row],[Release Date (CMS)]]="","*","")</f>
        <v/>
      </c>
      <c r="Y652" s="267" t="s">
        <v>58</v>
      </c>
      <c r="Z652" s="652"/>
      <c r="AA652" s="245">
        <f ca="1">IF(OR(CostTrack[[#This Row],[Release Date (CMS)]]&gt;=DATE(VALUE(REPLACE(CostTrack[[#This Row],[Fiscal Period]],3,3,"")),3,1),CostTrack[[#This Row],[Release Date (CMS)]]&lt;DATE(VALUE(LEFT(CostTrack[[#This Row],[Fiscal Period]],4)),4,1)),1,0)</f>
        <v>0</v>
      </c>
      <c r="AB652" s="655">
        <v>27470.11</v>
      </c>
      <c r="AC652" s="267">
        <v>45342</v>
      </c>
      <c r="AD652" s="402" t="str">
        <f ca="1">IF(CostTrack[[#This Row],[Reconciled Amount]]="","",IF(CostTrack[[#This Row],[Value]]&lt;&gt;CostTrack[[#This Row],[Reconciled Amount]],"Yes","No"))</f>
        <v>No</v>
      </c>
      <c r="AE652" s="654"/>
    </row>
    <row r="653" spans="2:31" ht="26.25" customHeight="1">
      <c r="B653" s="706" t="s">
        <v>711</v>
      </c>
      <c r="C653" s="884">
        <v>4670595</v>
      </c>
      <c r="D653" s="267">
        <v>45291</v>
      </c>
      <c r="E653" s="654">
        <v>197.05</v>
      </c>
      <c r="F653" s="647" t="s">
        <v>69</v>
      </c>
      <c r="G653" s="406">
        <f ca="1">ROUND(IF(CostTrack[[#This Row],[Holdback (Y/N/R)]]="Yes",CostTrack[[#This Row],[Value]]*-0.1,IF(CostTrack[[#This Row],[Holdback (Y/N/R)]]="Release",CostTrack[[#This Row],[Value]],0)),2)</f>
        <v>0</v>
      </c>
      <c r="H653" s="407">
        <f ca="1">IF(CostTrack[[#This Row],[Holdback (Y/N/R)]]="Release",CostTrack[[#This Row],[Value]],CostTrack[[#This Row],[Value]]+CostTrack[[#This Row],[Holdback Value]])</f>
        <v>197.05</v>
      </c>
      <c r="I653" s="650"/>
      <c r="J653" s="650"/>
      <c r="K653" s="648"/>
      <c r="L653" s="707">
        <v>45296</v>
      </c>
      <c r="M653" s="708">
        <v>45296</v>
      </c>
      <c r="N653" s="709"/>
      <c r="O653" s="712" t="s">
        <v>106</v>
      </c>
      <c r="P653" s="267">
        <v>45299</v>
      </c>
      <c r="Q653" s="243" t="str">
        <f ca="1">IF(CostTrack[[#This Row],[Vendor - Contract]]="","",INDEX(VendorList[PA ID],MATCH(CostTrack[[#This Row],[Vendor - Contract]],VendorList[Vendor / Org. with Contract ID],0)))</f>
        <v>300.040.F1</v>
      </c>
      <c r="R653" s="243" t="str">
        <f ca="1">IF(CostTrack[[#This Row],[Vendor - Contract]]="","",INDEX(VendorList[Primary Category],MATCH(CostTrack[[#This Row],[Vendor - Contract]],VendorList[Vendor / Org. with Contract ID],0)))</f>
        <v>Construction</v>
      </c>
      <c r="S653" s="243" t="str">
        <f ca="1">IF(CostTrack[[#This Row],[Vendor - Contract]]="","",INDEX(VendorList[Secondary Category],MATCH(CostTrack[[#This Row],[Vendor - Contract]],VendorList[Vendor / Org. with Contract ID],0)))</f>
        <v>Other Contractor</v>
      </c>
      <c r="T653" s="243" t="str">
        <f ca="1">IF(CostTrack[[#This Row],[Vendor - Contract]]="","",INDEX(VendorList[Phase / Subproject],MATCH(CostTrack[[#This Row],[Vendor - Contract]],VendorList[Vendor / Org. with Contract ID],0)))</f>
        <v>--</v>
      </c>
      <c r="U653" s="243" t="str">
        <f ca="1">IF(CostTrack[[#This Row],[Vendor - Contract]]="","",INDEX(VendorList[Phase / Subproject 2],MATCH(CostTrack[[#This Row],[Vendor - Contract]],VendorList[Vendor / Org. with Contract ID],0)))</f>
        <v>--</v>
      </c>
      <c r="V653" s="243" t="str">
        <f ca="1">IF(CostTrack[[#This Row],[Vendor - Contract]]="","",INDEX(VendorList[Funding Source],MATCH(CostTrack[[#This Row],[Vendor - Contract]],VendorList[Vendor / Org. with Contract ID],0)))</f>
        <v>P-002360</v>
      </c>
      <c r="W653" s="267">
        <v>45299</v>
      </c>
      <c r="X653" s="251" t="str">
        <f ca="1">IF(CostTrack[[#This Row],[Release Date (CMS)]]="","*","")</f>
        <v/>
      </c>
      <c r="Y653" s="267" t="s">
        <v>58</v>
      </c>
      <c r="Z653" s="652"/>
      <c r="AA653" s="245">
        <f ca="1">IF(OR(CostTrack[[#This Row],[Release Date (CMS)]]&gt;=DATE(VALUE(REPLACE(CostTrack[[#This Row],[Fiscal Period]],3,3,"")),3,1),CostTrack[[#This Row],[Release Date (CMS)]]&lt;DATE(VALUE(LEFT(CostTrack[[#This Row],[Fiscal Period]],4)),4,1)),1,0)</f>
        <v>0</v>
      </c>
      <c r="AB653" s="655">
        <v>197.05</v>
      </c>
      <c r="AC653" s="267">
        <v>45342</v>
      </c>
      <c r="AD653" s="402" t="str">
        <f ca="1">IF(CostTrack[[#This Row],[Reconciled Amount]]="","",IF(CostTrack[[#This Row],[Value]]&lt;&gt;CostTrack[[#This Row],[Reconciled Amount]],"Yes","No"))</f>
        <v>No</v>
      </c>
      <c r="AE653" s="654"/>
    </row>
    <row r="654" spans="2:31" ht="26.25" customHeight="1">
      <c r="B654" s="706" t="s">
        <v>1322</v>
      </c>
      <c r="C654" s="884">
        <v>10235</v>
      </c>
      <c r="D654" s="267">
        <v>45288</v>
      </c>
      <c r="E654" s="654">
        <v>800</v>
      </c>
      <c r="F654" s="647" t="s">
        <v>69</v>
      </c>
      <c r="G654" s="406">
        <f ca="1">ROUND(IF(CostTrack[[#This Row],[Holdback (Y/N/R)]]="Yes",CostTrack[[#This Row],[Value]]*-0.1,IF(CostTrack[[#This Row],[Holdback (Y/N/R)]]="Release",CostTrack[[#This Row],[Value]],0)),2)</f>
        <v>0</v>
      </c>
      <c r="H654" s="407">
        <f ca="1">IF(CostTrack[[#This Row],[Holdback (Y/N/R)]]="Release",CostTrack[[#This Row],[Value]],CostTrack[[#This Row],[Value]]+CostTrack[[#This Row],[Holdback Value]])</f>
        <v>800</v>
      </c>
      <c r="I654" s="650"/>
      <c r="J654" s="650"/>
      <c r="K654" s="648"/>
      <c r="L654" s="707">
        <v>45293</v>
      </c>
      <c r="M654" s="708">
        <v>45293</v>
      </c>
      <c r="N654" s="709"/>
      <c r="O654" s="712" t="s">
        <v>106</v>
      </c>
      <c r="P654" s="267">
        <v>45293</v>
      </c>
      <c r="Q654" s="243" t="str">
        <f ca="1">IF(CostTrack[[#This Row],[Vendor - Contract]]="","",INDEX(VendorList[PA ID],MATCH(CostTrack[[#This Row],[Vendor - Contract]],VendorList[Vendor / Org. with Contract ID],0)))</f>
        <v>300.040.F1</v>
      </c>
      <c r="R654" s="243" t="str">
        <f ca="1">IF(CostTrack[[#This Row],[Vendor - Contract]]="","",INDEX(VendorList[Primary Category],MATCH(CostTrack[[#This Row],[Vendor - Contract]],VendorList[Vendor / Org. with Contract ID],0)))</f>
        <v>Construction</v>
      </c>
      <c r="S654" s="243" t="str">
        <f ca="1">IF(CostTrack[[#This Row],[Vendor - Contract]]="","",INDEX(VendorList[Secondary Category],MATCH(CostTrack[[#This Row],[Vendor - Contract]],VendorList[Vendor / Org. with Contract ID],0)))</f>
        <v>Other Contractor</v>
      </c>
      <c r="T654" s="243" t="str">
        <f ca="1">IF(CostTrack[[#This Row],[Vendor - Contract]]="","",INDEX(VendorList[Phase / Subproject],MATCH(CostTrack[[#This Row],[Vendor - Contract]],VendorList[Vendor / Org. with Contract ID],0)))</f>
        <v>--</v>
      </c>
      <c r="U654" s="243" t="str">
        <f ca="1">IF(CostTrack[[#This Row],[Vendor - Contract]]="","",INDEX(VendorList[Phase / Subproject 2],MATCH(CostTrack[[#This Row],[Vendor - Contract]],VendorList[Vendor / Org. with Contract ID],0)))</f>
        <v>--</v>
      </c>
      <c r="V654" s="243" t="str">
        <f ca="1">IF(CostTrack[[#This Row],[Vendor - Contract]]="","",INDEX(VendorList[Funding Source],MATCH(CostTrack[[#This Row],[Vendor - Contract]],VendorList[Vendor / Org. with Contract ID],0)))</f>
        <v>P-002360</v>
      </c>
      <c r="W654" s="267">
        <v>45295</v>
      </c>
      <c r="X654" s="251" t="str">
        <f ca="1">IF(CostTrack[[#This Row],[Release Date (CMS)]]="","*","")</f>
        <v/>
      </c>
      <c r="Y654" s="267" t="s">
        <v>58</v>
      </c>
      <c r="Z654" s="652"/>
      <c r="AA654" s="245">
        <f ca="1">IF(OR(CostTrack[[#This Row],[Release Date (CMS)]]&gt;=DATE(VALUE(REPLACE(CostTrack[[#This Row],[Fiscal Period]],3,3,"")),3,1),CostTrack[[#This Row],[Release Date (CMS)]]&lt;DATE(VALUE(LEFT(CostTrack[[#This Row],[Fiscal Period]],4)),4,1)),1,0)</f>
        <v>0</v>
      </c>
      <c r="AB654" s="655">
        <v>800</v>
      </c>
      <c r="AC654" s="267">
        <v>45342</v>
      </c>
      <c r="AD654" s="402" t="str">
        <f ca="1">IF(CostTrack[[#This Row],[Reconciled Amount]]="","",IF(CostTrack[[#This Row],[Value]]&lt;&gt;CostTrack[[#This Row],[Reconciled Amount]],"Yes","No"))</f>
        <v>No</v>
      </c>
      <c r="AE654" s="654"/>
    </row>
    <row r="655" spans="2:31" ht="26.25" customHeight="1">
      <c r="B655" s="1324" t="s">
        <v>529</v>
      </c>
      <c r="C655" s="1334" t="s">
        <v>1323</v>
      </c>
      <c r="D655" s="1308">
        <v>45253</v>
      </c>
      <c r="E655" s="658">
        <v>2440497.5499999998</v>
      </c>
      <c r="F655" s="1309" t="s">
        <v>100</v>
      </c>
      <c r="G655" s="1310">
        <f ca="1">ROUND(IF(CostTrack[[#This Row],[Holdback (Y/N/R)]]="Yes",CostTrack[[#This Row],[Value]]*-0.1,IF(CostTrack[[#This Row],[Holdback (Y/N/R)]]="Release",CostTrack[[#This Row],[Value]],0)),2)</f>
        <v>2440497.5499999998</v>
      </c>
      <c r="H655" s="1311">
        <f ca="1">IF(CostTrack[[#This Row],[Holdback (Y/N/R)]]="Release",CostTrack[[#This Row],[Value]],CostTrack[[#This Row],[Value]]+CostTrack[[#This Row],[Holdback Value]])</f>
        <v>2440497.5499999998</v>
      </c>
      <c r="I655" s="1312" t="s">
        <v>1324</v>
      </c>
      <c r="J655" s="1312"/>
      <c r="K655" s="1313"/>
      <c r="L655" s="1325">
        <v>45300</v>
      </c>
      <c r="M655" s="1326">
        <v>45300</v>
      </c>
      <c r="N655" s="1327"/>
      <c r="O655" s="1328" t="s">
        <v>106</v>
      </c>
      <c r="P655" s="1308">
        <v>45300</v>
      </c>
      <c r="Q655" s="1314" t="str">
        <f ca="1">IF(CostTrack[[#This Row],[Vendor - Contract]]="","",INDEX(VendorList[PA ID],MATCH(CostTrack[[#This Row],[Vendor - Contract]],VendorList[Vendor / Org. with Contract ID],0)))</f>
        <v>300.030.F1</v>
      </c>
      <c r="R655" s="1314" t="str">
        <f ca="1">IF(CostTrack[[#This Row],[Vendor - Contract]]="","",INDEX(VendorList[Primary Category],MATCH(CostTrack[[#This Row],[Vendor - Contract]],VendorList[Vendor / Org. with Contract ID],0)))</f>
        <v>Construction</v>
      </c>
      <c r="S655" s="1314" t="str">
        <f ca="1">IF(CostTrack[[#This Row],[Vendor - Contract]]="","",INDEX(VendorList[Secondary Category],MATCH(CostTrack[[#This Row],[Vendor - Contract]],VendorList[Vendor / Org. with Contract ID],0)))</f>
        <v>Prime Contractor</v>
      </c>
      <c r="T655" s="1314" t="str">
        <f ca="1">IF(CostTrack[[#This Row],[Vendor - Contract]]="","",INDEX(VendorList[Phase / Subproject],MATCH(CostTrack[[#This Row],[Vendor - Contract]],VendorList[Vendor / Org. with Contract ID],0)))</f>
        <v>--</v>
      </c>
      <c r="U655" s="1314" t="str">
        <f ca="1">IF(CostTrack[[#This Row],[Vendor - Contract]]="","",INDEX(VendorList[Phase / Subproject 2],MATCH(CostTrack[[#This Row],[Vendor - Contract]],VendorList[Vendor / Org. with Contract ID],0)))</f>
        <v>--</v>
      </c>
      <c r="V655" s="1314" t="str">
        <f ca="1">IF(CostTrack[[#This Row],[Vendor - Contract]]="","",INDEX(VendorList[Funding Source],MATCH(CostTrack[[#This Row],[Vendor - Contract]],VendorList[Vendor / Org. with Contract ID],0)))</f>
        <v>P-002360</v>
      </c>
      <c r="W655" s="1308">
        <v>45300</v>
      </c>
      <c r="X655" s="1315" t="str">
        <f ca="1">IF(CostTrack[[#This Row],[Release Date (CMS)]]="","*","")</f>
        <v/>
      </c>
      <c r="Y655" s="1308" t="s">
        <v>58</v>
      </c>
      <c r="Z655" s="713"/>
      <c r="AA655" s="1316">
        <f ca="1">IF(OR(CostTrack[[#This Row],[Release Date (CMS)]]&gt;=DATE(VALUE(REPLACE(CostTrack[[#This Row],[Fiscal Period]],3,3,"")),3,1),CostTrack[[#This Row],[Release Date (CMS)]]&lt;DATE(VALUE(LEFT(CostTrack[[#This Row],[Fiscal Period]],4)),4,1)),1,0)</f>
        <v>0</v>
      </c>
      <c r="AB655" s="1317">
        <v>2440497.5499999998</v>
      </c>
      <c r="AC655" s="1308">
        <v>45342</v>
      </c>
      <c r="AD655" s="402" t="str">
        <f ca="1">IF(CostTrack[[#This Row],[Reconciled Amount]]="","",IF(CostTrack[[#This Row],[Value]]&lt;&gt;CostTrack[[#This Row],[Reconciled Amount]],"Yes","No"))</f>
        <v>No</v>
      </c>
      <c r="AE655" s="658"/>
    </row>
    <row r="656" spans="2:31" ht="26.25" customHeight="1">
      <c r="B656" s="1324" t="s">
        <v>624</v>
      </c>
      <c r="C656" s="1334">
        <v>1863813</v>
      </c>
      <c r="D656" s="1308">
        <v>45282</v>
      </c>
      <c r="E656" s="658">
        <v>15800</v>
      </c>
      <c r="F656" s="1309" t="s">
        <v>69</v>
      </c>
      <c r="G656" s="1310">
        <f ca="1">ROUND(IF(CostTrack[[#This Row],[Holdback (Y/N/R)]]="Yes",CostTrack[[#This Row],[Value]]*-0.1,IF(CostTrack[[#This Row],[Holdback (Y/N/R)]]="Release",CostTrack[[#This Row],[Value]],0)),2)</f>
        <v>0</v>
      </c>
      <c r="H656" s="1311">
        <f ca="1">IF(CostTrack[[#This Row],[Holdback (Y/N/R)]]="Release",CostTrack[[#This Row],[Value]],CostTrack[[#This Row],[Value]]+CostTrack[[#This Row],[Holdback Value]])</f>
        <v>15800</v>
      </c>
      <c r="I656" s="1312"/>
      <c r="J656" s="1312"/>
      <c r="K656" s="1313"/>
      <c r="L656" s="1325">
        <v>45293</v>
      </c>
      <c r="M656" s="1326">
        <v>45293</v>
      </c>
      <c r="N656" s="1327"/>
      <c r="O656" s="1328" t="s">
        <v>106</v>
      </c>
      <c r="P656" s="1308">
        <v>45303</v>
      </c>
      <c r="Q656" s="1314" t="str">
        <f ca="1">IF(CostTrack[[#This Row],[Vendor - Contract]]="","",INDEX(VendorList[PA ID],MATCH(CostTrack[[#This Row],[Vendor - Contract]],VendorList[Vendor / Org. with Contract ID],0)))</f>
        <v>200.040.F1</v>
      </c>
      <c r="R656" s="1314" t="str">
        <f ca="1">IF(CostTrack[[#This Row],[Vendor - Contract]]="","",INDEX(VendorList[Primary Category],MATCH(CostTrack[[#This Row],[Vendor - Contract]],VendorList[Vendor / Org. with Contract ID],0)))</f>
        <v>Professional Services</v>
      </c>
      <c r="S656" s="1314" t="str">
        <f ca="1">IF(CostTrack[[#This Row],[Vendor - Contract]]="","",INDEX(VendorList[Secondary Category],MATCH(CostTrack[[#This Row],[Vendor - Contract]],VendorList[Vendor / Org. with Contract ID],0)))</f>
        <v>Commissioning</v>
      </c>
      <c r="T656" s="1314" t="str">
        <f ca="1">IF(CostTrack[[#This Row],[Vendor - Contract]]="","",INDEX(VendorList[Phase / Subproject],MATCH(CostTrack[[#This Row],[Vendor - Contract]],VendorList[Vendor / Org. with Contract ID],0)))</f>
        <v>--</v>
      </c>
      <c r="U656" s="1314" t="str">
        <f ca="1">IF(CostTrack[[#This Row],[Vendor - Contract]]="","",INDEX(VendorList[Phase / Subproject 2],MATCH(CostTrack[[#This Row],[Vendor - Contract]],VendorList[Vendor / Org. with Contract ID],0)))</f>
        <v>--</v>
      </c>
      <c r="V656" s="1314" t="str">
        <f ca="1">IF(CostTrack[[#This Row],[Vendor - Contract]]="","",INDEX(VendorList[Funding Source],MATCH(CostTrack[[#This Row],[Vendor - Contract]],VendorList[Vendor / Org. with Contract ID],0)))</f>
        <v>P-002360</v>
      </c>
      <c r="W656" s="1308">
        <v>45303</v>
      </c>
      <c r="X656" s="1315" t="str">
        <f ca="1">IF(CostTrack[[#This Row],[Release Date (CMS)]]="","*","")</f>
        <v/>
      </c>
      <c r="Y656" s="1308" t="s">
        <v>58</v>
      </c>
      <c r="Z656" s="713"/>
      <c r="AA656" s="1316">
        <f ca="1">IF(OR(CostTrack[[#This Row],[Release Date (CMS)]]&gt;=DATE(VALUE(REPLACE(CostTrack[[#This Row],[Fiscal Period]],3,3,"")),3,1),CostTrack[[#This Row],[Release Date (CMS)]]&lt;DATE(VALUE(LEFT(CostTrack[[#This Row],[Fiscal Period]],4)),4,1)),1,0)</f>
        <v>0</v>
      </c>
      <c r="AB656" s="1317">
        <v>15800</v>
      </c>
      <c r="AC656" s="1308">
        <v>45342</v>
      </c>
      <c r="AD656" s="402" t="str">
        <f ca="1">IF(CostTrack[[#This Row],[Reconciled Amount]]="","",IF(CostTrack[[#This Row],[Value]]&lt;&gt;CostTrack[[#This Row],[Reconciled Amount]],"Yes","No"))</f>
        <v>No</v>
      </c>
      <c r="AE656" s="658"/>
    </row>
    <row r="657" spans="2:31" ht="30" customHeight="1">
      <c r="B657" s="1324" t="s">
        <v>718</v>
      </c>
      <c r="C657" s="1334">
        <v>586946</v>
      </c>
      <c r="D657" s="1308">
        <v>45281</v>
      </c>
      <c r="E657" s="658">
        <v>235</v>
      </c>
      <c r="F657" s="1309" t="s">
        <v>69</v>
      </c>
      <c r="G657" s="1310">
        <f ca="1">ROUND(IF(CostTrack[[#This Row],[Holdback (Y/N/R)]]="Yes",CostTrack[[#This Row],[Value]]*-0.1,IF(CostTrack[[#This Row],[Holdback (Y/N/R)]]="Release",CostTrack[[#This Row],[Value]],0)),2)</f>
        <v>0</v>
      </c>
      <c r="H657" s="1311">
        <f ca="1">IF(CostTrack[[#This Row],[Holdback (Y/N/R)]]="Release",CostTrack[[#This Row],[Value]],CostTrack[[#This Row],[Value]]+CostTrack[[#This Row],[Holdback Value]])</f>
        <v>235</v>
      </c>
      <c r="I657" s="1312"/>
      <c r="J657" s="1312"/>
      <c r="K657" s="1313"/>
      <c r="L657" s="1325">
        <v>45296</v>
      </c>
      <c r="M657" s="1326">
        <v>45296</v>
      </c>
      <c r="N657" s="1327"/>
      <c r="O657" s="1328" t="s">
        <v>106</v>
      </c>
      <c r="P657" s="1308">
        <v>45296</v>
      </c>
      <c r="Q657" s="1314" t="str">
        <f ca="1">IF(CostTrack[[#This Row],[Vendor - Contract]]="","",INDEX(VendorList[PA ID],MATCH(CostTrack[[#This Row],[Vendor - Contract]],VendorList[Vendor / Org. with Contract ID],0)))</f>
        <v>300.040.F1</v>
      </c>
      <c r="R657" s="1314" t="str">
        <f ca="1">IF(CostTrack[[#This Row],[Vendor - Contract]]="","",INDEX(VendorList[Primary Category],MATCH(CostTrack[[#This Row],[Vendor - Contract]],VendorList[Vendor / Org. with Contract ID],0)))</f>
        <v>Construction</v>
      </c>
      <c r="S657" s="1314" t="str">
        <f ca="1">IF(CostTrack[[#This Row],[Vendor - Contract]]="","",INDEX(VendorList[Secondary Category],MATCH(CostTrack[[#This Row],[Vendor - Contract]],VendorList[Vendor / Org. with Contract ID],0)))</f>
        <v>Other Contractor</v>
      </c>
      <c r="T657" s="1314" t="str">
        <f ca="1">IF(CostTrack[[#This Row],[Vendor - Contract]]="","",INDEX(VendorList[Phase / Subproject],MATCH(CostTrack[[#This Row],[Vendor - Contract]],VendorList[Vendor / Org. with Contract ID],0)))</f>
        <v>--</v>
      </c>
      <c r="U657" s="1314" t="str">
        <f ca="1">IF(CostTrack[[#This Row],[Vendor - Contract]]="","",INDEX(VendorList[Phase / Subproject 2],MATCH(CostTrack[[#This Row],[Vendor - Contract]],VendorList[Vendor / Org. with Contract ID],0)))</f>
        <v>--</v>
      </c>
      <c r="V657" s="1314" t="str">
        <f ca="1">IF(CostTrack[[#This Row],[Vendor - Contract]]="","",INDEX(VendorList[Funding Source],MATCH(CostTrack[[#This Row],[Vendor - Contract]],VendorList[Vendor / Org. with Contract ID],0)))</f>
        <v>P-002360</v>
      </c>
      <c r="W657" s="1308">
        <v>45309</v>
      </c>
      <c r="X657" s="1315" t="str">
        <f ca="1">IF(CostTrack[[#This Row],[Release Date (CMS)]]="","*","")</f>
        <v/>
      </c>
      <c r="Y657" s="1308" t="s">
        <v>58</v>
      </c>
      <c r="Z657" s="907"/>
      <c r="AA657" s="1316">
        <f ca="1">IF(OR(CostTrack[[#This Row],[Release Date (CMS)]]&gt;=DATE(VALUE(REPLACE(CostTrack[[#This Row],[Fiscal Period]],3,3,"")),3,1),CostTrack[[#This Row],[Release Date (CMS)]]&lt;DATE(VALUE(LEFT(CostTrack[[#This Row],[Fiscal Period]],4)),4,1)),1,0)</f>
        <v>0</v>
      </c>
      <c r="AB657" s="1317">
        <v>235</v>
      </c>
      <c r="AC657" s="1308">
        <v>45342</v>
      </c>
      <c r="AD657" s="402" t="str">
        <f ca="1">IF(CostTrack[[#This Row],[Reconciled Amount]]="","",IF(CostTrack[[#This Row],[Value]]&lt;&gt;CostTrack[[#This Row],[Reconciled Amount]],"Yes","No"))</f>
        <v>No</v>
      </c>
      <c r="AE657" s="658"/>
    </row>
    <row r="658" spans="2:31" ht="30" customHeight="1">
      <c r="B658" s="1324" t="s">
        <v>710</v>
      </c>
      <c r="C658" s="1349">
        <v>103500057177</v>
      </c>
      <c r="D658" s="1308">
        <v>45309</v>
      </c>
      <c r="E658" s="658">
        <v>1686.08</v>
      </c>
      <c r="F658" s="1309" t="s">
        <v>69</v>
      </c>
      <c r="G658" s="1310">
        <f ca="1">ROUND(IF(CostTrack[[#This Row],[Holdback (Y/N/R)]]="Yes",CostTrack[[#This Row],[Value]]*-0.1,IF(CostTrack[[#This Row],[Holdback (Y/N/R)]]="Release",CostTrack[[#This Row],[Value]],0)),2)</f>
        <v>0</v>
      </c>
      <c r="H658" s="1311">
        <f ca="1">IF(CostTrack[[#This Row],[Holdback (Y/N/R)]]="Release",CostTrack[[#This Row],[Value]],CostTrack[[#This Row],[Value]]+CostTrack[[#This Row],[Holdback Value]])</f>
        <v>1686.08</v>
      </c>
      <c r="I658" s="1312"/>
      <c r="J658" s="1312"/>
      <c r="K658" s="1313"/>
      <c r="L658" s="1325">
        <v>45313</v>
      </c>
      <c r="M658" s="1326">
        <v>45313</v>
      </c>
      <c r="N658" s="1327"/>
      <c r="O658" s="1328" t="s">
        <v>106</v>
      </c>
      <c r="P658" s="1308">
        <v>45313</v>
      </c>
      <c r="Q658" s="1314" t="str">
        <f ca="1">IF(CostTrack[[#This Row],[Vendor - Contract]]="","",INDEX(VendorList[PA ID],MATCH(CostTrack[[#This Row],[Vendor - Contract]],VendorList[Vendor / Org. with Contract ID],0)))</f>
        <v>300.040.F1</v>
      </c>
      <c r="R658" s="1314" t="str">
        <f ca="1">IF(CostTrack[[#This Row],[Vendor - Contract]]="","",INDEX(VendorList[Primary Category],MATCH(CostTrack[[#This Row],[Vendor - Contract]],VendorList[Vendor / Org. with Contract ID],0)))</f>
        <v>Construction</v>
      </c>
      <c r="S658" s="1314" t="str">
        <f ca="1">IF(CostTrack[[#This Row],[Vendor - Contract]]="","",INDEX(VendorList[Secondary Category],MATCH(CostTrack[[#This Row],[Vendor - Contract]],VendorList[Vendor / Org. with Contract ID],0)))</f>
        <v>Other Contractor</v>
      </c>
      <c r="T658" s="1314" t="str">
        <f ca="1">IF(CostTrack[[#This Row],[Vendor - Contract]]="","",INDEX(VendorList[Phase / Subproject],MATCH(CostTrack[[#This Row],[Vendor - Contract]],VendorList[Vendor / Org. with Contract ID],0)))</f>
        <v>--</v>
      </c>
      <c r="U658" s="1314" t="str">
        <f ca="1">IF(CostTrack[[#This Row],[Vendor - Contract]]="","",INDEX(VendorList[Phase / Subproject 2],MATCH(CostTrack[[#This Row],[Vendor - Contract]],VendorList[Vendor / Org. with Contract ID],0)))</f>
        <v>--</v>
      </c>
      <c r="V658" s="1314" t="str">
        <f ca="1">IF(CostTrack[[#This Row],[Vendor - Contract]]="","",INDEX(VendorList[Funding Source],MATCH(CostTrack[[#This Row],[Vendor - Contract]],VendorList[Vendor / Org. with Contract ID],0)))</f>
        <v>P-002360</v>
      </c>
      <c r="W658" s="1308">
        <v>45313</v>
      </c>
      <c r="X658" s="1315" t="str">
        <f ca="1">IF(CostTrack[[#This Row],[Release Date (CMS)]]="","*","")</f>
        <v/>
      </c>
      <c r="Y658" s="1308" t="s">
        <v>58</v>
      </c>
      <c r="Z658" s="713"/>
      <c r="AA658" s="1316">
        <f ca="1">IF(OR(CostTrack[[#This Row],[Release Date (CMS)]]&gt;=DATE(VALUE(REPLACE(CostTrack[[#This Row],[Fiscal Period]],3,3,"")),3,1),CostTrack[[#This Row],[Release Date (CMS)]]&lt;DATE(VALUE(LEFT(CostTrack[[#This Row],[Fiscal Period]],4)),4,1)),1,0)</f>
        <v>0</v>
      </c>
      <c r="AB658" s="1317">
        <v>1686.08</v>
      </c>
      <c r="AC658" s="1308">
        <v>45342</v>
      </c>
      <c r="AD658" s="402" t="str">
        <f ca="1">IF(CostTrack[[#This Row],[Reconciled Amount]]="","",IF(CostTrack[[#This Row],[Value]]&lt;&gt;CostTrack[[#This Row],[Reconciled Amount]],"Yes","No"))</f>
        <v>No</v>
      </c>
      <c r="AE658" s="658"/>
    </row>
    <row r="659" spans="2:31" ht="30" customHeight="1">
      <c r="B659" s="1324" t="s">
        <v>666</v>
      </c>
      <c r="C659" s="691" t="s">
        <v>1325</v>
      </c>
      <c r="D659" s="1308">
        <v>45313</v>
      </c>
      <c r="E659" s="658">
        <v>3750</v>
      </c>
      <c r="F659" s="1309" t="s">
        <v>69</v>
      </c>
      <c r="G659" s="1310">
        <f ca="1">ROUND(IF(CostTrack[[#This Row],[Holdback (Y/N/R)]]="Yes",CostTrack[[#This Row],[Value]]*-0.1,IF(CostTrack[[#This Row],[Holdback (Y/N/R)]]="Release",CostTrack[[#This Row],[Value]],0)),2)</f>
        <v>0</v>
      </c>
      <c r="H659" s="1311">
        <f ca="1">IF(CostTrack[[#This Row],[Holdback (Y/N/R)]]="Release",CostTrack[[#This Row],[Value]],CostTrack[[#This Row],[Value]]+CostTrack[[#This Row],[Holdback Value]])</f>
        <v>3750</v>
      </c>
      <c r="I659" s="1312"/>
      <c r="J659" s="1312"/>
      <c r="K659" s="1313"/>
      <c r="L659" s="1325">
        <v>45314</v>
      </c>
      <c r="M659" s="1326">
        <v>45314</v>
      </c>
      <c r="N659" s="1327"/>
      <c r="O659" s="1328" t="s">
        <v>106</v>
      </c>
      <c r="P659" s="1308">
        <v>45314</v>
      </c>
      <c r="Q659" s="1314" t="str">
        <f ca="1">IF(CostTrack[[#This Row],[Vendor - Contract]]="","",INDEX(VendorList[PA ID],MATCH(CostTrack[[#This Row],[Vendor - Contract]],VendorList[Vendor / Org. with Contract ID],0)))</f>
        <v>200.050.F1</v>
      </c>
      <c r="R659" s="1314" t="str">
        <f ca="1">IF(CostTrack[[#This Row],[Vendor - Contract]]="","",INDEX(VendorList[Primary Category],MATCH(CostTrack[[#This Row],[Vendor - Contract]],VendorList[Vendor / Org. with Contract ID],0)))</f>
        <v>Professional Services</v>
      </c>
      <c r="S659" s="1314" t="str">
        <f ca="1">IF(CostTrack[[#This Row],[Vendor - Contract]]="","",INDEX(VendorList[Secondary Category],MATCH(CostTrack[[#This Row],[Vendor - Contract]],VendorList[Vendor / Org. with Contract ID],0)))</f>
        <v>Other Professional Services</v>
      </c>
      <c r="T659" s="1314" t="str">
        <f ca="1">IF(CostTrack[[#This Row],[Vendor - Contract]]="","",INDEX(VendorList[Phase / Subproject],MATCH(CostTrack[[#This Row],[Vendor - Contract]],VendorList[Vendor / Org. with Contract ID],0)))</f>
        <v>--</v>
      </c>
      <c r="U659" s="1314" t="str">
        <f ca="1">IF(CostTrack[[#This Row],[Vendor - Contract]]="","",INDEX(VendorList[Phase / Subproject 2],MATCH(CostTrack[[#This Row],[Vendor - Contract]],VendorList[Vendor / Org. with Contract ID],0)))</f>
        <v>--</v>
      </c>
      <c r="V659" s="1314" t="str">
        <f ca="1">IF(CostTrack[[#This Row],[Vendor - Contract]]="","",INDEX(VendorList[Funding Source],MATCH(CostTrack[[#This Row],[Vendor - Contract]],VendorList[Vendor / Org. with Contract ID],0)))</f>
        <v>P-002360</v>
      </c>
      <c r="W659" s="1308">
        <v>45314</v>
      </c>
      <c r="X659" s="1315" t="str">
        <f ca="1">IF(CostTrack[[#This Row],[Release Date (CMS)]]="","*","")</f>
        <v/>
      </c>
      <c r="Y659" s="1308" t="s">
        <v>58</v>
      </c>
      <c r="Z659" s="713"/>
      <c r="AA659" s="1316">
        <f ca="1">IF(OR(CostTrack[[#This Row],[Release Date (CMS)]]&gt;=DATE(VALUE(REPLACE(CostTrack[[#This Row],[Fiscal Period]],3,3,"")),3,1),CostTrack[[#This Row],[Release Date (CMS)]]&lt;DATE(VALUE(LEFT(CostTrack[[#This Row],[Fiscal Period]],4)),4,1)),1,0)</f>
        <v>0</v>
      </c>
      <c r="AB659" s="1317">
        <v>3750</v>
      </c>
      <c r="AC659" s="1308">
        <v>45342</v>
      </c>
      <c r="AD659" s="402" t="str">
        <f ca="1">IF(CostTrack[[#This Row],[Reconciled Amount]]="","",IF(CostTrack[[#This Row],[Value]]&lt;&gt;CostTrack[[#This Row],[Reconciled Amount]],"Yes","No"))</f>
        <v>No</v>
      </c>
      <c r="AE659" s="658"/>
    </row>
    <row r="660" spans="2:31" ht="30" customHeight="1">
      <c r="B660" s="1324" t="s">
        <v>597</v>
      </c>
      <c r="C660" s="1334">
        <v>443194</v>
      </c>
      <c r="D660" s="1308">
        <v>45314</v>
      </c>
      <c r="E660" s="658">
        <v>31412</v>
      </c>
      <c r="F660" s="1309" t="s">
        <v>69</v>
      </c>
      <c r="G660" s="1310">
        <f ca="1">ROUND(IF(CostTrack[[#This Row],[Holdback (Y/N/R)]]="Yes",CostTrack[[#This Row],[Value]]*-0.1,IF(CostTrack[[#This Row],[Holdback (Y/N/R)]]="Release",CostTrack[[#This Row],[Value]],0)),2)</f>
        <v>0</v>
      </c>
      <c r="H660" s="1311">
        <f ca="1">IF(CostTrack[[#This Row],[Holdback (Y/N/R)]]="Release",CostTrack[[#This Row],[Value]],CostTrack[[#This Row],[Value]]+CostTrack[[#This Row],[Holdback Value]])</f>
        <v>31412</v>
      </c>
      <c r="I660" s="1312"/>
      <c r="J660" s="1312"/>
      <c r="K660" s="1313"/>
      <c r="L660" s="1325">
        <v>45308</v>
      </c>
      <c r="M660" s="1326">
        <v>45308</v>
      </c>
      <c r="N660" s="1327"/>
      <c r="O660" s="1328" t="s">
        <v>106</v>
      </c>
      <c r="P660" s="267">
        <v>45309</v>
      </c>
      <c r="Q660" s="1314" t="str">
        <f ca="1">IF(CostTrack[[#This Row],[Vendor - Contract]]="","",INDEX(VendorList[PA ID],MATCH(CostTrack[[#This Row],[Vendor - Contract]],VendorList[Vendor / Org. with Contract ID],0)))</f>
        <v>300.040.F1</v>
      </c>
      <c r="R660" s="1314" t="str">
        <f ca="1">IF(CostTrack[[#This Row],[Vendor - Contract]]="","",INDEX(VendorList[Primary Category],MATCH(CostTrack[[#This Row],[Vendor - Contract]],VendorList[Vendor / Org. with Contract ID],0)))</f>
        <v>Construction</v>
      </c>
      <c r="S660" s="1314" t="str">
        <f ca="1">IF(CostTrack[[#This Row],[Vendor - Contract]]="","",INDEX(VendorList[Secondary Category],MATCH(CostTrack[[#This Row],[Vendor - Contract]],VendorList[Vendor / Org. with Contract ID],0)))</f>
        <v>Other Contractor</v>
      </c>
      <c r="T660" s="1314" t="str">
        <f ca="1">IF(CostTrack[[#This Row],[Vendor - Contract]]="","",INDEX(VendorList[Phase / Subproject],MATCH(CostTrack[[#This Row],[Vendor - Contract]],VendorList[Vendor / Org. with Contract ID],0)))</f>
        <v>--</v>
      </c>
      <c r="U660" s="1314" t="str">
        <f ca="1">IF(CostTrack[[#This Row],[Vendor - Contract]]="","",INDEX(VendorList[Phase / Subproject 2],MATCH(CostTrack[[#This Row],[Vendor - Contract]],VendorList[Vendor / Org. with Contract ID],0)))</f>
        <v>--</v>
      </c>
      <c r="V660" s="1314" t="str">
        <f ca="1">IF(CostTrack[[#This Row],[Vendor - Contract]]="","",INDEX(VendorList[Funding Source],MATCH(CostTrack[[#This Row],[Vendor - Contract]],VendorList[Vendor / Org. with Contract ID],0)))</f>
        <v>P-002360</v>
      </c>
      <c r="W660" s="1308">
        <v>45314</v>
      </c>
      <c r="X660" s="1315" t="str">
        <f ca="1">IF(CostTrack[[#This Row],[Release Date (CMS)]]="","*","")</f>
        <v/>
      </c>
      <c r="Y660" s="1308" t="s">
        <v>58</v>
      </c>
      <c r="Z660" s="713"/>
      <c r="AA660" s="1316">
        <f ca="1">IF(OR(CostTrack[[#This Row],[Release Date (CMS)]]&gt;=DATE(VALUE(REPLACE(CostTrack[[#This Row],[Fiscal Period]],3,3,"")),3,1),CostTrack[[#This Row],[Release Date (CMS)]]&lt;DATE(VALUE(LEFT(CostTrack[[#This Row],[Fiscal Period]],4)),4,1)),1,0)</f>
        <v>0</v>
      </c>
      <c r="AB660" s="1317">
        <v>31412</v>
      </c>
      <c r="AC660" s="1308">
        <v>45342</v>
      </c>
      <c r="AD660" s="402" t="str">
        <f ca="1">IF(CostTrack[[#This Row],[Reconciled Amount]]="","",IF(CostTrack[[#This Row],[Value]]&lt;&gt;CostTrack[[#This Row],[Reconciled Amount]],"Yes","No"))</f>
        <v>No</v>
      </c>
      <c r="AE660" s="658"/>
    </row>
    <row r="661" spans="2:31" ht="30" customHeight="1">
      <c r="B661" s="1324" t="s">
        <v>528</v>
      </c>
      <c r="C661" s="1334">
        <v>60849370</v>
      </c>
      <c r="D661" s="1308">
        <v>45309</v>
      </c>
      <c r="E661" s="658">
        <v>2600.25</v>
      </c>
      <c r="F661" s="1309" t="s">
        <v>69</v>
      </c>
      <c r="G661" s="1310">
        <f ca="1">ROUND(IF(CostTrack[[#This Row],[Holdback (Y/N/R)]]="Yes",CostTrack[[#This Row],[Value]]*-0.1,IF(CostTrack[[#This Row],[Holdback (Y/N/R)]]="Release",CostTrack[[#This Row],[Value]],0)),2)</f>
        <v>0</v>
      </c>
      <c r="H661" s="1311">
        <f ca="1">IF(CostTrack[[#This Row],[Holdback (Y/N/R)]]="Release",CostTrack[[#This Row],[Value]],CostTrack[[#This Row],[Value]]+CostTrack[[#This Row],[Holdback Value]])</f>
        <v>2600.25</v>
      </c>
      <c r="I661" s="1312"/>
      <c r="J661" s="1312"/>
      <c r="K661" s="1313"/>
      <c r="L661" s="1325">
        <v>45314</v>
      </c>
      <c r="M661" s="1326">
        <v>45314</v>
      </c>
      <c r="N661" s="1327"/>
      <c r="O661" s="1328" t="s">
        <v>106</v>
      </c>
      <c r="P661" s="1308">
        <v>45314</v>
      </c>
      <c r="Q661" s="1314" t="str">
        <f ca="1">IF(CostTrack[[#This Row],[Vendor - Contract]]="","",INDEX(VendorList[PA ID],MATCH(CostTrack[[#This Row],[Vendor - Contract]],VendorList[Vendor / Org. with Contract ID],0)))</f>
        <v>200.050.F1</v>
      </c>
      <c r="R661" s="1314" t="str">
        <f ca="1">IF(CostTrack[[#This Row],[Vendor - Contract]]="","",INDEX(VendorList[Primary Category],MATCH(CostTrack[[#This Row],[Vendor - Contract]],VendorList[Vendor / Org. with Contract ID],0)))</f>
        <v>Professional Services</v>
      </c>
      <c r="S661" s="1314" t="str">
        <f ca="1">IF(CostTrack[[#This Row],[Vendor - Contract]]="","",INDEX(VendorList[Secondary Category],MATCH(CostTrack[[#This Row],[Vendor - Contract]],VendorList[Vendor / Org. with Contract ID],0)))</f>
        <v>Other Professional Services</v>
      </c>
      <c r="T661" s="1314" t="str">
        <f ca="1">IF(CostTrack[[#This Row],[Vendor - Contract]]="","",INDEX(VendorList[Phase / Subproject],MATCH(CostTrack[[#This Row],[Vendor - Contract]],VendorList[Vendor / Org. with Contract ID],0)))</f>
        <v>--</v>
      </c>
      <c r="U661" s="1314" t="str">
        <f ca="1">IF(CostTrack[[#This Row],[Vendor - Contract]]="","",INDEX(VendorList[Phase / Subproject 2],MATCH(CostTrack[[#This Row],[Vendor - Contract]],VendorList[Vendor / Org. with Contract ID],0)))</f>
        <v>--</v>
      </c>
      <c r="V661" s="1314" t="str">
        <f ca="1">IF(CostTrack[[#This Row],[Vendor - Contract]]="","",INDEX(VendorList[Funding Source],MATCH(CostTrack[[#This Row],[Vendor - Contract]],VendorList[Vendor / Org. with Contract ID],0)))</f>
        <v>P-002360</v>
      </c>
      <c r="W661" s="1308">
        <v>45314</v>
      </c>
      <c r="X661" s="1315" t="str">
        <f ca="1">IF(CostTrack[[#This Row],[Release Date (CMS)]]="","*","")</f>
        <v/>
      </c>
      <c r="Y661" s="1308" t="s">
        <v>58</v>
      </c>
      <c r="Z661" s="713"/>
      <c r="AA661" s="1316">
        <f ca="1">IF(OR(CostTrack[[#This Row],[Release Date (CMS)]]&gt;=DATE(VALUE(REPLACE(CostTrack[[#This Row],[Fiscal Period]],3,3,"")),3,1),CostTrack[[#This Row],[Release Date (CMS)]]&lt;DATE(VALUE(LEFT(CostTrack[[#This Row],[Fiscal Period]],4)),4,1)),1,0)</f>
        <v>0</v>
      </c>
      <c r="AB661" s="1317">
        <v>2600.25</v>
      </c>
      <c r="AC661" s="1308">
        <v>45342</v>
      </c>
      <c r="AD661" s="402" t="str">
        <f ca="1">IF(CostTrack[[#This Row],[Reconciled Amount]]="","",IF(CostTrack[[#This Row],[Value]]&lt;&gt;CostTrack[[#This Row],[Reconciled Amount]],"Yes","No"))</f>
        <v>No</v>
      </c>
      <c r="AE661" s="658"/>
    </row>
    <row r="662" spans="2:31" ht="26.25" customHeight="1">
      <c r="B662" s="1324" t="s">
        <v>529</v>
      </c>
      <c r="C662" s="1334">
        <v>29665</v>
      </c>
      <c r="D662" s="1308">
        <v>45279</v>
      </c>
      <c r="E662" s="658">
        <v>1380329.94</v>
      </c>
      <c r="F662" s="1309" t="s">
        <v>65</v>
      </c>
      <c r="G662" s="1310">
        <f ca="1">ROUND(IF(CostTrack[[#This Row],[Holdback (Y/N/R)]]="Yes",CostTrack[[#This Row],[Value]]*-0.1,IF(CostTrack[[#This Row],[Holdback (Y/N/R)]]="Release",CostTrack[[#This Row],[Value]],0)),2)</f>
        <v>-138032.99</v>
      </c>
      <c r="H662" s="1311">
        <f ca="1">IF(CostTrack[[#This Row],[Holdback (Y/N/R)]]="Release",CostTrack[[#This Row],[Value]],CostTrack[[#This Row],[Value]]+CostTrack[[#This Row],[Holdback Value]])</f>
        <v>1242296.95</v>
      </c>
      <c r="I662" s="1312"/>
      <c r="J662" s="1312"/>
      <c r="K662" s="1313"/>
      <c r="L662" s="1325">
        <v>45317</v>
      </c>
      <c r="M662" s="1326">
        <v>45317</v>
      </c>
      <c r="N662" s="1327"/>
      <c r="O662" s="1328" t="s">
        <v>106</v>
      </c>
      <c r="P662" s="1308">
        <v>45317</v>
      </c>
      <c r="Q662" s="1314" t="str">
        <f ca="1">IF(CostTrack[[#This Row],[Vendor - Contract]]="","",INDEX(VendorList[PA ID],MATCH(CostTrack[[#This Row],[Vendor - Contract]],VendorList[Vendor / Org. with Contract ID],0)))</f>
        <v>300.030.F1</v>
      </c>
      <c r="R662" s="1314" t="str">
        <f ca="1">IF(CostTrack[[#This Row],[Vendor - Contract]]="","",INDEX(VendorList[Primary Category],MATCH(CostTrack[[#This Row],[Vendor - Contract]],VendorList[Vendor / Org. with Contract ID],0)))</f>
        <v>Construction</v>
      </c>
      <c r="S662" s="1314" t="str">
        <f ca="1">IF(CostTrack[[#This Row],[Vendor - Contract]]="","",INDEX(VendorList[Secondary Category],MATCH(CostTrack[[#This Row],[Vendor - Contract]],VendorList[Vendor / Org. with Contract ID],0)))</f>
        <v>Prime Contractor</v>
      </c>
      <c r="T662" s="1314" t="str">
        <f ca="1">IF(CostTrack[[#This Row],[Vendor - Contract]]="","",INDEX(VendorList[Phase / Subproject],MATCH(CostTrack[[#This Row],[Vendor - Contract]],VendorList[Vendor / Org. with Contract ID],0)))</f>
        <v>--</v>
      </c>
      <c r="U662" s="1314" t="str">
        <f ca="1">IF(CostTrack[[#This Row],[Vendor - Contract]]="","",INDEX(VendorList[Phase / Subproject 2],MATCH(CostTrack[[#This Row],[Vendor - Contract]],VendorList[Vendor / Org. with Contract ID],0)))</f>
        <v>--</v>
      </c>
      <c r="V662" s="1314" t="str">
        <f ca="1">IF(CostTrack[[#This Row],[Vendor - Contract]]="","",INDEX(VendorList[Funding Source],MATCH(CostTrack[[#This Row],[Vendor - Contract]],VendorList[Vendor / Org. with Contract ID],0)))</f>
        <v>P-002360</v>
      </c>
      <c r="W662" s="1308">
        <v>45317</v>
      </c>
      <c r="X662" s="1315" t="str">
        <f ca="1">IF(CostTrack[[#This Row],[Release Date (CMS)]]="","*","")</f>
        <v/>
      </c>
      <c r="Y662" s="1308" t="s">
        <v>58</v>
      </c>
      <c r="Z662" s="713"/>
      <c r="AA662" s="1316">
        <f ca="1">IF(OR(CostTrack[[#This Row],[Release Date (CMS)]]&gt;=DATE(VALUE(REPLACE(CostTrack[[#This Row],[Fiscal Period]],3,3,"")),3,1),CostTrack[[#This Row],[Release Date (CMS)]]&lt;DATE(VALUE(LEFT(CostTrack[[#This Row],[Fiscal Period]],4)),4,1)),1,0)</f>
        <v>0</v>
      </c>
      <c r="AB662" s="1317">
        <v>1380329.94</v>
      </c>
      <c r="AC662" s="1308">
        <v>45342</v>
      </c>
      <c r="AD662" s="402" t="str">
        <f ca="1">IF(CostTrack[[#This Row],[Reconciled Amount]]="","",IF(CostTrack[[#This Row],[Value]]&lt;&gt;CostTrack[[#This Row],[Reconciled Amount]],"Yes","No"))</f>
        <v>No</v>
      </c>
      <c r="AE662" s="658"/>
    </row>
    <row r="663" spans="2:31" ht="26.25" customHeight="1">
      <c r="B663" s="1324" t="s">
        <v>736</v>
      </c>
      <c r="C663" s="691" t="s">
        <v>1326</v>
      </c>
      <c r="D663" s="1308">
        <v>45322</v>
      </c>
      <c r="E663" s="658">
        <v>37837.660000000003</v>
      </c>
      <c r="F663" s="1309" t="s">
        <v>69</v>
      </c>
      <c r="G663" s="1310">
        <f ca="1">ROUND(IF(CostTrack[[#This Row],[Holdback (Y/N/R)]]="Yes",CostTrack[[#This Row],[Value]]*-0.1,IF(CostTrack[[#This Row],[Holdback (Y/N/R)]]="Release",CostTrack[[#This Row],[Value]],0)),2)</f>
        <v>0</v>
      </c>
      <c r="H663" s="1311">
        <f ca="1">IF(CostTrack[[#This Row],[Holdback (Y/N/R)]]="Release",CostTrack[[#This Row],[Value]],CostTrack[[#This Row],[Value]]+CostTrack[[#This Row],[Holdback Value]])</f>
        <v>37837.660000000003</v>
      </c>
      <c r="I663" s="1312"/>
      <c r="J663" s="1312"/>
      <c r="K663" s="1313"/>
      <c r="L663" s="1325">
        <v>45322</v>
      </c>
      <c r="M663" s="1326">
        <v>45322</v>
      </c>
      <c r="N663" s="1327"/>
      <c r="O663" s="1328" t="s">
        <v>106</v>
      </c>
      <c r="P663" s="1308">
        <v>45322</v>
      </c>
      <c r="Q663" s="1314" t="str">
        <f ca="1">IF(CostTrack[[#This Row],[Vendor - Contract]]="","",INDEX(VendorList[PA ID],MATCH(CostTrack[[#This Row],[Vendor - Contract]],VendorList[Vendor / Org. with Contract ID],0)))</f>
        <v>100.010.F1</v>
      </c>
      <c r="R663" s="1314" t="str">
        <f ca="1">IF(CostTrack[[#This Row],[Vendor - Contract]]="","",INDEX(VendorList[Primary Category],MATCH(CostTrack[[#This Row],[Vendor - Contract]],VendorList[Vendor / Org. with Contract ID],0)))</f>
        <v>Administration</v>
      </c>
      <c r="S663" s="1314" t="str">
        <f ca="1">IF(CostTrack[[#This Row],[Vendor - Contract]]="","",INDEX(VendorList[Secondary Category],MATCH(CostTrack[[#This Row],[Vendor - Contract]],VendorList[Vendor / Org. with Contract ID],0)))</f>
        <v>Staff Capitalization - INFRA</v>
      </c>
      <c r="T663" s="1314" t="str">
        <f ca="1">IF(CostTrack[[#This Row],[Vendor - Contract]]="","",INDEX(VendorList[Phase / Subproject],MATCH(CostTrack[[#This Row],[Vendor - Contract]],VendorList[Vendor / Org. with Contract ID],0)))</f>
        <v>--</v>
      </c>
      <c r="U663" s="1314" t="str">
        <f ca="1">IF(CostTrack[[#This Row],[Vendor - Contract]]="","",INDEX(VendorList[Phase / Subproject 2],MATCH(CostTrack[[#This Row],[Vendor - Contract]],VendorList[Vendor / Org. with Contract ID],0)))</f>
        <v>--</v>
      </c>
      <c r="V663" s="1314" t="str">
        <f ca="1">IF(CostTrack[[#This Row],[Vendor - Contract]]="","",INDEX(VendorList[Funding Source],MATCH(CostTrack[[#This Row],[Vendor - Contract]],VendorList[Vendor / Org. with Contract ID],0)))</f>
        <v>P-002360</v>
      </c>
      <c r="W663" s="1308">
        <v>45322</v>
      </c>
      <c r="X663" s="1315" t="str">
        <f ca="1">IF(CostTrack[[#This Row],[Release Date (CMS)]]="","*","")</f>
        <v/>
      </c>
      <c r="Y663" s="1308" t="s">
        <v>58</v>
      </c>
      <c r="Z663" s="713"/>
      <c r="AA663" s="1316">
        <f ca="1">IF(OR(CostTrack[[#This Row],[Release Date (CMS)]]&gt;=DATE(VALUE(REPLACE(CostTrack[[#This Row],[Fiscal Period]],3,3,"")),3,1),CostTrack[[#This Row],[Release Date (CMS)]]&lt;DATE(VALUE(LEFT(CostTrack[[#This Row],[Fiscal Period]],4)),4,1)),1,0)</f>
        <v>0</v>
      </c>
      <c r="AB663" s="1317">
        <v>37837.660000000003</v>
      </c>
      <c r="AC663" s="1308">
        <v>45342</v>
      </c>
      <c r="AD663" s="402" t="str">
        <f ca="1">IF(CostTrack[[#This Row],[Reconciled Amount]]="","",IF(CostTrack[[#This Row],[Value]]&lt;&gt;CostTrack[[#This Row],[Reconciled Amount]],"Yes","No"))</f>
        <v>No</v>
      </c>
      <c r="AE663" s="658"/>
    </row>
    <row r="664" spans="2:31" ht="26.25" customHeight="1">
      <c r="B664" s="1324" t="s">
        <v>624</v>
      </c>
      <c r="C664" s="1334">
        <v>1871210</v>
      </c>
      <c r="D664" s="1308">
        <v>45324</v>
      </c>
      <c r="E664" s="658">
        <v>17900</v>
      </c>
      <c r="F664" s="1309" t="s">
        <v>69</v>
      </c>
      <c r="G664" s="1310">
        <f ca="1">ROUND(IF(CostTrack[[#This Row],[Holdback (Y/N/R)]]="Yes",CostTrack[[#This Row],[Value]]*-0.1,IF(CostTrack[[#This Row],[Holdback (Y/N/R)]]="Release",CostTrack[[#This Row],[Value]],0)),2)</f>
        <v>0</v>
      </c>
      <c r="H664" s="1311">
        <f ca="1">IF(CostTrack[[#This Row],[Holdback (Y/N/R)]]="Release",CostTrack[[#This Row],[Value]],CostTrack[[#This Row],[Value]]+CostTrack[[#This Row],[Holdback Value]])</f>
        <v>17900</v>
      </c>
      <c r="I664" s="1312"/>
      <c r="J664" s="1312"/>
      <c r="K664" s="1313"/>
      <c r="L664" s="1325">
        <v>45327</v>
      </c>
      <c r="M664" s="1326">
        <v>45327</v>
      </c>
      <c r="N664" s="1327"/>
      <c r="O664" s="1328" t="s">
        <v>106</v>
      </c>
      <c r="P664" s="1308">
        <v>45327</v>
      </c>
      <c r="Q664" s="1314" t="str">
        <f ca="1">IF(CostTrack[[#This Row],[Vendor - Contract]]="","",INDEX(VendorList[PA ID],MATCH(CostTrack[[#This Row],[Vendor - Contract]],VendorList[Vendor / Org. with Contract ID],0)))</f>
        <v>200.040.F1</v>
      </c>
      <c r="R664" s="1314" t="str">
        <f ca="1">IF(CostTrack[[#This Row],[Vendor - Contract]]="","",INDEX(VendorList[Primary Category],MATCH(CostTrack[[#This Row],[Vendor - Contract]],VendorList[Vendor / Org. with Contract ID],0)))</f>
        <v>Professional Services</v>
      </c>
      <c r="S664" s="1314" t="str">
        <f ca="1">IF(CostTrack[[#This Row],[Vendor - Contract]]="","",INDEX(VendorList[Secondary Category],MATCH(CostTrack[[#This Row],[Vendor - Contract]],VendorList[Vendor / Org. with Contract ID],0)))</f>
        <v>Commissioning</v>
      </c>
      <c r="T664" s="1314" t="str">
        <f ca="1">IF(CostTrack[[#This Row],[Vendor - Contract]]="","",INDEX(VendorList[Phase / Subproject],MATCH(CostTrack[[#This Row],[Vendor - Contract]],VendorList[Vendor / Org. with Contract ID],0)))</f>
        <v>--</v>
      </c>
      <c r="U664" s="1314" t="str">
        <f ca="1">IF(CostTrack[[#This Row],[Vendor - Contract]]="","",INDEX(VendorList[Phase / Subproject 2],MATCH(CostTrack[[#This Row],[Vendor - Contract]],VendorList[Vendor / Org. with Contract ID],0)))</f>
        <v>--</v>
      </c>
      <c r="V664" s="1314" t="str">
        <f ca="1">IF(CostTrack[[#This Row],[Vendor - Contract]]="","",INDEX(VendorList[Funding Source],MATCH(CostTrack[[#This Row],[Vendor - Contract]],VendorList[Vendor / Org. with Contract ID],0)))</f>
        <v>P-002360</v>
      </c>
      <c r="W664" s="1308">
        <v>45327</v>
      </c>
      <c r="X664" s="1315" t="str">
        <f ca="1">IF(CostTrack[[#This Row],[Release Date (CMS)]]="","*","")</f>
        <v/>
      </c>
      <c r="Y664" s="1308" t="s">
        <v>58</v>
      </c>
      <c r="Z664" s="713"/>
      <c r="AA664" s="1316">
        <f ca="1">IF(OR(CostTrack[[#This Row],[Release Date (CMS)]]&gt;=DATE(VALUE(REPLACE(CostTrack[[#This Row],[Fiscal Period]],3,3,"")),3,1),CostTrack[[#This Row],[Release Date (CMS)]]&lt;DATE(VALUE(LEFT(CostTrack[[#This Row],[Fiscal Period]],4)),4,1)),1,0)</f>
        <v>0</v>
      </c>
      <c r="AB664" s="1317">
        <v>17900</v>
      </c>
      <c r="AC664" s="1308">
        <v>45358</v>
      </c>
      <c r="AD664" s="402" t="str">
        <f ca="1">IF(CostTrack[[#This Row],[Reconciled Amount]]="","",IF(CostTrack[[#This Row],[Value]]&lt;&gt;CostTrack[[#This Row],[Reconciled Amount]],"Yes","No"))</f>
        <v>No</v>
      </c>
      <c r="AE664" s="658"/>
    </row>
    <row r="665" spans="2:31" ht="26.25" customHeight="1">
      <c r="B665" s="1324" t="s">
        <v>718</v>
      </c>
      <c r="C665" s="1334">
        <v>589558</v>
      </c>
      <c r="D665" s="1308">
        <v>45328</v>
      </c>
      <c r="E665" s="658">
        <v>620</v>
      </c>
      <c r="F665" s="1309" t="s">
        <v>69</v>
      </c>
      <c r="G665" s="1310">
        <f ca="1">ROUND(IF(CostTrack[[#This Row],[Holdback (Y/N/R)]]="Yes",CostTrack[[#This Row],[Value]]*-0.1,IF(CostTrack[[#This Row],[Holdback (Y/N/R)]]="Release",CostTrack[[#This Row],[Value]],0)),2)</f>
        <v>0</v>
      </c>
      <c r="H665" s="1311">
        <f ca="1">IF(CostTrack[[#This Row],[Holdback (Y/N/R)]]="Release",CostTrack[[#This Row],[Value]],CostTrack[[#This Row],[Value]]+CostTrack[[#This Row],[Holdback Value]])</f>
        <v>620</v>
      </c>
      <c r="I665" s="1312"/>
      <c r="J665" s="1312"/>
      <c r="K665" s="1313"/>
      <c r="L665" s="1325">
        <v>45329</v>
      </c>
      <c r="M665" s="1326">
        <v>45329</v>
      </c>
      <c r="N665" s="1327"/>
      <c r="O665" s="1328" t="s">
        <v>106</v>
      </c>
      <c r="P665" s="1308">
        <v>45329</v>
      </c>
      <c r="Q665" s="1314" t="str">
        <f ca="1">IF(CostTrack[[#This Row],[Vendor - Contract]]="","",INDEX(VendorList[PA ID],MATCH(CostTrack[[#This Row],[Vendor - Contract]],VendorList[Vendor / Org. with Contract ID],0)))</f>
        <v>300.040.F1</v>
      </c>
      <c r="R665" s="1314" t="str">
        <f ca="1">IF(CostTrack[[#This Row],[Vendor - Contract]]="","",INDEX(VendorList[Primary Category],MATCH(CostTrack[[#This Row],[Vendor - Contract]],VendorList[Vendor / Org. with Contract ID],0)))</f>
        <v>Construction</v>
      </c>
      <c r="S665" s="1314" t="str">
        <f ca="1">IF(CostTrack[[#This Row],[Vendor - Contract]]="","",INDEX(VendorList[Secondary Category],MATCH(CostTrack[[#This Row],[Vendor - Contract]],VendorList[Vendor / Org. with Contract ID],0)))</f>
        <v>Other Contractor</v>
      </c>
      <c r="T665" s="1314" t="str">
        <f ca="1">IF(CostTrack[[#This Row],[Vendor - Contract]]="","",INDEX(VendorList[Phase / Subproject],MATCH(CostTrack[[#This Row],[Vendor - Contract]],VendorList[Vendor / Org. with Contract ID],0)))</f>
        <v>--</v>
      </c>
      <c r="U665" s="1314" t="str">
        <f ca="1">IF(CostTrack[[#This Row],[Vendor - Contract]]="","",INDEX(VendorList[Phase / Subproject 2],MATCH(CostTrack[[#This Row],[Vendor - Contract]],VendorList[Vendor / Org. with Contract ID],0)))</f>
        <v>--</v>
      </c>
      <c r="V665" s="1314" t="str">
        <f ca="1">IF(CostTrack[[#This Row],[Vendor - Contract]]="","",INDEX(VendorList[Funding Source],MATCH(CostTrack[[#This Row],[Vendor - Contract]],VendorList[Vendor / Org. with Contract ID],0)))</f>
        <v>P-002360</v>
      </c>
      <c r="W665" s="1308">
        <v>45336</v>
      </c>
      <c r="X665" s="1315" t="str">
        <f ca="1">IF(CostTrack[[#This Row],[Release Date (CMS)]]="","*","")</f>
        <v/>
      </c>
      <c r="Y665" s="1308" t="s">
        <v>58</v>
      </c>
      <c r="Z665" s="713"/>
      <c r="AA665" s="1316">
        <f ca="1">IF(OR(CostTrack[[#This Row],[Release Date (CMS)]]&gt;=DATE(VALUE(REPLACE(CostTrack[[#This Row],[Fiscal Period]],3,3,"")),3,1),CostTrack[[#This Row],[Release Date (CMS)]]&lt;DATE(VALUE(LEFT(CostTrack[[#This Row],[Fiscal Period]],4)),4,1)),1,0)</f>
        <v>0</v>
      </c>
      <c r="AB665" s="1317">
        <v>620</v>
      </c>
      <c r="AC665" s="1308">
        <v>45358</v>
      </c>
      <c r="AD665" s="402" t="str">
        <f ca="1">IF(CostTrack[[#This Row],[Reconciled Amount]]="","",IF(CostTrack[[#This Row],[Value]]&lt;&gt;CostTrack[[#This Row],[Reconciled Amount]],"Yes","No"))</f>
        <v>No</v>
      </c>
      <c r="AE665" s="658"/>
    </row>
    <row r="666" spans="2:31" ht="26.25" customHeight="1">
      <c r="B666" s="1324" t="s">
        <v>527</v>
      </c>
      <c r="C666" s="691" t="s">
        <v>1327</v>
      </c>
      <c r="D666" s="1308">
        <v>45322</v>
      </c>
      <c r="E666" s="658">
        <v>59906.14</v>
      </c>
      <c r="F666" s="1309" t="s">
        <v>69</v>
      </c>
      <c r="G666" s="1310">
        <f ca="1">ROUND(IF(CostTrack[[#This Row],[Holdback (Y/N/R)]]="Yes",CostTrack[[#This Row],[Value]]*-0.1,IF(CostTrack[[#This Row],[Holdback (Y/N/R)]]="Release",CostTrack[[#This Row],[Value]],0)),2)</f>
        <v>0</v>
      </c>
      <c r="H666" s="1311">
        <f ca="1">IF(CostTrack[[#This Row],[Holdback (Y/N/R)]]="Release",CostTrack[[#This Row],[Value]],CostTrack[[#This Row],[Value]]+CostTrack[[#This Row],[Holdback Value]])</f>
        <v>59906.14</v>
      </c>
      <c r="I666" s="1312"/>
      <c r="J666" s="1312"/>
      <c r="K666" s="1313"/>
      <c r="L666" s="1325">
        <v>45335</v>
      </c>
      <c r="M666" s="1326">
        <v>45335</v>
      </c>
      <c r="N666" s="1327"/>
      <c r="O666" s="1328" t="s">
        <v>106</v>
      </c>
      <c r="P666" s="1308">
        <v>45336</v>
      </c>
      <c r="Q666" s="1314" t="str">
        <f ca="1">IF(CostTrack[[#This Row],[Vendor - Contract]]="","",INDEX(VendorList[PA ID],MATCH(CostTrack[[#This Row],[Vendor - Contract]],VendorList[Vendor / Org. with Contract ID],0)))</f>
        <v>200.010.F1</v>
      </c>
      <c r="R666" s="1314" t="str">
        <f ca="1">IF(CostTrack[[#This Row],[Vendor - Contract]]="","",INDEX(VendorList[Primary Category],MATCH(CostTrack[[#This Row],[Vendor - Contract]],VendorList[Vendor / Org. with Contract ID],0)))</f>
        <v>Professional Services</v>
      </c>
      <c r="S666" s="1314" t="str">
        <f ca="1">IF(CostTrack[[#This Row],[Vendor - Contract]]="","",INDEX(VendorList[Secondary Category],MATCH(CostTrack[[#This Row],[Vendor - Contract]],VendorList[Vendor / Org. with Contract ID],0)))</f>
        <v>Prime Consultant</v>
      </c>
      <c r="T666" s="1314" t="str">
        <f ca="1">IF(CostTrack[[#This Row],[Vendor - Contract]]="","",INDEX(VendorList[Phase / Subproject],MATCH(CostTrack[[#This Row],[Vendor - Contract]],VendorList[Vendor / Org. with Contract ID],0)))</f>
        <v>--</v>
      </c>
      <c r="U666" s="1314" t="str">
        <f ca="1">IF(CostTrack[[#This Row],[Vendor - Contract]]="","",INDEX(VendorList[Phase / Subproject 2],MATCH(CostTrack[[#This Row],[Vendor - Contract]],VendorList[Vendor / Org. with Contract ID],0)))</f>
        <v>--</v>
      </c>
      <c r="V666" s="1314" t="str">
        <f ca="1">IF(CostTrack[[#This Row],[Vendor - Contract]]="","",INDEX(VendorList[Funding Source],MATCH(CostTrack[[#This Row],[Vendor - Contract]],VendorList[Vendor / Org. with Contract ID],0)))</f>
        <v>P-002360</v>
      </c>
      <c r="W666" s="1308">
        <v>45336</v>
      </c>
      <c r="X666" s="1315" t="str">
        <f ca="1">IF(CostTrack[[#This Row],[Release Date (CMS)]]="","*","")</f>
        <v/>
      </c>
      <c r="Y666" s="1308" t="s">
        <v>58</v>
      </c>
      <c r="Z666" s="713"/>
      <c r="AA666" s="1316">
        <f ca="1">IF(OR(CostTrack[[#This Row],[Release Date (CMS)]]&gt;=DATE(VALUE(REPLACE(CostTrack[[#This Row],[Fiscal Period]],3,3,"")),3,1),CostTrack[[#This Row],[Release Date (CMS)]]&lt;DATE(VALUE(LEFT(CostTrack[[#This Row],[Fiscal Period]],4)),4,1)),1,0)</f>
        <v>0</v>
      </c>
      <c r="AB666" s="1317">
        <v>59906.14</v>
      </c>
      <c r="AC666" s="1308">
        <v>45358</v>
      </c>
      <c r="AD666" s="402" t="str">
        <f ca="1">IF(CostTrack[[#This Row],[Reconciled Amount]]="","",IF(CostTrack[[#This Row],[Value]]&lt;&gt;CostTrack[[#This Row],[Reconciled Amount]],"Yes","No"))</f>
        <v>No</v>
      </c>
      <c r="AE666" s="658"/>
    </row>
    <row r="667" spans="2:31" ht="26.25" customHeight="1">
      <c r="B667" s="1324" t="s">
        <v>736</v>
      </c>
      <c r="C667" s="691" t="s">
        <v>1328</v>
      </c>
      <c r="D667" s="1308">
        <v>45351</v>
      </c>
      <c r="E667" s="658">
        <v>34241.82</v>
      </c>
      <c r="F667" s="1309" t="s">
        <v>69</v>
      </c>
      <c r="G667" s="1310">
        <f ca="1">ROUND(IF(CostTrack[[#This Row],[Holdback (Y/N/R)]]="Yes",CostTrack[[#This Row],[Value]]*-0.1,IF(CostTrack[[#This Row],[Holdback (Y/N/R)]]="Release",CostTrack[[#This Row],[Value]],0)),2)</f>
        <v>0</v>
      </c>
      <c r="H667" s="1311">
        <f ca="1">IF(CostTrack[[#This Row],[Holdback (Y/N/R)]]="Release",CostTrack[[#This Row],[Value]],CostTrack[[#This Row],[Value]]+CostTrack[[#This Row],[Holdback Value]])</f>
        <v>34241.82</v>
      </c>
      <c r="I667" s="1312"/>
      <c r="J667" s="1312"/>
      <c r="K667" s="1313"/>
      <c r="L667" s="1325">
        <v>45351</v>
      </c>
      <c r="M667" s="1326">
        <v>45351</v>
      </c>
      <c r="N667" s="1327"/>
      <c r="O667" s="1328" t="s">
        <v>106</v>
      </c>
      <c r="P667" s="1308">
        <v>45351</v>
      </c>
      <c r="Q667" s="1314" t="str">
        <f ca="1">IF(CostTrack[[#This Row],[Vendor - Contract]]="","",INDEX(VendorList[PA ID],MATCH(CostTrack[[#This Row],[Vendor - Contract]],VendorList[Vendor / Org. with Contract ID],0)))</f>
        <v>100.010.F1</v>
      </c>
      <c r="R667" s="1314" t="str">
        <f ca="1">IF(CostTrack[[#This Row],[Vendor - Contract]]="","",INDEX(VendorList[Primary Category],MATCH(CostTrack[[#This Row],[Vendor - Contract]],VendorList[Vendor / Org. with Contract ID],0)))</f>
        <v>Administration</v>
      </c>
      <c r="S667" s="1314" t="str">
        <f ca="1">IF(CostTrack[[#This Row],[Vendor - Contract]]="","",INDEX(VendorList[Secondary Category],MATCH(CostTrack[[#This Row],[Vendor - Contract]],VendorList[Vendor / Org. with Contract ID],0)))</f>
        <v>Staff Capitalization - INFRA</v>
      </c>
      <c r="T667" s="1314" t="str">
        <f ca="1">IF(CostTrack[[#This Row],[Vendor - Contract]]="","",INDEX(VendorList[Phase / Subproject],MATCH(CostTrack[[#This Row],[Vendor - Contract]],VendorList[Vendor / Org. with Contract ID],0)))</f>
        <v>--</v>
      </c>
      <c r="U667" s="1314" t="str">
        <f ca="1">IF(CostTrack[[#This Row],[Vendor - Contract]]="","",INDEX(VendorList[Phase / Subproject 2],MATCH(CostTrack[[#This Row],[Vendor - Contract]],VendorList[Vendor / Org. with Contract ID],0)))</f>
        <v>--</v>
      </c>
      <c r="V667" s="1314" t="str">
        <f ca="1">IF(CostTrack[[#This Row],[Vendor - Contract]]="","",INDEX(VendorList[Funding Source],MATCH(CostTrack[[#This Row],[Vendor - Contract]],VendorList[Vendor / Org. with Contract ID],0)))</f>
        <v>P-002360</v>
      </c>
      <c r="W667" s="1308">
        <v>45351</v>
      </c>
      <c r="X667" s="1315" t="str">
        <f ca="1">IF(CostTrack[[#This Row],[Release Date (CMS)]]="","*","")</f>
        <v/>
      </c>
      <c r="Y667" s="1308" t="s">
        <v>58</v>
      </c>
      <c r="Z667" s="713"/>
      <c r="AA667" s="1316">
        <f ca="1">IF(OR(CostTrack[[#This Row],[Release Date (CMS)]]&gt;=DATE(VALUE(REPLACE(CostTrack[[#This Row],[Fiscal Period]],3,3,"")),3,1),CostTrack[[#This Row],[Release Date (CMS)]]&lt;DATE(VALUE(LEFT(CostTrack[[#This Row],[Fiscal Period]],4)),4,1)),1,0)</f>
        <v>0</v>
      </c>
      <c r="AB667" s="1317">
        <v>34241.82</v>
      </c>
      <c r="AC667" s="1308">
        <v>45358</v>
      </c>
      <c r="AD667" s="402" t="str">
        <f ca="1">IF(CostTrack[[#This Row],[Reconciled Amount]]="","",IF(CostTrack[[#This Row],[Value]]&lt;&gt;CostTrack[[#This Row],[Reconciled Amount]],"Yes","No"))</f>
        <v>No</v>
      </c>
      <c r="AE667" s="658"/>
    </row>
    <row r="668" spans="2:31" ht="26.25" customHeight="1">
      <c r="B668" s="1324" t="s">
        <v>731</v>
      </c>
      <c r="C668" s="1334">
        <v>800105890</v>
      </c>
      <c r="D668" s="1308">
        <v>45345</v>
      </c>
      <c r="E668" s="658">
        <v>125.52</v>
      </c>
      <c r="F668" s="1309" t="s">
        <v>69</v>
      </c>
      <c r="G668" s="1310">
        <f ca="1">ROUND(IF(CostTrack[[#This Row],[Holdback (Y/N/R)]]="Yes",CostTrack[[#This Row],[Value]]*-0.1,IF(CostTrack[[#This Row],[Holdback (Y/N/R)]]="Release",CostTrack[[#This Row],[Value]],0)),2)</f>
        <v>0</v>
      </c>
      <c r="H668" s="1311">
        <f ca="1">IF(CostTrack[[#This Row],[Holdback (Y/N/R)]]="Release",CostTrack[[#This Row],[Value]],CostTrack[[#This Row],[Value]]+CostTrack[[#This Row],[Holdback Value]])</f>
        <v>125.52</v>
      </c>
      <c r="I668" s="1312"/>
      <c r="J668" s="1312"/>
      <c r="K668" s="1313"/>
      <c r="L668" s="1325">
        <v>45345</v>
      </c>
      <c r="M668" s="1326">
        <v>45345</v>
      </c>
      <c r="N668" s="1327"/>
      <c r="O668" s="1328" t="s">
        <v>106</v>
      </c>
      <c r="P668" s="1308">
        <v>45345</v>
      </c>
      <c r="Q668" s="1314" t="str">
        <f ca="1">IF(CostTrack[[#This Row],[Vendor - Contract]]="","",INDEX(VendorList[PA ID],MATCH(CostTrack[[#This Row],[Vendor - Contract]],VendorList[Vendor / Org. with Contract ID],0)))</f>
        <v>100.050.F1</v>
      </c>
      <c r="R668" s="1314" t="str">
        <f ca="1">IF(CostTrack[[#This Row],[Vendor - Contract]]="","",INDEX(VendorList[Primary Category],MATCH(CostTrack[[#This Row],[Vendor - Contract]],VendorList[Vendor / Org. with Contract ID],0)))</f>
        <v>Administration</v>
      </c>
      <c r="S668" s="1314" t="str">
        <f ca="1">IF(CostTrack[[#This Row],[Vendor - Contract]]="","",INDEX(VendorList[Secondary Category],MATCH(CostTrack[[#This Row],[Vendor - Contract]],VendorList[Vendor / Org. with Contract ID],0)))</f>
        <v>Other Administration</v>
      </c>
      <c r="T668" s="1314" t="str">
        <f ca="1">IF(CostTrack[[#This Row],[Vendor - Contract]]="","",INDEX(VendorList[Phase / Subproject],MATCH(CostTrack[[#This Row],[Vendor - Contract]],VendorList[Vendor / Org. with Contract ID],0)))</f>
        <v>--</v>
      </c>
      <c r="U668" s="1314" t="str">
        <f ca="1">IF(CostTrack[[#This Row],[Vendor - Contract]]="","",INDEX(VendorList[Phase / Subproject 2],MATCH(CostTrack[[#This Row],[Vendor - Contract]],VendorList[Vendor / Org. with Contract ID],0)))</f>
        <v>--</v>
      </c>
      <c r="V668" s="1314" t="str">
        <f ca="1">IF(CostTrack[[#This Row],[Vendor - Contract]]="","",INDEX(VendorList[Funding Source],MATCH(CostTrack[[#This Row],[Vendor - Contract]],VendorList[Vendor / Org. with Contract ID],0)))</f>
        <v>P-002360</v>
      </c>
      <c r="W668" s="1308">
        <v>45345</v>
      </c>
      <c r="X668" s="1315" t="str">
        <f ca="1">IF(CostTrack[[#This Row],[Release Date (CMS)]]="","*","")</f>
        <v/>
      </c>
      <c r="Y668" s="1308" t="s">
        <v>58</v>
      </c>
      <c r="Z668" s="713"/>
      <c r="AA668" s="1316">
        <f ca="1">IF(OR(CostTrack[[#This Row],[Release Date (CMS)]]&gt;=DATE(VALUE(REPLACE(CostTrack[[#This Row],[Fiscal Period]],3,3,"")),3,1),CostTrack[[#This Row],[Release Date (CMS)]]&lt;DATE(VALUE(LEFT(CostTrack[[#This Row],[Fiscal Period]],4)),4,1)),1,0)</f>
        <v>0</v>
      </c>
      <c r="AB668" s="1317">
        <v>125.52</v>
      </c>
      <c r="AC668" s="1308">
        <v>45358</v>
      </c>
      <c r="AD668" s="402" t="str">
        <f ca="1">IF(CostTrack[[#This Row],[Reconciled Amount]]="","",IF(CostTrack[[#This Row],[Value]]&lt;&gt;CostTrack[[#This Row],[Reconciled Amount]],"Yes","No"))</f>
        <v>No</v>
      </c>
      <c r="AE668" s="658"/>
    </row>
    <row r="669" spans="2:31" ht="24.75" customHeight="1">
      <c r="B669" s="1324" t="s">
        <v>731</v>
      </c>
      <c r="C669" s="1334">
        <v>800102464</v>
      </c>
      <c r="D669" s="1308">
        <v>45329</v>
      </c>
      <c r="E669" s="658">
        <v>580.59</v>
      </c>
      <c r="F669" s="1309" t="s">
        <v>69</v>
      </c>
      <c r="G669" s="1310">
        <f ca="1">ROUND(IF(CostTrack[[#This Row],[Holdback (Y/N/R)]]="Yes",CostTrack[[#This Row],[Value]]*-0.1,IF(CostTrack[[#This Row],[Holdback (Y/N/R)]]="Release",CostTrack[[#This Row],[Value]],0)),2)</f>
        <v>0</v>
      </c>
      <c r="H669" s="1311">
        <f ca="1">IF(CostTrack[[#This Row],[Holdback (Y/N/R)]]="Release",CostTrack[[#This Row],[Value]],CostTrack[[#This Row],[Value]]+CostTrack[[#This Row],[Holdback Value]])</f>
        <v>580.59</v>
      </c>
      <c r="I669" s="1312"/>
      <c r="J669" s="1312"/>
      <c r="K669" s="1313"/>
      <c r="L669" s="1325">
        <v>45329</v>
      </c>
      <c r="M669" s="1326">
        <v>45329</v>
      </c>
      <c r="N669" s="1327"/>
      <c r="O669" s="1328" t="s">
        <v>106</v>
      </c>
      <c r="P669" s="1308">
        <v>45329</v>
      </c>
      <c r="Q669" s="1314" t="str">
        <f ca="1">IF(CostTrack[[#This Row],[Vendor - Contract]]="","",INDEX(VendorList[PA ID],MATCH(CostTrack[[#This Row],[Vendor - Contract]],VendorList[Vendor / Org. with Contract ID],0)))</f>
        <v>100.050.F1</v>
      </c>
      <c r="R669" s="1314" t="str">
        <f ca="1">IF(CostTrack[[#This Row],[Vendor - Contract]]="","",INDEX(VendorList[Primary Category],MATCH(CostTrack[[#This Row],[Vendor - Contract]],VendorList[Vendor / Org. with Contract ID],0)))</f>
        <v>Administration</v>
      </c>
      <c r="S669" s="1314" t="str">
        <f ca="1">IF(CostTrack[[#This Row],[Vendor - Contract]]="","",INDEX(VendorList[Secondary Category],MATCH(CostTrack[[#This Row],[Vendor - Contract]],VendorList[Vendor / Org. with Contract ID],0)))</f>
        <v>Other Administration</v>
      </c>
      <c r="T669" s="1314" t="str">
        <f ca="1">IF(CostTrack[[#This Row],[Vendor - Contract]]="","",INDEX(VendorList[Phase / Subproject],MATCH(CostTrack[[#This Row],[Vendor - Contract]],VendorList[Vendor / Org. with Contract ID],0)))</f>
        <v>--</v>
      </c>
      <c r="U669" s="1314" t="str">
        <f ca="1">IF(CostTrack[[#This Row],[Vendor - Contract]]="","",INDEX(VendorList[Phase / Subproject 2],MATCH(CostTrack[[#This Row],[Vendor - Contract]],VendorList[Vendor / Org. with Contract ID],0)))</f>
        <v>--</v>
      </c>
      <c r="V669" s="1314" t="str">
        <f ca="1">IF(CostTrack[[#This Row],[Vendor - Contract]]="","",INDEX(VendorList[Funding Source],MATCH(CostTrack[[#This Row],[Vendor - Contract]],VendorList[Vendor / Org. with Contract ID],0)))</f>
        <v>P-002360</v>
      </c>
      <c r="W669" s="1308">
        <v>45329</v>
      </c>
      <c r="X669" s="1315" t="str">
        <f ca="1">IF(CostTrack[[#This Row],[Release Date (CMS)]]="","*","")</f>
        <v/>
      </c>
      <c r="Y669" s="1308" t="s">
        <v>58</v>
      </c>
      <c r="Z669" s="713"/>
      <c r="AA669" s="1316">
        <f ca="1">IF(OR(CostTrack[[#This Row],[Release Date (CMS)]]&gt;=DATE(VALUE(REPLACE(CostTrack[[#This Row],[Fiscal Period]],3,3,"")),3,1),CostTrack[[#This Row],[Release Date (CMS)]]&lt;DATE(VALUE(LEFT(CostTrack[[#This Row],[Fiscal Period]],4)),4,1)),1,0)</f>
        <v>0</v>
      </c>
      <c r="AB669" s="1317">
        <v>580.59</v>
      </c>
      <c r="AC669" s="1308">
        <v>45358</v>
      </c>
      <c r="AD669" s="402" t="str">
        <f ca="1">IF(CostTrack[[#This Row],[Reconciled Amount]]="","",IF(CostTrack[[#This Row],[Value]]&lt;&gt;CostTrack[[#This Row],[Reconciled Amount]],"Yes","No"))</f>
        <v>No</v>
      </c>
      <c r="AE669" s="658"/>
    </row>
    <row r="670" spans="2:31" ht="26.25" customHeight="1">
      <c r="B670" s="1324" t="s">
        <v>755</v>
      </c>
      <c r="C670" s="1334">
        <v>800108048</v>
      </c>
      <c r="D670" s="1308">
        <v>45338</v>
      </c>
      <c r="E670" s="658">
        <v>336.96</v>
      </c>
      <c r="F670" s="1309" t="s">
        <v>69</v>
      </c>
      <c r="G670" s="1310">
        <f ca="1">ROUND(IF(CostTrack[[#This Row],[Holdback (Y/N/R)]]="Yes",CostTrack[[#This Row],[Value]]*-0.1,IF(CostTrack[[#This Row],[Holdback (Y/N/R)]]="Release",CostTrack[[#This Row],[Value]],0)),2)</f>
        <v>0</v>
      </c>
      <c r="H670" s="1311">
        <f ca="1">IF(CostTrack[[#This Row],[Holdback (Y/N/R)]]="Release",CostTrack[[#This Row],[Value]],CostTrack[[#This Row],[Value]]+CostTrack[[#This Row],[Holdback Value]])</f>
        <v>336.96</v>
      </c>
      <c r="I670" s="1312"/>
      <c r="J670" s="1312"/>
      <c r="K670" s="1313"/>
      <c r="L670" s="1325">
        <v>45338</v>
      </c>
      <c r="M670" s="1326">
        <v>45338</v>
      </c>
      <c r="N670" s="1327"/>
      <c r="O670" s="1328" t="s">
        <v>106</v>
      </c>
      <c r="P670" s="1308">
        <v>45338</v>
      </c>
      <c r="Q670" s="1314" t="str">
        <f ca="1">IF(CostTrack[[#This Row],[Vendor - Contract]]="","",INDEX(VendorList[PA ID],MATCH(CostTrack[[#This Row],[Vendor - Contract]],VendorList[Vendor / Org. with Contract ID],0)))</f>
        <v>100.050.F1</v>
      </c>
      <c r="R670" s="1314" t="str">
        <f ca="1">IF(CostTrack[[#This Row],[Vendor - Contract]]="","",INDEX(VendorList[Primary Category],MATCH(CostTrack[[#This Row],[Vendor - Contract]],VendorList[Vendor / Org. with Contract ID],0)))</f>
        <v>Administration</v>
      </c>
      <c r="S670" s="1314" t="str">
        <f ca="1">IF(CostTrack[[#This Row],[Vendor - Contract]]="","",INDEX(VendorList[Secondary Category],MATCH(CostTrack[[#This Row],[Vendor - Contract]],VendorList[Vendor / Org. with Contract ID],0)))</f>
        <v>Other Administration</v>
      </c>
      <c r="T670" s="1314" t="str">
        <f ca="1">IF(CostTrack[[#This Row],[Vendor - Contract]]="","",INDEX(VendorList[Phase / Subproject],MATCH(CostTrack[[#This Row],[Vendor - Contract]],VendorList[Vendor / Org. with Contract ID],0)))</f>
        <v>--</v>
      </c>
      <c r="U670" s="1314" t="str">
        <f ca="1">IF(CostTrack[[#This Row],[Vendor - Contract]]="","",INDEX(VendorList[Phase / Subproject 2],MATCH(CostTrack[[#This Row],[Vendor - Contract]],VendorList[Vendor / Org. with Contract ID],0)))</f>
        <v>--</v>
      </c>
      <c r="V670" s="1314" t="str">
        <f ca="1">IF(CostTrack[[#This Row],[Vendor - Contract]]="","",INDEX(VendorList[Funding Source],MATCH(CostTrack[[#This Row],[Vendor - Contract]],VendorList[Vendor / Org. with Contract ID],0)))</f>
        <v>P-002360</v>
      </c>
      <c r="W670" s="1308">
        <v>45338</v>
      </c>
      <c r="X670" s="1315" t="str">
        <f ca="1">IF(CostTrack[[#This Row],[Release Date (CMS)]]="","*","")</f>
        <v/>
      </c>
      <c r="Y670" s="1308" t="s">
        <v>58</v>
      </c>
      <c r="Z670" s="713" t="s">
        <v>1329</v>
      </c>
      <c r="AA670" s="1316">
        <f ca="1">IF(OR(CostTrack[[#This Row],[Release Date (CMS)]]&gt;=DATE(VALUE(REPLACE(CostTrack[[#This Row],[Fiscal Period]],3,3,"")),3,1),CostTrack[[#This Row],[Release Date (CMS)]]&lt;DATE(VALUE(LEFT(CostTrack[[#This Row],[Fiscal Period]],4)),4,1)),1,0)</f>
        <v>0</v>
      </c>
      <c r="AB670" s="1317">
        <v>336.96</v>
      </c>
      <c r="AC670" s="1308">
        <v>45358</v>
      </c>
      <c r="AD670" s="402" t="str">
        <f ca="1">IF(CostTrack[[#This Row],[Reconciled Amount]]="","",IF(CostTrack[[#This Row],[Value]]&lt;&gt;CostTrack[[#This Row],[Reconciled Amount]],"Yes","No"))</f>
        <v>No</v>
      </c>
      <c r="AE670" s="658"/>
    </row>
    <row r="671" spans="2:31" ht="26.25" customHeight="1">
      <c r="B671" s="1324" t="s">
        <v>529</v>
      </c>
      <c r="C671" s="1334" t="s">
        <v>1330</v>
      </c>
      <c r="D671" s="1308">
        <v>45314</v>
      </c>
      <c r="E671" s="658">
        <v>1281628.24</v>
      </c>
      <c r="F671" s="1309" t="s">
        <v>65</v>
      </c>
      <c r="G671" s="1310">
        <f ca="1">ROUND(IF(CostTrack[[#This Row],[Holdback (Y/N/R)]]="Yes",CostTrack[[#This Row],[Value]]*-0.1,IF(CostTrack[[#This Row],[Holdback (Y/N/R)]]="Release",CostTrack[[#This Row],[Value]],0)),2)</f>
        <v>-128162.82</v>
      </c>
      <c r="H671" s="1311">
        <f ca="1">IF(CostTrack[[#This Row],[Holdback (Y/N/R)]]="Release",CostTrack[[#This Row],[Value]],CostTrack[[#This Row],[Value]]+CostTrack[[#This Row],[Holdback Value]])</f>
        <v>1153465.42</v>
      </c>
      <c r="I671" s="1312"/>
      <c r="J671" s="1312"/>
      <c r="K671" s="1313"/>
      <c r="L671" s="1325">
        <v>45345</v>
      </c>
      <c r="M671" s="1326">
        <v>45348</v>
      </c>
      <c r="N671" s="1327"/>
      <c r="O671" s="1328" t="s">
        <v>106</v>
      </c>
      <c r="P671" s="1308">
        <v>45348</v>
      </c>
      <c r="Q671" s="1314" t="str">
        <f ca="1">IF(CostTrack[[#This Row],[Vendor - Contract]]="","",INDEX(VendorList[PA ID],MATCH(CostTrack[[#This Row],[Vendor - Contract]],VendorList[Vendor / Org. with Contract ID],0)))</f>
        <v>300.030.F1</v>
      </c>
      <c r="R671" s="1314" t="str">
        <f ca="1">IF(CostTrack[[#This Row],[Vendor - Contract]]="","",INDEX(VendorList[Primary Category],MATCH(CostTrack[[#This Row],[Vendor - Contract]],VendorList[Vendor / Org. with Contract ID],0)))</f>
        <v>Construction</v>
      </c>
      <c r="S671" s="1314" t="str">
        <f ca="1">IF(CostTrack[[#This Row],[Vendor - Contract]]="","",INDEX(VendorList[Secondary Category],MATCH(CostTrack[[#This Row],[Vendor - Contract]],VendorList[Vendor / Org. with Contract ID],0)))</f>
        <v>Prime Contractor</v>
      </c>
      <c r="T671" s="1314" t="str">
        <f ca="1">IF(CostTrack[[#This Row],[Vendor - Contract]]="","",INDEX(VendorList[Phase / Subproject],MATCH(CostTrack[[#This Row],[Vendor - Contract]],VendorList[Vendor / Org. with Contract ID],0)))</f>
        <v>--</v>
      </c>
      <c r="U671" s="1314" t="str">
        <f ca="1">IF(CostTrack[[#This Row],[Vendor - Contract]]="","",INDEX(VendorList[Phase / Subproject 2],MATCH(CostTrack[[#This Row],[Vendor - Contract]],VendorList[Vendor / Org. with Contract ID],0)))</f>
        <v>--</v>
      </c>
      <c r="V671" s="1314" t="str">
        <f ca="1">IF(CostTrack[[#This Row],[Vendor - Contract]]="","",INDEX(VendorList[Funding Source],MATCH(CostTrack[[#This Row],[Vendor - Contract]],VendorList[Vendor / Org. with Contract ID],0)))</f>
        <v>P-002360</v>
      </c>
      <c r="W671" s="1308">
        <v>45348</v>
      </c>
      <c r="X671" s="1315" t="str">
        <f ca="1">IF(CostTrack[[#This Row],[Release Date (CMS)]]="","*","")</f>
        <v/>
      </c>
      <c r="Y671" s="1308" t="s">
        <v>58</v>
      </c>
      <c r="Z671" s="713"/>
      <c r="AA671" s="1316">
        <f ca="1">IF(OR(CostTrack[[#This Row],[Release Date (CMS)]]&gt;=DATE(VALUE(REPLACE(CostTrack[[#This Row],[Fiscal Period]],3,3,"")),3,1),CostTrack[[#This Row],[Release Date (CMS)]]&lt;DATE(VALUE(LEFT(CostTrack[[#This Row],[Fiscal Period]],4)),4,1)),1,0)</f>
        <v>0</v>
      </c>
      <c r="AB671" s="1317">
        <v>1281628.24</v>
      </c>
      <c r="AC671" s="1308">
        <v>45358</v>
      </c>
      <c r="AD671" s="402" t="str">
        <f ca="1">IF(CostTrack[[#This Row],[Reconciled Amount]]="","",IF(CostTrack[[#This Row],[Value]]&lt;&gt;CostTrack[[#This Row],[Reconciled Amount]],"Yes","No"))</f>
        <v>No</v>
      </c>
      <c r="AE671" s="658"/>
    </row>
    <row r="672" spans="2:31" ht="26.25" customHeight="1">
      <c r="B672" s="1324" t="s">
        <v>529</v>
      </c>
      <c r="C672" s="1334">
        <v>29968</v>
      </c>
      <c r="D672" s="1308">
        <v>45350</v>
      </c>
      <c r="E672" s="658">
        <v>1026766.93</v>
      </c>
      <c r="F672" s="1309" t="s">
        <v>65</v>
      </c>
      <c r="G672" s="1310">
        <f ca="1">ROUND(IF(CostTrack[[#This Row],[Holdback (Y/N/R)]]="Yes",CostTrack[[#This Row],[Value]]*-0.1,IF(CostTrack[[#This Row],[Holdback (Y/N/R)]]="Release",CostTrack[[#This Row],[Value]],0)),2)</f>
        <v>-102676.69</v>
      </c>
      <c r="H672" s="1311">
        <f ca="1">IF(CostTrack[[#This Row],[Holdback (Y/N/R)]]="Release",CostTrack[[#This Row],[Value]],CostTrack[[#This Row],[Value]]+CostTrack[[#This Row],[Holdback Value]])</f>
        <v>924090.24</v>
      </c>
      <c r="I672" s="1312"/>
      <c r="J672" s="1312"/>
      <c r="K672" s="1313"/>
      <c r="L672" s="1325">
        <v>45359</v>
      </c>
      <c r="M672" s="1326">
        <v>45359</v>
      </c>
      <c r="N672" s="1327"/>
      <c r="O672" s="1328" t="s">
        <v>106</v>
      </c>
      <c r="P672" s="1308">
        <v>45359</v>
      </c>
      <c r="Q672" s="1314" t="str">
        <f ca="1">IF(CostTrack[[#This Row],[Vendor - Contract]]="","",INDEX(VendorList[PA ID],MATCH(CostTrack[[#This Row],[Vendor - Contract]],VendorList[Vendor / Org. with Contract ID],0)))</f>
        <v>300.030.F1</v>
      </c>
      <c r="R672" s="1314" t="str">
        <f ca="1">IF(CostTrack[[#This Row],[Vendor - Contract]]="","",INDEX(VendorList[Primary Category],MATCH(CostTrack[[#This Row],[Vendor - Contract]],VendorList[Vendor / Org. with Contract ID],0)))</f>
        <v>Construction</v>
      </c>
      <c r="S672" s="1314" t="str">
        <f ca="1">IF(CostTrack[[#This Row],[Vendor - Contract]]="","",INDEX(VendorList[Secondary Category],MATCH(CostTrack[[#This Row],[Vendor - Contract]],VendorList[Vendor / Org. with Contract ID],0)))</f>
        <v>Prime Contractor</v>
      </c>
      <c r="T672" s="1314" t="str">
        <f ca="1">IF(CostTrack[[#This Row],[Vendor - Contract]]="","",INDEX(VendorList[Phase / Subproject],MATCH(CostTrack[[#This Row],[Vendor - Contract]],VendorList[Vendor / Org. with Contract ID],0)))</f>
        <v>--</v>
      </c>
      <c r="U672" s="1314" t="str">
        <f ca="1">IF(CostTrack[[#This Row],[Vendor - Contract]]="","",INDEX(VendorList[Phase / Subproject 2],MATCH(CostTrack[[#This Row],[Vendor - Contract]],VendorList[Vendor / Org. with Contract ID],0)))</f>
        <v>--</v>
      </c>
      <c r="V672" s="1314" t="str">
        <f ca="1">IF(CostTrack[[#This Row],[Vendor - Contract]]="","",INDEX(VendorList[Funding Source],MATCH(CostTrack[[#This Row],[Vendor - Contract]],VendorList[Vendor / Org. with Contract ID],0)))</f>
        <v>P-002360</v>
      </c>
      <c r="W672" s="1308">
        <v>45359</v>
      </c>
      <c r="X672" s="1315" t="str">
        <f ca="1">IF(CostTrack[[#This Row],[Release Date (CMS)]]="","*","")</f>
        <v/>
      </c>
      <c r="Y672" s="1308" t="s">
        <v>58</v>
      </c>
      <c r="Z672" s="713"/>
      <c r="AA672" s="1316">
        <f ca="1">IF(OR(CostTrack[[#This Row],[Release Date (CMS)]]&gt;=DATE(VALUE(REPLACE(CostTrack[[#This Row],[Fiscal Period]],3,3,"")),3,1),CostTrack[[#This Row],[Release Date (CMS)]]&lt;DATE(VALUE(LEFT(CostTrack[[#This Row],[Fiscal Period]],4)),4,1)),1,0)</f>
        <v>1</v>
      </c>
      <c r="AB672" s="1317">
        <v>1026766.93</v>
      </c>
      <c r="AC672" s="1308">
        <v>45398</v>
      </c>
      <c r="AD672" s="402" t="str">
        <f ca="1">IF(CostTrack[[#This Row],[Reconciled Amount]]="","",IF(CostTrack[[#This Row],[Value]]&lt;&gt;CostTrack[[#This Row],[Reconciled Amount]],"Yes","No"))</f>
        <v>No</v>
      </c>
      <c r="AE672" s="658"/>
    </row>
    <row r="673" spans="2:31" ht="26.25" customHeight="1">
      <c r="B673" s="1324" t="s">
        <v>666</v>
      </c>
      <c r="C673" s="1334" t="s">
        <v>1331</v>
      </c>
      <c r="D673" s="1308">
        <v>45358</v>
      </c>
      <c r="E673" s="658">
        <v>7000</v>
      </c>
      <c r="F673" s="1309" t="s">
        <v>69</v>
      </c>
      <c r="G673" s="1310">
        <f ca="1">ROUND(IF(CostTrack[[#This Row],[Holdback (Y/N/R)]]="Yes",CostTrack[[#This Row],[Value]]*-0.1,IF(CostTrack[[#This Row],[Holdback (Y/N/R)]]="Release",CostTrack[[#This Row],[Value]],0)),2)</f>
        <v>0</v>
      </c>
      <c r="H673" s="1311">
        <f ca="1">IF(CostTrack[[#This Row],[Holdback (Y/N/R)]]="Release",CostTrack[[#This Row],[Value]],CostTrack[[#This Row],[Value]]+CostTrack[[#This Row],[Holdback Value]])</f>
        <v>7000</v>
      </c>
      <c r="I673" s="1312"/>
      <c r="J673" s="1312"/>
      <c r="K673" s="1313"/>
      <c r="L673" s="1325">
        <v>45359</v>
      </c>
      <c r="M673" s="1326">
        <v>45359</v>
      </c>
      <c r="N673" s="1327"/>
      <c r="O673" s="1328" t="s">
        <v>106</v>
      </c>
      <c r="P673" s="1308">
        <v>45359</v>
      </c>
      <c r="Q673" s="1314" t="str">
        <f ca="1">IF(CostTrack[[#This Row],[Vendor - Contract]]="","",INDEX(VendorList[PA ID],MATCH(CostTrack[[#This Row],[Vendor - Contract]],VendorList[Vendor / Org. with Contract ID],0)))</f>
        <v>200.050.F1</v>
      </c>
      <c r="R673" s="1314" t="str">
        <f ca="1">IF(CostTrack[[#This Row],[Vendor - Contract]]="","",INDEX(VendorList[Primary Category],MATCH(CostTrack[[#This Row],[Vendor - Contract]],VendorList[Vendor / Org. with Contract ID],0)))</f>
        <v>Professional Services</v>
      </c>
      <c r="S673" s="1314" t="str">
        <f ca="1">IF(CostTrack[[#This Row],[Vendor - Contract]]="","",INDEX(VendorList[Secondary Category],MATCH(CostTrack[[#This Row],[Vendor - Contract]],VendorList[Vendor / Org. with Contract ID],0)))</f>
        <v>Other Professional Services</v>
      </c>
      <c r="T673" s="1314" t="str">
        <f ca="1">IF(CostTrack[[#This Row],[Vendor - Contract]]="","",INDEX(VendorList[Phase / Subproject],MATCH(CostTrack[[#This Row],[Vendor - Contract]],VendorList[Vendor / Org. with Contract ID],0)))</f>
        <v>--</v>
      </c>
      <c r="U673" s="1314" t="str">
        <f ca="1">IF(CostTrack[[#This Row],[Vendor - Contract]]="","",INDEX(VendorList[Phase / Subproject 2],MATCH(CostTrack[[#This Row],[Vendor - Contract]],VendorList[Vendor / Org. with Contract ID],0)))</f>
        <v>--</v>
      </c>
      <c r="V673" s="1314" t="str">
        <f ca="1">IF(CostTrack[[#This Row],[Vendor - Contract]]="","",INDEX(VendorList[Funding Source],MATCH(CostTrack[[#This Row],[Vendor - Contract]],VendorList[Vendor / Org. with Contract ID],0)))</f>
        <v>P-002360</v>
      </c>
      <c r="W673" s="1308">
        <v>45359</v>
      </c>
      <c r="X673" s="1315" t="str">
        <f ca="1">IF(CostTrack[[#This Row],[Release Date (CMS)]]="","*","")</f>
        <v/>
      </c>
      <c r="Y673" s="1308" t="s">
        <v>58</v>
      </c>
      <c r="Z673" s="713"/>
      <c r="AA673" s="1316">
        <f ca="1">IF(OR(CostTrack[[#This Row],[Release Date (CMS)]]&gt;=DATE(VALUE(REPLACE(CostTrack[[#This Row],[Fiscal Period]],3,3,"")),3,1),CostTrack[[#This Row],[Release Date (CMS)]]&lt;DATE(VALUE(LEFT(CostTrack[[#This Row],[Fiscal Period]],4)),4,1)),1,0)</f>
        <v>1</v>
      </c>
      <c r="AB673" s="1317">
        <v>7000</v>
      </c>
      <c r="AC673" s="1308">
        <v>45398</v>
      </c>
      <c r="AD673" s="402" t="str">
        <f ca="1">IF(CostTrack[[#This Row],[Reconciled Amount]]="","",IF(CostTrack[[#This Row],[Value]]&lt;&gt;CostTrack[[#This Row],[Reconciled Amount]],"Yes","No"))</f>
        <v>No</v>
      </c>
      <c r="AE673" s="658"/>
    </row>
    <row r="674" spans="2:31" ht="26.25" customHeight="1">
      <c r="B674" s="1324" t="s">
        <v>666</v>
      </c>
      <c r="C674" s="1334" t="s">
        <v>1332</v>
      </c>
      <c r="D674" s="1308">
        <v>45343</v>
      </c>
      <c r="E674" s="658">
        <v>1250</v>
      </c>
      <c r="F674" s="1309" t="s">
        <v>69</v>
      </c>
      <c r="G674" s="1310">
        <f ca="1">ROUND(IF(CostTrack[[#This Row],[Holdback (Y/N/R)]]="Yes",CostTrack[[#This Row],[Value]]*-0.1,IF(CostTrack[[#This Row],[Holdback (Y/N/R)]]="Release",CostTrack[[#This Row],[Value]],0)),2)</f>
        <v>0</v>
      </c>
      <c r="H674" s="1311">
        <f ca="1">IF(CostTrack[[#This Row],[Holdback (Y/N/R)]]="Release",CostTrack[[#This Row],[Value]],CostTrack[[#This Row],[Value]]+CostTrack[[#This Row],[Holdback Value]])</f>
        <v>1250</v>
      </c>
      <c r="I674" s="1312"/>
      <c r="J674" s="1312"/>
      <c r="K674" s="1313"/>
      <c r="L674" s="1325">
        <v>45348</v>
      </c>
      <c r="M674" s="1326">
        <v>45355</v>
      </c>
      <c r="N674" s="1327"/>
      <c r="O674" s="1328" t="s">
        <v>106</v>
      </c>
      <c r="P674" s="1308">
        <v>45356</v>
      </c>
      <c r="Q674" s="1314" t="str">
        <f ca="1">IF(CostTrack[[#This Row],[Vendor - Contract]]="","",INDEX(VendorList[PA ID],MATCH(CostTrack[[#This Row],[Vendor - Contract]],VendorList[Vendor / Org. with Contract ID],0)))</f>
        <v>200.050.F1</v>
      </c>
      <c r="R674" s="1314" t="str">
        <f ca="1">IF(CostTrack[[#This Row],[Vendor - Contract]]="","",INDEX(VendorList[Primary Category],MATCH(CostTrack[[#This Row],[Vendor - Contract]],VendorList[Vendor / Org. with Contract ID],0)))</f>
        <v>Professional Services</v>
      </c>
      <c r="S674" s="1314" t="str">
        <f ca="1">IF(CostTrack[[#This Row],[Vendor - Contract]]="","",INDEX(VendorList[Secondary Category],MATCH(CostTrack[[#This Row],[Vendor - Contract]],VendorList[Vendor / Org. with Contract ID],0)))</f>
        <v>Other Professional Services</v>
      </c>
      <c r="T674" s="1314" t="str">
        <f ca="1">IF(CostTrack[[#This Row],[Vendor - Contract]]="","",INDEX(VendorList[Phase / Subproject],MATCH(CostTrack[[#This Row],[Vendor - Contract]],VendorList[Vendor / Org. with Contract ID],0)))</f>
        <v>--</v>
      </c>
      <c r="U674" s="1314" t="str">
        <f ca="1">IF(CostTrack[[#This Row],[Vendor - Contract]]="","",INDEX(VendorList[Phase / Subproject 2],MATCH(CostTrack[[#This Row],[Vendor - Contract]],VendorList[Vendor / Org. with Contract ID],0)))</f>
        <v>--</v>
      </c>
      <c r="V674" s="1314" t="str">
        <f ca="1">IF(CostTrack[[#This Row],[Vendor - Contract]]="","",INDEX(VendorList[Funding Source],MATCH(CostTrack[[#This Row],[Vendor - Contract]],VendorList[Vendor / Org. with Contract ID],0)))</f>
        <v>P-002360</v>
      </c>
      <c r="W674" s="1308">
        <v>45356</v>
      </c>
      <c r="X674" s="1315" t="str">
        <f ca="1">IF(CostTrack[[#This Row],[Release Date (CMS)]]="","*","")</f>
        <v/>
      </c>
      <c r="Y674" s="1308" t="s">
        <v>58</v>
      </c>
      <c r="Z674" s="713"/>
      <c r="AA674" s="1316">
        <f ca="1">IF(OR(CostTrack[[#This Row],[Release Date (CMS)]]&gt;=DATE(VALUE(REPLACE(CostTrack[[#This Row],[Fiscal Period]],3,3,"")),3,1),CostTrack[[#This Row],[Release Date (CMS)]]&lt;DATE(VALUE(LEFT(CostTrack[[#This Row],[Fiscal Period]],4)),4,1)),1,0)</f>
        <v>1</v>
      </c>
      <c r="AB674" s="1317">
        <v>1250</v>
      </c>
      <c r="AC674" s="1308">
        <v>45398</v>
      </c>
      <c r="AD674" s="402" t="str">
        <f ca="1">IF(CostTrack[[#This Row],[Reconciled Amount]]="","",IF(CostTrack[[#This Row],[Value]]&lt;&gt;CostTrack[[#This Row],[Reconciled Amount]],"Yes","No"))</f>
        <v>No</v>
      </c>
      <c r="AE674" s="658"/>
    </row>
    <row r="675" spans="2:31" ht="26.25" customHeight="1">
      <c r="B675" s="1324" t="s">
        <v>666</v>
      </c>
      <c r="C675" s="1334" t="s">
        <v>1333</v>
      </c>
      <c r="D675" s="1308">
        <v>45343</v>
      </c>
      <c r="E675" s="658">
        <v>6250</v>
      </c>
      <c r="F675" s="1309" t="s">
        <v>69</v>
      </c>
      <c r="G675" s="1310">
        <f ca="1">ROUND(IF(CostTrack[[#This Row],[Holdback (Y/N/R)]]="Yes",CostTrack[[#This Row],[Value]]*-0.1,IF(CostTrack[[#This Row],[Holdback (Y/N/R)]]="Release",CostTrack[[#This Row],[Value]],0)),2)</f>
        <v>0</v>
      </c>
      <c r="H675" s="1311">
        <f ca="1">IF(CostTrack[[#This Row],[Holdback (Y/N/R)]]="Release",CostTrack[[#This Row],[Value]],CostTrack[[#This Row],[Value]]+CostTrack[[#This Row],[Holdback Value]])</f>
        <v>6250</v>
      </c>
      <c r="I675" s="1312"/>
      <c r="J675" s="1312"/>
      <c r="K675" s="1313"/>
      <c r="L675" s="1325">
        <v>45348</v>
      </c>
      <c r="M675" s="1326">
        <v>45355</v>
      </c>
      <c r="N675" s="1327"/>
      <c r="O675" s="1328" t="s">
        <v>106</v>
      </c>
      <c r="P675" s="1308">
        <v>45356</v>
      </c>
      <c r="Q675" s="1314" t="str">
        <f ca="1">IF(CostTrack[[#This Row],[Vendor - Contract]]="","",INDEX(VendorList[PA ID],MATCH(CostTrack[[#This Row],[Vendor - Contract]],VendorList[Vendor / Org. with Contract ID],0)))</f>
        <v>200.050.F1</v>
      </c>
      <c r="R675" s="1314" t="str">
        <f ca="1">IF(CostTrack[[#This Row],[Vendor - Contract]]="","",INDEX(VendorList[Primary Category],MATCH(CostTrack[[#This Row],[Vendor - Contract]],VendorList[Vendor / Org. with Contract ID],0)))</f>
        <v>Professional Services</v>
      </c>
      <c r="S675" s="1314" t="str">
        <f ca="1">IF(CostTrack[[#This Row],[Vendor - Contract]]="","",INDEX(VendorList[Secondary Category],MATCH(CostTrack[[#This Row],[Vendor - Contract]],VendorList[Vendor / Org. with Contract ID],0)))</f>
        <v>Other Professional Services</v>
      </c>
      <c r="T675" s="1314" t="str">
        <f ca="1">IF(CostTrack[[#This Row],[Vendor - Contract]]="","",INDEX(VendorList[Phase / Subproject],MATCH(CostTrack[[#This Row],[Vendor - Contract]],VendorList[Vendor / Org. with Contract ID],0)))</f>
        <v>--</v>
      </c>
      <c r="U675" s="1314" t="str">
        <f ca="1">IF(CostTrack[[#This Row],[Vendor - Contract]]="","",INDEX(VendorList[Phase / Subproject 2],MATCH(CostTrack[[#This Row],[Vendor - Contract]],VendorList[Vendor / Org. with Contract ID],0)))</f>
        <v>--</v>
      </c>
      <c r="V675" s="1314" t="str">
        <f ca="1">IF(CostTrack[[#This Row],[Vendor - Contract]]="","",INDEX(VendorList[Funding Source],MATCH(CostTrack[[#This Row],[Vendor - Contract]],VendorList[Vendor / Org. with Contract ID],0)))</f>
        <v>P-002360</v>
      </c>
      <c r="W675" s="1308">
        <v>45356</v>
      </c>
      <c r="X675" s="1315" t="str">
        <f ca="1">IF(CostTrack[[#This Row],[Release Date (CMS)]]="","*","")</f>
        <v/>
      </c>
      <c r="Y675" s="1308" t="s">
        <v>58</v>
      </c>
      <c r="Z675" s="713"/>
      <c r="AA675" s="1316">
        <f ca="1">IF(OR(CostTrack[[#This Row],[Release Date (CMS)]]&gt;=DATE(VALUE(REPLACE(CostTrack[[#This Row],[Fiscal Period]],3,3,"")),3,1),CostTrack[[#This Row],[Release Date (CMS)]]&lt;DATE(VALUE(LEFT(CostTrack[[#This Row],[Fiscal Period]],4)),4,1)),1,0)</f>
        <v>1</v>
      </c>
      <c r="AB675" s="1317">
        <v>6250</v>
      </c>
      <c r="AC675" s="1308">
        <v>45398</v>
      </c>
      <c r="AD675" s="402" t="str">
        <f ca="1">IF(CostTrack[[#This Row],[Reconciled Amount]]="","",IF(CostTrack[[#This Row],[Value]]&lt;&gt;CostTrack[[#This Row],[Reconciled Amount]],"Yes","No"))</f>
        <v>No</v>
      </c>
      <c r="AE675" s="658"/>
    </row>
    <row r="676" spans="2:31" ht="26.25" customHeight="1">
      <c r="B676" s="1324" t="s">
        <v>624</v>
      </c>
      <c r="C676" s="1334">
        <v>1878256</v>
      </c>
      <c r="D676" s="1308">
        <v>45352</v>
      </c>
      <c r="E676" s="658">
        <v>23642</v>
      </c>
      <c r="F676" s="1309" t="s">
        <v>69</v>
      </c>
      <c r="G676" s="1310">
        <f ca="1">ROUND(IF(CostTrack[[#This Row],[Holdback (Y/N/R)]]="Yes",CostTrack[[#This Row],[Value]]*-0.1,IF(CostTrack[[#This Row],[Holdback (Y/N/R)]]="Release",CostTrack[[#This Row],[Value]],0)),2)</f>
        <v>0</v>
      </c>
      <c r="H676" s="1311">
        <f ca="1">IF(CostTrack[[#This Row],[Holdback (Y/N/R)]]="Release",CostTrack[[#This Row],[Value]],CostTrack[[#This Row],[Value]]+CostTrack[[#This Row],[Holdback Value]])</f>
        <v>23642</v>
      </c>
      <c r="I676" s="1312"/>
      <c r="J676" s="1312"/>
      <c r="K676" s="1313"/>
      <c r="L676" s="1325">
        <v>45352</v>
      </c>
      <c r="M676" s="1326">
        <v>45352</v>
      </c>
      <c r="N676" s="1327"/>
      <c r="O676" s="1328" t="s">
        <v>106</v>
      </c>
      <c r="P676" s="1308">
        <v>45355</v>
      </c>
      <c r="Q676" s="1314" t="str">
        <f ca="1">IF(CostTrack[[#This Row],[Vendor - Contract]]="","",INDEX(VendorList[PA ID],MATCH(CostTrack[[#This Row],[Vendor - Contract]],VendorList[Vendor / Org. with Contract ID],0)))</f>
        <v>200.040.F1</v>
      </c>
      <c r="R676" s="1314" t="str">
        <f ca="1">IF(CostTrack[[#This Row],[Vendor - Contract]]="","",INDEX(VendorList[Primary Category],MATCH(CostTrack[[#This Row],[Vendor - Contract]],VendorList[Vendor / Org. with Contract ID],0)))</f>
        <v>Professional Services</v>
      </c>
      <c r="S676" s="1314" t="str">
        <f ca="1">IF(CostTrack[[#This Row],[Vendor - Contract]]="","",INDEX(VendorList[Secondary Category],MATCH(CostTrack[[#This Row],[Vendor - Contract]],VendorList[Vendor / Org. with Contract ID],0)))</f>
        <v>Commissioning</v>
      </c>
      <c r="T676" s="1314" t="str">
        <f ca="1">IF(CostTrack[[#This Row],[Vendor - Contract]]="","",INDEX(VendorList[Phase / Subproject],MATCH(CostTrack[[#This Row],[Vendor - Contract]],VendorList[Vendor / Org. with Contract ID],0)))</f>
        <v>--</v>
      </c>
      <c r="U676" s="1314" t="str">
        <f ca="1">IF(CostTrack[[#This Row],[Vendor - Contract]]="","",INDEX(VendorList[Phase / Subproject 2],MATCH(CostTrack[[#This Row],[Vendor - Contract]],VendorList[Vendor / Org. with Contract ID],0)))</f>
        <v>--</v>
      </c>
      <c r="V676" s="1314" t="str">
        <f ca="1">IF(CostTrack[[#This Row],[Vendor - Contract]]="","",INDEX(VendorList[Funding Source],MATCH(CostTrack[[#This Row],[Vendor - Contract]],VendorList[Vendor / Org. with Contract ID],0)))</f>
        <v>P-002360</v>
      </c>
      <c r="W676" s="1308">
        <v>45355</v>
      </c>
      <c r="X676" s="1315" t="str">
        <f ca="1">IF(CostTrack[[#This Row],[Release Date (CMS)]]="","*","")</f>
        <v/>
      </c>
      <c r="Y676" s="1308" t="s">
        <v>58</v>
      </c>
      <c r="Z676" s="713"/>
      <c r="AA676" s="1316">
        <f ca="1">IF(OR(CostTrack[[#This Row],[Release Date (CMS)]]&gt;=DATE(VALUE(REPLACE(CostTrack[[#This Row],[Fiscal Period]],3,3,"")),3,1),CostTrack[[#This Row],[Release Date (CMS)]]&lt;DATE(VALUE(LEFT(CostTrack[[#This Row],[Fiscal Period]],4)),4,1)),1,0)</f>
        <v>1</v>
      </c>
      <c r="AB676" s="1317">
        <v>23642</v>
      </c>
      <c r="AC676" s="1308">
        <v>45398</v>
      </c>
      <c r="AD676" s="402" t="str">
        <f ca="1">IF(CostTrack[[#This Row],[Reconciled Amount]]="","",IF(CostTrack[[#This Row],[Value]]&lt;&gt;CostTrack[[#This Row],[Reconciled Amount]],"Yes","No"))</f>
        <v>No</v>
      </c>
      <c r="AE676" s="658"/>
    </row>
    <row r="677" spans="2:31" ht="26.25" customHeight="1">
      <c r="B677" s="1324" t="s">
        <v>527</v>
      </c>
      <c r="C677" s="1334" t="s">
        <v>1334</v>
      </c>
      <c r="D677" s="1308">
        <v>45351</v>
      </c>
      <c r="E677" s="658">
        <v>27871.37</v>
      </c>
      <c r="F677" s="1309" t="s">
        <v>69</v>
      </c>
      <c r="G677" s="1310">
        <f ca="1">ROUND(IF(CostTrack[[#This Row],[Holdback (Y/N/R)]]="Yes",CostTrack[[#This Row],[Value]]*-0.1,IF(CostTrack[[#This Row],[Holdback (Y/N/R)]]="Release",CostTrack[[#This Row],[Value]],0)),2)</f>
        <v>0</v>
      </c>
      <c r="H677" s="1311">
        <f ca="1">IF(CostTrack[[#This Row],[Holdback (Y/N/R)]]="Release",CostTrack[[#This Row],[Value]],CostTrack[[#This Row],[Value]]+CostTrack[[#This Row],[Holdback Value]])</f>
        <v>27871.37</v>
      </c>
      <c r="I677" s="1312"/>
      <c r="J677" s="1312"/>
      <c r="K677" s="1313"/>
      <c r="L677" s="1325">
        <v>45359</v>
      </c>
      <c r="M677" s="1326">
        <v>45359</v>
      </c>
      <c r="N677" s="1327"/>
      <c r="O677" s="1328" t="s">
        <v>106</v>
      </c>
      <c r="P677" s="1308">
        <v>45359</v>
      </c>
      <c r="Q677" s="1314" t="str">
        <f ca="1">IF(CostTrack[[#This Row],[Vendor - Contract]]="","",INDEX(VendorList[PA ID],MATCH(CostTrack[[#This Row],[Vendor - Contract]],VendorList[Vendor / Org. with Contract ID],0)))</f>
        <v>200.010.F1</v>
      </c>
      <c r="R677" s="1314" t="str">
        <f ca="1">IF(CostTrack[[#This Row],[Vendor - Contract]]="","",INDEX(VendorList[Primary Category],MATCH(CostTrack[[#This Row],[Vendor - Contract]],VendorList[Vendor / Org. with Contract ID],0)))</f>
        <v>Professional Services</v>
      </c>
      <c r="S677" s="1314" t="str">
        <f ca="1">IF(CostTrack[[#This Row],[Vendor - Contract]]="","",INDEX(VendorList[Secondary Category],MATCH(CostTrack[[#This Row],[Vendor - Contract]],VendorList[Vendor / Org. with Contract ID],0)))</f>
        <v>Prime Consultant</v>
      </c>
      <c r="T677" s="1314" t="str">
        <f ca="1">IF(CostTrack[[#This Row],[Vendor - Contract]]="","",INDEX(VendorList[Phase / Subproject],MATCH(CostTrack[[#This Row],[Vendor - Contract]],VendorList[Vendor / Org. with Contract ID],0)))</f>
        <v>--</v>
      </c>
      <c r="U677" s="1314" t="str">
        <f ca="1">IF(CostTrack[[#This Row],[Vendor - Contract]]="","",INDEX(VendorList[Phase / Subproject 2],MATCH(CostTrack[[#This Row],[Vendor - Contract]],VendorList[Vendor / Org. with Contract ID],0)))</f>
        <v>--</v>
      </c>
      <c r="V677" s="1314" t="str">
        <f ca="1">IF(CostTrack[[#This Row],[Vendor - Contract]]="","",INDEX(VendorList[Funding Source],MATCH(CostTrack[[#This Row],[Vendor - Contract]],VendorList[Vendor / Org. with Contract ID],0)))</f>
        <v>P-002360</v>
      </c>
      <c r="W677" s="1308">
        <v>45359</v>
      </c>
      <c r="X677" s="1315" t="str">
        <f ca="1">IF(CostTrack[[#This Row],[Release Date (CMS)]]="","*","")</f>
        <v/>
      </c>
      <c r="Y677" s="1308" t="s">
        <v>58</v>
      </c>
      <c r="Z677" s="713"/>
      <c r="AA677" s="1316">
        <f ca="1">IF(OR(CostTrack[[#This Row],[Release Date (CMS)]]&gt;=DATE(VALUE(REPLACE(CostTrack[[#This Row],[Fiscal Period]],3,3,"")),3,1),CostTrack[[#This Row],[Release Date (CMS)]]&lt;DATE(VALUE(LEFT(CostTrack[[#This Row],[Fiscal Period]],4)),4,1)),1,0)</f>
        <v>1</v>
      </c>
      <c r="AB677" s="1317">
        <v>27871.37</v>
      </c>
      <c r="AC677" s="1308">
        <v>45398</v>
      </c>
      <c r="AD677" s="402" t="str">
        <f ca="1">IF(CostTrack[[#This Row],[Reconciled Amount]]="","",IF(CostTrack[[#This Row],[Value]]&lt;&gt;CostTrack[[#This Row],[Reconciled Amount]],"Yes","No"))</f>
        <v>No</v>
      </c>
      <c r="AE677" s="658"/>
    </row>
    <row r="678" spans="2:31" ht="26.25" customHeight="1">
      <c r="B678" s="1324" t="s">
        <v>683</v>
      </c>
      <c r="C678" s="1334" t="s">
        <v>1335</v>
      </c>
      <c r="D678" s="1308">
        <v>45364</v>
      </c>
      <c r="E678" s="658">
        <v>107043.69</v>
      </c>
      <c r="F678" s="1309" t="s">
        <v>69</v>
      </c>
      <c r="G678" s="1310">
        <f ca="1">ROUND(IF(CostTrack[[#This Row],[Holdback (Y/N/R)]]="Yes",CostTrack[[#This Row],[Value]]*-0.1,IF(CostTrack[[#This Row],[Holdback (Y/N/R)]]="Release",CostTrack[[#This Row],[Value]],0)),2)</f>
        <v>0</v>
      </c>
      <c r="H678" s="1311">
        <f ca="1">IF(CostTrack[[#This Row],[Holdback (Y/N/R)]]="Release",CostTrack[[#This Row],[Value]],CostTrack[[#This Row],[Value]]+CostTrack[[#This Row],[Holdback Value]])</f>
        <v>107043.69</v>
      </c>
      <c r="I678" s="1312"/>
      <c r="J678" s="1312"/>
      <c r="K678" s="1313"/>
      <c r="L678" s="1325">
        <v>45365</v>
      </c>
      <c r="M678" s="1326">
        <v>45365</v>
      </c>
      <c r="N678" s="1327"/>
      <c r="O678" s="1328" t="s">
        <v>106</v>
      </c>
      <c r="P678" s="1308">
        <v>45369</v>
      </c>
      <c r="Q678" s="1314" t="str">
        <f ca="1">IF(CostTrack[[#This Row],[Vendor - Contract]]="","",INDEX(VendorList[PA ID],MATCH(CostTrack[[#This Row],[Vendor - Contract]],VendorList[Vendor / Org. with Contract ID],0)))</f>
        <v>400.020.F1</v>
      </c>
      <c r="R678" s="1314" t="str">
        <f ca="1">IF(CostTrack[[#This Row],[Vendor - Contract]]="","",INDEX(VendorList[Primary Category],MATCH(CostTrack[[#This Row],[Vendor - Contract]],VendorList[Vendor / Org. with Contract ID],0)))</f>
        <v>FE_IT</v>
      </c>
      <c r="S678" s="1314" t="str">
        <f ca="1">IF(CostTrack[[#This Row],[Vendor - Contract]]="","",INDEX(VendorList[Secondary Category],MATCH(CostTrack[[#This Row],[Vendor - Contract]],VendorList[Vendor / Org. with Contract ID],0)))</f>
        <v>Information Technology</v>
      </c>
      <c r="T678" s="1314" t="str">
        <f ca="1">IF(CostTrack[[#This Row],[Vendor - Contract]]="","",INDEX(VendorList[Phase / Subproject],MATCH(CostTrack[[#This Row],[Vendor - Contract]],VendorList[Vendor / Org. with Contract ID],0)))</f>
        <v>--</v>
      </c>
      <c r="U678" s="1314" t="str">
        <f ca="1">IF(CostTrack[[#This Row],[Vendor - Contract]]="","",INDEX(VendorList[Phase / Subproject 2],MATCH(CostTrack[[#This Row],[Vendor - Contract]],VendorList[Vendor / Org. with Contract ID],0)))</f>
        <v>--</v>
      </c>
      <c r="V678" s="1314" t="str">
        <f ca="1">IF(CostTrack[[#This Row],[Vendor - Contract]]="","",INDEX(VendorList[Funding Source],MATCH(CostTrack[[#This Row],[Vendor - Contract]],VendorList[Vendor / Org. with Contract ID],0)))</f>
        <v>P-002360</v>
      </c>
      <c r="W678" s="1308">
        <v>45369</v>
      </c>
      <c r="X678" s="1315" t="str">
        <f ca="1">IF(CostTrack[[#This Row],[Release Date (CMS)]]="","*","")</f>
        <v/>
      </c>
      <c r="Y678" s="1308" t="s">
        <v>58</v>
      </c>
      <c r="Z678" s="713"/>
      <c r="AA678" s="1316">
        <f ca="1">IF(OR(CostTrack[[#This Row],[Release Date (CMS)]]&gt;=DATE(VALUE(REPLACE(CostTrack[[#This Row],[Fiscal Period]],3,3,"")),3,1),CostTrack[[#This Row],[Release Date (CMS)]]&lt;DATE(VALUE(LEFT(CostTrack[[#This Row],[Fiscal Period]],4)),4,1)),1,0)</f>
        <v>1</v>
      </c>
      <c r="AB678" s="1317">
        <v>107043.69</v>
      </c>
      <c r="AC678" s="1308">
        <v>45398</v>
      </c>
      <c r="AD678" s="402" t="str">
        <f ca="1">IF(CostTrack[[#This Row],[Reconciled Amount]]="","",IF(CostTrack[[#This Row],[Value]]&lt;&gt;CostTrack[[#This Row],[Reconciled Amount]],"Yes","No"))</f>
        <v>No</v>
      </c>
      <c r="AE678" s="658"/>
    </row>
    <row r="679" spans="2:31" ht="26.25" customHeight="1">
      <c r="B679" s="1324" t="s">
        <v>1336</v>
      </c>
      <c r="C679" s="1334">
        <v>91749840</v>
      </c>
      <c r="D679" s="1308">
        <v>45371</v>
      </c>
      <c r="E679" s="658">
        <v>27937.86</v>
      </c>
      <c r="F679" s="1309" t="s">
        <v>69</v>
      </c>
      <c r="G679" s="1310">
        <f ca="1">ROUND(IF(CostTrack[[#This Row],[Holdback (Y/N/R)]]="Yes",CostTrack[[#This Row],[Value]]*-0.1,IF(CostTrack[[#This Row],[Holdback (Y/N/R)]]="Release",CostTrack[[#This Row],[Value]],0)),2)</f>
        <v>0</v>
      </c>
      <c r="H679" s="1311">
        <f ca="1">IF(CostTrack[[#This Row],[Holdback (Y/N/R)]]="Release",CostTrack[[#This Row],[Value]],CostTrack[[#This Row],[Value]]+CostTrack[[#This Row],[Holdback Value]])</f>
        <v>27937.86</v>
      </c>
      <c r="I679" s="1312"/>
      <c r="J679" s="1312"/>
      <c r="K679" s="1313"/>
      <c r="L679" s="1325">
        <v>45371</v>
      </c>
      <c r="M679" s="1326">
        <v>45371</v>
      </c>
      <c r="N679" s="1327"/>
      <c r="O679" s="1328" t="s">
        <v>106</v>
      </c>
      <c r="P679" s="1308">
        <v>45371</v>
      </c>
      <c r="Q679" s="1314" t="str">
        <f ca="1">IF(CostTrack[[#This Row],[Vendor - Contract]]="","",INDEX(VendorList[PA ID],MATCH(CostTrack[[#This Row],[Vendor - Contract]],VendorList[Vendor / Org. with Contract ID],0)))</f>
        <v>300.010.F1</v>
      </c>
      <c r="R679" s="1314" t="str">
        <f ca="1">IF(CostTrack[[#This Row],[Vendor - Contract]]="","",INDEX(VendorList[Primary Category],MATCH(CostTrack[[#This Row],[Vendor - Contract]],VendorList[Vendor / Org. with Contract ID],0)))</f>
        <v>Construction</v>
      </c>
      <c r="S679" s="1314" t="str">
        <f ca="1">IF(CostTrack[[#This Row],[Vendor - Contract]]="","",INDEX(VendorList[Secondary Category],MATCH(CostTrack[[#This Row],[Vendor - Contract]],VendorList[Vendor / Org. with Contract ID],0)))</f>
        <v>Permits &amp; Fees</v>
      </c>
      <c r="T679" s="1314" t="str">
        <f ca="1">IF(CostTrack[[#This Row],[Vendor - Contract]]="","",INDEX(VendorList[Phase / Subproject],MATCH(CostTrack[[#This Row],[Vendor - Contract]],VendorList[Vendor / Org. with Contract ID],0)))</f>
        <v>--</v>
      </c>
      <c r="U679" s="1314" t="str">
        <f ca="1">IF(CostTrack[[#This Row],[Vendor - Contract]]="","",INDEX(VendorList[Phase / Subproject 2],MATCH(CostTrack[[#This Row],[Vendor - Contract]],VendorList[Vendor / Org. with Contract ID],0)))</f>
        <v>--</v>
      </c>
      <c r="V679" s="1314" t="str">
        <f ca="1">IF(CostTrack[[#This Row],[Vendor - Contract]]="","",INDEX(VendorList[Funding Source],MATCH(CostTrack[[#This Row],[Vendor - Contract]],VendorList[Vendor / Org. with Contract ID],0)))</f>
        <v>P-002360</v>
      </c>
      <c r="W679" s="1308">
        <v>45373</v>
      </c>
      <c r="X679" s="1315" t="str">
        <f ca="1">IF(CostTrack[[#This Row],[Release Date (CMS)]]="","*","")</f>
        <v/>
      </c>
      <c r="Y679" s="1308" t="s">
        <v>58</v>
      </c>
      <c r="Z679" s="713" t="s">
        <v>1337</v>
      </c>
      <c r="AA679" s="1316">
        <f ca="1">IF(OR(CostTrack[[#This Row],[Release Date (CMS)]]&gt;=DATE(VALUE(REPLACE(CostTrack[[#This Row],[Fiscal Period]],3,3,"")),3,1),CostTrack[[#This Row],[Release Date (CMS)]]&lt;DATE(VALUE(LEFT(CostTrack[[#This Row],[Fiscal Period]],4)),4,1)),1,0)</f>
        <v>1</v>
      </c>
      <c r="AB679" s="1317">
        <v>27937.86</v>
      </c>
      <c r="AC679" s="1308">
        <v>45398</v>
      </c>
      <c r="AD679" s="402" t="str">
        <f ca="1">IF(CostTrack[[#This Row],[Reconciled Amount]]="","",IF(CostTrack[[#This Row],[Value]]&lt;&gt;CostTrack[[#This Row],[Reconciled Amount]],"Yes","No"))</f>
        <v>No</v>
      </c>
      <c r="AE679" s="658"/>
    </row>
    <row r="680" spans="2:31" ht="26.25" customHeight="1">
      <c r="B680" s="1324" t="s">
        <v>754</v>
      </c>
      <c r="C680" s="1334">
        <v>800119746</v>
      </c>
      <c r="D680" s="1308">
        <v>45371</v>
      </c>
      <c r="E680" s="658">
        <v>291</v>
      </c>
      <c r="F680" s="1309" t="s">
        <v>69</v>
      </c>
      <c r="G680" s="1310">
        <f ca="1">ROUND(IF(CostTrack[[#This Row],[Holdback (Y/N/R)]]="Yes",CostTrack[[#This Row],[Value]]*-0.1,IF(CostTrack[[#This Row],[Holdback (Y/N/R)]]="Release",CostTrack[[#This Row],[Value]],0)),2)</f>
        <v>0</v>
      </c>
      <c r="H680" s="1311">
        <f ca="1">IF(CostTrack[[#This Row],[Holdback (Y/N/R)]]="Release",CostTrack[[#This Row],[Value]],CostTrack[[#This Row],[Value]]+CostTrack[[#This Row],[Holdback Value]])</f>
        <v>291</v>
      </c>
      <c r="I680" s="1312"/>
      <c r="J680" s="1312"/>
      <c r="K680" s="1313"/>
      <c r="L680" s="1325">
        <v>45376</v>
      </c>
      <c r="M680" s="1326">
        <v>45376</v>
      </c>
      <c r="N680" s="1327"/>
      <c r="O680" s="1328" t="s">
        <v>106</v>
      </c>
      <c r="P680" s="1308">
        <v>45371</v>
      </c>
      <c r="Q680" s="1314" t="str">
        <f ca="1">IF(CostTrack[[#This Row],[Vendor - Contract]]="","",INDEX(VendorList[PA ID],MATCH(CostTrack[[#This Row],[Vendor - Contract]],VendorList[Vendor / Org. with Contract ID],0)))</f>
        <v>100.050.F1</v>
      </c>
      <c r="R680" s="1314" t="str">
        <f ca="1">IF(CostTrack[[#This Row],[Vendor - Contract]]="","",INDEX(VendorList[Primary Category],MATCH(CostTrack[[#This Row],[Vendor - Contract]],VendorList[Vendor / Org. with Contract ID],0)))</f>
        <v>Administration</v>
      </c>
      <c r="S680" s="1314" t="str">
        <f ca="1">IF(CostTrack[[#This Row],[Vendor - Contract]]="","",INDEX(VendorList[Secondary Category],MATCH(CostTrack[[#This Row],[Vendor - Contract]],VendorList[Vendor / Org. with Contract ID],0)))</f>
        <v>Other Administration</v>
      </c>
      <c r="T680" s="1314" t="str">
        <f ca="1">IF(CostTrack[[#This Row],[Vendor - Contract]]="","",INDEX(VendorList[Phase / Subproject],MATCH(CostTrack[[#This Row],[Vendor - Contract]],VendorList[Vendor / Org. with Contract ID],0)))</f>
        <v>--</v>
      </c>
      <c r="U680" s="1314" t="str">
        <f ca="1">IF(CostTrack[[#This Row],[Vendor - Contract]]="","",INDEX(VendorList[Phase / Subproject 2],MATCH(CostTrack[[#This Row],[Vendor - Contract]],VendorList[Vendor / Org. with Contract ID],0)))</f>
        <v>--</v>
      </c>
      <c r="V680" s="1314" t="str">
        <f ca="1">IF(CostTrack[[#This Row],[Vendor - Contract]]="","",INDEX(VendorList[Funding Source],MATCH(CostTrack[[#This Row],[Vendor - Contract]],VendorList[Vendor / Org. with Contract ID],0)))</f>
        <v>P-002360</v>
      </c>
      <c r="W680" s="1308">
        <v>45371</v>
      </c>
      <c r="X680" s="1315" t="str">
        <f ca="1">IF(CostTrack[[#This Row],[Release Date (CMS)]]="","*","")</f>
        <v/>
      </c>
      <c r="Y680" s="1308" t="s">
        <v>58</v>
      </c>
      <c r="Z680" s="713"/>
      <c r="AA680" s="1316">
        <f ca="1">IF(OR(CostTrack[[#This Row],[Release Date (CMS)]]&gt;=DATE(VALUE(REPLACE(CostTrack[[#This Row],[Fiscal Period]],3,3,"")),3,1),CostTrack[[#This Row],[Release Date (CMS)]]&lt;DATE(VALUE(LEFT(CostTrack[[#This Row],[Fiscal Period]],4)),4,1)),1,0)</f>
        <v>1</v>
      </c>
      <c r="AB680" s="1317">
        <v>291</v>
      </c>
      <c r="AC680" s="1308">
        <v>45398</v>
      </c>
      <c r="AD680" s="402" t="str">
        <f ca="1">IF(CostTrack[[#This Row],[Reconciled Amount]]="","",IF(CostTrack[[#This Row],[Value]]&lt;&gt;CostTrack[[#This Row],[Reconciled Amount]],"Yes","No"))</f>
        <v>No</v>
      </c>
      <c r="AE680" s="658"/>
    </row>
    <row r="681" spans="2:31" ht="26.25" customHeight="1">
      <c r="B681" s="1324" t="s">
        <v>754</v>
      </c>
      <c r="C681" s="1334">
        <v>800119747</v>
      </c>
      <c r="D681" s="1308">
        <v>45371</v>
      </c>
      <c r="E681" s="658">
        <v>484.3</v>
      </c>
      <c r="F681" s="1309" t="s">
        <v>69</v>
      </c>
      <c r="G681" s="1310">
        <f ca="1">ROUND(IF(CostTrack[[#This Row],[Holdback (Y/N/R)]]="Yes",CostTrack[[#This Row],[Value]]*-0.1,IF(CostTrack[[#This Row],[Holdback (Y/N/R)]]="Release",CostTrack[[#This Row],[Value]],0)),2)</f>
        <v>0</v>
      </c>
      <c r="H681" s="1311">
        <f ca="1">IF(CostTrack[[#This Row],[Holdback (Y/N/R)]]="Release",CostTrack[[#This Row],[Value]],CostTrack[[#This Row],[Value]]+CostTrack[[#This Row],[Holdback Value]])</f>
        <v>484.3</v>
      </c>
      <c r="I681" s="1312"/>
      <c r="J681" s="1312"/>
      <c r="K681" s="1313"/>
      <c r="L681" s="1325">
        <v>45376</v>
      </c>
      <c r="M681" s="1326">
        <v>45376</v>
      </c>
      <c r="N681" s="1327"/>
      <c r="O681" s="1328" t="s">
        <v>106</v>
      </c>
      <c r="P681" s="1308">
        <v>45371</v>
      </c>
      <c r="Q681" s="1314" t="str">
        <f ca="1">IF(CostTrack[[#This Row],[Vendor - Contract]]="","",INDEX(VendorList[PA ID],MATCH(CostTrack[[#This Row],[Vendor - Contract]],VendorList[Vendor / Org. with Contract ID],0)))</f>
        <v>100.050.F1</v>
      </c>
      <c r="R681" s="1314" t="str">
        <f ca="1">IF(CostTrack[[#This Row],[Vendor - Contract]]="","",INDEX(VendorList[Primary Category],MATCH(CostTrack[[#This Row],[Vendor - Contract]],VendorList[Vendor / Org. with Contract ID],0)))</f>
        <v>Administration</v>
      </c>
      <c r="S681" s="1314" t="str">
        <f ca="1">IF(CostTrack[[#This Row],[Vendor - Contract]]="","",INDEX(VendorList[Secondary Category],MATCH(CostTrack[[#This Row],[Vendor - Contract]],VendorList[Vendor / Org. with Contract ID],0)))</f>
        <v>Other Administration</v>
      </c>
      <c r="T681" s="1314" t="str">
        <f ca="1">IF(CostTrack[[#This Row],[Vendor - Contract]]="","",INDEX(VendorList[Phase / Subproject],MATCH(CostTrack[[#This Row],[Vendor - Contract]],VendorList[Vendor / Org. with Contract ID],0)))</f>
        <v>--</v>
      </c>
      <c r="U681" s="1314" t="str">
        <f ca="1">IF(CostTrack[[#This Row],[Vendor - Contract]]="","",INDEX(VendorList[Phase / Subproject 2],MATCH(CostTrack[[#This Row],[Vendor - Contract]],VendorList[Vendor / Org. with Contract ID],0)))</f>
        <v>--</v>
      </c>
      <c r="V681" s="1314" t="str">
        <f ca="1">IF(CostTrack[[#This Row],[Vendor - Contract]]="","",INDEX(VendorList[Funding Source],MATCH(CostTrack[[#This Row],[Vendor - Contract]],VendorList[Vendor / Org. with Contract ID],0)))</f>
        <v>P-002360</v>
      </c>
      <c r="W681" s="1308">
        <v>45371</v>
      </c>
      <c r="X681" s="1315" t="str">
        <f ca="1">IF(CostTrack[[#This Row],[Release Date (CMS)]]="","*","")</f>
        <v/>
      </c>
      <c r="Y681" s="1308" t="s">
        <v>58</v>
      </c>
      <c r="Z681" s="713"/>
      <c r="AA681" s="1316">
        <f ca="1">IF(OR(CostTrack[[#This Row],[Release Date (CMS)]]&gt;=DATE(VALUE(REPLACE(CostTrack[[#This Row],[Fiscal Period]],3,3,"")),3,1),CostTrack[[#This Row],[Release Date (CMS)]]&lt;DATE(VALUE(LEFT(CostTrack[[#This Row],[Fiscal Period]],4)),4,1)),1,0)</f>
        <v>1</v>
      </c>
      <c r="AB681" s="1317">
        <v>484.3</v>
      </c>
      <c r="AC681" s="1308">
        <v>45398</v>
      </c>
      <c r="AD681" s="402" t="str">
        <f ca="1">IF(CostTrack[[#This Row],[Reconciled Amount]]="","",IF(CostTrack[[#This Row],[Value]]&lt;&gt;CostTrack[[#This Row],[Reconciled Amount]],"Yes","No"))</f>
        <v>No</v>
      </c>
      <c r="AE681" s="658"/>
    </row>
    <row r="682" spans="2:31" ht="26.25" customHeight="1">
      <c r="B682" s="1324" t="s">
        <v>754</v>
      </c>
      <c r="C682" s="1334">
        <v>800121747</v>
      </c>
      <c r="D682" s="1308">
        <v>45373</v>
      </c>
      <c r="E682" s="658">
        <v>581.53</v>
      </c>
      <c r="F682" s="1309" t="s">
        <v>69</v>
      </c>
      <c r="G682" s="1310">
        <f ca="1">ROUND(IF(CostTrack[[#This Row],[Holdback (Y/N/R)]]="Yes",CostTrack[[#This Row],[Value]]*-0.1,IF(CostTrack[[#This Row],[Holdback (Y/N/R)]]="Release",CostTrack[[#This Row],[Value]],0)),2)</f>
        <v>0</v>
      </c>
      <c r="H682" s="1311">
        <f ca="1">IF(CostTrack[[#This Row],[Holdback (Y/N/R)]]="Release",CostTrack[[#This Row],[Value]],CostTrack[[#This Row],[Value]]+CostTrack[[#This Row],[Holdback Value]])</f>
        <v>581.53</v>
      </c>
      <c r="I682" s="1312"/>
      <c r="J682" s="1312"/>
      <c r="K682" s="1313"/>
      <c r="L682" s="1325">
        <v>45376</v>
      </c>
      <c r="M682" s="1326">
        <v>45376</v>
      </c>
      <c r="N682" s="1327"/>
      <c r="O682" s="1328" t="s">
        <v>106</v>
      </c>
      <c r="P682" s="1308">
        <v>45371</v>
      </c>
      <c r="Q682" s="1314" t="str">
        <f ca="1">IF(CostTrack[[#This Row],[Vendor - Contract]]="","",INDEX(VendorList[PA ID],MATCH(CostTrack[[#This Row],[Vendor - Contract]],VendorList[Vendor / Org. with Contract ID],0)))</f>
        <v>100.050.F1</v>
      </c>
      <c r="R682" s="1314" t="str">
        <f ca="1">IF(CostTrack[[#This Row],[Vendor - Contract]]="","",INDEX(VendorList[Primary Category],MATCH(CostTrack[[#This Row],[Vendor - Contract]],VendorList[Vendor / Org. with Contract ID],0)))</f>
        <v>Administration</v>
      </c>
      <c r="S682" s="1314" t="str">
        <f ca="1">IF(CostTrack[[#This Row],[Vendor - Contract]]="","",INDEX(VendorList[Secondary Category],MATCH(CostTrack[[#This Row],[Vendor - Contract]],VendorList[Vendor / Org. with Contract ID],0)))</f>
        <v>Other Administration</v>
      </c>
      <c r="T682" s="1314" t="str">
        <f ca="1">IF(CostTrack[[#This Row],[Vendor - Contract]]="","",INDEX(VendorList[Phase / Subproject],MATCH(CostTrack[[#This Row],[Vendor - Contract]],VendorList[Vendor / Org. with Contract ID],0)))</f>
        <v>--</v>
      </c>
      <c r="U682" s="1314" t="str">
        <f ca="1">IF(CostTrack[[#This Row],[Vendor - Contract]]="","",INDEX(VendorList[Phase / Subproject 2],MATCH(CostTrack[[#This Row],[Vendor - Contract]],VendorList[Vendor / Org. with Contract ID],0)))</f>
        <v>--</v>
      </c>
      <c r="V682" s="1314" t="str">
        <f ca="1">IF(CostTrack[[#This Row],[Vendor - Contract]]="","",INDEX(VendorList[Funding Source],MATCH(CostTrack[[#This Row],[Vendor - Contract]],VendorList[Vendor / Org. with Contract ID],0)))</f>
        <v>P-002360</v>
      </c>
      <c r="W682" s="1308">
        <v>45373</v>
      </c>
      <c r="X682" s="1315" t="str">
        <f ca="1">IF(CostTrack[[#This Row],[Release Date (CMS)]]="","*","")</f>
        <v/>
      </c>
      <c r="Y682" s="1308" t="s">
        <v>58</v>
      </c>
      <c r="Z682" s="713"/>
      <c r="AA682" s="1316">
        <f ca="1">IF(OR(CostTrack[[#This Row],[Release Date (CMS)]]&gt;=DATE(VALUE(REPLACE(CostTrack[[#This Row],[Fiscal Period]],3,3,"")),3,1),CostTrack[[#This Row],[Release Date (CMS)]]&lt;DATE(VALUE(LEFT(CostTrack[[#This Row],[Fiscal Period]],4)),4,1)),1,0)</f>
        <v>1</v>
      </c>
      <c r="AB682" s="1317">
        <v>581.53</v>
      </c>
      <c r="AC682" s="1308">
        <v>45398</v>
      </c>
      <c r="AD682" s="402" t="str">
        <f ca="1">IF(CostTrack[[#This Row],[Reconciled Amount]]="","",IF(CostTrack[[#This Row],[Value]]&lt;&gt;CostTrack[[#This Row],[Reconciled Amount]],"Yes","No"))</f>
        <v>No</v>
      </c>
      <c r="AE682" s="658"/>
    </row>
    <row r="683" spans="2:31" ht="26.25" customHeight="1">
      <c r="B683" s="1324" t="s">
        <v>731</v>
      </c>
      <c r="C683" s="1334">
        <v>800116652</v>
      </c>
      <c r="D683" s="1308">
        <v>45365</v>
      </c>
      <c r="E683" s="658">
        <v>541.83000000000004</v>
      </c>
      <c r="F683" s="1309" t="s">
        <v>69</v>
      </c>
      <c r="G683" s="1310">
        <f ca="1">ROUND(IF(CostTrack[[#This Row],[Holdback (Y/N/R)]]="Yes",CostTrack[[#This Row],[Value]]*-0.1,IF(CostTrack[[#This Row],[Holdback (Y/N/R)]]="Release",CostTrack[[#This Row],[Value]],0)),2)</f>
        <v>0</v>
      </c>
      <c r="H683" s="1311">
        <f ca="1">IF(CostTrack[[#This Row],[Holdback (Y/N/R)]]="Release",CostTrack[[#This Row],[Value]],CostTrack[[#This Row],[Value]]+CostTrack[[#This Row],[Holdback Value]])</f>
        <v>541.83000000000004</v>
      </c>
      <c r="I683" s="1312"/>
      <c r="J683" s="1312"/>
      <c r="K683" s="1313"/>
      <c r="L683" s="1325">
        <v>45365</v>
      </c>
      <c r="M683" s="1326">
        <v>45365</v>
      </c>
      <c r="N683" s="1327"/>
      <c r="O683" s="1328" t="s">
        <v>106</v>
      </c>
      <c r="P683" s="1308">
        <v>45365</v>
      </c>
      <c r="Q683" s="1314" t="str">
        <f ca="1">IF(CostTrack[[#This Row],[Vendor - Contract]]="","",INDEX(VendorList[PA ID],MATCH(CostTrack[[#This Row],[Vendor - Contract]],VendorList[Vendor / Org. with Contract ID],0)))</f>
        <v>100.050.F1</v>
      </c>
      <c r="R683" s="1314" t="str">
        <f ca="1">IF(CostTrack[[#This Row],[Vendor - Contract]]="","",INDEX(VendorList[Primary Category],MATCH(CostTrack[[#This Row],[Vendor - Contract]],VendorList[Vendor / Org. with Contract ID],0)))</f>
        <v>Administration</v>
      </c>
      <c r="S683" s="1314" t="str">
        <f ca="1">IF(CostTrack[[#This Row],[Vendor - Contract]]="","",INDEX(VendorList[Secondary Category],MATCH(CostTrack[[#This Row],[Vendor - Contract]],VendorList[Vendor / Org. with Contract ID],0)))</f>
        <v>Other Administration</v>
      </c>
      <c r="T683" s="1314" t="str">
        <f ca="1">IF(CostTrack[[#This Row],[Vendor - Contract]]="","",INDEX(VendorList[Phase / Subproject],MATCH(CostTrack[[#This Row],[Vendor - Contract]],VendorList[Vendor / Org. with Contract ID],0)))</f>
        <v>--</v>
      </c>
      <c r="U683" s="1314" t="str">
        <f ca="1">IF(CostTrack[[#This Row],[Vendor - Contract]]="","",INDEX(VendorList[Phase / Subproject 2],MATCH(CostTrack[[#This Row],[Vendor - Contract]],VendorList[Vendor / Org. with Contract ID],0)))</f>
        <v>--</v>
      </c>
      <c r="V683" s="1314" t="str">
        <f ca="1">IF(CostTrack[[#This Row],[Vendor - Contract]]="","",INDEX(VendorList[Funding Source],MATCH(CostTrack[[#This Row],[Vendor - Contract]],VendorList[Vendor / Org. with Contract ID],0)))</f>
        <v>P-002360</v>
      </c>
      <c r="W683" s="1308">
        <v>45365</v>
      </c>
      <c r="X683" s="1315" t="str">
        <f ca="1">IF(CostTrack[[#This Row],[Release Date (CMS)]]="","*","")</f>
        <v/>
      </c>
      <c r="Y683" s="1308" t="s">
        <v>58</v>
      </c>
      <c r="Z683" s="713"/>
      <c r="AA683" s="1316">
        <f ca="1">IF(OR(CostTrack[[#This Row],[Release Date (CMS)]]&gt;=DATE(VALUE(REPLACE(CostTrack[[#This Row],[Fiscal Period]],3,3,"")),3,1),CostTrack[[#This Row],[Release Date (CMS)]]&lt;DATE(VALUE(LEFT(CostTrack[[#This Row],[Fiscal Period]],4)),4,1)),1,0)</f>
        <v>1</v>
      </c>
      <c r="AB683" s="1317">
        <v>541.83000000000004</v>
      </c>
      <c r="AC683" s="1308">
        <v>45398</v>
      </c>
      <c r="AD683" s="402" t="str">
        <f ca="1">IF(CostTrack[[#This Row],[Reconciled Amount]]="","",IF(CostTrack[[#This Row],[Value]]&lt;&gt;CostTrack[[#This Row],[Reconciled Amount]],"Yes","No"))</f>
        <v>No</v>
      </c>
      <c r="AE683" s="658"/>
    </row>
    <row r="684" spans="2:31" ht="26.25" customHeight="1">
      <c r="B684" s="1324" t="s">
        <v>527</v>
      </c>
      <c r="C684" s="691" t="s">
        <v>1338</v>
      </c>
      <c r="D684" s="1308">
        <v>45382</v>
      </c>
      <c r="E684" s="658">
        <v>17628.259999999998</v>
      </c>
      <c r="F684" s="1309" t="s">
        <v>69</v>
      </c>
      <c r="G684" s="1310">
        <f ca="1">ROUND(IF(CostTrack[[#This Row],[Holdback (Y/N/R)]]="Yes",CostTrack[[#This Row],[Value]]*-0.1,IF(CostTrack[[#This Row],[Holdback (Y/N/R)]]="Release",CostTrack[[#This Row],[Value]],0)),2)</f>
        <v>0</v>
      </c>
      <c r="H684" s="1311">
        <f ca="1">IF(CostTrack[[#This Row],[Holdback (Y/N/R)]]="Release",CostTrack[[#This Row],[Value]],CostTrack[[#This Row],[Value]]+CostTrack[[#This Row],[Holdback Value]])</f>
        <v>17628.259999999998</v>
      </c>
      <c r="I684" s="1312"/>
      <c r="J684" s="1312"/>
      <c r="K684" s="1313"/>
      <c r="L684" s="1325">
        <v>45373</v>
      </c>
      <c r="M684" s="1326">
        <v>45373</v>
      </c>
      <c r="N684" s="1327"/>
      <c r="O684" s="1328" t="s">
        <v>106</v>
      </c>
      <c r="P684" s="1308">
        <v>45376</v>
      </c>
      <c r="Q684" s="1314" t="str">
        <f ca="1">IF(CostTrack[[#This Row],[Vendor - Contract]]="","",INDEX(VendorList[PA ID],MATCH(CostTrack[[#This Row],[Vendor - Contract]],VendorList[Vendor / Org. with Contract ID],0)))</f>
        <v>200.010.F1</v>
      </c>
      <c r="R684" s="1314" t="str">
        <f ca="1">IF(CostTrack[[#This Row],[Vendor - Contract]]="","",INDEX(VendorList[Primary Category],MATCH(CostTrack[[#This Row],[Vendor - Contract]],VendorList[Vendor / Org. with Contract ID],0)))</f>
        <v>Professional Services</v>
      </c>
      <c r="S684" s="1314" t="str">
        <f ca="1">IF(CostTrack[[#This Row],[Vendor - Contract]]="","",INDEX(VendorList[Secondary Category],MATCH(CostTrack[[#This Row],[Vendor - Contract]],VendorList[Vendor / Org. with Contract ID],0)))</f>
        <v>Prime Consultant</v>
      </c>
      <c r="T684" s="1314" t="str">
        <f ca="1">IF(CostTrack[[#This Row],[Vendor - Contract]]="","",INDEX(VendorList[Phase / Subproject],MATCH(CostTrack[[#This Row],[Vendor - Contract]],VendorList[Vendor / Org. with Contract ID],0)))</f>
        <v>--</v>
      </c>
      <c r="U684" s="1314" t="str">
        <f ca="1">IF(CostTrack[[#This Row],[Vendor - Contract]]="","",INDEX(VendorList[Phase / Subproject 2],MATCH(CostTrack[[#This Row],[Vendor - Contract]],VendorList[Vendor / Org. with Contract ID],0)))</f>
        <v>--</v>
      </c>
      <c r="V684" s="1314" t="str">
        <f ca="1">IF(CostTrack[[#This Row],[Vendor - Contract]]="","",INDEX(VendorList[Funding Source],MATCH(CostTrack[[#This Row],[Vendor - Contract]],VendorList[Vendor / Org. with Contract ID],0)))</f>
        <v>P-002360</v>
      </c>
      <c r="W684" s="1308">
        <v>45382</v>
      </c>
      <c r="X684" s="1315" t="str">
        <f ca="1">IF(CostTrack[[#This Row],[Release Date (CMS)]]="","*","")</f>
        <v/>
      </c>
      <c r="Y684" s="1308" t="s">
        <v>58</v>
      </c>
      <c r="Z684" s="713" t="s">
        <v>1339</v>
      </c>
      <c r="AA684" s="1316">
        <f ca="1">IF(OR(CostTrack[[#This Row],[Release Date (CMS)]]&gt;=DATE(VALUE(REPLACE(CostTrack[[#This Row],[Fiscal Period]],3,3,"")),3,1),CostTrack[[#This Row],[Release Date (CMS)]]&lt;DATE(VALUE(LEFT(CostTrack[[#This Row],[Fiscal Period]],4)),4,1)),1,0)</f>
        <v>1</v>
      </c>
      <c r="AB684" s="1317">
        <v>17628.259999999998</v>
      </c>
      <c r="AC684" s="1308">
        <v>45398</v>
      </c>
      <c r="AD684" s="402" t="str">
        <f ca="1">IF(CostTrack[[#This Row],[Reconciled Amount]]="","",IF(CostTrack[[#This Row],[Value]]&lt;&gt;CostTrack[[#This Row],[Reconciled Amount]],"Yes","No"))</f>
        <v>No</v>
      </c>
      <c r="AE684" s="658"/>
    </row>
    <row r="685" spans="2:31" ht="26.25" customHeight="1">
      <c r="B685" s="706" t="s">
        <v>527</v>
      </c>
      <c r="C685" s="691" t="s">
        <v>1338</v>
      </c>
      <c r="D685" s="267">
        <v>45382</v>
      </c>
      <c r="E685" s="658">
        <v>13403.26</v>
      </c>
      <c r="F685" s="647" t="s">
        <v>69</v>
      </c>
      <c r="G685" s="406">
        <f ca="1">ROUND(IF(CostTrack[[#This Row],[Holdback (Y/N/R)]]="Yes",CostTrack[[#This Row],[Value]]*-0.1,IF(CostTrack[[#This Row],[Holdback (Y/N/R)]]="Release",CostTrack[[#This Row],[Value]],0)),2)</f>
        <v>0</v>
      </c>
      <c r="H685" s="407">
        <f ca="1">IF(CostTrack[[#This Row],[Holdback (Y/N/R)]]="Release",CostTrack[[#This Row],[Value]],CostTrack[[#This Row],[Value]]+CostTrack[[#This Row],[Holdback Value]])</f>
        <v>13403.26</v>
      </c>
      <c r="I685" s="650"/>
      <c r="J685" s="650"/>
      <c r="K685" s="648"/>
      <c r="L685" s="707">
        <v>45382</v>
      </c>
      <c r="M685" s="708">
        <v>45382</v>
      </c>
      <c r="N685" s="709"/>
      <c r="O685" s="712" t="s">
        <v>106</v>
      </c>
      <c r="P685" s="267">
        <v>45390</v>
      </c>
      <c r="Q685" s="243" t="str">
        <f ca="1">IF(CostTrack[[#This Row],[Vendor - Contract]]="","",INDEX(VendorList[PA ID],MATCH(CostTrack[[#This Row],[Vendor - Contract]],VendorList[Vendor / Org. with Contract ID],0)))</f>
        <v>200.010.F1</v>
      </c>
      <c r="R685" s="243" t="str">
        <f ca="1">IF(CostTrack[[#This Row],[Vendor - Contract]]="","",INDEX(VendorList[Primary Category],MATCH(CostTrack[[#This Row],[Vendor - Contract]],VendorList[Vendor / Org. with Contract ID],0)))</f>
        <v>Professional Services</v>
      </c>
      <c r="S685" s="243" t="str">
        <f ca="1">IF(CostTrack[[#This Row],[Vendor - Contract]]="","",INDEX(VendorList[Secondary Category],MATCH(CostTrack[[#This Row],[Vendor - Contract]],VendorList[Vendor / Org. with Contract ID],0)))</f>
        <v>Prime Consultant</v>
      </c>
      <c r="T685" s="243" t="str">
        <f ca="1">IF(CostTrack[[#This Row],[Vendor - Contract]]="","",INDEX(VendorList[Phase / Subproject],MATCH(CostTrack[[#This Row],[Vendor - Contract]],VendorList[Vendor / Org. with Contract ID],0)))</f>
        <v>--</v>
      </c>
      <c r="U685" s="243" t="str">
        <f ca="1">IF(CostTrack[[#This Row],[Vendor - Contract]]="","",INDEX(VendorList[Phase / Subproject 2],MATCH(CostTrack[[#This Row],[Vendor - Contract]],VendorList[Vendor / Org. with Contract ID],0)))</f>
        <v>--</v>
      </c>
      <c r="V685" s="243" t="str">
        <f ca="1">IF(CostTrack[[#This Row],[Vendor - Contract]]="","",INDEX(VendorList[Funding Source],MATCH(CostTrack[[#This Row],[Vendor - Contract]],VendorList[Vendor / Org. with Contract ID],0)))</f>
        <v>P-002360</v>
      </c>
      <c r="W685" s="267">
        <v>45397</v>
      </c>
      <c r="X685" s="251" t="str">
        <f ca="1">IF(CostTrack[[#This Row],[Release Date (CMS)]]="","*","")</f>
        <v/>
      </c>
      <c r="Y685" s="1028" t="s">
        <v>63</v>
      </c>
      <c r="Z685" s="1026" t="s">
        <v>1340</v>
      </c>
      <c r="AA685" s="245">
        <f ca="1">IF(OR(CostTrack[[#This Row],[Release Date (CMS)]]&gt;=DATE(VALUE(REPLACE(CostTrack[[#This Row],[Fiscal Period]],3,3,"")),3,1),CostTrack[[#This Row],[Release Date (CMS)]]&lt;DATE(VALUE(LEFT(CostTrack[[#This Row],[Fiscal Period]],4)),4,1)),1,0)</f>
        <v>0</v>
      </c>
      <c r="AB685" s="655">
        <v>13403.26</v>
      </c>
      <c r="AC685" s="267">
        <v>45398</v>
      </c>
      <c r="AD685" s="402" t="str">
        <f ca="1">IF(CostTrack[[#This Row],[Reconciled Amount]]="","",IF(CostTrack[[#This Row],[Value]]&lt;&gt;CostTrack[[#This Row],[Reconciled Amount]],"Yes","No"))</f>
        <v>No</v>
      </c>
      <c r="AE685" s="654"/>
    </row>
    <row r="686" spans="2:31" ht="42.75" customHeight="1">
      <c r="B686" s="706" t="s">
        <v>527</v>
      </c>
      <c r="C686" s="691" t="s">
        <v>1338</v>
      </c>
      <c r="D686" s="267">
        <v>45382</v>
      </c>
      <c r="E686" s="1025">
        <v>-13403.26</v>
      </c>
      <c r="F686" s="647" t="s">
        <v>69</v>
      </c>
      <c r="G686" s="406">
        <f ca="1">ROUND(IF(CostTrack[[#This Row],[Holdback (Y/N/R)]]="Yes",CostTrack[[#This Row],[Value]]*-0.1,IF(CostTrack[[#This Row],[Holdback (Y/N/R)]]="Release",CostTrack[[#This Row],[Value]],0)),2)</f>
        <v>0</v>
      </c>
      <c r="H686" s="407">
        <f ca="1">IF(CostTrack[[#This Row],[Holdback (Y/N/R)]]="Release",CostTrack[[#This Row],[Value]],CostTrack[[#This Row],[Value]]+CostTrack[[#This Row],[Holdback Value]])</f>
        <v>-13403.26</v>
      </c>
      <c r="I686" s="650"/>
      <c r="J686" s="650"/>
      <c r="K686" s="648"/>
      <c r="L686" s="707">
        <v>45382</v>
      </c>
      <c r="M686" s="708">
        <v>45382</v>
      </c>
      <c r="N686" s="709"/>
      <c r="O686" s="712" t="s">
        <v>106</v>
      </c>
      <c r="P686" s="267">
        <v>45390</v>
      </c>
      <c r="Q686" s="243" t="str">
        <f ca="1">IF(CostTrack[[#This Row],[Vendor - Contract]]="","",INDEX(VendorList[PA ID],MATCH(CostTrack[[#This Row],[Vendor - Contract]],VendorList[Vendor / Org. with Contract ID],0)))</f>
        <v>200.010.F1</v>
      </c>
      <c r="R686" s="243" t="str">
        <f ca="1">IF(CostTrack[[#This Row],[Vendor - Contract]]="","",INDEX(VendorList[Primary Category],MATCH(CostTrack[[#This Row],[Vendor - Contract]],VendorList[Vendor / Org. with Contract ID],0)))</f>
        <v>Professional Services</v>
      </c>
      <c r="S686" s="243" t="str">
        <f ca="1">IF(CostTrack[[#This Row],[Vendor - Contract]]="","",INDEX(VendorList[Secondary Category],MATCH(CostTrack[[#This Row],[Vendor - Contract]],VendorList[Vendor / Org. with Contract ID],0)))</f>
        <v>Prime Consultant</v>
      </c>
      <c r="T686" s="243" t="str">
        <f ca="1">IF(CostTrack[[#This Row],[Vendor - Contract]]="","",INDEX(VendorList[Phase / Subproject],MATCH(CostTrack[[#This Row],[Vendor - Contract]],VendorList[Vendor / Org. with Contract ID],0)))</f>
        <v>--</v>
      </c>
      <c r="U686" s="243" t="str">
        <f ca="1">IF(CostTrack[[#This Row],[Vendor - Contract]]="","",INDEX(VendorList[Phase / Subproject 2],MATCH(CostTrack[[#This Row],[Vendor - Contract]],VendorList[Vendor / Org. with Contract ID],0)))</f>
        <v>--</v>
      </c>
      <c r="V686" s="243" t="str">
        <f ca="1">IF(CostTrack[[#This Row],[Vendor - Contract]]="","",INDEX(VendorList[Funding Source],MATCH(CostTrack[[#This Row],[Vendor - Contract]],VendorList[Vendor / Org. with Contract ID],0)))</f>
        <v>P-002360</v>
      </c>
      <c r="W686" s="267">
        <v>45397</v>
      </c>
      <c r="X686" s="251" t="str">
        <f ca="1">IF(CostTrack[[#This Row],[Release Date (CMS)]]="","*","")</f>
        <v/>
      </c>
      <c r="Y686" s="721" t="s">
        <v>63</v>
      </c>
      <c r="Z686" s="1027" t="s">
        <v>1341</v>
      </c>
      <c r="AA686" s="245">
        <f ca="1">IF(OR(CostTrack[[#This Row],[Release Date (CMS)]]&gt;=DATE(VALUE(REPLACE(CostTrack[[#This Row],[Fiscal Period]],3,3,"")),3,1),CostTrack[[#This Row],[Release Date (CMS)]]&lt;DATE(VALUE(LEFT(CostTrack[[#This Row],[Fiscal Period]],4)),4,1)),1,0)</f>
        <v>0</v>
      </c>
      <c r="AB686" s="655">
        <v>-13403.26</v>
      </c>
      <c r="AC686" s="267">
        <v>45398</v>
      </c>
      <c r="AD686" s="402" t="str">
        <f ca="1">IF(CostTrack[[#This Row],[Reconciled Amount]]="","",IF(CostTrack[[#This Row],[Value]]&lt;&gt;CostTrack[[#This Row],[Reconciled Amount]],"Yes","No"))</f>
        <v>No</v>
      </c>
      <c r="AE686" s="654"/>
    </row>
    <row r="687" spans="2:31" ht="42.75" customHeight="1">
      <c r="B687" s="1324" t="s">
        <v>527</v>
      </c>
      <c r="C687" s="1334" t="s">
        <v>1342</v>
      </c>
      <c r="D687" s="1308">
        <v>45413</v>
      </c>
      <c r="E687" s="658">
        <v>-4225</v>
      </c>
      <c r="F687" s="1309" t="s">
        <v>69</v>
      </c>
      <c r="G687" s="1310">
        <f ca="1">ROUND(IF(CostTrack[[#This Row],[Holdback (Y/N/R)]]="Yes",CostTrack[[#This Row],[Value]]*-0.1,IF(CostTrack[[#This Row],[Holdback (Y/N/R)]]="Release",CostTrack[[#This Row],[Value]],0)),2)</f>
        <v>0</v>
      </c>
      <c r="H687" s="1311">
        <f ca="1">IF(CostTrack[[#This Row],[Holdback (Y/N/R)]]="Release",CostTrack[[#This Row],[Value]],CostTrack[[#This Row],[Value]]+CostTrack[[#This Row],[Holdback Value]])</f>
        <v>-4225</v>
      </c>
      <c r="I687" s="1312"/>
      <c r="J687" s="1312"/>
      <c r="K687" s="1313"/>
      <c r="L687" s="1325">
        <v>45413</v>
      </c>
      <c r="M687" s="1326">
        <v>45413</v>
      </c>
      <c r="N687" s="1327"/>
      <c r="O687" s="1328" t="s">
        <v>106</v>
      </c>
      <c r="P687" s="1308">
        <v>45413</v>
      </c>
      <c r="Q687" s="1314" t="str">
        <f ca="1">IF(CostTrack[[#This Row],[Vendor - Contract]]="","",INDEX(VendorList[PA ID],MATCH(CostTrack[[#This Row],[Vendor - Contract]],VendorList[Vendor / Org. with Contract ID],0)))</f>
        <v>200.010.F1</v>
      </c>
      <c r="R687" s="1314" t="str">
        <f ca="1">IF(CostTrack[[#This Row],[Vendor - Contract]]="","",INDEX(VendorList[Primary Category],MATCH(CostTrack[[#This Row],[Vendor - Contract]],VendorList[Vendor / Org. with Contract ID],0)))</f>
        <v>Professional Services</v>
      </c>
      <c r="S687" s="1314" t="str">
        <f ca="1">IF(CostTrack[[#This Row],[Vendor - Contract]]="","",INDEX(VendorList[Secondary Category],MATCH(CostTrack[[#This Row],[Vendor - Contract]],VendorList[Vendor / Org. with Contract ID],0)))</f>
        <v>Prime Consultant</v>
      </c>
      <c r="T687" s="1314" t="str">
        <f ca="1">IF(CostTrack[[#This Row],[Vendor - Contract]]="","",INDEX(VendorList[Phase / Subproject],MATCH(CostTrack[[#This Row],[Vendor - Contract]],VendorList[Vendor / Org. with Contract ID],0)))</f>
        <v>--</v>
      </c>
      <c r="U687" s="1314" t="str">
        <f ca="1">IF(CostTrack[[#This Row],[Vendor - Contract]]="","",INDEX(VendorList[Phase / Subproject 2],MATCH(CostTrack[[#This Row],[Vendor - Contract]],VendorList[Vendor / Org. with Contract ID],0)))</f>
        <v>--</v>
      </c>
      <c r="V687" s="1314" t="str">
        <f ca="1">IF(CostTrack[[#This Row],[Vendor - Contract]]="","",INDEX(VendorList[Funding Source],MATCH(CostTrack[[#This Row],[Vendor - Contract]],VendorList[Vendor / Org. with Contract ID],0)))</f>
        <v>P-002360</v>
      </c>
      <c r="W687" s="1308">
        <v>45413</v>
      </c>
      <c r="X687" s="1315" t="str">
        <f ca="1">IF(CostTrack[[#This Row],[Release Date (CMS)]]="","*","")</f>
        <v/>
      </c>
      <c r="Y687" s="1308" t="s">
        <v>63</v>
      </c>
      <c r="Z687" s="713" t="s">
        <v>1343</v>
      </c>
      <c r="AA687" s="1316">
        <f ca="1">IF(OR(CostTrack[[#This Row],[Release Date (CMS)]]&gt;=DATE(VALUE(REPLACE(CostTrack[[#This Row],[Fiscal Period]],3,3,"")),3,1),CostTrack[[#This Row],[Release Date (CMS)]]&lt;DATE(VALUE(LEFT(CostTrack[[#This Row],[Fiscal Period]],4)),4,1)),1,0)</f>
        <v>0</v>
      </c>
      <c r="AB687" s="1317">
        <v>-4225</v>
      </c>
      <c r="AC687" s="1308">
        <v>45428</v>
      </c>
      <c r="AD687" s="402" t="str">
        <f ca="1">IF(CostTrack[[#This Row],[Reconciled Amount]]="","",IF(CostTrack[[#This Row],[Value]]&lt;&gt;CostTrack[[#This Row],[Reconciled Amount]],"Yes","No"))</f>
        <v>No</v>
      </c>
      <c r="AE687" s="658"/>
    </row>
    <row r="688" spans="2:31" ht="42.75" customHeight="1">
      <c r="B688" s="706" t="s">
        <v>1344</v>
      </c>
      <c r="C688" s="691" t="s">
        <v>1342</v>
      </c>
      <c r="D688" s="267">
        <v>45413</v>
      </c>
      <c r="E688" s="658">
        <v>4225</v>
      </c>
      <c r="F688" s="1309" t="s">
        <v>69</v>
      </c>
      <c r="G688" s="1310">
        <f ca="1">ROUND(IF(CostTrack[[#This Row],[Holdback (Y/N/R)]]="Yes",CostTrack[[#This Row],[Value]]*-0.1,IF(CostTrack[[#This Row],[Holdback (Y/N/R)]]="Release",CostTrack[[#This Row],[Value]],0)),2)</f>
        <v>0</v>
      </c>
      <c r="H688" s="1311">
        <f ca="1">IF(CostTrack[[#This Row],[Holdback (Y/N/R)]]="Release",CostTrack[[#This Row],[Value]],CostTrack[[#This Row],[Value]]+CostTrack[[#This Row],[Holdback Value]])</f>
        <v>4225</v>
      </c>
      <c r="I688" s="1312"/>
      <c r="J688" s="1312"/>
      <c r="K688" s="1313"/>
      <c r="L688" s="1325">
        <v>45413</v>
      </c>
      <c r="M688" s="1326">
        <v>45413</v>
      </c>
      <c r="N688" s="1327"/>
      <c r="O688" s="1328" t="s">
        <v>106</v>
      </c>
      <c r="P688" s="1308">
        <v>45413</v>
      </c>
      <c r="Q688" s="1314" t="str">
        <f ca="1">IF(CostTrack[[#This Row],[Vendor - Contract]]="","",INDEX(VendorList[PA ID],MATCH(CostTrack[[#This Row],[Vendor - Contract]],VendorList[Vendor / Org. with Contract ID],0)))</f>
        <v>100.040.F1</v>
      </c>
      <c r="R688" s="1314" t="str">
        <f ca="1">IF(CostTrack[[#This Row],[Vendor - Contract]]="","",INDEX(VendorList[Primary Category],MATCH(CostTrack[[#This Row],[Vendor - Contract]],VendorList[Vendor / Org. with Contract ID],0)))</f>
        <v>Administration</v>
      </c>
      <c r="S688" s="1314" t="str">
        <f ca="1">IF(CostTrack[[#This Row],[Vendor - Contract]]="","",INDEX(VendorList[Secondary Category],MATCH(CostTrack[[#This Row],[Vendor - Contract]],VendorList[Vendor / Org. with Contract ID],0)))</f>
        <v>Accrual Write Off</v>
      </c>
      <c r="T688" s="1314" t="str">
        <f ca="1">IF(CostTrack[[#This Row],[Vendor - Contract]]="","",INDEX(VendorList[Phase / Subproject],MATCH(CostTrack[[#This Row],[Vendor - Contract]],VendorList[Vendor / Org. with Contract ID],0)))</f>
        <v>--</v>
      </c>
      <c r="U688" s="1314" t="str">
        <f ca="1">IF(CostTrack[[#This Row],[Vendor - Contract]]="","",INDEX(VendorList[Phase / Subproject 2],MATCH(CostTrack[[#This Row],[Vendor - Contract]],VendorList[Vendor / Org. with Contract ID],0)))</f>
        <v>--</v>
      </c>
      <c r="V688" s="1314" t="str">
        <f ca="1">IF(CostTrack[[#This Row],[Vendor - Contract]]="","",INDEX(VendorList[Funding Source],MATCH(CostTrack[[#This Row],[Vendor - Contract]],VendorList[Vendor / Org. with Contract ID],0)))</f>
        <v>P-002360</v>
      </c>
      <c r="W688" s="1308">
        <v>45413</v>
      </c>
      <c r="X688" s="1315" t="str">
        <f ca="1">IF(CostTrack[[#This Row],[Release Date (CMS)]]="","*","")</f>
        <v/>
      </c>
      <c r="Y688" s="1360" t="s">
        <v>63</v>
      </c>
      <c r="Z688" s="1361" t="s">
        <v>1345</v>
      </c>
      <c r="AA688" s="1316">
        <f ca="1">IF(OR(CostTrack[[#This Row],[Release Date (CMS)]]&gt;=DATE(VALUE(REPLACE(CostTrack[[#This Row],[Fiscal Period]],3,3,"")),3,1),CostTrack[[#This Row],[Release Date (CMS)]]&lt;DATE(VALUE(LEFT(CostTrack[[#This Row],[Fiscal Period]],4)),4,1)),1,0)</f>
        <v>0</v>
      </c>
      <c r="AB688" s="1317">
        <v>4225</v>
      </c>
      <c r="AC688" s="1308">
        <v>45428</v>
      </c>
      <c r="AD688" s="402" t="str">
        <f ca="1">IF(CostTrack[[#This Row],[Reconciled Amount]]="","",IF(CostTrack[[#This Row],[Value]]&lt;&gt;CostTrack[[#This Row],[Reconciled Amount]],"Yes","No"))</f>
        <v>No</v>
      </c>
      <c r="AE688" s="658"/>
    </row>
    <row r="689" spans="2:31" ht="26.25" customHeight="1">
      <c r="B689" s="1324" t="s">
        <v>624</v>
      </c>
      <c r="C689" s="691" t="s">
        <v>1346</v>
      </c>
      <c r="D689" s="1308">
        <v>45371</v>
      </c>
      <c r="E689" s="658">
        <v>9500</v>
      </c>
      <c r="F689" s="1309" t="s">
        <v>69</v>
      </c>
      <c r="G689" s="1310">
        <f ca="1">ROUND(IF(CostTrack[[#This Row],[Holdback (Y/N/R)]]="Yes",CostTrack[[#This Row],[Value]]*-0.1,IF(CostTrack[[#This Row],[Holdback (Y/N/R)]]="Release",CostTrack[[#This Row],[Value]],0)),2)</f>
        <v>0</v>
      </c>
      <c r="H689" s="1311">
        <f ca="1">IF(CostTrack[[#This Row],[Holdback (Y/N/R)]]="Release",CostTrack[[#This Row],[Value]],CostTrack[[#This Row],[Value]]+CostTrack[[#This Row],[Holdback Value]])</f>
        <v>9500</v>
      </c>
      <c r="I689" s="1312"/>
      <c r="J689" s="1312"/>
      <c r="K689" s="1313"/>
      <c r="L689" s="1325">
        <v>45373</v>
      </c>
      <c r="M689" s="1326">
        <v>45373</v>
      </c>
      <c r="N689" s="1327"/>
      <c r="O689" s="1328" t="s">
        <v>106</v>
      </c>
      <c r="P689" s="1308">
        <v>45376</v>
      </c>
      <c r="Q689" s="1314" t="str">
        <f ca="1">IF(CostTrack[[#This Row],[Vendor - Contract]]="","",INDEX(VendorList[PA ID],MATCH(CostTrack[[#This Row],[Vendor - Contract]],VendorList[Vendor / Org. with Contract ID],0)))</f>
        <v>200.040.F1</v>
      </c>
      <c r="R689" s="1314" t="str">
        <f ca="1">IF(CostTrack[[#This Row],[Vendor - Contract]]="","",INDEX(VendorList[Primary Category],MATCH(CostTrack[[#This Row],[Vendor - Contract]],VendorList[Vendor / Org. with Contract ID],0)))</f>
        <v>Professional Services</v>
      </c>
      <c r="S689" s="1314" t="str">
        <f ca="1">IF(CostTrack[[#This Row],[Vendor - Contract]]="","",INDEX(VendorList[Secondary Category],MATCH(CostTrack[[#This Row],[Vendor - Contract]],VendorList[Vendor / Org. with Contract ID],0)))</f>
        <v>Commissioning</v>
      </c>
      <c r="T689" s="1314" t="str">
        <f ca="1">IF(CostTrack[[#This Row],[Vendor - Contract]]="","",INDEX(VendorList[Phase / Subproject],MATCH(CostTrack[[#This Row],[Vendor - Contract]],VendorList[Vendor / Org. with Contract ID],0)))</f>
        <v>--</v>
      </c>
      <c r="U689" s="1314" t="str">
        <f ca="1">IF(CostTrack[[#This Row],[Vendor - Contract]]="","",INDEX(VendorList[Phase / Subproject 2],MATCH(CostTrack[[#This Row],[Vendor - Contract]],VendorList[Vendor / Org. with Contract ID],0)))</f>
        <v>--</v>
      </c>
      <c r="V689" s="1314" t="str">
        <f ca="1">IF(CostTrack[[#This Row],[Vendor - Contract]]="","",INDEX(VendorList[Funding Source],MATCH(CostTrack[[#This Row],[Vendor - Contract]],VendorList[Vendor / Org. with Contract ID],0)))</f>
        <v>P-002360</v>
      </c>
      <c r="W689" s="1308">
        <v>45382</v>
      </c>
      <c r="X689" s="1315" t="str">
        <f ca="1">IF(CostTrack[[#This Row],[Release Date (CMS)]]="","*","")</f>
        <v/>
      </c>
      <c r="Y689" s="1308" t="s">
        <v>58</v>
      </c>
      <c r="Z689" s="713" t="s">
        <v>1339</v>
      </c>
      <c r="AA689" s="1316">
        <f ca="1">IF(OR(CostTrack[[#This Row],[Release Date (CMS)]]&gt;=DATE(VALUE(REPLACE(CostTrack[[#This Row],[Fiscal Period]],3,3,"")),3,1),CostTrack[[#This Row],[Release Date (CMS)]]&lt;DATE(VALUE(LEFT(CostTrack[[#This Row],[Fiscal Period]],4)),4,1)),1,0)</f>
        <v>1</v>
      </c>
      <c r="AB689" s="1317">
        <v>9500</v>
      </c>
      <c r="AC689" s="1308">
        <v>45398</v>
      </c>
      <c r="AD689" s="402" t="str">
        <f ca="1">IF(CostTrack[[#This Row],[Reconciled Amount]]="","",IF(CostTrack[[#This Row],[Value]]&lt;&gt;CostTrack[[#This Row],[Reconciled Amount]],"Yes","No"))</f>
        <v>No</v>
      </c>
      <c r="AE689" s="658"/>
    </row>
    <row r="690" spans="2:31" ht="26.25" customHeight="1">
      <c r="B690" s="706" t="s">
        <v>624</v>
      </c>
      <c r="C690" s="691" t="s">
        <v>1346</v>
      </c>
      <c r="D690" s="267">
        <v>45382</v>
      </c>
      <c r="E690" s="658">
        <v>9500</v>
      </c>
      <c r="F690" s="647" t="s">
        <v>69</v>
      </c>
      <c r="G690" s="406">
        <f ca="1">ROUND(IF(CostTrack[[#This Row],[Holdback (Y/N/R)]]="Yes",CostTrack[[#This Row],[Value]]*-0.1,IF(CostTrack[[#This Row],[Holdback (Y/N/R)]]="Release",CostTrack[[#This Row],[Value]],0)),2)</f>
        <v>0</v>
      </c>
      <c r="H690" s="407">
        <f ca="1">IF(CostTrack[[#This Row],[Holdback (Y/N/R)]]="Release",CostTrack[[#This Row],[Value]],CostTrack[[#This Row],[Value]]+CostTrack[[#This Row],[Holdback Value]])</f>
        <v>9500</v>
      </c>
      <c r="I690" s="650"/>
      <c r="J690" s="650"/>
      <c r="K690" s="648"/>
      <c r="L690" s="707">
        <v>45382</v>
      </c>
      <c r="M690" s="708">
        <v>45382</v>
      </c>
      <c r="N690" s="709"/>
      <c r="O690" s="712" t="s">
        <v>106</v>
      </c>
      <c r="P690" s="267">
        <v>45384</v>
      </c>
      <c r="Q690" s="243" t="str">
        <f ca="1">IF(CostTrack[[#This Row],[Vendor - Contract]]="","",INDEX(VendorList[PA ID],MATCH(CostTrack[[#This Row],[Vendor - Contract]],VendorList[Vendor / Org. with Contract ID],0)))</f>
        <v>200.040.F1</v>
      </c>
      <c r="R690" s="243" t="str">
        <f ca="1">IF(CostTrack[[#This Row],[Vendor - Contract]]="","",INDEX(VendorList[Primary Category],MATCH(CostTrack[[#This Row],[Vendor - Contract]],VendorList[Vendor / Org. with Contract ID],0)))</f>
        <v>Professional Services</v>
      </c>
      <c r="S690" s="243" t="str">
        <f ca="1">IF(CostTrack[[#This Row],[Vendor - Contract]]="","",INDEX(VendorList[Secondary Category],MATCH(CostTrack[[#This Row],[Vendor - Contract]],VendorList[Vendor / Org. with Contract ID],0)))</f>
        <v>Commissioning</v>
      </c>
      <c r="T690" s="243" t="str">
        <f ca="1">IF(CostTrack[[#This Row],[Vendor - Contract]]="","",INDEX(VendorList[Phase / Subproject],MATCH(CostTrack[[#This Row],[Vendor - Contract]],VendorList[Vendor / Org. with Contract ID],0)))</f>
        <v>--</v>
      </c>
      <c r="U690" s="243" t="str">
        <f ca="1">IF(CostTrack[[#This Row],[Vendor - Contract]]="","",INDEX(VendorList[Phase / Subproject 2],MATCH(CostTrack[[#This Row],[Vendor - Contract]],VendorList[Vendor / Org. with Contract ID],0)))</f>
        <v>--</v>
      </c>
      <c r="V690" s="243" t="str">
        <f ca="1">IF(CostTrack[[#This Row],[Vendor - Contract]]="","",INDEX(VendorList[Funding Source],MATCH(CostTrack[[#This Row],[Vendor - Contract]],VendorList[Vendor / Org. with Contract ID],0)))</f>
        <v>P-002360</v>
      </c>
      <c r="W690" s="267">
        <v>45397</v>
      </c>
      <c r="X690" s="251" t="str">
        <f ca="1">IF(CostTrack[[#This Row],[Release Date (CMS)]]="","*","")</f>
        <v/>
      </c>
      <c r="Y690" s="1028" t="s">
        <v>63</v>
      </c>
      <c r="Z690" s="1026" t="s">
        <v>1347</v>
      </c>
      <c r="AA690" s="245">
        <f ca="1">IF(OR(CostTrack[[#This Row],[Release Date (CMS)]]&gt;=DATE(VALUE(REPLACE(CostTrack[[#This Row],[Fiscal Period]],3,3,"")),3,1),CostTrack[[#This Row],[Release Date (CMS)]]&lt;DATE(VALUE(LEFT(CostTrack[[#This Row],[Fiscal Period]],4)),4,1)),1,0)</f>
        <v>0</v>
      </c>
      <c r="AB690" s="655">
        <v>9500</v>
      </c>
      <c r="AC690" s="267">
        <v>45398</v>
      </c>
      <c r="AD690" s="402" t="str">
        <f ca="1">IF(CostTrack[[#This Row],[Reconciled Amount]]="","",IF(CostTrack[[#This Row],[Value]]&lt;&gt;CostTrack[[#This Row],[Reconciled Amount]],"Yes","No"))</f>
        <v>No</v>
      </c>
      <c r="AE690" s="654"/>
    </row>
    <row r="691" spans="2:31" ht="42" customHeight="1">
      <c r="B691" s="706" t="s">
        <v>624</v>
      </c>
      <c r="C691" s="691" t="s">
        <v>1346</v>
      </c>
      <c r="D691" s="267">
        <v>45382</v>
      </c>
      <c r="E691" s="1025">
        <v>-9500</v>
      </c>
      <c r="F691" s="647" t="s">
        <v>69</v>
      </c>
      <c r="G691" s="406">
        <f ca="1">ROUND(IF(CostTrack[[#This Row],[Holdback (Y/N/R)]]="Yes",CostTrack[[#This Row],[Value]]*-0.1,IF(CostTrack[[#This Row],[Holdback (Y/N/R)]]="Release",CostTrack[[#This Row],[Value]],0)),2)</f>
        <v>0</v>
      </c>
      <c r="H691" s="407">
        <f ca="1">IF(CostTrack[[#This Row],[Holdback (Y/N/R)]]="Release",CostTrack[[#This Row],[Value]],CostTrack[[#This Row],[Value]]+CostTrack[[#This Row],[Holdback Value]])</f>
        <v>-9500</v>
      </c>
      <c r="I691" s="650"/>
      <c r="J691" s="650"/>
      <c r="K691" s="648"/>
      <c r="L691" s="707">
        <v>45382</v>
      </c>
      <c r="M691" s="708">
        <v>45382</v>
      </c>
      <c r="N691" s="709"/>
      <c r="O691" s="712" t="s">
        <v>106</v>
      </c>
      <c r="P691" s="267">
        <v>45384</v>
      </c>
      <c r="Q691" s="243" t="str">
        <f ca="1">IF(CostTrack[[#This Row],[Vendor - Contract]]="","",INDEX(VendorList[PA ID],MATCH(CostTrack[[#This Row],[Vendor - Contract]],VendorList[Vendor / Org. with Contract ID],0)))</f>
        <v>200.040.F1</v>
      </c>
      <c r="R691" s="243" t="str">
        <f ca="1">IF(CostTrack[[#This Row],[Vendor - Contract]]="","",INDEX(VendorList[Primary Category],MATCH(CostTrack[[#This Row],[Vendor - Contract]],VendorList[Vendor / Org. with Contract ID],0)))</f>
        <v>Professional Services</v>
      </c>
      <c r="S691" s="243" t="str">
        <f ca="1">IF(CostTrack[[#This Row],[Vendor - Contract]]="","",INDEX(VendorList[Secondary Category],MATCH(CostTrack[[#This Row],[Vendor - Contract]],VendorList[Vendor / Org. with Contract ID],0)))</f>
        <v>Commissioning</v>
      </c>
      <c r="T691" s="243" t="str">
        <f ca="1">IF(CostTrack[[#This Row],[Vendor - Contract]]="","",INDEX(VendorList[Phase / Subproject],MATCH(CostTrack[[#This Row],[Vendor - Contract]],VendorList[Vendor / Org. with Contract ID],0)))</f>
        <v>--</v>
      </c>
      <c r="U691" s="243" t="str">
        <f ca="1">IF(CostTrack[[#This Row],[Vendor - Contract]]="","",INDEX(VendorList[Phase / Subproject 2],MATCH(CostTrack[[#This Row],[Vendor - Contract]],VendorList[Vendor / Org. with Contract ID],0)))</f>
        <v>--</v>
      </c>
      <c r="V691" s="243" t="str">
        <f ca="1">IF(CostTrack[[#This Row],[Vendor - Contract]]="","",INDEX(VendorList[Funding Source],MATCH(CostTrack[[#This Row],[Vendor - Contract]],VendorList[Vendor / Org. with Contract ID],0)))</f>
        <v>P-002360</v>
      </c>
      <c r="W691" s="267">
        <v>45397</v>
      </c>
      <c r="X691" s="251" t="str">
        <f ca="1">IF(CostTrack[[#This Row],[Release Date (CMS)]]="","*","")</f>
        <v/>
      </c>
      <c r="Y691" s="721" t="s">
        <v>63</v>
      </c>
      <c r="Z691" s="1027" t="s">
        <v>1348</v>
      </c>
      <c r="AA691" s="245">
        <f ca="1">IF(OR(CostTrack[[#This Row],[Release Date (CMS)]]&gt;=DATE(VALUE(REPLACE(CostTrack[[#This Row],[Fiscal Period]],3,3,"")),3,1),CostTrack[[#This Row],[Release Date (CMS)]]&lt;DATE(VALUE(LEFT(CostTrack[[#This Row],[Fiscal Period]],4)),4,1)),1,0)</f>
        <v>0</v>
      </c>
      <c r="AB691" s="655">
        <v>-9500</v>
      </c>
      <c r="AC691" s="267">
        <v>45398</v>
      </c>
      <c r="AD691" s="402" t="str">
        <f ca="1">IF(CostTrack[[#This Row],[Reconciled Amount]]="","",IF(CostTrack[[#This Row],[Value]]&lt;&gt;CostTrack[[#This Row],[Reconciled Amount]],"Yes","No"))</f>
        <v>No</v>
      </c>
      <c r="AE691" s="654"/>
    </row>
    <row r="692" spans="2:31" ht="26.25" customHeight="1">
      <c r="B692" s="1324" t="s">
        <v>666</v>
      </c>
      <c r="C692" s="691" t="s">
        <v>1349</v>
      </c>
      <c r="D692" s="1308">
        <v>45382</v>
      </c>
      <c r="E692" s="658">
        <v>3500</v>
      </c>
      <c r="F692" s="1309" t="s">
        <v>69</v>
      </c>
      <c r="G692" s="1310">
        <f ca="1">ROUND(IF(CostTrack[[#This Row],[Holdback (Y/N/R)]]="Yes",CostTrack[[#This Row],[Value]]*-0.1,IF(CostTrack[[#This Row],[Holdback (Y/N/R)]]="Release",CostTrack[[#This Row],[Value]],0)),2)</f>
        <v>0</v>
      </c>
      <c r="H692" s="1311">
        <f ca="1">IF(CostTrack[[#This Row],[Holdback (Y/N/R)]]="Release",CostTrack[[#This Row],[Value]],CostTrack[[#This Row],[Value]]+CostTrack[[#This Row],[Holdback Value]])</f>
        <v>3500</v>
      </c>
      <c r="I692" s="1312"/>
      <c r="J692" s="1312"/>
      <c r="K692" s="1313"/>
      <c r="L692" s="1325">
        <v>45373</v>
      </c>
      <c r="M692" s="1326">
        <v>45373</v>
      </c>
      <c r="N692" s="1327"/>
      <c r="O692" s="1328" t="s">
        <v>106</v>
      </c>
      <c r="P692" s="1308">
        <v>45373</v>
      </c>
      <c r="Q692" s="1314" t="str">
        <f ca="1">IF(CostTrack[[#This Row],[Vendor - Contract]]="","",INDEX(VendorList[PA ID],MATCH(CostTrack[[#This Row],[Vendor - Contract]],VendorList[Vendor / Org. with Contract ID],0)))</f>
        <v>200.050.F1</v>
      </c>
      <c r="R692" s="1314" t="str">
        <f ca="1">IF(CostTrack[[#This Row],[Vendor - Contract]]="","",INDEX(VendorList[Primary Category],MATCH(CostTrack[[#This Row],[Vendor - Contract]],VendorList[Vendor / Org. with Contract ID],0)))</f>
        <v>Professional Services</v>
      </c>
      <c r="S692" s="1314" t="str">
        <f ca="1">IF(CostTrack[[#This Row],[Vendor - Contract]]="","",INDEX(VendorList[Secondary Category],MATCH(CostTrack[[#This Row],[Vendor - Contract]],VendorList[Vendor / Org. with Contract ID],0)))</f>
        <v>Other Professional Services</v>
      </c>
      <c r="T692" s="1314" t="str">
        <f ca="1">IF(CostTrack[[#This Row],[Vendor - Contract]]="","",INDEX(VendorList[Phase / Subproject],MATCH(CostTrack[[#This Row],[Vendor - Contract]],VendorList[Vendor / Org. with Contract ID],0)))</f>
        <v>--</v>
      </c>
      <c r="U692" s="1314" t="str">
        <f ca="1">IF(CostTrack[[#This Row],[Vendor - Contract]]="","",INDEX(VendorList[Phase / Subproject 2],MATCH(CostTrack[[#This Row],[Vendor - Contract]],VendorList[Vendor / Org. with Contract ID],0)))</f>
        <v>--</v>
      </c>
      <c r="V692" s="1314" t="str">
        <f ca="1">IF(CostTrack[[#This Row],[Vendor - Contract]]="","",INDEX(VendorList[Funding Source],MATCH(CostTrack[[#This Row],[Vendor - Contract]],VendorList[Vendor / Org. with Contract ID],0)))</f>
        <v>P-002360</v>
      </c>
      <c r="W692" s="1308">
        <v>45382</v>
      </c>
      <c r="X692" s="1315" t="str">
        <f ca="1">IF(CostTrack[[#This Row],[Release Date (CMS)]]="","*","")</f>
        <v/>
      </c>
      <c r="Y692" s="1308" t="s">
        <v>58</v>
      </c>
      <c r="Z692" s="713" t="s">
        <v>1339</v>
      </c>
      <c r="AA692" s="1316">
        <f ca="1">IF(OR(CostTrack[[#This Row],[Release Date (CMS)]]&gt;=DATE(VALUE(REPLACE(CostTrack[[#This Row],[Fiscal Period]],3,3,"")),3,1),CostTrack[[#This Row],[Release Date (CMS)]]&lt;DATE(VALUE(LEFT(CostTrack[[#This Row],[Fiscal Period]],4)),4,1)),1,0)</f>
        <v>1</v>
      </c>
      <c r="AB692" s="1317">
        <v>3500</v>
      </c>
      <c r="AC692" s="1308">
        <v>45398</v>
      </c>
      <c r="AD692" s="402" t="str">
        <f ca="1">IF(CostTrack[[#This Row],[Reconciled Amount]]="","",IF(CostTrack[[#This Row],[Value]]&lt;&gt;CostTrack[[#This Row],[Reconciled Amount]],"Yes","No"))</f>
        <v>No</v>
      </c>
      <c r="AE692" s="658"/>
    </row>
    <row r="693" spans="2:31" ht="55.5" customHeight="1">
      <c r="B693" s="1324" t="s">
        <v>666</v>
      </c>
      <c r="C693" s="1334" t="s">
        <v>1349</v>
      </c>
      <c r="D693" s="1308">
        <v>45398</v>
      </c>
      <c r="E693" s="658">
        <v>2500</v>
      </c>
      <c r="F693" s="1309" t="s">
        <v>69</v>
      </c>
      <c r="G693" s="1310">
        <f ca="1">ROUND(IF(CostTrack[[#This Row],[Holdback (Y/N/R)]]="Yes",CostTrack[[#This Row],[Value]]*-0.1,IF(CostTrack[[#This Row],[Holdback (Y/N/R)]]="Release",CostTrack[[#This Row],[Value]],0)),2)</f>
        <v>0</v>
      </c>
      <c r="H693" s="1311">
        <f ca="1">IF(CostTrack[[#This Row],[Holdback (Y/N/R)]]="Release",CostTrack[[#This Row],[Value]],CostTrack[[#This Row],[Value]]+CostTrack[[#This Row],[Holdback Value]])</f>
        <v>2500</v>
      </c>
      <c r="I693" s="1312"/>
      <c r="J693" s="1312"/>
      <c r="K693" s="1313"/>
      <c r="L693" s="1325">
        <v>45398</v>
      </c>
      <c r="M693" s="1326">
        <v>45763</v>
      </c>
      <c r="N693" s="1327"/>
      <c r="O693" s="1328" t="s">
        <v>106</v>
      </c>
      <c r="P693" s="1308">
        <v>45398</v>
      </c>
      <c r="Q693" s="1314" t="str">
        <f ca="1">IF(CostTrack[[#This Row],[Vendor - Contract]]="","",INDEX(VendorList[PA ID],MATCH(CostTrack[[#This Row],[Vendor - Contract]],VendorList[Vendor / Org. with Contract ID],0)))</f>
        <v>200.050.F1</v>
      </c>
      <c r="R693" s="1314" t="str">
        <f ca="1">IF(CostTrack[[#This Row],[Vendor - Contract]]="","",INDEX(VendorList[Primary Category],MATCH(CostTrack[[#This Row],[Vendor - Contract]],VendorList[Vendor / Org. with Contract ID],0)))</f>
        <v>Professional Services</v>
      </c>
      <c r="S693" s="1314" t="str">
        <f ca="1">IF(CostTrack[[#This Row],[Vendor - Contract]]="","",INDEX(VendorList[Secondary Category],MATCH(CostTrack[[#This Row],[Vendor - Contract]],VendorList[Vendor / Org. with Contract ID],0)))</f>
        <v>Other Professional Services</v>
      </c>
      <c r="T693" s="1314" t="str">
        <f ca="1">IF(CostTrack[[#This Row],[Vendor - Contract]]="","",INDEX(VendorList[Phase / Subproject],MATCH(CostTrack[[#This Row],[Vendor - Contract]],VendorList[Vendor / Org. with Contract ID],0)))</f>
        <v>--</v>
      </c>
      <c r="U693" s="1314" t="str">
        <f ca="1">IF(CostTrack[[#This Row],[Vendor - Contract]]="","",INDEX(VendorList[Phase / Subproject 2],MATCH(CostTrack[[#This Row],[Vendor - Contract]],VendorList[Vendor / Org. with Contract ID],0)))</f>
        <v>--</v>
      </c>
      <c r="V693" s="1314" t="str">
        <f ca="1">IF(CostTrack[[#This Row],[Vendor - Contract]]="","",INDEX(VendorList[Funding Source],MATCH(CostTrack[[#This Row],[Vendor - Contract]],VendorList[Vendor / Org. with Contract ID],0)))</f>
        <v>P-002360</v>
      </c>
      <c r="W693" s="1308">
        <v>45398</v>
      </c>
      <c r="X693" s="1315" t="str">
        <f ca="1">IF(CostTrack[[#This Row],[Release Date (CMS)]]="","*","")</f>
        <v/>
      </c>
      <c r="Y693" s="1308" t="s">
        <v>63</v>
      </c>
      <c r="Z693" s="713" t="s">
        <v>1350</v>
      </c>
      <c r="AA693" s="1316">
        <f ca="1">IF(OR(CostTrack[[#This Row],[Release Date (CMS)]]&gt;=DATE(VALUE(REPLACE(CostTrack[[#This Row],[Fiscal Period]],3,3,"")),3,1),CostTrack[[#This Row],[Release Date (CMS)]]&lt;DATE(VALUE(LEFT(CostTrack[[#This Row],[Fiscal Period]],4)),4,1)),1,0)</f>
        <v>0</v>
      </c>
      <c r="AB693" s="1317">
        <v>2500</v>
      </c>
      <c r="AC693" s="1308">
        <v>45398</v>
      </c>
      <c r="AD693" s="402" t="str">
        <f ca="1">IF(CostTrack[[#This Row],[Reconciled Amount]]="","",IF(CostTrack[[#This Row],[Value]]&lt;&gt;CostTrack[[#This Row],[Reconciled Amount]],"Yes","No"))</f>
        <v>No</v>
      </c>
      <c r="AE693" s="658"/>
    </row>
    <row r="694" spans="2:31" ht="55.5" customHeight="1">
      <c r="B694" s="1324" t="s">
        <v>666</v>
      </c>
      <c r="C694" s="1334" t="s">
        <v>1349</v>
      </c>
      <c r="D694" s="1308">
        <v>45398</v>
      </c>
      <c r="E694" s="658">
        <v>-2500</v>
      </c>
      <c r="F694" s="1309" t="s">
        <v>69</v>
      </c>
      <c r="G694" s="1310">
        <f ca="1">ROUND(IF(CostTrack[[#This Row],[Holdback (Y/N/R)]]="Yes",CostTrack[[#This Row],[Value]]*-0.1,IF(CostTrack[[#This Row],[Holdback (Y/N/R)]]="Release",CostTrack[[#This Row],[Value]],0)),2)</f>
        <v>0</v>
      </c>
      <c r="H694" s="1311">
        <f ca="1">IF(CostTrack[[#This Row],[Holdback (Y/N/R)]]="Release",CostTrack[[#This Row],[Value]],CostTrack[[#This Row],[Value]]+CostTrack[[#This Row],[Holdback Value]])</f>
        <v>-2500</v>
      </c>
      <c r="I694" s="1312"/>
      <c r="J694" s="1312"/>
      <c r="K694" s="1313"/>
      <c r="L694" s="1325">
        <v>45398</v>
      </c>
      <c r="M694" s="1326">
        <v>45398</v>
      </c>
      <c r="N694" s="1327"/>
      <c r="O694" s="1328" t="s">
        <v>106</v>
      </c>
      <c r="P694" s="1308">
        <v>45398</v>
      </c>
      <c r="Q694" s="1314" t="str">
        <f ca="1">IF(CostTrack[[#This Row],[Vendor - Contract]]="","",INDEX(VendorList[PA ID],MATCH(CostTrack[[#This Row],[Vendor - Contract]],VendorList[Vendor / Org. with Contract ID],0)))</f>
        <v>200.050.F1</v>
      </c>
      <c r="R694" s="1314" t="str">
        <f ca="1">IF(CostTrack[[#This Row],[Vendor - Contract]]="","",INDEX(VendorList[Primary Category],MATCH(CostTrack[[#This Row],[Vendor - Contract]],VendorList[Vendor / Org. with Contract ID],0)))</f>
        <v>Professional Services</v>
      </c>
      <c r="S694" s="1314" t="str">
        <f ca="1">IF(CostTrack[[#This Row],[Vendor - Contract]]="","",INDEX(VendorList[Secondary Category],MATCH(CostTrack[[#This Row],[Vendor - Contract]],VendorList[Vendor / Org. with Contract ID],0)))</f>
        <v>Other Professional Services</v>
      </c>
      <c r="T694" s="1314" t="str">
        <f ca="1">IF(CostTrack[[#This Row],[Vendor - Contract]]="","",INDEX(VendorList[Phase / Subproject],MATCH(CostTrack[[#This Row],[Vendor - Contract]],VendorList[Vendor / Org. with Contract ID],0)))</f>
        <v>--</v>
      </c>
      <c r="U694" s="1314" t="str">
        <f ca="1">IF(CostTrack[[#This Row],[Vendor - Contract]]="","",INDEX(VendorList[Phase / Subproject 2],MATCH(CostTrack[[#This Row],[Vendor - Contract]],VendorList[Vendor / Org. with Contract ID],0)))</f>
        <v>--</v>
      </c>
      <c r="V694" s="1314" t="str">
        <f ca="1">IF(CostTrack[[#This Row],[Vendor - Contract]]="","",INDEX(VendorList[Funding Source],MATCH(CostTrack[[#This Row],[Vendor - Contract]],VendorList[Vendor / Org. with Contract ID],0)))</f>
        <v>P-002360</v>
      </c>
      <c r="W694" s="1308">
        <v>45398</v>
      </c>
      <c r="X694" s="1315" t="str">
        <f ca="1">IF(CostTrack[[#This Row],[Release Date (CMS)]]="","*","")</f>
        <v/>
      </c>
      <c r="Y694" s="1308" t="s">
        <v>63</v>
      </c>
      <c r="Z694" s="713" t="s">
        <v>1351</v>
      </c>
      <c r="AA694" s="1316">
        <f ca="1">IF(OR(CostTrack[[#This Row],[Release Date (CMS)]]&gt;=DATE(VALUE(REPLACE(CostTrack[[#This Row],[Fiscal Period]],3,3,"")),3,1),CostTrack[[#This Row],[Release Date (CMS)]]&lt;DATE(VALUE(LEFT(CostTrack[[#This Row],[Fiscal Period]],4)),4,1)),1,0)</f>
        <v>0</v>
      </c>
      <c r="AB694" s="1317">
        <v>-2500</v>
      </c>
      <c r="AC694" s="1308">
        <v>45398</v>
      </c>
      <c r="AD694" s="402" t="str">
        <f ca="1">IF(CostTrack[[#This Row],[Reconciled Amount]]="","",IF(CostTrack[[#This Row],[Value]]&lt;&gt;CostTrack[[#This Row],[Reconciled Amount]],"Yes","No"))</f>
        <v>No</v>
      </c>
      <c r="AE694" s="658"/>
    </row>
    <row r="695" spans="2:31" ht="55.5" customHeight="1">
      <c r="B695" s="1324" t="s">
        <v>666</v>
      </c>
      <c r="C695" s="691" t="s">
        <v>1352</v>
      </c>
      <c r="D695" s="1308">
        <v>45413</v>
      </c>
      <c r="E695" s="658">
        <v>-1000</v>
      </c>
      <c r="F695" s="1309" t="s">
        <v>69</v>
      </c>
      <c r="G695" s="1310">
        <f ca="1">ROUND(IF(CostTrack[[#This Row],[Holdback (Y/N/R)]]="Yes",CostTrack[[#This Row],[Value]]*-0.1,IF(CostTrack[[#This Row],[Holdback (Y/N/R)]]="Release",CostTrack[[#This Row],[Value]],0)),2)</f>
        <v>0</v>
      </c>
      <c r="H695" s="1311">
        <f ca="1">IF(CostTrack[[#This Row],[Holdback (Y/N/R)]]="Release",CostTrack[[#This Row],[Value]],CostTrack[[#This Row],[Value]]+CostTrack[[#This Row],[Holdback Value]])</f>
        <v>-1000</v>
      </c>
      <c r="I695" s="1312"/>
      <c r="J695" s="1312"/>
      <c r="K695" s="1313"/>
      <c r="L695" s="1325">
        <v>45413</v>
      </c>
      <c r="M695" s="1326">
        <v>45413</v>
      </c>
      <c r="N695" s="1327"/>
      <c r="O695" s="1328" t="s">
        <v>106</v>
      </c>
      <c r="P695" s="1308">
        <v>45413</v>
      </c>
      <c r="Q695" s="1314" t="str">
        <f ca="1">IF(CostTrack[[#This Row],[Vendor - Contract]]="","",INDEX(VendorList[PA ID],MATCH(CostTrack[[#This Row],[Vendor - Contract]],VendorList[Vendor / Org. with Contract ID],0)))</f>
        <v>200.050.F1</v>
      </c>
      <c r="R695" s="1314" t="str">
        <f ca="1">IF(CostTrack[[#This Row],[Vendor - Contract]]="","",INDEX(VendorList[Primary Category],MATCH(CostTrack[[#This Row],[Vendor - Contract]],VendorList[Vendor / Org. with Contract ID],0)))</f>
        <v>Professional Services</v>
      </c>
      <c r="S695" s="1314" t="str">
        <f ca="1">IF(CostTrack[[#This Row],[Vendor - Contract]]="","",INDEX(VendorList[Secondary Category],MATCH(CostTrack[[#This Row],[Vendor - Contract]],VendorList[Vendor / Org. with Contract ID],0)))</f>
        <v>Other Professional Services</v>
      </c>
      <c r="T695" s="1314" t="str">
        <f ca="1">IF(CostTrack[[#This Row],[Vendor - Contract]]="","",INDEX(VendorList[Phase / Subproject],MATCH(CostTrack[[#This Row],[Vendor - Contract]],VendorList[Vendor / Org. with Contract ID],0)))</f>
        <v>--</v>
      </c>
      <c r="U695" s="1314" t="str">
        <f ca="1">IF(CostTrack[[#This Row],[Vendor - Contract]]="","",INDEX(VendorList[Phase / Subproject 2],MATCH(CostTrack[[#This Row],[Vendor - Contract]],VendorList[Vendor / Org. with Contract ID],0)))</f>
        <v>--</v>
      </c>
      <c r="V695" s="1314" t="str">
        <f ca="1">IF(CostTrack[[#This Row],[Vendor - Contract]]="","",INDEX(VendorList[Funding Source],MATCH(CostTrack[[#This Row],[Vendor - Contract]],VendorList[Vendor / Org. with Contract ID],0)))</f>
        <v>P-002360</v>
      </c>
      <c r="W695" s="1308">
        <v>45413</v>
      </c>
      <c r="X695" s="1315" t="str">
        <f ca="1">IF(CostTrack[[#This Row],[Release Date (CMS)]]="","*","")</f>
        <v/>
      </c>
      <c r="Y695" s="1308" t="s">
        <v>63</v>
      </c>
      <c r="Z695" s="713" t="s">
        <v>1343</v>
      </c>
      <c r="AA695" s="1316">
        <f ca="1">IF(OR(CostTrack[[#This Row],[Release Date (CMS)]]&gt;=DATE(VALUE(REPLACE(CostTrack[[#This Row],[Fiscal Period]],3,3,"")),3,1),CostTrack[[#This Row],[Release Date (CMS)]]&lt;DATE(VALUE(LEFT(CostTrack[[#This Row],[Fiscal Period]],4)),4,1)),1,0)</f>
        <v>0</v>
      </c>
      <c r="AB695" s="1317">
        <v>-1000</v>
      </c>
      <c r="AC695" s="1308">
        <v>45428</v>
      </c>
      <c r="AD695" s="402" t="str">
        <f ca="1">IF(CostTrack[[#This Row],[Reconciled Amount]]="","",IF(CostTrack[[#This Row],[Value]]&lt;&gt;CostTrack[[#This Row],[Reconciled Amount]],"Yes","No"))</f>
        <v>No</v>
      </c>
      <c r="AE695" s="658"/>
    </row>
    <row r="696" spans="2:31" ht="55.5" customHeight="1">
      <c r="B696" s="1324" t="s">
        <v>1353</v>
      </c>
      <c r="C696" s="691" t="s">
        <v>1352</v>
      </c>
      <c r="D696" s="1308">
        <v>45413</v>
      </c>
      <c r="E696" s="658">
        <v>1000</v>
      </c>
      <c r="F696" s="1309" t="s">
        <v>69</v>
      </c>
      <c r="G696" s="1310">
        <f ca="1">ROUND(IF(CostTrack[[#This Row],[Holdback (Y/N/R)]]="Yes",CostTrack[[#This Row],[Value]]*-0.1,IF(CostTrack[[#This Row],[Holdback (Y/N/R)]]="Release",CostTrack[[#This Row],[Value]],0)),2)</f>
        <v>0</v>
      </c>
      <c r="H696" s="1311">
        <f ca="1">IF(CostTrack[[#This Row],[Holdback (Y/N/R)]]="Release",CostTrack[[#This Row],[Value]],CostTrack[[#This Row],[Value]]+CostTrack[[#This Row],[Holdback Value]])</f>
        <v>1000</v>
      </c>
      <c r="I696" s="1312"/>
      <c r="J696" s="1312"/>
      <c r="K696" s="1313"/>
      <c r="L696" s="1325">
        <v>45413</v>
      </c>
      <c r="M696" s="1326">
        <v>45413</v>
      </c>
      <c r="N696" s="1327"/>
      <c r="O696" s="1328" t="s">
        <v>106</v>
      </c>
      <c r="P696" s="1308">
        <v>45413</v>
      </c>
      <c r="Q696" s="1314" t="str">
        <f ca="1">IF(CostTrack[[#This Row],[Vendor - Contract]]="","",INDEX(VendorList[PA ID],MATCH(CostTrack[[#This Row],[Vendor - Contract]],VendorList[Vendor / Org. with Contract ID],0)))</f>
        <v>100.040.F1</v>
      </c>
      <c r="R696" s="1314" t="str">
        <f ca="1">IF(CostTrack[[#This Row],[Vendor - Contract]]="","",INDEX(VendorList[Primary Category],MATCH(CostTrack[[#This Row],[Vendor - Contract]],VendorList[Vendor / Org. with Contract ID],0)))</f>
        <v>Administration</v>
      </c>
      <c r="S696" s="1314" t="str">
        <f ca="1">IF(CostTrack[[#This Row],[Vendor - Contract]]="","",INDEX(VendorList[Secondary Category],MATCH(CostTrack[[#This Row],[Vendor - Contract]],VendorList[Vendor / Org. with Contract ID],0)))</f>
        <v>Accrual Write Off</v>
      </c>
      <c r="T696" s="1314" t="str">
        <f ca="1">IF(CostTrack[[#This Row],[Vendor - Contract]]="","",INDEX(VendorList[Phase / Subproject],MATCH(CostTrack[[#This Row],[Vendor - Contract]],VendorList[Vendor / Org. with Contract ID],0)))</f>
        <v>--</v>
      </c>
      <c r="U696" s="1314" t="str">
        <f ca="1">IF(CostTrack[[#This Row],[Vendor - Contract]]="","",INDEX(VendorList[Phase / Subproject 2],MATCH(CostTrack[[#This Row],[Vendor - Contract]],VendorList[Vendor / Org. with Contract ID],0)))</f>
        <v>--</v>
      </c>
      <c r="V696" s="1314" t="str">
        <f ca="1">IF(CostTrack[[#This Row],[Vendor - Contract]]="","",INDEX(VendorList[Funding Source],MATCH(CostTrack[[#This Row],[Vendor - Contract]],VendorList[Vendor / Org. with Contract ID],0)))</f>
        <v>P-002360</v>
      </c>
      <c r="W696" s="1308">
        <v>45413</v>
      </c>
      <c r="X696" s="1315" t="str">
        <f ca="1">IF(CostTrack[[#This Row],[Release Date (CMS)]]="","*","")</f>
        <v/>
      </c>
      <c r="Y696" s="1362" t="s">
        <v>63</v>
      </c>
      <c r="Z696" s="1363" t="s">
        <v>1354</v>
      </c>
      <c r="AA696" s="1316">
        <f ca="1">IF(OR(CostTrack[[#This Row],[Release Date (CMS)]]&gt;=DATE(VALUE(REPLACE(CostTrack[[#This Row],[Fiscal Period]],3,3,"")),3,1),CostTrack[[#This Row],[Release Date (CMS)]]&lt;DATE(VALUE(LEFT(CostTrack[[#This Row],[Fiscal Period]],4)),4,1)),1,0)</f>
        <v>0</v>
      </c>
      <c r="AB696" s="655">
        <v>1000</v>
      </c>
      <c r="AC696" s="1308">
        <v>45428</v>
      </c>
      <c r="AD696" s="402" t="str">
        <f ca="1">IF(CostTrack[[#This Row],[Reconciled Amount]]="","",IF(CostTrack[[#This Row],[Value]]&lt;&gt;CostTrack[[#This Row],[Reconciled Amount]],"Yes","No"))</f>
        <v>No</v>
      </c>
      <c r="AE696" s="658"/>
    </row>
    <row r="697" spans="2:31" ht="26.25" customHeight="1">
      <c r="B697" s="1324" t="s">
        <v>679</v>
      </c>
      <c r="C697" s="1334" t="s">
        <v>1355</v>
      </c>
      <c r="D697" s="1308">
        <v>45366</v>
      </c>
      <c r="E697" s="658">
        <v>110282</v>
      </c>
      <c r="F697" s="1309" t="s">
        <v>69</v>
      </c>
      <c r="G697" s="1310">
        <f ca="1">ROUND(IF(CostTrack[[#This Row],[Holdback (Y/N/R)]]="Yes",CostTrack[[#This Row],[Value]]*-0.1,IF(CostTrack[[#This Row],[Holdback (Y/N/R)]]="Release",CostTrack[[#This Row],[Value]],0)),2)</f>
        <v>0</v>
      </c>
      <c r="H697" s="1311">
        <f ca="1">IF(CostTrack[[#This Row],[Holdback (Y/N/R)]]="Release",CostTrack[[#This Row],[Value]],CostTrack[[#This Row],[Value]]+CostTrack[[#This Row],[Holdback Value]])</f>
        <v>110282</v>
      </c>
      <c r="I697" s="1312"/>
      <c r="J697" s="1312"/>
      <c r="K697" s="1313"/>
      <c r="L697" s="1325">
        <v>45377</v>
      </c>
      <c r="M697" s="1326">
        <v>45377</v>
      </c>
      <c r="N697" s="1327"/>
      <c r="O697" s="1328" t="s">
        <v>106</v>
      </c>
      <c r="P697" s="1308">
        <v>45377</v>
      </c>
      <c r="Q697" s="1314" t="str">
        <f ca="1">IF(CostTrack[[#This Row],[Vendor - Contract]]="","",INDEX(VendorList[PA ID],MATCH(CostTrack[[#This Row],[Vendor - Contract]],VendorList[Vendor / Org. with Contract ID],0)))</f>
        <v>400.020.F1</v>
      </c>
      <c r="R697" s="1314" t="str">
        <f ca="1">IF(CostTrack[[#This Row],[Vendor - Contract]]="","",INDEX(VendorList[Primary Category],MATCH(CostTrack[[#This Row],[Vendor - Contract]],VendorList[Vendor / Org. with Contract ID],0)))</f>
        <v>FE_IT</v>
      </c>
      <c r="S697" s="1314" t="str">
        <f ca="1">IF(CostTrack[[#This Row],[Vendor - Contract]]="","",INDEX(VendorList[Secondary Category],MATCH(CostTrack[[#This Row],[Vendor - Contract]],VendorList[Vendor / Org. with Contract ID],0)))</f>
        <v>Information Technology</v>
      </c>
      <c r="T697" s="1314" t="str">
        <f ca="1">IF(CostTrack[[#This Row],[Vendor - Contract]]="","",INDEX(VendorList[Phase / Subproject],MATCH(CostTrack[[#This Row],[Vendor - Contract]],VendorList[Vendor / Org. with Contract ID],0)))</f>
        <v>--</v>
      </c>
      <c r="U697" s="1314" t="str">
        <f ca="1">IF(CostTrack[[#This Row],[Vendor - Contract]]="","",INDEX(VendorList[Phase / Subproject 2],MATCH(CostTrack[[#This Row],[Vendor - Contract]],VendorList[Vendor / Org. with Contract ID],0)))</f>
        <v>--</v>
      </c>
      <c r="V697" s="1314" t="str">
        <f ca="1">IF(CostTrack[[#This Row],[Vendor - Contract]]="","",INDEX(VendorList[Funding Source],MATCH(CostTrack[[#This Row],[Vendor - Contract]],VendorList[Vendor / Org. with Contract ID],0)))</f>
        <v>P-002360</v>
      </c>
      <c r="W697" s="1308">
        <v>45378</v>
      </c>
      <c r="X697" s="1315" t="str">
        <f ca="1">IF(CostTrack[[#This Row],[Release Date (CMS)]]="","*","")</f>
        <v/>
      </c>
      <c r="Y697" s="1308" t="s">
        <v>58</v>
      </c>
      <c r="Z697" s="652" t="s">
        <v>1356</v>
      </c>
      <c r="AA697" s="1316">
        <f ca="1">IF(OR(CostTrack[[#This Row],[Release Date (CMS)]]&gt;=DATE(VALUE(REPLACE(CostTrack[[#This Row],[Fiscal Period]],3,3,"")),3,1),CostTrack[[#This Row],[Release Date (CMS)]]&lt;DATE(VALUE(LEFT(CostTrack[[#This Row],[Fiscal Period]],4)),4,1)),1,0)</f>
        <v>1</v>
      </c>
      <c r="AB697" s="1317">
        <v>110282</v>
      </c>
      <c r="AC697" s="1308">
        <v>45398</v>
      </c>
      <c r="AD697" s="402" t="str">
        <f ca="1">IF(CostTrack[[#This Row],[Reconciled Amount]]="","",IF(CostTrack[[#This Row],[Value]]&lt;&gt;CostTrack[[#This Row],[Reconciled Amount]],"Yes","No"))</f>
        <v>No</v>
      </c>
      <c r="AE697" s="658"/>
    </row>
    <row r="698" spans="2:31" ht="26.25" customHeight="1">
      <c r="B698" s="1324" t="s">
        <v>679</v>
      </c>
      <c r="C698" s="1334" t="s">
        <v>1355</v>
      </c>
      <c r="D698" s="1308">
        <v>45348</v>
      </c>
      <c r="E698" s="658">
        <v>19107.28</v>
      </c>
      <c r="F698" s="1309" t="s">
        <v>69</v>
      </c>
      <c r="G698" s="1310">
        <f ca="1">ROUND(IF(CostTrack[[#This Row],[Holdback (Y/N/R)]]="Yes",CostTrack[[#This Row],[Value]]*-0.1,IF(CostTrack[[#This Row],[Holdback (Y/N/R)]]="Release",CostTrack[[#This Row],[Value]],0)),2)</f>
        <v>0</v>
      </c>
      <c r="H698" s="1311">
        <f ca="1">IF(CostTrack[[#This Row],[Holdback (Y/N/R)]]="Release",CostTrack[[#This Row],[Value]],CostTrack[[#This Row],[Value]]+CostTrack[[#This Row],[Holdback Value]])</f>
        <v>19107.28</v>
      </c>
      <c r="I698" s="1312"/>
      <c r="J698" s="1312"/>
      <c r="K698" s="1313"/>
      <c r="L698" s="1325">
        <v>45373</v>
      </c>
      <c r="M698" s="1326">
        <v>45373</v>
      </c>
      <c r="N698" s="1327"/>
      <c r="O698" s="1328" t="s">
        <v>106</v>
      </c>
      <c r="P698" s="1308">
        <v>45373</v>
      </c>
      <c r="Q698" s="1314" t="str">
        <f ca="1">IF(CostTrack[[#This Row],[Vendor - Contract]]="","",INDEX(VendorList[PA ID],MATCH(CostTrack[[#This Row],[Vendor - Contract]],VendorList[Vendor / Org. with Contract ID],0)))</f>
        <v>400.020.F1</v>
      </c>
      <c r="R698" s="1314" t="str">
        <f ca="1">IF(CostTrack[[#This Row],[Vendor - Contract]]="","",INDEX(VendorList[Primary Category],MATCH(CostTrack[[#This Row],[Vendor - Contract]],VendorList[Vendor / Org. with Contract ID],0)))</f>
        <v>FE_IT</v>
      </c>
      <c r="S698" s="1314" t="str">
        <f ca="1">IF(CostTrack[[#This Row],[Vendor - Contract]]="","",INDEX(VendorList[Secondary Category],MATCH(CostTrack[[#This Row],[Vendor - Contract]],VendorList[Vendor / Org. with Contract ID],0)))</f>
        <v>Information Technology</v>
      </c>
      <c r="T698" s="1314" t="str">
        <f ca="1">IF(CostTrack[[#This Row],[Vendor - Contract]]="","",INDEX(VendorList[Phase / Subproject],MATCH(CostTrack[[#This Row],[Vendor - Contract]],VendorList[Vendor / Org. with Contract ID],0)))</f>
        <v>--</v>
      </c>
      <c r="U698" s="1314" t="str">
        <f ca="1">IF(CostTrack[[#This Row],[Vendor - Contract]]="","",INDEX(VendorList[Phase / Subproject 2],MATCH(CostTrack[[#This Row],[Vendor - Contract]],VendorList[Vendor / Org. with Contract ID],0)))</f>
        <v>--</v>
      </c>
      <c r="V698" s="1314" t="str">
        <f ca="1">IF(CostTrack[[#This Row],[Vendor - Contract]]="","",INDEX(VendorList[Funding Source],MATCH(CostTrack[[#This Row],[Vendor - Contract]],VendorList[Vendor / Org. with Contract ID],0)))</f>
        <v>P-002360</v>
      </c>
      <c r="W698" s="1308">
        <v>45378</v>
      </c>
      <c r="X698" s="1315" t="str">
        <f ca="1">IF(CostTrack[[#This Row],[Release Date (CMS)]]="","*","")</f>
        <v/>
      </c>
      <c r="Y698" s="1308" t="s">
        <v>58</v>
      </c>
      <c r="Z698" s="652" t="s">
        <v>1356</v>
      </c>
      <c r="AA698" s="1316">
        <f ca="1">IF(OR(CostTrack[[#This Row],[Release Date (CMS)]]&gt;=DATE(VALUE(REPLACE(CostTrack[[#This Row],[Fiscal Period]],3,3,"")),3,1),CostTrack[[#This Row],[Release Date (CMS)]]&lt;DATE(VALUE(LEFT(CostTrack[[#This Row],[Fiscal Period]],4)),4,1)),1,0)</f>
        <v>1</v>
      </c>
      <c r="AB698" s="1317">
        <v>19107.28</v>
      </c>
      <c r="AC698" s="1308">
        <v>45398</v>
      </c>
      <c r="AD698" s="402" t="str">
        <f ca="1">IF(CostTrack[[#This Row],[Reconciled Amount]]="","",IF(CostTrack[[#This Row],[Value]]&lt;&gt;CostTrack[[#This Row],[Reconciled Amount]],"Yes","No"))</f>
        <v>No</v>
      </c>
      <c r="AE698" s="658"/>
    </row>
    <row r="699" spans="2:31" ht="26.25" customHeight="1">
      <c r="B699" s="1324" t="s">
        <v>679</v>
      </c>
      <c r="C699" s="1334" t="s">
        <v>1355</v>
      </c>
      <c r="D699" s="1308">
        <v>45337</v>
      </c>
      <c r="E699" s="658">
        <v>18850</v>
      </c>
      <c r="F699" s="1309" t="s">
        <v>69</v>
      </c>
      <c r="G699" s="1310">
        <f ca="1">ROUND(IF(CostTrack[[#This Row],[Holdback (Y/N/R)]]="Yes",CostTrack[[#This Row],[Value]]*-0.1,IF(CostTrack[[#This Row],[Holdback (Y/N/R)]]="Release",CostTrack[[#This Row],[Value]],0)),2)</f>
        <v>0</v>
      </c>
      <c r="H699" s="1311">
        <f ca="1">IF(CostTrack[[#This Row],[Holdback (Y/N/R)]]="Release",CostTrack[[#This Row],[Value]],CostTrack[[#This Row],[Value]]+CostTrack[[#This Row],[Holdback Value]])</f>
        <v>18850</v>
      </c>
      <c r="I699" s="1312"/>
      <c r="J699" s="1312"/>
      <c r="K699" s="1313"/>
      <c r="L699" s="1321">
        <v>45373</v>
      </c>
      <c r="M699" s="1326">
        <v>45373</v>
      </c>
      <c r="N699" s="1327"/>
      <c r="O699" s="1328" t="s">
        <v>106</v>
      </c>
      <c r="P699" s="1308">
        <v>45373</v>
      </c>
      <c r="Q699" s="1314" t="str">
        <f ca="1">IF(CostTrack[[#This Row],[Vendor - Contract]]="","",INDEX(VendorList[PA ID],MATCH(CostTrack[[#This Row],[Vendor - Contract]],VendorList[Vendor / Org. with Contract ID],0)))</f>
        <v>400.020.F1</v>
      </c>
      <c r="R699" s="1314" t="str">
        <f ca="1">IF(CostTrack[[#This Row],[Vendor - Contract]]="","",INDEX(VendorList[Primary Category],MATCH(CostTrack[[#This Row],[Vendor - Contract]],VendorList[Vendor / Org. with Contract ID],0)))</f>
        <v>FE_IT</v>
      </c>
      <c r="S699" s="1314" t="str">
        <f ca="1">IF(CostTrack[[#This Row],[Vendor - Contract]]="","",INDEX(VendorList[Secondary Category],MATCH(CostTrack[[#This Row],[Vendor - Contract]],VendorList[Vendor / Org. with Contract ID],0)))</f>
        <v>Information Technology</v>
      </c>
      <c r="T699" s="1314" t="str">
        <f ca="1">IF(CostTrack[[#This Row],[Vendor - Contract]]="","",INDEX(VendorList[Phase / Subproject],MATCH(CostTrack[[#This Row],[Vendor - Contract]],VendorList[Vendor / Org. with Contract ID],0)))</f>
        <v>--</v>
      </c>
      <c r="U699" s="1314" t="str">
        <f ca="1">IF(CostTrack[[#This Row],[Vendor - Contract]]="","",INDEX(VendorList[Phase / Subproject 2],MATCH(CostTrack[[#This Row],[Vendor - Contract]],VendorList[Vendor / Org. with Contract ID],0)))</f>
        <v>--</v>
      </c>
      <c r="V699" s="1314" t="str">
        <f ca="1">IF(CostTrack[[#This Row],[Vendor - Contract]]="","",INDEX(VendorList[Funding Source],MATCH(CostTrack[[#This Row],[Vendor - Contract]],VendorList[Vendor / Org. with Contract ID],0)))</f>
        <v>P-002360</v>
      </c>
      <c r="W699" s="1308">
        <v>45378</v>
      </c>
      <c r="X699" s="1315" t="str">
        <f ca="1">IF(CostTrack[[#This Row],[Release Date (CMS)]]="","*","")</f>
        <v/>
      </c>
      <c r="Y699" s="1308" t="s">
        <v>58</v>
      </c>
      <c r="Z699" s="652" t="s">
        <v>1356</v>
      </c>
      <c r="AA699" s="1316">
        <f ca="1">IF(OR(CostTrack[[#This Row],[Release Date (CMS)]]&gt;=DATE(VALUE(REPLACE(CostTrack[[#This Row],[Fiscal Period]],3,3,"")),3,1),CostTrack[[#This Row],[Release Date (CMS)]]&lt;DATE(VALUE(LEFT(CostTrack[[#This Row],[Fiscal Period]],4)),4,1)),1,0)</f>
        <v>1</v>
      </c>
      <c r="AB699" s="1317">
        <v>18850</v>
      </c>
      <c r="AC699" s="1308">
        <v>45398</v>
      </c>
      <c r="AD699" s="402" t="str">
        <f ca="1">IF(CostTrack[[#This Row],[Reconciled Amount]]="","",IF(CostTrack[[#This Row],[Value]]&lt;&gt;CostTrack[[#This Row],[Reconciled Amount]],"Yes","No"))</f>
        <v>No</v>
      </c>
      <c r="AE699" s="658"/>
    </row>
    <row r="700" spans="2:31" ht="26.25" customHeight="1">
      <c r="B700" s="1324" t="s">
        <v>679</v>
      </c>
      <c r="C700" s="691" t="s">
        <v>1355</v>
      </c>
      <c r="D700" s="1308">
        <v>45382</v>
      </c>
      <c r="E700" s="658">
        <v>18850</v>
      </c>
      <c r="F700" s="1309" t="s">
        <v>69</v>
      </c>
      <c r="G700" s="1310">
        <f ca="1">ROUND(IF(CostTrack[[#This Row],[Holdback (Y/N/R)]]="Yes",CostTrack[[#This Row],[Value]]*-0.1,IF(CostTrack[[#This Row],[Holdback (Y/N/R)]]="Release",CostTrack[[#This Row],[Value]],0)),2)</f>
        <v>0</v>
      </c>
      <c r="H700" s="1311">
        <f ca="1">IF(CostTrack[[#This Row],[Holdback (Y/N/R)]]="Release",CostTrack[[#This Row],[Value]],CostTrack[[#This Row],[Value]]+CostTrack[[#This Row],[Holdback Value]])</f>
        <v>18850</v>
      </c>
      <c r="I700" s="1312"/>
      <c r="J700" s="1312"/>
      <c r="K700" s="1313"/>
      <c r="L700" s="1326">
        <v>45378</v>
      </c>
      <c r="M700" s="708">
        <v>45378</v>
      </c>
      <c r="N700" s="1327"/>
      <c r="O700" s="1328" t="s">
        <v>106</v>
      </c>
      <c r="P700" s="1308">
        <v>45378</v>
      </c>
      <c r="Q700" s="1314" t="str">
        <f ca="1">IF(CostTrack[[#This Row],[Vendor - Contract]]="","",INDEX(VendorList[PA ID],MATCH(CostTrack[[#This Row],[Vendor - Contract]],VendorList[Vendor / Org. with Contract ID],0)))</f>
        <v>400.020.F1</v>
      </c>
      <c r="R700" s="1314" t="str">
        <f ca="1">IF(CostTrack[[#This Row],[Vendor - Contract]]="","",INDEX(VendorList[Primary Category],MATCH(CostTrack[[#This Row],[Vendor - Contract]],VendorList[Vendor / Org. with Contract ID],0)))</f>
        <v>FE_IT</v>
      </c>
      <c r="S700" s="1314" t="str">
        <f ca="1">IF(CostTrack[[#This Row],[Vendor - Contract]]="","",INDEX(VendorList[Secondary Category],MATCH(CostTrack[[#This Row],[Vendor - Contract]],VendorList[Vendor / Org. with Contract ID],0)))</f>
        <v>Information Technology</v>
      </c>
      <c r="T700" s="1314" t="str">
        <f ca="1">IF(CostTrack[[#This Row],[Vendor - Contract]]="","",INDEX(VendorList[Phase / Subproject],MATCH(CostTrack[[#This Row],[Vendor - Contract]],VendorList[Vendor / Org. with Contract ID],0)))</f>
        <v>--</v>
      </c>
      <c r="U700" s="1314" t="str">
        <f ca="1">IF(CostTrack[[#This Row],[Vendor - Contract]]="","",INDEX(VendorList[Phase / Subproject 2],MATCH(CostTrack[[#This Row],[Vendor - Contract]],VendorList[Vendor / Org. with Contract ID],0)))</f>
        <v>--</v>
      </c>
      <c r="V700" s="1314" t="str">
        <f ca="1">IF(CostTrack[[#This Row],[Vendor - Contract]]="","",INDEX(VendorList[Funding Source],MATCH(CostTrack[[#This Row],[Vendor - Contract]],VendorList[Vendor / Org. with Contract ID],0)))</f>
        <v>P-002360</v>
      </c>
      <c r="W700" s="1308">
        <v>45382</v>
      </c>
      <c r="X700" s="1315" t="str">
        <f ca="1">IF(CostTrack[[#This Row],[Release Date (CMS)]]="","*","")</f>
        <v/>
      </c>
      <c r="Y700" s="1308" t="s">
        <v>58</v>
      </c>
      <c r="Z700" s="652" t="s">
        <v>1356</v>
      </c>
      <c r="AA700" s="1316">
        <f ca="1">IF(OR(CostTrack[[#This Row],[Release Date (CMS)]]&gt;=DATE(VALUE(REPLACE(CostTrack[[#This Row],[Fiscal Period]],3,3,"")),3,1),CostTrack[[#This Row],[Release Date (CMS)]]&lt;DATE(VALUE(LEFT(CostTrack[[#This Row],[Fiscal Period]],4)),4,1)),1,0)</f>
        <v>1</v>
      </c>
      <c r="AB700" s="1317">
        <v>18850</v>
      </c>
      <c r="AC700" s="1308">
        <v>45398</v>
      </c>
      <c r="AD700" s="402" t="str">
        <f ca="1">IF(CostTrack[[#This Row],[Reconciled Amount]]="","",IF(CostTrack[[#This Row],[Value]]&lt;&gt;CostTrack[[#This Row],[Reconciled Amount]],"Yes","No"))</f>
        <v>No</v>
      </c>
      <c r="AE700" s="658"/>
    </row>
    <row r="701" spans="2:31" ht="26.25" customHeight="1">
      <c r="B701" s="706" t="s">
        <v>679</v>
      </c>
      <c r="C701" s="691" t="s">
        <v>1355</v>
      </c>
      <c r="D701" s="267">
        <v>45377</v>
      </c>
      <c r="E701" s="658">
        <v>37700</v>
      </c>
      <c r="F701" s="647" t="s">
        <v>69</v>
      </c>
      <c r="G701" s="406">
        <f ca="1">ROUND(IF(CostTrack[[#This Row],[Holdback (Y/N/R)]]="Yes",CostTrack[[#This Row],[Value]]*-0.1,IF(CostTrack[[#This Row],[Holdback (Y/N/R)]]="Release",CostTrack[[#This Row],[Value]],0)),2)</f>
        <v>0</v>
      </c>
      <c r="H701" s="407">
        <f ca="1">IF(CostTrack[[#This Row],[Holdback (Y/N/R)]]="Release",CostTrack[[#This Row],[Value]],CostTrack[[#This Row],[Value]]+CostTrack[[#This Row],[Holdback Value]])</f>
        <v>37700</v>
      </c>
      <c r="I701" s="650"/>
      <c r="J701" s="650"/>
      <c r="K701" s="648"/>
      <c r="L701" s="1325">
        <v>45379</v>
      </c>
      <c r="M701" s="708">
        <v>45379</v>
      </c>
      <c r="N701" s="709"/>
      <c r="O701" s="712" t="s">
        <v>106</v>
      </c>
      <c r="P701" s="267">
        <v>45379</v>
      </c>
      <c r="Q701" s="243" t="str">
        <f ca="1">IF(CostTrack[[#This Row],[Vendor - Contract]]="","",INDEX(VendorList[PA ID],MATCH(CostTrack[[#This Row],[Vendor - Contract]],VendorList[Vendor / Org. with Contract ID],0)))</f>
        <v>400.020.F1</v>
      </c>
      <c r="R701" s="243" t="str">
        <f ca="1">IF(CostTrack[[#This Row],[Vendor - Contract]]="","",INDEX(VendorList[Primary Category],MATCH(CostTrack[[#This Row],[Vendor - Contract]],VendorList[Vendor / Org. with Contract ID],0)))</f>
        <v>FE_IT</v>
      </c>
      <c r="S701" s="243" t="str">
        <f ca="1">IF(CostTrack[[#This Row],[Vendor - Contract]]="","",INDEX(VendorList[Secondary Category],MATCH(CostTrack[[#This Row],[Vendor - Contract]],VendorList[Vendor / Org. with Contract ID],0)))</f>
        <v>Information Technology</v>
      </c>
      <c r="T701" s="243" t="str">
        <f ca="1">IF(CostTrack[[#This Row],[Vendor - Contract]]="","",INDEX(VendorList[Phase / Subproject],MATCH(CostTrack[[#This Row],[Vendor - Contract]],VendorList[Vendor / Org. with Contract ID],0)))</f>
        <v>--</v>
      </c>
      <c r="U701" s="243" t="str">
        <f ca="1">IF(CostTrack[[#This Row],[Vendor - Contract]]="","",INDEX(VendorList[Phase / Subproject 2],MATCH(CostTrack[[#This Row],[Vendor - Contract]],VendorList[Vendor / Org. with Contract ID],0)))</f>
        <v>--</v>
      </c>
      <c r="V701" s="243" t="str">
        <f ca="1">IF(CostTrack[[#This Row],[Vendor - Contract]]="","",INDEX(VendorList[Funding Source],MATCH(CostTrack[[#This Row],[Vendor - Contract]],VendorList[Vendor / Org. with Contract ID],0)))</f>
        <v>P-002360</v>
      </c>
      <c r="W701" s="267">
        <v>45379</v>
      </c>
      <c r="X701" s="251" t="str">
        <f ca="1">IF(CostTrack[[#This Row],[Release Date (CMS)]]="","*","")</f>
        <v/>
      </c>
      <c r="Y701" s="267" t="s">
        <v>58</v>
      </c>
      <c r="Z701" s="652" t="s">
        <v>1356</v>
      </c>
      <c r="AA701" s="245">
        <f ca="1">IF(OR(CostTrack[[#This Row],[Release Date (CMS)]]&gt;=DATE(VALUE(REPLACE(CostTrack[[#This Row],[Fiscal Period]],3,3,"")),3,1),CostTrack[[#This Row],[Release Date (CMS)]]&lt;DATE(VALUE(LEFT(CostTrack[[#This Row],[Fiscal Period]],4)),4,1)),1,0)</f>
        <v>1</v>
      </c>
      <c r="AB701" s="655">
        <v>37700</v>
      </c>
      <c r="AC701" s="267">
        <v>45398</v>
      </c>
      <c r="AD701" s="402" t="str">
        <f ca="1">IF(CostTrack[[#This Row],[Reconciled Amount]]="","",IF(CostTrack[[#This Row],[Value]]&lt;&gt;CostTrack[[#This Row],[Reconciled Amount]],"Yes","No"))</f>
        <v>No</v>
      </c>
      <c r="AE701" s="654"/>
    </row>
    <row r="702" spans="2:31" ht="26.25" customHeight="1">
      <c r="B702" s="706" t="s">
        <v>736</v>
      </c>
      <c r="C702" s="691" t="s">
        <v>1357</v>
      </c>
      <c r="D702" s="267">
        <v>45382</v>
      </c>
      <c r="E702" s="658">
        <v>37952.370000000003</v>
      </c>
      <c r="F702" s="647" t="s">
        <v>69</v>
      </c>
      <c r="G702" s="406">
        <f ca="1">ROUND(IF(CostTrack[[#This Row],[Holdback (Y/N/R)]]="Yes",CostTrack[[#This Row],[Value]]*-0.1,IF(CostTrack[[#This Row],[Holdback (Y/N/R)]]="Release",CostTrack[[#This Row],[Value]],0)),2)</f>
        <v>0</v>
      </c>
      <c r="H702" s="407">
        <f ca="1">IF(CostTrack[[#This Row],[Holdback (Y/N/R)]]="Release",CostTrack[[#This Row],[Value]],CostTrack[[#This Row],[Value]]+CostTrack[[#This Row],[Holdback Value]])</f>
        <v>37952.370000000003</v>
      </c>
      <c r="I702" s="650"/>
      <c r="J702" s="650"/>
      <c r="K702" s="648"/>
      <c r="L702" s="707">
        <v>45382</v>
      </c>
      <c r="M702" s="708">
        <v>45382</v>
      </c>
      <c r="N702" s="709"/>
      <c r="O702" s="712" t="s">
        <v>106</v>
      </c>
      <c r="P702" s="267">
        <v>45382</v>
      </c>
      <c r="Q702" s="243" t="str">
        <f ca="1">IF(CostTrack[[#This Row],[Vendor - Contract]]="","",INDEX(VendorList[PA ID],MATCH(CostTrack[[#This Row],[Vendor - Contract]],VendorList[Vendor / Org. with Contract ID],0)))</f>
        <v>100.010.F1</v>
      </c>
      <c r="R702" s="243" t="str">
        <f ca="1">IF(CostTrack[[#This Row],[Vendor - Contract]]="","",INDEX(VendorList[Primary Category],MATCH(CostTrack[[#This Row],[Vendor - Contract]],VendorList[Vendor / Org. with Contract ID],0)))</f>
        <v>Administration</v>
      </c>
      <c r="S702" s="243" t="str">
        <f ca="1">IF(CostTrack[[#This Row],[Vendor - Contract]]="","",INDEX(VendorList[Secondary Category],MATCH(CostTrack[[#This Row],[Vendor - Contract]],VendorList[Vendor / Org. with Contract ID],0)))</f>
        <v>Staff Capitalization - INFRA</v>
      </c>
      <c r="T702" s="243" t="str">
        <f ca="1">IF(CostTrack[[#This Row],[Vendor - Contract]]="","",INDEX(VendorList[Phase / Subproject],MATCH(CostTrack[[#This Row],[Vendor - Contract]],VendorList[Vendor / Org. with Contract ID],0)))</f>
        <v>--</v>
      </c>
      <c r="U702" s="243" t="str">
        <f ca="1">IF(CostTrack[[#This Row],[Vendor - Contract]]="","",INDEX(VendorList[Phase / Subproject 2],MATCH(CostTrack[[#This Row],[Vendor - Contract]],VendorList[Vendor / Org. with Contract ID],0)))</f>
        <v>--</v>
      </c>
      <c r="V702" s="243" t="str">
        <f ca="1">IF(CostTrack[[#This Row],[Vendor - Contract]]="","",INDEX(VendorList[Funding Source],MATCH(CostTrack[[#This Row],[Vendor - Contract]],VendorList[Vendor / Org. with Contract ID],0)))</f>
        <v>P-002360</v>
      </c>
      <c r="W702" s="267">
        <v>45382</v>
      </c>
      <c r="X702" s="251" t="str">
        <f ca="1">IF(CostTrack[[#This Row],[Release Date (CMS)]]="","*","")</f>
        <v/>
      </c>
      <c r="Y702" s="267" t="s">
        <v>58</v>
      </c>
      <c r="Z702" s="652"/>
      <c r="AA702" s="245">
        <f ca="1">IF(OR(CostTrack[[#This Row],[Release Date (CMS)]]&gt;=DATE(VALUE(REPLACE(CostTrack[[#This Row],[Fiscal Period]],3,3,"")),3,1),CostTrack[[#This Row],[Release Date (CMS)]]&lt;DATE(VALUE(LEFT(CostTrack[[#This Row],[Fiscal Period]],4)),4,1)),1,0)</f>
        <v>1</v>
      </c>
      <c r="AB702" s="655">
        <v>37952.370000000003</v>
      </c>
      <c r="AC702" s="267">
        <v>45398</v>
      </c>
      <c r="AD702" s="402" t="str">
        <f ca="1">IF(CostTrack[[#This Row],[Reconciled Amount]]="","",IF(CostTrack[[#This Row],[Value]]&lt;&gt;CostTrack[[#This Row],[Reconciled Amount]],"Yes","No"))</f>
        <v>No</v>
      </c>
      <c r="AE702" s="654"/>
    </row>
    <row r="703" spans="2:31" ht="33" customHeight="1">
      <c r="B703" s="1324" t="s">
        <v>1358</v>
      </c>
      <c r="C703" s="1334">
        <v>72911</v>
      </c>
      <c r="D703" s="1308">
        <v>45372</v>
      </c>
      <c r="E703" s="658">
        <v>1058.57</v>
      </c>
      <c r="F703" s="1309"/>
      <c r="G703" s="1310">
        <f ca="1">ROUND(IF(CostTrack[[#This Row],[Holdback (Y/N/R)]]="Yes",CostTrack[[#This Row],[Value]]*-0.1,IF(CostTrack[[#This Row],[Holdback (Y/N/R)]]="Release",CostTrack[[#This Row],[Value]],0)),2)</f>
        <v>0</v>
      </c>
      <c r="H703" s="1311">
        <f ca="1">IF(CostTrack[[#This Row],[Holdback (Y/N/R)]]="Release",CostTrack[[#This Row],[Value]],CostTrack[[#This Row],[Value]]+CostTrack[[#This Row],[Holdback Value]])</f>
        <v>1058.57</v>
      </c>
      <c r="I703" s="1312"/>
      <c r="J703" s="1312"/>
      <c r="K703" s="1313"/>
      <c r="L703" s="1325">
        <v>45372</v>
      </c>
      <c r="M703" s="1326">
        <v>45372</v>
      </c>
      <c r="N703" s="1327"/>
      <c r="O703" s="1328" t="s">
        <v>106</v>
      </c>
      <c r="P703" s="1308">
        <v>45372</v>
      </c>
      <c r="Q703" s="1314" t="str">
        <f ca="1">IF(CostTrack[[#This Row],[Vendor - Contract]]="","",INDEX(VendorList[PA ID],MATCH(CostTrack[[#This Row],[Vendor - Contract]],VendorList[Vendor / Org. with Contract ID],0)))</f>
        <v>300.040.F1</v>
      </c>
      <c r="R703" s="1314" t="str">
        <f ca="1">IF(CostTrack[[#This Row],[Vendor - Contract]]="","",INDEX(VendorList[Primary Category],MATCH(CostTrack[[#This Row],[Vendor - Contract]],VendorList[Vendor / Org. with Contract ID],0)))</f>
        <v>Construction</v>
      </c>
      <c r="S703" s="1314" t="str">
        <f ca="1">IF(CostTrack[[#This Row],[Vendor - Contract]]="","",INDEX(VendorList[Secondary Category],MATCH(CostTrack[[#This Row],[Vendor - Contract]],VendorList[Vendor / Org. with Contract ID],0)))</f>
        <v>Other Contractor</v>
      </c>
      <c r="T703" s="1314" t="str">
        <f ca="1">IF(CostTrack[[#This Row],[Vendor - Contract]]="","",INDEX(VendorList[Phase / Subproject],MATCH(CostTrack[[#This Row],[Vendor - Contract]],VendorList[Vendor / Org. with Contract ID],0)))</f>
        <v>--</v>
      </c>
      <c r="U703" s="1314" t="str">
        <f ca="1">IF(CostTrack[[#This Row],[Vendor - Contract]]="","",INDEX(VendorList[Phase / Subproject 2],MATCH(CostTrack[[#This Row],[Vendor - Contract]],VendorList[Vendor / Org. with Contract ID],0)))</f>
        <v>--</v>
      </c>
      <c r="V703" s="1314" t="str">
        <f ca="1">IF(CostTrack[[#This Row],[Vendor - Contract]]="","",INDEX(VendorList[Funding Source],MATCH(CostTrack[[#This Row],[Vendor - Contract]],VendorList[Vendor / Org. with Contract ID],0)))</f>
        <v>P-002360</v>
      </c>
      <c r="W703" s="1308">
        <v>45373</v>
      </c>
      <c r="X703" s="1315" t="str">
        <f ca="1">IF(CostTrack[[#This Row],[Release Date (CMS)]]="","*","")</f>
        <v/>
      </c>
      <c r="Y703" s="1308" t="s">
        <v>58</v>
      </c>
      <c r="Z703" s="713" t="s">
        <v>1359</v>
      </c>
      <c r="AA703" s="1316">
        <f ca="1">IF(OR(CostTrack[[#This Row],[Release Date (CMS)]]&gt;=DATE(VALUE(REPLACE(CostTrack[[#This Row],[Fiscal Period]],3,3,"")),3,1),CostTrack[[#This Row],[Release Date (CMS)]]&lt;DATE(VALUE(LEFT(CostTrack[[#This Row],[Fiscal Period]],4)),4,1)),1,0)</f>
        <v>1</v>
      </c>
      <c r="AB703" s="1317">
        <v>1058.57</v>
      </c>
      <c r="AC703" s="1308">
        <v>45398</v>
      </c>
      <c r="AD703" s="402" t="str">
        <f ca="1">IF(CostTrack[[#This Row],[Reconciled Amount]]="","",IF(CostTrack[[#This Row],[Value]]&lt;&gt;CostTrack[[#This Row],[Reconciled Amount]],"Yes","No"))</f>
        <v>No</v>
      </c>
      <c r="AE703" s="658"/>
    </row>
    <row r="704" spans="2:31" ht="42.75" customHeight="1">
      <c r="B704" s="1324" t="s">
        <v>1360</v>
      </c>
      <c r="C704" s="691" t="s">
        <v>1361</v>
      </c>
      <c r="D704" s="1308">
        <v>45302</v>
      </c>
      <c r="E704" s="658">
        <v>1012070.93</v>
      </c>
      <c r="F704" s="1309" t="s">
        <v>69</v>
      </c>
      <c r="G704" s="1310">
        <f ca="1">ROUND(IF(CostTrack[[#This Row],[Holdback (Y/N/R)]]="Yes",CostTrack[[#This Row],[Value]]*-0.1,IF(CostTrack[[#This Row],[Holdback (Y/N/R)]]="Release",CostTrack[[#This Row],[Value]],0)),2)</f>
        <v>0</v>
      </c>
      <c r="H704" s="1311">
        <f ca="1">IF(CostTrack[[#This Row],[Holdback (Y/N/R)]]="Release",CostTrack[[#This Row],[Value]],CostTrack[[#This Row],[Value]]+CostTrack[[#This Row],[Holdback Value]])</f>
        <v>1012070.93</v>
      </c>
      <c r="I704" s="1312"/>
      <c r="J704" s="1312"/>
      <c r="K704" s="1313"/>
      <c r="L704" s="1325">
        <v>45302</v>
      </c>
      <c r="M704" s="1326">
        <v>45302</v>
      </c>
      <c r="N704" s="1327"/>
      <c r="O704" s="1328" t="s">
        <v>106</v>
      </c>
      <c r="P704" s="1308">
        <v>45365</v>
      </c>
      <c r="Q704" s="1314" t="str">
        <f ca="1">IF(CostTrack[[#This Row],[Vendor - Contract]]="","",INDEX(VendorList[PA ID],MATCH(CostTrack[[#This Row],[Vendor - Contract]],VendorList[Vendor / Org. with Contract ID],0)))</f>
        <v>400.010.F1</v>
      </c>
      <c r="R704" s="1314" t="str">
        <f ca="1">IF(CostTrack[[#This Row],[Vendor - Contract]]="","",INDEX(VendorList[Primary Category],MATCH(CostTrack[[#This Row],[Vendor - Contract]],VendorList[Vendor / Org. with Contract ID],0)))</f>
        <v>FE_IT</v>
      </c>
      <c r="S704" s="1314" t="str">
        <f ca="1">IF(CostTrack[[#This Row],[Vendor - Contract]]="","",INDEX(VendorList[Secondary Category],MATCH(CostTrack[[#This Row],[Vendor - Contract]],VendorList[Vendor / Org. with Contract ID],0)))</f>
        <v>Furniture &amp; Equipment</v>
      </c>
      <c r="T704" s="1314" t="str">
        <f ca="1">IF(CostTrack[[#This Row],[Vendor - Contract]]="","",INDEX(VendorList[Phase / Subproject],MATCH(CostTrack[[#This Row],[Vendor - Contract]],VendorList[Vendor / Org. with Contract ID],0)))</f>
        <v>--</v>
      </c>
      <c r="U704" s="1314" t="str">
        <f ca="1">IF(CostTrack[[#This Row],[Vendor - Contract]]="","",INDEX(VendorList[Phase / Subproject 2],MATCH(CostTrack[[#This Row],[Vendor - Contract]],VendorList[Vendor / Org. with Contract ID],0)))</f>
        <v>--</v>
      </c>
      <c r="V704" s="1314" t="str">
        <f ca="1">IF(CostTrack[[#This Row],[Vendor - Contract]]="","",INDEX(VendorList[Funding Source],MATCH(CostTrack[[#This Row],[Vendor - Contract]],VendorList[Vendor / Org. with Contract ID],0)))</f>
        <v>P-002360</v>
      </c>
      <c r="W704" s="1308">
        <v>45365</v>
      </c>
      <c r="X704" s="1315" t="str">
        <f ca="1">IF(CostTrack[[#This Row],[Release Date (CMS)]]="","*","")</f>
        <v/>
      </c>
      <c r="Y704" s="1308" t="s">
        <v>58</v>
      </c>
      <c r="Z704" s="652" t="s">
        <v>1362</v>
      </c>
      <c r="AA704" s="1316">
        <f ca="1">IF(OR(CostTrack[[#This Row],[Release Date (CMS)]]&gt;=DATE(VALUE(REPLACE(CostTrack[[#This Row],[Fiscal Period]],3,3,"")),3,1),CostTrack[[#This Row],[Release Date (CMS)]]&lt;DATE(VALUE(LEFT(CostTrack[[#This Row],[Fiscal Period]],4)),4,1)),1,0)</f>
        <v>1</v>
      </c>
      <c r="AB704" s="1317">
        <v>1012070.93</v>
      </c>
      <c r="AC704" s="1308">
        <v>45398</v>
      </c>
      <c r="AD704" s="402" t="str">
        <f ca="1">IF(CostTrack[[#This Row],[Reconciled Amount]]="","",IF(CostTrack[[#This Row],[Value]]&lt;&gt;CostTrack[[#This Row],[Reconciled Amount]],"Yes","No"))</f>
        <v>No</v>
      </c>
      <c r="AE704" s="658"/>
    </row>
    <row r="705" spans="2:31" ht="62.25" customHeight="1">
      <c r="B705" s="1324" t="s">
        <v>1363</v>
      </c>
      <c r="C705" s="691" t="s">
        <v>1364</v>
      </c>
      <c r="D705" s="1308">
        <v>45330</v>
      </c>
      <c r="E705" s="658">
        <v>10335</v>
      </c>
      <c r="F705" s="1309" t="s">
        <v>69</v>
      </c>
      <c r="G705" s="1310">
        <f ca="1">ROUND(IF(CostTrack[[#This Row],[Holdback (Y/N/R)]]="Yes",CostTrack[[#This Row],[Value]]*-0.1,IF(CostTrack[[#This Row],[Holdback (Y/N/R)]]="Release",CostTrack[[#This Row],[Value]],0)),2)</f>
        <v>0</v>
      </c>
      <c r="H705" s="1311">
        <f ca="1">IF(CostTrack[[#This Row],[Holdback (Y/N/R)]]="Release",CostTrack[[#This Row],[Value]],CostTrack[[#This Row],[Value]]+CostTrack[[#This Row],[Holdback Value]])</f>
        <v>10335</v>
      </c>
      <c r="I705" s="1312"/>
      <c r="J705" s="1312"/>
      <c r="K705" s="1313"/>
      <c r="L705" s="1325">
        <v>45330</v>
      </c>
      <c r="M705" s="1326">
        <v>45330</v>
      </c>
      <c r="N705" s="1327"/>
      <c r="O705" s="1328" t="s">
        <v>106</v>
      </c>
      <c r="P705" s="1308">
        <v>45363</v>
      </c>
      <c r="Q705" s="1314" t="str">
        <f ca="1">IF(CostTrack[[#This Row],[Vendor - Contract]]="","",INDEX(VendorList[PA ID],MATCH(CostTrack[[#This Row],[Vendor - Contract]],VendorList[Vendor / Org. with Contract ID],0)))</f>
        <v>400.010.F1</v>
      </c>
      <c r="R705" s="1314" t="str">
        <f ca="1">IF(CostTrack[[#This Row],[Vendor - Contract]]="","",INDEX(VendorList[Primary Category],MATCH(CostTrack[[#This Row],[Vendor - Contract]],VendorList[Vendor / Org. with Contract ID],0)))</f>
        <v>FE_IT</v>
      </c>
      <c r="S705" s="1314" t="str">
        <f ca="1">IF(CostTrack[[#This Row],[Vendor - Contract]]="","",INDEX(VendorList[Secondary Category],MATCH(CostTrack[[#This Row],[Vendor - Contract]],VendorList[Vendor / Org. with Contract ID],0)))</f>
        <v>Furniture &amp; Equipment</v>
      </c>
      <c r="T705" s="1314" t="str">
        <f ca="1">IF(CostTrack[[#This Row],[Vendor - Contract]]="","",INDEX(VendorList[Phase / Subproject],MATCH(CostTrack[[#This Row],[Vendor - Contract]],VendorList[Vendor / Org. with Contract ID],0)))</f>
        <v>--</v>
      </c>
      <c r="U705" s="1314" t="str">
        <f ca="1">IF(CostTrack[[#This Row],[Vendor - Contract]]="","",INDEX(VendorList[Phase / Subproject 2],MATCH(CostTrack[[#This Row],[Vendor - Contract]],VendorList[Vendor / Org. with Contract ID],0)))</f>
        <v>--</v>
      </c>
      <c r="V705" s="1314" t="str">
        <f ca="1">IF(CostTrack[[#This Row],[Vendor - Contract]]="","",INDEX(VendorList[Funding Source],MATCH(CostTrack[[#This Row],[Vendor - Contract]],VendorList[Vendor / Org. with Contract ID],0)))</f>
        <v>P-002360</v>
      </c>
      <c r="W705" s="1308">
        <v>45363</v>
      </c>
      <c r="X705" s="1315" t="str">
        <f ca="1">IF(CostTrack[[#This Row],[Release Date (CMS)]]="","*","")</f>
        <v/>
      </c>
      <c r="Y705" s="1308" t="s">
        <v>58</v>
      </c>
      <c r="Z705" s="713" t="s">
        <v>1365</v>
      </c>
      <c r="AA705" s="1316">
        <f ca="1">IF(OR(CostTrack[[#This Row],[Release Date (CMS)]]&gt;=DATE(VALUE(REPLACE(CostTrack[[#This Row],[Fiscal Period]],3,3,"")),3,1),CostTrack[[#This Row],[Release Date (CMS)]]&lt;DATE(VALUE(LEFT(CostTrack[[#This Row],[Fiscal Period]],4)),4,1)),1,0)</f>
        <v>1</v>
      </c>
      <c r="AB705" s="1317">
        <v>10335</v>
      </c>
      <c r="AC705" s="1308">
        <v>45398</v>
      </c>
      <c r="AD705" s="402" t="str">
        <f ca="1">IF(CostTrack[[#This Row],[Reconciled Amount]]="","",IF(CostTrack[[#This Row],[Value]]&lt;&gt;CostTrack[[#This Row],[Reconciled Amount]],"Yes","No"))</f>
        <v>No</v>
      </c>
      <c r="AE705" s="658"/>
    </row>
    <row r="706" spans="2:31" ht="62.25" customHeight="1">
      <c r="B706" s="706" t="s">
        <v>1366</v>
      </c>
      <c r="C706" s="691" t="s">
        <v>1367</v>
      </c>
      <c r="D706" s="267">
        <v>45365</v>
      </c>
      <c r="E706" s="658">
        <v>732</v>
      </c>
      <c r="F706" s="647" t="s">
        <v>69</v>
      </c>
      <c r="G706" s="406">
        <f ca="1">ROUND(IF(CostTrack[[#This Row],[Holdback (Y/N/R)]]="Yes",CostTrack[[#This Row],[Value]]*-0.1,IF(CostTrack[[#This Row],[Holdback (Y/N/R)]]="Release",CostTrack[[#This Row],[Value]],0)),2)</f>
        <v>0</v>
      </c>
      <c r="H706" s="407">
        <f ca="1">IF(CostTrack[[#This Row],[Holdback (Y/N/R)]]="Release",CostTrack[[#This Row],[Value]],CostTrack[[#This Row],[Value]]+CostTrack[[#This Row],[Holdback Value]])</f>
        <v>732</v>
      </c>
      <c r="I706" s="650"/>
      <c r="J706" s="650"/>
      <c r="K706" s="648"/>
      <c r="L706" s="707">
        <v>45365</v>
      </c>
      <c r="M706" s="708">
        <v>45365</v>
      </c>
      <c r="N706" s="709"/>
      <c r="O706" s="712" t="s">
        <v>106</v>
      </c>
      <c r="P706" s="267">
        <v>45365</v>
      </c>
      <c r="Q706" s="243" t="str">
        <f ca="1">IF(CostTrack[[#This Row],[Vendor - Contract]]="","",INDEX(VendorList[PA ID],MATCH(CostTrack[[#This Row],[Vendor - Contract]],VendorList[Vendor / Org. with Contract ID],0)))</f>
        <v>400.010.F1</v>
      </c>
      <c r="R706" s="243" t="str">
        <f ca="1">IF(CostTrack[[#This Row],[Vendor - Contract]]="","",INDEX(VendorList[Primary Category],MATCH(CostTrack[[#This Row],[Vendor - Contract]],VendorList[Vendor / Org. with Contract ID],0)))</f>
        <v>FE_IT</v>
      </c>
      <c r="S706" s="243" t="str">
        <f ca="1">IF(CostTrack[[#This Row],[Vendor - Contract]]="","",INDEX(VendorList[Secondary Category],MATCH(CostTrack[[#This Row],[Vendor - Contract]],VendorList[Vendor / Org. with Contract ID],0)))</f>
        <v>Furniture &amp; Equipment</v>
      </c>
      <c r="T706" s="243" t="str">
        <f ca="1">IF(CostTrack[[#This Row],[Vendor - Contract]]="","",INDEX(VendorList[Phase / Subproject],MATCH(CostTrack[[#This Row],[Vendor - Contract]],VendorList[Vendor / Org. with Contract ID],0)))</f>
        <v>--</v>
      </c>
      <c r="U706" s="243" t="str">
        <f ca="1">IF(CostTrack[[#This Row],[Vendor - Contract]]="","",INDEX(VendorList[Phase / Subproject 2],MATCH(CostTrack[[#This Row],[Vendor - Contract]],VendorList[Vendor / Org. with Contract ID],0)))</f>
        <v>--</v>
      </c>
      <c r="V706" s="243" t="str">
        <f ca="1">IF(CostTrack[[#This Row],[Vendor - Contract]]="","",INDEX(VendorList[Funding Source],MATCH(CostTrack[[#This Row],[Vendor - Contract]],VendorList[Vendor / Org. with Contract ID],0)))</f>
        <v>P-002360</v>
      </c>
      <c r="W706" s="267">
        <v>45365</v>
      </c>
      <c r="X706" s="251" t="str">
        <f ca="1">IF(CostTrack[[#This Row],[Release Date (CMS)]]="","*","")</f>
        <v/>
      </c>
      <c r="Y706" s="267" t="s">
        <v>58</v>
      </c>
      <c r="Z706" s="652"/>
      <c r="AA706" s="245">
        <f ca="1">IF(OR(CostTrack[[#This Row],[Release Date (CMS)]]&gt;=DATE(VALUE(REPLACE(CostTrack[[#This Row],[Fiscal Period]],3,3,"")),3,1),CostTrack[[#This Row],[Release Date (CMS)]]&lt;DATE(VALUE(LEFT(CostTrack[[#This Row],[Fiscal Period]],4)),4,1)),1,0)</f>
        <v>1</v>
      </c>
      <c r="AB706" s="655">
        <v>732</v>
      </c>
      <c r="AC706" s="267">
        <v>45398</v>
      </c>
      <c r="AD706" s="402" t="str">
        <f ca="1">IF(CostTrack[[#This Row],[Reconciled Amount]]="","",IF(CostTrack[[#This Row],[Value]]&lt;&gt;CostTrack[[#This Row],[Reconciled Amount]],"Yes","No"))</f>
        <v>No</v>
      </c>
      <c r="AE706" s="654"/>
    </row>
    <row r="707" spans="2:31" ht="55.5" customHeight="1">
      <c r="B707" s="706" t="s">
        <v>1368</v>
      </c>
      <c r="C707" s="691" t="s">
        <v>1369</v>
      </c>
      <c r="D707" s="267">
        <v>45355</v>
      </c>
      <c r="E707" s="658">
        <v>140694.82</v>
      </c>
      <c r="F707" s="647" t="s">
        <v>69</v>
      </c>
      <c r="G707" s="406">
        <f ca="1">ROUND(IF(CostTrack[[#This Row],[Holdback (Y/N/R)]]="Yes",CostTrack[[#This Row],[Value]]*-0.1,IF(CostTrack[[#This Row],[Holdback (Y/N/R)]]="Release",CostTrack[[#This Row],[Value]],0)),2)</f>
        <v>0</v>
      </c>
      <c r="H707" s="407">
        <f ca="1">IF(CostTrack[[#This Row],[Holdback (Y/N/R)]]="Release",CostTrack[[#This Row],[Value]],CostTrack[[#This Row],[Value]]+CostTrack[[#This Row],[Holdback Value]])</f>
        <v>140694.82</v>
      </c>
      <c r="I707" s="650"/>
      <c r="J707" s="650"/>
      <c r="K707" s="648"/>
      <c r="L707" s="707">
        <v>45355</v>
      </c>
      <c r="M707" s="708">
        <v>45355</v>
      </c>
      <c r="N707" s="709"/>
      <c r="O707" s="712" t="s">
        <v>106</v>
      </c>
      <c r="P707" s="267">
        <v>45355</v>
      </c>
      <c r="Q707" s="243" t="str">
        <f ca="1">IF(CostTrack[[#This Row],[Vendor - Contract]]="","",INDEX(VendorList[PA ID],MATCH(CostTrack[[#This Row],[Vendor - Contract]],VendorList[Vendor / Org. with Contract ID],0)))</f>
        <v>400.010.F1</v>
      </c>
      <c r="R707" s="243" t="str">
        <f ca="1">IF(CostTrack[[#This Row],[Vendor - Contract]]="","",INDEX(VendorList[Primary Category],MATCH(CostTrack[[#This Row],[Vendor - Contract]],VendorList[Vendor / Org. with Contract ID],0)))</f>
        <v>FE_IT</v>
      </c>
      <c r="S707" s="243" t="str">
        <f ca="1">IF(CostTrack[[#This Row],[Vendor - Contract]]="","",INDEX(VendorList[Secondary Category],MATCH(CostTrack[[#This Row],[Vendor - Contract]],VendorList[Vendor / Org. with Contract ID],0)))</f>
        <v>Furniture &amp; Equipment</v>
      </c>
      <c r="T707" s="243" t="str">
        <f ca="1">IF(CostTrack[[#This Row],[Vendor - Contract]]="","",INDEX(VendorList[Phase / Subproject],MATCH(CostTrack[[#This Row],[Vendor - Contract]],VendorList[Vendor / Org. with Contract ID],0)))</f>
        <v>--</v>
      </c>
      <c r="U707" s="243" t="str">
        <f ca="1">IF(CostTrack[[#This Row],[Vendor - Contract]]="","",INDEX(VendorList[Phase / Subproject 2],MATCH(CostTrack[[#This Row],[Vendor - Contract]],VendorList[Vendor / Org. with Contract ID],0)))</f>
        <v>--</v>
      </c>
      <c r="V707" s="243" t="str">
        <f ca="1">IF(CostTrack[[#This Row],[Vendor - Contract]]="","",INDEX(VendorList[Funding Source],MATCH(CostTrack[[#This Row],[Vendor - Contract]],VendorList[Vendor / Org. with Contract ID],0)))</f>
        <v>P-002360</v>
      </c>
      <c r="W707" s="267">
        <v>45355</v>
      </c>
      <c r="X707" s="251" t="str">
        <f ca="1">IF(CostTrack[[#This Row],[Release Date (CMS)]]="","*","")</f>
        <v/>
      </c>
      <c r="Y707" s="267" t="s">
        <v>58</v>
      </c>
      <c r="Z707" s="652"/>
      <c r="AA707" s="245">
        <f ca="1">IF(OR(CostTrack[[#This Row],[Release Date (CMS)]]&gt;=DATE(VALUE(REPLACE(CostTrack[[#This Row],[Fiscal Period]],3,3,"")),3,1),CostTrack[[#This Row],[Release Date (CMS)]]&lt;DATE(VALUE(LEFT(CostTrack[[#This Row],[Fiscal Period]],4)),4,1)),1,0)</f>
        <v>1</v>
      </c>
      <c r="AB707" s="655">
        <v>140694.82</v>
      </c>
      <c r="AC707" s="267">
        <v>45398</v>
      </c>
      <c r="AD707" s="402" t="str">
        <f ca="1">IF(CostTrack[[#This Row],[Reconciled Amount]]="","",IF(CostTrack[[#This Row],[Value]]&lt;&gt;CostTrack[[#This Row],[Reconciled Amount]],"Yes","No"))</f>
        <v>No</v>
      </c>
      <c r="AE707" s="654"/>
    </row>
    <row r="708" spans="2:31" ht="25.15" customHeight="1">
      <c r="B708" s="706" t="s">
        <v>754</v>
      </c>
      <c r="C708" s="691">
        <v>800000354</v>
      </c>
      <c r="D708" s="267">
        <v>45384</v>
      </c>
      <c r="E708" s="654">
        <v>58.14</v>
      </c>
      <c r="F708" s="647" t="s">
        <v>69</v>
      </c>
      <c r="G708" s="406">
        <f ca="1">ROUND(IF(CostTrack[[#This Row],[Holdback (Y/N/R)]]="Yes",CostTrack[[#This Row],[Value]]*-0.1,IF(CostTrack[[#This Row],[Holdback (Y/N/R)]]="Release",CostTrack[[#This Row],[Value]],0)),2)</f>
        <v>0</v>
      </c>
      <c r="H708" s="407">
        <f ca="1">IF(CostTrack[[#This Row],[Holdback (Y/N/R)]]="Release",CostTrack[[#This Row],[Value]],CostTrack[[#This Row],[Value]]+CostTrack[[#This Row],[Holdback Value]])</f>
        <v>58.14</v>
      </c>
      <c r="I708" s="650"/>
      <c r="J708" s="650"/>
      <c r="K708" s="648"/>
      <c r="L708" s="707">
        <v>45384</v>
      </c>
      <c r="M708" s="708">
        <v>45384</v>
      </c>
      <c r="N708" s="709"/>
      <c r="O708" s="712" t="s">
        <v>106</v>
      </c>
      <c r="P708" s="267">
        <v>45384</v>
      </c>
      <c r="Q708" s="243" t="str">
        <f ca="1">IF(CostTrack[[#This Row],[Vendor - Contract]]="","",INDEX(VendorList[PA ID],MATCH(CostTrack[[#This Row],[Vendor - Contract]],VendorList[Vendor / Org. with Contract ID],0)))</f>
        <v>100.050.F1</v>
      </c>
      <c r="R708" s="243" t="str">
        <f ca="1">IF(CostTrack[[#This Row],[Vendor - Contract]]="","",INDEX(VendorList[Primary Category],MATCH(CostTrack[[#This Row],[Vendor - Contract]],VendorList[Vendor / Org. with Contract ID],0)))</f>
        <v>Administration</v>
      </c>
      <c r="S708" s="243" t="str">
        <f ca="1">IF(CostTrack[[#This Row],[Vendor - Contract]]="","",INDEX(VendorList[Secondary Category],MATCH(CostTrack[[#This Row],[Vendor - Contract]],VendorList[Vendor / Org. with Contract ID],0)))</f>
        <v>Other Administration</v>
      </c>
      <c r="T708" s="243" t="str">
        <f ca="1">IF(CostTrack[[#This Row],[Vendor - Contract]]="","",INDEX(VendorList[Phase / Subproject],MATCH(CostTrack[[#This Row],[Vendor - Contract]],VendorList[Vendor / Org. with Contract ID],0)))</f>
        <v>--</v>
      </c>
      <c r="U708" s="243" t="str">
        <f ca="1">IF(CostTrack[[#This Row],[Vendor - Contract]]="","",INDEX(VendorList[Phase / Subproject 2],MATCH(CostTrack[[#This Row],[Vendor - Contract]],VendorList[Vendor / Org. with Contract ID],0)))</f>
        <v>--</v>
      </c>
      <c r="V708" s="243" t="str">
        <f ca="1">IF(CostTrack[[#This Row],[Vendor - Contract]]="","",INDEX(VendorList[Funding Source],MATCH(CostTrack[[#This Row],[Vendor - Contract]],VendorList[Vendor / Org. with Contract ID],0)))</f>
        <v>P-002360</v>
      </c>
      <c r="W708" s="267">
        <v>45384</v>
      </c>
      <c r="X708" s="251" t="str">
        <f ca="1">IF(CostTrack[[#This Row],[Release Date (CMS)]]="","*","")</f>
        <v/>
      </c>
      <c r="Y708" s="267" t="s">
        <v>63</v>
      </c>
      <c r="Z708" s="652" t="s">
        <v>1370</v>
      </c>
      <c r="AA708" s="245">
        <f ca="1">IF(OR(CostTrack[[#This Row],[Release Date (CMS)]]&gt;=DATE(VALUE(REPLACE(CostTrack[[#This Row],[Fiscal Period]],3,3,"")),3,1),CostTrack[[#This Row],[Release Date (CMS)]]&lt;DATE(VALUE(LEFT(CostTrack[[#This Row],[Fiscal Period]],4)),4,1)),1,0)</f>
        <v>0</v>
      </c>
      <c r="AB708" s="655">
        <v>58.14</v>
      </c>
      <c r="AC708" s="267">
        <v>45428</v>
      </c>
      <c r="AD708" s="402" t="str">
        <f ca="1">IF(CostTrack[[#This Row],[Reconciled Amount]]="","",IF(CostTrack[[#This Row],[Value]]&lt;&gt;CostTrack[[#This Row],[Reconciled Amount]],"Yes","No"))</f>
        <v>No</v>
      </c>
      <c r="AE708" s="654"/>
    </row>
    <row r="709" spans="2:31" ht="25.15" customHeight="1">
      <c r="B709" s="706" t="s">
        <v>754</v>
      </c>
      <c r="C709" s="691">
        <v>800000393</v>
      </c>
      <c r="D709" s="267">
        <v>45384</v>
      </c>
      <c r="E709" s="654">
        <v>8.3800000000000008</v>
      </c>
      <c r="F709" s="647" t="s">
        <v>69</v>
      </c>
      <c r="G709" s="406">
        <f ca="1">ROUND(IF(CostTrack[[#This Row],[Holdback (Y/N/R)]]="Yes",CostTrack[[#This Row],[Value]]*-0.1,IF(CostTrack[[#This Row],[Holdback (Y/N/R)]]="Release",CostTrack[[#This Row],[Value]],0)),2)</f>
        <v>0</v>
      </c>
      <c r="H709" s="407">
        <f ca="1">IF(CostTrack[[#This Row],[Holdback (Y/N/R)]]="Release",CostTrack[[#This Row],[Value]],CostTrack[[#This Row],[Value]]+CostTrack[[#This Row],[Holdback Value]])</f>
        <v>8.3800000000000008</v>
      </c>
      <c r="I709" s="650"/>
      <c r="J709" s="650"/>
      <c r="K709" s="648"/>
      <c r="L709" s="707">
        <v>45384</v>
      </c>
      <c r="M709" s="708">
        <v>45384</v>
      </c>
      <c r="N709" s="709"/>
      <c r="O709" s="712" t="s">
        <v>106</v>
      </c>
      <c r="P709" s="267">
        <v>45384</v>
      </c>
      <c r="Q709" s="243" t="str">
        <f ca="1">IF(CostTrack[[#This Row],[Vendor - Contract]]="","",INDEX(VendorList[PA ID],MATCH(CostTrack[[#This Row],[Vendor - Contract]],VendorList[Vendor / Org. with Contract ID],0)))</f>
        <v>100.050.F1</v>
      </c>
      <c r="R709" s="243" t="str">
        <f ca="1">IF(CostTrack[[#This Row],[Vendor - Contract]]="","",INDEX(VendorList[Primary Category],MATCH(CostTrack[[#This Row],[Vendor - Contract]],VendorList[Vendor / Org. with Contract ID],0)))</f>
        <v>Administration</v>
      </c>
      <c r="S709" s="243" t="str">
        <f ca="1">IF(CostTrack[[#This Row],[Vendor - Contract]]="","",INDEX(VendorList[Secondary Category],MATCH(CostTrack[[#This Row],[Vendor - Contract]],VendorList[Vendor / Org. with Contract ID],0)))</f>
        <v>Other Administration</v>
      </c>
      <c r="T709" s="243" t="str">
        <f ca="1">IF(CostTrack[[#This Row],[Vendor - Contract]]="","",INDEX(VendorList[Phase / Subproject],MATCH(CostTrack[[#This Row],[Vendor - Contract]],VendorList[Vendor / Org. with Contract ID],0)))</f>
        <v>--</v>
      </c>
      <c r="U709" s="243" t="str">
        <f ca="1">IF(CostTrack[[#This Row],[Vendor - Contract]]="","",INDEX(VendorList[Phase / Subproject 2],MATCH(CostTrack[[#This Row],[Vendor - Contract]],VendorList[Vendor / Org. with Contract ID],0)))</f>
        <v>--</v>
      </c>
      <c r="V709" s="243" t="str">
        <f ca="1">IF(CostTrack[[#This Row],[Vendor - Contract]]="","",INDEX(VendorList[Funding Source],MATCH(CostTrack[[#This Row],[Vendor - Contract]],VendorList[Vendor / Org. with Contract ID],0)))</f>
        <v>P-002360</v>
      </c>
      <c r="W709" s="267">
        <v>45384</v>
      </c>
      <c r="X709" s="251" t="str">
        <f ca="1">IF(CostTrack[[#This Row],[Release Date (CMS)]]="","*","")</f>
        <v/>
      </c>
      <c r="Y709" s="267" t="s">
        <v>63</v>
      </c>
      <c r="Z709" s="652" t="s">
        <v>1371</v>
      </c>
      <c r="AA709" s="245">
        <f ca="1">IF(OR(CostTrack[[#This Row],[Release Date (CMS)]]&gt;=DATE(VALUE(REPLACE(CostTrack[[#This Row],[Fiscal Period]],3,3,"")),3,1),CostTrack[[#This Row],[Release Date (CMS)]]&lt;DATE(VALUE(LEFT(CostTrack[[#This Row],[Fiscal Period]],4)),4,1)),1,0)</f>
        <v>0</v>
      </c>
      <c r="AB709" s="655">
        <v>8.3800000000000008</v>
      </c>
      <c r="AC709" s="267">
        <v>45428</v>
      </c>
      <c r="AD709" s="402" t="str">
        <f ca="1">IF(CostTrack[[#This Row],[Reconciled Amount]]="","",IF(CostTrack[[#This Row],[Value]]&lt;&gt;CostTrack[[#This Row],[Reconciled Amount]],"Yes","No"))</f>
        <v>No</v>
      </c>
      <c r="AE709" s="654"/>
    </row>
    <row r="710" spans="2:31" ht="25.15" customHeight="1">
      <c r="B710" s="706" t="s">
        <v>729</v>
      </c>
      <c r="C710" s="691">
        <v>20126434</v>
      </c>
      <c r="D710" s="267" t="s">
        <v>1372</v>
      </c>
      <c r="E710" s="654">
        <v>440</v>
      </c>
      <c r="F710" s="647" t="s">
        <v>69</v>
      </c>
      <c r="G710" s="406">
        <f ca="1">ROUND(IF(CostTrack[[#This Row],[Holdback (Y/N/R)]]="Yes",CostTrack[[#This Row],[Value]]*-0.1,IF(CostTrack[[#This Row],[Holdback (Y/N/R)]]="Release",CostTrack[[#This Row],[Value]],0)),2)</f>
        <v>0</v>
      </c>
      <c r="H710" s="407">
        <f ca="1">IF(CostTrack[[#This Row],[Holdback (Y/N/R)]]="Release",CostTrack[[#This Row],[Value]],CostTrack[[#This Row],[Value]]+CostTrack[[#This Row],[Holdback Value]])</f>
        <v>440</v>
      </c>
      <c r="I710" s="650"/>
      <c r="J710" s="650"/>
      <c r="K710" s="648"/>
      <c r="L710" s="707">
        <v>45401</v>
      </c>
      <c r="M710" s="708">
        <v>45401</v>
      </c>
      <c r="N710" s="709"/>
      <c r="O710" s="712" t="s">
        <v>106</v>
      </c>
      <c r="P710" s="267">
        <v>45401</v>
      </c>
      <c r="Q710" s="243" t="str">
        <f ca="1">IF(CostTrack[[#This Row],[Vendor - Contract]]="","",INDEX(VendorList[PA ID],MATCH(CostTrack[[#This Row],[Vendor - Contract]],VendorList[Vendor / Org. with Contract ID],0)))</f>
        <v>400.010.F1</v>
      </c>
      <c r="R710" s="243" t="str">
        <f ca="1">IF(CostTrack[[#This Row],[Vendor - Contract]]="","",INDEX(VendorList[Primary Category],MATCH(CostTrack[[#This Row],[Vendor - Contract]],VendorList[Vendor / Org. with Contract ID],0)))</f>
        <v>FE_IT</v>
      </c>
      <c r="S710" s="243" t="str">
        <f ca="1">IF(CostTrack[[#This Row],[Vendor - Contract]]="","",INDEX(VendorList[Secondary Category],MATCH(CostTrack[[#This Row],[Vendor - Contract]],VendorList[Vendor / Org. with Contract ID],0)))</f>
        <v>Furniture &amp; Equipment</v>
      </c>
      <c r="T710" s="243" t="str">
        <f ca="1">IF(CostTrack[[#This Row],[Vendor - Contract]]="","",INDEX(VendorList[Phase / Subproject],MATCH(CostTrack[[#This Row],[Vendor - Contract]],VendorList[Vendor / Org. with Contract ID],0)))</f>
        <v>--</v>
      </c>
      <c r="U710" s="243" t="str">
        <f ca="1">IF(CostTrack[[#This Row],[Vendor - Contract]]="","",INDEX(VendorList[Phase / Subproject 2],MATCH(CostTrack[[#This Row],[Vendor - Contract]],VendorList[Vendor / Org. with Contract ID],0)))</f>
        <v>--</v>
      </c>
      <c r="V710" s="243" t="str">
        <f ca="1">IF(CostTrack[[#This Row],[Vendor - Contract]]="","",INDEX(VendorList[Funding Source],MATCH(CostTrack[[#This Row],[Vendor - Contract]],VendorList[Vendor / Org. with Contract ID],0)))</f>
        <v>P-002360</v>
      </c>
      <c r="W710" s="267">
        <v>45404</v>
      </c>
      <c r="X710" s="251" t="str">
        <f ca="1">IF(CostTrack[[#This Row],[Release Date (CMS)]]="","*","")</f>
        <v/>
      </c>
      <c r="Y710" s="267" t="s">
        <v>63</v>
      </c>
      <c r="Z710" s="652"/>
      <c r="AA710" s="245">
        <f ca="1">IF(OR(CostTrack[[#This Row],[Release Date (CMS)]]&gt;=DATE(VALUE(REPLACE(CostTrack[[#This Row],[Fiscal Period]],3,3,"")),3,1),CostTrack[[#This Row],[Release Date (CMS)]]&lt;DATE(VALUE(LEFT(CostTrack[[#This Row],[Fiscal Period]],4)),4,1)),1,0)</f>
        <v>0</v>
      </c>
      <c r="AB710" s="655">
        <v>440</v>
      </c>
      <c r="AC710" s="267">
        <v>45428</v>
      </c>
      <c r="AD710" s="402" t="str">
        <f ca="1">IF(CostTrack[[#This Row],[Reconciled Amount]]="","",IF(CostTrack[[#This Row],[Value]]&lt;&gt;CostTrack[[#This Row],[Reconciled Amount]],"Yes","No"))</f>
        <v>No</v>
      </c>
      <c r="AE710" s="654"/>
    </row>
    <row r="711" spans="2:31" ht="55.5" customHeight="1">
      <c r="B711" s="1324" t="s">
        <v>1373</v>
      </c>
      <c r="C711" s="1334">
        <v>45781</v>
      </c>
      <c r="D711" s="1308">
        <v>45400</v>
      </c>
      <c r="E711" s="658">
        <v>570</v>
      </c>
      <c r="F711" s="1309" t="s">
        <v>69</v>
      </c>
      <c r="G711" s="1310">
        <f ca="1">ROUND(IF(CostTrack[[#This Row],[Holdback (Y/N/R)]]="Yes",CostTrack[[#This Row],[Value]]*-0.1,IF(CostTrack[[#This Row],[Holdback (Y/N/R)]]="Release",CostTrack[[#This Row],[Value]],0)),2)</f>
        <v>0</v>
      </c>
      <c r="H711" s="1311">
        <f ca="1">IF(CostTrack[[#This Row],[Holdback (Y/N/R)]]="Release",CostTrack[[#This Row],[Value]],CostTrack[[#This Row],[Value]]+CostTrack[[#This Row],[Holdback Value]])</f>
        <v>570</v>
      </c>
      <c r="I711" s="1312"/>
      <c r="J711" s="1312"/>
      <c r="K711" s="1313"/>
      <c r="L711" s="1325">
        <v>45400</v>
      </c>
      <c r="M711" s="1326">
        <v>45400</v>
      </c>
      <c r="N711" s="1327"/>
      <c r="O711" s="1328" t="s">
        <v>106</v>
      </c>
      <c r="P711" s="1308">
        <v>45400</v>
      </c>
      <c r="Q711" s="1314" t="str">
        <f ca="1">IF(CostTrack[[#This Row],[Vendor - Contract]]="","",INDEX(VendorList[PA ID],MATCH(CostTrack[[#This Row],[Vendor - Contract]],VendorList[Vendor / Org. with Contract ID],0)))</f>
        <v>400.010.F1</v>
      </c>
      <c r="R711" s="1314" t="str">
        <f ca="1">IF(CostTrack[[#This Row],[Vendor - Contract]]="","",INDEX(VendorList[Primary Category],MATCH(CostTrack[[#This Row],[Vendor - Contract]],VendorList[Vendor / Org. with Contract ID],0)))</f>
        <v>FE_IT</v>
      </c>
      <c r="S711" s="1314" t="str">
        <f ca="1">IF(CostTrack[[#This Row],[Vendor - Contract]]="","",INDEX(VendorList[Secondary Category],MATCH(CostTrack[[#This Row],[Vendor - Contract]],VendorList[Vendor / Org. with Contract ID],0)))</f>
        <v>Furniture &amp; Equipment</v>
      </c>
      <c r="T711" s="1314" t="str">
        <f ca="1">IF(CostTrack[[#This Row],[Vendor - Contract]]="","",INDEX(VendorList[Phase / Subproject],MATCH(CostTrack[[#This Row],[Vendor - Contract]],VendorList[Vendor / Org. with Contract ID],0)))</f>
        <v>--</v>
      </c>
      <c r="U711" s="1314" t="str">
        <f ca="1">IF(CostTrack[[#This Row],[Vendor - Contract]]="","",INDEX(VendorList[Phase / Subproject 2],MATCH(CostTrack[[#This Row],[Vendor - Contract]],VendorList[Vendor / Org. with Contract ID],0)))</f>
        <v>--</v>
      </c>
      <c r="V711" s="1314" t="str">
        <f ca="1">IF(CostTrack[[#This Row],[Vendor - Contract]]="","",INDEX(VendorList[Funding Source],MATCH(CostTrack[[#This Row],[Vendor - Contract]],VendorList[Vendor / Org. with Contract ID],0)))</f>
        <v>P-002360</v>
      </c>
      <c r="W711" s="1308">
        <v>45404</v>
      </c>
      <c r="X711" s="1315" t="str">
        <f ca="1">IF(CostTrack[[#This Row],[Release Date (CMS)]]="","*","")</f>
        <v/>
      </c>
      <c r="Y711" s="1308" t="s">
        <v>63</v>
      </c>
      <c r="Z711" s="713"/>
      <c r="AA711" s="1316">
        <f ca="1">IF(OR(CostTrack[[#This Row],[Release Date (CMS)]]&gt;=DATE(VALUE(REPLACE(CostTrack[[#This Row],[Fiscal Period]],3,3,"")),3,1),CostTrack[[#This Row],[Release Date (CMS)]]&lt;DATE(VALUE(LEFT(CostTrack[[#This Row],[Fiscal Period]],4)),4,1)),1,0)</f>
        <v>0</v>
      </c>
      <c r="AB711" s="1317">
        <v>570</v>
      </c>
      <c r="AC711" s="1308">
        <v>45428</v>
      </c>
      <c r="AD711" s="402" t="str">
        <f ca="1">IF(CostTrack[[#This Row],[Reconciled Amount]]="","",IF(CostTrack[[#This Row],[Value]]&lt;&gt;CostTrack[[#This Row],[Reconciled Amount]],"Yes","No"))</f>
        <v>No</v>
      </c>
      <c r="AE711" s="658"/>
    </row>
    <row r="712" spans="2:31" ht="55.5" customHeight="1">
      <c r="B712" s="706" t="s">
        <v>1374</v>
      </c>
      <c r="C712" s="691" t="s">
        <v>1375</v>
      </c>
      <c r="D712" s="267" t="s">
        <v>1376</v>
      </c>
      <c r="E712" s="654">
        <v>137870.5</v>
      </c>
      <c r="F712" s="647" t="s">
        <v>69</v>
      </c>
      <c r="G712" s="406">
        <f ca="1">ROUND(IF(CostTrack[[#This Row],[Holdback (Y/N/R)]]="Yes",CostTrack[[#This Row],[Value]]*-0.1,IF(CostTrack[[#This Row],[Holdback (Y/N/R)]]="Release",CostTrack[[#This Row],[Value]],0)),2)</f>
        <v>0</v>
      </c>
      <c r="H712" s="407">
        <f ca="1">IF(CostTrack[[#This Row],[Holdback (Y/N/R)]]="Release",CostTrack[[#This Row],[Value]],CostTrack[[#This Row],[Value]]+CostTrack[[#This Row],[Holdback Value]])</f>
        <v>137870.5</v>
      </c>
      <c r="I712" s="650"/>
      <c r="J712" s="650"/>
      <c r="K712" s="648"/>
      <c r="L712" s="707">
        <v>45400</v>
      </c>
      <c r="M712" s="708">
        <v>45400</v>
      </c>
      <c r="N712" s="709"/>
      <c r="O712" s="712" t="s">
        <v>106</v>
      </c>
      <c r="P712" s="267">
        <v>45400</v>
      </c>
      <c r="Q712" s="243" t="str">
        <f ca="1">IF(CostTrack[[#This Row],[Vendor - Contract]]="","",INDEX(VendorList[PA ID],MATCH(CostTrack[[#This Row],[Vendor - Contract]],VendorList[Vendor / Org. with Contract ID],0)))</f>
        <v>400.010.F1</v>
      </c>
      <c r="R712" s="243" t="str">
        <f ca="1">IF(CostTrack[[#This Row],[Vendor - Contract]]="","",INDEX(VendorList[Primary Category],MATCH(CostTrack[[#This Row],[Vendor - Contract]],VendorList[Vendor / Org. with Contract ID],0)))</f>
        <v>FE_IT</v>
      </c>
      <c r="S712" s="243" t="str">
        <f ca="1">IF(CostTrack[[#This Row],[Vendor - Contract]]="","",INDEX(VendorList[Secondary Category],MATCH(CostTrack[[#This Row],[Vendor - Contract]],VendorList[Vendor / Org. with Contract ID],0)))</f>
        <v>Furniture &amp; Equipment</v>
      </c>
      <c r="T712" s="243" t="str">
        <f ca="1">IF(CostTrack[[#This Row],[Vendor - Contract]]="","",INDEX(VendorList[Phase / Subproject],MATCH(CostTrack[[#This Row],[Vendor - Contract]],VendorList[Vendor / Org. with Contract ID],0)))</f>
        <v>--</v>
      </c>
      <c r="U712" s="243" t="str">
        <f ca="1">IF(CostTrack[[#This Row],[Vendor - Contract]]="","",INDEX(VendorList[Phase / Subproject 2],MATCH(CostTrack[[#This Row],[Vendor - Contract]],VendorList[Vendor / Org. with Contract ID],0)))</f>
        <v>--</v>
      </c>
      <c r="V712" s="243" t="str">
        <f ca="1">IF(CostTrack[[#This Row],[Vendor - Contract]]="","",INDEX(VendorList[Funding Source],MATCH(CostTrack[[#This Row],[Vendor - Contract]],VendorList[Vendor / Org. with Contract ID],0)))</f>
        <v>P-002360</v>
      </c>
      <c r="W712" s="267">
        <v>45400</v>
      </c>
      <c r="X712" s="251" t="str">
        <f ca="1">IF(CostTrack[[#This Row],[Release Date (CMS)]]="","*","")</f>
        <v/>
      </c>
      <c r="Y712" s="267" t="s">
        <v>63</v>
      </c>
      <c r="Z712" s="652" t="s">
        <v>1377</v>
      </c>
      <c r="AA712" s="245">
        <f ca="1">IF(OR(CostTrack[[#This Row],[Release Date (CMS)]]&gt;=DATE(VALUE(REPLACE(CostTrack[[#This Row],[Fiscal Period]],3,3,"")),3,1),CostTrack[[#This Row],[Release Date (CMS)]]&lt;DATE(VALUE(LEFT(CostTrack[[#This Row],[Fiscal Period]],4)),4,1)),1,0)</f>
        <v>0</v>
      </c>
      <c r="AB712" s="655">
        <v>137870.5</v>
      </c>
      <c r="AC712" s="267">
        <v>45428</v>
      </c>
      <c r="AD712" s="402" t="str">
        <f ca="1">IF(CostTrack[[#This Row],[Reconciled Amount]]="","",IF(CostTrack[[#This Row],[Value]]&lt;&gt;CostTrack[[#This Row],[Reconciled Amount]],"Yes","No"))</f>
        <v>No</v>
      </c>
      <c r="AE712" s="654"/>
    </row>
    <row r="713" spans="2:31" ht="37.5" customHeight="1">
      <c r="B713" s="706" t="s">
        <v>1378</v>
      </c>
      <c r="C713" s="1334">
        <v>21746</v>
      </c>
      <c r="D713" s="1308">
        <v>45400</v>
      </c>
      <c r="E713" s="658">
        <v>1025</v>
      </c>
      <c r="F713" s="1309" t="s">
        <v>69</v>
      </c>
      <c r="G713" s="1310">
        <f ca="1">ROUND(IF(CostTrack[[#This Row],[Holdback (Y/N/R)]]="Yes",CostTrack[[#This Row],[Value]]*-0.1,IF(CostTrack[[#This Row],[Holdback (Y/N/R)]]="Release",CostTrack[[#This Row],[Value]],0)),2)</f>
        <v>0</v>
      </c>
      <c r="H713" s="1311">
        <f ca="1">IF(CostTrack[[#This Row],[Holdback (Y/N/R)]]="Release",CostTrack[[#This Row],[Value]],CostTrack[[#This Row],[Value]]+CostTrack[[#This Row],[Holdback Value]])</f>
        <v>1025</v>
      </c>
      <c r="I713" s="1312"/>
      <c r="J713" s="1312"/>
      <c r="K713" s="1313"/>
      <c r="L713" s="1325">
        <v>45400</v>
      </c>
      <c r="M713" s="1326">
        <v>45400</v>
      </c>
      <c r="N713" s="1327"/>
      <c r="O713" s="1328" t="s">
        <v>106</v>
      </c>
      <c r="P713" s="1308">
        <v>45400</v>
      </c>
      <c r="Q713" s="1314" t="str">
        <f ca="1">IF(CostTrack[[#This Row],[Vendor - Contract]]="","",INDEX(VendorList[PA ID],MATCH(CostTrack[[#This Row],[Vendor - Contract]],VendorList[Vendor / Org. with Contract ID],0)))</f>
        <v>400.010.F1</v>
      </c>
      <c r="R713" s="1314" t="str">
        <f ca="1">IF(CostTrack[[#This Row],[Vendor - Contract]]="","",INDEX(VendorList[Primary Category],MATCH(CostTrack[[#This Row],[Vendor - Contract]],VendorList[Vendor / Org. with Contract ID],0)))</f>
        <v>FE_IT</v>
      </c>
      <c r="S713" s="1314" t="str">
        <f ca="1">IF(CostTrack[[#This Row],[Vendor - Contract]]="","",INDEX(VendorList[Secondary Category],MATCH(CostTrack[[#This Row],[Vendor - Contract]],VendorList[Vendor / Org. with Contract ID],0)))</f>
        <v>Furniture &amp; Equipment</v>
      </c>
      <c r="T713" s="1314" t="str">
        <f ca="1">IF(CostTrack[[#This Row],[Vendor - Contract]]="","",INDEX(VendorList[Phase / Subproject],MATCH(CostTrack[[#This Row],[Vendor - Contract]],VendorList[Vendor / Org. with Contract ID],0)))</f>
        <v>--</v>
      </c>
      <c r="U713" s="1314" t="str">
        <f ca="1">IF(CostTrack[[#This Row],[Vendor - Contract]]="","",INDEX(VendorList[Phase / Subproject 2],MATCH(CostTrack[[#This Row],[Vendor - Contract]],VendorList[Vendor / Org. with Contract ID],0)))</f>
        <v>--</v>
      </c>
      <c r="V713" s="1314" t="str">
        <f ca="1">IF(CostTrack[[#This Row],[Vendor - Contract]]="","",INDEX(VendorList[Funding Source],MATCH(CostTrack[[#This Row],[Vendor - Contract]],VendorList[Vendor / Org. with Contract ID],0)))</f>
        <v>P-002360</v>
      </c>
      <c r="W713" s="1308">
        <v>45404</v>
      </c>
      <c r="X713" s="1315" t="str">
        <f ca="1">IF(CostTrack[[#This Row],[Release Date (CMS)]]="","*","")</f>
        <v/>
      </c>
      <c r="Y713" s="1308" t="s">
        <v>63</v>
      </c>
      <c r="Z713" s="713" t="s">
        <v>1379</v>
      </c>
      <c r="AA713" s="1316">
        <f ca="1">IF(OR(CostTrack[[#This Row],[Release Date (CMS)]]&gt;=DATE(VALUE(REPLACE(CostTrack[[#This Row],[Fiscal Period]],3,3,"")),3,1),CostTrack[[#This Row],[Release Date (CMS)]]&lt;DATE(VALUE(LEFT(CostTrack[[#This Row],[Fiscal Period]],4)),4,1)),1,0)</f>
        <v>0</v>
      </c>
      <c r="AB713" s="1317">
        <v>1025</v>
      </c>
      <c r="AC713" s="1308">
        <v>45428</v>
      </c>
      <c r="AD713" s="402" t="str">
        <f ca="1">IF(CostTrack[[#This Row],[Reconciled Amount]]="","",IF(CostTrack[[#This Row],[Value]]&lt;&gt;CostTrack[[#This Row],[Reconciled Amount]],"Yes","No"))</f>
        <v>No</v>
      </c>
      <c r="AE713" s="658"/>
    </row>
    <row r="714" spans="2:31" ht="31.5" customHeight="1">
      <c r="B714" s="1324" t="s">
        <v>1380</v>
      </c>
      <c r="C714" s="1029" t="s">
        <v>1381</v>
      </c>
      <c r="D714" s="1358">
        <v>45400</v>
      </c>
      <c r="E714" s="1319">
        <v>52739.54</v>
      </c>
      <c r="F714" s="1309" t="s">
        <v>69</v>
      </c>
      <c r="G714" s="1310">
        <f ca="1">ROUND(IF(CostTrack[[#This Row],[Holdback (Y/N/R)]]="Yes",CostTrack[[#This Row],[Value]]*-0.1,IF(CostTrack[[#This Row],[Holdback (Y/N/R)]]="Release",CostTrack[[#This Row],[Value]],0)),2)</f>
        <v>0</v>
      </c>
      <c r="H714" s="1311">
        <f ca="1">IF(CostTrack[[#This Row],[Holdback (Y/N/R)]]="Release",CostTrack[[#This Row],[Value]],CostTrack[[#This Row],[Value]]+CostTrack[[#This Row],[Holdback Value]])</f>
        <v>52739.54</v>
      </c>
      <c r="I714" s="1312"/>
      <c r="J714" s="1312"/>
      <c r="K714" s="1313"/>
      <c r="L714" s="1325">
        <v>45175</v>
      </c>
      <c r="M714" s="1326">
        <v>45175</v>
      </c>
      <c r="N714" s="1327"/>
      <c r="O714" s="1328" t="s">
        <v>106</v>
      </c>
      <c r="P714" s="1308">
        <v>45400</v>
      </c>
      <c r="Q714" s="1314" t="str">
        <f ca="1">IF(CostTrack[[#This Row],[Vendor - Contract]]="","",INDEX(VendorList[PA ID],MATCH(CostTrack[[#This Row],[Vendor - Contract]],VendorList[Vendor / Org. with Contract ID],0)))</f>
        <v>400.010.F1</v>
      </c>
      <c r="R714" s="1314" t="str">
        <f ca="1">IF(CostTrack[[#This Row],[Vendor - Contract]]="","",INDEX(VendorList[Primary Category],MATCH(CostTrack[[#This Row],[Vendor - Contract]],VendorList[Vendor / Org. with Contract ID],0)))</f>
        <v>FE_IT</v>
      </c>
      <c r="S714" s="1314" t="str">
        <f ca="1">IF(CostTrack[[#This Row],[Vendor - Contract]]="","",INDEX(VendorList[Secondary Category],MATCH(CostTrack[[#This Row],[Vendor - Contract]],VendorList[Vendor / Org. with Contract ID],0)))</f>
        <v>Furniture &amp; Equipment</v>
      </c>
      <c r="T714" s="1314" t="str">
        <f ca="1">IF(CostTrack[[#This Row],[Vendor - Contract]]="","",INDEX(VendorList[Phase / Subproject],MATCH(CostTrack[[#This Row],[Vendor - Contract]],VendorList[Vendor / Org. with Contract ID],0)))</f>
        <v>--</v>
      </c>
      <c r="U714" s="1314" t="str">
        <f ca="1">IF(CostTrack[[#This Row],[Vendor - Contract]]="","",INDEX(VendorList[Phase / Subproject 2],MATCH(CostTrack[[#This Row],[Vendor - Contract]],VendorList[Vendor / Org. with Contract ID],0)))</f>
        <v>--</v>
      </c>
      <c r="V714" s="1314" t="str">
        <f ca="1">IF(CostTrack[[#This Row],[Vendor - Contract]]="","",INDEX(VendorList[Funding Source],MATCH(CostTrack[[#This Row],[Vendor - Contract]],VendorList[Vendor / Org. with Contract ID],0)))</f>
        <v>P-002360</v>
      </c>
      <c r="W714" s="1308">
        <v>45400</v>
      </c>
      <c r="X714" s="1315" t="str">
        <f ca="1">IF(CostTrack[[#This Row],[Release Date (CMS)]]="","*","")</f>
        <v/>
      </c>
      <c r="Y714" s="1308" t="s">
        <v>63</v>
      </c>
      <c r="Z714" s="713"/>
      <c r="AA714" s="1316">
        <f ca="1">IF(OR(CostTrack[[#This Row],[Release Date (CMS)]]&gt;=DATE(VALUE(REPLACE(CostTrack[[#This Row],[Fiscal Period]],3,3,"")),3,1),CostTrack[[#This Row],[Release Date (CMS)]]&lt;DATE(VALUE(LEFT(CostTrack[[#This Row],[Fiscal Period]],4)),4,1)),1,0)</f>
        <v>0</v>
      </c>
      <c r="AB714" s="1317">
        <v>52739.54</v>
      </c>
      <c r="AC714" s="1308">
        <v>45428</v>
      </c>
      <c r="AD714" s="402" t="str">
        <f ca="1">IF(CostTrack[[#This Row],[Reconciled Amount]]="","",IF(CostTrack[[#This Row],[Value]]&lt;&gt;CostTrack[[#This Row],[Reconciled Amount]],"Yes","No"))</f>
        <v>No</v>
      </c>
      <c r="AE714" s="658"/>
    </row>
    <row r="715" spans="2:31" ht="30" customHeight="1">
      <c r="B715" s="1324" t="s">
        <v>1382</v>
      </c>
      <c r="C715" s="691" t="s">
        <v>1383</v>
      </c>
      <c r="D715" s="1308">
        <v>45359</v>
      </c>
      <c r="E715" s="658">
        <v>1065</v>
      </c>
      <c r="F715" s="1309" t="s">
        <v>69</v>
      </c>
      <c r="G715" s="1310">
        <f ca="1">ROUND(IF(CostTrack[[#This Row],[Holdback (Y/N/R)]]="Yes",CostTrack[[#This Row],[Value]]*-0.1,IF(CostTrack[[#This Row],[Holdback (Y/N/R)]]="Release",CostTrack[[#This Row],[Value]],0)),2)</f>
        <v>0</v>
      </c>
      <c r="H715" s="1311">
        <f ca="1">IF(CostTrack[[#This Row],[Holdback (Y/N/R)]]="Release",CostTrack[[#This Row],[Value]],CostTrack[[#This Row],[Value]]+CostTrack[[#This Row],[Holdback Value]])</f>
        <v>1065</v>
      </c>
      <c r="I715" s="1312"/>
      <c r="J715" s="1312"/>
      <c r="K715" s="1313"/>
      <c r="L715" s="1325">
        <v>45359</v>
      </c>
      <c r="M715" s="1326">
        <v>45359</v>
      </c>
      <c r="N715" s="1327"/>
      <c r="O715" s="1328" t="s">
        <v>106</v>
      </c>
      <c r="P715" s="1308">
        <v>45398</v>
      </c>
      <c r="Q715" s="1314" t="str">
        <f ca="1">IF(CostTrack[[#This Row],[Vendor - Contract]]="","",INDEX(VendorList[PA ID],MATCH(CostTrack[[#This Row],[Vendor - Contract]],VendorList[Vendor / Org. with Contract ID],0)))</f>
        <v>400.010.F1</v>
      </c>
      <c r="R715" s="1314" t="str">
        <f ca="1">IF(CostTrack[[#This Row],[Vendor - Contract]]="","",INDEX(VendorList[Primary Category],MATCH(CostTrack[[#This Row],[Vendor - Contract]],VendorList[Vendor / Org. with Contract ID],0)))</f>
        <v>FE_IT</v>
      </c>
      <c r="S715" s="1314" t="str">
        <f ca="1">IF(CostTrack[[#This Row],[Vendor - Contract]]="","",INDEX(VendorList[Secondary Category],MATCH(CostTrack[[#This Row],[Vendor - Contract]],VendorList[Vendor / Org. with Contract ID],0)))</f>
        <v>Furniture &amp; Equipment</v>
      </c>
      <c r="T715" s="1314" t="str">
        <f ca="1">IF(CostTrack[[#This Row],[Vendor - Contract]]="","",INDEX(VendorList[Phase / Subproject],MATCH(CostTrack[[#This Row],[Vendor - Contract]],VendorList[Vendor / Org. with Contract ID],0)))</f>
        <v>--</v>
      </c>
      <c r="U715" s="1314" t="str">
        <f ca="1">IF(CostTrack[[#This Row],[Vendor - Contract]]="","",INDEX(VendorList[Phase / Subproject 2],MATCH(CostTrack[[#This Row],[Vendor - Contract]],VendorList[Vendor / Org. with Contract ID],0)))</f>
        <v>--</v>
      </c>
      <c r="V715" s="1314" t="str">
        <f ca="1">IF(CostTrack[[#This Row],[Vendor - Contract]]="","",INDEX(VendorList[Funding Source],MATCH(CostTrack[[#This Row],[Vendor - Contract]],VendorList[Vendor / Org. with Contract ID],0)))</f>
        <v>P-002360</v>
      </c>
      <c r="W715" s="1308">
        <v>45398</v>
      </c>
      <c r="X715" s="1315" t="str">
        <f ca="1">IF(CostTrack[[#This Row],[Release Date (CMS)]]="","*","")</f>
        <v/>
      </c>
      <c r="Y715" s="1308" t="s">
        <v>63</v>
      </c>
      <c r="Z715" s="713"/>
      <c r="AA715" s="1316">
        <f ca="1">IF(OR(CostTrack[[#This Row],[Release Date (CMS)]]&gt;=DATE(VALUE(REPLACE(CostTrack[[#This Row],[Fiscal Period]],3,3,"")),3,1),CostTrack[[#This Row],[Release Date (CMS)]]&lt;DATE(VALUE(LEFT(CostTrack[[#This Row],[Fiscal Period]],4)),4,1)),1,0)</f>
        <v>0</v>
      </c>
      <c r="AB715" s="1317">
        <v>1065</v>
      </c>
      <c r="AC715" s="1308">
        <v>45428</v>
      </c>
      <c r="AD715" s="402" t="str">
        <f ca="1">IF(CostTrack[[#This Row],[Reconciled Amount]]="","",IF(CostTrack[[#This Row],[Value]]&lt;&gt;CostTrack[[#This Row],[Reconciled Amount]],"Yes","No"))</f>
        <v>No</v>
      </c>
      <c r="AE715" s="658"/>
    </row>
    <row r="716" spans="2:31" ht="22.9" customHeight="1">
      <c r="B716" s="1324" t="s">
        <v>624</v>
      </c>
      <c r="C716" s="1334">
        <v>1894305</v>
      </c>
      <c r="D716" s="1308">
        <v>45415</v>
      </c>
      <c r="E716" s="658">
        <v>28900</v>
      </c>
      <c r="F716" s="1309" t="s">
        <v>69</v>
      </c>
      <c r="G716" s="1310">
        <f ca="1">ROUND(IF(CostTrack[[#This Row],[Holdback (Y/N/R)]]="Yes",CostTrack[[#This Row],[Value]]*-0.1,IF(CostTrack[[#This Row],[Holdback (Y/N/R)]]="Release",CostTrack[[#This Row],[Value]],0)),2)</f>
        <v>0</v>
      </c>
      <c r="H716" s="1311">
        <f ca="1">IF(CostTrack[[#This Row],[Holdback (Y/N/R)]]="Release",CostTrack[[#This Row],[Value]],CostTrack[[#This Row],[Value]]+CostTrack[[#This Row],[Holdback Value]])</f>
        <v>28900</v>
      </c>
      <c r="I716" s="1312"/>
      <c r="J716" s="1312"/>
      <c r="K716" s="1313"/>
      <c r="L716" s="1325">
        <v>45415</v>
      </c>
      <c r="M716" s="1326">
        <v>45415</v>
      </c>
      <c r="N716" s="1327"/>
      <c r="O716" s="1328" t="s">
        <v>106</v>
      </c>
      <c r="P716" s="1308">
        <v>45419</v>
      </c>
      <c r="Q716" s="1314" t="str">
        <f ca="1">IF(CostTrack[[#This Row],[Vendor - Contract]]="","",INDEX(VendorList[PA ID],MATCH(CostTrack[[#This Row],[Vendor - Contract]],VendorList[Vendor / Org. with Contract ID],0)))</f>
        <v>200.040.F1</v>
      </c>
      <c r="R716" s="1314" t="str">
        <f ca="1">IF(CostTrack[[#This Row],[Vendor - Contract]]="","",INDEX(VendorList[Primary Category],MATCH(CostTrack[[#This Row],[Vendor - Contract]],VendorList[Vendor / Org. with Contract ID],0)))</f>
        <v>Professional Services</v>
      </c>
      <c r="S716" s="1314" t="str">
        <f ca="1">IF(CostTrack[[#This Row],[Vendor - Contract]]="","",INDEX(VendorList[Secondary Category],MATCH(CostTrack[[#This Row],[Vendor - Contract]],VendorList[Vendor / Org. with Contract ID],0)))</f>
        <v>Commissioning</v>
      </c>
      <c r="T716" s="1314" t="str">
        <f ca="1">IF(CostTrack[[#This Row],[Vendor - Contract]]="","",INDEX(VendorList[Phase / Subproject],MATCH(CostTrack[[#This Row],[Vendor - Contract]],VendorList[Vendor / Org. with Contract ID],0)))</f>
        <v>--</v>
      </c>
      <c r="U716" s="1314" t="str">
        <f ca="1">IF(CostTrack[[#This Row],[Vendor - Contract]]="","",INDEX(VendorList[Phase / Subproject 2],MATCH(CostTrack[[#This Row],[Vendor - Contract]],VendorList[Vendor / Org. with Contract ID],0)))</f>
        <v>--</v>
      </c>
      <c r="V716" s="1314" t="str">
        <f ca="1">IF(CostTrack[[#This Row],[Vendor - Contract]]="","",INDEX(VendorList[Funding Source],MATCH(CostTrack[[#This Row],[Vendor - Contract]],VendorList[Vendor / Org. with Contract ID],0)))</f>
        <v>P-002360</v>
      </c>
      <c r="W716" s="1308">
        <v>45418</v>
      </c>
      <c r="X716" s="1315" t="str">
        <f ca="1">IF(CostTrack[[#This Row],[Release Date (CMS)]]="","*","")</f>
        <v/>
      </c>
      <c r="Y716" s="1308" t="s">
        <v>63</v>
      </c>
      <c r="Z716" s="713"/>
      <c r="AA716" s="1316">
        <f ca="1">IF(OR(CostTrack[[#This Row],[Release Date (CMS)]]&gt;=DATE(VALUE(REPLACE(CostTrack[[#This Row],[Fiscal Period]],3,3,"")),3,1),CostTrack[[#This Row],[Release Date (CMS)]]&lt;DATE(VALUE(LEFT(CostTrack[[#This Row],[Fiscal Period]],4)),4,1)),1,0)</f>
        <v>0</v>
      </c>
      <c r="AB716" s="1317">
        <v>28900</v>
      </c>
      <c r="AC716" s="1308">
        <v>45453</v>
      </c>
      <c r="AD716" s="402" t="str">
        <f ca="1">IF(CostTrack[[#This Row],[Reconciled Amount]]="","",IF(CostTrack[[#This Row],[Value]]&lt;&gt;CostTrack[[#This Row],[Reconciled Amount]],"Yes","No"))</f>
        <v>No</v>
      </c>
      <c r="AE716" s="658"/>
    </row>
    <row r="717" spans="2:31" ht="19.5" customHeight="1">
      <c r="B717" s="1324" t="s">
        <v>527</v>
      </c>
      <c r="C717" s="1334" t="s">
        <v>1384</v>
      </c>
      <c r="D717" s="1308">
        <v>45412</v>
      </c>
      <c r="E717" s="658">
        <v>18990.84</v>
      </c>
      <c r="F717" s="1309" t="s">
        <v>69</v>
      </c>
      <c r="G717" s="1310">
        <f ca="1">ROUND(IF(CostTrack[[#This Row],[Holdback (Y/N/R)]]="Yes",CostTrack[[#This Row],[Value]]*-0.1,IF(CostTrack[[#This Row],[Holdback (Y/N/R)]]="Release",CostTrack[[#This Row],[Value]],0)),2)</f>
        <v>0</v>
      </c>
      <c r="H717" s="1311">
        <f ca="1">IF(CostTrack[[#This Row],[Holdback (Y/N/R)]]="Release",CostTrack[[#This Row],[Value]],CostTrack[[#This Row],[Value]]+CostTrack[[#This Row],[Holdback Value]])</f>
        <v>18990.84</v>
      </c>
      <c r="I717" s="1312"/>
      <c r="J717" s="1312"/>
      <c r="K717" s="1313"/>
      <c r="L717" s="1325">
        <v>45419</v>
      </c>
      <c r="M717" s="1326">
        <v>45419</v>
      </c>
      <c r="N717" s="1327"/>
      <c r="O717" s="1328" t="s">
        <v>106</v>
      </c>
      <c r="P717" s="1308">
        <v>45418</v>
      </c>
      <c r="Q717" s="1314" t="str">
        <f ca="1">IF(CostTrack[[#This Row],[Vendor - Contract]]="","",INDEX(VendorList[PA ID],MATCH(CostTrack[[#This Row],[Vendor - Contract]],VendorList[Vendor / Org. with Contract ID],0)))</f>
        <v>200.010.F1</v>
      </c>
      <c r="R717" s="1314" t="str">
        <f ca="1">IF(CostTrack[[#This Row],[Vendor - Contract]]="","",INDEX(VendorList[Primary Category],MATCH(CostTrack[[#This Row],[Vendor - Contract]],VendorList[Vendor / Org. with Contract ID],0)))</f>
        <v>Professional Services</v>
      </c>
      <c r="S717" s="1314" t="str">
        <f ca="1">IF(CostTrack[[#This Row],[Vendor - Contract]]="","",INDEX(VendorList[Secondary Category],MATCH(CostTrack[[#This Row],[Vendor - Contract]],VendorList[Vendor / Org. with Contract ID],0)))</f>
        <v>Prime Consultant</v>
      </c>
      <c r="T717" s="1314" t="str">
        <f ca="1">IF(CostTrack[[#This Row],[Vendor - Contract]]="","",INDEX(VendorList[Phase / Subproject],MATCH(CostTrack[[#This Row],[Vendor - Contract]],VendorList[Vendor / Org. with Contract ID],0)))</f>
        <v>--</v>
      </c>
      <c r="U717" s="1314" t="str">
        <f ca="1">IF(CostTrack[[#This Row],[Vendor - Contract]]="","",INDEX(VendorList[Phase / Subproject 2],MATCH(CostTrack[[#This Row],[Vendor - Contract]],VendorList[Vendor / Org. with Contract ID],0)))</f>
        <v>--</v>
      </c>
      <c r="V717" s="1314" t="str">
        <f ca="1">IF(CostTrack[[#This Row],[Vendor - Contract]]="","",INDEX(VendorList[Funding Source],MATCH(CostTrack[[#This Row],[Vendor - Contract]],VendorList[Vendor / Org. with Contract ID],0)))</f>
        <v>P-002360</v>
      </c>
      <c r="W717" s="1308">
        <v>45420</v>
      </c>
      <c r="X717" s="1315" t="str">
        <f ca="1">IF(CostTrack[[#This Row],[Release Date (CMS)]]="","*","")</f>
        <v/>
      </c>
      <c r="Y717" s="1308" t="s">
        <v>63</v>
      </c>
      <c r="Z717" s="713"/>
      <c r="AA717" s="1316">
        <f ca="1">IF(OR(CostTrack[[#This Row],[Release Date (CMS)]]&gt;=DATE(VALUE(REPLACE(CostTrack[[#This Row],[Fiscal Period]],3,3,"")),3,1),CostTrack[[#This Row],[Release Date (CMS)]]&lt;DATE(VALUE(LEFT(CostTrack[[#This Row],[Fiscal Period]],4)),4,1)),1,0)</f>
        <v>0</v>
      </c>
      <c r="AB717" s="1317">
        <v>18990.84</v>
      </c>
      <c r="AC717" s="1308">
        <v>45453</v>
      </c>
      <c r="AD717" s="402" t="str">
        <f ca="1">IF(CostTrack[[#This Row],[Reconciled Amount]]="","",IF(CostTrack[[#This Row],[Value]]&lt;&gt;CostTrack[[#This Row],[Reconciled Amount]],"Yes","No"))</f>
        <v>No</v>
      </c>
      <c r="AE717" s="658"/>
    </row>
    <row r="718" spans="2:31" ht="22.5" customHeight="1">
      <c r="B718" s="1324" t="s">
        <v>734</v>
      </c>
      <c r="C718" s="1334">
        <v>1170</v>
      </c>
      <c r="D718" s="1308">
        <v>45415</v>
      </c>
      <c r="E718" s="658">
        <v>282.60000000000002</v>
      </c>
      <c r="F718" s="1309" t="s">
        <v>69</v>
      </c>
      <c r="G718" s="1310">
        <f ca="1">ROUND(IF(CostTrack[[#This Row],[Holdback (Y/N/R)]]="Yes",CostTrack[[#This Row],[Value]]*-0.1,IF(CostTrack[[#This Row],[Holdback (Y/N/R)]]="Release",CostTrack[[#This Row],[Value]],0)),2)</f>
        <v>0</v>
      </c>
      <c r="H718" s="1311">
        <f ca="1">IF(CostTrack[[#This Row],[Holdback (Y/N/R)]]="Release",CostTrack[[#This Row],[Value]],CostTrack[[#This Row],[Value]]+CostTrack[[#This Row],[Holdback Value]])</f>
        <v>282.60000000000002</v>
      </c>
      <c r="I718" s="1312"/>
      <c r="J718" s="1312"/>
      <c r="K718" s="1313"/>
      <c r="L718" s="1325">
        <v>45415</v>
      </c>
      <c r="M718" s="1326">
        <v>45415</v>
      </c>
      <c r="N718" s="1327"/>
      <c r="O718" s="1328" t="s">
        <v>106</v>
      </c>
      <c r="P718" s="1308">
        <v>45418</v>
      </c>
      <c r="Q718" s="1314" t="str">
        <f ca="1">IF(CostTrack[[#This Row],[Vendor - Contract]]="","",INDEX(VendorList[PA ID],MATCH(CostTrack[[#This Row],[Vendor - Contract]],VendorList[Vendor / Org. with Contract ID],0)))</f>
        <v>200.050.F1</v>
      </c>
      <c r="R718" s="1314" t="str">
        <f ca="1">IF(CostTrack[[#This Row],[Vendor - Contract]]="","",INDEX(VendorList[Primary Category],MATCH(CostTrack[[#This Row],[Vendor - Contract]],VendorList[Vendor / Org. with Contract ID],0)))</f>
        <v>Professional Services</v>
      </c>
      <c r="S718" s="1314" t="str">
        <f ca="1">IF(CostTrack[[#This Row],[Vendor - Contract]]="","",INDEX(VendorList[Secondary Category],MATCH(CostTrack[[#This Row],[Vendor - Contract]],VendorList[Vendor / Org. with Contract ID],0)))</f>
        <v>Other Professional Services</v>
      </c>
      <c r="T718" s="1314" t="str">
        <f ca="1">IF(CostTrack[[#This Row],[Vendor - Contract]]="","",INDEX(VendorList[Phase / Subproject],MATCH(CostTrack[[#This Row],[Vendor - Contract]],VendorList[Vendor / Org. with Contract ID],0)))</f>
        <v>--</v>
      </c>
      <c r="U718" s="1314" t="str">
        <f ca="1">IF(CostTrack[[#This Row],[Vendor - Contract]]="","",INDEX(VendorList[Phase / Subproject 2],MATCH(CostTrack[[#This Row],[Vendor - Contract]],VendorList[Vendor / Org. with Contract ID],0)))</f>
        <v>--</v>
      </c>
      <c r="V718" s="1314" t="str">
        <f ca="1">IF(CostTrack[[#This Row],[Vendor - Contract]]="","",INDEX(VendorList[Funding Source],MATCH(CostTrack[[#This Row],[Vendor - Contract]],VendorList[Vendor / Org. with Contract ID],0)))</f>
        <v>P-002360</v>
      </c>
      <c r="W718" s="1308">
        <v>45418</v>
      </c>
      <c r="X718" s="1315" t="str">
        <f ca="1">IF(CostTrack[[#This Row],[Release Date (CMS)]]="","*","")</f>
        <v/>
      </c>
      <c r="Y718" s="1308" t="s">
        <v>63</v>
      </c>
      <c r="Z718" s="713"/>
      <c r="AA718" s="1316">
        <f ca="1">IF(OR(CostTrack[[#This Row],[Release Date (CMS)]]&gt;=DATE(VALUE(REPLACE(CostTrack[[#This Row],[Fiscal Period]],3,3,"")),3,1),CostTrack[[#This Row],[Release Date (CMS)]]&lt;DATE(VALUE(LEFT(CostTrack[[#This Row],[Fiscal Period]],4)),4,1)),1,0)</f>
        <v>0</v>
      </c>
      <c r="AB718" s="1317">
        <v>282.60000000000002</v>
      </c>
      <c r="AC718" s="1308">
        <v>45453</v>
      </c>
      <c r="AD718" s="402" t="str">
        <f ca="1">IF(CostTrack[[#This Row],[Reconciled Amount]]="","",IF(CostTrack[[#This Row],[Value]]&lt;&gt;CostTrack[[#This Row],[Reconciled Amount]],"Yes","No"))</f>
        <v>No</v>
      </c>
      <c r="AE718" s="658"/>
    </row>
    <row r="719" spans="2:31" ht="25.15" customHeight="1">
      <c r="B719" s="1324" t="s">
        <v>1385</v>
      </c>
      <c r="C719" s="1334">
        <v>9702309107</v>
      </c>
      <c r="D719" s="1308">
        <v>45415</v>
      </c>
      <c r="E719" s="658">
        <v>26028.39</v>
      </c>
      <c r="F719" s="1309" t="s">
        <v>69</v>
      </c>
      <c r="G719" s="1310">
        <f ca="1">ROUND(IF(CostTrack[[#This Row],[Holdback (Y/N/R)]]="Yes",CostTrack[[#This Row],[Value]]*-0.1,IF(CostTrack[[#This Row],[Holdback (Y/N/R)]]="Release",CostTrack[[#This Row],[Value]],0)),2)</f>
        <v>0</v>
      </c>
      <c r="H719" s="1311">
        <f ca="1">IF(CostTrack[[#This Row],[Holdback (Y/N/R)]]="Release",CostTrack[[#This Row],[Value]],CostTrack[[#This Row],[Value]]+CostTrack[[#This Row],[Holdback Value]])</f>
        <v>26028.39</v>
      </c>
      <c r="I719" s="1312"/>
      <c r="J719" s="1312"/>
      <c r="K719" s="1313"/>
      <c r="L719" s="1325">
        <v>45418</v>
      </c>
      <c r="M719" s="1326">
        <v>45418</v>
      </c>
      <c r="N719" s="1327"/>
      <c r="O719" s="1328" t="s">
        <v>106</v>
      </c>
      <c r="P719" s="1308">
        <v>45418</v>
      </c>
      <c r="Q719" s="1314" t="str">
        <f ca="1">IF(CostTrack[[#This Row],[Vendor - Contract]]="","",INDEX(VendorList[PA ID],MATCH(CostTrack[[#This Row],[Vendor - Contract]],VendorList[Vendor / Org. with Contract ID],0)))</f>
        <v>300.020.F1</v>
      </c>
      <c r="R719" s="1314" t="str">
        <f ca="1">IF(CostTrack[[#This Row],[Vendor - Contract]]="","",INDEX(VendorList[Primary Category],MATCH(CostTrack[[#This Row],[Vendor - Contract]],VendorList[Vendor / Org. with Contract ID],0)))</f>
        <v>Construction</v>
      </c>
      <c r="S719" s="1314" t="str">
        <f ca="1">IF(CostTrack[[#This Row],[Vendor - Contract]]="","",INDEX(VendorList[Secondary Category],MATCH(CostTrack[[#This Row],[Vendor - Contract]],VendorList[Vendor / Org. with Contract ID],0)))</f>
        <v>Utilities</v>
      </c>
      <c r="T719" s="1314" t="str">
        <f ca="1">IF(CostTrack[[#This Row],[Vendor - Contract]]="","",INDEX(VendorList[Phase / Subproject],MATCH(CostTrack[[#This Row],[Vendor - Contract]],VendorList[Vendor / Org. with Contract ID],0)))</f>
        <v>--</v>
      </c>
      <c r="U719" s="1314" t="str">
        <f ca="1">IF(CostTrack[[#This Row],[Vendor - Contract]]="","",INDEX(VendorList[Phase / Subproject 2],MATCH(CostTrack[[#This Row],[Vendor - Contract]],VendorList[Vendor / Org. with Contract ID],0)))</f>
        <v>--</v>
      </c>
      <c r="V719" s="1314" t="str">
        <f ca="1">IF(CostTrack[[#This Row],[Vendor - Contract]]="","",INDEX(VendorList[Funding Source],MATCH(CostTrack[[#This Row],[Vendor - Contract]],VendorList[Vendor / Org. with Contract ID],0)))</f>
        <v>P-002360</v>
      </c>
      <c r="W719" s="1308">
        <v>45420</v>
      </c>
      <c r="X719" s="1315" t="str">
        <f ca="1">IF(CostTrack[[#This Row],[Release Date (CMS)]]="","*","")</f>
        <v/>
      </c>
      <c r="Y719" s="1308" t="s">
        <v>63</v>
      </c>
      <c r="Z719" s="713"/>
      <c r="AA719" s="1316">
        <f ca="1">IF(OR(CostTrack[[#This Row],[Release Date (CMS)]]&gt;=DATE(VALUE(REPLACE(CostTrack[[#This Row],[Fiscal Period]],3,3,"")),3,1),CostTrack[[#This Row],[Release Date (CMS)]]&lt;DATE(VALUE(LEFT(CostTrack[[#This Row],[Fiscal Period]],4)),4,1)),1,0)</f>
        <v>0</v>
      </c>
      <c r="AB719" s="1317">
        <v>26028.39</v>
      </c>
      <c r="AC719" s="1308">
        <v>45453</v>
      </c>
      <c r="AD719" s="402" t="str">
        <f ca="1">IF(CostTrack[[#This Row],[Reconciled Amount]]="","",IF(CostTrack[[#This Row],[Value]]&lt;&gt;CostTrack[[#This Row],[Reconciled Amount]],"Yes","No"))</f>
        <v>No</v>
      </c>
      <c r="AE719" s="658"/>
    </row>
    <row r="720" spans="2:31" ht="25.15" customHeight="1">
      <c r="B720" s="1324" t="s">
        <v>698</v>
      </c>
      <c r="C720" s="1334">
        <v>14835</v>
      </c>
      <c r="D720" s="1308">
        <v>45411</v>
      </c>
      <c r="E720" s="658">
        <v>1250</v>
      </c>
      <c r="F720" s="1309" t="s">
        <v>69</v>
      </c>
      <c r="G720" s="1310">
        <f ca="1">ROUND(IF(CostTrack[[#This Row],[Holdback (Y/N/R)]]="Yes",CostTrack[[#This Row],[Value]]*-0.1,IF(CostTrack[[#This Row],[Holdback (Y/N/R)]]="Release",CostTrack[[#This Row],[Value]],0)),2)</f>
        <v>0</v>
      </c>
      <c r="H720" s="1311">
        <f ca="1">IF(CostTrack[[#This Row],[Holdback (Y/N/R)]]="Release",CostTrack[[#This Row],[Value]],CostTrack[[#This Row],[Value]]+CostTrack[[#This Row],[Holdback Value]])</f>
        <v>1250</v>
      </c>
      <c r="I720" s="1312"/>
      <c r="J720" s="1312"/>
      <c r="K720" s="1313"/>
      <c r="L720" s="1325">
        <v>45419</v>
      </c>
      <c r="M720" s="1326">
        <v>45427</v>
      </c>
      <c r="N720" s="1327"/>
      <c r="O720" s="1328" t="s">
        <v>106</v>
      </c>
      <c r="P720" s="1308">
        <v>45427</v>
      </c>
      <c r="Q720" s="1314" t="str">
        <f ca="1">IF(CostTrack[[#This Row],[Vendor - Contract]]="","",INDEX(VendorList[PA ID],MATCH(CostTrack[[#This Row],[Vendor - Contract]],VendorList[Vendor / Org. with Contract ID],0)))</f>
        <v>400.030.F1</v>
      </c>
      <c r="R720" s="1314" t="str">
        <f ca="1">IF(CostTrack[[#This Row],[Vendor - Contract]]="","",INDEX(VendorList[Primary Category],MATCH(CostTrack[[#This Row],[Vendor - Contract]],VendorList[Vendor / Org. with Contract ID],0)))</f>
        <v>FE_IT</v>
      </c>
      <c r="S720" s="1314" t="str">
        <f ca="1">IF(CostTrack[[#This Row],[Vendor - Contract]]="","",INDEX(VendorList[Secondary Category],MATCH(CostTrack[[#This Row],[Vendor - Contract]],VendorList[Vendor / Org. with Contract ID],0)))</f>
        <v>Movers</v>
      </c>
      <c r="T720" s="1314" t="str">
        <f ca="1">IF(CostTrack[[#This Row],[Vendor - Contract]]="","",INDEX(VendorList[Phase / Subproject],MATCH(CostTrack[[#This Row],[Vendor - Contract]],VendorList[Vendor / Org. with Contract ID],0)))</f>
        <v>--</v>
      </c>
      <c r="U720" s="1314" t="str">
        <f ca="1">IF(CostTrack[[#This Row],[Vendor - Contract]]="","",INDEX(VendorList[Phase / Subproject 2],MATCH(CostTrack[[#This Row],[Vendor - Contract]],VendorList[Vendor / Org. with Contract ID],0)))</f>
        <v>--</v>
      </c>
      <c r="V720" s="1314" t="str">
        <f ca="1">IF(CostTrack[[#This Row],[Vendor - Contract]]="","",INDEX(VendorList[Funding Source],MATCH(CostTrack[[#This Row],[Vendor - Contract]],VendorList[Vendor / Org. with Contract ID],0)))</f>
        <v>P-002360</v>
      </c>
      <c r="W720" s="1308">
        <v>45427</v>
      </c>
      <c r="X720" s="1315" t="str">
        <f ca="1">IF(CostTrack[[#This Row],[Release Date (CMS)]]="","*","")</f>
        <v/>
      </c>
      <c r="Y720" s="1308" t="s">
        <v>63</v>
      </c>
      <c r="Z720" s="713"/>
      <c r="AA720" s="1316">
        <f ca="1">IF(OR(CostTrack[[#This Row],[Release Date (CMS)]]&gt;=DATE(VALUE(REPLACE(CostTrack[[#This Row],[Fiscal Period]],3,3,"")),3,1),CostTrack[[#This Row],[Release Date (CMS)]]&lt;DATE(VALUE(LEFT(CostTrack[[#This Row],[Fiscal Period]],4)),4,1)),1,0)</f>
        <v>0</v>
      </c>
      <c r="AB720" s="1317">
        <v>1250</v>
      </c>
      <c r="AC720" s="1308">
        <v>45453</v>
      </c>
      <c r="AD720" s="402" t="str">
        <f ca="1">IF(CostTrack[[#This Row],[Reconciled Amount]]="","",IF(CostTrack[[#This Row],[Value]]&lt;&gt;CostTrack[[#This Row],[Reconciled Amount]],"Yes","No"))</f>
        <v>No</v>
      </c>
      <c r="AE720" s="658"/>
    </row>
    <row r="721" spans="2:31" ht="42.75" customHeight="1">
      <c r="B721" s="1324" t="s">
        <v>1386</v>
      </c>
      <c r="C721" s="691">
        <v>9000082427</v>
      </c>
      <c r="D721" s="1308">
        <v>45436</v>
      </c>
      <c r="E721" s="658">
        <v>1254</v>
      </c>
      <c r="F721" s="1309" t="s">
        <v>69</v>
      </c>
      <c r="G721" s="1310">
        <f ca="1">ROUND(IF(CostTrack[[#This Row],[Holdback (Y/N/R)]]="Yes",CostTrack[[#This Row],[Value]]*-0.1,IF(CostTrack[[#This Row],[Holdback (Y/N/R)]]="Release",CostTrack[[#This Row],[Value]],0)),2)</f>
        <v>0</v>
      </c>
      <c r="H721" s="1311">
        <f ca="1">IF(CostTrack[[#This Row],[Holdback (Y/N/R)]]="Release",CostTrack[[#This Row],[Value]],CostTrack[[#This Row],[Value]]+CostTrack[[#This Row],[Holdback Value]])</f>
        <v>1254</v>
      </c>
      <c r="I721" s="1312"/>
      <c r="J721" s="1312"/>
      <c r="K721" s="1313"/>
      <c r="L721" s="1325">
        <v>45436</v>
      </c>
      <c r="M721" s="1326">
        <v>45436</v>
      </c>
      <c r="N721" s="1327"/>
      <c r="O721" s="1328" t="s">
        <v>106</v>
      </c>
      <c r="P721" s="1308">
        <v>45436</v>
      </c>
      <c r="Q721" s="1314" t="str">
        <f ca="1">IF(CostTrack[[#This Row],[Vendor - Contract]]="","",INDEX(VendorList[PA ID],MATCH(CostTrack[[#This Row],[Vendor - Contract]],VendorList[Vendor / Org. with Contract ID],0)))</f>
        <v>400.010.F1</v>
      </c>
      <c r="R721" s="1314" t="str">
        <f ca="1">IF(CostTrack[[#This Row],[Vendor - Contract]]="","",INDEX(VendorList[Primary Category],MATCH(CostTrack[[#This Row],[Vendor - Contract]],VendorList[Vendor / Org. with Contract ID],0)))</f>
        <v>FE_IT</v>
      </c>
      <c r="S721" s="1314" t="str">
        <f ca="1">IF(CostTrack[[#This Row],[Vendor - Contract]]="","",INDEX(VendorList[Secondary Category],MATCH(CostTrack[[#This Row],[Vendor - Contract]],VendorList[Vendor / Org. with Contract ID],0)))</f>
        <v>Furniture &amp; Equipment</v>
      </c>
      <c r="T721" s="1314" t="str">
        <f ca="1">IF(CostTrack[[#This Row],[Vendor - Contract]]="","",INDEX(VendorList[Phase / Subproject],MATCH(CostTrack[[#This Row],[Vendor - Contract]],VendorList[Vendor / Org. with Contract ID],0)))</f>
        <v>--</v>
      </c>
      <c r="U721" s="1314" t="str">
        <f ca="1">IF(CostTrack[[#This Row],[Vendor - Contract]]="","",INDEX(VendorList[Phase / Subproject 2],MATCH(CostTrack[[#This Row],[Vendor - Contract]],VendorList[Vendor / Org. with Contract ID],0)))</f>
        <v>--</v>
      </c>
      <c r="V721" s="1314" t="str">
        <f ca="1">IF(CostTrack[[#This Row],[Vendor - Contract]]="","",INDEX(VendorList[Funding Source],MATCH(CostTrack[[#This Row],[Vendor - Contract]],VendorList[Vendor / Org. with Contract ID],0)))</f>
        <v>P-002360</v>
      </c>
      <c r="W721" s="1308">
        <v>45436</v>
      </c>
      <c r="X721" s="1315" t="str">
        <f ca="1">IF(CostTrack[[#This Row],[Release Date (CMS)]]="","*","")</f>
        <v/>
      </c>
      <c r="Y721" s="1308" t="s">
        <v>63</v>
      </c>
      <c r="Z721" s="713" t="s">
        <v>1387</v>
      </c>
      <c r="AA721" s="1316">
        <f ca="1">IF(OR(CostTrack[[#This Row],[Release Date (CMS)]]&gt;=DATE(VALUE(REPLACE(CostTrack[[#This Row],[Fiscal Period]],3,3,"")),3,1),CostTrack[[#This Row],[Release Date (CMS)]]&lt;DATE(VALUE(LEFT(CostTrack[[#This Row],[Fiscal Period]],4)),4,1)),1,0)</f>
        <v>0</v>
      </c>
      <c r="AB721" s="1317">
        <v>1254</v>
      </c>
      <c r="AC721" s="1308">
        <v>45453</v>
      </c>
      <c r="AD721" s="402" t="str">
        <f ca="1">IF(CostTrack[[#This Row],[Reconciled Amount]]="","",IF(CostTrack[[#This Row],[Value]]&lt;&gt;CostTrack[[#This Row],[Reconciled Amount]],"Yes","No"))</f>
        <v>No</v>
      </c>
      <c r="AE721" s="658"/>
    </row>
    <row r="722" spans="2:31" ht="60" customHeight="1">
      <c r="B722" s="1324" t="s">
        <v>1388</v>
      </c>
      <c r="C722" s="691">
        <v>9000084417</v>
      </c>
      <c r="D722" s="1308">
        <v>45440</v>
      </c>
      <c r="E722" s="658">
        <v>12646.6</v>
      </c>
      <c r="F722" s="1309" t="s">
        <v>69</v>
      </c>
      <c r="G722" s="1310">
        <f ca="1">ROUND(IF(CostTrack[[#This Row],[Holdback (Y/N/R)]]="Yes",CostTrack[[#This Row],[Value]]*-0.1,IF(CostTrack[[#This Row],[Holdback (Y/N/R)]]="Release",CostTrack[[#This Row],[Value]],0)),2)</f>
        <v>0</v>
      </c>
      <c r="H722" s="1311">
        <f ca="1">IF(CostTrack[[#This Row],[Holdback (Y/N/R)]]="Release",CostTrack[[#This Row],[Value]],CostTrack[[#This Row],[Value]]+CostTrack[[#This Row],[Holdback Value]])</f>
        <v>12646.6</v>
      </c>
      <c r="I722" s="1312"/>
      <c r="J722" s="1312"/>
      <c r="K722" s="1313"/>
      <c r="L722" s="1325">
        <v>45440</v>
      </c>
      <c r="M722" s="1326">
        <v>45440</v>
      </c>
      <c r="N722" s="1327"/>
      <c r="O722" s="1328" t="s">
        <v>106</v>
      </c>
      <c r="P722" s="1308">
        <v>45440</v>
      </c>
      <c r="Q722" s="1314" t="str">
        <f ca="1">IF(CostTrack[[#This Row],[Vendor - Contract]]="","",INDEX(VendorList[PA ID],MATCH(CostTrack[[#This Row],[Vendor - Contract]],VendorList[Vendor / Org. with Contract ID],0)))</f>
        <v>400.010.F1</v>
      </c>
      <c r="R722" s="1314" t="str">
        <f ca="1">IF(CostTrack[[#This Row],[Vendor - Contract]]="","",INDEX(VendorList[Primary Category],MATCH(CostTrack[[#This Row],[Vendor - Contract]],VendorList[Vendor / Org. with Contract ID],0)))</f>
        <v>FE_IT</v>
      </c>
      <c r="S722" s="1314" t="str">
        <f ca="1">IF(CostTrack[[#This Row],[Vendor - Contract]]="","",INDEX(VendorList[Secondary Category],MATCH(CostTrack[[#This Row],[Vendor - Contract]],VendorList[Vendor / Org. with Contract ID],0)))</f>
        <v>Furniture &amp; Equipment</v>
      </c>
      <c r="T722" s="1314" t="str">
        <f ca="1">IF(CostTrack[[#This Row],[Vendor - Contract]]="","",INDEX(VendorList[Phase / Subproject],MATCH(CostTrack[[#This Row],[Vendor - Contract]],VendorList[Vendor / Org. with Contract ID],0)))</f>
        <v>--</v>
      </c>
      <c r="U722" s="1314" t="str">
        <f ca="1">IF(CostTrack[[#This Row],[Vendor - Contract]]="","",INDEX(VendorList[Phase / Subproject 2],MATCH(CostTrack[[#This Row],[Vendor - Contract]],VendorList[Vendor / Org. with Contract ID],0)))</f>
        <v>--</v>
      </c>
      <c r="V722" s="1314" t="str">
        <f ca="1">IF(CostTrack[[#This Row],[Vendor - Contract]]="","",INDEX(VendorList[Funding Source],MATCH(CostTrack[[#This Row],[Vendor - Contract]],VendorList[Vendor / Org. with Contract ID],0)))</f>
        <v>P-002360</v>
      </c>
      <c r="W722" s="1308">
        <v>45440</v>
      </c>
      <c r="X722" s="1315" t="str">
        <f ca="1">IF(CostTrack[[#This Row],[Release Date (CMS)]]="","*","")</f>
        <v/>
      </c>
      <c r="Y722" s="1308" t="s">
        <v>63</v>
      </c>
      <c r="Z722" s="652" t="s">
        <v>1389</v>
      </c>
      <c r="AA722" s="1316">
        <f ca="1">IF(OR(CostTrack[[#This Row],[Release Date (CMS)]]&gt;=DATE(VALUE(REPLACE(CostTrack[[#This Row],[Fiscal Period]],3,3,"")),3,1),CostTrack[[#This Row],[Release Date (CMS)]]&lt;DATE(VALUE(LEFT(CostTrack[[#This Row],[Fiscal Period]],4)),4,1)),1,0)</f>
        <v>0</v>
      </c>
      <c r="AB722" s="1317">
        <v>12646.6</v>
      </c>
      <c r="AC722" s="1308">
        <v>45453</v>
      </c>
      <c r="AD722" s="402" t="str">
        <f ca="1">IF(CostTrack[[#This Row],[Reconciled Amount]]="","",IF(CostTrack[[#This Row],[Value]]&lt;&gt;CostTrack[[#This Row],[Reconciled Amount]],"Yes","No"))</f>
        <v>No</v>
      </c>
      <c r="AE722" s="658"/>
    </row>
    <row r="723" spans="2:31" ht="51" customHeight="1">
      <c r="B723" s="1324" t="s">
        <v>731</v>
      </c>
      <c r="C723" s="1334">
        <v>800022271</v>
      </c>
      <c r="D723" s="1308">
        <v>45442</v>
      </c>
      <c r="E723" s="658">
        <v>52.48</v>
      </c>
      <c r="F723" s="1309" t="s">
        <v>69</v>
      </c>
      <c r="G723" s="1310">
        <f ca="1">ROUND(IF(CostTrack[[#This Row],[Holdback (Y/N/R)]]="Yes",CostTrack[[#This Row],[Value]]*-0.1,IF(CostTrack[[#This Row],[Holdback (Y/N/R)]]="Release",CostTrack[[#This Row],[Value]],0)),2)</f>
        <v>0</v>
      </c>
      <c r="H723" s="1311">
        <f ca="1">IF(CostTrack[[#This Row],[Holdback (Y/N/R)]]="Release",CostTrack[[#This Row],[Value]],CostTrack[[#This Row],[Value]]+CostTrack[[#This Row],[Holdback Value]])</f>
        <v>52.48</v>
      </c>
      <c r="I723" s="1312"/>
      <c r="J723" s="1312"/>
      <c r="K723" s="1313"/>
      <c r="L723" s="1325">
        <v>45442</v>
      </c>
      <c r="M723" s="1326">
        <v>45442</v>
      </c>
      <c r="N723" s="1327"/>
      <c r="O723" s="1328" t="s">
        <v>106</v>
      </c>
      <c r="P723" s="1308">
        <v>45442</v>
      </c>
      <c r="Q723" s="1314" t="str">
        <f ca="1">IF(CostTrack[[#This Row],[Vendor - Contract]]="","",INDEX(VendorList[PA ID],MATCH(CostTrack[[#This Row],[Vendor - Contract]],VendorList[Vendor / Org. with Contract ID],0)))</f>
        <v>100.050.F1</v>
      </c>
      <c r="R723" s="1314" t="str">
        <f ca="1">IF(CostTrack[[#This Row],[Vendor - Contract]]="","",INDEX(VendorList[Primary Category],MATCH(CostTrack[[#This Row],[Vendor - Contract]],VendorList[Vendor / Org. with Contract ID],0)))</f>
        <v>Administration</v>
      </c>
      <c r="S723" s="1314" t="str">
        <f ca="1">IF(CostTrack[[#This Row],[Vendor - Contract]]="","",INDEX(VendorList[Secondary Category],MATCH(CostTrack[[#This Row],[Vendor - Contract]],VendorList[Vendor / Org. with Contract ID],0)))</f>
        <v>Other Administration</v>
      </c>
      <c r="T723" s="1314" t="str">
        <f ca="1">IF(CostTrack[[#This Row],[Vendor - Contract]]="","",INDEX(VendorList[Phase / Subproject],MATCH(CostTrack[[#This Row],[Vendor - Contract]],VendorList[Vendor / Org. with Contract ID],0)))</f>
        <v>--</v>
      </c>
      <c r="U723" s="1314" t="str">
        <f ca="1">IF(CostTrack[[#This Row],[Vendor - Contract]]="","",INDEX(VendorList[Phase / Subproject 2],MATCH(CostTrack[[#This Row],[Vendor - Contract]],VendorList[Vendor / Org. with Contract ID],0)))</f>
        <v>--</v>
      </c>
      <c r="V723" s="1314" t="str">
        <f ca="1">IF(CostTrack[[#This Row],[Vendor - Contract]]="","",INDEX(VendorList[Funding Source],MATCH(CostTrack[[#This Row],[Vendor - Contract]],VendorList[Vendor / Org. with Contract ID],0)))</f>
        <v>P-002360</v>
      </c>
      <c r="W723" s="1308">
        <v>45442</v>
      </c>
      <c r="X723" s="1315" t="str">
        <f ca="1">IF(CostTrack[[#This Row],[Release Date (CMS)]]="","*","")</f>
        <v/>
      </c>
      <c r="Y723" s="1308" t="s">
        <v>63</v>
      </c>
      <c r="Z723" s="713" t="s">
        <v>1390</v>
      </c>
      <c r="AA723" s="1316">
        <f ca="1">IF(OR(CostTrack[[#This Row],[Release Date (CMS)]]&gt;=DATE(VALUE(REPLACE(CostTrack[[#This Row],[Fiscal Period]],3,3,"")),3,1),CostTrack[[#This Row],[Release Date (CMS)]]&lt;DATE(VALUE(LEFT(CostTrack[[#This Row],[Fiscal Period]],4)),4,1)),1,0)</f>
        <v>0</v>
      </c>
      <c r="AB723" s="1317">
        <v>52.48</v>
      </c>
      <c r="AC723" s="1308">
        <v>45453</v>
      </c>
      <c r="AD723" s="402" t="str">
        <f ca="1">IF(CostTrack[[#This Row],[Reconciled Amount]]="","",IF(CostTrack[[#This Row],[Value]]&lt;&gt;CostTrack[[#This Row],[Reconciled Amount]],"Yes","No"))</f>
        <v>No</v>
      </c>
      <c r="AE723" s="658"/>
    </row>
    <row r="724" spans="2:31" ht="48.6" customHeight="1">
      <c r="B724" s="1324" t="s">
        <v>731</v>
      </c>
      <c r="C724" s="1334">
        <v>800015319</v>
      </c>
      <c r="D724" s="1308">
        <v>45426</v>
      </c>
      <c r="E724" s="658">
        <v>318.33999999999997</v>
      </c>
      <c r="F724" s="1309" t="s">
        <v>69</v>
      </c>
      <c r="G724" s="1310">
        <f ca="1">ROUND(IF(CostTrack[[#This Row],[Holdback (Y/N/R)]]="Yes",CostTrack[[#This Row],[Value]]*-0.1,IF(CostTrack[[#This Row],[Holdback (Y/N/R)]]="Release",CostTrack[[#This Row],[Value]],0)),2)</f>
        <v>0</v>
      </c>
      <c r="H724" s="1311">
        <f ca="1">IF(CostTrack[[#This Row],[Holdback (Y/N/R)]]="Release",CostTrack[[#This Row],[Value]],CostTrack[[#This Row],[Value]]+CostTrack[[#This Row],[Holdback Value]])</f>
        <v>318.33999999999997</v>
      </c>
      <c r="I724" s="1312"/>
      <c r="J724" s="1312"/>
      <c r="K724" s="1313"/>
      <c r="L724" s="1325">
        <v>45426</v>
      </c>
      <c r="M724" s="1326">
        <v>45426</v>
      </c>
      <c r="N724" s="1327"/>
      <c r="O724" s="1328" t="s">
        <v>106</v>
      </c>
      <c r="P724" s="1308">
        <v>45426</v>
      </c>
      <c r="Q724" s="1314" t="str">
        <f ca="1">IF(CostTrack[[#This Row],[Vendor - Contract]]="","",INDEX(VendorList[PA ID],MATCH(CostTrack[[#This Row],[Vendor - Contract]],VendorList[Vendor / Org. with Contract ID],0)))</f>
        <v>100.050.F1</v>
      </c>
      <c r="R724" s="1314" t="str">
        <f ca="1">IF(CostTrack[[#This Row],[Vendor - Contract]]="","",INDEX(VendorList[Primary Category],MATCH(CostTrack[[#This Row],[Vendor - Contract]],VendorList[Vendor / Org. with Contract ID],0)))</f>
        <v>Administration</v>
      </c>
      <c r="S724" s="1314" t="str">
        <f ca="1">IF(CostTrack[[#This Row],[Vendor - Contract]]="","",INDEX(VendorList[Secondary Category],MATCH(CostTrack[[#This Row],[Vendor - Contract]],VendorList[Vendor / Org. with Contract ID],0)))</f>
        <v>Other Administration</v>
      </c>
      <c r="T724" s="1314" t="str">
        <f ca="1">IF(CostTrack[[#This Row],[Vendor - Contract]]="","",INDEX(VendorList[Phase / Subproject],MATCH(CostTrack[[#This Row],[Vendor - Contract]],VendorList[Vendor / Org. with Contract ID],0)))</f>
        <v>--</v>
      </c>
      <c r="U724" s="1314" t="str">
        <f ca="1">IF(CostTrack[[#This Row],[Vendor - Contract]]="","",INDEX(VendorList[Phase / Subproject 2],MATCH(CostTrack[[#This Row],[Vendor - Contract]],VendorList[Vendor / Org. with Contract ID],0)))</f>
        <v>--</v>
      </c>
      <c r="V724" s="1314" t="str">
        <f ca="1">IF(CostTrack[[#This Row],[Vendor - Contract]]="","",INDEX(VendorList[Funding Source],MATCH(CostTrack[[#This Row],[Vendor - Contract]],VendorList[Vendor / Org. with Contract ID],0)))</f>
        <v>P-002360</v>
      </c>
      <c r="W724" s="1308">
        <v>45426</v>
      </c>
      <c r="X724" s="1315" t="str">
        <f ca="1">IF(CostTrack[[#This Row],[Release Date (CMS)]]="","*","")</f>
        <v/>
      </c>
      <c r="Y724" s="1308" t="s">
        <v>63</v>
      </c>
      <c r="Z724" s="713" t="s">
        <v>1391</v>
      </c>
      <c r="AA724" s="1316">
        <f ca="1">IF(OR(CostTrack[[#This Row],[Release Date (CMS)]]&gt;=DATE(VALUE(REPLACE(CostTrack[[#This Row],[Fiscal Period]],3,3,"")),3,1),CostTrack[[#This Row],[Release Date (CMS)]]&lt;DATE(VALUE(LEFT(CostTrack[[#This Row],[Fiscal Period]],4)),4,1)),1,0)</f>
        <v>0</v>
      </c>
      <c r="AB724" s="1317">
        <v>318.33999999999997</v>
      </c>
      <c r="AC724" s="1308">
        <v>45453</v>
      </c>
      <c r="AD724" s="402" t="str">
        <f ca="1">IF(CostTrack[[#This Row],[Reconciled Amount]]="","",IF(CostTrack[[#This Row],[Value]]&lt;&gt;CostTrack[[#This Row],[Reconciled Amount]],"Yes","No"))</f>
        <v>No</v>
      </c>
      <c r="AE724" s="658"/>
    </row>
    <row r="725" spans="2:31" ht="18.75" customHeight="1">
      <c r="B725" s="1324" t="s">
        <v>527</v>
      </c>
      <c r="C725" s="1334" t="s">
        <v>1392</v>
      </c>
      <c r="D725" s="1308">
        <v>45443</v>
      </c>
      <c r="E725" s="658">
        <v>8991.39</v>
      </c>
      <c r="F725" s="1309" t="s">
        <v>69</v>
      </c>
      <c r="G725" s="1310">
        <f ca="1">ROUND(IF(CostTrack[[#This Row],[Holdback (Y/N/R)]]="Yes",CostTrack[[#This Row],[Value]]*-0.1,IF(CostTrack[[#This Row],[Holdback (Y/N/R)]]="Release",CostTrack[[#This Row],[Value]],0)),2)</f>
        <v>0</v>
      </c>
      <c r="H725" s="1311">
        <f ca="1">IF(CostTrack[[#This Row],[Holdback (Y/N/R)]]="Release",CostTrack[[#This Row],[Value]],CostTrack[[#This Row],[Value]]+CostTrack[[#This Row],[Holdback Value]])</f>
        <v>8991.39</v>
      </c>
      <c r="I725" s="1312"/>
      <c r="J725" s="1312"/>
      <c r="K725" s="1313"/>
      <c r="L725" s="1325">
        <v>45453</v>
      </c>
      <c r="M725" s="1326">
        <v>45453</v>
      </c>
      <c r="N725" s="1327"/>
      <c r="O725" s="1328" t="s">
        <v>106</v>
      </c>
      <c r="P725" s="1308">
        <v>45453</v>
      </c>
      <c r="Q725" s="1314" t="str">
        <f ca="1">IF(CostTrack[[#This Row],[Vendor - Contract]]="","",INDEX(VendorList[PA ID],MATCH(CostTrack[[#This Row],[Vendor - Contract]],VendorList[Vendor / Org. with Contract ID],0)))</f>
        <v>200.010.F1</v>
      </c>
      <c r="R725" s="1314" t="str">
        <f ca="1">IF(CostTrack[[#This Row],[Vendor - Contract]]="","",INDEX(VendorList[Primary Category],MATCH(CostTrack[[#This Row],[Vendor - Contract]],VendorList[Vendor / Org. with Contract ID],0)))</f>
        <v>Professional Services</v>
      </c>
      <c r="S725" s="1314" t="str">
        <f ca="1">IF(CostTrack[[#This Row],[Vendor - Contract]]="","",INDEX(VendorList[Secondary Category],MATCH(CostTrack[[#This Row],[Vendor - Contract]],VendorList[Vendor / Org. with Contract ID],0)))</f>
        <v>Prime Consultant</v>
      </c>
      <c r="T725" s="1314" t="str">
        <f ca="1">IF(CostTrack[[#This Row],[Vendor - Contract]]="","",INDEX(VendorList[Phase / Subproject],MATCH(CostTrack[[#This Row],[Vendor - Contract]],VendorList[Vendor / Org. with Contract ID],0)))</f>
        <v>--</v>
      </c>
      <c r="U725" s="1314" t="str">
        <f ca="1">IF(CostTrack[[#This Row],[Vendor - Contract]]="","",INDEX(VendorList[Phase / Subproject 2],MATCH(CostTrack[[#This Row],[Vendor - Contract]],VendorList[Vendor / Org. with Contract ID],0)))</f>
        <v>--</v>
      </c>
      <c r="V725" s="1314" t="str">
        <f ca="1">IF(CostTrack[[#This Row],[Vendor - Contract]]="","",INDEX(VendorList[Funding Source],MATCH(CostTrack[[#This Row],[Vendor - Contract]],VendorList[Vendor / Org. with Contract ID],0)))</f>
        <v>P-002360</v>
      </c>
      <c r="W725" s="1308">
        <v>45454</v>
      </c>
      <c r="X725" s="1315" t="str">
        <f ca="1">IF(CostTrack[[#This Row],[Release Date (CMS)]]="","*","")</f>
        <v/>
      </c>
      <c r="Y725" s="1308" t="s">
        <v>63</v>
      </c>
      <c r="Z725" s="713"/>
      <c r="AA725" s="1316">
        <f ca="1">IF(OR(CostTrack[[#This Row],[Release Date (CMS)]]&gt;=DATE(VALUE(REPLACE(CostTrack[[#This Row],[Fiscal Period]],3,3,"")),3,1),CostTrack[[#This Row],[Release Date (CMS)]]&lt;DATE(VALUE(LEFT(CostTrack[[#This Row],[Fiscal Period]],4)),4,1)),1,0)</f>
        <v>0</v>
      </c>
      <c r="AB725" s="1317">
        <v>8991.39</v>
      </c>
      <c r="AC725" s="1308">
        <v>45482</v>
      </c>
      <c r="AD725" s="402" t="str">
        <f ca="1">IF(CostTrack[[#This Row],[Reconciled Amount]]="","",IF(CostTrack[[#This Row],[Value]]&lt;&gt;CostTrack[[#This Row],[Reconciled Amount]],"Yes","No"))</f>
        <v>No</v>
      </c>
      <c r="AE725" s="658"/>
    </row>
    <row r="726" spans="2:31" ht="18.75" customHeight="1">
      <c r="B726" s="1324" t="s">
        <v>679</v>
      </c>
      <c r="C726" s="1334" t="s">
        <v>1355</v>
      </c>
      <c r="D726" s="1308">
        <v>45448</v>
      </c>
      <c r="E726" s="658">
        <v>26981</v>
      </c>
      <c r="F726" s="1309" t="s">
        <v>69</v>
      </c>
      <c r="G726" s="1310">
        <f ca="1">ROUND(IF(CostTrack[[#This Row],[Holdback (Y/N/R)]]="Yes",CostTrack[[#This Row],[Value]]*-0.1,IF(CostTrack[[#This Row],[Holdback (Y/N/R)]]="Release",CostTrack[[#This Row],[Value]],0)),2)</f>
        <v>0</v>
      </c>
      <c r="H726" s="1311">
        <f ca="1">IF(CostTrack[[#This Row],[Holdback (Y/N/R)]]="Release",CostTrack[[#This Row],[Value]],CostTrack[[#This Row],[Value]]+CostTrack[[#This Row],[Holdback Value]])</f>
        <v>26981</v>
      </c>
      <c r="I726" s="1312"/>
      <c r="J726" s="1312"/>
      <c r="K726" s="1313"/>
      <c r="L726" s="1325">
        <v>45448</v>
      </c>
      <c r="M726" s="1326">
        <v>45448</v>
      </c>
      <c r="N726" s="1327"/>
      <c r="O726" s="1328" t="s">
        <v>106</v>
      </c>
      <c r="P726" s="1308">
        <v>45448</v>
      </c>
      <c r="Q726" s="1314" t="str">
        <f ca="1">IF(CostTrack[[#This Row],[Vendor - Contract]]="","",INDEX(VendorList[PA ID],MATCH(CostTrack[[#This Row],[Vendor - Contract]],VendorList[Vendor / Org. with Contract ID],0)))</f>
        <v>400.020.F1</v>
      </c>
      <c r="R726" s="1314" t="str">
        <f ca="1">IF(CostTrack[[#This Row],[Vendor - Contract]]="","",INDEX(VendorList[Primary Category],MATCH(CostTrack[[#This Row],[Vendor - Contract]],VendorList[Vendor / Org. with Contract ID],0)))</f>
        <v>FE_IT</v>
      </c>
      <c r="S726" s="1314" t="str">
        <f ca="1">IF(CostTrack[[#This Row],[Vendor - Contract]]="","",INDEX(VendorList[Secondary Category],MATCH(CostTrack[[#This Row],[Vendor - Contract]],VendorList[Vendor / Org. with Contract ID],0)))</f>
        <v>Information Technology</v>
      </c>
      <c r="T726" s="1314" t="str">
        <f ca="1">IF(CostTrack[[#This Row],[Vendor - Contract]]="","",INDEX(VendorList[Phase / Subproject],MATCH(CostTrack[[#This Row],[Vendor - Contract]],VendorList[Vendor / Org. with Contract ID],0)))</f>
        <v>--</v>
      </c>
      <c r="U726" s="1314" t="str">
        <f ca="1">IF(CostTrack[[#This Row],[Vendor - Contract]]="","",INDEX(VendorList[Phase / Subproject 2],MATCH(CostTrack[[#This Row],[Vendor - Contract]],VendorList[Vendor / Org. with Contract ID],0)))</f>
        <v>--</v>
      </c>
      <c r="V726" s="1314" t="str">
        <f ca="1">IF(CostTrack[[#This Row],[Vendor - Contract]]="","",INDEX(VendorList[Funding Source],MATCH(CostTrack[[#This Row],[Vendor - Contract]],VendorList[Vendor / Org. with Contract ID],0)))</f>
        <v>P-002360</v>
      </c>
      <c r="W726" s="1308">
        <v>45448</v>
      </c>
      <c r="X726" s="1315" t="str">
        <f ca="1">IF(CostTrack[[#This Row],[Release Date (CMS)]]="","*","")</f>
        <v/>
      </c>
      <c r="Y726" s="1308" t="s">
        <v>63</v>
      </c>
      <c r="Z726" s="713"/>
      <c r="AA726" s="1316">
        <f ca="1">IF(OR(CostTrack[[#This Row],[Release Date (CMS)]]&gt;=DATE(VALUE(REPLACE(CostTrack[[#This Row],[Fiscal Period]],3,3,"")),3,1),CostTrack[[#This Row],[Release Date (CMS)]]&lt;DATE(VALUE(LEFT(CostTrack[[#This Row],[Fiscal Period]],4)),4,1)),1,0)</f>
        <v>0</v>
      </c>
      <c r="AB726" s="1317">
        <v>26981</v>
      </c>
      <c r="AC726" s="1308">
        <v>45482</v>
      </c>
      <c r="AD726" s="402" t="str">
        <f ca="1">IF(CostTrack[[#This Row],[Reconciled Amount]]="","",IF(CostTrack[[#This Row],[Value]]&lt;&gt;CostTrack[[#This Row],[Reconciled Amount]],"Yes","No"))</f>
        <v>No</v>
      </c>
      <c r="AE726" s="658"/>
    </row>
    <row r="727" spans="2:31" ht="24" customHeight="1">
      <c r="B727" s="706" t="s">
        <v>529</v>
      </c>
      <c r="C727" s="691" t="s">
        <v>1393</v>
      </c>
      <c r="D727" s="267">
        <v>45373</v>
      </c>
      <c r="E727" s="654">
        <v>10515488.65</v>
      </c>
      <c r="F727" s="647" t="s">
        <v>100</v>
      </c>
      <c r="G727" s="406">
        <f ca="1">ROUND(IF(CostTrack[[#This Row],[Holdback (Y/N/R)]]="Yes",CostTrack[[#This Row],[Value]]*-0.1,IF(CostTrack[[#This Row],[Holdback (Y/N/R)]]="Release",CostTrack[[#This Row],[Value]],0)),2)</f>
        <v>10515488.65</v>
      </c>
      <c r="H727" s="407">
        <f ca="1">IF(CostTrack[[#This Row],[Holdback (Y/N/R)]]="Release",CostTrack[[#This Row],[Value]],CostTrack[[#This Row],[Value]]+CostTrack[[#This Row],[Holdback Value]])</f>
        <v>10515488.65</v>
      </c>
      <c r="I727" s="650" t="s">
        <v>1394</v>
      </c>
      <c r="J727" s="650"/>
      <c r="K727" s="648"/>
      <c r="L727" s="707">
        <v>45433</v>
      </c>
      <c r="M727" s="708">
        <v>45436</v>
      </c>
      <c r="N727" s="709"/>
      <c r="O727" s="712" t="s">
        <v>106</v>
      </c>
      <c r="P727" s="267">
        <v>45436</v>
      </c>
      <c r="Q727" s="243" t="str">
        <f ca="1">IF(CostTrack[[#This Row],[Vendor - Contract]]="","",INDEX(VendorList[PA ID],MATCH(CostTrack[[#This Row],[Vendor - Contract]],VendorList[Vendor / Org. with Contract ID],0)))</f>
        <v>300.030.F1</v>
      </c>
      <c r="R727" s="243" t="str">
        <f ca="1">IF(CostTrack[[#This Row],[Vendor - Contract]]="","",INDEX(VendorList[Primary Category],MATCH(CostTrack[[#This Row],[Vendor - Contract]],VendorList[Vendor / Org. with Contract ID],0)))</f>
        <v>Construction</v>
      </c>
      <c r="S727" s="243" t="str">
        <f ca="1">IF(CostTrack[[#This Row],[Vendor - Contract]]="","",INDEX(VendorList[Secondary Category],MATCH(CostTrack[[#This Row],[Vendor - Contract]],VendorList[Vendor / Org. with Contract ID],0)))</f>
        <v>Prime Contractor</v>
      </c>
      <c r="T727" s="243" t="str">
        <f ca="1">IF(CostTrack[[#This Row],[Vendor - Contract]]="","",INDEX(VendorList[Phase / Subproject],MATCH(CostTrack[[#This Row],[Vendor - Contract]],VendorList[Vendor / Org. with Contract ID],0)))</f>
        <v>--</v>
      </c>
      <c r="U727" s="243" t="str">
        <f ca="1">IF(CostTrack[[#This Row],[Vendor - Contract]]="","",INDEX(VendorList[Phase / Subproject 2],MATCH(CostTrack[[#This Row],[Vendor - Contract]],VendorList[Vendor / Org. with Contract ID],0)))</f>
        <v>--</v>
      </c>
      <c r="V727" s="243" t="str">
        <f ca="1">IF(CostTrack[[#This Row],[Vendor - Contract]]="","",INDEX(VendorList[Funding Source],MATCH(CostTrack[[#This Row],[Vendor - Contract]],VendorList[Vendor / Org. with Contract ID],0)))</f>
        <v>P-002360</v>
      </c>
      <c r="W727" s="267">
        <v>45436</v>
      </c>
      <c r="X727" s="251" t="str">
        <f ca="1">IF(CostTrack[[#This Row],[Release Date (CMS)]]="","*","")</f>
        <v/>
      </c>
      <c r="Y727" s="267" t="s">
        <v>63</v>
      </c>
      <c r="Z727" s="652" t="s">
        <v>1395</v>
      </c>
      <c r="AA727" s="245">
        <f ca="1">IF(OR(CostTrack[[#This Row],[Release Date (CMS)]]&gt;=DATE(VALUE(REPLACE(CostTrack[[#This Row],[Fiscal Period]],3,3,"")),3,1),CostTrack[[#This Row],[Release Date (CMS)]]&lt;DATE(VALUE(LEFT(CostTrack[[#This Row],[Fiscal Period]],4)),4,1)),1,0)</f>
        <v>0</v>
      </c>
      <c r="AB727" s="655">
        <v>10515488.65</v>
      </c>
      <c r="AC727" s="267">
        <v>45482</v>
      </c>
      <c r="AD727" s="402" t="str">
        <f ca="1">IF(CostTrack[[#This Row],[Reconciled Amount]]="","",IF(CostTrack[[#This Row],[Value]]&lt;&gt;CostTrack[[#This Row],[Reconciled Amount]],"Yes","No"))</f>
        <v>No</v>
      </c>
      <c r="AE727" s="654"/>
    </row>
    <row r="728" spans="2:31" ht="16.149999999999999" customHeight="1">
      <c r="B728" s="1324" t="s">
        <v>666</v>
      </c>
      <c r="C728" s="1334" t="s">
        <v>1396</v>
      </c>
      <c r="D728" s="1308">
        <v>45462</v>
      </c>
      <c r="E728" s="658">
        <v>2500</v>
      </c>
      <c r="F728" s="1309" t="s">
        <v>69</v>
      </c>
      <c r="G728" s="1310">
        <f ca="1">ROUND(IF(CostTrack[[#This Row],[Holdback (Y/N/R)]]="Yes",CostTrack[[#This Row],[Value]]*-0.1,IF(CostTrack[[#This Row],[Holdback (Y/N/R)]]="Release",CostTrack[[#This Row],[Value]],0)),2)</f>
        <v>0</v>
      </c>
      <c r="H728" s="1311">
        <f ca="1">IF(CostTrack[[#This Row],[Holdback (Y/N/R)]]="Release",CostTrack[[#This Row],[Value]],CostTrack[[#This Row],[Value]]+CostTrack[[#This Row],[Holdback Value]])</f>
        <v>2500</v>
      </c>
      <c r="I728" s="1312"/>
      <c r="J728" s="1312"/>
      <c r="K728" s="1313"/>
      <c r="L728" s="1325">
        <v>45468</v>
      </c>
      <c r="M728" s="1326">
        <v>45468</v>
      </c>
      <c r="N728" s="1327"/>
      <c r="O728" s="1328" t="s">
        <v>106</v>
      </c>
      <c r="P728" s="1308">
        <v>45468</v>
      </c>
      <c r="Q728" s="1314" t="str">
        <f ca="1">IF(CostTrack[[#This Row],[Vendor - Contract]]="","",INDEX(VendorList[PA ID],MATCH(CostTrack[[#This Row],[Vendor - Contract]],VendorList[Vendor / Org. with Contract ID],0)))</f>
        <v>200.050.F1</v>
      </c>
      <c r="R728" s="1314" t="str">
        <f ca="1">IF(CostTrack[[#This Row],[Vendor - Contract]]="","",INDEX(VendorList[Primary Category],MATCH(CostTrack[[#This Row],[Vendor - Contract]],VendorList[Vendor / Org. with Contract ID],0)))</f>
        <v>Professional Services</v>
      </c>
      <c r="S728" s="1314" t="str">
        <f ca="1">IF(CostTrack[[#This Row],[Vendor - Contract]]="","",INDEX(VendorList[Secondary Category],MATCH(CostTrack[[#This Row],[Vendor - Contract]],VendorList[Vendor / Org. with Contract ID],0)))</f>
        <v>Other Professional Services</v>
      </c>
      <c r="T728" s="1314" t="str">
        <f ca="1">IF(CostTrack[[#This Row],[Vendor - Contract]]="","",INDEX(VendorList[Phase / Subproject],MATCH(CostTrack[[#This Row],[Vendor - Contract]],VendorList[Vendor / Org. with Contract ID],0)))</f>
        <v>--</v>
      </c>
      <c r="U728" s="1314" t="str">
        <f ca="1">IF(CostTrack[[#This Row],[Vendor - Contract]]="","",INDEX(VendorList[Phase / Subproject 2],MATCH(CostTrack[[#This Row],[Vendor - Contract]],VendorList[Vendor / Org. with Contract ID],0)))</f>
        <v>--</v>
      </c>
      <c r="V728" s="1314" t="str">
        <f ca="1">IF(CostTrack[[#This Row],[Vendor - Contract]]="","",INDEX(VendorList[Funding Source],MATCH(CostTrack[[#This Row],[Vendor - Contract]],VendorList[Vendor / Org. with Contract ID],0)))</f>
        <v>P-002360</v>
      </c>
      <c r="W728" s="1308">
        <v>45468</v>
      </c>
      <c r="X728" s="1315" t="str">
        <f ca="1">IF(CostTrack[[#This Row],[Release Date (CMS)]]="","*","")</f>
        <v/>
      </c>
      <c r="Y728" s="1308" t="s">
        <v>63</v>
      </c>
      <c r="Z728" s="713"/>
      <c r="AA728" s="1316">
        <f ca="1">IF(OR(CostTrack[[#This Row],[Release Date (CMS)]]&gt;=DATE(VALUE(REPLACE(CostTrack[[#This Row],[Fiscal Period]],3,3,"")),3,1),CostTrack[[#This Row],[Release Date (CMS)]]&lt;DATE(VALUE(LEFT(CostTrack[[#This Row],[Fiscal Period]],4)),4,1)),1,0)</f>
        <v>0</v>
      </c>
      <c r="AB728" s="1317">
        <v>2500</v>
      </c>
      <c r="AC728" s="1308">
        <v>45482</v>
      </c>
      <c r="AD728" s="402" t="str">
        <f ca="1">IF(CostTrack[[#This Row],[Reconciled Amount]]="","",IF(CostTrack[[#This Row],[Value]]&lt;&gt;CostTrack[[#This Row],[Reconciled Amount]],"Yes","No"))</f>
        <v>No</v>
      </c>
      <c r="AE728" s="658"/>
    </row>
    <row r="729" spans="2:31" ht="16.149999999999999" customHeight="1">
      <c r="B729" s="1324" t="s">
        <v>662</v>
      </c>
      <c r="C729" s="1334">
        <v>101273</v>
      </c>
      <c r="D729" s="1308">
        <v>45443</v>
      </c>
      <c r="E729" s="658">
        <v>759</v>
      </c>
      <c r="F729" s="1309" t="s">
        <v>69</v>
      </c>
      <c r="G729" s="1310">
        <f ca="1">ROUND(IF(CostTrack[[#This Row],[Holdback (Y/N/R)]]="Yes",CostTrack[[#This Row],[Value]]*-0.1,IF(CostTrack[[#This Row],[Holdback (Y/N/R)]]="Release",CostTrack[[#This Row],[Value]],0)),2)</f>
        <v>0</v>
      </c>
      <c r="H729" s="1311">
        <f ca="1">IF(CostTrack[[#This Row],[Holdback (Y/N/R)]]="Release",CostTrack[[#This Row],[Value]],CostTrack[[#This Row],[Value]]+CostTrack[[#This Row],[Holdback Value]])</f>
        <v>759</v>
      </c>
      <c r="I729" s="1312"/>
      <c r="J729" s="1312"/>
      <c r="K729" s="1313"/>
      <c r="L729" s="1325">
        <v>45449</v>
      </c>
      <c r="M729" s="1326">
        <v>45468</v>
      </c>
      <c r="N729" s="1327"/>
      <c r="O729" s="1328" t="s">
        <v>106</v>
      </c>
      <c r="P729" s="1308">
        <v>45468</v>
      </c>
      <c r="Q729" s="1314" t="str">
        <f ca="1">IF(CostTrack[[#This Row],[Vendor - Contract]]="","",INDEX(VendorList[PA ID],MATCH(CostTrack[[#This Row],[Vendor - Contract]],VendorList[Vendor / Org. with Contract ID],0)))</f>
        <v>200.050.F1</v>
      </c>
      <c r="R729" s="1314" t="str">
        <f ca="1">IF(CostTrack[[#This Row],[Vendor - Contract]]="","",INDEX(VendorList[Primary Category],MATCH(CostTrack[[#This Row],[Vendor - Contract]],VendorList[Vendor / Org. with Contract ID],0)))</f>
        <v>Professional Services</v>
      </c>
      <c r="S729" s="1314" t="str">
        <f ca="1">IF(CostTrack[[#This Row],[Vendor - Contract]]="","",INDEX(VendorList[Secondary Category],MATCH(CostTrack[[#This Row],[Vendor - Contract]],VendorList[Vendor / Org. with Contract ID],0)))</f>
        <v>Other Professional Services</v>
      </c>
      <c r="T729" s="1314" t="str">
        <f ca="1">IF(CostTrack[[#This Row],[Vendor - Contract]]="","",INDEX(VendorList[Phase / Subproject],MATCH(CostTrack[[#This Row],[Vendor - Contract]],VendorList[Vendor / Org. with Contract ID],0)))</f>
        <v>--</v>
      </c>
      <c r="U729" s="1314" t="str">
        <f ca="1">IF(CostTrack[[#This Row],[Vendor - Contract]]="","",INDEX(VendorList[Phase / Subproject 2],MATCH(CostTrack[[#This Row],[Vendor - Contract]],VendorList[Vendor / Org. with Contract ID],0)))</f>
        <v>--</v>
      </c>
      <c r="V729" s="1314" t="str">
        <f ca="1">IF(CostTrack[[#This Row],[Vendor - Contract]]="","",INDEX(VendorList[Funding Source],MATCH(CostTrack[[#This Row],[Vendor - Contract]],VendorList[Vendor / Org. with Contract ID],0)))</f>
        <v>P-002360</v>
      </c>
      <c r="W729" s="1308">
        <v>45469</v>
      </c>
      <c r="X729" s="1315" t="str">
        <f ca="1">IF(CostTrack[[#This Row],[Release Date (CMS)]]="","*","")</f>
        <v/>
      </c>
      <c r="Y729" s="1308" t="s">
        <v>63</v>
      </c>
      <c r="Z729" s="713"/>
      <c r="AA729" s="1316">
        <f ca="1">IF(OR(CostTrack[[#This Row],[Release Date (CMS)]]&gt;=DATE(VALUE(REPLACE(CostTrack[[#This Row],[Fiscal Period]],3,3,"")),3,1),CostTrack[[#This Row],[Release Date (CMS)]]&lt;DATE(VALUE(LEFT(CostTrack[[#This Row],[Fiscal Period]],4)),4,1)),1,0)</f>
        <v>0</v>
      </c>
      <c r="AB729" s="1317">
        <v>759</v>
      </c>
      <c r="AC729" s="1308">
        <v>45482</v>
      </c>
      <c r="AD729" s="402" t="str">
        <f ca="1">IF(CostTrack[[#This Row],[Reconciled Amount]]="","",IF(CostTrack[[#This Row],[Value]]&lt;&gt;CostTrack[[#This Row],[Reconciled Amount]],"Yes","No"))</f>
        <v>No</v>
      </c>
      <c r="AE729" s="658"/>
    </row>
    <row r="730" spans="2:31" ht="16.149999999999999" customHeight="1">
      <c r="B730" s="1324" t="s">
        <v>662</v>
      </c>
      <c r="C730" s="1334">
        <v>10274</v>
      </c>
      <c r="D730" s="1308">
        <v>45443</v>
      </c>
      <c r="E730" s="658">
        <v>1000</v>
      </c>
      <c r="F730" s="1309" t="s">
        <v>69</v>
      </c>
      <c r="G730" s="1310">
        <f ca="1">ROUND(IF(CostTrack[[#This Row],[Holdback (Y/N/R)]]="Yes",CostTrack[[#This Row],[Value]]*-0.1,IF(CostTrack[[#This Row],[Holdback (Y/N/R)]]="Release",CostTrack[[#This Row],[Value]],0)),2)</f>
        <v>0</v>
      </c>
      <c r="H730" s="1311">
        <f ca="1">IF(CostTrack[[#This Row],[Holdback (Y/N/R)]]="Release",CostTrack[[#This Row],[Value]],CostTrack[[#This Row],[Value]]+CostTrack[[#This Row],[Holdback Value]])</f>
        <v>1000</v>
      </c>
      <c r="I730" s="1312"/>
      <c r="J730" s="1312"/>
      <c r="K730" s="1313"/>
      <c r="L730" s="1325">
        <v>45449</v>
      </c>
      <c r="M730" s="1326">
        <v>45468</v>
      </c>
      <c r="N730" s="1327"/>
      <c r="O730" s="1328" t="s">
        <v>106</v>
      </c>
      <c r="P730" s="1308">
        <v>45468</v>
      </c>
      <c r="Q730" s="1314" t="str">
        <f ca="1">IF(CostTrack[[#This Row],[Vendor - Contract]]="","",INDEX(VendorList[PA ID],MATCH(CostTrack[[#This Row],[Vendor - Contract]],VendorList[Vendor / Org. with Contract ID],0)))</f>
        <v>200.050.F1</v>
      </c>
      <c r="R730" s="1314" t="str">
        <f ca="1">IF(CostTrack[[#This Row],[Vendor - Contract]]="","",INDEX(VendorList[Primary Category],MATCH(CostTrack[[#This Row],[Vendor - Contract]],VendorList[Vendor / Org. with Contract ID],0)))</f>
        <v>Professional Services</v>
      </c>
      <c r="S730" s="1314" t="str">
        <f ca="1">IF(CostTrack[[#This Row],[Vendor - Contract]]="","",INDEX(VendorList[Secondary Category],MATCH(CostTrack[[#This Row],[Vendor - Contract]],VendorList[Vendor / Org. with Contract ID],0)))</f>
        <v>Other Professional Services</v>
      </c>
      <c r="T730" s="1314" t="str">
        <f ca="1">IF(CostTrack[[#This Row],[Vendor - Contract]]="","",INDEX(VendorList[Phase / Subproject],MATCH(CostTrack[[#This Row],[Vendor - Contract]],VendorList[Vendor / Org. with Contract ID],0)))</f>
        <v>--</v>
      </c>
      <c r="U730" s="1314" t="str">
        <f ca="1">IF(CostTrack[[#This Row],[Vendor - Contract]]="","",INDEX(VendorList[Phase / Subproject 2],MATCH(CostTrack[[#This Row],[Vendor - Contract]],VendorList[Vendor / Org. with Contract ID],0)))</f>
        <v>--</v>
      </c>
      <c r="V730" s="1314" t="str">
        <f ca="1">IF(CostTrack[[#This Row],[Vendor - Contract]]="","",INDEX(VendorList[Funding Source],MATCH(CostTrack[[#This Row],[Vendor - Contract]],VendorList[Vendor / Org. with Contract ID],0)))</f>
        <v>P-002360</v>
      </c>
      <c r="W730" s="1308">
        <v>45469</v>
      </c>
      <c r="X730" s="1315" t="str">
        <f ca="1">IF(CostTrack[[#This Row],[Release Date (CMS)]]="","*","")</f>
        <v/>
      </c>
      <c r="Y730" s="1308" t="s">
        <v>63</v>
      </c>
      <c r="Z730" s="713"/>
      <c r="AA730" s="1316">
        <f ca="1">IF(OR(CostTrack[[#This Row],[Release Date (CMS)]]&gt;=DATE(VALUE(REPLACE(CostTrack[[#This Row],[Fiscal Period]],3,3,"")),3,1),CostTrack[[#This Row],[Release Date (CMS)]]&lt;DATE(VALUE(LEFT(CostTrack[[#This Row],[Fiscal Period]],4)),4,1)),1,0)</f>
        <v>0</v>
      </c>
      <c r="AB730" s="1317">
        <v>1000</v>
      </c>
      <c r="AC730" s="1308">
        <v>45482</v>
      </c>
      <c r="AD730" s="402" t="str">
        <f ca="1">IF(CostTrack[[#This Row],[Reconciled Amount]]="","",IF(CostTrack[[#This Row],[Value]]&lt;&gt;CostTrack[[#This Row],[Reconciled Amount]],"Yes","No"))</f>
        <v>No</v>
      </c>
      <c r="AE730" s="658"/>
    </row>
    <row r="731" spans="2:31" ht="16.149999999999999" customHeight="1">
      <c r="B731" s="1324" t="s">
        <v>736</v>
      </c>
      <c r="C731" s="1334" t="s">
        <v>1397</v>
      </c>
      <c r="D731" s="1308">
        <v>45473</v>
      </c>
      <c r="E731" s="658">
        <v>141015.75</v>
      </c>
      <c r="F731" s="1309" t="s">
        <v>69</v>
      </c>
      <c r="G731" s="1310">
        <f ca="1">ROUND(IF(CostTrack[[#This Row],[Holdback (Y/N/R)]]="Yes",CostTrack[[#This Row],[Value]]*-0.1,IF(CostTrack[[#This Row],[Holdback (Y/N/R)]]="Release",CostTrack[[#This Row],[Value]],0)),2)</f>
        <v>0</v>
      </c>
      <c r="H731" s="1311">
        <f ca="1">IF(CostTrack[[#This Row],[Holdback (Y/N/R)]]="Release",CostTrack[[#This Row],[Value]],CostTrack[[#This Row],[Value]]+CostTrack[[#This Row],[Holdback Value]])</f>
        <v>141015.75</v>
      </c>
      <c r="I731" s="1312"/>
      <c r="J731" s="1312"/>
      <c r="K731" s="1313"/>
      <c r="L731" s="1325">
        <v>45473</v>
      </c>
      <c r="M731" s="1326">
        <v>45473</v>
      </c>
      <c r="N731" s="1327"/>
      <c r="O731" s="1328" t="s">
        <v>106</v>
      </c>
      <c r="P731" s="1308">
        <v>45473</v>
      </c>
      <c r="Q731" s="1314" t="str">
        <f ca="1">IF(CostTrack[[#This Row],[Vendor - Contract]]="","",INDEX(VendorList[PA ID],MATCH(CostTrack[[#This Row],[Vendor - Contract]],VendorList[Vendor / Org. with Contract ID],0)))</f>
        <v>100.010.F1</v>
      </c>
      <c r="R731" s="1314" t="str">
        <f ca="1">IF(CostTrack[[#This Row],[Vendor - Contract]]="","",INDEX(VendorList[Primary Category],MATCH(CostTrack[[#This Row],[Vendor - Contract]],VendorList[Vendor / Org. with Contract ID],0)))</f>
        <v>Administration</v>
      </c>
      <c r="S731" s="1314" t="str">
        <f ca="1">IF(CostTrack[[#This Row],[Vendor - Contract]]="","",INDEX(VendorList[Secondary Category],MATCH(CostTrack[[#This Row],[Vendor - Contract]],VendorList[Vendor / Org. with Contract ID],0)))</f>
        <v>Staff Capitalization - INFRA</v>
      </c>
      <c r="T731" s="1314" t="str">
        <f ca="1">IF(CostTrack[[#This Row],[Vendor - Contract]]="","",INDEX(VendorList[Phase / Subproject],MATCH(CostTrack[[#This Row],[Vendor - Contract]],VendorList[Vendor / Org. with Contract ID],0)))</f>
        <v>--</v>
      </c>
      <c r="U731" s="1314" t="str">
        <f ca="1">IF(CostTrack[[#This Row],[Vendor - Contract]]="","",INDEX(VendorList[Phase / Subproject 2],MATCH(CostTrack[[#This Row],[Vendor - Contract]],VendorList[Vendor / Org. with Contract ID],0)))</f>
        <v>--</v>
      </c>
      <c r="V731" s="1314" t="str">
        <f ca="1">IF(CostTrack[[#This Row],[Vendor - Contract]]="","",INDEX(VendorList[Funding Source],MATCH(CostTrack[[#This Row],[Vendor - Contract]],VendorList[Vendor / Org. with Contract ID],0)))</f>
        <v>P-002360</v>
      </c>
      <c r="W731" s="1308">
        <v>45473</v>
      </c>
      <c r="X731" s="1315" t="str">
        <f ca="1">IF(CostTrack[[#This Row],[Release Date (CMS)]]="","*","")</f>
        <v/>
      </c>
      <c r="Y731" s="1308" t="s">
        <v>63</v>
      </c>
      <c r="Z731" s="713"/>
      <c r="AA731" s="1316">
        <f ca="1">IF(OR(CostTrack[[#This Row],[Release Date (CMS)]]&gt;=DATE(VALUE(REPLACE(CostTrack[[#This Row],[Fiscal Period]],3,3,"")),3,1),CostTrack[[#This Row],[Release Date (CMS)]]&lt;DATE(VALUE(LEFT(CostTrack[[#This Row],[Fiscal Period]],4)),4,1)),1,0)</f>
        <v>0</v>
      </c>
      <c r="AB731" s="1317">
        <v>141015.75</v>
      </c>
      <c r="AC731" s="1308">
        <v>45482</v>
      </c>
      <c r="AD731" s="402" t="str">
        <f ca="1">IF(CostTrack[[#This Row],[Reconciled Amount]]="","",IF(CostTrack[[#This Row],[Value]]&lt;&gt;CostTrack[[#This Row],[Reconciled Amount]],"Yes","No"))</f>
        <v>No</v>
      </c>
      <c r="AE731" s="658"/>
    </row>
    <row r="732" spans="2:31" ht="33" customHeight="1">
      <c r="B732" s="1324" t="s">
        <v>1398</v>
      </c>
      <c r="C732" s="1033" t="s">
        <v>1399</v>
      </c>
      <c r="D732" s="1308">
        <v>45252</v>
      </c>
      <c r="E732" s="658">
        <v>530330.59</v>
      </c>
      <c r="F732" s="1309" t="s">
        <v>69</v>
      </c>
      <c r="G732" s="1310">
        <f ca="1">ROUND(IF(CostTrack[[#This Row],[Holdback (Y/N/R)]]="Yes",CostTrack[[#This Row],[Value]]*-0.1,IF(CostTrack[[#This Row],[Holdback (Y/N/R)]]="Release",CostTrack[[#This Row],[Value]],0)),2)</f>
        <v>0</v>
      </c>
      <c r="H732" s="1311">
        <f ca="1">IF(CostTrack[[#This Row],[Holdback (Y/N/R)]]="Release",CostTrack[[#This Row],[Value]],CostTrack[[#This Row],[Value]]+CostTrack[[#This Row],[Holdback Value]])</f>
        <v>530330.59</v>
      </c>
      <c r="I732" s="1312"/>
      <c r="J732" s="1312"/>
      <c r="K732" s="1313"/>
      <c r="L732" s="1364">
        <v>45252</v>
      </c>
      <c r="M732" s="1365">
        <v>45252</v>
      </c>
      <c r="N732" s="1327"/>
      <c r="O732" s="1328" t="s">
        <v>106</v>
      </c>
      <c r="P732" s="1308">
        <v>45455</v>
      </c>
      <c r="Q732" s="1314" t="str">
        <f ca="1">IF(CostTrack[[#This Row],[Vendor - Contract]]="","",INDEX(VendorList[PA ID],MATCH(CostTrack[[#This Row],[Vendor - Contract]],VendorList[Vendor / Org. with Contract ID],0)))</f>
        <v>400.010.F1</v>
      </c>
      <c r="R732" s="1314" t="str">
        <f ca="1">IF(CostTrack[[#This Row],[Vendor - Contract]]="","",INDEX(VendorList[Primary Category],MATCH(CostTrack[[#This Row],[Vendor - Contract]],VendorList[Vendor / Org. with Contract ID],0)))</f>
        <v>FE_IT</v>
      </c>
      <c r="S732" s="1314" t="str">
        <f ca="1">IF(CostTrack[[#This Row],[Vendor - Contract]]="","",INDEX(VendorList[Secondary Category],MATCH(CostTrack[[#This Row],[Vendor - Contract]],VendorList[Vendor / Org. with Contract ID],0)))</f>
        <v>Furniture &amp; Equipment</v>
      </c>
      <c r="T732" s="1314" t="str">
        <f ca="1">IF(CostTrack[[#This Row],[Vendor - Contract]]="","",INDEX(VendorList[Phase / Subproject],MATCH(CostTrack[[#This Row],[Vendor - Contract]],VendorList[Vendor / Org. with Contract ID],0)))</f>
        <v>--</v>
      </c>
      <c r="U732" s="1314" t="str">
        <f ca="1">IF(CostTrack[[#This Row],[Vendor - Contract]]="","",INDEX(VendorList[Phase / Subproject 2],MATCH(CostTrack[[#This Row],[Vendor - Contract]],VendorList[Vendor / Org. with Contract ID],0)))</f>
        <v>--</v>
      </c>
      <c r="V732" s="1314" t="str">
        <f ca="1">IF(CostTrack[[#This Row],[Vendor - Contract]]="","",INDEX(VendorList[Funding Source],MATCH(CostTrack[[#This Row],[Vendor - Contract]],VendorList[Vendor / Org. with Contract ID],0)))</f>
        <v>P-002360</v>
      </c>
      <c r="W732" s="1308">
        <v>45455</v>
      </c>
      <c r="X732" s="1315" t="str">
        <f ca="1">IF(CostTrack[[#This Row],[Release Date (CMS)]]="","*","")</f>
        <v/>
      </c>
      <c r="Y732" s="1308" t="s">
        <v>63</v>
      </c>
      <c r="Z732" s="652" t="s">
        <v>1400</v>
      </c>
      <c r="AA732" s="1316">
        <f ca="1">IF(OR(CostTrack[[#This Row],[Release Date (CMS)]]&gt;=DATE(VALUE(REPLACE(CostTrack[[#This Row],[Fiscal Period]],3,3,"")),3,1),CostTrack[[#This Row],[Release Date (CMS)]]&lt;DATE(VALUE(LEFT(CostTrack[[#This Row],[Fiscal Period]],4)),4,1)),1,0)</f>
        <v>0</v>
      </c>
      <c r="AB732" s="1317">
        <v>530330.59</v>
      </c>
      <c r="AC732" s="1308">
        <v>45482</v>
      </c>
      <c r="AD732" s="402" t="str">
        <f ca="1">IF(CostTrack[[#This Row],[Reconciled Amount]]="","",IF(CostTrack[[#This Row],[Value]]&lt;&gt;CostTrack[[#This Row],[Reconciled Amount]],"Yes","No"))</f>
        <v>No</v>
      </c>
      <c r="AE732" s="658"/>
    </row>
    <row r="733" spans="2:31" ht="32.1" customHeight="1">
      <c r="B733" s="1324" t="s">
        <v>1401</v>
      </c>
      <c r="C733" s="1033" t="s">
        <v>1402</v>
      </c>
      <c r="D733" s="1308">
        <v>45371</v>
      </c>
      <c r="E733" s="658">
        <v>14616.14</v>
      </c>
      <c r="F733" s="1309" t="s">
        <v>69</v>
      </c>
      <c r="G733" s="1310">
        <f ca="1">ROUND(IF(CostTrack[[#This Row],[Holdback (Y/N/R)]]="Yes",CostTrack[[#This Row],[Value]]*-0.1,IF(CostTrack[[#This Row],[Holdback (Y/N/R)]]="Release",CostTrack[[#This Row],[Value]],0)),2)</f>
        <v>0</v>
      </c>
      <c r="H733" s="1311">
        <f ca="1">IF(CostTrack[[#This Row],[Holdback (Y/N/R)]]="Release",CostTrack[[#This Row],[Value]],CostTrack[[#This Row],[Value]]+CostTrack[[#This Row],[Holdback Value]])</f>
        <v>14616.14</v>
      </c>
      <c r="I733" s="1312"/>
      <c r="J733" s="1312"/>
      <c r="K733" s="1313"/>
      <c r="L733" s="1325">
        <v>45371</v>
      </c>
      <c r="M733" s="1326">
        <v>45371</v>
      </c>
      <c r="N733" s="1327"/>
      <c r="O733" s="1328" t="s">
        <v>106</v>
      </c>
      <c r="P733" s="1308">
        <v>45455</v>
      </c>
      <c r="Q733" s="1314" t="str">
        <f ca="1">IF(CostTrack[[#This Row],[Vendor - Contract]]="","",INDEX(VendorList[PA ID],MATCH(CostTrack[[#This Row],[Vendor - Contract]],VendorList[Vendor / Org. with Contract ID],0)))</f>
        <v>400.010.F1</v>
      </c>
      <c r="R733" s="1314" t="str">
        <f ca="1">IF(CostTrack[[#This Row],[Vendor - Contract]]="","",INDEX(VendorList[Primary Category],MATCH(CostTrack[[#This Row],[Vendor - Contract]],VendorList[Vendor / Org. with Contract ID],0)))</f>
        <v>FE_IT</v>
      </c>
      <c r="S733" s="1314" t="str">
        <f ca="1">IF(CostTrack[[#This Row],[Vendor - Contract]]="","",INDEX(VendorList[Secondary Category],MATCH(CostTrack[[#This Row],[Vendor - Contract]],VendorList[Vendor / Org. with Contract ID],0)))</f>
        <v>Furniture &amp; Equipment</v>
      </c>
      <c r="T733" s="1314" t="str">
        <f ca="1">IF(CostTrack[[#This Row],[Vendor - Contract]]="","",INDEX(VendorList[Phase / Subproject],MATCH(CostTrack[[#This Row],[Vendor - Contract]],VendorList[Vendor / Org. with Contract ID],0)))</f>
        <v>--</v>
      </c>
      <c r="U733" s="1314" t="str">
        <f ca="1">IF(CostTrack[[#This Row],[Vendor - Contract]]="","",INDEX(VendorList[Phase / Subproject 2],MATCH(CostTrack[[#This Row],[Vendor - Contract]],VendorList[Vendor / Org. with Contract ID],0)))</f>
        <v>--</v>
      </c>
      <c r="V733" s="1314" t="str">
        <f ca="1">IF(CostTrack[[#This Row],[Vendor - Contract]]="","",INDEX(VendorList[Funding Source],MATCH(CostTrack[[#This Row],[Vendor - Contract]],VendorList[Vendor / Org. with Contract ID],0)))</f>
        <v>P-002360</v>
      </c>
      <c r="W733" s="1308">
        <v>45455</v>
      </c>
      <c r="X733" s="1315" t="str">
        <f ca="1">IF(CostTrack[[#This Row],[Release Date (CMS)]]="","*","")</f>
        <v/>
      </c>
      <c r="Y733" s="1308" t="s">
        <v>63</v>
      </c>
      <c r="Z733" s="713" t="s">
        <v>1403</v>
      </c>
      <c r="AA733" s="1316">
        <f ca="1">IF(OR(CostTrack[[#This Row],[Release Date (CMS)]]&gt;=DATE(VALUE(REPLACE(CostTrack[[#This Row],[Fiscal Period]],3,3,"")),3,1),CostTrack[[#This Row],[Release Date (CMS)]]&lt;DATE(VALUE(LEFT(CostTrack[[#This Row],[Fiscal Period]],4)),4,1)),1,0)</f>
        <v>0</v>
      </c>
      <c r="AB733" s="1317">
        <v>14616.14</v>
      </c>
      <c r="AC733" s="1308">
        <v>45482</v>
      </c>
      <c r="AD733" s="402" t="str">
        <f ca="1">IF(CostTrack[[#This Row],[Reconciled Amount]]="","",IF(CostTrack[[#This Row],[Value]]&lt;&gt;CostTrack[[#This Row],[Reconciled Amount]],"Yes","No"))</f>
        <v>No</v>
      </c>
      <c r="AE733" s="658"/>
    </row>
    <row r="734" spans="2:31" ht="35.65" customHeight="1">
      <c r="B734" s="1324" t="s">
        <v>1404</v>
      </c>
      <c r="C734" s="1034" t="s">
        <v>1405</v>
      </c>
      <c r="D734" s="1308">
        <v>45394</v>
      </c>
      <c r="E734" s="658">
        <v>20406.97</v>
      </c>
      <c r="F734" s="1309" t="s">
        <v>69</v>
      </c>
      <c r="G734" s="1310">
        <f ca="1">ROUND(IF(CostTrack[[#This Row],[Holdback (Y/N/R)]]="Yes",CostTrack[[#This Row],[Value]]*-0.1,IF(CostTrack[[#This Row],[Holdback (Y/N/R)]]="Release",CostTrack[[#This Row],[Value]],0)),2)</f>
        <v>0</v>
      </c>
      <c r="H734" s="1311">
        <f ca="1">IF(CostTrack[[#This Row],[Holdback (Y/N/R)]]="Release",CostTrack[[#This Row],[Value]],CostTrack[[#This Row],[Value]]+CostTrack[[#This Row],[Holdback Value]])</f>
        <v>20406.97</v>
      </c>
      <c r="I734" s="1312"/>
      <c r="J734" s="1312"/>
      <c r="K734" s="1313"/>
      <c r="L734" s="1325">
        <v>45405</v>
      </c>
      <c r="M734" s="1326">
        <v>45405</v>
      </c>
      <c r="N734" s="1327"/>
      <c r="O734" s="1328" t="s">
        <v>106</v>
      </c>
      <c r="P734" s="1308">
        <v>45469</v>
      </c>
      <c r="Q734" s="1314" t="str">
        <f ca="1">IF(CostTrack[[#This Row],[Vendor - Contract]]="","",INDEX(VendorList[PA ID],MATCH(CostTrack[[#This Row],[Vendor - Contract]],VendorList[Vendor / Org. with Contract ID],0)))</f>
        <v>400.010.F1</v>
      </c>
      <c r="R734" s="1314" t="str">
        <f ca="1">IF(CostTrack[[#This Row],[Vendor - Contract]]="","",INDEX(VendorList[Primary Category],MATCH(CostTrack[[#This Row],[Vendor - Contract]],VendorList[Vendor / Org. with Contract ID],0)))</f>
        <v>FE_IT</v>
      </c>
      <c r="S734" s="1314" t="str">
        <f ca="1">IF(CostTrack[[#This Row],[Vendor - Contract]]="","",INDEX(VendorList[Secondary Category],MATCH(CostTrack[[#This Row],[Vendor - Contract]],VendorList[Vendor / Org. with Contract ID],0)))</f>
        <v>Furniture &amp; Equipment</v>
      </c>
      <c r="T734" s="1314" t="str">
        <f ca="1">IF(CostTrack[[#This Row],[Vendor - Contract]]="","",INDEX(VendorList[Phase / Subproject],MATCH(CostTrack[[#This Row],[Vendor - Contract]],VendorList[Vendor / Org. with Contract ID],0)))</f>
        <v>--</v>
      </c>
      <c r="U734" s="1314" t="str">
        <f ca="1">IF(CostTrack[[#This Row],[Vendor - Contract]]="","",INDEX(VendorList[Phase / Subproject 2],MATCH(CostTrack[[#This Row],[Vendor - Contract]],VendorList[Vendor / Org. with Contract ID],0)))</f>
        <v>--</v>
      </c>
      <c r="V734" s="1314" t="str">
        <f ca="1">IF(CostTrack[[#This Row],[Vendor - Contract]]="","",INDEX(VendorList[Funding Source],MATCH(CostTrack[[#This Row],[Vendor - Contract]],VendorList[Vendor / Org. with Contract ID],0)))</f>
        <v>P-002360</v>
      </c>
      <c r="W734" s="1308">
        <v>45469</v>
      </c>
      <c r="X734" s="1315" t="str">
        <f ca="1">IF(CostTrack[[#This Row],[Release Date (CMS)]]="","*","")</f>
        <v/>
      </c>
      <c r="Y734" s="1308" t="s">
        <v>63</v>
      </c>
      <c r="Z734" s="652" t="s">
        <v>1406</v>
      </c>
      <c r="AA734" s="1316">
        <f ca="1">IF(OR(CostTrack[[#This Row],[Release Date (CMS)]]&gt;=DATE(VALUE(REPLACE(CostTrack[[#This Row],[Fiscal Period]],3,3,"")),3,1),CostTrack[[#This Row],[Release Date (CMS)]]&lt;DATE(VALUE(LEFT(CostTrack[[#This Row],[Fiscal Period]],4)),4,1)),1,0)</f>
        <v>0</v>
      </c>
      <c r="AB734" s="1317">
        <v>20406.97</v>
      </c>
      <c r="AC734" s="1308">
        <v>45482</v>
      </c>
      <c r="AD734" s="402" t="str">
        <f ca="1">IF(CostTrack[[#This Row],[Reconciled Amount]]="","",IF(CostTrack[[#This Row],[Value]]&lt;&gt;CostTrack[[#This Row],[Reconciled Amount]],"Yes","No"))</f>
        <v>No</v>
      </c>
      <c r="AE734" s="658"/>
    </row>
    <row r="735" spans="2:31" ht="59.1" customHeight="1">
      <c r="B735" s="1324" t="s">
        <v>731</v>
      </c>
      <c r="C735" s="1334">
        <v>800033863</v>
      </c>
      <c r="D735" s="1308">
        <v>45468</v>
      </c>
      <c r="E735" s="658">
        <v>194.37</v>
      </c>
      <c r="F735" s="1309" t="s">
        <v>69</v>
      </c>
      <c r="G735" s="1310">
        <f ca="1">ROUND(IF(CostTrack[[#This Row],[Holdback (Y/N/R)]]="Yes",CostTrack[[#This Row],[Value]]*-0.1,IF(CostTrack[[#This Row],[Holdback (Y/N/R)]]="Release",CostTrack[[#This Row],[Value]],0)),2)</f>
        <v>0</v>
      </c>
      <c r="H735" s="1311">
        <f ca="1">IF(CostTrack[[#This Row],[Holdback (Y/N/R)]]="Release",CostTrack[[#This Row],[Value]],CostTrack[[#This Row],[Value]]+CostTrack[[#This Row],[Holdback Value]])</f>
        <v>194.37</v>
      </c>
      <c r="I735" s="1312"/>
      <c r="J735" s="1312"/>
      <c r="K735" s="1313"/>
      <c r="L735" s="1325">
        <v>45468</v>
      </c>
      <c r="M735" s="1326">
        <v>45468</v>
      </c>
      <c r="N735" s="1327"/>
      <c r="O735" s="1328" t="s">
        <v>106</v>
      </c>
      <c r="P735" s="1308">
        <v>45468</v>
      </c>
      <c r="Q735" s="1314" t="str">
        <f ca="1">IF(CostTrack[[#This Row],[Vendor - Contract]]="","",INDEX(VendorList[PA ID],MATCH(CostTrack[[#This Row],[Vendor - Contract]],VendorList[Vendor / Org. with Contract ID],0)))</f>
        <v>100.050.F1</v>
      </c>
      <c r="R735" s="1314" t="str">
        <f ca="1">IF(CostTrack[[#This Row],[Vendor - Contract]]="","",INDEX(VendorList[Primary Category],MATCH(CostTrack[[#This Row],[Vendor - Contract]],VendorList[Vendor / Org. with Contract ID],0)))</f>
        <v>Administration</v>
      </c>
      <c r="S735" s="1314" t="str">
        <f ca="1">IF(CostTrack[[#This Row],[Vendor - Contract]]="","",INDEX(VendorList[Secondary Category],MATCH(CostTrack[[#This Row],[Vendor - Contract]],VendorList[Vendor / Org. with Contract ID],0)))</f>
        <v>Other Administration</v>
      </c>
      <c r="T735" s="1314" t="str">
        <f ca="1">IF(CostTrack[[#This Row],[Vendor - Contract]]="","",INDEX(VendorList[Phase / Subproject],MATCH(CostTrack[[#This Row],[Vendor - Contract]],VendorList[Vendor / Org. with Contract ID],0)))</f>
        <v>--</v>
      </c>
      <c r="U735" s="1314" t="str">
        <f ca="1">IF(CostTrack[[#This Row],[Vendor - Contract]]="","",INDEX(VendorList[Phase / Subproject 2],MATCH(CostTrack[[#This Row],[Vendor - Contract]],VendorList[Vendor / Org. with Contract ID],0)))</f>
        <v>--</v>
      </c>
      <c r="V735" s="1314" t="str">
        <f ca="1">IF(CostTrack[[#This Row],[Vendor - Contract]]="","",INDEX(VendorList[Funding Source],MATCH(CostTrack[[#This Row],[Vendor - Contract]],VendorList[Vendor / Org. with Contract ID],0)))</f>
        <v>P-002360</v>
      </c>
      <c r="W735" s="1308">
        <v>45468</v>
      </c>
      <c r="X735" s="1315" t="str">
        <f ca="1">IF(CostTrack[[#This Row],[Release Date (CMS)]]="","*","")</f>
        <v/>
      </c>
      <c r="Y735" s="1308" t="s">
        <v>63</v>
      </c>
      <c r="Z735" s="713" t="s">
        <v>1407</v>
      </c>
      <c r="AA735" s="1316">
        <f ca="1">IF(OR(CostTrack[[#This Row],[Release Date (CMS)]]&gt;=DATE(VALUE(REPLACE(CostTrack[[#This Row],[Fiscal Period]],3,3,"")),3,1),CostTrack[[#This Row],[Release Date (CMS)]]&lt;DATE(VALUE(LEFT(CostTrack[[#This Row],[Fiscal Period]],4)),4,1)),1,0)</f>
        <v>0</v>
      </c>
      <c r="AB735" s="1317">
        <v>194.37</v>
      </c>
      <c r="AC735" s="1308">
        <v>45482</v>
      </c>
      <c r="AD735" s="402" t="str">
        <f ca="1">IF(CostTrack[[#This Row],[Reconciled Amount]]="","",IF(CostTrack[[#This Row],[Value]]&lt;&gt;CostTrack[[#This Row],[Reconciled Amount]],"Yes","No"))</f>
        <v>No</v>
      </c>
      <c r="AE735" s="658"/>
    </row>
    <row r="736" spans="2:31" ht="45" customHeight="1">
      <c r="B736" s="1324" t="s">
        <v>755</v>
      </c>
      <c r="C736" s="1334">
        <v>800026152</v>
      </c>
      <c r="D736" s="1308">
        <v>45450</v>
      </c>
      <c r="E736" s="658">
        <v>50.71</v>
      </c>
      <c r="F736" s="1309" t="s">
        <v>69</v>
      </c>
      <c r="G736" s="1310">
        <f ca="1">ROUND(IF(CostTrack[[#This Row],[Holdback (Y/N/R)]]="Yes",CostTrack[[#This Row],[Value]]*-0.1,IF(CostTrack[[#This Row],[Holdback (Y/N/R)]]="Release",CostTrack[[#This Row],[Value]],0)),2)</f>
        <v>0</v>
      </c>
      <c r="H736" s="1311">
        <f ca="1">IF(CostTrack[[#This Row],[Holdback (Y/N/R)]]="Release",CostTrack[[#This Row],[Value]],CostTrack[[#This Row],[Value]]+CostTrack[[#This Row],[Holdback Value]])</f>
        <v>50.71</v>
      </c>
      <c r="I736" s="1312"/>
      <c r="J736" s="1312"/>
      <c r="K736" s="1313"/>
      <c r="L736" s="1325">
        <v>45450</v>
      </c>
      <c r="M736" s="1326">
        <v>45450</v>
      </c>
      <c r="N736" s="1327"/>
      <c r="O736" s="1328" t="s">
        <v>106</v>
      </c>
      <c r="P736" s="1308">
        <v>45450</v>
      </c>
      <c r="Q736" s="1314" t="str">
        <f ca="1">IF(CostTrack[[#This Row],[Vendor - Contract]]="","",INDEX(VendorList[PA ID],MATCH(CostTrack[[#This Row],[Vendor - Contract]],VendorList[Vendor / Org. with Contract ID],0)))</f>
        <v>100.050.F1</v>
      </c>
      <c r="R736" s="1314" t="str">
        <f ca="1">IF(CostTrack[[#This Row],[Vendor - Contract]]="","",INDEX(VendorList[Primary Category],MATCH(CostTrack[[#This Row],[Vendor - Contract]],VendorList[Vendor / Org. with Contract ID],0)))</f>
        <v>Administration</v>
      </c>
      <c r="S736" s="1314" t="str">
        <f ca="1">IF(CostTrack[[#This Row],[Vendor - Contract]]="","",INDEX(VendorList[Secondary Category],MATCH(CostTrack[[#This Row],[Vendor - Contract]],VendorList[Vendor / Org. with Contract ID],0)))</f>
        <v>Other Administration</v>
      </c>
      <c r="T736" s="1314" t="str">
        <f ca="1">IF(CostTrack[[#This Row],[Vendor - Contract]]="","",INDEX(VendorList[Phase / Subproject],MATCH(CostTrack[[#This Row],[Vendor - Contract]],VendorList[Vendor / Org. with Contract ID],0)))</f>
        <v>--</v>
      </c>
      <c r="U736" s="1314" t="str">
        <f ca="1">IF(CostTrack[[#This Row],[Vendor - Contract]]="","",INDEX(VendorList[Phase / Subproject 2],MATCH(CostTrack[[#This Row],[Vendor - Contract]],VendorList[Vendor / Org. with Contract ID],0)))</f>
        <v>--</v>
      </c>
      <c r="V736" s="1314" t="str">
        <f ca="1">IF(CostTrack[[#This Row],[Vendor - Contract]]="","",INDEX(VendorList[Funding Source],MATCH(CostTrack[[#This Row],[Vendor - Contract]],VendorList[Vendor / Org. with Contract ID],0)))</f>
        <v>P-002360</v>
      </c>
      <c r="W736" s="1308">
        <v>45450</v>
      </c>
      <c r="X736" s="1315" t="str">
        <f ca="1">IF(CostTrack[[#This Row],[Release Date (CMS)]]="","*","")</f>
        <v/>
      </c>
      <c r="Y736" s="1308" t="s">
        <v>63</v>
      </c>
      <c r="Z736" s="713" t="s">
        <v>1408</v>
      </c>
      <c r="AA736" s="1316">
        <f ca="1">IF(OR(CostTrack[[#This Row],[Release Date (CMS)]]&gt;=DATE(VALUE(REPLACE(CostTrack[[#This Row],[Fiscal Period]],3,3,"")),3,1),CostTrack[[#This Row],[Release Date (CMS)]]&lt;DATE(VALUE(LEFT(CostTrack[[#This Row],[Fiscal Period]],4)),4,1)),1,0)</f>
        <v>0</v>
      </c>
      <c r="AB736" s="1317">
        <v>50.71</v>
      </c>
      <c r="AC736" s="1308">
        <v>45482</v>
      </c>
      <c r="AD736" s="402" t="str">
        <f ca="1">IF(CostTrack[[#This Row],[Reconciled Amount]]="","",IF(CostTrack[[#This Row],[Value]]&lt;&gt;CostTrack[[#This Row],[Reconciled Amount]],"Yes","No"))</f>
        <v>No</v>
      </c>
      <c r="AE736" s="658"/>
    </row>
    <row r="737" spans="2:31" ht="16.149999999999999" customHeight="1">
      <c r="B737" s="1324" t="s">
        <v>738</v>
      </c>
      <c r="C737" s="1334">
        <v>135082</v>
      </c>
      <c r="D737" s="1308">
        <v>45471</v>
      </c>
      <c r="E737" s="658">
        <v>19887.23</v>
      </c>
      <c r="F737" s="1309" t="s">
        <v>65</v>
      </c>
      <c r="G737" s="1310">
        <f ca="1">ROUND(IF(CostTrack[[#This Row],[Holdback (Y/N/R)]]="Yes",CostTrack[[#This Row],[Value]]*-0.1,IF(CostTrack[[#This Row],[Holdback (Y/N/R)]]="Release",CostTrack[[#This Row],[Value]],0)),2)</f>
        <v>-1988.72</v>
      </c>
      <c r="H737" s="1311">
        <f ca="1">IF(CostTrack[[#This Row],[Holdback (Y/N/R)]]="Release",CostTrack[[#This Row],[Value]],CostTrack[[#This Row],[Value]]+CostTrack[[#This Row],[Holdback Value]])</f>
        <v>17898.509999999998</v>
      </c>
      <c r="I737" s="1312"/>
      <c r="J737" s="1312"/>
      <c r="K737" s="1313"/>
      <c r="L737" s="1325">
        <v>45476</v>
      </c>
      <c r="M737" s="1326">
        <v>45477</v>
      </c>
      <c r="N737" s="1327"/>
      <c r="O737" s="1328" t="s">
        <v>106</v>
      </c>
      <c r="P737" s="1308">
        <v>45477</v>
      </c>
      <c r="Q737" s="1314" t="str">
        <f ca="1">IF(CostTrack[[#This Row],[Vendor - Contract]]="","",INDEX(VendorList[PA ID],MATCH(CostTrack[[#This Row],[Vendor - Contract]],VendorList[Vendor / Org. with Contract ID],0)))</f>
        <v>300.040.F1</v>
      </c>
      <c r="R737" s="1314" t="str">
        <f ca="1">IF(CostTrack[[#This Row],[Vendor - Contract]]="","",INDEX(VendorList[Primary Category],MATCH(CostTrack[[#This Row],[Vendor - Contract]],VendorList[Vendor / Org. with Contract ID],0)))</f>
        <v>Construction</v>
      </c>
      <c r="S737" s="1314" t="str">
        <f ca="1">IF(CostTrack[[#This Row],[Vendor - Contract]]="","",INDEX(VendorList[Secondary Category],MATCH(CostTrack[[#This Row],[Vendor - Contract]],VendorList[Vendor / Org. with Contract ID],0)))</f>
        <v>Other Contractor</v>
      </c>
      <c r="T737" s="1314" t="str">
        <f ca="1">IF(CostTrack[[#This Row],[Vendor - Contract]]="","",INDEX(VendorList[Phase / Subproject],MATCH(CostTrack[[#This Row],[Vendor - Contract]],VendorList[Vendor / Org. with Contract ID],0)))</f>
        <v>--</v>
      </c>
      <c r="U737" s="1314" t="str">
        <f ca="1">IF(CostTrack[[#This Row],[Vendor - Contract]]="","",INDEX(VendorList[Phase / Subproject 2],MATCH(CostTrack[[#This Row],[Vendor - Contract]],VendorList[Vendor / Org. with Contract ID],0)))</f>
        <v>--</v>
      </c>
      <c r="V737" s="1314" t="str">
        <f ca="1">IF(CostTrack[[#This Row],[Vendor - Contract]]="","",INDEX(VendorList[Funding Source],MATCH(CostTrack[[#This Row],[Vendor - Contract]],VendorList[Vendor / Org. with Contract ID],0)))</f>
        <v>P-002360</v>
      </c>
      <c r="W737" s="1308">
        <v>45477</v>
      </c>
      <c r="X737" s="1315" t="str">
        <f ca="1">IF(CostTrack[[#This Row],[Release Date (CMS)]]="","*","")</f>
        <v/>
      </c>
      <c r="Y737" s="1308" t="s">
        <v>63</v>
      </c>
      <c r="Z737" s="713" t="s">
        <v>1409</v>
      </c>
      <c r="AA737" s="1316">
        <f ca="1">IF(OR(CostTrack[[#This Row],[Release Date (CMS)]]&gt;=DATE(VALUE(REPLACE(CostTrack[[#This Row],[Fiscal Period]],3,3,"")),3,1),CostTrack[[#This Row],[Release Date (CMS)]]&lt;DATE(VALUE(LEFT(CostTrack[[#This Row],[Fiscal Period]],4)),4,1)),1,0)</f>
        <v>0</v>
      </c>
      <c r="AB737" s="1317">
        <v>19887.23</v>
      </c>
      <c r="AC737" s="1308">
        <v>45512</v>
      </c>
      <c r="AD737" s="402" t="str">
        <f ca="1">IF(CostTrack[[#This Row],[Reconciled Amount]]="","",IF(CostTrack[[#This Row],[Value]]&lt;&gt;CostTrack[[#This Row],[Reconciled Amount]],"Yes","No"))</f>
        <v>No</v>
      </c>
      <c r="AE737" s="658"/>
    </row>
    <row r="738" spans="2:31" ht="16.149999999999999" customHeight="1">
      <c r="B738" s="1324" t="s">
        <v>527</v>
      </c>
      <c r="C738" s="1334">
        <v>240328</v>
      </c>
      <c r="D738" s="1308">
        <v>45473</v>
      </c>
      <c r="E738" s="658">
        <v>5873.76</v>
      </c>
      <c r="F738" s="1309" t="s">
        <v>69</v>
      </c>
      <c r="G738" s="1310">
        <f ca="1">ROUND(IF(CostTrack[[#This Row],[Holdback (Y/N/R)]]="Yes",CostTrack[[#This Row],[Value]]*-0.1,IF(CostTrack[[#This Row],[Holdback (Y/N/R)]]="Release",CostTrack[[#This Row],[Value]],0)),2)</f>
        <v>0</v>
      </c>
      <c r="H738" s="1311">
        <f ca="1">IF(CostTrack[[#This Row],[Holdback (Y/N/R)]]="Release",CostTrack[[#This Row],[Value]],CostTrack[[#This Row],[Value]]+CostTrack[[#This Row],[Holdback Value]])</f>
        <v>5873.76</v>
      </c>
      <c r="I738" s="1312"/>
      <c r="J738" s="1312"/>
      <c r="K738" s="1313"/>
      <c r="L738" s="1325">
        <v>45482</v>
      </c>
      <c r="M738" s="1326">
        <v>45482</v>
      </c>
      <c r="N738" s="1327"/>
      <c r="O738" s="1328" t="s">
        <v>106</v>
      </c>
      <c r="P738" s="1308">
        <v>45483</v>
      </c>
      <c r="Q738" s="1314" t="str">
        <f ca="1">IF(CostTrack[[#This Row],[Vendor - Contract]]="","",INDEX(VendorList[PA ID],MATCH(CostTrack[[#This Row],[Vendor - Contract]],VendorList[Vendor / Org. with Contract ID],0)))</f>
        <v>200.010.F1</v>
      </c>
      <c r="R738" s="1314" t="str">
        <f ca="1">IF(CostTrack[[#This Row],[Vendor - Contract]]="","",INDEX(VendorList[Primary Category],MATCH(CostTrack[[#This Row],[Vendor - Contract]],VendorList[Vendor / Org. with Contract ID],0)))</f>
        <v>Professional Services</v>
      </c>
      <c r="S738" s="1314" t="str">
        <f ca="1">IF(CostTrack[[#This Row],[Vendor - Contract]]="","",INDEX(VendorList[Secondary Category],MATCH(CostTrack[[#This Row],[Vendor - Contract]],VendorList[Vendor / Org. with Contract ID],0)))</f>
        <v>Prime Consultant</v>
      </c>
      <c r="T738" s="1314" t="str">
        <f ca="1">IF(CostTrack[[#This Row],[Vendor - Contract]]="","",INDEX(VendorList[Phase / Subproject],MATCH(CostTrack[[#This Row],[Vendor - Contract]],VendorList[Vendor / Org. with Contract ID],0)))</f>
        <v>--</v>
      </c>
      <c r="U738" s="1314" t="str">
        <f ca="1">IF(CostTrack[[#This Row],[Vendor - Contract]]="","",INDEX(VendorList[Phase / Subproject 2],MATCH(CostTrack[[#This Row],[Vendor - Contract]],VendorList[Vendor / Org. with Contract ID],0)))</f>
        <v>--</v>
      </c>
      <c r="V738" s="1314" t="str">
        <f ca="1">IF(CostTrack[[#This Row],[Vendor - Contract]]="","",INDEX(VendorList[Funding Source],MATCH(CostTrack[[#This Row],[Vendor - Contract]],VendorList[Vendor / Org. with Contract ID],0)))</f>
        <v>P-002360</v>
      </c>
      <c r="W738" s="1308">
        <v>45483</v>
      </c>
      <c r="X738" s="1315" t="str">
        <f ca="1">IF(CostTrack[[#This Row],[Release Date (CMS)]]="","*","")</f>
        <v/>
      </c>
      <c r="Y738" s="1308" t="s">
        <v>63</v>
      </c>
      <c r="Z738" s="713" t="s">
        <v>1410</v>
      </c>
      <c r="AA738" s="1316">
        <f ca="1">IF(OR(CostTrack[[#This Row],[Release Date (CMS)]]&gt;=DATE(VALUE(REPLACE(CostTrack[[#This Row],[Fiscal Period]],3,3,"")),3,1),CostTrack[[#This Row],[Release Date (CMS)]]&lt;DATE(VALUE(LEFT(CostTrack[[#This Row],[Fiscal Period]],4)),4,1)),1,0)</f>
        <v>0</v>
      </c>
      <c r="AB738" s="1317">
        <v>5873.76</v>
      </c>
      <c r="AC738" s="1308">
        <v>45512</v>
      </c>
      <c r="AD738" s="402" t="str">
        <f ca="1">IF(CostTrack[[#This Row],[Reconciled Amount]]="","",IF(CostTrack[[#This Row],[Value]]&lt;&gt;CostTrack[[#This Row],[Reconciled Amount]],"Yes","No"))</f>
        <v>No</v>
      </c>
      <c r="AE738" s="658"/>
    </row>
    <row r="739" spans="2:31" ht="16.149999999999999" customHeight="1">
      <c r="B739" s="1324" t="s">
        <v>597</v>
      </c>
      <c r="C739" s="1334">
        <v>446369</v>
      </c>
      <c r="D739" s="1308">
        <v>45454</v>
      </c>
      <c r="E739" s="658">
        <v>253481.76</v>
      </c>
      <c r="F739" s="1309" t="s">
        <v>69</v>
      </c>
      <c r="G739" s="1310">
        <f ca="1">ROUND(IF(CostTrack[[#This Row],[Holdback (Y/N/R)]]="Yes",CostTrack[[#This Row],[Value]]*-0.1,IF(CostTrack[[#This Row],[Holdback (Y/N/R)]]="Release",CostTrack[[#This Row],[Value]],0)),2)</f>
        <v>0</v>
      </c>
      <c r="H739" s="1311">
        <f ca="1">IF(CostTrack[[#This Row],[Holdback (Y/N/R)]]="Release",CostTrack[[#This Row],[Value]],CostTrack[[#This Row],[Value]]+CostTrack[[#This Row],[Holdback Value]])</f>
        <v>253481.76</v>
      </c>
      <c r="I739" s="1312"/>
      <c r="J739" s="1312"/>
      <c r="K739" s="1313"/>
      <c r="L739" s="1325">
        <v>45496</v>
      </c>
      <c r="M739" s="1326">
        <v>45496</v>
      </c>
      <c r="N739" s="1327"/>
      <c r="O739" s="1328" t="s">
        <v>106</v>
      </c>
      <c r="P739" s="1308">
        <v>45496</v>
      </c>
      <c r="Q739" s="1314" t="str">
        <f ca="1">IF(CostTrack[[#This Row],[Vendor - Contract]]="","",INDEX(VendorList[PA ID],MATCH(CostTrack[[#This Row],[Vendor - Contract]],VendorList[Vendor / Org. with Contract ID],0)))</f>
        <v>300.040.F1</v>
      </c>
      <c r="R739" s="1314" t="str">
        <f ca="1">IF(CostTrack[[#This Row],[Vendor - Contract]]="","",INDEX(VendorList[Primary Category],MATCH(CostTrack[[#This Row],[Vendor - Contract]],VendorList[Vendor / Org. with Contract ID],0)))</f>
        <v>Construction</v>
      </c>
      <c r="S739" s="1314" t="str">
        <f ca="1">IF(CostTrack[[#This Row],[Vendor - Contract]]="","",INDEX(VendorList[Secondary Category],MATCH(CostTrack[[#This Row],[Vendor - Contract]],VendorList[Vendor / Org. with Contract ID],0)))</f>
        <v>Other Contractor</v>
      </c>
      <c r="T739" s="1314" t="str">
        <f ca="1">IF(CostTrack[[#This Row],[Vendor - Contract]]="","",INDEX(VendorList[Phase / Subproject],MATCH(CostTrack[[#This Row],[Vendor - Contract]],VendorList[Vendor / Org. with Contract ID],0)))</f>
        <v>--</v>
      </c>
      <c r="U739" s="1314" t="str">
        <f ca="1">IF(CostTrack[[#This Row],[Vendor - Contract]]="","",INDEX(VendorList[Phase / Subproject 2],MATCH(CostTrack[[#This Row],[Vendor - Contract]],VendorList[Vendor / Org. with Contract ID],0)))</f>
        <v>--</v>
      </c>
      <c r="V739" s="1314" t="str">
        <f ca="1">IF(CostTrack[[#This Row],[Vendor - Contract]]="","",INDEX(VendorList[Funding Source],MATCH(CostTrack[[#This Row],[Vendor - Contract]],VendorList[Vendor / Org. with Contract ID],0)))</f>
        <v>P-002360</v>
      </c>
      <c r="W739" s="1308">
        <v>45496</v>
      </c>
      <c r="X739" s="1315" t="str">
        <f ca="1">IF(CostTrack[[#This Row],[Release Date (CMS)]]="","*","")</f>
        <v/>
      </c>
      <c r="Y739" s="1308" t="s">
        <v>63</v>
      </c>
      <c r="Z739" s="713" t="s">
        <v>1411</v>
      </c>
      <c r="AA739" s="1316">
        <f ca="1">IF(OR(CostTrack[[#This Row],[Release Date (CMS)]]&gt;=DATE(VALUE(REPLACE(CostTrack[[#This Row],[Fiscal Period]],3,3,"")),3,1),CostTrack[[#This Row],[Release Date (CMS)]]&lt;DATE(VALUE(LEFT(CostTrack[[#This Row],[Fiscal Period]],4)),4,1)),1,0)</f>
        <v>0</v>
      </c>
      <c r="AB739" s="1317">
        <v>253481.76</v>
      </c>
      <c r="AC739" s="1308">
        <v>45512</v>
      </c>
      <c r="AD739" s="402" t="str">
        <f ca="1">IF(CostTrack[[#This Row],[Reconciled Amount]]="","",IF(CostTrack[[#This Row],[Value]]&lt;&gt;CostTrack[[#This Row],[Reconciled Amount]],"Yes","No"))</f>
        <v>No</v>
      </c>
      <c r="AE739" s="658"/>
    </row>
    <row r="740" spans="2:31" ht="16.149999999999999" customHeight="1">
      <c r="B740" s="1324" t="s">
        <v>736</v>
      </c>
      <c r="C740" s="691" t="s">
        <v>1412</v>
      </c>
      <c r="D740" s="1308">
        <v>45504</v>
      </c>
      <c r="E740" s="658">
        <v>50482.78</v>
      </c>
      <c r="F740" s="1309" t="s">
        <v>69</v>
      </c>
      <c r="G740" s="1310">
        <f ca="1">ROUND(IF(CostTrack[[#This Row],[Holdback (Y/N/R)]]="Yes",CostTrack[[#This Row],[Value]]*-0.1,IF(CostTrack[[#This Row],[Holdback (Y/N/R)]]="Release",CostTrack[[#This Row],[Value]],0)),2)</f>
        <v>0</v>
      </c>
      <c r="H740" s="1311">
        <f ca="1">IF(CostTrack[[#This Row],[Holdback (Y/N/R)]]="Release",CostTrack[[#This Row],[Value]],CostTrack[[#This Row],[Value]]+CostTrack[[#This Row],[Holdback Value]])</f>
        <v>50482.78</v>
      </c>
      <c r="I740" s="1312"/>
      <c r="J740" s="1312"/>
      <c r="K740" s="1313"/>
      <c r="L740" s="1325">
        <v>45504</v>
      </c>
      <c r="M740" s="1326">
        <v>45504</v>
      </c>
      <c r="N740" s="1327"/>
      <c r="O740" s="1328" t="s">
        <v>106</v>
      </c>
      <c r="P740" s="1308">
        <v>45504</v>
      </c>
      <c r="Q740" s="1314" t="str">
        <f ca="1">IF(CostTrack[[#This Row],[Vendor - Contract]]="","",INDEX(VendorList[PA ID],MATCH(CostTrack[[#This Row],[Vendor - Contract]],VendorList[Vendor / Org. with Contract ID],0)))</f>
        <v>100.010.F1</v>
      </c>
      <c r="R740" s="1314" t="str">
        <f ca="1">IF(CostTrack[[#This Row],[Vendor - Contract]]="","",INDEX(VendorList[Primary Category],MATCH(CostTrack[[#This Row],[Vendor - Contract]],VendorList[Vendor / Org. with Contract ID],0)))</f>
        <v>Administration</v>
      </c>
      <c r="S740" s="1314" t="str">
        <f ca="1">IF(CostTrack[[#This Row],[Vendor - Contract]]="","",INDEX(VendorList[Secondary Category],MATCH(CostTrack[[#This Row],[Vendor - Contract]],VendorList[Vendor / Org. with Contract ID],0)))</f>
        <v>Staff Capitalization - INFRA</v>
      </c>
      <c r="T740" s="1314" t="str">
        <f ca="1">IF(CostTrack[[#This Row],[Vendor - Contract]]="","",INDEX(VendorList[Phase / Subproject],MATCH(CostTrack[[#This Row],[Vendor - Contract]],VendorList[Vendor / Org. with Contract ID],0)))</f>
        <v>--</v>
      </c>
      <c r="U740" s="1314" t="str">
        <f ca="1">IF(CostTrack[[#This Row],[Vendor - Contract]]="","",INDEX(VendorList[Phase / Subproject 2],MATCH(CostTrack[[#This Row],[Vendor - Contract]],VendorList[Vendor / Org. with Contract ID],0)))</f>
        <v>--</v>
      </c>
      <c r="V740" s="1314" t="str">
        <f ca="1">IF(CostTrack[[#This Row],[Vendor - Contract]]="","",INDEX(VendorList[Funding Source],MATCH(CostTrack[[#This Row],[Vendor - Contract]],VendorList[Vendor / Org. with Contract ID],0)))</f>
        <v>P-002360</v>
      </c>
      <c r="W740" s="1308">
        <v>45504</v>
      </c>
      <c r="X740" s="1315" t="str">
        <f ca="1">IF(CostTrack[[#This Row],[Release Date (CMS)]]="","*","")</f>
        <v/>
      </c>
      <c r="Y740" s="1308" t="s">
        <v>63</v>
      </c>
      <c r="Z740" s="713"/>
      <c r="AA740" s="1316">
        <f ca="1">IF(OR(CostTrack[[#This Row],[Release Date (CMS)]]&gt;=DATE(VALUE(REPLACE(CostTrack[[#This Row],[Fiscal Period]],3,3,"")),3,1),CostTrack[[#This Row],[Release Date (CMS)]]&lt;DATE(VALUE(LEFT(CostTrack[[#This Row],[Fiscal Period]],4)),4,1)),1,0)</f>
        <v>0</v>
      </c>
      <c r="AB740" s="1317">
        <v>50482.78</v>
      </c>
      <c r="AC740" s="1308">
        <v>45512</v>
      </c>
      <c r="AD740" s="402" t="str">
        <f ca="1">IF(CostTrack[[#This Row],[Reconciled Amount]]="","",IF(CostTrack[[#This Row],[Value]]&lt;&gt;CostTrack[[#This Row],[Reconciled Amount]],"Yes","No"))</f>
        <v>No</v>
      </c>
      <c r="AE740" s="658"/>
    </row>
    <row r="741" spans="2:31" ht="42.75" customHeight="1">
      <c r="B741" s="1324" t="s">
        <v>1413</v>
      </c>
      <c r="C741" s="691" t="s">
        <v>1414</v>
      </c>
      <c r="D741" s="1308">
        <v>45405</v>
      </c>
      <c r="E741" s="658">
        <v>328373.52</v>
      </c>
      <c r="F741" s="1309" t="s">
        <v>69</v>
      </c>
      <c r="G741" s="1310">
        <f ca="1">ROUND(IF(CostTrack[[#This Row],[Holdback (Y/N/R)]]="Yes",CostTrack[[#This Row],[Value]]*-0.1,IF(CostTrack[[#This Row],[Holdback (Y/N/R)]]="Release",CostTrack[[#This Row],[Value]],0)),2)</f>
        <v>0</v>
      </c>
      <c r="H741" s="1311">
        <f ca="1">IF(CostTrack[[#This Row],[Holdback (Y/N/R)]]="Release",CostTrack[[#This Row],[Value]],CostTrack[[#This Row],[Value]]+CostTrack[[#This Row],[Holdback Value]])</f>
        <v>328373.52</v>
      </c>
      <c r="I741" s="1312"/>
      <c r="J741" s="1312"/>
      <c r="K741" s="1313"/>
      <c r="L741" s="1325">
        <v>45405</v>
      </c>
      <c r="M741" s="1326">
        <v>45405</v>
      </c>
      <c r="N741" s="1327"/>
      <c r="O741" s="1328" t="s">
        <v>106</v>
      </c>
      <c r="P741" s="1308">
        <v>45478</v>
      </c>
      <c r="Q741" s="1314" t="str">
        <f ca="1">IF(CostTrack[[#This Row],[Vendor - Contract]]="","",INDEX(VendorList[PA ID],MATCH(CostTrack[[#This Row],[Vendor - Contract]],VendorList[Vendor / Org. with Contract ID],0)))</f>
        <v>400.010.F1</v>
      </c>
      <c r="R741" s="1314" t="str">
        <f ca="1">IF(CostTrack[[#This Row],[Vendor - Contract]]="","",INDEX(VendorList[Primary Category],MATCH(CostTrack[[#This Row],[Vendor - Contract]],VendorList[Vendor / Org. with Contract ID],0)))</f>
        <v>FE_IT</v>
      </c>
      <c r="S741" s="1314" t="str">
        <f ca="1">IF(CostTrack[[#This Row],[Vendor - Contract]]="","",INDEX(VendorList[Secondary Category],MATCH(CostTrack[[#This Row],[Vendor - Contract]],VendorList[Vendor / Org. with Contract ID],0)))</f>
        <v>Furniture &amp; Equipment</v>
      </c>
      <c r="T741" s="1314" t="str">
        <f ca="1">IF(CostTrack[[#This Row],[Vendor - Contract]]="","",INDEX(VendorList[Phase / Subproject],MATCH(CostTrack[[#This Row],[Vendor - Contract]],VendorList[Vendor / Org. with Contract ID],0)))</f>
        <v>--</v>
      </c>
      <c r="U741" s="1314" t="str">
        <f ca="1">IF(CostTrack[[#This Row],[Vendor - Contract]]="","",INDEX(VendorList[Phase / Subproject 2],MATCH(CostTrack[[#This Row],[Vendor - Contract]],VendorList[Vendor / Org. with Contract ID],0)))</f>
        <v>--</v>
      </c>
      <c r="V741" s="1314" t="str">
        <f ca="1">IF(CostTrack[[#This Row],[Vendor - Contract]]="","",INDEX(VendorList[Funding Source],MATCH(CostTrack[[#This Row],[Vendor - Contract]],VendorList[Vendor / Org. with Contract ID],0)))</f>
        <v>P-002360</v>
      </c>
      <c r="W741" s="1308">
        <v>45478</v>
      </c>
      <c r="X741" s="1315" t="str">
        <f ca="1">IF(CostTrack[[#This Row],[Release Date (CMS)]]="","*","")</f>
        <v/>
      </c>
      <c r="Y741" s="1308" t="s">
        <v>63</v>
      </c>
      <c r="Z741" s="713"/>
      <c r="AA741" s="1316">
        <f ca="1">IF(OR(CostTrack[[#This Row],[Release Date (CMS)]]&gt;=DATE(VALUE(REPLACE(CostTrack[[#This Row],[Fiscal Period]],3,3,"")),3,1),CostTrack[[#This Row],[Release Date (CMS)]]&lt;DATE(VALUE(LEFT(CostTrack[[#This Row],[Fiscal Period]],4)),4,1)),1,0)</f>
        <v>0</v>
      </c>
      <c r="AB741" s="1317">
        <v>328373.52</v>
      </c>
      <c r="AC741" s="1308">
        <v>45512</v>
      </c>
      <c r="AD741" s="402" t="str">
        <f ca="1">IF(CostTrack[[#This Row],[Reconciled Amount]]="","",IF(CostTrack[[#This Row],[Value]]&lt;&gt;CostTrack[[#This Row],[Reconciled Amount]],"Yes","No"))</f>
        <v>No</v>
      </c>
      <c r="AE741" s="658"/>
    </row>
    <row r="742" spans="2:31" ht="38.1" customHeight="1">
      <c r="B742" s="1324" t="s">
        <v>1415</v>
      </c>
      <c r="C742" s="691" t="s">
        <v>1416</v>
      </c>
      <c r="D742" s="1308">
        <v>45372</v>
      </c>
      <c r="E742" s="658">
        <v>2449.5</v>
      </c>
      <c r="F742" s="1309" t="s">
        <v>69</v>
      </c>
      <c r="G742" s="1310">
        <f ca="1">ROUND(IF(CostTrack[[#This Row],[Holdback (Y/N/R)]]="Yes",CostTrack[[#This Row],[Value]]*-0.1,IF(CostTrack[[#This Row],[Holdback (Y/N/R)]]="Release",CostTrack[[#This Row],[Value]],0)),2)</f>
        <v>0</v>
      </c>
      <c r="H742" s="1311">
        <f ca="1">IF(CostTrack[[#This Row],[Holdback (Y/N/R)]]="Release",CostTrack[[#This Row],[Value]],CostTrack[[#This Row],[Value]]+CostTrack[[#This Row],[Holdback Value]])</f>
        <v>2449.5</v>
      </c>
      <c r="I742" s="1312"/>
      <c r="J742" s="1312"/>
      <c r="K742" s="1313"/>
      <c r="L742" s="1325">
        <v>45372</v>
      </c>
      <c r="M742" s="1326">
        <v>45372</v>
      </c>
      <c r="N742" s="1327"/>
      <c r="O742" s="1328" t="s">
        <v>106</v>
      </c>
      <c r="P742" s="1308">
        <v>45481</v>
      </c>
      <c r="Q742" s="1314" t="str">
        <f ca="1">IF(CostTrack[[#This Row],[Vendor - Contract]]="","",INDEX(VendorList[PA ID],MATCH(CostTrack[[#This Row],[Vendor - Contract]],VendorList[Vendor / Org. with Contract ID],0)))</f>
        <v>400.010.F1</v>
      </c>
      <c r="R742" s="1314" t="str">
        <f ca="1">IF(CostTrack[[#This Row],[Vendor - Contract]]="","",INDEX(VendorList[Primary Category],MATCH(CostTrack[[#This Row],[Vendor - Contract]],VendorList[Vendor / Org. with Contract ID],0)))</f>
        <v>FE_IT</v>
      </c>
      <c r="S742" s="1314" t="str">
        <f ca="1">IF(CostTrack[[#This Row],[Vendor - Contract]]="","",INDEX(VendorList[Secondary Category],MATCH(CostTrack[[#This Row],[Vendor - Contract]],VendorList[Vendor / Org. with Contract ID],0)))</f>
        <v>Furniture &amp; Equipment</v>
      </c>
      <c r="T742" s="1314" t="str">
        <f ca="1">IF(CostTrack[[#This Row],[Vendor - Contract]]="","",INDEX(VendorList[Phase / Subproject],MATCH(CostTrack[[#This Row],[Vendor - Contract]],VendorList[Vendor / Org. with Contract ID],0)))</f>
        <v>--</v>
      </c>
      <c r="U742" s="1314" t="str">
        <f ca="1">IF(CostTrack[[#This Row],[Vendor - Contract]]="","",INDEX(VendorList[Phase / Subproject 2],MATCH(CostTrack[[#This Row],[Vendor - Contract]],VendorList[Vendor / Org. with Contract ID],0)))</f>
        <v>--</v>
      </c>
      <c r="V742" s="1314" t="str">
        <f ca="1">IF(CostTrack[[#This Row],[Vendor - Contract]]="","",INDEX(VendorList[Funding Source],MATCH(CostTrack[[#This Row],[Vendor - Contract]],VendorList[Vendor / Org. with Contract ID],0)))</f>
        <v>P-002360</v>
      </c>
      <c r="W742" s="1308">
        <v>45481</v>
      </c>
      <c r="X742" s="1315" t="str">
        <f ca="1">IF(CostTrack[[#This Row],[Release Date (CMS)]]="","*","")</f>
        <v/>
      </c>
      <c r="Y742" s="1308" t="s">
        <v>63</v>
      </c>
      <c r="Z742" s="713" t="s">
        <v>1417</v>
      </c>
      <c r="AA742" s="1316">
        <f ca="1">IF(OR(CostTrack[[#This Row],[Release Date (CMS)]]&gt;=DATE(VALUE(REPLACE(CostTrack[[#This Row],[Fiscal Period]],3,3,"")),3,1),CostTrack[[#This Row],[Release Date (CMS)]]&lt;DATE(VALUE(LEFT(CostTrack[[#This Row],[Fiscal Period]],4)),4,1)),1,0)</f>
        <v>0</v>
      </c>
      <c r="AB742" s="1317">
        <v>2449.5</v>
      </c>
      <c r="AC742" s="1308">
        <v>45512</v>
      </c>
      <c r="AD742" s="402" t="str">
        <f ca="1">IF(CostTrack[[#This Row],[Reconciled Amount]]="","",IF(CostTrack[[#This Row],[Value]]&lt;&gt;CostTrack[[#This Row],[Reconciled Amount]],"Yes","No"))</f>
        <v>No</v>
      </c>
      <c r="AE742" s="658"/>
    </row>
    <row r="743" spans="2:31" ht="16.149999999999999" customHeight="1">
      <c r="B743" s="1324" t="s">
        <v>1418</v>
      </c>
      <c r="C743" s="691" t="s">
        <v>1419</v>
      </c>
      <c r="D743" s="1308">
        <v>45412</v>
      </c>
      <c r="E743" s="658">
        <v>1361.49</v>
      </c>
      <c r="F743" s="1309" t="s">
        <v>69</v>
      </c>
      <c r="G743" s="1310">
        <f ca="1">ROUND(IF(CostTrack[[#This Row],[Holdback (Y/N/R)]]="Yes",CostTrack[[#This Row],[Value]]*-0.1,IF(CostTrack[[#This Row],[Holdback (Y/N/R)]]="Release",CostTrack[[#This Row],[Value]],0)),2)</f>
        <v>0</v>
      </c>
      <c r="H743" s="1311">
        <f ca="1">IF(CostTrack[[#This Row],[Holdback (Y/N/R)]]="Release",CostTrack[[#This Row],[Value]],CostTrack[[#This Row],[Value]]+CostTrack[[#This Row],[Holdback Value]])</f>
        <v>1361.49</v>
      </c>
      <c r="I743" s="1312"/>
      <c r="J743" s="1312"/>
      <c r="K743" s="1313"/>
      <c r="L743" s="1325">
        <v>45412</v>
      </c>
      <c r="M743" s="1326">
        <v>45412</v>
      </c>
      <c r="N743" s="1327"/>
      <c r="O743" s="1328" t="s">
        <v>106</v>
      </c>
      <c r="P743" s="1308">
        <v>45482</v>
      </c>
      <c r="Q743" s="1314" t="str">
        <f ca="1">IF(CostTrack[[#This Row],[Vendor - Contract]]="","",INDEX(VendorList[PA ID],MATCH(CostTrack[[#This Row],[Vendor - Contract]],VendorList[Vendor / Org. with Contract ID],0)))</f>
        <v>400.010.F1</v>
      </c>
      <c r="R743" s="1314" t="str">
        <f ca="1">IF(CostTrack[[#This Row],[Vendor - Contract]]="","",INDEX(VendorList[Primary Category],MATCH(CostTrack[[#This Row],[Vendor - Contract]],VendorList[Vendor / Org. with Contract ID],0)))</f>
        <v>FE_IT</v>
      </c>
      <c r="S743" s="1314" t="str">
        <f ca="1">IF(CostTrack[[#This Row],[Vendor - Contract]]="","",INDEX(VendorList[Secondary Category],MATCH(CostTrack[[#This Row],[Vendor - Contract]],VendorList[Vendor / Org. with Contract ID],0)))</f>
        <v>Furniture &amp; Equipment</v>
      </c>
      <c r="T743" s="1314" t="str">
        <f ca="1">IF(CostTrack[[#This Row],[Vendor - Contract]]="","",INDEX(VendorList[Phase / Subproject],MATCH(CostTrack[[#This Row],[Vendor - Contract]],VendorList[Vendor / Org. with Contract ID],0)))</f>
        <v>--</v>
      </c>
      <c r="U743" s="1314" t="str">
        <f ca="1">IF(CostTrack[[#This Row],[Vendor - Contract]]="","",INDEX(VendorList[Phase / Subproject 2],MATCH(CostTrack[[#This Row],[Vendor - Contract]],VendorList[Vendor / Org. with Contract ID],0)))</f>
        <v>--</v>
      </c>
      <c r="V743" s="1314" t="str">
        <f ca="1">IF(CostTrack[[#This Row],[Vendor - Contract]]="","",INDEX(VendorList[Funding Source],MATCH(CostTrack[[#This Row],[Vendor - Contract]],VendorList[Vendor / Org. with Contract ID],0)))</f>
        <v>P-002360</v>
      </c>
      <c r="W743" s="1308">
        <v>45482</v>
      </c>
      <c r="X743" s="1315" t="str">
        <f ca="1">IF(CostTrack[[#This Row],[Release Date (CMS)]]="","*","")</f>
        <v/>
      </c>
      <c r="Y743" s="1308" t="s">
        <v>63</v>
      </c>
      <c r="Z743" s="652" t="s">
        <v>1420</v>
      </c>
      <c r="AA743" s="1316">
        <f ca="1">IF(OR(CostTrack[[#This Row],[Release Date (CMS)]]&gt;=DATE(VALUE(REPLACE(CostTrack[[#This Row],[Fiscal Period]],3,3,"")),3,1),CostTrack[[#This Row],[Release Date (CMS)]]&lt;DATE(VALUE(LEFT(CostTrack[[#This Row],[Fiscal Period]],4)),4,1)),1,0)</f>
        <v>0</v>
      </c>
      <c r="AB743" s="1317">
        <v>1361.49</v>
      </c>
      <c r="AC743" s="1308">
        <v>45512</v>
      </c>
      <c r="AD743" s="402" t="str">
        <f ca="1">IF(CostTrack[[#This Row],[Reconciled Amount]]="","",IF(CostTrack[[#This Row],[Value]]&lt;&gt;CostTrack[[#This Row],[Reconciled Amount]],"Yes","No"))</f>
        <v>No</v>
      </c>
      <c r="AE743" s="658"/>
    </row>
    <row r="744" spans="2:31" ht="16.149999999999999" customHeight="1">
      <c r="B744" s="1324" t="s">
        <v>683</v>
      </c>
      <c r="C744" s="1334">
        <v>411258</v>
      </c>
      <c r="D744" s="1308">
        <v>45488</v>
      </c>
      <c r="E744" s="658">
        <v>137.43</v>
      </c>
      <c r="F744" s="1309" t="s">
        <v>69</v>
      </c>
      <c r="G744" s="1310">
        <f ca="1">ROUND(IF(CostTrack[[#This Row],[Holdback (Y/N/R)]]="Yes",CostTrack[[#This Row],[Value]]*-0.1,IF(CostTrack[[#This Row],[Holdback (Y/N/R)]]="Release",CostTrack[[#This Row],[Value]],0)),2)</f>
        <v>0</v>
      </c>
      <c r="H744" s="1311">
        <f ca="1">IF(CostTrack[[#This Row],[Holdback (Y/N/R)]]="Release",CostTrack[[#This Row],[Value]],CostTrack[[#This Row],[Value]]+CostTrack[[#This Row],[Holdback Value]])</f>
        <v>137.43</v>
      </c>
      <c r="I744" s="1312"/>
      <c r="J744" s="1312"/>
      <c r="K744" s="1313"/>
      <c r="L744" s="1325">
        <v>45488</v>
      </c>
      <c r="M744" s="1326">
        <v>45488</v>
      </c>
      <c r="N744" s="1327"/>
      <c r="O744" s="1328" t="s">
        <v>106</v>
      </c>
      <c r="P744" s="1308">
        <v>45495</v>
      </c>
      <c r="Q744" s="1314" t="str">
        <f ca="1">IF(CostTrack[[#This Row],[Vendor - Contract]]="","",INDEX(VendorList[PA ID],MATCH(CostTrack[[#This Row],[Vendor - Contract]],VendorList[Vendor / Org. with Contract ID],0)))</f>
        <v>400.020.F1</v>
      </c>
      <c r="R744" s="1314" t="str">
        <f ca="1">IF(CostTrack[[#This Row],[Vendor - Contract]]="","",INDEX(VendorList[Primary Category],MATCH(CostTrack[[#This Row],[Vendor - Contract]],VendorList[Vendor / Org. with Contract ID],0)))</f>
        <v>FE_IT</v>
      </c>
      <c r="S744" s="1314" t="str">
        <f ca="1">IF(CostTrack[[#This Row],[Vendor - Contract]]="","",INDEX(VendorList[Secondary Category],MATCH(CostTrack[[#This Row],[Vendor - Contract]],VendorList[Vendor / Org. with Contract ID],0)))</f>
        <v>Information Technology</v>
      </c>
      <c r="T744" s="1314" t="str">
        <f ca="1">IF(CostTrack[[#This Row],[Vendor - Contract]]="","",INDEX(VendorList[Phase / Subproject],MATCH(CostTrack[[#This Row],[Vendor - Contract]],VendorList[Vendor / Org. with Contract ID],0)))</f>
        <v>--</v>
      </c>
      <c r="U744" s="1314" t="str">
        <f ca="1">IF(CostTrack[[#This Row],[Vendor - Contract]]="","",INDEX(VendorList[Phase / Subproject 2],MATCH(CostTrack[[#This Row],[Vendor - Contract]],VendorList[Vendor / Org. with Contract ID],0)))</f>
        <v>--</v>
      </c>
      <c r="V744" s="1314" t="str">
        <f ca="1">IF(CostTrack[[#This Row],[Vendor - Contract]]="","",INDEX(VendorList[Funding Source],MATCH(CostTrack[[#This Row],[Vendor - Contract]],VendorList[Vendor / Org. with Contract ID],0)))</f>
        <v>P-002360</v>
      </c>
      <c r="W744" s="1308">
        <v>45495</v>
      </c>
      <c r="X744" s="1315" t="str">
        <f ca="1">IF(CostTrack[[#This Row],[Release Date (CMS)]]="","*","")</f>
        <v/>
      </c>
      <c r="Y744" s="1308" t="s">
        <v>63</v>
      </c>
      <c r="Z744" s="713" t="s">
        <v>1421</v>
      </c>
      <c r="AA744" s="1316">
        <f ca="1">IF(OR(CostTrack[[#This Row],[Release Date (CMS)]]&gt;=DATE(VALUE(REPLACE(CostTrack[[#This Row],[Fiscal Period]],3,3,"")),3,1),CostTrack[[#This Row],[Release Date (CMS)]]&lt;DATE(VALUE(LEFT(CostTrack[[#This Row],[Fiscal Period]],4)),4,1)),1,0)</f>
        <v>0</v>
      </c>
      <c r="AB744" s="1317">
        <v>137.43</v>
      </c>
      <c r="AC744" s="1308">
        <v>45512</v>
      </c>
      <c r="AD744" s="402" t="str">
        <f ca="1">IF(CostTrack[[#This Row],[Reconciled Amount]]="","",IF(CostTrack[[#This Row],[Value]]&lt;&gt;CostTrack[[#This Row],[Reconciled Amount]],"Yes","No"))</f>
        <v>No</v>
      </c>
      <c r="AE744" s="658"/>
    </row>
    <row r="745" spans="2:31" ht="16.149999999999999" customHeight="1">
      <c r="B745" s="1324" t="s">
        <v>750</v>
      </c>
      <c r="C745" s="1334">
        <v>1915459</v>
      </c>
      <c r="D745" s="1308">
        <v>45503</v>
      </c>
      <c r="E745" s="658">
        <v>8838.5</v>
      </c>
      <c r="F745" s="1309" t="s">
        <v>69</v>
      </c>
      <c r="G745" s="1310">
        <f ca="1">ROUND(IF(CostTrack[[#This Row],[Holdback (Y/N/R)]]="Yes",CostTrack[[#This Row],[Value]]*-0.1,IF(CostTrack[[#This Row],[Holdback (Y/N/R)]]="Release",CostTrack[[#This Row],[Value]],0)),2)</f>
        <v>0</v>
      </c>
      <c r="H745" s="1311">
        <f ca="1">IF(CostTrack[[#This Row],[Holdback (Y/N/R)]]="Release",CostTrack[[#This Row],[Value]],CostTrack[[#This Row],[Value]]+CostTrack[[#This Row],[Holdback Value]])</f>
        <v>8838.5</v>
      </c>
      <c r="I745" s="1312"/>
      <c r="J745" s="1312"/>
      <c r="K745" s="1313"/>
      <c r="L745" s="1325">
        <v>45504</v>
      </c>
      <c r="M745" s="1326">
        <v>45504</v>
      </c>
      <c r="N745" s="1327"/>
      <c r="O745" s="1328" t="s">
        <v>106</v>
      </c>
      <c r="P745" s="1308">
        <v>45504</v>
      </c>
      <c r="Q745" s="1314" t="str">
        <f ca="1">IF(CostTrack[[#This Row],[Vendor - Contract]]="","",INDEX(VendorList[PA ID],MATCH(CostTrack[[#This Row],[Vendor - Contract]],VendorList[Vendor / Org. with Contract ID],0)))</f>
        <v>200.050.F1</v>
      </c>
      <c r="R745" s="1314" t="str">
        <f ca="1">IF(CostTrack[[#This Row],[Vendor - Contract]]="","",INDEX(VendorList[Primary Category],MATCH(CostTrack[[#This Row],[Vendor - Contract]],VendorList[Vendor / Org. with Contract ID],0)))</f>
        <v>Professional Services</v>
      </c>
      <c r="S745" s="1314" t="str">
        <f ca="1">IF(CostTrack[[#This Row],[Vendor - Contract]]="","",INDEX(VendorList[Secondary Category],MATCH(CostTrack[[#This Row],[Vendor - Contract]],VendorList[Vendor / Org. with Contract ID],0)))</f>
        <v>Other Professional Services</v>
      </c>
      <c r="T745" s="1314" t="str">
        <f ca="1">IF(CostTrack[[#This Row],[Vendor - Contract]]="","",INDEX(VendorList[Phase / Subproject],MATCH(CostTrack[[#This Row],[Vendor - Contract]],VendorList[Vendor / Org. with Contract ID],0)))</f>
        <v>--</v>
      </c>
      <c r="U745" s="1314" t="str">
        <f ca="1">IF(CostTrack[[#This Row],[Vendor - Contract]]="","",INDEX(VendorList[Phase / Subproject 2],MATCH(CostTrack[[#This Row],[Vendor - Contract]],VendorList[Vendor / Org. with Contract ID],0)))</f>
        <v>--</v>
      </c>
      <c r="V745" s="1314" t="str">
        <f ca="1">IF(CostTrack[[#This Row],[Vendor - Contract]]="","",INDEX(VendorList[Funding Source],MATCH(CostTrack[[#This Row],[Vendor - Contract]],VendorList[Vendor / Org. with Contract ID],0)))</f>
        <v>P-002360</v>
      </c>
      <c r="W745" s="1308">
        <v>45505</v>
      </c>
      <c r="X745" s="1315" t="str">
        <f ca="1">IF(CostTrack[[#This Row],[Release Date (CMS)]]="","*","")</f>
        <v/>
      </c>
      <c r="Y745" s="1308" t="s">
        <v>63</v>
      </c>
      <c r="Z745" s="713" t="s">
        <v>1422</v>
      </c>
      <c r="AA745" s="1316">
        <f ca="1">IF(OR(CostTrack[[#This Row],[Release Date (CMS)]]&gt;=DATE(VALUE(REPLACE(CostTrack[[#This Row],[Fiscal Period]],3,3,"")),3,1),CostTrack[[#This Row],[Release Date (CMS)]]&lt;DATE(VALUE(LEFT(CostTrack[[#This Row],[Fiscal Period]],4)),4,1)),1,0)</f>
        <v>0</v>
      </c>
      <c r="AB745" s="1317">
        <v>8838.5</v>
      </c>
      <c r="AC745" s="1308">
        <v>45547</v>
      </c>
      <c r="AD745" s="402" t="str">
        <f ca="1">IF(CostTrack[[#This Row],[Reconciled Amount]]="","",IF(CostTrack[[#This Row],[Value]]&lt;&gt;CostTrack[[#This Row],[Reconciled Amount]],"Yes","No"))</f>
        <v>No</v>
      </c>
      <c r="AE745" s="658"/>
    </row>
    <row r="746" spans="2:31" ht="16.149999999999999" customHeight="1">
      <c r="B746" s="1324" t="s">
        <v>624</v>
      </c>
      <c r="C746" s="1334">
        <v>1916790</v>
      </c>
      <c r="D746" s="1308">
        <v>45510</v>
      </c>
      <c r="E746" s="658">
        <v>13061.75</v>
      </c>
      <c r="F746" s="1309" t="s">
        <v>69</v>
      </c>
      <c r="G746" s="1310">
        <f ca="1">ROUND(IF(CostTrack[[#This Row],[Holdback (Y/N/R)]]="Yes",CostTrack[[#This Row],[Value]]*-0.1,IF(CostTrack[[#This Row],[Holdback (Y/N/R)]]="Release",CostTrack[[#This Row],[Value]],0)),2)</f>
        <v>0</v>
      </c>
      <c r="H746" s="1311">
        <f ca="1">IF(CostTrack[[#This Row],[Holdback (Y/N/R)]]="Release",CostTrack[[#This Row],[Value]],CostTrack[[#This Row],[Value]]+CostTrack[[#This Row],[Holdback Value]])</f>
        <v>13061.75</v>
      </c>
      <c r="I746" s="1312"/>
      <c r="J746" s="1312"/>
      <c r="K746" s="1313"/>
      <c r="L746" s="1325">
        <v>45510</v>
      </c>
      <c r="M746" s="1326">
        <v>45510</v>
      </c>
      <c r="N746" s="1327"/>
      <c r="O746" s="1328" t="s">
        <v>106</v>
      </c>
      <c r="P746" s="1308">
        <v>45510</v>
      </c>
      <c r="Q746" s="1314" t="str">
        <f ca="1">IF(CostTrack[[#This Row],[Vendor - Contract]]="","",INDEX(VendorList[PA ID],MATCH(CostTrack[[#This Row],[Vendor - Contract]],VendorList[Vendor / Org. with Contract ID],0)))</f>
        <v>200.040.F1</v>
      </c>
      <c r="R746" s="1314" t="str">
        <f ca="1">IF(CostTrack[[#This Row],[Vendor - Contract]]="","",INDEX(VendorList[Primary Category],MATCH(CostTrack[[#This Row],[Vendor - Contract]],VendorList[Vendor / Org. with Contract ID],0)))</f>
        <v>Professional Services</v>
      </c>
      <c r="S746" s="1314" t="str">
        <f ca="1">IF(CostTrack[[#This Row],[Vendor - Contract]]="","",INDEX(VendorList[Secondary Category],MATCH(CostTrack[[#This Row],[Vendor - Contract]],VendorList[Vendor / Org. with Contract ID],0)))</f>
        <v>Commissioning</v>
      </c>
      <c r="T746" s="1314" t="str">
        <f ca="1">IF(CostTrack[[#This Row],[Vendor - Contract]]="","",INDEX(VendorList[Phase / Subproject],MATCH(CostTrack[[#This Row],[Vendor - Contract]],VendorList[Vendor / Org. with Contract ID],0)))</f>
        <v>--</v>
      </c>
      <c r="U746" s="1314" t="str">
        <f ca="1">IF(CostTrack[[#This Row],[Vendor - Contract]]="","",INDEX(VendorList[Phase / Subproject 2],MATCH(CostTrack[[#This Row],[Vendor - Contract]],VendorList[Vendor / Org. with Contract ID],0)))</f>
        <v>--</v>
      </c>
      <c r="V746" s="1314" t="str">
        <f ca="1">IF(CostTrack[[#This Row],[Vendor - Contract]]="","",INDEX(VendorList[Funding Source],MATCH(CostTrack[[#This Row],[Vendor - Contract]],VendorList[Vendor / Org. with Contract ID],0)))</f>
        <v>P-002360</v>
      </c>
      <c r="W746" s="1308">
        <v>45511</v>
      </c>
      <c r="X746" s="1315" t="str">
        <f ca="1">IF(CostTrack[[#This Row],[Release Date (CMS)]]="","*","")</f>
        <v/>
      </c>
      <c r="Y746" s="1308" t="s">
        <v>63</v>
      </c>
      <c r="Z746" s="713" t="s">
        <v>1423</v>
      </c>
      <c r="AA746" s="1316">
        <f ca="1">IF(OR(CostTrack[[#This Row],[Release Date (CMS)]]&gt;=DATE(VALUE(REPLACE(CostTrack[[#This Row],[Fiscal Period]],3,3,"")),3,1),CostTrack[[#This Row],[Release Date (CMS)]]&lt;DATE(VALUE(LEFT(CostTrack[[#This Row],[Fiscal Period]],4)),4,1)),1,0)</f>
        <v>0</v>
      </c>
      <c r="AB746" s="1317">
        <v>13061.75</v>
      </c>
      <c r="AC746" s="1308">
        <v>45547</v>
      </c>
      <c r="AD746" s="402" t="str">
        <f ca="1">IF(CostTrack[[#This Row],[Reconciled Amount]]="","",IF(CostTrack[[#This Row],[Value]]&lt;&gt;CostTrack[[#This Row],[Reconciled Amount]],"Yes","No"))</f>
        <v>No</v>
      </c>
      <c r="AE746" s="658"/>
    </row>
    <row r="747" spans="2:31" ht="72.75" customHeight="1">
      <c r="B747" s="1324" t="s">
        <v>529</v>
      </c>
      <c r="C747" s="1334" t="s">
        <v>1424</v>
      </c>
      <c r="D747" s="1308">
        <v>45468</v>
      </c>
      <c r="E747" s="658">
        <v>171046.6</v>
      </c>
      <c r="F747" s="1309" t="s">
        <v>65</v>
      </c>
      <c r="G747" s="1310">
        <f ca="1">ROUND(IF(CostTrack[[#This Row],[Holdback (Y/N/R)]]="Yes",CostTrack[[#This Row],[Value]]*-0.1,IF(CostTrack[[#This Row],[Holdback (Y/N/R)]]="Release",CostTrack[[#This Row],[Value]],0)),2)</f>
        <v>-17104.66</v>
      </c>
      <c r="H747" s="1311">
        <f ca="1">IF(CostTrack[[#This Row],[Holdback (Y/N/R)]]="Release",CostTrack[[#This Row],[Value]],CostTrack[[#This Row],[Value]]+CostTrack[[#This Row],[Holdback Value]])</f>
        <v>153941.94</v>
      </c>
      <c r="I747" s="1312" t="s">
        <v>1425</v>
      </c>
      <c r="J747" s="1312"/>
      <c r="K747" s="1313"/>
      <c r="L747" s="1325">
        <v>45506</v>
      </c>
      <c r="M747" s="1326">
        <v>45506</v>
      </c>
      <c r="N747" s="1327"/>
      <c r="O747" s="1328" t="s">
        <v>106</v>
      </c>
      <c r="P747" s="1308">
        <v>45506</v>
      </c>
      <c r="Q747" s="1314" t="str">
        <f ca="1">IF(CostTrack[[#This Row],[Vendor - Contract]]="","",INDEX(VendorList[PA ID],MATCH(CostTrack[[#This Row],[Vendor - Contract]],VendorList[Vendor / Org. with Contract ID],0)))</f>
        <v>300.030.F1</v>
      </c>
      <c r="R747" s="1314" t="str">
        <f ca="1">IF(CostTrack[[#This Row],[Vendor - Contract]]="","",INDEX(VendorList[Primary Category],MATCH(CostTrack[[#This Row],[Vendor - Contract]],VendorList[Vendor / Org. with Contract ID],0)))</f>
        <v>Construction</v>
      </c>
      <c r="S747" s="1314" t="str">
        <f ca="1">IF(CostTrack[[#This Row],[Vendor - Contract]]="","",INDEX(VendorList[Secondary Category],MATCH(CostTrack[[#This Row],[Vendor - Contract]],VendorList[Vendor / Org. with Contract ID],0)))</f>
        <v>Prime Contractor</v>
      </c>
      <c r="T747" s="1314" t="str">
        <f ca="1">IF(CostTrack[[#This Row],[Vendor - Contract]]="","",INDEX(VendorList[Phase / Subproject],MATCH(CostTrack[[#This Row],[Vendor - Contract]],VendorList[Vendor / Org. with Contract ID],0)))</f>
        <v>--</v>
      </c>
      <c r="U747" s="1314" t="str">
        <f ca="1">IF(CostTrack[[#This Row],[Vendor - Contract]]="","",INDEX(VendorList[Phase / Subproject 2],MATCH(CostTrack[[#This Row],[Vendor - Contract]],VendorList[Vendor / Org. with Contract ID],0)))</f>
        <v>--</v>
      </c>
      <c r="V747" s="1314" t="str">
        <f ca="1">IF(CostTrack[[#This Row],[Vendor - Contract]]="","",INDEX(VendorList[Funding Source],MATCH(CostTrack[[#This Row],[Vendor - Contract]],VendorList[Vendor / Org. with Contract ID],0)))</f>
        <v>P-002360</v>
      </c>
      <c r="W747" s="1308">
        <v>45506</v>
      </c>
      <c r="X747" s="1315" t="str">
        <f ca="1">IF(CostTrack[[#This Row],[Release Date (CMS)]]="","*","")</f>
        <v/>
      </c>
      <c r="Y747" s="1308" t="s">
        <v>63</v>
      </c>
      <c r="Z747" s="713" t="s">
        <v>1426</v>
      </c>
      <c r="AA747" s="1316">
        <f ca="1">IF(OR(CostTrack[[#This Row],[Release Date (CMS)]]&gt;=DATE(VALUE(REPLACE(CostTrack[[#This Row],[Fiscal Period]],3,3,"")),3,1),CostTrack[[#This Row],[Release Date (CMS)]]&lt;DATE(VALUE(LEFT(CostTrack[[#This Row],[Fiscal Period]],4)),4,1)),1,0)</f>
        <v>0</v>
      </c>
      <c r="AB747" s="1317">
        <v>171046.6</v>
      </c>
      <c r="AC747" s="1308">
        <v>45547</v>
      </c>
      <c r="AD747" s="402" t="str">
        <f ca="1">IF(CostTrack[[#This Row],[Reconciled Amount]]="","",IF(CostTrack[[#This Row],[Value]]&lt;&gt;CostTrack[[#This Row],[Reconciled Amount]],"Yes","No"))</f>
        <v>No</v>
      </c>
      <c r="AE747" s="658"/>
    </row>
    <row r="748" spans="2:31" ht="79.5" customHeight="1">
      <c r="B748" s="1324" t="s">
        <v>1113</v>
      </c>
      <c r="C748" s="1334">
        <v>5120458</v>
      </c>
      <c r="D748" s="1308">
        <v>45469</v>
      </c>
      <c r="E748" s="658">
        <v>9306</v>
      </c>
      <c r="F748" s="1309" t="s">
        <v>69</v>
      </c>
      <c r="G748" s="1310">
        <f ca="1">ROUND(IF(CostTrack[[#This Row],[Holdback (Y/N/R)]]="Yes",CostTrack[[#This Row],[Value]]*-0.1,IF(CostTrack[[#This Row],[Holdback (Y/N/R)]]="Release",CostTrack[[#This Row],[Value]],0)),2)</f>
        <v>0</v>
      </c>
      <c r="H748" s="1311">
        <f ca="1">IF(CostTrack[[#This Row],[Holdback (Y/N/R)]]="Release",CostTrack[[#This Row],[Value]],CostTrack[[#This Row],[Value]]+CostTrack[[#This Row],[Holdback Value]])</f>
        <v>9306</v>
      </c>
      <c r="I748" s="1312"/>
      <c r="J748" s="1312"/>
      <c r="K748" s="1313"/>
      <c r="L748" s="1325">
        <v>45470</v>
      </c>
      <c r="M748" s="1326">
        <v>45512</v>
      </c>
      <c r="N748" s="1327" t="s">
        <v>181</v>
      </c>
      <c r="O748" s="1328" t="s">
        <v>106</v>
      </c>
      <c r="P748" s="1308">
        <v>45512</v>
      </c>
      <c r="Q748" s="1314" t="str">
        <f ca="1">IF(CostTrack[[#This Row],[Vendor - Contract]]="","",INDEX(VendorList[PA ID],MATCH(CostTrack[[#This Row],[Vendor - Contract]],VendorList[Vendor / Org. with Contract ID],0)))</f>
        <v>200.050.F1</v>
      </c>
      <c r="R748" s="1314" t="str">
        <f ca="1">IF(CostTrack[[#This Row],[Vendor - Contract]]="","",INDEX(VendorList[Primary Category],MATCH(CostTrack[[#This Row],[Vendor - Contract]],VendorList[Vendor / Org. with Contract ID],0)))</f>
        <v>Professional Services</v>
      </c>
      <c r="S748" s="1314" t="str">
        <f ca="1">IF(CostTrack[[#This Row],[Vendor - Contract]]="","",INDEX(VendorList[Secondary Category],MATCH(CostTrack[[#This Row],[Vendor - Contract]],VendorList[Vendor / Org. with Contract ID],0)))</f>
        <v>Other Professional Services</v>
      </c>
      <c r="T748" s="1314" t="str">
        <f ca="1">IF(CostTrack[[#This Row],[Vendor - Contract]]="","",INDEX(VendorList[Phase / Subproject],MATCH(CostTrack[[#This Row],[Vendor - Contract]],VendorList[Vendor / Org. with Contract ID],0)))</f>
        <v>--</v>
      </c>
      <c r="U748" s="1314" t="str">
        <f ca="1">IF(CostTrack[[#This Row],[Vendor - Contract]]="","",INDEX(VendorList[Phase / Subproject 2],MATCH(CostTrack[[#This Row],[Vendor - Contract]],VendorList[Vendor / Org. with Contract ID],0)))</f>
        <v>--</v>
      </c>
      <c r="V748" s="1314" t="str">
        <f ca="1">IF(CostTrack[[#This Row],[Vendor - Contract]]="","",INDEX(VendorList[Funding Source],MATCH(CostTrack[[#This Row],[Vendor - Contract]],VendorList[Vendor / Org. with Contract ID],0)))</f>
        <v>P-002360</v>
      </c>
      <c r="W748" s="1308">
        <v>45512</v>
      </c>
      <c r="X748" s="1315" t="str">
        <f ca="1">IF(CostTrack[[#This Row],[Release Date (CMS)]]="","*","")</f>
        <v/>
      </c>
      <c r="Y748" s="1308" t="s">
        <v>63</v>
      </c>
      <c r="Z748" s="713" t="s">
        <v>1427</v>
      </c>
      <c r="AA748" s="1316">
        <f ca="1">IF(OR(CostTrack[[#This Row],[Release Date (CMS)]]&gt;=DATE(VALUE(REPLACE(CostTrack[[#This Row],[Fiscal Period]],3,3,"")),3,1),CostTrack[[#This Row],[Release Date (CMS)]]&lt;DATE(VALUE(LEFT(CostTrack[[#This Row],[Fiscal Period]],4)),4,1)),1,0)</f>
        <v>0</v>
      </c>
      <c r="AB748" s="1317">
        <v>9306</v>
      </c>
      <c r="AC748" s="1308">
        <v>45547</v>
      </c>
      <c r="AD748" s="402" t="str">
        <f ca="1">IF(CostTrack[[#This Row],[Reconciled Amount]]="","",IF(CostTrack[[#This Row],[Value]]&lt;&gt;CostTrack[[#This Row],[Reconciled Amount]],"Yes","No"))</f>
        <v>No</v>
      </c>
      <c r="AE748" s="658"/>
    </row>
    <row r="749" spans="2:31" ht="38.1" customHeight="1">
      <c r="B749" s="1324" t="s">
        <v>527</v>
      </c>
      <c r="C749" s="1334">
        <v>240378</v>
      </c>
      <c r="D749" s="1308">
        <v>45504</v>
      </c>
      <c r="E749" s="658">
        <v>7622.35</v>
      </c>
      <c r="F749" s="1309" t="s">
        <v>69</v>
      </c>
      <c r="G749" s="1310">
        <f ca="1">ROUND(IF(CostTrack[[#This Row],[Holdback (Y/N/R)]]="Yes",CostTrack[[#This Row],[Value]]*-0.1,IF(CostTrack[[#This Row],[Holdback (Y/N/R)]]="Release",CostTrack[[#This Row],[Value]],0)),2)</f>
        <v>0</v>
      </c>
      <c r="H749" s="1311">
        <f ca="1">IF(CostTrack[[#This Row],[Holdback (Y/N/R)]]="Release",CostTrack[[#This Row],[Value]],CostTrack[[#This Row],[Value]]+CostTrack[[#This Row],[Holdback Value]])</f>
        <v>7622.35</v>
      </c>
      <c r="I749" s="1312"/>
      <c r="J749" s="1312"/>
      <c r="K749" s="1313"/>
      <c r="L749" s="1325">
        <v>45517</v>
      </c>
      <c r="M749" s="1326">
        <v>45517</v>
      </c>
      <c r="N749" s="1327"/>
      <c r="O749" s="1328" t="s">
        <v>106</v>
      </c>
      <c r="P749" s="1308">
        <v>45527</v>
      </c>
      <c r="Q749" s="1314" t="str">
        <f ca="1">IF(CostTrack[[#This Row],[Vendor - Contract]]="","",INDEX(VendorList[PA ID],MATCH(CostTrack[[#This Row],[Vendor - Contract]],VendorList[Vendor / Org. with Contract ID],0)))</f>
        <v>200.010.F1</v>
      </c>
      <c r="R749" s="1314" t="str">
        <f ca="1">IF(CostTrack[[#This Row],[Vendor - Contract]]="","",INDEX(VendorList[Primary Category],MATCH(CostTrack[[#This Row],[Vendor - Contract]],VendorList[Vendor / Org. with Contract ID],0)))</f>
        <v>Professional Services</v>
      </c>
      <c r="S749" s="1314" t="str">
        <f ca="1">IF(CostTrack[[#This Row],[Vendor - Contract]]="","",INDEX(VendorList[Secondary Category],MATCH(CostTrack[[#This Row],[Vendor - Contract]],VendorList[Vendor / Org. with Contract ID],0)))</f>
        <v>Prime Consultant</v>
      </c>
      <c r="T749" s="1314" t="str">
        <f ca="1">IF(CostTrack[[#This Row],[Vendor - Contract]]="","",INDEX(VendorList[Phase / Subproject],MATCH(CostTrack[[#This Row],[Vendor - Contract]],VendorList[Vendor / Org. with Contract ID],0)))</f>
        <v>--</v>
      </c>
      <c r="U749" s="1314" t="str">
        <f ca="1">IF(CostTrack[[#This Row],[Vendor - Contract]]="","",INDEX(VendorList[Phase / Subproject 2],MATCH(CostTrack[[#This Row],[Vendor - Contract]],VendorList[Vendor / Org. with Contract ID],0)))</f>
        <v>--</v>
      </c>
      <c r="V749" s="1314" t="str">
        <f ca="1">IF(CostTrack[[#This Row],[Vendor - Contract]]="","",INDEX(VendorList[Funding Source],MATCH(CostTrack[[#This Row],[Vendor - Contract]],VendorList[Vendor / Org. with Contract ID],0)))</f>
        <v>P-002360</v>
      </c>
      <c r="W749" s="1308">
        <v>45527</v>
      </c>
      <c r="X749" s="1315" t="str">
        <f ca="1">IF(CostTrack[[#This Row],[Release Date (CMS)]]="","*","")</f>
        <v/>
      </c>
      <c r="Y749" s="1308" t="s">
        <v>63</v>
      </c>
      <c r="Z749" s="713" t="s">
        <v>1428</v>
      </c>
      <c r="AA749" s="1316">
        <f ca="1">IF(OR(CostTrack[[#This Row],[Release Date (CMS)]]&gt;=DATE(VALUE(REPLACE(CostTrack[[#This Row],[Fiscal Period]],3,3,"")),3,1),CostTrack[[#This Row],[Release Date (CMS)]]&lt;DATE(VALUE(LEFT(CostTrack[[#This Row],[Fiscal Period]],4)),4,1)),1,0)</f>
        <v>0</v>
      </c>
      <c r="AB749" s="1317">
        <v>7622.35</v>
      </c>
      <c r="AC749" s="1308">
        <v>45547</v>
      </c>
      <c r="AD749" s="402" t="str">
        <f ca="1">IF(CostTrack[[#This Row],[Reconciled Amount]]="","",IF(CostTrack[[#This Row],[Value]]&lt;&gt;CostTrack[[#This Row],[Reconciled Amount]],"Yes","No"))</f>
        <v>No</v>
      </c>
      <c r="AE749" s="658"/>
    </row>
    <row r="750" spans="2:31" ht="38.1" customHeight="1">
      <c r="B750" s="1324" t="s">
        <v>698</v>
      </c>
      <c r="C750" s="1334">
        <v>15217</v>
      </c>
      <c r="D750" s="1308">
        <v>45531</v>
      </c>
      <c r="E750" s="658">
        <v>695</v>
      </c>
      <c r="F750" s="1309" t="s">
        <v>69</v>
      </c>
      <c r="G750" s="1310">
        <f ca="1">ROUND(IF(CostTrack[[#This Row],[Holdback (Y/N/R)]]="Yes",CostTrack[[#This Row],[Value]]*-0.1,IF(CostTrack[[#This Row],[Holdback (Y/N/R)]]="Release",CostTrack[[#This Row],[Value]],0)),2)</f>
        <v>0</v>
      </c>
      <c r="H750" s="1311">
        <f ca="1">IF(CostTrack[[#This Row],[Holdback (Y/N/R)]]="Release",CostTrack[[#This Row],[Value]],CostTrack[[#This Row],[Value]]+CostTrack[[#This Row],[Holdback Value]])</f>
        <v>695</v>
      </c>
      <c r="I750" s="1312"/>
      <c r="J750" s="1312"/>
      <c r="K750" s="1313"/>
      <c r="L750" s="1325">
        <v>45531</v>
      </c>
      <c r="M750" s="1326">
        <v>45531</v>
      </c>
      <c r="N750" s="1327"/>
      <c r="O750" s="1328" t="s">
        <v>106</v>
      </c>
      <c r="P750" s="1308" t="s">
        <v>1429</v>
      </c>
      <c r="Q750" s="1314" t="str">
        <f ca="1">IF(CostTrack[[#This Row],[Vendor - Contract]]="","",INDEX(VendorList[PA ID],MATCH(CostTrack[[#This Row],[Vendor - Contract]],VendorList[Vendor / Org. with Contract ID],0)))</f>
        <v>400.030.F1</v>
      </c>
      <c r="R750" s="1314" t="str">
        <f ca="1">IF(CostTrack[[#This Row],[Vendor - Contract]]="","",INDEX(VendorList[Primary Category],MATCH(CostTrack[[#This Row],[Vendor - Contract]],VendorList[Vendor / Org. with Contract ID],0)))</f>
        <v>FE_IT</v>
      </c>
      <c r="S750" s="1314" t="str">
        <f ca="1">IF(CostTrack[[#This Row],[Vendor - Contract]]="","",INDEX(VendorList[Secondary Category],MATCH(CostTrack[[#This Row],[Vendor - Contract]],VendorList[Vendor / Org. with Contract ID],0)))</f>
        <v>Movers</v>
      </c>
      <c r="T750" s="1314" t="str">
        <f ca="1">IF(CostTrack[[#This Row],[Vendor - Contract]]="","",INDEX(VendorList[Phase / Subproject],MATCH(CostTrack[[#This Row],[Vendor - Contract]],VendorList[Vendor / Org. with Contract ID],0)))</f>
        <v>--</v>
      </c>
      <c r="U750" s="1314" t="str">
        <f ca="1">IF(CostTrack[[#This Row],[Vendor - Contract]]="","",INDEX(VendorList[Phase / Subproject 2],MATCH(CostTrack[[#This Row],[Vendor - Contract]],VendorList[Vendor / Org. with Contract ID],0)))</f>
        <v>--</v>
      </c>
      <c r="V750" s="1314" t="str">
        <f ca="1">IF(CostTrack[[#This Row],[Vendor - Contract]]="","",INDEX(VendorList[Funding Source],MATCH(CostTrack[[#This Row],[Vendor - Contract]],VendorList[Vendor / Org. with Contract ID],0)))</f>
        <v>P-002360</v>
      </c>
      <c r="W750" s="1308">
        <v>45531</v>
      </c>
      <c r="X750" s="1315" t="str">
        <f ca="1">IF(CostTrack[[#This Row],[Release Date (CMS)]]="","*","")</f>
        <v/>
      </c>
      <c r="Y750" s="1308" t="s">
        <v>63</v>
      </c>
      <c r="Z750" s="713" t="s">
        <v>1430</v>
      </c>
      <c r="AA750" s="1316">
        <f ca="1">IF(OR(CostTrack[[#This Row],[Release Date (CMS)]]&gt;=DATE(VALUE(REPLACE(CostTrack[[#This Row],[Fiscal Period]],3,3,"")),3,1),CostTrack[[#This Row],[Release Date (CMS)]]&lt;DATE(VALUE(LEFT(CostTrack[[#This Row],[Fiscal Period]],4)),4,1)),1,0)</f>
        <v>0</v>
      </c>
      <c r="AB750" s="1317">
        <v>695</v>
      </c>
      <c r="AC750" s="1308">
        <v>45547</v>
      </c>
      <c r="AD750" s="402" t="str">
        <f ca="1">IF(CostTrack[[#This Row],[Reconciled Amount]]="","",IF(CostTrack[[#This Row],[Value]]&lt;&gt;CostTrack[[#This Row],[Reconciled Amount]],"Yes","No"))</f>
        <v>No</v>
      </c>
      <c r="AE750" s="658"/>
    </row>
    <row r="751" spans="2:31" ht="36.75" customHeight="1">
      <c r="B751" s="1324" t="s">
        <v>1431</v>
      </c>
      <c r="C751" s="1034" t="s">
        <v>1432</v>
      </c>
      <c r="D751" s="1308">
        <v>45426</v>
      </c>
      <c r="E751" s="658">
        <v>3501.46</v>
      </c>
      <c r="F751" s="1309" t="s">
        <v>69</v>
      </c>
      <c r="G751" s="1310">
        <f ca="1">ROUND(IF(CostTrack[[#This Row],[Holdback (Y/N/R)]]="Yes",CostTrack[[#This Row],[Value]]*-0.1,IF(CostTrack[[#This Row],[Holdback (Y/N/R)]]="Release",CostTrack[[#This Row],[Value]],0)),2)</f>
        <v>0</v>
      </c>
      <c r="H751" s="1311">
        <f ca="1">IF(CostTrack[[#This Row],[Holdback (Y/N/R)]]="Release",CostTrack[[#This Row],[Value]],CostTrack[[#This Row],[Value]]+CostTrack[[#This Row],[Holdback Value]])</f>
        <v>3501.46</v>
      </c>
      <c r="I751" s="1312"/>
      <c r="J751" s="1312"/>
      <c r="K751" s="1313"/>
      <c r="L751" s="1325">
        <v>45426</v>
      </c>
      <c r="M751" s="1326">
        <v>45426</v>
      </c>
      <c r="N751" s="1327"/>
      <c r="O751" s="1328" t="s">
        <v>106</v>
      </c>
      <c r="P751" s="1308">
        <v>45512</v>
      </c>
      <c r="Q751" s="1314" t="str">
        <f ca="1">IF(CostTrack[[#This Row],[Vendor - Contract]]="","",INDEX(VendorList[PA ID],MATCH(CostTrack[[#This Row],[Vendor - Contract]],VendorList[Vendor / Org. with Contract ID],0)))</f>
        <v>400.010.F1</v>
      </c>
      <c r="R751" s="1314" t="str">
        <f ca="1">IF(CostTrack[[#This Row],[Vendor - Contract]]="","",INDEX(VendorList[Primary Category],MATCH(CostTrack[[#This Row],[Vendor - Contract]],VendorList[Vendor / Org. with Contract ID],0)))</f>
        <v>FE_IT</v>
      </c>
      <c r="S751" s="1314" t="str">
        <f ca="1">IF(CostTrack[[#This Row],[Vendor - Contract]]="","",INDEX(VendorList[Secondary Category],MATCH(CostTrack[[#This Row],[Vendor - Contract]],VendorList[Vendor / Org. with Contract ID],0)))</f>
        <v>Furniture &amp; Equipment</v>
      </c>
      <c r="T751" s="1314" t="str">
        <f ca="1">IF(CostTrack[[#This Row],[Vendor - Contract]]="","",INDEX(VendorList[Phase / Subproject],MATCH(CostTrack[[#This Row],[Vendor - Contract]],VendorList[Vendor / Org. with Contract ID],0)))</f>
        <v>--</v>
      </c>
      <c r="U751" s="1314" t="str">
        <f ca="1">IF(CostTrack[[#This Row],[Vendor - Contract]]="","",INDEX(VendorList[Phase / Subproject 2],MATCH(CostTrack[[#This Row],[Vendor - Contract]],VendorList[Vendor / Org. with Contract ID],0)))</f>
        <v>--</v>
      </c>
      <c r="V751" s="1314" t="str">
        <f ca="1">IF(CostTrack[[#This Row],[Vendor - Contract]]="","",INDEX(VendorList[Funding Source],MATCH(CostTrack[[#This Row],[Vendor - Contract]],VendorList[Vendor / Org. with Contract ID],0)))</f>
        <v>P-002360</v>
      </c>
      <c r="W751" s="1308">
        <v>45512</v>
      </c>
      <c r="X751" s="1315" t="str">
        <f ca="1">IF(CostTrack[[#This Row],[Release Date (CMS)]]="","*","")</f>
        <v/>
      </c>
      <c r="Y751" s="1308" t="s">
        <v>63</v>
      </c>
      <c r="Z751" s="713" t="s">
        <v>1433</v>
      </c>
      <c r="AA751" s="1316">
        <f ca="1">IF(OR(CostTrack[[#This Row],[Release Date (CMS)]]&gt;=DATE(VALUE(REPLACE(CostTrack[[#This Row],[Fiscal Period]],3,3,"")),3,1),CostTrack[[#This Row],[Release Date (CMS)]]&lt;DATE(VALUE(LEFT(CostTrack[[#This Row],[Fiscal Period]],4)),4,1)),1,0)</f>
        <v>0</v>
      </c>
      <c r="AB751" s="1317">
        <v>3501.46</v>
      </c>
      <c r="AC751" s="1308">
        <v>45547</v>
      </c>
      <c r="AD751" s="402" t="str">
        <f ca="1">IF(CostTrack[[#This Row],[Reconciled Amount]]="","",IF(CostTrack[[#This Row],[Value]]&lt;&gt;CostTrack[[#This Row],[Reconciled Amount]],"Yes","No"))</f>
        <v>No</v>
      </c>
      <c r="AE751" s="658"/>
    </row>
    <row r="752" spans="2:31" ht="32.65" customHeight="1">
      <c r="B752" s="1324" t="s">
        <v>1434</v>
      </c>
      <c r="C752" s="1034" t="s">
        <v>1435</v>
      </c>
      <c r="D752" s="1308">
        <v>45422</v>
      </c>
      <c r="E752" s="658">
        <v>8111.59</v>
      </c>
      <c r="F752" s="1309" t="s">
        <v>69</v>
      </c>
      <c r="G752" s="1310">
        <f ca="1">ROUND(IF(CostTrack[[#This Row],[Holdback (Y/N/R)]]="Yes",CostTrack[[#This Row],[Value]]*-0.1,IF(CostTrack[[#This Row],[Holdback (Y/N/R)]]="Release",CostTrack[[#This Row],[Value]],0)),2)</f>
        <v>0</v>
      </c>
      <c r="H752" s="1311">
        <f ca="1">IF(CostTrack[[#This Row],[Holdback (Y/N/R)]]="Release",CostTrack[[#This Row],[Value]],CostTrack[[#This Row],[Value]]+CostTrack[[#This Row],[Holdback Value]])</f>
        <v>8111.59</v>
      </c>
      <c r="I752" s="1312"/>
      <c r="J752" s="1312"/>
      <c r="K752" s="1313"/>
      <c r="L752" s="1325">
        <v>45422</v>
      </c>
      <c r="M752" s="1326">
        <v>45422</v>
      </c>
      <c r="N752" s="1327"/>
      <c r="O752" s="1328" t="s">
        <v>106</v>
      </c>
      <c r="P752" s="1308">
        <v>45512</v>
      </c>
      <c r="Q752" s="1314" t="str">
        <f ca="1">IF(CostTrack[[#This Row],[Vendor - Contract]]="","",INDEX(VendorList[PA ID],MATCH(CostTrack[[#This Row],[Vendor - Contract]],VendorList[Vendor / Org. with Contract ID],0)))</f>
        <v>400.010.F1</v>
      </c>
      <c r="R752" s="1314" t="str">
        <f ca="1">IF(CostTrack[[#This Row],[Vendor - Contract]]="","",INDEX(VendorList[Primary Category],MATCH(CostTrack[[#This Row],[Vendor - Contract]],VendorList[Vendor / Org. with Contract ID],0)))</f>
        <v>FE_IT</v>
      </c>
      <c r="S752" s="1314" t="str">
        <f ca="1">IF(CostTrack[[#This Row],[Vendor - Contract]]="","",INDEX(VendorList[Secondary Category],MATCH(CostTrack[[#This Row],[Vendor - Contract]],VendorList[Vendor / Org. with Contract ID],0)))</f>
        <v>Furniture &amp; Equipment</v>
      </c>
      <c r="T752" s="1314" t="str">
        <f ca="1">IF(CostTrack[[#This Row],[Vendor - Contract]]="","",INDEX(VendorList[Phase / Subproject],MATCH(CostTrack[[#This Row],[Vendor - Contract]],VendorList[Vendor / Org. with Contract ID],0)))</f>
        <v>--</v>
      </c>
      <c r="U752" s="1314" t="str">
        <f ca="1">IF(CostTrack[[#This Row],[Vendor - Contract]]="","",INDEX(VendorList[Phase / Subproject 2],MATCH(CostTrack[[#This Row],[Vendor - Contract]],VendorList[Vendor / Org. with Contract ID],0)))</f>
        <v>--</v>
      </c>
      <c r="V752" s="1314" t="str">
        <f ca="1">IF(CostTrack[[#This Row],[Vendor - Contract]]="","",INDEX(VendorList[Funding Source],MATCH(CostTrack[[#This Row],[Vendor - Contract]],VendorList[Vendor / Org. with Contract ID],0)))</f>
        <v>P-002360</v>
      </c>
      <c r="W752" s="1308">
        <v>45512</v>
      </c>
      <c r="X752" s="1315" t="str">
        <f ca="1">IF(CostTrack[[#This Row],[Release Date (CMS)]]="","*","")</f>
        <v/>
      </c>
      <c r="Y752" s="1308" t="s">
        <v>63</v>
      </c>
      <c r="Z752" s="713" t="s">
        <v>1436</v>
      </c>
      <c r="AA752" s="1316">
        <f ca="1">IF(OR(CostTrack[[#This Row],[Release Date (CMS)]]&gt;=DATE(VALUE(REPLACE(CostTrack[[#This Row],[Fiscal Period]],3,3,"")),3,1),CostTrack[[#This Row],[Release Date (CMS)]]&lt;DATE(VALUE(LEFT(CostTrack[[#This Row],[Fiscal Period]],4)),4,1)),1,0)</f>
        <v>0</v>
      </c>
      <c r="AB752" s="1317">
        <v>8111.59</v>
      </c>
      <c r="AC752" s="1308">
        <v>45547</v>
      </c>
      <c r="AD752" s="402" t="str">
        <f ca="1">IF(CostTrack[[#This Row],[Reconciled Amount]]="","",IF(CostTrack[[#This Row],[Value]]&lt;&gt;CostTrack[[#This Row],[Reconciled Amount]],"Yes","No"))</f>
        <v>No</v>
      </c>
      <c r="AE752" s="658"/>
    </row>
    <row r="753" spans="2:31" ht="29.1" customHeight="1">
      <c r="B753" s="1324" t="s">
        <v>1437</v>
      </c>
      <c r="C753" s="1034" t="s">
        <v>1438</v>
      </c>
      <c r="D753" s="1308">
        <v>45425</v>
      </c>
      <c r="E753" s="658">
        <v>480627.78</v>
      </c>
      <c r="F753" s="1309" t="s">
        <v>69</v>
      </c>
      <c r="G753" s="1310">
        <f ca="1">ROUND(IF(CostTrack[[#This Row],[Holdback (Y/N/R)]]="Yes",CostTrack[[#This Row],[Value]]*-0.1,IF(CostTrack[[#This Row],[Holdback (Y/N/R)]]="Release",CostTrack[[#This Row],[Value]],0)),2)</f>
        <v>0</v>
      </c>
      <c r="H753" s="1311">
        <f ca="1">IF(CostTrack[[#This Row],[Holdback (Y/N/R)]]="Release",CostTrack[[#This Row],[Value]],CostTrack[[#This Row],[Value]]+CostTrack[[#This Row],[Holdback Value]])</f>
        <v>480627.78</v>
      </c>
      <c r="I753" s="1312"/>
      <c r="J753" s="1312"/>
      <c r="K753" s="1313"/>
      <c r="L753" s="1325">
        <v>45425</v>
      </c>
      <c r="M753" s="1326">
        <v>45425</v>
      </c>
      <c r="N753" s="1327"/>
      <c r="O753" s="1328" t="s">
        <v>106</v>
      </c>
      <c r="P753" s="1308">
        <v>45531</v>
      </c>
      <c r="Q753" s="1314" t="str">
        <f ca="1">IF(CostTrack[[#This Row],[Vendor - Contract]]="","",INDEX(VendorList[PA ID],MATCH(CostTrack[[#This Row],[Vendor - Contract]],VendorList[Vendor / Org. with Contract ID],0)))</f>
        <v>400.010.F1</v>
      </c>
      <c r="R753" s="1314" t="str">
        <f ca="1">IF(CostTrack[[#This Row],[Vendor - Contract]]="","",INDEX(VendorList[Primary Category],MATCH(CostTrack[[#This Row],[Vendor - Contract]],VendorList[Vendor / Org. with Contract ID],0)))</f>
        <v>FE_IT</v>
      </c>
      <c r="S753" s="1314" t="str">
        <f ca="1">IF(CostTrack[[#This Row],[Vendor - Contract]]="","",INDEX(VendorList[Secondary Category],MATCH(CostTrack[[#This Row],[Vendor - Contract]],VendorList[Vendor / Org. with Contract ID],0)))</f>
        <v>Furniture &amp; Equipment</v>
      </c>
      <c r="T753" s="1314" t="str">
        <f ca="1">IF(CostTrack[[#This Row],[Vendor - Contract]]="","",INDEX(VendorList[Phase / Subproject],MATCH(CostTrack[[#This Row],[Vendor - Contract]],VendorList[Vendor / Org. with Contract ID],0)))</f>
        <v>--</v>
      </c>
      <c r="U753" s="1314" t="str">
        <f ca="1">IF(CostTrack[[#This Row],[Vendor - Contract]]="","",INDEX(VendorList[Phase / Subproject 2],MATCH(CostTrack[[#This Row],[Vendor - Contract]],VendorList[Vendor / Org. with Contract ID],0)))</f>
        <v>--</v>
      </c>
      <c r="V753" s="1314" t="str">
        <f ca="1">IF(CostTrack[[#This Row],[Vendor - Contract]]="","",INDEX(VendorList[Funding Source],MATCH(CostTrack[[#This Row],[Vendor - Contract]],VendorList[Vendor / Org. with Contract ID],0)))</f>
        <v>P-002360</v>
      </c>
      <c r="W753" s="1308">
        <v>45531</v>
      </c>
      <c r="X753" s="1315" t="str">
        <f ca="1">IF(CostTrack[[#This Row],[Release Date (CMS)]]="","*","")</f>
        <v/>
      </c>
      <c r="Y753" s="1308" t="s">
        <v>63</v>
      </c>
      <c r="Z753" s="713" t="s">
        <v>1439</v>
      </c>
      <c r="AA753" s="1316">
        <f ca="1">IF(OR(CostTrack[[#This Row],[Release Date (CMS)]]&gt;=DATE(VALUE(REPLACE(CostTrack[[#This Row],[Fiscal Period]],3,3,"")),3,1),CostTrack[[#This Row],[Release Date (CMS)]]&lt;DATE(VALUE(LEFT(CostTrack[[#This Row],[Fiscal Period]],4)),4,1)),1,0)</f>
        <v>0</v>
      </c>
      <c r="AB753" s="1317">
        <v>480627.78</v>
      </c>
      <c r="AC753" s="1308">
        <v>45547</v>
      </c>
      <c r="AD753" s="402" t="str">
        <f ca="1">IF(CostTrack[[#This Row],[Reconciled Amount]]="","",IF(CostTrack[[#This Row],[Value]]&lt;&gt;CostTrack[[#This Row],[Reconciled Amount]],"Yes","No"))</f>
        <v>No</v>
      </c>
      <c r="AE753" s="658"/>
    </row>
    <row r="754" spans="2:31" ht="29.1" customHeight="1">
      <c r="B754" s="706" t="s">
        <v>736</v>
      </c>
      <c r="C754" s="691" t="s">
        <v>1440</v>
      </c>
      <c r="D754" s="267">
        <v>45535</v>
      </c>
      <c r="E754" s="654">
        <v>43559.76</v>
      </c>
      <c r="F754" s="647" t="s">
        <v>69</v>
      </c>
      <c r="G754" s="406">
        <f ca="1">ROUND(IF(CostTrack[[#This Row],[Holdback (Y/N/R)]]="Yes",CostTrack[[#This Row],[Value]]*-0.1,IF(CostTrack[[#This Row],[Holdback (Y/N/R)]]="Release",CostTrack[[#This Row],[Value]],0)),2)</f>
        <v>0</v>
      </c>
      <c r="H754" s="407">
        <f ca="1">IF(CostTrack[[#This Row],[Holdback (Y/N/R)]]="Release",CostTrack[[#This Row],[Value]],CostTrack[[#This Row],[Value]]+CostTrack[[#This Row],[Holdback Value]])</f>
        <v>43559.76</v>
      </c>
      <c r="I754" s="650"/>
      <c r="J754" s="650"/>
      <c r="K754" s="648"/>
      <c r="L754" s="707">
        <v>45535</v>
      </c>
      <c r="M754" s="708">
        <v>45535</v>
      </c>
      <c r="N754" s="709"/>
      <c r="O754" s="712" t="s">
        <v>106</v>
      </c>
      <c r="P754" s="267">
        <v>45535</v>
      </c>
      <c r="Q754" s="243" t="str">
        <f ca="1">IF(CostTrack[[#This Row],[Vendor - Contract]]="","",INDEX(VendorList[PA ID],MATCH(CostTrack[[#This Row],[Vendor - Contract]],VendorList[Vendor / Org. with Contract ID],0)))</f>
        <v>100.010.F1</v>
      </c>
      <c r="R754" s="243" t="str">
        <f ca="1">IF(CostTrack[[#This Row],[Vendor - Contract]]="","",INDEX(VendorList[Primary Category],MATCH(CostTrack[[#This Row],[Vendor - Contract]],VendorList[Vendor / Org. with Contract ID],0)))</f>
        <v>Administration</v>
      </c>
      <c r="S754" s="243" t="str">
        <f ca="1">IF(CostTrack[[#This Row],[Vendor - Contract]]="","",INDEX(VendorList[Secondary Category],MATCH(CostTrack[[#This Row],[Vendor - Contract]],VendorList[Vendor / Org. with Contract ID],0)))</f>
        <v>Staff Capitalization - INFRA</v>
      </c>
      <c r="T754" s="243" t="str">
        <f ca="1">IF(CostTrack[[#This Row],[Vendor - Contract]]="","",INDEX(VendorList[Phase / Subproject],MATCH(CostTrack[[#This Row],[Vendor - Contract]],VendorList[Vendor / Org. with Contract ID],0)))</f>
        <v>--</v>
      </c>
      <c r="U754" s="243" t="str">
        <f ca="1">IF(CostTrack[[#This Row],[Vendor - Contract]]="","",INDEX(VendorList[Phase / Subproject 2],MATCH(CostTrack[[#This Row],[Vendor - Contract]],VendorList[Vendor / Org. with Contract ID],0)))</f>
        <v>--</v>
      </c>
      <c r="V754" s="243" t="str">
        <f ca="1">IF(CostTrack[[#This Row],[Vendor - Contract]]="","",INDEX(VendorList[Funding Source],MATCH(CostTrack[[#This Row],[Vendor - Contract]],VendorList[Vendor / Org. with Contract ID],0)))</f>
        <v>P-002360</v>
      </c>
      <c r="W754" s="267">
        <v>45535</v>
      </c>
      <c r="X754" s="251" t="str">
        <f ca="1">IF(CostTrack[[#This Row],[Release Date (CMS)]]="","*","")</f>
        <v/>
      </c>
      <c r="Y754" s="267" t="s">
        <v>63</v>
      </c>
      <c r="Z754" s="652"/>
      <c r="AA754" s="245">
        <f ca="1">IF(OR(CostTrack[[#This Row],[Release Date (CMS)]]&gt;=DATE(VALUE(REPLACE(CostTrack[[#This Row],[Fiscal Period]],3,3,"")),3,1),CostTrack[[#This Row],[Release Date (CMS)]]&lt;DATE(VALUE(LEFT(CostTrack[[#This Row],[Fiscal Period]],4)),4,1)),1,0)</f>
        <v>0</v>
      </c>
      <c r="AB754" s="655">
        <v>43559.76</v>
      </c>
      <c r="AC754" s="267">
        <v>45547</v>
      </c>
      <c r="AD754" s="402" t="str">
        <f ca="1">IF(CostTrack[[#This Row],[Reconciled Amount]]="","",IF(CostTrack[[#This Row],[Value]]&lt;&gt;CostTrack[[#This Row],[Reconciled Amount]],"Yes","No"))</f>
        <v>No</v>
      </c>
      <c r="AE754" s="654"/>
    </row>
    <row r="755" spans="2:31" ht="29.1" customHeight="1">
      <c r="B755" s="706" t="s">
        <v>527</v>
      </c>
      <c r="C755" s="691">
        <v>240414</v>
      </c>
      <c r="D755" s="267">
        <v>45535</v>
      </c>
      <c r="E755" s="654">
        <v>8407</v>
      </c>
      <c r="F755" s="647" t="s">
        <v>69</v>
      </c>
      <c r="G755" s="406">
        <f ca="1">ROUND(IF(CostTrack[[#This Row],[Holdback (Y/N/R)]]="Yes",CostTrack[[#This Row],[Value]]*-0.1,IF(CostTrack[[#This Row],[Holdback (Y/N/R)]]="Release",CostTrack[[#This Row],[Value]],0)),2)</f>
        <v>0</v>
      </c>
      <c r="H755" s="407">
        <f ca="1">IF(CostTrack[[#This Row],[Holdback (Y/N/R)]]="Release",CostTrack[[#This Row],[Value]],CostTrack[[#This Row],[Value]]+CostTrack[[#This Row],[Holdback Value]])</f>
        <v>8407</v>
      </c>
      <c r="I755" s="650"/>
      <c r="J755" s="650"/>
      <c r="K755" s="648"/>
      <c r="L755" s="707">
        <v>45541</v>
      </c>
      <c r="M755" s="708">
        <v>45541</v>
      </c>
      <c r="N755" s="709"/>
      <c r="O755" s="712" t="s">
        <v>106</v>
      </c>
      <c r="P755" s="267">
        <v>45541</v>
      </c>
      <c r="Q755" s="243" t="str">
        <f ca="1">IF(CostTrack[[#This Row],[Vendor - Contract]]="","",INDEX(VendorList[PA ID],MATCH(CostTrack[[#This Row],[Vendor - Contract]],VendorList[Vendor / Org. with Contract ID],0)))</f>
        <v>200.010.F1</v>
      </c>
      <c r="R755" s="243" t="str">
        <f ca="1">IF(CostTrack[[#This Row],[Vendor - Contract]]="","",INDEX(VendorList[Primary Category],MATCH(CostTrack[[#This Row],[Vendor - Contract]],VendorList[Vendor / Org. with Contract ID],0)))</f>
        <v>Professional Services</v>
      </c>
      <c r="S755" s="243" t="str">
        <f ca="1">IF(CostTrack[[#This Row],[Vendor - Contract]]="","",INDEX(VendorList[Secondary Category],MATCH(CostTrack[[#This Row],[Vendor - Contract]],VendorList[Vendor / Org. with Contract ID],0)))</f>
        <v>Prime Consultant</v>
      </c>
      <c r="T755" s="243" t="str">
        <f ca="1">IF(CostTrack[[#This Row],[Vendor - Contract]]="","",INDEX(VendorList[Phase / Subproject],MATCH(CostTrack[[#This Row],[Vendor - Contract]],VendorList[Vendor / Org. with Contract ID],0)))</f>
        <v>--</v>
      </c>
      <c r="U755" s="243" t="str">
        <f ca="1">IF(CostTrack[[#This Row],[Vendor - Contract]]="","",INDEX(VendorList[Phase / Subproject 2],MATCH(CostTrack[[#This Row],[Vendor - Contract]],VendorList[Vendor / Org. with Contract ID],0)))</f>
        <v>--</v>
      </c>
      <c r="V755" s="243" t="str">
        <f ca="1">IF(CostTrack[[#This Row],[Vendor - Contract]]="","",INDEX(VendorList[Funding Source],MATCH(CostTrack[[#This Row],[Vendor - Contract]],VendorList[Vendor / Org. with Contract ID],0)))</f>
        <v>P-002360</v>
      </c>
      <c r="W755" s="267">
        <v>45545</v>
      </c>
      <c r="X755" s="251" t="str">
        <f ca="1">IF(CostTrack[[#This Row],[Release Date (CMS)]]="","*","")</f>
        <v/>
      </c>
      <c r="Y755" s="267" t="s">
        <v>63</v>
      </c>
      <c r="Z755" s="652" t="s">
        <v>1441</v>
      </c>
      <c r="AA755" s="245">
        <f ca="1">IF(OR(CostTrack[[#This Row],[Release Date (CMS)]]&gt;=DATE(VALUE(REPLACE(CostTrack[[#This Row],[Fiscal Period]],3,3,"")),3,1),CostTrack[[#This Row],[Release Date (CMS)]]&lt;DATE(VALUE(LEFT(CostTrack[[#This Row],[Fiscal Period]],4)),4,1)),1,0)</f>
        <v>0</v>
      </c>
      <c r="AB755" s="655">
        <v>8407</v>
      </c>
      <c r="AC755" s="267">
        <v>45575</v>
      </c>
      <c r="AD755" s="402" t="str">
        <f ca="1">IF(CostTrack[[#This Row],[Reconciled Amount]]="","",IF(CostTrack[[#This Row],[Value]]&lt;&gt;CostTrack[[#This Row],[Reconciled Amount]],"Yes","No"))</f>
        <v>No</v>
      </c>
      <c r="AE755" s="654"/>
    </row>
    <row r="756" spans="2:31" ht="29.1" customHeight="1">
      <c r="B756" s="706" t="s">
        <v>736</v>
      </c>
      <c r="C756" s="691" t="s">
        <v>1442</v>
      </c>
      <c r="D756" s="267">
        <v>45565</v>
      </c>
      <c r="E756" s="654">
        <v>40692.300000000003</v>
      </c>
      <c r="F756" s="647" t="s">
        <v>69</v>
      </c>
      <c r="G756" s="406">
        <f ca="1">ROUND(IF(CostTrack[[#This Row],[Holdback (Y/N/R)]]="Yes",CostTrack[[#This Row],[Value]]*-0.1,IF(CostTrack[[#This Row],[Holdback (Y/N/R)]]="Release",CostTrack[[#This Row],[Value]],0)),2)</f>
        <v>0</v>
      </c>
      <c r="H756" s="407">
        <f ca="1">IF(CostTrack[[#This Row],[Holdback (Y/N/R)]]="Release",CostTrack[[#This Row],[Value]],CostTrack[[#This Row],[Value]]+CostTrack[[#This Row],[Holdback Value]])</f>
        <v>40692.300000000003</v>
      </c>
      <c r="I756" s="650"/>
      <c r="J756" s="650"/>
      <c r="K756" s="648"/>
      <c r="L756" s="707">
        <v>45565</v>
      </c>
      <c r="M756" s="708">
        <v>45565</v>
      </c>
      <c r="N756" s="709"/>
      <c r="O756" s="712" t="s">
        <v>106</v>
      </c>
      <c r="P756" s="267">
        <v>45565</v>
      </c>
      <c r="Q756" s="243" t="str">
        <f ca="1">IF(CostTrack[[#This Row],[Vendor - Contract]]="","",INDEX(VendorList[PA ID],MATCH(CostTrack[[#This Row],[Vendor - Contract]],VendorList[Vendor / Org. with Contract ID],0)))</f>
        <v>100.010.F1</v>
      </c>
      <c r="R756" s="243" t="str">
        <f ca="1">IF(CostTrack[[#This Row],[Vendor - Contract]]="","",INDEX(VendorList[Primary Category],MATCH(CostTrack[[#This Row],[Vendor - Contract]],VendorList[Vendor / Org. with Contract ID],0)))</f>
        <v>Administration</v>
      </c>
      <c r="S756" s="243" t="str">
        <f ca="1">IF(CostTrack[[#This Row],[Vendor - Contract]]="","",INDEX(VendorList[Secondary Category],MATCH(CostTrack[[#This Row],[Vendor - Contract]],VendorList[Vendor / Org. with Contract ID],0)))</f>
        <v>Staff Capitalization - INFRA</v>
      </c>
      <c r="T756" s="243" t="str">
        <f ca="1">IF(CostTrack[[#This Row],[Vendor - Contract]]="","",INDEX(VendorList[Phase / Subproject],MATCH(CostTrack[[#This Row],[Vendor - Contract]],VendorList[Vendor / Org. with Contract ID],0)))</f>
        <v>--</v>
      </c>
      <c r="U756" s="243" t="str">
        <f ca="1">IF(CostTrack[[#This Row],[Vendor - Contract]]="","",INDEX(VendorList[Phase / Subproject 2],MATCH(CostTrack[[#This Row],[Vendor - Contract]],VendorList[Vendor / Org. with Contract ID],0)))</f>
        <v>--</v>
      </c>
      <c r="V756" s="243" t="str">
        <f ca="1">IF(CostTrack[[#This Row],[Vendor - Contract]]="","",INDEX(VendorList[Funding Source],MATCH(CostTrack[[#This Row],[Vendor - Contract]],VendorList[Vendor / Org. with Contract ID],0)))</f>
        <v>P-002360</v>
      </c>
      <c r="W756" s="267">
        <v>45565</v>
      </c>
      <c r="X756" s="251" t="str">
        <f ca="1">IF(CostTrack[[#This Row],[Release Date (CMS)]]="","*","")</f>
        <v/>
      </c>
      <c r="Y756" s="267" t="s">
        <v>63</v>
      </c>
      <c r="Z756" s="652"/>
      <c r="AA756" s="245">
        <f ca="1">IF(OR(CostTrack[[#This Row],[Release Date (CMS)]]&gt;=DATE(VALUE(REPLACE(CostTrack[[#This Row],[Fiscal Period]],3,3,"")),3,1),CostTrack[[#This Row],[Release Date (CMS)]]&lt;DATE(VALUE(LEFT(CostTrack[[#This Row],[Fiscal Period]],4)),4,1)),1,0)</f>
        <v>0</v>
      </c>
      <c r="AB756" s="655">
        <v>40692.300000000003</v>
      </c>
      <c r="AC756" s="267">
        <v>45575</v>
      </c>
      <c r="AD756" s="402" t="str">
        <f ca="1">IF(CostTrack[[#This Row],[Reconciled Amount]]="","",IF(CostTrack[[#This Row],[Value]]&lt;&gt;CostTrack[[#This Row],[Reconciled Amount]],"Yes","No"))</f>
        <v>No</v>
      </c>
      <c r="AE756" s="654"/>
    </row>
    <row r="757" spans="2:31" ht="47.65" customHeight="1">
      <c r="B757" s="706" t="s">
        <v>731</v>
      </c>
      <c r="C757" s="691">
        <v>800062919</v>
      </c>
      <c r="D757" s="267">
        <v>45545</v>
      </c>
      <c r="E757" s="654">
        <v>93.43</v>
      </c>
      <c r="F757" s="647" t="s">
        <v>69</v>
      </c>
      <c r="G757" s="406">
        <f ca="1">ROUND(IF(CostTrack[[#This Row],[Holdback (Y/N/R)]]="Yes",CostTrack[[#This Row],[Value]]*-0.1,IF(CostTrack[[#This Row],[Holdback (Y/N/R)]]="Release",CostTrack[[#This Row],[Value]],0)),2)</f>
        <v>0</v>
      </c>
      <c r="H757" s="407">
        <f ca="1">IF(CostTrack[[#This Row],[Holdback (Y/N/R)]]="Release",CostTrack[[#This Row],[Value]],CostTrack[[#This Row],[Value]]+CostTrack[[#This Row],[Holdback Value]])</f>
        <v>93.43</v>
      </c>
      <c r="I757" s="650"/>
      <c r="J757" s="650"/>
      <c r="K757" s="648"/>
      <c r="L757" s="707">
        <v>45545</v>
      </c>
      <c r="M757" s="708">
        <v>45545</v>
      </c>
      <c r="N757" s="709"/>
      <c r="O757" s="712" t="s">
        <v>106</v>
      </c>
      <c r="P757" s="267">
        <v>45545</v>
      </c>
      <c r="Q757" s="243" t="str">
        <f ca="1">IF(CostTrack[[#This Row],[Vendor - Contract]]="","",INDEX(VendorList[PA ID],MATCH(CostTrack[[#This Row],[Vendor - Contract]],VendorList[Vendor / Org. with Contract ID],0)))</f>
        <v>100.050.F1</v>
      </c>
      <c r="R757" s="243" t="str">
        <f ca="1">IF(CostTrack[[#This Row],[Vendor - Contract]]="","",INDEX(VendorList[Primary Category],MATCH(CostTrack[[#This Row],[Vendor - Contract]],VendorList[Vendor / Org. with Contract ID],0)))</f>
        <v>Administration</v>
      </c>
      <c r="S757" s="243" t="str">
        <f ca="1">IF(CostTrack[[#This Row],[Vendor - Contract]]="","",INDEX(VendorList[Secondary Category],MATCH(CostTrack[[#This Row],[Vendor - Contract]],VendorList[Vendor / Org. with Contract ID],0)))</f>
        <v>Other Administration</v>
      </c>
      <c r="T757" s="243" t="str">
        <f ca="1">IF(CostTrack[[#This Row],[Vendor - Contract]]="","",INDEX(VendorList[Phase / Subproject],MATCH(CostTrack[[#This Row],[Vendor - Contract]],VendorList[Vendor / Org. with Contract ID],0)))</f>
        <v>--</v>
      </c>
      <c r="U757" s="243" t="str">
        <f ca="1">IF(CostTrack[[#This Row],[Vendor - Contract]]="","",INDEX(VendorList[Phase / Subproject 2],MATCH(CostTrack[[#This Row],[Vendor - Contract]],VendorList[Vendor / Org. with Contract ID],0)))</f>
        <v>--</v>
      </c>
      <c r="V757" s="243" t="str">
        <f ca="1">IF(CostTrack[[#This Row],[Vendor - Contract]]="","",INDEX(VendorList[Funding Source],MATCH(CostTrack[[#This Row],[Vendor - Contract]],VendorList[Vendor / Org. with Contract ID],0)))</f>
        <v>P-002360</v>
      </c>
      <c r="W757" s="267">
        <v>45545</v>
      </c>
      <c r="X757" s="251" t="str">
        <f ca="1">IF(CostTrack[[#This Row],[Release Date (CMS)]]="","*","")</f>
        <v/>
      </c>
      <c r="Y757" s="267" t="s">
        <v>63</v>
      </c>
      <c r="Z757" s="652" t="s">
        <v>1443</v>
      </c>
      <c r="AA757" s="245">
        <f ca="1">IF(OR(CostTrack[[#This Row],[Release Date (CMS)]]&gt;=DATE(VALUE(REPLACE(CostTrack[[#This Row],[Fiscal Period]],3,3,"")),3,1),CostTrack[[#This Row],[Release Date (CMS)]]&lt;DATE(VALUE(LEFT(CostTrack[[#This Row],[Fiscal Period]],4)),4,1)),1,0)</f>
        <v>0</v>
      </c>
      <c r="AB757" s="655">
        <v>93.43</v>
      </c>
      <c r="AC757" s="267">
        <v>45575</v>
      </c>
      <c r="AD757" s="402" t="str">
        <f ca="1">IF(CostTrack[[#This Row],[Reconciled Amount]]="","",IF(CostTrack[[#This Row],[Value]]&lt;&gt;CostTrack[[#This Row],[Reconciled Amount]],"Yes","No"))</f>
        <v>No</v>
      </c>
      <c r="AE757" s="654"/>
    </row>
    <row r="758" spans="2:31" ht="57.6" customHeight="1">
      <c r="B758" s="706" t="s">
        <v>529</v>
      </c>
      <c r="C758" s="691" t="s">
        <v>1444</v>
      </c>
      <c r="D758" s="267">
        <v>45568</v>
      </c>
      <c r="E758" s="654">
        <v>688235.02</v>
      </c>
      <c r="F758" s="1078" t="s">
        <v>69</v>
      </c>
      <c r="G758" s="406">
        <f ca="1">ROUND(IF(CostTrack[[#This Row],[Holdback (Y/N/R)]]="Yes",CostTrack[[#This Row],[Value]]*-0.1,IF(CostTrack[[#This Row],[Holdback (Y/N/R)]]="Release",CostTrack[[#This Row],[Value]],0)),2)</f>
        <v>0</v>
      </c>
      <c r="H758" s="407">
        <f ca="1">IF(CostTrack[[#This Row],[Holdback (Y/N/R)]]="Release",CostTrack[[#This Row],[Value]],CostTrack[[#This Row],[Value]]+CostTrack[[#This Row],[Holdback Value]])</f>
        <v>688235.02</v>
      </c>
      <c r="I758" s="650" t="s">
        <v>1425</v>
      </c>
      <c r="J758" s="650"/>
      <c r="K758" s="648"/>
      <c r="L758" s="707">
        <v>45568</v>
      </c>
      <c r="M758" s="708">
        <v>45568</v>
      </c>
      <c r="N758" s="709"/>
      <c r="O758" s="712" t="s">
        <v>106</v>
      </c>
      <c r="P758" s="267">
        <v>45569</v>
      </c>
      <c r="Q758" s="243" t="str">
        <f ca="1">IF(CostTrack[[#This Row],[Vendor - Contract]]="","",INDEX(VendorList[PA ID],MATCH(CostTrack[[#This Row],[Vendor - Contract]],VendorList[Vendor / Org. with Contract ID],0)))</f>
        <v>300.030.F1</v>
      </c>
      <c r="R758" s="243" t="str">
        <f ca="1">IF(CostTrack[[#This Row],[Vendor - Contract]]="","",INDEX(VendorList[Primary Category],MATCH(CostTrack[[#This Row],[Vendor - Contract]],VendorList[Vendor / Org. with Contract ID],0)))</f>
        <v>Construction</v>
      </c>
      <c r="S758" s="243" t="str">
        <f ca="1">IF(CostTrack[[#This Row],[Vendor - Contract]]="","",INDEX(VendorList[Secondary Category],MATCH(CostTrack[[#This Row],[Vendor - Contract]],VendorList[Vendor / Org. with Contract ID],0)))</f>
        <v>Prime Contractor</v>
      </c>
      <c r="T758" s="243" t="str">
        <f ca="1">IF(CostTrack[[#This Row],[Vendor - Contract]]="","",INDEX(VendorList[Phase / Subproject],MATCH(CostTrack[[#This Row],[Vendor - Contract]],VendorList[Vendor / Org. with Contract ID],0)))</f>
        <v>--</v>
      </c>
      <c r="U758" s="243" t="str">
        <f ca="1">IF(CostTrack[[#This Row],[Vendor - Contract]]="","",INDEX(VendorList[Phase / Subproject 2],MATCH(CostTrack[[#This Row],[Vendor - Contract]],VendorList[Vendor / Org. with Contract ID],0)))</f>
        <v>--</v>
      </c>
      <c r="V758" s="243" t="str">
        <f ca="1">IF(CostTrack[[#This Row],[Vendor - Contract]]="","",INDEX(VendorList[Funding Source],MATCH(CostTrack[[#This Row],[Vendor - Contract]],VendorList[Vendor / Org. with Contract ID],0)))</f>
        <v>P-002360</v>
      </c>
      <c r="W758" s="267">
        <v>45569</v>
      </c>
      <c r="X758" s="251" t="str">
        <f ca="1">IF(CostTrack[[#This Row],[Release Date (CMS)]]="","*","")</f>
        <v/>
      </c>
      <c r="Y758" s="267" t="s">
        <v>63</v>
      </c>
      <c r="Z758" s="1112" t="s">
        <v>1445</v>
      </c>
      <c r="AA758" s="245">
        <f ca="1">IF(OR(CostTrack[[#This Row],[Release Date (CMS)]]&gt;=DATE(VALUE(REPLACE(CostTrack[[#This Row],[Fiscal Period]],3,3,"")),3,1),CostTrack[[#This Row],[Release Date (CMS)]]&lt;DATE(VALUE(LEFT(CostTrack[[#This Row],[Fiscal Period]],4)),4,1)),1,0)</f>
        <v>0</v>
      </c>
      <c r="AB758" s="655">
        <v>688235.02</v>
      </c>
      <c r="AC758" s="267">
        <v>45603</v>
      </c>
      <c r="AD758" s="402" t="str">
        <f ca="1">IF(CostTrack[[#This Row],[Reconciled Amount]]="","",IF(CostTrack[[#This Row],[Value]]&lt;&gt;CostTrack[[#This Row],[Reconciled Amount]],"Yes","No"))</f>
        <v>No</v>
      </c>
      <c r="AE758" s="654"/>
    </row>
    <row r="759" spans="2:31" ht="64.349999999999994" customHeight="1">
      <c r="B759" s="706" t="s">
        <v>529</v>
      </c>
      <c r="C759" s="691" t="s">
        <v>1446</v>
      </c>
      <c r="D759" s="267">
        <v>45568</v>
      </c>
      <c r="E759" s="654">
        <v>815820.36</v>
      </c>
      <c r="F759" s="1078" t="s">
        <v>69</v>
      </c>
      <c r="G759" s="406">
        <f ca="1">ROUND(IF(CostTrack[[#This Row],[Holdback (Y/N/R)]]="Yes",CostTrack[[#This Row],[Value]]*-0.1,IF(CostTrack[[#This Row],[Holdback (Y/N/R)]]="Release",CostTrack[[#This Row],[Value]],0)),2)</f>
        <v>0</v>
      </c>
      <c r="H759" s="407">
        <f ca="1">IF(CostTrack[[#This Row],[Holdback (Y/N/R)]]="Release",CostTrack[[#This Row],[Value]],CostTrack[[#This Row],[Value]]+CostTrack[[#This Row],[Holdback Value]])</f>
        <v>815820.36</v>
      </c>
      <c r="I759" s="650" t="s">
        <v>1447</v>
      </c>
      <c r="J759" s="650"/>
      <c r="K759" s="648"/>
      <c r="L759" s="707">
        <v>45568</v>
      </c>
      <c r="M759" s="708">
        <v>45568</v>
      </c>
      <c r="N759" s="709"/>
      <c r="O759" s="712" t="s">
        <v>106</v>
      </c>
      <c r="P759" s="267">
        <v>45569</v>
      </c>
      <c r="Q759" s="243" t="str">
        <f ca="1">IF(CostTrack[[#This Row],[Vendor - Contract]]="","",INDEX(VendorList[PA ID],MATCH(CostTrack[[#This Row],[Vendor - Contract]],VendorList[Vendor / Org. with Contract ID],0)))</f>
        <v>300.030.F1</v>
      </c>
      <c r="R759" s="243" t="str">
        <f ca="1">IF(CostTrack[[#This Row],[Vendor - Contract]]="","",INDEX(VendorList[Primary Category],MATCH(CostTrack[[#This Row],[Vendor - Contract]],VendorList[Vendor / Org. with Contract ID],0)))</f>
        <v>Construction</v>
      </c>
      <c r="S759" s="243" t="str">
        <f ca="1">IF(CostTrack[[#This Row],[Vendor - Contract]]="","",INDEX(VendorList[Secondary Category],MATCH(CostTrack[[#This Row],[Vendor - Contract]],VendorList[Vendor / Org. with Contract ID],0)))</f>
        <v>Prime Contractor</v>
      </c>
      <c r="T759" s="243" t="str">
        <f ca="1">IF(CostTrack[[#This Row],[Vendor - Contract]]="","",INDEX(VendorList[Phase / Subproject],MATCH(CostTrack[[#This Row],[Vendor - Contract]],VendorList[Vendor / Org. with Contract ID],0)))</f>
        <v>--</v>
      </c>
      <c r="U759" s="243" t="str">
        <f ca="1">IF(CostTrack[[#This Row],[Vendor - Contract]]="","",INDEX(VendorList[Phase / Subproject 2],MATCH(CostTrack[[#This Row],[Vendor - Contract]],VendorList[Vendor / Org. with Contract ID],0)))</f>
        <v>--</v>
      </c>
      <c r="V759" s="243" t="str">
        <f ca="1">IF(CostTrack[[#This Row],[Vendor - Contract]]="","",INDEX(VendorList[Funding Source],MATCH(CostTrack[[#This Row],[Vendor - Contract]],VendorList[Vendor / Org. with Contract ID],0)))</f>
        <v>P-002360</v>
      </c>
      <c r="W759" s="267">
        <v>45569</v>
      </c>
      <c r="X759" s="251" t="str">
        <f ca="1">IF(CostTrack[[#This Row],[Release Date (CMS)]]="","*","")</f>
        <v/>
      </c>
      <c r="Y759" s="267" t="s">
        <v>63</v>
      </c>
      <c r="Z759" s="1112" t="s">
        <v>1445</v>
      </c>
      <c r="AA759" s="245">
        <f ca="1">IF(OR(CostTrack[[#This Row],[Release Date (CMS)]]&gt;=DATE(VALUE(REPLACE(CostTrack[[#This Row],[Fiscal Period]],3,3,"")),3,1),CostTrack[[#This Row],[Release Date (CMS)]]&lt;DATE(VALUE(LEFT(CostTrack[[#This Row],[Fiscal Period]],4)),4,1)),1,0)</f>
        <v>0</v>
      </c>
      <c r="AB759" s="655">
        <v>815820.36</v>
      </c>
      <c r="AC759" s="267">
        <v>45603</v>
      </c>
      <c r="AD759" s="402" t="str">
        <f ca="1">IF(CostTrack[[#This Row],[Reconciled Amount]]="","",IF(CostTrack[[#This Row],[Value]]&lt;&gt;CostTrack[[#This Row],[Reconciled Amount]],"Yes","No"))</f>
        <v>No</v>
      </c>
      <c r="AE759" s="654"/>
    </row>
    <row r="760" spans="2:31" ht="47.65" customHeight="1">
      <c r="B760" s="706" t="s">
        <v>624</v>
      </c>
      <c r="C760" s="691">
        <v>1934560</v>
      </c>
      <c r="D760" s="267">
        <v>45568</v>
      </c>
      <c r="E760" s="654">
        <v>18676.25</v>
      </c>
      <c r="F760" s="647" t="s">
        <v>69</v>
      </c>
      <c r="G760" s="406">
        <f ca="1">ROUND(IF(CostTrack[[#This Row],[Holdback (Y/N/R)]]="Yes",CostTrack[[#This Row],[Value]]*-0.1,IF(CostTrack[[#This Row],[Holdback (Y/N/R)]]="Release",CostTrack[[#This Row],[Value]],0)),2)</f>
        <v>0</v>
      </c>
      <c r="H760" s="407">
        <f ca="1">IF(CostTrack[[#This Row],[Holdback (Y/N/R)]]="Release",CostTrack[[#This Row],[Value]],CostTrack[[#This Row],[Value]]+CostTrack[[#This Row],[Holdback Value]])</f>
        <v>18676.25</v>
      </c>
      <c r="I760" s="650"/>
      <c r="J760" s="650"/>
      <c r="K760" s="648"/>
      <c r="L760" s="707">
        <v>45568</v>
      </c>
      <c r="M760" s="708">
        <v>45568</v>
      </c>
      <c r="N760" s="709"/>
      <c r="O760" s="712" t="s">
        <v>106</v>
      </c>
      <c r="P760" s="267">
        <v>45569</v>
      </c>
      <c r="Q760" s="243" t="str">
        <f ca="1">IF(CostTrack[[#This Row],[Vendor - Contract]]="","",INDEX(VendorList[PA ID],MATCH(CostTrack[[#This Row],[Vendor - Contract]],VendorList[Vendor / Org. with Contract ID],0)))</f>
        <v>200.040.F1</v>
      </c>
      <c r="R760" s="243" t="str">
        <f ca="1">IF(CostTrack[[#This Row],[Vendor - Contract]]="","",INDEX(VendorList[Primary Category],MATCH(CostTrack[[#This Row],[Vendor - Contract]],VendorList[Vendor / Org. with Contract ID],0)))</f>
        <v>Professional Services</v>
      </c>
      <c r="S760" s="243" t="str">
        <f ca="1">IF(CostTrack[[#This Row],[Vendor - Contract]]="","",INDEX(VendorList[Secondary Category],MATCH(CostTrack[[#This Row],[Vendor - Contract]],VendorList[Vendor / Org. with Contract ID],0)))</f>
        <v>Commissioning</v>
      </c>
      <c r="T760" s="243" t="str">
        <f ca="1">IF(CostTrack[[#This Row],[Vendor - Contract]]="","",INDEX(VendorList[Phase / Subproject],MATCH(CostTrack[[#This Row],[Vendor - Contract]],VendorList[Vendor / Org. with Contract ID],0)))</f>
        <v>--</v>
      </c>
      <c r="U760" s="243" t="str">
        <f ca="1">IF(CostTrack[[#This Row],[Vendor - Contract]]="","",INDEX(VendorList[Phase / Subproject 2],MATCH(CostTrack[[#This Row],[Vendor - Contract]],VendorList[Vendor / Org. with Contract ID],0)))</f>
        <v>--</v>
      </c>
      <c r="V760" s="243" t="str">
        <f ca="1">IF(CostTrack[[#This Row],[Vendor - Contract]]="","",INDEX(VendorList[Funding Source],MATCH(CostTrack[[#This Row],[Vendor - Contract]],VendorList[Vendor / Org. with Contract ID],0)))</f>
        <v>P-002360</v>
      </c>
      <c r="W760" s="267">
        <v>45569</v>
      </c>
      <c r="X760" s="251" t="str">
        <f ca="1">IF(CostTrack[[#This Row],[Release Date (CMS)]]="","*","")</f>
        <v/>
      </c>
      <c r="Y760" s="267" t="s">
        <v>63</v>
      </c>
      <c r="Z760" s="652"/>
      <c r="AA760" s="245">
        <f ca="1">IF(OR(CostTrack[[#This Row],[Release Date (CMS)]]&gt;=DATE(VALUE(REPLACE(CostTrack[[#This Row],[Fiscal Period]],3,3,"")),3,1),CostTrack[[#This Row],[Release Date (CMS)]]&lt;DATE(VALUE(LEFT(CostTrack[[#This Row],[Fiscal Period]],4)),4,1)),1,0)</f>
        <v>0</v>
      </c>
      <c r="AB760" s="655">
        <v>18676.25</v>
      </c>
      <c r="AC760" s="267">
        <v>45603</v>
      </c>
      <c r="AD760" s="402" t="str">
        <f ca="1">IF(CostTrack[[#This Row],[Reconciled Amount]]="","",IF(CostTrack[[#This Row],[Value]]&lt;&gt;CostTrack[[#This Row],[Reconciled Amount]],"Yes","No"))</f>
        <v>No</v>
      </c>
      <c r="AE760" s="654"/>
    </row>
    <row r="761" spans="2:31" ht="47.65" customHeight="1">
      <c r="B761" s="706" t="s">
        <v>527</v>
      </c>
      <c r="C761" s="691" t="s">
        <v>1448</v>
      </c>
      <c r="D761" s="267">
        <v>45565</v>
      </c>
      <c r="E761" s="654">
        <v>20300</v>
      </c>
      <c r="F761" s="647" t="s">
        <v>69</v>
      </c>
      <c r="G761" s="406">
        <f ca="1">ROUND(IF(CostTrack[[#This Row],[Holdback (Y/N/R)]]="Yes",CostTrack[[#This Row],[Value]]*-0.1,IF(CostTrack[[#This Row],[Holdback (Y/N/R)]]="Release",CostTrack[[#This Row],[Value]],0)),2)</f>
        <v>0</v>
      </c>
      <c r="H761" s="407">
        <f ca="1">IF(CostTrack[[#This Row],[Holdback (Y/N/R)]]="Release",CostTrack[[#This Row],[Value]],CostTrack[[#This Row],[Value]]+CostTrack[[#This Row],[Holdback Value]])</f>
        <v>20300</v>
      </c>
      <c r="I761" s="650"/>
      <c r="J761" s="650"/>
      <c r="K761" s="648"/>
      <c r="L761" s="707">
        <v>45569</v>
      </c>
      <c r="M761" s="708">
        <v>45569</v>
      </c>
      <c r="N761" s="709"/>
      <c r="O761" s="712" t="s">
        <v>106</v>
      </c>
      <c r="P761" s="267">
        <v>45569</v>
      </c>
      <c r="Q761" s="243" t="str">
        <f ca="1">IF(CostTrack[[#This Row],[Vendor - Contract]]="","",INDEX(VendorList[PA ID],MATCH(CostTrack[[#This Row],[Vendor - Contract]],VendorList[Vendor / Org. with Contract ID],0)))</f>
        <v>200.010.F1</v>
      </c>
      <c r="R761" s="243" t="str">
        <f ca="1">IF(CostTrack[[#This Row],[Vendor - Contract]]="","",INDEX(VendorList[Primary Category],MATCH(CostTrack[[#This Row],[Vendor - Contract]],VendorList[Vendor / Org. with Contract ID],0)))</f>
        <v>Professional Services</v>
      </c>
      <c r="S761" s="243" t="str">
        <f ca="1">IF(CostTrack[[#This Row],[Vendor - Contract]]="","",INDEX(VendorList[Secondary Category],MATCH(CostTrack[[#This Row],[Vendor - Contract]],VendorList[Vendor / Org. with Contract ID],0)))</f>
        <v>Prime Consultant</v>
      </c>
      <c r="T761" s="243" t="str">
        <f ca="1">IF(CostTrack[[#This Row],[Vendor - Contract]]="","",INDEX(VendorList[Phase / Subproject],MATCH(CostTrack[[#This Row],[Vendor - Contract]],VendorList[Vendor / Org. with Contract ID],0)))</f>
        <v>--</v>
      </c>
      <c r="U761" s="243" t="str">
        <f ca="1">IF(CostTrack[[#This Row],[Vendor - Contract]]="","",INDEX(VendorList[Phase / Subproject 2],MATCH(CostTrack[[#This Row],[Vendor - Contract]],VendorList[Vendor / Org. with Contract ID],0)))</f>
        <v>--</v>
      </c>
      <c r="V761" s="243" t="str">
        <f ca="1">IF(CostTrack[[#This Row],[Vendor - Contract]]="","",INDEX(VendorList[Funding Source],MATCH(CostTrack[[#This Row],[Vendor - Contract]],VendorList[Vendor / Org. with Contract ID],0)))</f>
        <v>P-002360</v>
      </c>
      <c r="W761" s="267">
        <v>45569</v>
      </c>
      <c r="X761" s="251" t="str">
        <f ca="1">IF(CostTrack[[#This Row],[Release Date (CMS)]]="","*","")</f>
        <v/>
      </c>
      <c r="Y761" s="267" t="s">
        <v>63</v>
      </c>
      <c r="Z761" s="652"/>
      <c r="AA761" s="245">
        <f ca="1">IF(OR(CostTrack[[#This Row],[Release Date (CMS)]]&gt;=DATE(VALUE(REPLACE(CostTrack[[#This Row],[Fiscal Period]],3,3,"")),3,1),CostTrack[[#This Row],[Release Date (CMS)]]&lt;DATE(VALUE(LEFT(CostTrack[[#This Row],[Fiscal Period]],4)),4,1)),1,0)</f>
        <v>0</v>
      </c>
      <c r="AB761" s="655">
        <v>20300</v>
      </c>
      <c r="AC761" s="267">
        <v>45603</v>
      </c>
      <c r="AD761" s="402" t="str">
        <f ca="1">IF(CostTrack[[#This Row],[Reconciled Amount]]="","",IF(CostTrack[[#This Row],[Value]]&lt;&gt;CostTrack[[#This Row],[Reconciled Amount]],"Yes","No"))</f>
        <v>No</v>
      </c>
      <c r="AE761" s="654"/>
    </row>
    <row r="762" spans="2:31" ht="47.65" customHeight="1">
      <c r="B762" s="706" t="s">
        <v>529</v>
      </c>
      <c r="C762" s="691">
        <v>30597</v>
      </c>
      <c r="D762" s="267">
        <v>45535</v>
      </c>
      <c r="E762" s="654">
        <v>3943512.99</v>
      </c>
      <c r="F762" s="647" t="s">
        <v>65</v>
      </c>
      <c r="G762" s="406">
        <f ca="1">ROUND(IF(CostTrack[[#This Row],[Holdback (Y/N/R)]]="Yes",CostTrack[[#This Row],[Value]]*-0.1,IF(CostTrack[[#This Row],[Holdback (Y/N/R)]]="Release",CostTrack[[#This Row],[Value]],0)),2)</f>
        <v>-394351.3</v>
      </c>
      <c r="H762" s="407">
        <f ca="1">IF(CostTrack[[#This Row],[Holdback (Y/N/R)]]="Release",CostTrack[[#This Row],[Value]],CostTrack[[#This Row],[Value]]+CostTrack[[#This Row],[Holdback Value]])</f>
        <v>3549161.6900000004</v>
      </c>
      <c r="I762" s="650" t="s">
        <v>1449</v>
      </c>
      <c r="J762" s="650"/>
      <c r="K762" s="648"/>
      <c r="L762" s="707">
        <v>45576</v>
      </c>
      <c r="M762" s="708">
        <v>45582</v>
      </c>
      <c r="N762" s="709" t="s">
        <v>177</v>
      </c>
      <c r="O762" s="712" t="s">
        <v>106</v>
      </c>
      <c r="P762" s="267">
        <v>45582</v>
      </c>
      <c r="Q762" s="243" t="str">
        <f ca="1">IF(CostTrack[[#This Row],[Vendor - Contract]]="","",INDEX(VendorList[PA ID],MATCH(CostTrack[[#This Row],[Vendor - Contract]],VendorList[Vendor / Org. with Contract ID],0)))</f>
        <v>300.030.F1</v>
      </c>
      <c r="R762" s="243" t="str">
        <f ca="1">IF(CostTrack[[#This Row],[Vendor - Contract]]="","",INDEX(VendorList[Primary Category],MATCH(CostTrack[[#This Row],[Vendor - Contract]],VendorList[Vendor / Org. with Contract ID],0)))</f>
        <v>Construction</v>
      </c>
      <c r="S762" s="243" t="str">
        <f ca="1">IF(CostTrack[[#This Row],[Vendor - Contract]]="","",INDEX(VendorList[Secondary Category],MATCH(CostTrack[[#This Row],[Vendor - Contract]],VendorList[Vendor / Org. with Contract ID],0)))</f>
        <v>Prime Contractor</v>
      </c>
      <c r="T762" s="243" t="str">
        <f ca="1">IF(CostTrack[[#This Row],[Vendor - Contract]]="","",INDEX(VendorList[Phase / Subproject],MATCH(CostTrack[[#This Row],[Vendor - Contract]],VendorList[Vendor / Org. with Contract ID],0)))</f>
        <v>--</v>
      </c>
      <c r="U762" s="243" t="str">
        <f ca="1">IF(CostTrack[[#This Row],[Vendor - Contract]]="","",INDEX(VendorList[Phase / Subproject 2],MATCH(CostTrack[[#This Row],[Vendor - Contract]],VendorList[Vendor / Org. with Contract ID],0)))</f>
        <v>--</v>
      </c>
      <c r="V762" s="243" t="str">
        <f ca="1">IF(CostTrack[[#This Row],[Vendor - Contract]]="","",INDEX(VendorList[Funding Source],MATCH(CostTrack[[#This Row],[Vendor - Contract]],VendorList[Vendor / Org. with Contract ID],0)))</f>
        <v>P-002360</v>
      </c>
      <c r="W762" s="267">
        <v>45582</v>
      </c>
      <c r="X762" s="251" t="str">
        <f ca="1">IF(CostTrack[[#This Row],[Release Date (CMS)]]="","*","")</f>
        <v/>
      </c>
      <c r="Y762" s="267" t="s">
        <v>63</v>
      </c>
      <c r="Z762" s="652" t="s">
        <v>1450</v>
      </c>
      <c r="AA762" s="245">
        <f ca="1">IF(OR(CostTrack[[#This Row],[Release Date (CMS)]]&gt;=DATE(VALUE(REPLACE(CostTrack[[#This Row],[Fiscal Period]],3,3,"")),3,1),CostTrack[[#This Row],[Release Date (CMS)]]&lt;DATE(VALUE(LEFT(CostTrack[[#This Row],[Fiscal Period]],4)),4,1)),1,0)</f>
        <v>0</v>
      </c>
      <c r="AB762" s="655">
        <v>3943512.99</v>
      </c>
      <c r="AC762" s="267">
        <v>45603</v>
      </c>
      <c r="AD762" s="402" t="str">
        <f ca="1">IF(CostTrack[[#This Row],[Reconciled Amount]]="","",IF(CostTrack[[#This Row],[Value]]&lt;&gt;CostTrack[[#This Row],[Reconciled Amount]],"Yes","No"))</f>
        <v>No</v>
      </c>
      <c r="AE762" s="654"/>
    </row>
    <row r="763" spans="2:31" ht="47.65" customHeight="1">
      <c r="B763" s="706" t="s">
        <v>736</v>
      </c>
      <c r="C763" s="691" t="s">
        <v>1451</v>
      </c>
      <c r="D763" s="267">
        <v>45596</v>
      </c>
      <c r="E763" s="654">
        <v>44192.46</v>
      </c>
      <c r="F763" s="647" t="s">
        <v>69</v>
      </c>
      <c r="G763" s="406">
        <f ca="1">ROUND(IF(CostTrack[[#This Row],[Holdback (Y/N/R)]]="Yes",CostTrack[[#This Row],[Value]]*-0.1,IF(CostTrack[[#This Row],[Holdback (Y/N/R)]]="Release",CostTrack[[#This Row],[Value]],0)),2)</f>
        <v>0</v>
      </c>
      <c r="H763" s="407">
        <f ca="1">IF(CostTrack[[#This Row],[Holdback (Y/N/R)]]="Release",CostTrack[[#This Row],[Value]],CostTrack[[#This Row],[Value]]+CostTrack[[#This Row],[Holdback Value]])</f>
        <v>44192.46</v>
      </c>
      <c r="I763" s="650"/>
      <c r="J763" s="650"/>
      <c r="K763" s="648"/>
      <c r="L763" s="707">
        <v>45596</v>
      </c>
      <c r="M763" s="708" t="s">
        <v>1452</v>
      </c>
      <c r="N763" s="709"/>
      <c r="O763" s="712" t="s">
        <v>106</v>
      </c>
      <c r="P763" s="267">
        <v>45596</v>
      </c>
      <c r="Q763" s="243" t="str">
        <f ca="1">IF(CostTrack[[#This Row],[Vendor - Contract]]="","",INDEX(VendorList[PA ID],MATCH(CostTrack[[#This Row],[Vendor - Contract]],VendorList[Vendor / Org. with Contract ID],0)))</f>
        <v>100.010.F1</v>
      </c>
      <c r="R763" s="243" t="str">
        <f ca="1">IF(CostTrack[[#This Row],[Vendor - Contract]]="","",INDEX(VendorList[Primary Category],MATCH(CostTrack[[#This Row],[Vendor - Contract]],VendorList[Vendor / Org. with Contract ID],0)))</f>
        <v>Administration</v>
      </c>
      <c r="S763" s="243" t="str">
        <f ca="1">IF(CostTrack[[#This Row],[Vendor - Contract]]="","",INDEX(VendorList[Secondary Category],MATCH(CostTrack[[#This Row],[Vendor - Contract]],VendorList[Vendor / Org. with Contract ID],0)))</f>
        <v>Staff Capitalization - INFRA</v>
      </c>
      <c r="T763" s="243" t="str">
        <f ca="1">IF(CostTrack[[#This Row],[Vendor - Contract]]="","",INDEX(VendorList[Phase / Subproject],MATCH(CostTrack[[#This Row],[Vendor - Contract]],VendorList[Vendor / Org. with Contract ID],0)))</f>
        <v>--</v>
      </c>
      <c r="U763" s="243" t="str">
        <f ca="1">IF(CostTrack[[#This Row],[Vendor - Contract]]="","",INDEX(VendorList[Phase / Subproject 2],MATCH(CostTrack[[#This Row],[Vendor - Contract]],VendorList[Vendor / Org. with Contract ID],0)))</f>
        <v>--</v>
      </c>
      <c r="V763" s="243" t="str">
        <f ca="1">IF(CostTrack[[#This Row],[Vendor - Contract]]="","",INDEX(VendorList[Funding Source],MATCH(CostTrack[[#This Row],[Vendor - Contract]],VendorList[Vendor / Org. with Contract ID],0)))</f>
        <v>P-002360</v>
      </c>
      <c r="W763" s="267">
        <v>45596</v>
      </c>
      <c r="X763" s="251" t="str">
        <f ca="1">IF(CostTrack[[#This Row],[Release Date (CMS)]]="","*","")</f>
        <v/>
      </c>
      <c r="Y763" s="267" t="s">
        <v>63</v>
      </c>
      <c r="Z763" s="652"/>
      <c r="AA763" s="245">
        <f ca="1">IF(OR(CostTrack[[#This Row],[Release Date (CMS)]]&gt;=DATE(VALUE(REPLACE(CostTrack[[#This Row],[Fiscal Period]],3,3,"")),3,1),CostTrack[[#This Row],[Release Date (CMS)]]&lt;DATE(VALUE(LEFT(CostTrack[[#This Row],[Fiscal Period]],4)),4,1)),1,0)</f>
        <v>0</v>
      </c>
      <c r="AB763" s="655">
        <v>44192.46</v>
      </c>
      <c r="AC763" s="267">
        <v>45603</v>
      </c>
      <c r="AD763" s="402" t="str">
        <f ca="1">IF(CostTrack[[#This Row],[Reconciled Amount]]="","",IF(CostTrack[[#This Row],[Value]]&lt;&gt;CostTrack[[#This Row],[Reconciled Amount]],"Yes","No"))</f>
        <v>No</v>
      </c>
      <c r="AE763" s="654"/>
    </row>
    <row r="764" spans="2:31" ht="38.1" customHeight="1">
      <c r="B764" s="1324" t="s">
        <v>1453</v>
      </c>
      <c r="C764" s="691" t="s">
        <v>1454</v>
      </c>
      <c r="D764" s="1308">
        <v>45573</v>
      </c>
      <c r="E764" s="658">
        <v>18637.2</v>
      </c>
      <c r="F764" s="1309" t="s">
        <v>69</v>
      </c>
      <c r="G764" s="1310">
        <f ca="1">ROUND(IF(CostTrack[[#This Row],[Holdback (Y/N/R)]]="Yes",CostTrack[[#This Row],[Value]]*-0.1,IF(CostTrack[[#This Row],[Holdback (Y/N/R)]]="Release",CostTrack[[#This Row],[Value]],0)),2)</f>
        <v>0</v>
      </c>
      <c r="H764" s="1311">
        <f ca="1">IF(CostTrack[[#This Row],[Holdback (Y/N/R)]]="Release",CostTrack[[#This Row],[Value]],CostTrack[[#This Row],[Value]]+CostTrack[[#This Row],[Holdback Value]])</f>
        <v>18637.2</v>
      </c>
      <c r="I764" s="1312"/>
      <c r="J764" s="1312"/>
      <c r="K764" s="1313"/>
      <c r="L764" s="1325">
        <v>45573</v>
      </c>
      <c r="M764" s="1326">
        <v>45573</v>
      </c>
      <c r="N764" s="1327"/>
      <c r="O764" s="1328" t="s">
        <v>106</v>
      </c>
      <c r="P764" s="1308">
        <v>45573</v>
      </c>
      <c r="Q764" s="1314" t="str">
        <f ca="1">IF(CostTrack[[#This Row],[Vendor - Contract]]="","",INDEX(VendorList[PA ID],MATCH(CostTrack[[#This Row],[Vendor - Contract]],VendorList[Vendor / Org. with Contract ID],0)))</f>
        <v>400.010.F1</v>
      </c>
      <c r="R764" s="1314" t="str">
        <f ca="1">IF(CostTrack[[#This Row],[Vendor - Contract]]="","",INDEX(VendorList[Primary Category],MATCH(CostTrack[[#This Row],[Vendor - Contract]],VendorList[Vendor / Org. with Contract ID],0)))</f>
        <v>FE_IT</v>
      </c>
      <c r="S764" s="1314" t="str">
        <f ca="1">IF(CostTrack[[#This Row],[Vendor - Contract]]="","",INDEX(VendorList[Secondary Category],MATCH(CostTrack[[#This Row],[Vendor - Contract]],VendorList[Vendor / Org. with Contract ID],0)))</f>
        <v>Furniture &amp; Equipment</v>
      </c>
      <c r="T764" s="1314" t="str">
        <f ca="1">IF(CostTrack[[#This Row],[Vendor - Contract]]="","",INDEX(VendorList[Phase / Subproject],MATCH(CostTrack[[#This Row],[Vendor - Contract]],VendorList[Vendor / Org. with Contract ID],0)))</f>
        <v>--</v>
      </c>
      <c r="U764" s="1314" t="str">
        <f ca="1">IF(CostTrack[[#This Row],[Vendor - Contract]]="","",INDEX(VendorList[Phase / Subproject 2],MATCH(CostTrack[[#This Row],[Vendor - Contract]],VendorList[Vendor / Org. with Contract ID],0)))</f>
        <v>--</v>
      </c>
      <c r="V764" s="1314" t="str">
        <f ca="1">IF(CostTrack[[#This Row],[Vendor - Contract]]="","",INDEX(VendorList[Funding Source],MATCH(CostTrack[[#This Row],[Vendor - Contract]],VendorList[Vendor / Org. with Contract ID],0)))</f>
        <v>P-002360</v>
      </c>
      <c r="W764" s="1308">
        <v>45573</v>
      </c>
      <c r="X764" s="1315" t="str">
        <f ca="1">IF(CostTrack[[#This Row],[Release Date (CMS)]]="","*","")</f>
        <v/>
      </c>
      <c r="Y764" s="1308" t="s">
        <v>63</v>
      </c>
      <c r="Z764" s="713"/>
      <c r="AA764" s="1316">
        <f ca="1">IF(OR(CostTrack[[#This Row],[Release Date (CMS)]]&gt;=DATE(VALUE(REPLACE(CostTrack[[#This Row],[Fiscal Period]],3,3,"")),3,1),CostTrack[[#This Row],[Release Date (CMS)]]&lt;DATE(VALUE(LEFT(CostTrack[[#This Row],[Fiscal Period]],4)),4,1)),1,0)</f>
        <v>0</v>
      </c>
      <c r="AB764" s="1317">
        <v>18637.2</v>
      </c>
      <c r="AC764" s="1308">
        <v>45603</v>
      </c>
      <c r="AD764" s="402" t="str">
        <f ca="1">IF(CostTrack[[#This Row],[Reconciled Amount]]="","",IF(CostTrack[[#This Row],[Value]]&lt;&gt;CostTrack[[#This Row],[Reconciled Amount]],"Yes","No"))</f>
        <v>No</v>
      </c>
      <c r="AE764" s="658"/>
    </row>
    <row r="765" spans="2:31" ht="38.1" customHeight="1">
      <c r="B765" s="1324" t="s">
        <v>624</v>
      </c>
      <c r="C765" s="1334">
        <v>1942104</v>
      </c>
      <c r="D765" s="1308">
        <v>45596</v>
      </c>
      <c r="E765" s="658">
        <v>2400</v>
      </c>
      <c r="F765" s="1309" t="s">
        <v>69</v>
      </c>
      <c r="G765" s="1310">
        <f ca="1">ROUND(IF(CostTrack[[#This Row],[Holdback (Y/N/R)]]="Yes",CostTrack[[#This Row],[Value]]*-0.1,IF(CostTrack[[#This Row],[Holdback (Y/N/R)]]="Release",CostTrack[[#This Row],[Value]],0)),2)</f>
        <v>0</v>
      </c>
      <c r="H765" s="1311">
        <f ca="1">IF(CostTrack[[#This Row],[Holdback (Y/N/R)]]="Release",CostTrack[[#This Row],[Value]],CostTrack[[#This Row],[Value]]+CostTrack[[#This Row],[Holdback Value]])</f>
        <v>2400</v>
      </c>
      <c r="I765" s="1312"/>
      <c r="J765" s="1312"/>
      <c r="K765" s="1313"/>
      <c r="L765" s="1325">
        <v>45596</v>
      </c>
      <c r="M765" s="1326">
        <v>45596</v>
      </c>
      <c r="N765" s="1327"/>
      <c r="O765" s="1328" t="s">
        <v>106</v>
      </c>
      <c r="P765" s="1308">
        <v>45597</v>
      </c>
      <c r="Q765" s="1314" t="str">
        <f ca="1">IF(CostTrack[[#This Row],[Vendor - Contract]]="","",INDEX(VendorList[PA ID],MATCH(CostTrack[[#This Row],[Vendor - Contract]],VendorList[Vendor / Org. with Contract ID],0)))</f>
        <v>200.040.F1</v>
      </c>
      <c r="R765" s="1314" t="str">
        <f ca="1">IF(CostTrack[[#This Row],[Vendor - Contract]]="","",INDEX(VendorList[Primary Category],MATCH(CostTrack[[#This Row],[Vendor - Contract]],VendorList[Vendor / Org. with Contract ID],0)))</f>
        <v>Professional Services</v>
      </c>
      <c r="S765" s="1314" t="str">
        <f ca="1">IF(CostTrack[[#This Row],[Vendor - Contract]]="","",INDEX(VendorList[Secondary Category],MATCH(CostTrack[[#This Row],[Vendor - Contract]],VendorList[Vendor / Org. with Contract ID],0)))</f>
        <v>Commissioning</v>
      </c>
      <c r="T765" s="1314" t="str">
        <f ca="1">IF(CostTrack[[#This Row],[Vendor - Contract]]="","",INDEX(VendorList[Phase / Subproject],MATCH(CostTrack[[#This Row],[Vendor - Contract]],VendorList[Vendor / Org. with Contract ID],0)))</f>
        <v>--</v>
      </c>
      <c r="U765" s="1314" t="str">
        <f ca="1">IF(CostTrack[[#This Row],[Vendor - Contract]]="","",INDEX(VendorList[Phase / Subproject 2],MATCH(CostTrack[[#This Row],[Vendor - Contract]],VendorList[Vendor / Org. with Contract ID],0)))</f>
        <v>--</v>
      </c>
      <c r="V765" s="1314" t="str">
        <f ca="1">IF(CostTrack[[#This Row],[Vendor - Contract]]="","",INDEX(VendorList[Funding Source],MATCH(CostTrack[[#This Row],[Vendor - Contract]],VendorList[Vendor / Org. with Contract ID],0)))</f>
        <v>P-002360</v>
      </c>
      <c r="W765" s="1308">
        <v>45597</v>
      </c>
      <c r="X765" s="1315" t="str">
        <f ca="1">IF(CostTrack[[#This Row],[Release Date (CMS)]]="","*","")</f>
        <v/>
      </c>
      <c r="Y765" s="1308" t="s">
        <v>63</v>
      </c>
      <c r="Z765" s="713" t="s">
        <v>1455</v>
      </c>
      <c r="AA765" s="1316">
        <f ca="1">IF(OR(CostTrack[[#This Row],[Release Date (CMS)]]&gt;=DATE(VALUE(REPLACE(CostTrack[[#This Row],[Fiscal Period]],3,3,"")),3,1),CostTrack[[#This Row],[Release Date (CMS)]]&lt;DATE(VALUE(LEFT(CostTrack[[#This Row],[Fiscal Period]],4)),4,1)),1,0)</f>
        <v>0</v>
      </c>
      <c r="AB765" s="1317">
        <v>2400</v>
      </c>
      <c r="AC765" s="1308">
        <v>45635</v>
      </c>
      <c r="AD765" s="402" t="str">
        <f ca="1">IF(CostTrack[[#This Row],[Reconciled Amount]]="","",IF(CostTrack[[#This Row],[Value]]&lt;&gt;CostTrack[[#This Row],[Reconciled Amount]],"Yes","No"))</f>
        <v>No</v>
      </c>
      <c r="AE765" s="658"/>
    </row>
    <row r="766" spans="2:31" ht="38.1" customHeight="1">
      <c r="B766" s="1324" t="s">
        <v>529</v>
      </c>
      <c r="C766" s="1334">
        <v>30811</v>
      </c>
      <c r="D766" s="1308">
        <v>45565</v>
      </c>
      <c r="E766" s="658">
        <v>743823.62</v>
      </c>
      <c r="F766" s="1309" t="s">
        <v>65</v>
      </c>
      <c r="G766" s="1310">
        <f ca="1">ROUND(IF(CostTrack[[#This Row],[Holdback (Y/N/R)]]="Yes",CostTrack[[#This Row],[Value]]*-0.1,IF(CostTrack[[#This Row],[Holdback (Y/N/R)]]="Release",CostTrack[[#This Row],[Value]],0)),2)</f>
        <v>-74382.36</v>
      </c>
      <c r="H766" s="1311">
        <f ca="1">IF(CostTrack[[#This Row],[Holdback (Y/N/R)]]="Release",CostTrack[[#This Row],[Value]],CostTrack[[#This Row],[Value]]+CostTrack[[#This Row],[Holdback Value]])</f>
        <v>669441.26</v>
      </c>
      <c r="I766" s="1312" t="s">
        <v>1456</v>
      </c>
      <c r="J766" s="1312"/>
      <c r="K766" s="1313"/>
      <c r="L766" s="1325">
        <v>45601</v>
      </c>
      <c r="M766" s="1326">
        <v>45602</v>
      </c>
      <c r="N766" s="1327"/>
      <c r="O766" s="1328" t="s">
        <v>106</v>
      </c>
      <c r="P766" s="1308">
        <v>45603</v>
      </c>
      <c r="Q766" s="1314" t="str">
        <f ca="1">IF(CostTrack[[#This Row],[Vendor - Contract]]="","",INDEX(VendorList[PA ID],MATCH(CostTrack[[#This Row],[Vendor - Contract]],VendorList[Vendor / Org. with Contract ID],0)))</f>
        <v>300.030.F1</v>
      </c>
      <c r="R766" s="1314" t="str">
        <f ca="1">IF(CostTrack[[#This Row],[Vendor - Contract]]="","",INDEX(VendorList[Primary Category],MATCH(CostTrack[[#This Row],[Vendor - Contract]],VendorList[Vendor / Org. with Contract ID],0)))</f>
        <v>Construction</v>
      </c>
      <c r="S766" s="1314" t="str">
        <f ca="1">IF(CostTrack[[#This Row],[Vendor - Contract]]="","",INDEX(VendorList[Secondary Category],MATCH(CostTrack[[#This Row],[Vendor - Contract]],VendorList[Vendor / Org. with Contract ID],0)))</f>
        <v>Prime Contractor</v>
      </c>
      <c r="T766" s="1314" t="str">
        <f ca="1">IF(CostTrack[[#This Row],[Vendor - Contract]]="","",INDEX(VendorList[Phase / Subproject],MATCH(CostTrack[[#This Row],[Vendor - Contract]],VendorList[Vendor / Org. with Contract ID],0)))</f>
        <v>--</v>
      </c>
      <c r="U766" s="1314" t="str">
        <f ca="1">IF(CostTrack[[#This Row],[Vendor - Contract]]="","",INDEX(VendorList[Phase / Subproject 2],MATCH(CostTrack[[#This Row],[Vendor - Contract]],VendorList[Vendor / Org. with Contract ID],0)))</f>
        <v>--</v>
      </c>
      <c r="V766" s="1314" t="str">
        <f ca="1">IF(CostTrack[[#This Row],[Vendor - Contract]]="","",INDEX(VendorList[Funding Source],MATCH(CostTrack[[#This Row],[Vendor - Contract]],VendorList[Vendor / Org. with Contract ID],0)))</f>
        <v>P-002360</v>
      </c>
      <c r="W766" s="1308">
        <v>45603</v>
      </c>
      <c r="X766" s="1315" t="str">
        <f ca="1">IF(CostTrack[[#This Row],[Release Date (CMS)]]="","*","")</f>
        <v/>
      </c>
      <c r="Y766" s="1308" t="s">
        <v>63</v>
      </c>
      <c r="Z766" s="713" t="s">
        <v>1457</v>
      </c>
      <c r="AA766" s="1316">
        <f ca="1">IF(OR(CostTrack[[#This Row],[Release Date (CMS)]]&gt;=DATE(VALUE(REPLACE(CostTrack[[#This Row],[Fiscal Period]],3,3,"")),3,1),CostTrack[[#This Row],[Release Date (CMS)]]&lt;DATE(VALUE(LEFT(CostTrack[[#This Row],[Fiscal Period]],4)),4,1)),1,0)</f>
        <v>0</v>
      </c>
      <c r="AB766" s="1317">
        <v>743823.62</v>
      </c>
      <c r="AC766" s="1308">
        <v>45635</v>
      </c>
      <c r="AD766" s="402" t="str">
        <f ca="1">IF(CostTrack[[#This Row],[Reconciled Amount]]="","",IF(CostTrack[[#This Row],[Value]]&lt;&gt;CostTrack[[#This Row],[Reconciled Amount]],"Yes","No"))</f>
        <v>No</v>
      </c>
      <c r="AE766" s="658"/>
    </row>
    <row r="767" spans="2:31" ht="38.1" customHeight="1">
      <c r="B767" s="1324" t="s">
        <v>527</v>
      </c>
      <c r="C767" s="1334" t="s">
        <v>1458</v>
      </c>
      <c r="D767" s="1308">
        <v>45596</v>
      </c>
      <c r="E767" s="658">
        <v>23823.5</v>
      </c>
      <c r="F767" s="1309" t="s">
        <v>69</v>
      </c>
      <c r="G767" s="1310">
        <f ca="1">ROUND(IF(CostTrack[[#This Row],[Holdback (Y/N/R)]]="Yes",CostTrack[[#This Row],[Value]]*-0.1,IF(CostTrack[[#This Row],[Holdback (Y/N/R)]]="Release",CostTrack[[#This Row],[Value]],0)),2)</f>
        <v>0</v>
      </c>
      <c r="H767" s="1311">
        <f ca="1">IF(CostTrack[[#This Row],[Holdback (Y/N/R)]]="Release",CostTrack[[#This Row],[Value]],CostTrack[[#This Row],[Value]]+CostTrack[[#This Row],[Holdback Value]])</f>
        <v>23823.5</v>
      </c>
      <c r="I767" s="1312"/>
      <c r="J767" s="1312"/>
      <c r="K767" s="1313"/>
      <c r="L767" s="1325">
        <v>45604</v>
      </c>
      <c r="M767" s="1326">
        <v>45604</v>
      </c>
      <c r="N767" s="1327"/>
      <c r="O767" s="1328" t="s">
        <v>106</v>
      </c>
      <c r="P767" s="1308">
        <v>45609</v>
      </c>
      <c r="Q767" s="1314" t="str">
        <f ca="1">IF(CostTrack[[#This Row],[Vendor - Contract]]="","",INDEX(VendorList[PA ID],MATCH(CostTrack[[#This Row],[Vendor - Contract]],VendorList[Vendor / Org. with Contract ID],0)))</f>
        <v>200.010.F1</v>
      </c>
      <c r="R767" s="1314" t="str">
        <f ca="1">IF(CostTrack[[#This Row],[Vendor - Contract]]="","",INDEX(VendorList[Primary Category],MATCH(CostTrack[[#This Row],[Vendor - Contract]],VendorList[Vendor / Org. with Contract ID],0)))</f>
        <v>Professional Services</v>
      </c>
      <c r="S767" s="1314" t="str">
        <f ca="1">IF(CostTrack[[#This Row],[Vendor - Contract]]="","",INDEX(VendorList[Secondary Category],MATCH(CostTrack[[#This Row],[Vendor - Contract]],VendorList[Vendor / Org. with Contract ID],0)))</f>
        <v>Prime Consultant</v>
      </c>
      <c r="T767" s="1314" t="str">
        <f ca="1">IF(CostTrack[[#This Row],[Vendor - Contract]]="","",INDEX(VendorList[Phase / Subproject],MATCH(CostTrack[[#This Row],[Vendor - Contract]],VendorList[Vendor / Org. with Contract ID],0)))</f>
        <v>--</v>
      </c>
      <c r="U767" s="1314" t="str">
        <f ca="1">IF(CostTrack[[#This Row],[Vendor - Contract]]="","",INDEX(VendorList[Phase / Subproject 2],MATCH(CostTrack[[#This Row],[Vendor - Contract]],VendorList[Vendor / Org. with Contract ID],0)))</f>
        <v>--</v>
      </c>
      <c r="V767" s="1314" t="str">
        <f ca="1">IF(CostTrack[[#This Row],[Vendor - Contract]]="","",INDEX(VendorList[Funding Source],MATCH(CostTrack[[#This Row],[Vendor - Contract]],VendorList[Vendor / Org. with Contract ID],0)))</f>
        <v>P-002360</v>
      </c>
      <c r="W767" s="1308">
        <v>45610</v>
      </c>
      <c r="X767" s="1315" t="str">
        <f ca="1">IF(CostTrack[[#This Row],[Release Date (CMS)]]="","*","")</f>
        <v/>
      </c>
      <c r="Y767" s="1308" t="s">
        <v>63</v>
      </c>
      <c r="Z767" s="713" t="s">
        <v>1459</v>
      </c>
      <c r="AA767" s="1316">
        <f ca="1">IF(OR(CostTrack[[#This Row],[Release Date (CMS)]]&gt;=DATE(VALUE(REPLACE(CostTrack[[#This Row],[Fiscal Period]],3,3,"")),3,1),CostTrack[[#This Row],[Release Date (CMS)]]&lt;DATE(VALUE(LEFT(CostTrack[[#This Row],[Fiscal Period]],4)),4,1)),1,0)</f>
        <v>0</v>
      </c>
      <c r="AB767" s="1317">
        <v>23823.5</v>
      </c>
      <c r="AC767" s="1308">
        <v>45635</v>
      </c>
      <c r="AD767" s="402" t="str">
        <f ca="1">IF(CostTrack[[#This Row],[Reconciled Amount]]="","",IF(CostTrack[[#This Row],[Value]]&lt;&gt;CostTrack[[#This Row],[Reconciled Amount]],"Yes","No"))</f>
        <v>No</v>
      </c>
      <c r="AE767" s="658"/>
    </row>
    <row r="768" spans="2:31" ht="38.1" customHeight="1">
      <c r="B768" s="1324" t="s">
        <v>738</v>
      </c>
      <c r="C768" s="1334">
        <v>136716</v>
      </c>
      <c r="D768" s="1308">
        <v>45596</v>
      </c>
      <c r="E768" s="658">
        <v>138963.25</v>
      </c>
      <c r="F768" s="1309" t="s">
        <v>65</v>
      </c>
      <c r="G768" s="1310">
        <f ca="1">ROUND(IF(CostTrack[[#This Row],[Holdback (Y/N/R)]]="Yes",CostTrack[[#This Row],[Value]]*-0.1,IF(CostTrack[[#This Row],[Holdback (Y/N/R)]]="Release",CostTrack[[#This Row],[Value]],0)),2)</f>
        <v>-13896.33</v>
      </c>
      <c r="H768" s="1311">
        <f ca="1">IF(CostTrack[[#This Row],[Holdback (Y/N/R)]]="Release",CostTrack[[#This Row],[Value]],CostTrack[[#This Row],[Value]]+CostTrack[[#This Row],[Holdback Value]])</f>
        <v>125066.92</v>
      </c>
      <c r="I768" s="1312" t="s">
        <v>1460</v>
      </c>
      <c r="J768" s="1312"/>
      <c r="K768" s="1313"/>
      <c r="L768" s="1325">
        <v>45597</v>
      </c>
      <c r="M768" s="1326">
        <v>45610</v>
      </c>
      <c r="N768" s="1327"/>
      <c r="O768" s="1328" t="s">
        <v>106</v>
      </c>
      <c r="P768" s="1308">
        <v>45610</v>
      </c>
      <c r="Q768" s="1314" t="str">
        <f ca="1">IF(CostTrack[[#This Row],[Vendor - Contract]]="","",INDEX(VendorList[PA ID],MATCH(CostTrack[[#This Row],[Vendor - Contract]],VendorList[Vendor / Org. with Contract ID],0)))</f>
        <v>300.040.F1</v>
      </c>
      <c r="R768" s="1314" t="str">
        <f ca="1">IF(CostTrack[[#This Row],[Vendor - Contract]]="","",INDEX(VendorList[Primary Category],MATCH(CostTrack[[#This Row],[Vendor - Contract]],VendorList[Vendor / Org. with Contract ID],0)))</f>
        <v>Construction</v>
      </c>
      <c r="S768" s="1314" t="str">
        <f ca="1">IF(CostTrack[[#This Row],[Vendor - Contract]]="","",INDEX(VendorList[Secondary Category],MATCH(CostTrack[[#This Row],[Vendor - Contract]],VendorList[Vendor / Org. with Contract ID],0)))</f>
        <v>Other Contractor</v>
      </c>
      <c r="T768" s="1314" t="str">
        <f ca="1">IF(CostTrack[[#This Row],[Vendor - Contract]]="","",INDEX(VendorList[Phase / Subproject],MATCH(CostTrack[[#This Row],[Vendor - Contract]],VendorList[Vendor / Org. with Contract ID],0)))</f>
        <v>--</v>
      </c>
      <c r="U768" s="1314" t="str">
        <f ca="1">IF(CostTrack[[#This Row],[Vendor - Contract]]="","",INDEX(VendorList[Phase / Subproject 2],MATCH(CostTrack[[#This Row],[Vendor - Contract]],VendorList[Vendor / Org. with Contract ID],0)))</f>
        <v>--</v>
      </c>
      <c r="V768" s="1314" t="str">
        <f ca="1">IF(CostTrack[[#This Row],[Vendor - Contract]]="","",INDEX(VendorList[Funding Source],MATCH(CostTrack[[#This Row],[Vendor - Contract]],VendorList[Vendor / Org. with Contract ID],0)))</f>
        <v>P-002360</v>
      </c>
      <c r="W768" s="1308">
        <v>45610</v>
      </c>
      <c r="X768" s="1315" t="str">
        <f ca="1">IF(CostTrack[[#This Row],[Release Date (CMS)]]="","*","")</f>
        <v/>
      </c>
      <c r="Y768" s="1308" t="s">
        <v>63</v>
      </c>
      <c r="Z768" s="713" t="s">
        <v>1461</v>
      </c>
      <c r="AA768" s="1316">
        <f ca="1">IF(OR(CostTrack[[#This Row],[Release Date (CMS)]]&gt;=DATE(VALUE(REPLACE(CostTrack[[#This Row],[Fiscal Period]],3,3,"")),3,1),CostTrack[[#This Row],[Release Date (CMS)]]&lt;DATE(VALUE(LEFT(CostTrack[[#This Row],[Fiscal Period]],4)),4,1)),1,0)</f>
        <v>0</v>
      </c>
      <c r="AB768" s="1317">
        <v>138963.25</v>
      </c>
      <c r="AC768" s="1308">
        <v>45635</v>
      </c>
      <c r="AD768" s="402" t="str">
        <f ca="1">IF(CostTrack[[#This Row],[Reconciled Amount]]="","",IF(CostTrack[[#This Row],[Value]]&lt;&gt;CostTrack[[#This Row],[Reconciled Amount]],"Yes","No"))</f>
        <v>No</v>
      </c>
      <c r="AE768" s="658"/>
    </row>
    <row r="769" spans="2:31" ht="48" customHeight="1">
      <c r="B769" s="706" t="s">
        <v>731</v>
      </c>
      <c r="C769" s="691">
        <v>800092102</v>
      </c>
      <c r="D769" s="267">
        <v>45614</v>
      </c>
      <c r="E769" s="654">
        <v>71.86</v>
      </c>
      <c r="F769" s="647" t="s">
        <v>69</v>
      </c>
      <c r="G769" s="406">
        <f ca="1">ROUND(IF(CostTrack[[#This Row],[Holdback (Y/N/R)]]="Yes",CostTrack[[#This Row],[Value]]*-0.1,IF(CostTrack[[#This Row],[Holdback (Y/N/R)]]="Release",CostTrack[[#This Row],[Value]],0)),2)</f>
        <v>0</v>
      </c>
      <c r="H769" s="407">
        <f ca="1">IF(CostTrack[[#This Row],[Holdback (Y/N/R)]]="Release",CostTrack[[#This Row],[Value]],CostTrack[[#This Row],[Value]]+CostTrack[[#This Row],[Holdback Value]])</f>
        <v>71.86</v>
      </c>
      <c r="I769" s="650"/>
      <c r="J769" s="650"/>
      <c r="K769" s="648"/>
      <c r="L769" s="707">
        <v>45614</v>
      </c>
      <c r="M769" s="708">
        <v>45614</v>
      </c>
      <c r="N769" s="709"/>
      <c r="O769" s="712" t="s">
        <v>106</v>
      </c>
      <c r="P769" s="267">
        <v>45614</v>
      </c>
      <c r="Q769" s="243" t="str">
        <f ca="1">IF(CostTrack[[#This Row],[Vendor - Contract]]="","",INDEX(VendorList[PA ID],MATCH(CostTrack[[#This Row],[Vendor - Contract]],VendorList[Vendor / Org. with Contract ID],0)))</f>
        <v>100.050.F1</v>
      </c>
      <c r="R769" s="243" t="str">
        <f ca="1">IF(CostTrack[[#This Row],[Vendor - Contract]]="","",INDEX(VendorList[Primary Category],MATCH(CostTrack[[#This Row],[Vendor - Contract]],VendorList[Vendor / Org. with Contract ID],0)))</f>
        <v>Administration</v>
      </c>
      <c r="S769" s="243" t="str">
        <f ca="1">IF(CostTrack[[#This Row],[Vendor - Contract]]="","",INDEX(VendorList[Secondary Category],MATCH(CostTrack[[#This Row],[Vendor - Contract]],VendorList[Vendor / Org. with Contract ID],0)))</f>
        <v>Other Administration</v>
      </c>
      <c r="T769" s="243" t="str">
        <f ca="1">IF(CostTrack[[#This Row],[Vendor - Contract]]="","",INDEX(VendorList[Phase / Subproject],MATCH(CostTrack[[#This Row],[Vendor - Contract]],VendorList[Vendor / Org. with Contract ID],0)))</f>
        <v>--</v>
      </c>
      <c r="U769" s="243" t="str">
        <f ca="1">IF(CostTrack[[#This Row],[Vendor - Contract]]="","",INDEX(VendorList[Phase / Subproject 2],MATCH(CostTrack[[#This Row],[Vendor - Contract]],VendorList[Vendor / Org. with Contract ID],0)))</f>
        <v>--</v>
      </c>
      <c r="V769" s="243" t="str">
        <f ca="1">IF(CostTrack[[#This Row],[Vendor - Contract]]="","",INDEX(VendorList[Funding Source],MATCH(CostTrack[[#This Row],[Vendor - Contract]],VendorList[Vendor / Org. with Contract ID],0)))</f>
        <v>P-002360</v>
      </c>
      <c r="W769" s="267">
        <v>45614</v>
      </c>
      <c r="X769" s="251" t="str">
        <f ca="1">IF(CostTrack[[#This Row],[Release Date (CMS)]]="","*","")</f>
        <v/>
      </c>
      <c r="Y769" s="267" t="s">
        <v>63</v>
      </c>
      <c r="Z769" s="652" t="s">
        <v>1462</v>
      </c>
      <c r="AA769" s="245">
        <f ca="1">IF(OR(CostTrack[[#This Row],[Release Date (CMS)]]&gt;=DATE(VALUE(REPLACE(CostTrack[[#This Row],[Fiscal Period]],3,3,"")),3,1),CostTrack[[#This Row],[Release Date (CMS)]]&lt;DATE(VALUE(LEFT(CostTrack[[#This Row],[Fiscal Period]],4)),4,1)),1,0)</f>
        <v>0</v>
      </c>
      <c r="AB769" s="655">
        <v>71.86</v>
      </c>
      <c r="AC769" s="267">
        <v>45635</v>
      </c>
      <c r="AD769" s="402" t="str">
        <f ca="1">IF(CostTrack[[#This Row],[Reconciled Amount]]="","",IF(CostTrack[[#This Row],[Value]]&lt;&gt;CostTrack[[#This Row],[Reconciled Amount]],"Yes","No"))</f>
        <v>No</v>
      </c>
      <c r="AE769" s="654"/>
    </row>
    <row r="770" spans="2:31" ht="49.15" customHeight="1">
      <c r="B770" s="706" t="s">
        <v>731</v>
      </c>
      <c r="C770" s="691">
        <v>800097604</v>
      </c>
      <c r="D770" s="267">
        <v>45625</v>
      </c>
      <c r="E770" s="654">
        <v>88.15</v>
      </c>
      <c r="F770" s="647" t="s">
        <v>69</v>
      </c>
      <c r="G770" s="406">
        <f ca="1">ROUND(IF(CostTrack[[#This Row],[Holdback (Y/N/R)]]="Yes",CostTrack[[#This Row],[Value]]*-0.1,IF(CostTrack[[#This Row],[Holdback (Y/N/R)]]="Release",CostTrack[[#This Row],[Value]],0)),2)</f>
        <v>0</v>
      </c>
      <c r="H770" s="407">
        <f ca="1">IF(CostTrack[[#This Row],[Holdback (Y/N/R)]]="Release",CostTrack[[#This Row],[Value]],CostTrack[[#This Row],[Value]]+CostTrack[[#This Row],[Holdback Value]])</f>
        <v>88.15</v>
      </c>
      <c r="I770" s="650"/>
      <c r="J770" s="650"/>
      <c r="K770" s="648"/>
      <c r="L770" s="707">
        <v>45625</v>
      </c>
      <c r="M770" s="708">
        <v>45625</v>
      </c>
      <c r="N770" s="709"/>
      <c r="O770" s="712" t="s">
        <v>106</v>
      </c>
      <c r="P770" s="267">
        <v>45625</v>
      </c>
      <c r="Q770" s="243" t="str">
        <f ca="1">IF(CostTrack[[#This Row],[Vendor - Contract]]="","",INDEX(VendorList[PA ID],MATCH(CostTrack[[#This Row],[Vendor - Contract]],VendorList[Vendor / Org. with Contract ID],0)))</f>
        <v>100.050.F1</v>
      </c>
      <c r="R770" s="243" t="str">
        <f ca="1">IF(CostTrack[[#This Row],[Vendor - Contract]]="","",INDEX(VendorList[Primary Category],MATCH(CostTrack[[#This Row],[Vendor - Contract]],VendorList[Vendor / Org. with Contract ID],0)))</f>
        <v>Administration</v>
      </c>
      <c r="S770" s="243" t="str">
        <f ca="1">IF(CostTrack[[#This Row],[Vendor - Contract]]="","",INDEX(VendorList[Secondary Category],MATCH(CostTrack[[#This Row],[Vendor - Contract]],VendorList[Vendor / Org. with Contract ID],0)))</f>
        <v>Other Administration</v>
      </c>
      <c r="T770" s="243" t="str">
        <f ca="1">IF(CostTrack[[#This Row],[Vendor - Contract]]="","",INDEX(VendorList[Phase / Subproject],MATCH(CostTrack[[#This Row],[Vendor - Contract]],VendorList[Vendor / Org. with Contract ID],0)))</f>
        <v>--</v>
      </c>
      <c r="U770" s="243" t="str">
        <f ca="1">IF(CostTrack[[#This Row],[Vendor - Contract]]="","",INDEX(VendorList[Phase / Subproject 2],MATCH(CostTrack[[#This Row],[Vendor - Contract]],VendorList[Vendor / Org. with Contract ID],0)))</f>
        <v>--</v>
      </c>
      <c r="V770" s="243" t="str">
        <f ca="1">IF(CostTrack[[#This Row],[Vendor - Contract]]="","",INDEX(VendorList[Funding Source],MATCH(CostTrack[[#This Row],[Vendor - Contract]],VendorList[Vendor / Org. with Contract ID],0)))</f>
        <v>P-002360</v>
      </c>
      <c r="W770" s="267">
        <v>45625</v>
      </c>
      <c r="X770" s="251" t="str">
        <f ca="1">IF(CostTrack[[#This Row],[Release Date (CMS)]]="","*","")</f>
        <v/>
      </c>
      <c r="Y770" s="267" t="s">
        <v>63</v>
      </c>
      <c r="Z770" s="652" t="s">
        <v>1463</v>
      </c>
      <c r="AA770" s="245">
        <f ca="1">IF(OR(CostTrack[[#This Row],[Release Date (CMS)]]&gt;=DATE(VALUE(REPLACE(CostTrack[[#This Row],[Fiscal Period]],3,3,"")),3,1),CostTrack[[#This Row],[Release Date (CMS)]]&lt;DATE(VALUE(LEFT(CostTrack[[#This Row],[Fiscal Period]],4)),4,1)),1,0)</f>
        <v>0</v>
      </c>
      <c r="AB770" s="655">
        <v>88.15</v>
      </c>
      <c r="AC770" s="267">
        <v>45635</v>
      </c>
      <c r="AD770" s="402" t="str">
        <f ca="1">IF(CostTrack[[#This Row],[Reconciled Amount]]="","",IF(CostTrack[[#This Row],[Value]]&lt;&gt;CostTrack[[#This Row],[Reconciled Amount]],"Yes","No"))</f>
        <v>No</v>
      </c>
      <c r="AE770" s="654"/>
    </row>
    <row r="771" spans="2:31" ht="38.1" customHeight="1">
      <c r="B771" s="706" t="s">
        <v>755</v>
      </c>
      <c r="C771" s="691">
        <v>800087602</v>
      </c>
      <c r="D771" s="267">
        <v>45601</v>
      </c>
      <c r="E771" s="654">
        <v>63.46</v>
      </c>
      <c r="F771" s="647" t="s">
        <v>69</v>
      </c>
      <c r="G771" s="406">
        <f ca="1">ROUND(IF(CostTrack[[#This Row],[Holdback (Y/N/R)]]="Yes",CostTrack[[#This Row],[Value]]*-0.1,IF(CostTrack[[#This Row],[Holdback (Y/N/R)]]="Release",CostTrack[[#This Row],[Value]],0)),2)</f>
        <v>0</v>
      </c>
      <c r="H771" s="407">
        <f ca="1">IF(CostTrack[[#This Row],[Holdback (Y/N/R)]]="Release",CostTrack[[#This Row],[Value]],CostTrack[[#This Row],[Value]]+CostTrack[[#This Row],[Holdback Value]])</f>
        <v>63.46</v>
      </c>
      <c r="I771" s="650"/>
      <c r="J771" s="650"/>
      <c r="K771" s="648"/>
      <c r="L771" s="707">
        <v>45601</v>
      </c>
      <c r="M771" s="708">
        <v>45601</v>
      </c>
      <c r="N771" s="709"/>
      <c r="O771" s="712" t="s">
        <v>106</v>
      </c>
      <c r="P771" s="267">
        <v>45601</v>
      </c>
      <c r="Q771" s="243" t="str">
        <f ca="1">IF(CostTrack[[#This Row],[Vendor - Contract]]="","",INDEX(VendorList[PA ID],MATCH(CostTrack[[#This Row],[Vendor - Contract]],VendorList[Vendor / Org. with Contract ID],0)))</f>
        <v>100.050.F1</v>
      </c>
      <c r="R771" s="243" t="str">
        <f ca="1">IF(CostTrack[[#This Row],[Vendor - Contract]]="","",INDEX(VendorList[Primary Category],MATCH(CostTrack[[#This Row],[Vendor - Contract]],VendorList[Vendor / Org. with Contract ID],0)))</f>
        <v>Administration</v>
      </c>
      <c r="S771" s="243" t="str">
        <f ca="1">IF(CostTrack[[#This Row],[Vendor - Contract]]="","",INDEX(VendorList[Secondary Category],MATCH(CostTrack[[#This Row],[Vendor - Contract]],VendorList[Vendor / Org. with Contract ID],0)))</f>
        <v>Other Administration</v>
      </c>
      <c r="T771" s="243" t="str">
        <f ca="1">IF(CostTrack[[#This Row],[Vendor - Contract]]="","",INDEX(VendorList[Phase / Subproject],MATCH(CostTrack[[#This Row],[Vendor - Contract]],VendorList[Vendor / Org. with Contract ID],0)))</f>
        <v>--</v>
      </c>
      <c r="U771" s="243" t="str">
        <f ca="1">IF(CostTrack[[#This Row],[Vendor - Contract]]="","",INDEX(VendorList[Phase / Subproject 2],MATCH(CostTrack[[#This Row],[Vendor - Contract]],VendorList[Vendor / Org. with Contract ID],0)))</f>
        <v>--</v>
      </c>
      <c r="V771" s="243" t="str">
        <f ca="1">IF(CostTrack[[#This Row],[Vendor - Contract]]="","",INDEX(VendorList[Funding Source],MATCH(CostTrack[[#This Row],[Vendor - Contract]],VendorList[Vendor / Org. with Contract ID],0)))</f>
        <v>P-002360</v>
      </c>
      <c r="W771" s="267">
        <v>45601</v>
      </c>
      <c r="X771" s="251" t="str">
        <f ca="1">IF(CostTrack[[#This Row],[Release Date (CMS)]]="","*","")</f>
        <v/>
      </c>
      <c r="Y771" s="267" t="s">
        <v>63</v>
      </c>
      <c r="Z771" s="652" t="s">
        <v>1464</v>
      </c>
      <c r="AA771" s="245">
        <f ca="1">IF(OR(CostTrack[[#This Row],[Release Date (CMS)]]&gt;=DATE(VALUE(REPLACE(CostTrack[[#This Row],[Fiscal Period]],3,3,"")),3,1),CostTrack[[#This Row],[Release Date (CMS)]]&lt;DATE(VALUE(LEFT(CostTrack[[#This Row],[Fiscal Period]],4)),4,1)),1,0)</f>
        <v>0</v>
      </c>
      <c r="AB771" s="655">
        <v>63.46</v>
      </c>
      <c r="AC771" s="267">
        <v>45635</v>
      </c>
      <c r="AD771" s="402" t="str">
        <f ca="1">IF(CostTrack[[#This Row],[Reconciled Amount]]="","",IF(CostTrack[[#This Row],[Value]]&lt;&gt;CostTrack[[#This Row],[Reconciled Amount]],"Yes","No"))</f>
        <v>No</v>
      </c>
      <c r="AE771" s="654"/>
    </row>
    <row r="772" spans="2:31" ht="45" customHeight="1">
      <c r="B772" s="706" t="s">
        <v>1437</v>
      </c>
      <c r="C772" s="691" t="s">
        <v>1465</v>
      </c>
      <c r="D772" s="267">
        <v>45617</v>
      </c>
      <c r="E772" s="654">
        <v>17620.5</v>
      </c>
      <c r="F772" s="647" t="s">
        <v>69</v>
      </c>
      <c r="G772" s="406">
        <f ca="1">ROUND(IF(CostTrack[[#This Row],[Holdback (Y/N/R)]]="Yes",CostTrack[[#This Row],[Value]]*-0.1,IF(CostTrack[[#This Row],[Holdback (Y/N/R)]]="Release",CostTrack[[#This Row],[Value]],0)),2)</f>
        <v>0</v>
      </c>
      <c r="H772" s="407">
        <f ca="1">IF(CostTrack[[#This Row],[Holdback (Y/N/R)]]="Release",CostTrack[[#This Row],[Value]],CostTrack[[#This Row],[Value]]+CostTrack[[#This Row],[Holdback Value]])</f>
        <v>17620.5</v>
      </c>
      <c r="I772" s="650"/>
      <c r="J772" s="650"/>
      <c r="K772" s="648"/>
      <c r="L772" s="707">
        <v>45617</v>
      </c>
      <c r="M772" s="708">
        <v>45617</v>
      </c>
      <c r="N772" s="709"/>
      <c r="O772" s="712" t="s">
        <v>106</v>
      </c>
      <c r="P772" s="267">
        <v>45617</v>
      </c>
      <c r="Q772" s="243" t="str">
        <f ca="1">IF(CostTrack[[#This Row],[Vendor - Contract]]="","",INDEX(VendorList[PA ID],MATCH(CostTrack[[#This Row],[Vendor - Contract]],VendorList[Vendor / Org. with Contract ID],0)))</f>
        <v>400.010.F1</v>
      </c>
      <c r="R772" s="243" t="str">
        <f ca="1">IF(CostTrack[[#This Row],[Vendor - Contract]]="","",INDEX(VendorList[Primary Category],MATCH(CostTrack[[#This Row],[Vendor - Contract]],VendorList[Vendor / Org. with Contract ID],0)))</f>
        <v>FE_IT</v>
      </c>
      <c r="S772" s="243" t="str">
        <f ca="1">IF(CostTrack[[#This Row],[Vendor - Contract]]="","",INDEX(VendorList[Secondary Category],MATCH(CostTrack[[#This Row],[Vendor - Contract]],VendorList[Vendor / Org. with Contract ID],0)))</f>
        <v>Furniture &amp; Equipment</v>
      </c>
      <c r="T772" s="243" t="str">
        <f ca="1">IF(CostTrack[[#This Row],[Vendor - Contract]]="","",INDEX(VendorList[Phase / Subproject],MATCH(CostTrack[[#This Row],[Vendor - Contract]],VendorList[Vendor / Org. with Contract ID],0)))</f>
        <v>--</v>
      </c>
      <c r="U772" s="243" t="str">
        <f ca="1">IF(CostTrack[[#This Row],[Vendor - Contract]]="","",INDEX(VendorList[Phase / Subproject 2],MATCH(CostTrack[[#This Row],[Vendor - Contract]],VendorList[Vendor / Org. with Contract ID],0)))</f>
        <v>--</v>
      </c>
      <c r="V772" s="243" t="str">
        <f ca="1">IF(CostTrack[[#This Row],[Vendor - Contract]]="","",INDEX(VendorList[Funding Source],MATCH(CostTrack[[#This Row],[Vendor - Contract]],VendorList[Vendor / Org. with Contract ID],0)))</f>
        <v>P-002360</v>
      </c>
      <c r="W772" s="267">
        <v>45617</v>
      </c>
      <c r="X772" s="251" t="str">
        <f ca="1">IF(CostTrack[[#This Row],[Release Date (CMS)]]="","*","")</f>
        <v/>
      </c>
      <c r="Y772" s="267" t="s">
        <v>63</v>
      </c>
      <c r="Z772" s="652" t="s">
        <v>1390</v>
      </c>
      <c r="AA772" s="245">
        <f ca="1">IF(OR(CostTrack[[#This Row],[Release Date (CMS)]]&gt;=DATE(VALUE(REPLACE(CostTrack[[#This Row],[Fiscal Period]],3,3,"")),3,1),CostTrack[[#This Row],[Release Date (CMS)]]&lt;DATE(VALUE(LEFT(CostTrack[[#This Row],[Fiscal Period]],4)),4,1)),1,0)</f>
        <v>0</v>
      </c>
      <c r="AB772" s="655">
        <v>17620.5</v>
      </c>
      <c r="AC772" s="267">
        <v>45635</v>
      </c>
      <c r="AD772" s="402" t="str">
        <f ca="1">IF(CostTrack[[#This Row],[Reconciled Amount]]="","",IF(CostTrack[[#This Row],[Value]]&lt;&gt;CostTrack[[#This Row],[Reconciled Amount]],"Yes","No"))</f>
        <v>No</v>
      </c>
      <c r="AE772" s="654"/>
    </row>
    <row r="773" spans="2:31" ht="38.1" customHeight="1">
      <c r="B773" s="706" t="s">
        <v>679</v>
      </c>
      <c r="C773" s="691" t="s">
        <v>1466</v>
      </c>
      <c r="D773" s="267">
        <v>45504</v>
      </c>
      <c r="E773" s="654">
        <v>23002</v>
      </c>
      <c r="F773" s="647" t="s">
        <v>69</v>
      </c>
      <c r="G773" s="406">
        <f ca="1">ROUND(IF(CostTrack[[#This Row],[Holdback (Y/N/R)]]="Yes",CostTrack[[#This Row],[Value]]*-0.1,IF(CostTrack[[#This Row],[Holdback (Y/N/R)]]="Release",CostTrack[[#This Row],[Value]],0)),2)</f>
        <v>0</v>
      </c>
      <c r="H773" s="407">
        <f ca="1">IF(CostTrack[[#This Row],[Holdback (Y/N/R)]]="Release",CostTrack[[#This Row],[Value]],CostTrack[[#This Row],[Value]]+CostTrack[[#This Row],[Holdback Value]])</f>
        <v>23002</v>
      </c>
      <c r="I773" s="650"/>
      <c r="J773" s="650"/>
      <c r="K773" s="648"/>
      <c r="L773" s="707">
        <v>45588</v>
      </c>
      <c r="M773" s="708">
        <v>45588</v>
      </c>
      <c r="N773" s="709"/>
      <c r="O773" s="712" t="s">
        <v>106</v>
      </c>
      <c r="P773" s="267">
        <v>45589</v>
      </c>
      <c r="Q773" s="243" t="str">
        <f ca="1">IF(CostTrack[[#This Row],[Vendor - Contract]]="","",INDEX(VendorList[PA ID],MATCH(CostTrack[[#This Row],[Vendor - Contract]],VendorList[Vendor / Org. with Contract ID],0)))</f>
        <v>400.020.F1</v>
      </c>
      <c r="R773" s="243" t="str">
        <f ca="1">IF(CostTrack[[#This Row],[Vendor - Contract]]="","",INDEX(VendorList[Primary Category],MATCH(CostTrack[[#This Row],[Vendor - Contract]],VendorList[Vendor / Org. with Contract ID],0)))</f>
        <v>FE_IT</v>
      </c>
      <c r="S773" s="243" t="str">
        <f ca="1">IF(CostTrack[[#This Row],[Vendor - Contract]]="","",INDEX(VendorList[Secondary Category],MATCH(CostTrack[[#This Row],[Vendor - Contract]],VendorList[Vendor / Org. with Contract ID],0)))</f>
        <v>Information Technology</v>
      </c>
      <c r="T773" s="243" t="str">
        <f ca="1">IF(CostTrack[[#This Row],[Vendor - Contract]]="","",INDEX(VendorList[Phase / Subproject],MATCH(CostTrack[[#This Row],[Vendor - Contract]],VendorList[Vendor / Org. with Contract ID],0)))</f>
        <v>--</v>
      </c>
      <c r="U773" s="243" t="str">
        <f ca="1">IF(CostTrack[[#This Row],[Vendor - Contract]]="","",INDEX(VendorList[Phase / Subproject 2],MATCH(CostTrack[[#This Row],[Vendor - Contract]],VendorList[Vendor / Org. with Contract ID],0)))</f>
        <v>--</v>
      </c>
      <c r="V773" s="243" t="str">
        <f ca="1">IF(CostTrack[[#This Row],[Vendor - Contract]]="","",INDEX(VendorList[Funding Source],MATCH(CostTrack[[#This Row],[Vendor - Contract]],VendorList[Vendor / Org. with Contract ID],0)))</f>
        <v>P-002360</v>
      </c>
      <c r="W773" s="267">
        <v>45603</v>
      </c>
      <c r="X773" s="251" t="str">
        <f ca="1">IF(CostTrack[[#This Row],[Release Date (CMS)]]="","*","")</f>
        <v/>
      </c>
      <c r="Y773" s="267" t="s">
        <v>63</v>
      </c>
      <c r="Z773" s="652" t="s">
        <v>1467</v>
      </c>
      <c r="AA773" s="245">
        <f ca="1">IF(OR(CostTrack[[#This Row],[Release Date (CMS)]]&gt;=DATE(VALUE(REPLACE(CostTrack[[#This Row],[Fiscal Period]],3,3,"")),3,1),CostTrack[[#This Row],[Release Date (CMS)]]&lt;DATE(VALUE(LEFT(CostTrack[[#This Row],[Fiscal Period]],4)),4,1)),1,0)</f>
        <v>0</v>
      </c>
      <c r="AB773" s="655">
        <v>23002</v>
      </c>
      <c r="AC773" s="267">
        <v>45635</v>
      </c>
      <c r="AD773" s="402" t="str">
        <f ca="1">IF(CostTrack[[#This Row],[Reconciled Amount]]="","",IF(CostTrack[[#This Row],[Value]]&lt;&gt;CostTrack[[#This Row],[Reconciled Amount]],"Yes","No"))</f>
        <v>No</v>
      </c>
      <c r="AE773" s="654"/>
    </row>
    <row r="774" spans="2:31" ht="38.1" customHeight="1">
      <c r="B774" s="706" t="s">
        <v>679</v>
      </c>
      <c r="C774" s="691" t="s">
        <v>1468</v>
      </c>
      <c r="D774" s="267">
        <v>45504</v>
      </c>
      <c r="E774" s="654">
        <v>14572.5</v>
      </c>
      <c r="F774" s="647" t="s">
        <v>69</v>
      </c>
      <c r="G774" s="406">
        <f ca="1">ROUND(IF(CostTrack[[#This Row],[Holdback (Y/N/R)]]="Yes",CostTrack[[#This Row],[Value]]*-0.1,IF(CostTrack[[#This Row],[Holdback (Y/N/R)]]="Release",CostTrack[[#This Row],[Value]],0)),2)</f>
        <v>0</v>
      </c>
      <c r="H774" s="407">
        <f ca="1">IF(CostTrack[[#This Row],[Holdback (Y/N/R)]]="Release",CostTrack[[#This Row],[Value]],CostTrack[[#This Row],[Value]]+CostTrack[[#This Row],[Holdback Value]])</f>
        <v>14572.5</v>
      </c>
      <c r="I774" s="650"/>
      <c r="J774" s="650"/>
      <c r="K774" s="648"/>
      <c r="L774" s="707">
        <v>45588</v>
      </c>
      <c r="M774" s="708">
        <v>45588</v>
      </c>
      <c r="N774" s="709"/>
      <c r="O774" s="712" t="s">
        <v>106</v>
      </c>
      <c r="P774" s="267">
        <v>45589</v>
      </c>
      <c r="Q774" s="243" t="str">
        <f ca="1">IF(CostTrack[[#This Row],[Vendor - Contract]]="","",INDEX(VendorList[PA ID],MATCH(CostTrack[[#This Row],[Vendor - Contract]],VendorList[Vendor / Org. with Contract ID],0)))</f>
        <v>400.020.F1</v>
      </c>
      <c r="R774" s="243" t="str">
        <f ca="1">IF(CostTrack[[#This Row],[Vendor - Contract]]="","",INDEX(VendorList[Primary Category],MATCH(CostTrack[[#This Row],[Vendor - Contract]],VendorList[Vendor / Org. with Contract ID],0)))</f>
        <v>FE_IT</v>
      </c>
      <c r="S774" s="243" t="str">
        <f ca="1">IF(CostTrack[[#This Row],[Vendor - Contract]]="","",INDEX(VendorList[Secondary Category],MATCH(CostTrack[[#This Row],[Vendor - Contract]],VendorList[Vendor / Org. with Contract ID],0)))</f>
        <v>Information Technology</v>
      </c>
      <c r="T774" s="243" t="str">
        <f ca="1">IF(CostTrack[[#This Row],[Vendor - Contract]]="","",INDEX(VendorList[Phase / Subproject],MATCH(CostTrack[[#This Row],[Vendor - Contract]],VendorList[Vendor / Org. with Contract ID],0)))</f>
        <v>--</v>
      </c>
      <c r="U774" s="243" t="str">
        <f ca="1">IF(CostTrack[[#This Row],[Vendor - Contract]]="","",INDEX(VendorList[Phase / Subproject 2],MATCH(CostTrack[[#This Row],[Vendor - Contract]],VendorList[Vendor / Org. with Contract ID],0)))</f>
        <v>--</v>
      </c>
      <c r="V774" s="243" t="str">
        <f ca="1">IF(CostTrack[[#This Row],[Vendor - Contract]]="","",INDEX(VendorList[Funding Source],MATCH(CostTrack[[#This Row],[Vendor - Contract]],VendorList[Vendor / Org. with Contract ID],0)))</f>
        <v>P-002360</v>
      </c>
      <c r="W774" s="267">
        <v>45603</v>
      </c>
      <c r="X774" s="251" t="str">
        <f ca="1">IF(CostTrack[[#This Row],[Release Date (CMS)]]="","*","")</f>
        <v/>
      </c>
      <c r="Y774" s="267" t="s">
        <v>63</v>
      </c>
      <c r="Z774" s="652" t="s">
        <v>1467</v>
      </c>
      <c r="AA774" s="245">
        <f ca="1">IF(OR(CostTrack[[#This Row],[Release Date (CMS)]]&gt;=DATE(VALUE(REPLACE(CostTrack[[#This Row],[Fiscal Period]],3,3,"")),3,1),CostTrack[[#This Row],[Release Date (CMS)]]&lt;DATE(VALUE(LEFT(CostTrack[[#This Row],[Fiscal Period]],4)),4,1)),1,0)</f>
        <v>0</v>
      </c>
      <c r="AB774" s="655">
        <v>14572.5</v>
      </c>
      <c r="AC774" s="267">
        <v>45635</v>
      </c>
      <c r="AD774" s="402" t="str">
        <f ca="1">IF(CostTrack[[#This Row],[Reconciled Amount]]="","",IF(CostTrack[[#This Row],[Value]]&lt;&gt;CostTrack[[#This Row],[Reconciled Amount]],"Yes","No"))</f>
        <v>No</v>
      </c>
      <c r="AE774" s="654"/>
    </row>
    <row r="775" spans="2:31" ht="38.1" customHeight="1">
      <c r="B775" s="1324" t="s">
        <v>736</v>
      </c>
      <c r="C775" s="691" t="s">
        <v>1469</v>
      </c>
      <c r="D775" s="1308">
        <v>45626</v>
      </c>
      <c r="E775" s="658">
        <v>34946.839999999997</v>
      </c>
      <c r="F775" s="647" t="s">
        <v>69</v>
      </c>
      <c r="G775" s="1310">
        <f ca="1">ROUND(IF(CostTrack[[#This Row],[Holdback (Y/N/R)]]="Yes",CostTrack[[#This Row],[Value]]*-0.1,IF(CostTrack[[#This Row],[Holdback (Y/N/R)]]="Release",CostTrack[[#This Row],[Value]],0)),2)</f>
        <v>0</v>
      </c>
      <c r="H775" s="1311">
        <f ca="1">IF(CostTrack[[#This Row],[Holdback (Y/N/R)]]="Release",CostTrack[[#This Row],[Value]],CostTrack[[#This Row],[Value]]+CostTrack[[#This Row],[Holdback Value]])</f>
        <v>34946.839999999997</v>
      </c>
      <c r="I775" s="1312"/>
      <c r="J775" s="1312"/>
      <c r="K775" s="1313"/>
      <c r="L775" s="1325">
        <v>45626</v>
      </c>
      <c r="M775" s="1326">
        <v>45626</v>
      </c>
      <c r="N775" s="1327"/>
      <c r="O775" s="1328" t="s">
        <v>106</v>
      </c>
      <c r="P775" s="1308">
        <v>45626</v>
      </c>
      <c r="Q775" s="1314" t="str">
        <f ca="1">IF(CostTrack[[#This Row],[Vendor - Contract]]="","",INDEX(VendorList[PA ID],MATCH(CostTrack[[#This Row],[Vendor - Contract]],VendorList[Vendor / Org. with Contract ID],0)))</f>
        <v>100.010.F1</v>
      </c>
      <c r="R775" s="1314" t="str">
        <f ca="1">IF(CostTrack[[#This Row],[Vendor - Contract]]="","",INDEX(VendorList[Primary Category],MATCH(CostTrack[[#This Row],[Vendor - Contract]],VendorList[Vendor / Org. with Contract ID],0)))</f>
        <v>Administration</v>
      </c>
      <c r="S775" s="1314" t="str">
        <f ca="1">IF(CostTrack[[#This Row],[Vendor - Contract]]="","",INDEX(VendorList[Secondary Category],MATCH(CostTrack[[#This Row],[Vendor - Contract]],VendorList[Vendor / Org. with Contract ID],0)))</f>
        <v>Staff Capitalization - INFRA</v>
      </c>
      <c r="T775" s="1314" t="str">
        <f ca="1">IF(CostTrack[[#This Row],[Vendor - Contract]]="","",INDEX(VendorList[Phase / Subproject],MATCH(CostTrack[[#This Row],[Vendor - Contract]],VendorList[Vendor / Org. with Contract ID],0)))</f>
        <v>--</v>
      </c>
      <c r="U775" s="1314" t="str">
        <f ca="1">IF(CostTrack[[#This Row],[Vendor - Contract]]="","",INDEX(VendorList[Phase / Subproject 2],MATCH(CostTrack[[#This Row],[Vendor - Contract]],VendorList[Vendor / Org. with Contract ID],0)))</f>
        <v>--</v>
      </c>
      <c r="V775" s="1314" t="str">
        <f ca="1">IF(CostTrack[[#This Row],[Vendor - Contract]]="","",INDEX(VendorList[Funding Source],MATCH(CostTrack[[#This Row],[Vendor - Contract]],VendorList[Vendor / Org. with Contract ID],0)))</f>
        <v>P-002360</v>
      </c>
      <c r="W775" s="1308">
        <v>45626</v>
      </c>
      <c r="X775" s="1315" t="str">
        <f ca="1">IF(CostTrack[[#This Row],[Release Date (CMS)]]="","*","")</f>
        <v/>
      </c>
      <c r="Y775" s="1308" t="s">
        <v>63</v>
      </c>
      <c r="Z775" s="713"/>
      <c r="AA775" s="1316">
        <f ca="1">IF(OR(CostTrack[[#This Row],[Release Date (CMS)]]&gt;=DATE(VALUE(REPLACE(CostTrack[[#This Row],[Fiscal Period]],3,3,"")),3,1),CostTrack[[#This Row],[Release Date (CMS)]]&lt;DATE(VALUE(LEFT(CostTrack[[#This Row],[Fiscal Period]],4)),4,1)),1,0)</f>
        <v>0</v>
      </c>
      <c r="AB775" s="1317">
        <v>34946.839999999997</v>
      </c>
      <c r="AC775" s="1308">
        <v>45635</v>
      </c>
      <c r="AD775" s="402" t="str">
        <f ca="1">IF(CostTrack[[#This Row],[Reconciled Amount]]="","",IF(CostTrack[[#This Row],[Value]]&lt;&gt;CostTrack[[#This Row],[Reconciled Amount]],"Yes","No"))</f>
        <v>No</v>
      </c>
      <c r="AE775" s="658"/>
    </row>
    <row r="776" spans="2:31" ht="38.1" customHeight="1">
      <c r="B776" s="706" t="s">
        <v>527</v>
      </c>
      <c r="C776" s="691" t="s">
        <v>1470</v>
      </c>
      <c r="D776" s="267">
        <v>45626</v>
      </c>
      <c r="E776" s="654">
        <v>11967</v>
      </c>
      <c r="F776" s="647" t="s">
        <v>69</v>
      </c>
      <c r="G776" s="406">
        <f ca="1">ROUND(IF(CostTrack[[#This Row],[Holdback (Y/N/R)]]="Yes",CostTrack[[#This Row],[Value]]*-0.1,IF(CostTrack[[#This Row],[Holdback (Y/N/R)]]="Release",CostTrack[[#This Row],[Value]],0)),2)</f>
        <v>0</v>
      </c>
      <c r="H776" s="407">
        <f ca="1">IF(CostTrack[[#This Row],[Holdback (Y/N/R)]]="Release",CostTrack[[#This Row],[Value]],CostTrack[[#This Row],[Value]]+CostTrack[[#This Row],[Holdback Value]])</f>
        <v>11967</v>
      </c>
      <c r="I776" s="650"/>
      <c r="J776" s="650"/>
      <c r="K776" s="648"/>
      <c r="L776" s="707">
        <v>45631</v>
      </c>
      <c r="M776" s="708">
        <v>45631</v>
      </c>
      <c r="N776" s="709"/>
      <c r="O776" s="712" t="s">
        <v>106</v>
      </c>
      <c r="P776" s="267">
        <v>45631</v>
      </c>
      <c r="Q776" s="243" t="str">
        <f ca="1">IF(CostTrack[[#This Row],[Vendor - Contract]]="","",INDEX(VendorList[PA ID],MATCH(CostTrack[[#This Row],[Vendor - Contract]],VendorList[Vendor / Org. with Contract ID],0)))</f>
        <v>200.010.F1</v>
      </c>
      <c r="R776" s="243" t="str">
        <f ca="1">IF(CostTrack[[#This Row],[Vendor - Contract]]="","",INDEX(VendorList[Primary Category],MATCH(CostTrack[[#This Row],[Vendor - Contract]],VendorList[Vendor / Org. with Contract ID],0)))</f>
        <v>Professional Services</v>
      </c>
      <c r="S776" s="243" t="str">
        <f ca="1">IF(CostTrack[[#This Row],[Vendor - Contract]]="","",INDEX(VendorList[Secondary Category],MATCH(CostTrack[[#This Row],[Vendor - Contract]],VendorList[Vendor / Org. with Contract ID],0)))</f>
        <v>Prime Consultant</v>
      </c>
      <c r="T776" s="243" t="str">
        <f ca="1">IF(CostTrack[[#This Row],[Vendor - Contract]]="","",INDEX(VendorList[Phase / Subproject],MATCH(CostTrack[[#This Row],[Vendor - Contract]],VendorList[Vendor / Org. with Contract ID],0)))</f>
        <v>--</v>
      </c>
      <c r="U776" s="243" t="str">
        <f ca="1">IF(CostTrack[[#This Row],[Vendor - Contract]]="","",INDEX(VendorList[Phase / Subproject 2],MATCH(CostTrack[[#This Row],[Vendor - Contract]],VendorList[Vendor / Org. with Contract ID],0)))</f>
        <v>--</v>
      </c>
      <c r="V776" s="243" t="str">
        <f ca="1">IF(CostTrack[[#This Row],[Vendor - Contract]]="","",INDEX(VendorList[Funding Source],MATCH(CostTrack[[#This Row],[Vendor - Contract]],VendorList[Vendor / Org. with Contract ID],0)))</f>
        <v>P-002360</v>
      </c>
      <c r="W776" s="267">
        <v>45632</v>
      </c>
      <c r="X776" s="251" t="str">
        <f ca="1">IF(CostTrack[[#This Row],[Release Date (CMS)]]="","*","")</f>
        <v/>
      </c>
      <c r="Y776" s="267" t="s">
        <v>63</v>
      </c>
      <c r="Z776" s="652" t="s">
        <v>1471</v>
      </c>
      <c r="AA776" s="245">
        <f ca="1">IF(OR(CostTrack[[#This Row],[Release Date (CMS)]]&gt;=DATE(VALUE(REPLACE(CostTrack[[#This Row],[Fiscal Period]],3,3,"")),3,1),CostTrack[[#This Row],[Release Date (CMS)]]&lt;DATE(VALUE(LEFT(CostTrack[[#This Row],[Fiscal Period]],4)),4,1)),1,0)</f>
        <v>0</v>
      </c>
      <c r="AB776" s="655">
        <v>11967</v>
      </c>
      <c r="AC776" s="267">
        <v>45664</v>
      </c>
      <c r="AD776" s="402" t="str">
        <f ca="1">IF(CostTrack[[#This Row],[Reconciled Amount]]="","",IF(CostTrack[[#This Row],[Value]]&lt;&gt;CostTrack[[#This Row],[Reconciled Amount]],"Yes","No"))</f>
        <v>No</v>
      </c>
      <c r="AE776" s="654"/>
    </row>
    <row r="777" spans="2:31" ht="38.1" customHeight="1">
      <c r="B777" s="706" t="s">
        <v>597</v>
      </c>
      <c r="C777" s="691">
        <v>449093</v>
      </c>
      <c r="D777" s="267">
        <v>45565</v>
      </c>
      <c r="E777" s="654">
        <v>774.9</v>
      </c>
      <c r="F777" s="647" t="s">
        <v>69</v>
      </c>
      <c r="G777" s="406">
        <f ca="1">ROUND(IF(CostTrack[[#This Row],[Holdback (Y/N/R)]]="Yes",CostTrack[[#This Row],[Value]]*-0.1,IF(CostTrack[[#This Row],[Holdback (Y/N/R)]]="Release",CostTrack[[#This Row],[Value]],0)),2)</f>
        <v>0</v>
      </c>
      <c r="H777" s="407">
        <f ca="1">IF(CostTrack[[#This Row],[Holdback (Y/N/R)]]="Release",CostTrack[[#This Row],[Value]],CostTrack[[#This Row],[Value]]+CostTrack[[#This Row],[Holdback Value]])</f>
        <v>774.9</v>
      </c>
      <c r="I777" s="650"/>
      <c r="J777" s="650"/>
      <c r="K777" s="648"/>
      <c r="L777" s="707">
        <v>45628</v>
      </c>
      <c r="M777" s="708">
        <v>45630</v>
      </c>
      <c r="N777" s="709"/>
      <c r="O777" s="712" t="s">
        <v>106</v>
      </c>
      <c r="P777" s="267">
        <v>45630</v>
      </c>
      <c r="Q777" s="243" t="str">
        <f ca="1">IF(CostTrack[[#This Row],[Vendor - Contract]]="","",INDEX(VendorList[PA ID],MATCH(CostTrack[[#This Row],[Vendor - Contract]],VendorList[Vendor / Org. with Contract ID],0)))</f>
        <v>300.040.F1</v>
      </c>
      <c r="R777" s="243" t="str">
        <f ca="1">IF(CostTrack[[#This Row],[Vendor - Contract]]="","",INDEX(VendorList[Primary Category],MATCH(CostTrack[[#This Row],[Vendor - Contract]],VendorList[Vendor / Org. with Contract ID],0)))</f>
        <v>Construction</v>
      </c>
      <c r="S777" s="243" t="str">
        <f ca="1">IF(CostTrack[[#This Row],[Vendor - Contract]]="","",INDEX(VendorList[Secondary Category],MATCH(CostTrack[[#This Row],[Vendor - Contract]],VendorList[Vendor / Org. with Contract ID],0)))</f>
        <v>Other Contractor</v>
      </c>
      <c r="T777" s="243" t="str">
        <f ca="1">IF(CostTrack[[#This Row],[Vendor - Contract]]="","",INDEX(VendorList[Phase / Subproject],MATCH(CostTrack[[#This Row],[Vendor - Contract]],VendorList[Vendor / Org. with Contract ID],0)))</f>
        <v>--</v>
      </c>
      <c r="U777" s="243" t="str">
        <f ca="1">IF(CostTrack[[#This Row],[Vendor - Contract]]="","",INDEX(VendorList[Phase / Subproject 2],MATCH(CostTrack[[#This Row],[Vendor - Contract]],VendorList[Vendor / Org. with Contract ID],0)))</f>
        <v>--</v>
      </c>
      <c r="V777" s="243" t="str">
        <f ca="1">IF(CostTrack[[#This Row],[Vendor - Contract]]="","",INDEX(VendorList[Funding Source],MATCH(CostTrack[[#This Row],[Vendor - Contract]],VendorList[Vendor / Org. with Contract ID],0)))</f>
        <v>P-002360</v>
      </c>
      <c r="W777" s="267">
        <v>45630</v>
      </c>
      <c r="X777" s="251" t="str">
        <f ca="1">IF(CostTrack[[#This Row],[Release Date (CMS)]]="","*","")</f>
        <v/>
      </c>
      <c r="Y777" s="267" t="s">
        <v>63</v>
      </c>
      <c r="Z777" s="652" t="s">
        <v>1472</v>
      </c>
      <c r="AA777" s="245">
        <f ca="1">IF(OR(CostTrack[[#This Row],[Release Date (CMS)]]&gt;=DATE(VALUE(REPLACE(CostTrack[[#This Row],[Fiscal Period]],3,3,"")),3,1),CostTrack[[#This Row],[Release Date (CMS)]]&lt;DATE(VALUE(LEFT(CostTrack[[#This Row],[Fiscal Period]],4)),4,1)),1,0)</f>
        <v>0</v>
      </c>
      <c r="AB777" s="655">
        <v>774.9</v>
      </c>
      <c r="AC777" s="267">
        <v>45664</v>
      </c>
      <c r="AD777" s="402" t="str">
        <f ca="1">IF(CostTrack[[#This Row],[Reconciled Amount]]="","",IF(CostTrack[[#This Row],[Value]]&lt;&gt;CostTrack[[#This Row],[Reconciled Amount]],"Yes","No"))</f>
        <v>No</v>
      </c>
      <c r="AE777" s="654"/>
    </row>
    <row r="778" spans="2:31" ht="38.1" customHeight="1">
      <c r="B778" s="706" t="s">
        <v>529</v>
      </c>
      <c r="C778" s="691" t="s">
        <v>1473</v>
      </c>
      <c r="D778" s="267">
        <v>45596</v>
      </c>
      <c r="E778" s="654">
        <v>470803.21</v>
      </c>
      <c r="F778" s="647" t="s">
        <v>65</v>
      </c>
      <c r="G778" s="406">
        <f ca="1">ROUND(IF(CostTrack[[#This Row],[Holdback (Y/N/R)]]="Yes",CostTrack[[#This Row],[Value]]*-0.1,IF(CostTrack[[#This Row],[Holdback (Y/N/R)]]="Release",CostTrack[[#This Row],[Value]],0)),2)</f>
        <v>-47080.32</v>
      </c>
      <c r="H778" s="407">
        <f ca="1">IF(CostTrack[[#This Row],[Holdback (Y/N/R)]]="Release",CostTrack[[#This Row],[Value]],CostTrack[[#This Row],[Value]]+CostTrack[[#This Row],[Holdback Value]])</f>
        <v>423722.89</v>
      </c>
      <c r="I778" s="650" t="s">
        <v>1474</v>
      </c>
      <c r="J778" s="650"/>
      <c r="K778" s="648"/>
      <c r="L778" s="707">
        <v>45643</v>
      </c>
      <c r="M778" s="708">
        <v>45643</v>
      </c>
      <c r="N778" s="709"/>
      <c r="O778" s="712" t="s">
        <v>106</v>
      </c>
      <c r="P778" s="267">
        <v>45644</v>
      </c>
      <c r="Q778" s="243" t="str">
        <f ca="1">IF(CostTrack[[#This Row],[Vendor - Contract]]="","",INDEX(VendorList[PA ID],MATCH(CostTrack[[#This Row],[Vendor - Contract]],VendorList[Vendor / Org. with Contract ID],0)))</f>
        <v>300.030.F1</v>
      </c>
      <c r="R778" s="243" t="str">
        <f ca="1">IF(CostTrack[[#This Row],[Vendor - Contract]]="","",INDEX(VendorList[Primary Category],MATCH(CostTrack[[#This Row],[Vendor - Contract]],VendorList[Vendor / Org. with Contract ID],0)))</f>
        <v>Construction</v>
      </c>
      <c r="S778" s="243" t="str">
        <f ca="1">IF(CostTrack[[#This Row],[Vendor - Contract]]="","",INDEX(VendorList[Secondary Category],MATCH(CostTrack[[#This Row],[Vendor - Contract]],VendorList[Vendor / Org. with Contract ID],0)))</f>
        <v>Prime Contractor</v>
      </c>
      <c r="T778" s="243" t="str">
        <f ca="1">IF(CostTrack[[#This Row],[Vendor - Contract]]="","",INDEX(VendorList[Phase / Subproject],MATCH(CostTrack[[#This Row],[Vendor - Contract]],VendorList[Vendor / Org. with Contract ID],0)))</f>
        <v>--</v>
      </c>
      <c r="U778" s="243" t="str">
        <f ca="1">IF(CostTrack[[#This Row],[Vendor - Contract]]="","",INDEX(VendorList[Phase / Subproject 2],MATCH(CostTrack[[#This Row],[Vendor - Contract]],VendorList[Vendor / Org. with Contract ID],0)))</f>
        <v>--</v>
      </c>
      <c r="V778" s="243" t="str">
        <f ca="1">IF(CostTrack[[#This Row],[Vendor - Contract]]="","",INDEX(VendorList[Funding Source],MATCH(CostTrack[[#This Row],[Vendor - Contract]],VendorList[Vendor / Org. with Contract ID],0)))</f>
        <v>P-002360</v>
      </c>
      <c r="W778" s="267">
        <v>45644</v>
      </c>
      <c r="X778" s="251" t="str">
        <f ca="1">IF(CostTrack[[#This Row],[Release Date (CMS)]]="","*","")</f>
        <v/>
      </c>
      <c r="Y778" s="267" t="s">
        <v>63</v>
      </c>
      <c r="Z778" s="652" t="s">
        <v>1475</v>
      </c>
      <c r="AA778" s="245">
        <f ca="1">IF(OR(CostTrack[[#This Row],[Release Date (CMS)]]&gt;=DATE(VALUE(REPLACE(CostTrack[[#This Row],[Fiscal Period]],3,3,"")),3,1),CostTrack[[#This Row],[Release Date (CMS)]]&lt;DATE(VALUE(LEFT(CostTrack[[#This Row],[Fiscal Period]],4)),4,1)),1,0)</f>
        <v>0</v>
      </c>
      <c r="AB778" s="655">
        <v>470803.21</v>
      </c>
      <c r="AC778" s="267">
        <v>45664</v>
      </c>
      <c r="AD778" s="402" t="str">
        <f ca="1">IF(CostTrack[[#This Row],[Reconciled Amount]]="","",IF(CostTrack[[#This Row],[Value]]&lt;&gt;CostTrack[[#This Row],[Reconciled Amount]],"Yes","No"))</f>
        <v>No</v>
      </c>
      <c r="AE778" s="654"/>
    </row>
    <row r="779" spans="2:31" ht="44.25" customHeight="1">
      <c r="B779" s="706" t="s">
        <v>731</v>
      </c>
      <c r="C779" s="691">
        <v>800101854</v>
      </c>
      <c r="D779" s="267">
        <v>45635</v>
      </c>
      <c r="E779" s="654">
        <v>52.01</v>
      </c>
      <c r="F779" s="647" t="s">
        <v>69</v>
      </c>
      <c r="G779" s="406">
        <f ca="1">ROUND(IF(CostTrack[[#This Row],[Holdback (Y/N/R)]]="Yes",CostTrack[[#This Row],[Value]]*-0.1,IF(CostTrack[[#This Row],[Holdback (Y/N/R)]]="Release",CostTrack[[#This Row],[Value]],0)),2)</f>
        <v>0</v>
      </c>
      <c r="H779" s="407">
        <f ca="1">IF(CostTrack[[#This Row],[Holdback (Y/N/R)]]="Release",CostTrack[[#This Row],[Value]],CostTrack[[#This Row],[Value]]+CostTrack[[#This Row],[Holdback Value]])</f>
        <v>52.01</v>
      </c>
      <c r="I779" s="650"/>
      <c r="J779" s="650"/>
      <c r="K779" s="648"/>
      <c r="L779" s="707">
        <v>45635</v>
      </c>
      <c r="M779" s="708">
        <v>45635</v>
      </c>
      <c r="N779" s="709"/>
      <c r="O779" s="712" t="s">
        <v>106</v>
      </c>
      <c r="P779" s="267">
        <v>45635</v>
      </c>
      <c r="Q779" s="243" t="str">
        <f ca="1">IF(CostTrack[[#This Row],[Vendor - Contract]]="","",INDEX(VendorList[PA ID],MATCH(CostTrack[[#This Row],[Vendor - Contract]],VendorList[Vendor / Org. with Contract ID],0)))</f>
        <v>100.050.F1</v>
      </c>
      <c r="R779" s="243" t="str">
        <f ca="1">IF(CostTrack[[#This Row],[Vendor - Contract]]="","",INDEX(VendorList[Primary Category],MATCH(CostTrack[[#This Row],[Vendor - Contract]],VendorList[Vendor / Org. with Contract ID],0)))</f>
        <v>Administration</v>
      </c>
      <c r="S779" s="243" t="str">
        <f ca="1">IF(CostTrack[[#This Row],[Vendor - Contract]]="","",INDEX(VendorList[Secondary Category],MATCH(CostTrack[[#This Row],[Vendor - Contract]],VendorList[Vendor / Org. with Contract ID],0)))</f>
        <v>Other Administration</v>
      </c>
      <c r="T779" s="243" t="str">
        <f ca="1">IF(CostTrack[[#This Row],[Vendor - Contract]]="","",INDEX(VendorList[Phase / Subproject],MATCH(CostTrack[[#This Row],[Vendor - Contract]],VendorList[Vendor / Org. with Contract ID],0)))</f>
        <v>--</v>
      </c>
      <c r="U779" s="243" t="str">
        <f ca="1">IF(CostTrack[[#This Row],[Vendor - Contract]]="","",INDEX(VendorList[Phase / Subproject 2],MATCH(CostTrack[[#This Row],[Vendor - Contract]],VendorList[Vendor / Org. with Contract ID],0)))</f>
        <v>--</v>
      </c>
      <c r="V779" s="243" t="str">
        <f ca="1">IF(CostTrack[[#This Row],[Vendor - Contract]]="","",INDEX(VendorList[Funding Source],MATCH(CostTrack[[#This Row],[Vendor - Contract]],VendorList[Vendor / Org. with Contract ID],0)))</f>
        <v>P-002360</v>
      </c>
      <c r="W779" s="267">
        <v>45635</v>
      </c>
      <c r="X779" s="251" t="str">
        <f ca="1">IF(CostTrack[[#This Row],[Release Date (CMS)]]="","*","")</f>
        <v/>
      </c>
      <c r="Y779" s="267" t="s">
        <v>63</v>
      </c>
      <c r="Z779" s="652" t="s">
        <v>1476</v>
      </c>
      <c r="AA779" s="245">
        <f ca="1">IF(OR(CostTrack[[#This Row],[Release Date (CMS)]]&gt;=DATE(VALUE(REPLACE(CostTrack[[#This Row],[Fiscal Period]],3,3,"")),3,1),CostTrack[[#This Row],[Release Date (CMS)]]&lt;DATE(VALUE(LEFT(CostTrack[[#This Row],[Fiscal Period]],4)),4,1)),1,0)</f>
        <v>0</v>
      </c>
      <c r="AB779" s="655">
        <v>52.01</v>
      </c>
      <c r="AC779" s="267">
        <v>45664</v>
      </c>
      <c r="AD779" s="402" t="str">
        <f ca="1">IF(CostTrack[[#This Row],[Reconciled Amount]]="","",IF(CostTrack[[#This Row],[Value]]&lt;&gt;CostTrack[[#This Row],[Reconciled Amount]],"Yes","No"))</f>
        <v>No</v>
      </c>
      <c r="AE779" s="654"/>
    </row>
    <row r="780" spans="2:31" ht="47.1" customHeight="1">
      <c r="B780" s="706" t="s">
        <v>731</v>
      </c>
      <c r="C780" s="691">
        <v>800107901</v>
      </c>
      <c r="D780" s="267">
        <v>45646</v>
      </c>
      <c r="E780" s="654">
        <v>71.510000000000005</v>
      </c>
      <c r="F780" s="647" t="s">
        <v>69</v>
      </c>
      <c r="G780" s="406">
        <f ca="1">ROUND(IF(CostTrack[[#This Row],[Holdback (Y/N/R)]]="Yes",CostTrack[[#This Row],[Value]]*-0.1,IF(CostTrack[[#This Row],[Holdback (Y/N/R)]]="Release",CostTrack[[#This Row],[Value]],0)),2)</f>
        <v>0</v>
      </c>
      <c r="H780" s="407">
        <f ca="1">IF(CostTrack[[#This Row],[Holdback (Y/N/R)]]="Release",CostTrack[[#This Row],[Value]],CostTrack[[#This Row],[Value]]+CostTrack[[#This Row],[Holdback Value]])</f>
        <v>71.510000000000005</v>
      </c>
      <c r="I780" s="650"/>
      <c r="J780" s="650"/>
      <c r="K780" s="648"/>
      <c r="L780" s="707">
        <v>45646</v>
      </c>
      <c r="M780" s="708">
        <v>45646</v>
      </c>
      <c r="N780" s="709"/>
      <c r="O780" s="712" t="s">
        <v>106</v>
      </c>
      <c r="P780" s="267">
        <v>45646</v>
      </c>
      <c r="Q780" s="243" t="str">
        <f ca="1">IF(CostTrack[[#This Row],[Vendor - Contract]]="","",INDEX(VendorList[PA ID],MATCH(CostTrack[[#This Row],[Vendor - Contract]],VendorList[Vendor / Org. with Contract ID],0)))</f>
        <v>100.050.F1</v>
      </c>
      <c r="R780" s="243" t="str">
        <f ca="1">IF(CostTrack[[#This Row],[Vendor - Contract]]="","",INDEX(VendorList[Primary Category],MATCH(CostTrack[[#This Row],[Vendor - Contract]],VendorList[Vendor / Org. with Contract ID],0)))</f>
        <v>Administration</v>
      </c>
      <c r="S780" s="243" t="str">
        <f ca="1">IF(CostTrack[[#This Row],[Vendor - Contract]]="","",INDEX(VendorList[Secondary Category],MATCH(CostTrack[[#This Row],[Vendor - Contract]],VendorList[Vendor / Org. with Contract ID],0)))</f>
        <v>Other Administration</v>
      </c>
      <c r="T780" s="243" t="str">
        <f ca="1">IF(CostTrack[[#This Row],[Vendor - Contract]]="","",INDEX(VendorList[Phase / Subproject],MATCH(CostTrack[[#This Row],[Vendor - Contract]],VendorList[Vendor / Org. with Contract ID],0)))</f>
        <v>--</v>
      </c>
      <c r="U780" s="243" t="str">
        <f ca="1">IF(CostTrack[[#This Row],[Vendor - Contract]]="","",INDEX(VendorList[Phase / Subproject 2],MATCH(CostTrack[[#This Row],[Vendor - Contract]],VendorList[Vendor / Org. with Contract ID],0)))</f>
        <v>--</v>
      </c>
      <c r="V780" s="243" t="str">
        <f ca="1">IF(CostTrack[[#This Row],[Vendor - Contract]]="","",INDEX(VendorList[Funding Source],MATCH(CostTrack[[#This Row],[Vendor - Contract]],VendorList[Vendor / Org. with Contract ID],0)))</f>
        <v>P-002360</v>
      </c>
      <c r="W780" s="267">
        <v>45646</v>
      </c>
      <c r="X780" s="251" t="str">
        <f ca="1">IF(CostTrack[[#This Row],[Release Date (CMS)]]="","*","")</f>
        <v/>
      </c>
      <c r="Y780" s="267" t="s">
        <v>63</v>
      </c>
      <c r="Z780" s="652" t="s">
        <v>1477</v>
      </c>
      <c r="AA780" s="245">
        <f ca="1">IF(OR(CostTrack[[#This Row],[Release Date (CMS)]]&gt;=DATE(VALUE(REPLACE(CostTrack[[#This Row],[Fiscal Period]],3,3,"")),3,1),CostTrack[[#This Row],[Release Date (CMS)]]&lt;DATE(VALUE(LEFT(CostTrack[[#This Row],[Fiscal Period]],4)),4,1)),1,0)</f>
        <v>0</v>
      </c>
      <c r="AB780" s="655">
        <v>71.510000000000005</v>
      </c>
      <c r="AC780" s="267">
        <v>45664</v>
      </c>
      <c r="AD780" s="402" t="str">
        <f ca="1">IF(CostTrack[[#This Row],[Reconciled Amount]]="","",IF(CostTrack[[#This Row],[Value]]&lt;&gt;CostTrack[[#This Row],[Reconciled Amount]],"Yes","No"))</f>
        <v>No</v>
      </c>
      <c r="AE780" s="654"/>
    </row>
    <row r="781" spans="2:31" ht="38.1" customHeight="1">
      <c r="B781" s="706" t="s">
        <v>736</v>
      </c>
      <c r="C781" s="691" t="s">
        <v>1478</v>
      </c>
      <c r="D781" s="267">
        <v>45657</v>
      </c>
      <c r="E781" s="654">
        <v>37191.47</v>
      </c>
      <c r="F781" s="647" t="s">
        <v>69</v>
      </c>
      <c r="G781" s="406">
        <f ca="1">ROUND(IF(CostTrack[[#This Row],[Holdback (Y/N/R)]]="Yes",CostTrack[[#This Row],[Value]]*-0.1,IF(CostTrack[[#This Row],[Holdback (Y/N/R)]]="Release",CostTrack[[#This Row],[Value]],0)),2)</f>
        <v>0</v>
      </c>
      <c r="H781" s="407">
        <f ca="1">IF(CostTrack[[#This Row],[Holdback (Y/N/R)]]="Release",CostTrack[[#This Row],[Value]],CostTrack[[#This Row],[Value]]+CostTrack[[#This Row],[Holdback Value]])</f>
        <v>37191.47</v>
      </c>
      <c r="I781" s="650"/>
      <c r="J781" s="650"/>
      <c r="K781" s="648"/>
      <c r="L781" s="707">
        <v>45657</v>
      </c>
      <c r="M781" s="708">
        <v>45657</v>
      </c>
      <c r="N781" s="709"/>
      <c r="O781" s="712" t="s">
        <v>106</v>
      </c>
      <c r="P781" s="267">
        <v>45657</v>
      </c>
      <c r="Q781" s="243" t="str">
        <f ca="1">IF(CostTrack[[#This Row],[Vendor - Contract]]="","",INDEX(VendorList[PA ID],MATCH(CostTrack[[#This Row],[Vendor - Contract]],VendorList[Vendor / Org. with Contract ID],0)))</f>
        <v>100.010.F1</v>
      </c>
      <c r="R781" s="243" t="str">
        <f ca="1">IF(CostTrack[[#This Row],[Vendor - Contract]]="","",INDEX(VendorList[Primary Category],MATCH(CostTrack[[#This Row],[Vendor - Contract]],VendorList[Vendor / Org. with Contract ID],0)))</f>
        <v>Administration</v>
      </c>
      <c r="S781" s="243" t="str">
        <f ca="1">IF(CostTrack[[#This Row],[Vendor - Contract]]="","",INDEX(VendorList[Secondary Category],MATCH(CostTrack[[#This Row],[Vendor - Contract]],VendorList[Vendor / Org. with Contract ID],0)))</f>
        <v>Staff Capitalization - INFRA</v>
      </c>
      <c r="T781" s="243" t="str">
        <f ca="1">IF(CostTrack[[#This Row],[Vendor - Contract]]="","",INDEX(VendorList[Phase / Subproject],MATCH(CostTrack[[#This Row],[Vendor - Contract]],VendorList[Vendor / Org. with Contract ID],0)))</f>
        <v>--</v>
      </c>
      <c r="U781" s="243" t="str">
        <f ca="1">IF(CostTrack[[#This Row],[Vendor - Contract]]="","",INDEX(VendorList[Phase / Subproject 2],MATCH(CostTrack[[#This Row],[Vendor - Contract]],VendorList[Vendor / Org. with Contract ID],0)))</f>
        <v>--</v>
      </c>
      <c r="V781" s="243" t="str">
        <f ca="1">IF(CostTrack[[#This Row],[Vendor - Contract]]="","",INDEX(VendorList[Funding Source],MATCH(CostTrack[[#This Row],[Vendor - Contract]],VendorList[Vendor / Org. with Contract ID],0)))</f>
        <v>P-002360</v>
      </c>
      <c r="W781" s="267">
        <v>45657</v>
      </c>
      <c r="X781" s="251" t="str">
        <f ca="1">IF(CostTrack[[#This Row],[Release Date (CMS)]]="","*","")</f>
        <v/>
      </c>
      <c r="Y781" s="267" t="s">
        <v>63</v>
      </c>
      <c r="Z781" s="652"/>
      <c r="AA781" s="245">
        <f ca="1">IF(OR(CostTrack[[#This Row],[Release Date (CMS)]]&gt;=DATE(VALUE(REPLACE(CostTrack[[#This Row],[Fiscal Period]],3,3,"")),3,1),CostTrack[[#This Row],[Release Date (CMS)]]&lt;DATE(VALUE(LEFT(CostTrack[[#This Row],[Fiscal Period]],4)),4,1)),1,0)</f>
        <v>0</v>
      </c>
      <c r="AB781" s="655">
        <v>37191.47</v>
      </c>
      <c r="AC781" s="267">
        <v>45664</v>
      </c>
      <c r="AD781" s="402" t="str">
        <f ca="1">IF(CostTrack[[#This Row],[Reconciled Amount]]="","",IF(CostTrack[[#This Row],[Value]]&lt;&gt;CostTrack[[#This Row],[Reconciled Amount]],"Yes","No"))</f>
        <v>No</v>
      </c>
      <c r="AE781" s="654"/>
    </row>
    <row r="782" spans="2:31" ht="38.1" customHeight="1">
      <c r="B782" s="1324" t="s">
        <v>624</v>
      </c>
      <c r="C782" s="1334">
        <v>1960380</v>
      </c>
      <c r="D782" s="1308">
        <v>45643</v>
      </c>
      <c r="E782" s="658">
        <v>8315</v>
      </c>
      <c r="F782" s="1309" t="s">
        <v>69</v>
      </c>
      <c r="G782" s="1310">
        <f ca="1">ROUND(IF(CostTrack[[#This Row],[Holdback (Y/N/R)]]="Yes",CostTrack[[#This Row],[Value]]*-0.1,IF(CostTrack[[#This Row],[Holdback (Y/N/R)]]="Release",CostTrack[[#This Row],[Value]],0)),2)</f>
        <v>0</v>
      </c>
      <c r="H782" s="1311">
        <f ca="1">IF(CostTrack[[#This Row],[Holdback (Y/N/R)]]="Release",CostTrack[[#This Row],[Value]],CostTrack[[#This Row],[Value]]+CostTrack[[#This Row],[Holdback Value]])</f>
        <v>8315</v>
      </c>
      <c r="I782" s="1312"/>
      <c r="J782" s="1312"/>
      <c r="K782" s="1313"/>
      <c r="L782" s="1325">
        <v>45643</v>
      </c>
      <c r="M782" s="1326">
        <v>45663</v>
      </c>
      <c r="N782" s="1327" t="s">
        <v>175</v>
      </c>
      <c r="O782" s="1328" t="s">
        <v>106</v>
      </c>
      <c r="P782" s="1308">
        <v>45663</v>
      </c>
      <c r="Q782" s="1314" t="str">
        <f ca="1">IF(CostTrack[[#This Row],[Vendor - Contract]]="","",INDEX(VendorList[PA ID],MATCH(CostTrack[[#This Row],[Vendor - Contract]],VendorList[Vendor / Org. with Contract ID],0)))</f>
        <v>200.040.F1</v>
      </c>
      <c r="R782" s="1314" t="str">
        <f ca="1">IF(CostTrack[[#This Row],[Vendor - Contract]]="","",INDEX(VendorList[Primary Category],MATCH(CostTrack[[#This Row],[Vendor - Contract]],VendorList[Vendor / Org. with Contract ID],0)))</f>
        <v>Professional Services</v>
      </c>
      <c r="S782" s="1314" t="str">
        <f ca="1">IF(CostTrack[[#This Row],[Vendor - Contract]]="","",INDEX(VendorList[Secondary Category],MATCH(CostTrack[[#This Row],[Vendor - Contract]],VendorList[Vendor / Org. with Contract ID],0)))</f>
        <v>Commissioning</v>
      </c>
      <c r="T782" s="1314" t="str">
        <f ca="1">IF(CostTrack[[#This Row],[Vendor - Contract]]="","",INDEX(VendorList[Phase / Subproject],MATCH(CostTrack[[#This Row],[Vendor - Contract]],VendorList[Vendor / Org. with Contract ID],0)))</f>
        <v>--</v>
      </c>
      <c r="U782" s="1314" t="str">
        <f ca="1">IF(CostTrack[[#This Row],[Vendor - Contract]]="","",INDEX(VendorList[Phase / Subproject 2],MATCH(CostTrack[[#This Row],[Vendor - Contract]],VendorList[Vendor / Org. with Contract ID],0)))</f>
        <v>--</v>
      </c>
      <c r="V782" s="1314" t="str">
        <f ca="1">IF(CostTrack[[#This Row],[Vendor - Contract]]="","",INDEX(VendorList[Funding Source],MATCH(CostTrack[[#This Row],[Vendor - Contract]],VendorList[Vendor / Org. with Contract ID],0)))</f>
        <v>P-002360</v>
      </c>
      <c r="W782" s="1308">
        <v>45663</v>
      </c>
      <c r="X782" s="1315" t="str">
        <f ca="1">IF(CostTrack[[#This Row],[Release Date (CMS)]]="","*","")</f>
        <v/>
      </c>
      <c r="Y782" s="1308" t="s">
        <v>63</v>
      </c>
      <c r="Z782" s="713" t="s">
        <v>1479</v>
      </c>
      <c r="AA782" s="1316">
        <f ca="1">IF(OR(CostTrack[[#This Row],[Release Date (CMS)]]&gt;=DATE(VALUE(REPLACE(CostTrack[[#This Row],[Fiscal Period]],3,3,"")),3,1),CostTrack[[#This Row],[Release Date (CMS)]]&lt;DATE(VALUE(LEFT(CostTrack[[#This Row],[Fiscal Period]],4)),4,1)),1,0)</f>
        <v>0</v>
      </c>
      <c r="AB782" s="1317">
        <v>8315</v>
      </c>
      <c r="AC782" s="1308">
        <v>45706</v>
      </c>
      <c r="AD782" s="402" t="str">
        <f ca="1">IF(CostTrack[[#This Row],[Reconciled Amount]]="","",IF(CostTrack[[#This Row],[Value]]&lt;&gt;CostTrack[[#This Row],[Reconciled Amount]],"Yes","No"))</f>
        <v>No</v>
      </c>
      <c r="AE782" s="658"/>
    </row>
    <row r="783" spans="2:31" ht="38.1" customHeight="1">
      <c r="B783" s="1324" t="s">
        <v>529</v>
      </c>
      <c r="C783" s="1334">
        <v>31084</v>
      </c>
      <c r="D783" s="1308">
        <v>45626</v>
      </c>
      <c r="E783" s="658">
        <v>371245.77</v>
      </c>
      <c r="F783" s="1309" t="s">
        <v>65</v>
      </c>
      <c r="G783" s="1310">
        <f ca="1">ROUND(IF(CostTrack[[#This Row],[Holdback (Y/N/R)]]="Yes",CostTrack[[#This Row],[Value]]*-0.1,IF(CostTrack[[#This Row],[Holdback (Y/N/R)]]="Release",CostTrack[[#This Row],[Value]],0)),2)</f>
        <v>-37124.58</v>
      </c>
      <c r="H783" s="1311">
        <f ca="1">IF(CostTrack[[#This Row],[Holdback (Y/N/R)]]="Release",CostTrack[[#This Row],[Value]],CostTrack[[#This Row],[Value]]+CostTrack[[#This Row],[Holdback Value]])</f>
        <v>334121.19</v>
      </c>
      <c r="I783" s="1312"/>
      <c r="J783" s="1312"/>
      <c r="K783" s="1313"/>
      <c r="L783" s="1325">
        <v>45664</v>
      </c>
      <c r="M783" s="1326">
        <v>45664</v>
      </c>
      <c r="N783" s="1327"/>
      <c r="O783" s="1328" t="s">
        <v>106</v>
      </c>
      <c r="P783" s="1308">
        <v>45665</v>
      </c>
      <c r="Q783" s="1314" t="str">
        <f ca="1">IF(CostTrack[[#This Row],[Vendor - Contract]]="","",INDEX(VendorList[PA ID],MATCH(CostTrack[[#This Row],[Vendor - Contract]],VendorList[Vendor / Org. with Contract ID],0)))</f>
        <v>300.030.F1</v>
      </c>
      <c r="R783" s="1314" t="str">
        <f ca="1">IF(CostTrack[[#This Row],[Vendor - Contract]]="","",INDEX(VendorList[Primary Category],MATCH(CostTrack[[#This Row],[Vendor - Contract]],VendorList[Vendor / Org. with Contract ID],0)))</f>
        <v>Construction</v>
      </c>
      <c r="S783" s="1314" t="str">
        <f ca="1">IF(CostTrack[[#This Row],[Vendor - Contract]]="","",INDEX(VendorList[Secondary Category],MATCH(CostTrack[[#This Row],[Vendor - Contract]],VendorList[Vendor / Org. with Contract ID],0)))</f>
        <v>Prime Contractor</v>
      </c>
      <c r="T783" s="1314" t="str">
        <f ca="1">IF(CostTrack[[#This Row],[Vendor - Contract]]="","",INDEX(VendorList[Phase / Subproject],MATCH(CostTrack[[#This Row],[Vendor - Contract]],VendorList[Vendor / Org. with Contract ID],0)))</f>
        <v>--</v>
      </c>
      <c r="U783" s="1314" t="str">
        <f ca="1">IF(CostTrack[[#This Row],[Vendor - Contract]]="","",INDEX(VendorList[Phase / Subproject 2],MATCH(CostTrack[[#This Row],[Vendor - Contract]],VendorList[Vendor / Org. with Contract ID],0)))</f>
        <v>--</v>
      </c>
      <c r="V783" s="1314" t="str">
        <f ca="1">IF(CostTrack[[#This Row],[Vendor - Contract]]="","",INDEX(VendorList[Funding Source],MATCH(CostTrack[[#This Row],[Vendor - Contract]],VendorList[Vendor / Org. with Contract ID],0)))</f>
        <v>P-002360</v>
      </c>
      <c r="W783" s="1308">
        <v>45665</v>
      </c>
      <c r="X783" s="1315" t="str">
        <f ca="1">IF(CostTrack[[#This Row],[Release Date (CMS)]]="","*","")</f>
        <v/>
      </c>
      <c r="Y783" s="1308" t="s">
        <v>63</v>
      </c>
      <c r="Z783" s="713" t="s">
        <v>1480</v>
      </c>
      <c r="AA783" s="1316">
        <f ca="1">IF(OR(CostTrack[[#This Row],[Release Date (CMS)]]&gt;=DATE(VALUE(REPLACE(CostTrack[[#This Row],[Fiscal Period]],3,3,"")),3,1),CostTrack[[#This Row],[Release Date (CMS)]]&lt;DATE(VALUE(LEFT(CostTrack[[#This Row],[Fiscal Period]],4)),4,1)),1,0)</f>
        <v>0</v>
      </c>
      <c r="AB783" s="1317">
        <v>371245.77</v>
      </c>
      <c r="AC783" s="1308">
        <v>45706</v>
      </c>
      <c r="AD783" s="402" t="str">
        <f ca="1">IF(CostTrack[[#This Row],[Reconciled Amount]]="","",IF(CostTrack[[#This Row],[Value]]&lt;&gt;CostTrack[[#This Row],[Reconciled Amount]],"Yes","No"))</f>
        <v>No</v>
      </c>
      <c r="AE783" s="658"/>
    </row>
    <row r="784" spans="2:31" ht="38.1" customHeight="1">
      <c r="B784" s="706" t="s">
        <v>527</v>
      </c>
      <c r="C784" s="691">
        <v>240648</v>
      </c>
      <c r="D784" s="267">
        <v>45657</v>
      </c>
      <c r="E784" s="654">
        <v>8233.5</v>
      </c>
      <c r="F784" s="647" t="s">
        <v>69</v>
      </c>
      <c r="G784" s="406">
        <f ca="1">ROUND(IF(CostTrack[[#This Row],[Holdback (Y/N/R)]]="Yes",CostTrack[[#This Row],[Value]]*-0.1,IF(CostTrack[[#This Row],[Holdback (Y/N/R)]]="Release",CostTrack[[#This Row],[Value]],0)),2)</f>
        <v>0</v>
      </c>
      <c r="H784" s="407">
        <f ca="1">IF(CostTrack[[#This Row],[Holdback (Y/N/R)]]="Release",CostTrack[[#This Row],[Value]],CostTrack[[#This Row],[Value]]+CostTrack[[#This Row],[Holdback Value]])</f>
        <v>8233.5</v>
      </c>
      <c r="I784" s="650"/>
      <c r="J784" s="650"/>
      <c r="K784" s="648"/>
      <c r="L784" s="707">
        <v>45666</v>
      </c>
      <c r="M784" s="708">
        <v>45666</v>
      </c>
      <c r="N784" s="709"/>
      <c r="O784" s="712" t="s">
        <v>106</v>
      </c>
      <c r="P784" s="267">
        <v>45666</v>
      </c>
      <c r="Q784" s="243" t="str">
        <f ca="1">IF(CostTrack[[#This Row],[Vendor - Contract]]="","",INDEX(VendorList[PA ID],MATCH(CostTrack[[#This Row],[Vendor - Contract]],VendorList[Vendor / Org. with Contract ID],0)))</f>
        <v>200.010.F1</v>
      </c>
      <c r="R784" s="243" t="str">
        <f ca="1">IF(CostTrack[[#This Row],[Vendor - Contract]]="","",INDEX(VendorList[Primary Category],MATCH(CostTrack[[#This Row],[Vendor - Contract]],VendorList[Vendor / Org. with Contract ID],0)))</f>
        <v>Professional Services</v>
      </c>
      <c r="S784" s="243" t="str">
        <f ca="1">IF(CostTrack[[#This Row],[Vendor - Contract]]="","",INDEX(VendorList[Secondary Category],MATCH(CostTrack[[#This Row],[Vendor - Contract]],VendorList[Vendor / Org. with Contract ID],0)))</f>
        <v>Prime Consultant</v>
      </c>
      <c r="T784" s="243" t="str">
        <f ca="1">IF(CostTrack[[#This Row],[Vendor - Contract]]="","",INDEX(VendorList[Phase / Subproject],MATCH(CostTrack[[#This Row],[Vendor - Contract]],VendorList[Vendor / Org. with Contract ID],0)))</f>
        <v>--</v>
      </c>
      <c r="U784" s="243" t="str">
        <f ca="1">IF(CostTrack[[#This Row],[Vendor - Contract]]="","",INDEX(VendorList[Phase / Subproject 2],MATCH(CostTrack[[#This Row],[Vendor - Contract]],VendorList[Vendor / Org. with Contract ID],0)))</f>
        <v>--</v>
      </c>
      <c r="V784" s="243" t="str">
        <f ca="1">IF(CostTrack[[#This Row],[Vendor - Contract]]="","",INDEX(VendorList[Funding Source],MATCH(CostTrack[[#This Row],[Vendor - Contract]],VendorList[Vendor / Org. with Contract ID],0)))</f>
        <v>P-002360</v>
      </c>
      <c r="W784" s="267">
        <v>45666</v>
      </c>
      <c r="X784" s="251" t="str">
        <f ca="1">IF(CostTrack[[#This Row],[Release Date (CMS)]]="","*","")</f>
        <v/>
      </c>
      <c r="Y784" s="267" t="s">
        <v>63</v>
      </c>
      <c r="Z784" s="652" t="s">
        <v>1481</v>
      </c>
      <c r="AA784" s="245">
        <f ca="1">IF(OR(CostTrack[[#This Row],[Release Date (CMS)]]&gt;=DATE(VALUE(REPLACE(CostTrack[[#This Row],[Fiscal Period]],3,3,"")),3,1),CostTrack[[#This Row],[Release Date (CMS)]]&lt;DATE(VALUE(LEFT(CostTrack[[#This Row],[Fiscal Period]],4)),4,1)),1,0)</f>
        <v>0</v>
      </c>
      <c r="AB784" s="655">
        <v>8233.5</v>
      </c>
      <c r="AC784" s="267">
        <v>45706</v>
      </c>
      <c r="AD784" s="402" t="str">
        <f ca="1">IF(CostTrack[[#This Row],[Reconciled Amount]]="","",IF(CostTrack[[#This Row],[Value]]&lt;&gt;CostTrack[[#This Row],[Reconciled Amount]],"Yes","No"))</f>
        <v>No</v>
      </c>
      <c r="AE784" s="654"/>
    </row>
    <row r="785" spans="2:31" ht="38.1" customHeight="1">
      <c r="B785" s="706" t="s">
        <v>679</v>
      </c>
      <c r="C785" s="1034" t="s">
        <v>1482</v>
      </c>
      <c r="D785" s="267">
        <v>45596</v>
      </c>
      <c r="E785" s="654">
        <v>38375.5</v>
      </c>
      <c r="F785" s="647" t="s">
        <v>69</v>
      </c>
      <c r="G785" s="406">
        <f ca="1">ROUND(IF(CostTrack[[#This Row],[Holdback (Y/N/R)]]="Yes",CostTrack[[#This Row],[Value]]*-0.1,IF(CostTrack[[#This Row],[Holdback (Y/N/R)]]="Release",CostTrack[[#This Row],[Value]],0)),2)</f>
        <v>0</v>
      </c>
      <c r="H785" s="407">
        <f ca="1">IF(CostTrack[[#This Row],[Holdback (Y/N/R)]]="Release",CostTrack[[#This Row],[Value]],CostTrack[[#This Row],[Value]]+CostTrack[[#This Row],[Holdback Value]])</f>
        <v>38375.5</v>
      </c>
      <c r="I785" s="650"/>
      <c r="J785" s="650"/>
      <c r="K785" s="648"/>
      <c r="L785" s="707">
        <v>45684</v>
      </c>
      <c r="M785" s="708">
        <v>45684</v>
      </c>
      <c r="N785" s="709"/>
      <c r="O785" s="712" t="s">
        <v>106</v>
      </c>
      <c r="P785" s="267">
        <v>45684</v>
      </c>
      <c r="Q785" s="243" t="str">
        <f ca="1">IF(CostTrack[[#This Row],[Vendor - Contract]]="","",INDEX(VendorList[PA ID],MATCH(CostTrack[[#This Row],[Vendor - Contract]],VendorList[Vendor / Org. with Contract ID],0)))</f>
        <v>400.020.F1</v>
      </c>
      <c r="R785" s="243" t="str">
        <f ca="1">IF(CostTrack[[#This Row],[Vendor - Contract]]="","",INDEX(VendorList[Primary Category],MATCH(CostTrack[[#This Row],[Vendor - Contract]],VendorList[Vendor / Org. with Contract ID],0)))</f>
        <v>FE_IT</v>
      </c>
      <c r="S785" s="243" t="str">
        <f ca="1">IF(CostTrack[[#This Row],[Vendor - Contract]]="","",INDEX(VendorList[Secondary Category],MATCH(CostTrack[[#This Row],[Vendor - Contract]],VendorList[Vendor / Org. with Contract ID],0)))</f>
        <v>Information Technology</v>
      </c>
      <c r="T785" s="243" t="str">
        <f ca="1">IF(CostTrack[[#This Row],[Vendor - Contract]]="","",INDEX(VendorList[Phase / Subproject],MATCH(CostTrack[[#This Row],[Vendor - Contract]],VendorList[Vendor / Org. with Contract ID],0)))</f>
        <v>--</v>
      </c>
      <c r="U785" s="243" t="str">
        <f ca="1">IF(CostTrack[[#This Row],[Vendor - Contract]]="","",INDEX(VendorList[Phase / Subproject 2],MATCH(CostTrack[[#This Row],[Vendor - Contract]],VendorList[Vendor / Org. with Contract ID],0)))</f>
        <v>--</v>
      </c>
      <c r="V785" s="243" t="str">
        <f ca="1">IF(CostTrack[[#This Row],[Vendor - Contract]]="","",INDEX(VendorList[Funding Source],MATCH(CostTrack[[#This Row],[Vendor - Contract]],VendorList[Vendor / Org. with Contract ID],0)))</f>
        <v>P-002360</v>
      </c>
      <c r="W785" s="267">
        <v>45684</v>
      </c>
      <c r="X785" s="251" t="str">
        <f ca="1">IF(CostTrack[[#This Row],[Release Date (CMS)]]="","*","")</f>
        <v/>
      </c>
      <c r="Y785" s="267" t="s">
        <v>63</v>
      </c>
      <c r="Z785" s="652" t="s">
        <v>1483</v>
      </c>
      <c r="AA785" s="245">
        <f ca="1">IF(OR(CostTrack[[#This Row],[Release Date (CMS)]]&gt;=DATE(VALUE(REPLACE(CostTrack[[#This Row],[Fiscal Period]],3,3,"")),3,1),CostTrack[[#This Row],[Release Date (CMS)]]&lt;DATE(VALUE(LEFT(CostTrack[[#This Row],[Fiscal Period]],4)),4,1)),1,0)</f>
        <v>0</v>
      </c>
      <c r="AB785" s="655">
        <v>38375.5</v>
      </c>
      <c r="AC785" s="267">
        <v>45706</v>
      </c>
      <c r="AD785" s="402" t="str">
        <f ca="1">IF(CostTrack[[#This Row],[Reconciled Amount]]="","",IF(CostTrack[[#This Row],[Value]]&lt;&gt;CostTrack[[#This Row],[Reconciled Amount]],"Yes","No"))</f>
        <v>No</v>
      </c>
      <c r="AE785" s="654"/>
    </row>
    <row r="786" spans="2:31" ht="38.1" customHeight="1">
      <c r="B786" s="706" t="s">
        <v>624</v>
      </c>
      <c r="C786" s="691">
        <v>1970672</v>
      </c>
      <c r="D786" s="267">
        <v>45687</v>
      </c>
      <c r="E786" s="654">
        <v>3242</v>
      </c>
      <c r="F786" s="647" t="s">
        <v>69</v>
      </c>
      <c r="G786" s="406">
        <f ca="1">ROUND(IF(CostTrack[[#This Row],[Holdback (Y/N/R)]]="Yes",CostTrack[[#This Row],[Value]]*-0.1,IF(CostTrack[[#This Row],[Holdback (Y/N/R)]]="Release",CostTrack[[#This Row],[Value]],0)),2)</f>
        <v>0</v>
      </c>
      <c r="H786" s="407">
        <f ca="1">IF(CostTrack[[#This Row],[Holdback (Y/N/R)]]="Release",CostTrack[[#This Row],[Value]],CostTrack[[#This Row],[Value]]+CostTrack[[#This Row],[Holdback Value]])</f>
        <v>3242</v>
      </c>
      <c r="I786" s="650"/>
      <c r="J786" s="650"/>
      <c r="K786" s="648"/>
      <c r="L786" s="707">
        <v>45687</v>
      </c>
      <c r="M786" s="708">
        <v>45687</v>
      </c>
      <c r="N786" s="709"/>
      <c r="O786" s="712" t="s">
        <v>106</v>
      </c>
      <c r="P786" s="267">
        <v>45688</v>
      </c>
      <c r="Q786" s="243" t="str">
        <f ca="1">IF(CostTrack[[#This Row],[Vendor - Contract]]="","",INDEX(VendorList[PA ID],MATCH(CostTrack[[#This Row],[Vendor - Contract]],VendorList[Vendor / Org. with Contract ID],0)))</f>
        <v>200.040.F1</v>
      </c>
      <c r="R786" s="243" t="str">
        <f ca="1">IF(CostTrack[[#This Row],[Vendor - Contract]]="","",INDEX(VendorList[Primary Category],MATCH(CostTrack[[#This Row],[Vendor - Contract]],VendorList[Vendor / Org. with Contract ID],0)))</f>
        <v>Professional Services</v>
      </c>
      <c r="S786" s="243" t="str">
        <f ca="1">IF(CostTrack[[#This Row],[Vendor - Contract]]="","",INDEX(VendorList[Secondary Category],MATCH(CostTrack[[#This Row],[Vendor - Contract]],VendorList[Vendor / Org. with Contract ID],0)))</f>
        <v>Commissioning</v>
      </c>
      <c r="T786" s="243" t="str">
        <f ca="1">IF(CostTrack[[#This Row],[Vendor - Contract]]="","",INDEX(VendorList[Phase / Subproject],MATCH(CostTrack[[#This Row],[Vendor - Contract]],VendorList[Vendor / Org. with Contract ID],0)))</f>
        <v>--</v>
      </c>
      <c r="U786" s="243" t="str">
        <f ca="1">IF(CostTrack[[#This Row],[Vendor - Contract]]="","",INDEX(VendorList[Phase / Subproject 2],MATCH(CostTrack[[#This Row],[Vendor - Contract]],VendorList[Vendor / Org. with Contract ID],0)))</f>
        <v>--</v>
      </c>
      <c r="V786" s="243" t="str">
        <f ca="1">IF(CostTrack[[#This Row],[Vendor - Contract]]="","",INDEX(VendorList[Funding Source],MATCH(CostTrack[[#This Row],[Vendor - Contract]],VendorList[Vendor / Org. with Contract ID],0)))</f>
        <v>P-002360</v>
      </c>
      <c r="W786" s="267">
        <v>45688</v>
      </c>
      <c r="X786" s="251" t="str">
        <f ca="1">IF(CostTrack[[#This Row],[Release Date (CMS)]]="","*","")</f>
        <v/>
      </c>
      <c r="Y786" s="267" t="s">
        <v>63</v>
      </c>
      <c r="Z786" s="652" t="s">
        <v>1484</v>
      </c>
      <c r="AA786" s="245">
        <f ca="1">IF(OR(CostTrack[[#This Row],[Release Date (CMS)]]&gt;=DATE(VALUE(REPLACE(CostTrack[[#This Row],[Fiscal Period]],3,3,"")),3,1),CostTrack[[#This Row],[Release Date (CMS)]]&lt;DATE(VALUE(LEFT(CostTrack[[#This Row],[Fiscal Period]],4)),4,1)),1,0)</f>
        <v>0</v>
      </c>
      <c r="AB786" s="655">
        <v>3242</v>
      </c>
      <c r="AC786" s="267">
        <v>45706</v>
      </c>
      <c r="AD786" s="402" t="str">
        <f ca="1">IF(CostTrack[[#This Row],[Reconciled Amount]]="","",IF(CostTrack[[#This Row],[Value]]&lt;&gt;CostTrack[[#This Row],[Reconciled Amount]],"Yes","No"))</f>
        <v>No</v>
      </c>
      <c r="AE786" s="654"/>
    </row>
    <row r="787" spans="2:31" ht="38.1" customHeight="1">
      <c r="B787" s="706" t="s">
        <v>527</v>
      </c>
      <c r="C787" s="691" t="s">
        <v>1485</v>
      </c>
      <c r="D787" s="267">
        <v>45688</v>
      </c>
      <c r="E787" s="654">
        <v>31484.55</v>
      </c>
      <c r="F787" s="647" t="s">
        <v>69</v>
      </c>
      <c r="G787" s="406">
        <f ca="1">ROUND(IF(CostTrack[[#This Row],[Holdback (Y/N/R)]]="Yes",CostTrack[[#This Row],[Value]]*-0.1,IF(CostTrack[[#This Row],[Holdback (Y/N/R)]]="Release",CostTrack[[#This Row],[Value]],0)),2)</f>
        <v>0</v>
      </c>
      <c r="H787" s="407">
        <f ca="1">IF(CostTrack[[#This Row],[Holdback (Y/N/R)]]="Release",CostTrack[[#This Row],[Value]],CostTrack[[#This Row],[Value]]+CostTrack[[#This Row],[Holdback Value]])</f>
        <v>31484.55</v>
      </c>
      <c r="I787" s="650"/>
      <c r="J787" s="650"/>
      <c r="K787" s="648"/>
      <c r="L787" s="707">
        <v>45694</v>
      </c>
      <c r="M787" s="708">
        <v>45698</v>
      </c>
      <c r="N787" s="709"/>
      <c r="O787" s="712" t="s">
        <v>106</v>
      </c>
      <c r="P787" s="267">
        <v>45698</v>
      </c>
      <c r="Q787" s="243" t="str">
        <f ca="1">IF(CostTrack[[#This Row],[Vendor - Contract]]="","",INDEX(VendorList[PA ID],MATCH(CostTrack[[#This Row],[Vendor - Contract]],VendorList[Vendor / Org. with Contract ID],0)))</f>
        <v>200.010.F1</v>
      </c>
      <c r="R787" s="243" t="str">
        <f ca="1">IF(CostTrack[[#This Row],[Vendor - Contract]]="","",INDEX(VendorList[Primary Category],MATCH(CostTrack[[#This Row],[Vendor - Contract]],VendorList[Vendor / Org. with Contract ID],0)))</f>
        <v>Professional Services</v>
      </c>
      <c r="S787" s="243" t="str">
        <f ca="1">IF(CostTrack[[#This Row],[Vendor - Contract]]="","",INDEX(VendorList[Secondary Category],MATCH(CostTrack[[#This Row],[Vendor - Contract]],VendorList[Vendor / Org. with Contract ID],0)))</f>
        <v>Prime Consultant</v>
      </c>
      <c r="T787" s="243" t="str">
        <f ca="1">IF(CostTrack[[#This Row],[Vendor - Contract]]="","",INDEX(VendorList[Phase / Subproject],MATCH(CostTrack[[#This Row],[Vendor - Contract]],VendorList[Vendor / Org. with Contract ID],0)))</f>
        <v>--</v>
      </c>
      <c r="U787" s="243" t="str">
        <f ca="1">IF(CostTrack[[#This Row],[Vendor - Contract]]="","",INDEX(VendorList[Phase / Subproject 2],MATCH(CostTrack[[#This Row],[Vendor - Contract]],VendorList[Vendor / Org. with Contract ID],0)))</f>
        <v>--</v>
      </c>
      <c r="V787" s="243" t="str">
        <f ca="1">IF(CostTrack[[#This Row],[Vendor - Contract]]="","",INDEX(VendorList[Funding Source],MATCH(CostTrack[[#This Row],[Vendor - Contract]],VendorList[Vendor / Org. with Contract ID],0)))</f>
        <v>P-002360</v>
      </c>
      <c r="W787" s="267">
        <v>45698</v>
      </c>
      <c r="X787" s="251" t="str">
        <f ca="1">IF(CostTrack[[#This Row],[Release Date (CMS)]]="","*","")</f>
        <v/>
      </c>
      <c r="Y787" s="267" t="s">
        <v>63</v>
      </c>
      <c r="Z787" s="652" t="s">
        <v>1486</v>
      </c>
      <c r="AA787" s="245">
        <f ca="1">IF(OR(CostTrack[[#This Row],[Release Date (CMS)]]&gt;=DATE(VALUE(REPLACE(CostTrack[[#This Row],[Fiscal Period]],3,3,"")),3,1),CostTrack[[#This Row],[Release Date (CMS)]]&lt;DATE(VALUE(LEFT(CostTrack[[#This Row],[Fiscal Period]],4)),4,1)),1,0)</f>
        <v>0</v>
      </c>
      <c r="AB787" s="655">
        <v>31484.55</v>
      </c>
      <c r="AC787" s="267">
        <v>45720</v>
      </c>
      <c r="AD787" s="402" t="str">
        <f ca="1">IF(CostTrack[[#This Row],[Reconciled Amount]]="","",IF(CostTrack[[#This Row],[Value]]&lt;&gt;CostTrack[[#This Row],[Reconciled Amount]],"Yes","No"))</f>
        <v>No</v>
      </c>
      <c r="AE787" s="654"/>
    </row>
    <row r="788" spans="2:31" ht="38.1" customHeight="1">
      <c r="B788" s="1324" t="s">
        <v>736</v>
      </c>
      <c r="C788" s="691" t="s">
        <v>1487</v>
      </c>
      <c r="D788" s="1308">
        <v>45688</v>
      </c>
      <c r="E788" s="1025">
        <v>-7499.01</v>
      </c>
      <c r="F788" s="1309" t="s">
        <v>69</v>
      </c>
      <c r="G788" s="1310">
        <f ca="1">ROUND(IF(CostTrack[[#This Row],[Holdback (Y/N/R)]]="Yes",CostTrack[[#This Row],[Value]]*-0.1,IF(CostTrack[[#This Row],[Holdback (Y/N/R)]]="Release",CostTrack[[#This Row],[Value]],0)),2)</f>
        <v>0</v>
      </c>
      <c r="H788" s="1311">
        <f ca="1">IF(CostTrack[[#This Row],[Holdback (Y/N/R)]]="Release",CostTrack[[#This Row],[Value]],CostTrack[[#This Row],[Value]]+CostTrack[[#This Row],[Holdback Value]])</f>
        <v>-7499.01</v>
      </c>
      <c r="I788" s="1312"/>
      <c r="J788" s="1312"/>
      <c r="K788" s="1313"/>
      <c r="L788" s="1325">
        <v>45688</v>
      </c>
      <c r="M788" s="1326">
        <v>45688</v>
      </c>
      <c r="N788" s="1327"/>
      <c r="O788" s="1328" t="s">
        <v>106</v>
      </c>
      <c r="P788" s="1308">
        <v>45688</v>
      </c>
      <c r="Q788" s="1314" t="str">
        <f ca="1">IF(CostTrack[[#This Row],[Vendor - Contract]]="","",INDEX(VendorList[PA ID],MATCH(CostTrack[[#This Row],[Vendor - Contract]],VendorList[Vendor / Org. with Contract ID],0)))</f>
        <v>100.010.F1</v>
      </c>
      <c r="R788" s="1314" t="str">
        <f ca="1">IF(CostTrack[[#This Row],[Vendor - Contract]]="","",INDEX(VendorList[Primary Category],MATCH(CostTrack[[#This Row],[Vendor - Contract]],VendorList[Vendor / Org. with Contract ID],0)))</f>
        <v>Administration</v>
      </c>
      <c r="S788" s="1314" t="str">
        <f ca="1">IF(CostTrack[[#This Row],[Vendor - Contract]]="","",INDEX(VendorList[Secondary Category],MATCH(CostTrack[[#This Row],[Vendor - Contract]],VendorList[Vendor / Org. with Contract ID],0)))</f>
        <v>Staff Capitalization - INFRA</v>
      </c>
      <c r="T788" s="1314" t="str">
        <f ca="1">IF(CostTrack[[#This Row],[Vendor - Contract]]="","",INDEX(VendorList[Phase / Subproject],MATCH(CostTrack[[#This Row],[Vendor - Contract]],VendorList[Vendor / Org. with Contract ID],0)))</f>
        <v>--</v>
      </c>
      <c r="U788" s="1314" t="str">
        <f ca="1">IF(CostTrack[[#This Row],[Vendor - Contract]]="","",INDEX(VendorList[Phase / Subproject 2],MATCH(CostTrack[[#This Row],[Vendor - Contract]],VendorList[Vendor / Org. with Contract ID],0)))</f>
        <v>--</v>
      </c>
      <c r="V788" s="1314" t="str">
        <f ca="1">IF(CostTrack[[#This Row],[Vendor - Contract]]="","",INDEX(VendorList[Funding Source],MATCH(CostTrack[[#This Row],[Vendor - Contract]],VendorList[Vendor / Org. with Contract ID],0)))</f>
        <v>P-002360</v>
      </c>
      <c r="W788" s="1308">
        <v>45688</v>
      </c>
      <c r="X788" s="1315" t="str">
        <f ca="1">IF(CostTrack[[#This Row],[Release Date (CMS)]]="","*","")</f>
        <v/>
      </c>
      <c r="Y788" s="1308" t="s">
        <v>63</v>
      </c>
      <c r="Z788" s="713"/>
      <c r="AA788" s="1316">
        <f ca="1">IF(OR(CostTrack[[#This Row],[Release Date (CMS)]]&gt;=DATE(VALUE(REPLACE(CostTrack[[#This Row],[Fiscal Period]],3,3,"")),3,1),CostTrack[[#This Row],[Release Date (CMS)]]&lt;DATE(VALUE(LEFT(CostTrack[[#This Row],[Fiscal Period]],4)),4,1)),1,0)</f>
        <v>0</v>
      </c>
      <c r="AB788" s="1085">
        <v>-7499.01</v>
      </c>
      <c r="AC788" s="1308">
        <v>45706</v>
      </c>
      <c r="AD788" s="402" t="str">
        <f ca="1">IF(CostTrack[[#This Row],[Reconciled Amount]]="","",IF(CostTrack[[#This Row],[Value]]&lt;&gt;CostTrack[[#This Row],[Reconciled Amount]],"Yes","No"))</f>
        <v>No</v>
      </c>
      <c r="AE788" s="658"/>
    </row>
    <row r="789" spans="2:31" ht="38.1" customHeight="1">
      <c r="B789" s="1324" t="s">
        <v>755</v>
      </c>
      <c r="C789" s="1334">
        <v>800119519</v>
      </c>
      <c r="D789" s="1308">
        <v>45688</v>
      </c>
      <c r="E789" s="658">
        <v>56.49</v>
      </c>
      <c r="F789" s="1309" t="s">
        <v>69</v>
      </c>
      <c r="G789" s="1310">
        <f ca="1">ROUND(IF(CostTrack[[#This Row],[Holdback (Y/N/R)]]="Yes",CostTrack[[#This Row],[Value]]*-0.1,IF(CostTrack[[#This Row],[Holdback (Y/N/R)]]="Release",CostTrack[[#This Row],[Value]],0)),2)</f>
        <v>0</v>
      </c>
      <c r="H789" s="1311">
        <f ca="1">IF(CostTrack[[#This Row],[Holdback (Y/N/R)]]="Release",CostTrack[[#This Row],[Value]],CostTrack[[#This Row],[Value]]+CostTrack[[#This Row],[Holdback Value]])</f>
        <v>56.49</v>
      </c>
      <c r="I789" s="1312"/>
      <c r="J789" s="1312"/>
      <c r="K789" s="1313"/>
      <c r="L789" s="1325">
        <v>45688</v>
      </c>
      <c r="M789" s="1326">
        <v>45688</v>
      </c>
      <c r="N789" s="1327"/>
      <c r="O789" s="1328" t="s">
        <v>106</v>
      </c>
      <c r="P789" s="1308">
        <v>45688</v>
      </c>
      <c r="Q789" s="1314" t="str">
        <f ca="1">IF(CostTrack[[#This Row],[Vendor - Contract]]="","",INDEX(VendorList[PA ID],MATCH(CostTrack[[#This Row],[Vendor - Contract]],VendorList[Vendor / Org. with Contract ID],0)))</f>
        <v>100.050.F1</v>
      </c>
      <c r="R789" s="1314" t="str">
        <f ca="1">IF(CostTrack[[#This Row],[Vendor - Contract]]="","",INDEX(VendorList[Primary Category],MATCH(CostTrack[[#This Row],[Vendor - Contract]],VendorList[Vendor / Org. with Contract ID],0)))</f>
        <v>Administration</v>
      </c>
      <c r="S789" s="1314" t="str">
        <f ca="1">IF(CostTrack[[#This Row],[Vendor - Contract]]="","",INDEX(VendorList[Secondary Category],MATCH(CostTrack[[#This Row],[Vendor - Contract]],VendorList[Vendor / Org. with Contract ID],0)))</f>
        <v>Other Administration</v>
      </c>
      <c r="T789" s="1314" t="str">
        <f ca="1">IF(CostTrack[[#This Row],[Vendor - Contract]]="","",INDEX(VendorList[Phase / Subproject],MATCH(CostTrack[[#This Row],[Vendor - Contract]],VendorList[Vendor / Org. with Contract ID],0)))</f>
        <v>--</v>
      </c>
      <c r="U789" s="1314" t="str">
        <f ca="1">IF(CostTrack[[#This Row],[Vendor - Contract]]="","",INDEX(VendorList[Phase / Subproject 2],MATCH(CostTrack[[#This Row],[Vendor - Contract]],VendorList[Vendor / Org. with Contract ID],0)))</f>
        <v>--</v>
      </c>
      <c r="V789" s="1314" t="str">
        <f ca="1">IF(CostTrack[[#This Row],[Vendor - Contract]]="","",INDEX(VendorList[Funding Source],MATCH(CostTrack[[#This Row],[Vendor - Contract]],VendorList[Vendor / Org. with Contract ID],0)))</f>
        <v>P-002360</v>
      </c>
      <c r="W789" s="1308">
        <v>45688</v>
      </c>
      <c r="X789" s="1315" t="str">
        <f ca="1">IF(CostTrack[[#This Row],[Release Date (CMS)]]="","*","")</f>
        <v/>
      </c>
      <c r="Y789" s="1308" t="s">
        <v>63</v>
      </c>
      <c r="Z789" s="713" t="s">
        <v>1488</v>
      </c>
      <c r="AA789" s="1316">
        <f ca="1">IF(OR(CostTrack[[#This Row],[Release Date (CMS)]]&gt;=DATE(VALUE(REPLACE(CostTrack[[#This Row],[Fiscal Period]],3,3,"")),3,1),CostTrack[[#This Row],[Release Date (CMS)]]&lt;DATE(VALUE(LEFT(CostTrack[[#This Row],[Fiscal Period]],4)),4,1)),1,0)</f>
        <v>0</v>
      </c>
      <c r="AB789" s="1317">
        <v>56.49</v>
      </c>
      <c r="AC789" s="1308">
        <v>45706</v>
      </c>
      <c r="AD789" s="402" t="str">
        <f ca="1">IF(CostTrack[[#This Row],[Reconciled Amount]]="","",IF(CostTrack[[#This Row],[Value]]&lt;&gt;CostTrack[[#This Row],[Reconciled Amount]],"Yes","No"))</f>
        <v>No</v>
      </c>
      <c r="AE789" s="658"/>
    </row>
    <row r="790" spans="2:31" ht="30" customHeight="1">
      <c r="B790" s="1324" t="s">
        <v>1489</v>
      </c>
      <c r="C790" s="1034" t="s">
        <v>1490</v>
      </c>
      <c r="D790" s="1308">
        <v>45397</v>
      </c>
      <c r="E790" s="658">
        <v>11343.09</v>
      </c>
      <c r="F790" s="647" t="s">
        <v>69</v>
      </c>
      <c r="G790" s="1310">
        <f ca="1">ROUND(IF(CostTrack[[#This Row],[Holdback (Y/N/R)]]="Yes",CostTrack[[#This Row],[Value]]*-0.1,IF(CostTrack[[#This Row],[Holdback (Y/N/R)]]="Release",CostTrack[[#This Row],[Value]],0)),2)</f>
        <v>0</v>
      </c>
      <c r="H790" s="1311">
        <f ca="1">IF(CostTrack[[#This Row],[Holdback (Y/N/R)]]="Release",CostTrack[[#This Row],[Value]],CostTrack[[#This Row],[Value]]+CostTrack[[#This Row],[Holdback Value]])</f>
        <v>11343.09</v>
      </c>
      <c r="I790" s="1312"/>
      <c r="J790" s="1312"/>
      <c r="K790" s="1313"/>
      <c r="L790" s="1325">
        <v>45397</v>
      </c>
      <c r="M790" s="1326">
        <v>45397</v>
      </c>
      <c r="N790" s="1327"/>
      <c r="O790" s="1328" t="s">
        <v>106</v>
      </c>
      <c r="P790" s="1308">
        <v>45665</v>
      </c>
      <c r="Q790" s="1314" t="str">
        <f ca="1">IF(CostTrack[[#This Row],[Vendor - Contract]]="","",INDEX(VendorList[PA ID],MATCH(CostTrack[[#This Row],[Vendor - Contract]],VendorList[Vendor / Org. with Contract ID],0)))</f>
        <v>400.010.F1</v>
      </c>
      <c r="R790" s="1314" t="str">
        <f ca="1">IF(CostTrack[[#This Row],[Vendor - Contract]]="","",INDEX(VendorList[Primary Category],MATCH(CostTrack[[#This Row],[Vendor - Contract]],VendorList[Vendor / Org. with Contract ID],0)))</f>
        <v>FE_IT</v>
      </c>
      <c r="S790" s="1314" t="str">
        <f ca="1">IF(CostTrack[[#This Row],[Vendor - Contract]]="","",INDEX(VendorList[Secondary Category],MATCH(CostTrack[[#This Row],[Vendor - Contract]],VendorList[Vendor / Org. with Contract ID],0)))</f>
        <v>Furniture &amp; Equipment</v>
      </c>
      <c r="T790" s="1314" t="str">
        <f ca="1">IF(CostTrack[[#This Row],[Vendor - Contract]]="","",INDEX(VendorList[Phase / Subproject],MATCH(CostTrack[[#This Row],[Vendor - Contract]],VendorList[Vendor / Org. with Contract ID],0)))</f>
        <v>--</v>
      </c>
      <c r="U790" s="1314" t="str">
        <f ca="1">IF(CostTrack[[#This Row],[Vendor - Contract]]="","",INDEX(VendorList[Phase / Subproject 2],MATCH(CostTrack[[#This Row],[Vendor - Contract]],VendorList[Vendor / Org. with Contract ID],0)))</f>
        <v>--</v>
      </c>
      <c r="V790" s="1314" t="str">
        <f ca="1">IF(CostTrack[[#This Row],[Vendor - Contract]]="","",INDEX(VendorList[Funding Source],MATCH(CostTrack[[#This Row],[Vendor - Contract]],VendorList[Vendor / Org. with Contract ID],0)))</f>
        <v>P-002360</v>
      </c>
      <c r="W790" s="1308">
        <v>45665</v>
      </c>
      <c r="X790" s="1315" t="str">
        <f ca="1">IF(CostTrack[[#This Row],[Release Date (CMS)]]="","*","")</f>
        <v/>
      </c>
      <c r="Y790" s="1308" t="s">
        <v>63</v>
      </c>
      <c r="Z790" s="652" t="s">
        <v>1491</v>
      </c>
      <c r="AA790" s="1316">
        <f ca="1">IF(OR(CostTrack[[#This Row],[Release Date (CMS)]]&gt;=DATE(VALUE(REPLACE(CostTrack[[#This Row],[Fiscal Period]],3,3,"")),3,1),CostTrack[[#This Row],[Release Date (CMS)]]&lt;DATE(VALUE(LEFT(CostTrack[[#This Row],[Fiscal Period]],4)),4,1)),1,0)</f>
        <v>0</v>
      </c>
      <c r="AB790" s="1317">
        <v>11343.09</v>
      </c>
      <c r="AC790" s="1308">
        <v>45706</v>
      </c>
      <c r="AD790" s="402" t="str">
        <f ca="1">IF(CostTrack[[#This Row],[Reconciled Amount]]="","",IF(CostTrack[[#This Row],[Value]]&lt;&gt;CostTrack[[#This Row],[Reconciled Amount]],"Yes","No"))</f>
        <v>No</v>
      </c>
      <c r="AE790" s="658"/>
    </row>
    <row r="791" spans="2:31" ht="29.1" customHeight="1">
      <c r="B791" s="706" t="s">
        <v>529</v>
      </c>
      <c r="C791" s="691" t="s">
        <v>1492</v>
      </c>
      <c r="D791" s="1308">
        <v>45657</v>
      </c>
      <c r="E791" s="658">
        <v>506852.49</v>
      </c>
      <c r="F791" s="647" t="s">
        <v>65</v>
      </c>
      <c r="G791" s="1310">
        <f ca="1">ROUND(IF(CostTrack[[#This Row],[Holdback (Y/N/R)]]="Yes",CostTrack[[#This Row],[Value]]*-0.1,IF(CostTrack[[#This Row],[Holdback (Y/N/R)]]="Release",CostTrack[[#This Row],[Value]],0)),2)</f>
        <v>-50685.25</v>
      </c>
      <c r="H791" s="1311">
        <f ca="1">IF(CostTrack[[#This Row],[Holdback (Y/N/R)]]="Release",CostTrack[[#This Row],[Value]],CostTrack[[#This Row],[Value]]+CostTrack[[#This Row],[Holdback Value]])</f>
        <v>456167.24</v>
      </c>
      <c r="I791" s="1312"/>
      <c r="J791" s="1312"/>
      <c r="K791" s="1313"/>
      <c r="L791" s="1325">
        <v>45715</v>
      </c>
      <c r="M791" s="1326">
        <v>45715</v>
      </c>
      <c r="N791" s="1327"/>
      <c r="O791" s="1328" t="s">
        <v>106</v>
      </c>
      <c r="P791" s="1308">
        <v>45715</v>
      </c>
      <c r="Q791" s="1314" t="str">
        <f ca="1">IF(CostTrack[[#This Row],[Vendor - Contract]]="","",INDEX(VendorList[PA ID],MATCH(CostTrack[[#This Row],[Vendor - Contract]],VendorList[Vendor / Org. with Contract ID],0)))</f>
        <v>300.030.F1</v>
      </c>
      <c r="R791" s="1314" t="str">
        <f ca="1">IF(CostTrack[[#This Row],[Vendor - Contract]]="","",INDEX(VendorList[Primary Category],MATCH(CostTrack[[#This Row],[Vendor - Contract]],VendorList[Vendor / Org. with Contract ID],0)))</f>
        <v>Construction</v>
      </c>
      <c r="S791" s="1314" t="str">
        <f ca="1">IF(CostTrack[[#This Row],[Vendor - Contract]]="","",INDEX(VendorList[Secondary Category],MATCH(CostTrack[[#This Row],[Vendor - Contract]],VendorList[Vendor / Org. with Contract ID],0)))</f>
        <v>Prime Contractor</v>
      </c>
      <c r="T791" s="1314" t="str">
        <f ca="1">IF(CostTrack[[#This Row],[Vendor - Contract]]="","",INDEX(VendorList[Phase / Subproject],MATCH(CostTrack[[#This Row],[Vendor - Contract]],VendorList[Vendor / Org. with Contract ID],0)))</f>
        <v>--</v>
      </c>
      <c r="U791" s="1314" t="str">
        <f ca="1">IF(CostTrack[[#This Row],[Vendor - Contract]]="","",INDEX(VendorList[Phase / Subproject 2],MATCH(CostTrack[[#This Row],[Vendor - Contract]],VendorList[Vendor / Org. with Contract ID],0)))</f>
        <v>--</v>
      </c>
      <c r="V791" s="1314" t="str">
        <f ca="1">IF(CostTrack[[#This Row],[Vendor - Contract]]="","",INDEX(VendorList[Funding Source],MATCH(CostTrack[[#This Row],[Vendor - Contract]],VendorList[Vendor / Org. with Contract ID],0)))</f>
        <v>P-002360</v>
      </c>
      <c r="W791" s="1308">
        <v>45715</v>
      </c>
      <c r="X791" s="1315" t="str">
        <f ca="1">IF(CostTrack[[#This Row],[Release Date (CMS)]]="","*","")</f>
        <v/>
      </c>
      <c r="Y791" s="1308" t="s">
        <v>63</v>
      </c>
      <c r="Z791" s="652"/>
      <c r="AA791" s="1316">
        <f ca="1">IF(OR(CostTrack[[#This Row],[Release Date (CMS)]]&gt;=DATE(VALUE(REPLACE(CostTrack[[#This Row],[Fiscal Period]],3,3,"")),3,1),CostTrack[[#This Row],[Release Date (CMS)]]&lt;DATE(VALUE(LEFT(CostTrack[[#This Row],[Fiscal Period]],4)),4,1)),1,0)</f>
        <v>0</v>
      </c>
      <c r="AB791" s="1317">
        <v>506852.49</v>
      </c>
      <c r="AC791" s="1308">
        <v>45720</v>
      </c>
      <c r="AD791" s="402" t="str">
        <f ca="1">IF(CostTrack[[#This Row],[Reconciled Amount]]="","",IF(CostTrack[[#This Row],[Value]]&lt;&gt;CostTrack[[#This Row],[Reconciled Amount]],"Yes","No"))</f>
        <v>No</v>
      </c>
      <c r="AE791" s="658"/>
    </row>
    <row r="792" spans="2:31" ht="16.149999999999999" customHeight="1">
      <c r="B792" s="706" t="s">
        <v>1493</v>
      </c>
      <c r="C792" s="691">
        <v>20443415</v>
      </c>
      <c r="D792" s="267">
        <v>45707</v>
      </c>
      <c r="E792" s="654">
        <v>63980.44</v>
      </c>
      <c r="F792" s="647" t="s">
        <v>69</v>
      </c>
      <c r="G792" s="406">
        <f ca="1">ROUND(IF(CostTrack[[#This Row],[Holdback (Y/N/R)]]="Yes",CostTrack[[#This Row],[Value]]*-0.1,IF(CostTrack[[#This Row],[Holdback (Y/N/R)]]="Release",CostTrack[[#This Row],[Value]],0)),2)</f>
        <v>0</v>
      </c>
      <c r="H792" s="407">
        <f ca="1">IF(CostTrack[[#This Row],[Holdback (Y/N/R)]]="Release",CostTrack[[#This Row],[Value]],CostTrack[[#This Row],[Value]]+CostTrack[[#This Row],[Holdback Value]])</f>
        <v>63980.44</v>
      </c>
      <c r="I792" s="650"/>
      <c r="J792" s="650"/>
      <c r="K792" s="648"/>
      <c r="L792" s="707">
        <v>45673</v>
      </c>
      <c r="M792" s="708">
        <v>45714</v>
      </c>
      <c r="N792" s="709" t="s">
        <v>175</v>
      </c>
      <c r="O792" s="712" t="s">
        <v>106</v>
      </c>
      <c r="P792" s="267">
        <v>45713</v>
      </c>
      <c r="Q792" s="243" t="str">
        <f ca="1">IF(CostTrack[[#This Row],[Vendor - Contract]]="","",INDEX(VendorList[PA ID],MATCH(CostTrack[[#This Row],[Vendor - Contract]],VendorList[Vendor / Org. with Contract ID],0)))</f>
        <v>200.050.F1</v>
      </c>
      <c r="R792" s="243" t="str">
        <f ca="1">IF(CostTrack[[#This Row],[Vendor - Contract]]="","",INDEX(VendorList[Primary Category],MATCH(CostTrack[[#This Row],[Vendor - Contract]],VendorList[Vendor / Org. with Contract ID],0)))</f>
        <v>Professional Services</v>
      </c>
      <c r="S792" s="243" t="str">
        <f ca="1">IF(CostTrack[[#This Row],[Vendor - Contract]]="","",INDEX(VendorList[Secondary Category],MATCH(CostTrack[[#This Row],[Vendor - Contract]],VendorList[Vendor / Org. with Contract ID],0)))</f>
        <v>Other Professional Services</v>
      </c>
      <c r="T792" s="243" t="str">
        <f ca="1">IF(CostTrack[[#This Row],[Vendor - Contract]]="","",INDEX(VendorList[Phase / Subproject],MATCH(CostTrack[[#This Row],[Vendor - Contract]],VendorList[Vendor / Org. with Contract ID],0)))</f>
        <v>--</v>
      </c>
      <c r="U792" s="243" t="str">
        <f ca="1">IF(CostTrack[[#This Row],[Vendor - Contract]]="","",INDEX(VendorList[Phase / Subproject 2],MATCH(CostTrack[[#This Row],[Vendor - Contract]],VendorList[Vendor / Org. with Contract ID],0)))</f>
        <v>--</v>
      </c>
      <c r="V792" s="243" t="str">
        <f ca="1">IF(CostTrack[[#This Row],[Vendor - Contract]]="","",INDEX(VendorList[Funding Source],MATCH(CostTrack[[#This Row],[Vendor - Contract]],VendorList[Vendor / Org. with Contract ID],0)))</f>
        <v>P-002360</v>
      </c>
      <c r="W792" s="267">
        <v>45714</v>
      </c>
      <c r="X792" s="251" t="str">
        <f ca="1">IF(CostTrack[[#This Row],[Release Date (CMS)]]="","*","")</f>
        <v/>
      </c>
      <c r="Y792" s="267" t="s">
        <v>63</v>
      </c>
      <c r="Z792" s="652"/>
      <c r="AA792" s="245">
        <f ca="1">IF(OR(CostTrack[[#This Row],[Release Date (CMS)]]&gt;=DATE(VALUE(REPLACE(CostTrack[[#This Row],[Fiscal Period]],3,3,"")),3,1),CostTrack[[#This Row],[Release Date (CMS)]]&lt;DATE(VALUE(LEFT(CostTrack[[#This Row],[Fiscal Period]],4)),4,1)),1,0)</f>
        <v>0</v>
      </c>
      <c r="AB792" s="655">
        <v>63980.44</v>
      </c>
      <c r="AC792" s="267">
        <v>45720</v>
      </c>
      <c r="AD792" s="402" t="str">
        <f ca="1">IF(CostTrack[[#This Row],[Reconciled Amount]]="","",IF(CostTrack[[#This Row],[Value]]&lt;&gt;CostTrack[[#This Row],[Reconciled Amount]],"Yes","No"))</f>
        <v>No</v>
      </c>
      <c r="AE792" s="654"/>
    </row>
    <row r="793" spans="2:31" ht="44.65" customHeight="1">
      <c r="B793" s="706" t="s">
        <v>731</v>
      </c>
      <c r="C793" s="691">
        <v>800128709</v>
      </c>
      <c r="D793" s="267">
        <v>45714</v>
      </c>
      <c r="E793" s="654">
        <v>181.47</v>
      </c>
      <c r="F793" s="647" t="s">
        <v>69</v>
      </c>
      <c r="G793" s="406">
        <f ca="1">ROUND(IF(CostTrack[[#This Row],[Holdback (Y/N/R)]]="Yes",CostTrack[[#This Row],[Value]]*-0.1,IF(CostTrack[[#This Row],[Holdback (Y/N/R)]]="Release",CostTrack[[#This Row],[Value]],0)),2)</f>
        <v>0</v>
      </c>
      <c r="H793" s="407">
        <f ca="1">IF(CostTrack[[#This Row],[Holdback (Y/N/R)]]="Release",CostTrack[[#This Row],[Value]],CostTrack[[#This Row],[Value]]+CostTrack[[#This Row],[Holdback Value]])</f>
        <v>181.47</v>
      </c>
      <c r="I793" s="650"/>
      <c r="J793" s="650"/>
      <c r="K793" s="648"/>
      <c r="L793" s="707">
        <v>45714</v>
      </c>
      <c r="M793" s="708">
        <v>45714</v>
      </c>
      <c r="N793" s="709"/>
      <c r="O793" s="712" t="s">
        <v>106</v>
      </c>
      <c r="P793" s="267">
        <v>45714</v>
      </c>
      <c r="Q793" s="243" t="str">
        <f ca="1">IF(CostTrack[[#This Row],[Vendor - Contract]]="","",INDEX(VendorList[PA ID],MATCH(CostTrack[[#This Row],[Vendor - Contract]],VendorList[Vendor / Org. with Contract ID],0)))</f>
        <v>100.050.F1</v>
      </c>
      <c r="R793" s="243" t="str">
        <f ca="1">IF(CostTrack[[#This Row],[Vendor - Contract]]="","",INDEX(VendorList[Primary Category],MATCH(CostTrack[[#This Row],[Vendor - Contract]],VendorList[Vendor / Org. with Contract ID],0)))</f>
        <v>Administration</v>
      </c>
      <c r="S793" s="243" t="str">
        <f ca="1">IF(CostTrack[[#This Row],[Vendor - Contract]]="","",INDEX(VendorList[Secondary Category],MATCH(CostTrack[[#This Row],[Vendor - Contract]],VendorList[Vendor / Org. with Contract ID],0)))</f>
        <v>Other Administration</v>
      </c>
      <c r="T793" s="243" t="str">
        <f ca="1">IF(CostTrack[[#This Row],[Vendor - Contract]]="","",INDEX(VendorList[Phase / Subproject],MATCH(CostTrack[[#This Row],[Vendor - Contract]],VendorList[Vendor / Org. with Contract ID],0)))</f>
        <v>--</v>
      </c>
      <c r="U793" s="243" t="str">
        <f ca="1">IF(CostTrack[[#This Row],[Vendor - Contract]]="","",INDEX(VendorList[Phase / Subproject 2],MATCH(CostTrack[[#This Row],[Vendor - Contract]],VendorList[Vendor / Org. with Contract ID],0)))</f>
        <v>--</v>
      </c>
      <c r="V793" s="243" t="str">
        <f ca="1">IF(CostTrack[[#This Row],[Vendor - Contract]]="","",INDEX(VendorList[Funding Source],MATCH(CostTrack[[#This Row],[Vendor - Contract]],VendorList[Vendor / Org. with Contract ID],0)))</f>
        <v>P-002360</v>
      </c>
      <c r="W793" s="267">
        <v>45714</v>
      </c>
      <c r="X793" s="251" t="str">
        <f ca="1">IF(CostTrack[[#This Row],[Release Date (CMS)]]="","*","")</f>
        <v/>
      </c>
      <c r="Y793" s="267" t="s">
        <v>63</v>
      </c>
      <c r="Z793" s="652" t="s">
        <v>1494</v>
      </c>
      <c r="AA793" s="245">
        <f ca="1">IF(OR(CostTrack[[#This Row],[Release Date (CMS)]]&gt;=DATE(VALUE(REPLACE(CostTrack[[#This Row],[Fiscal Period]],3,3,"")),3,1),CostTrack[[#This Row],[Release Date (CMS)]]&lt;DATE(VALUE(LEFT(CostTrack[[#This Row],[Fiscal Period]],4)),4,1)),1,0)</f>
        <v>0</v>
      </c>
      <c r="AB793" s="655">
        <v>181.47</v>
      </c>
      <c r="AC793" s="267">
        <v>45720</v>
      </c>
      <c r="AD793" s="402" t="str">
        <f ca="1">IF(CostTrack[[#This Row],[Reconciled Amount]]="","",IF(CostTrack[[#This Row],[Value]]&lt;&gt;CostTrack[[#This Row],[Reconciled Amount]],"Yes","No"))</f>
        <v>No</v>
      </c>
      <c r="AE793" s="654"/>
    </row>
    <row r="794" spans="2:31" ht="15" customHeight="1">
      <c r="B794" s="1324" t="s">
        <v>738</v>
      </c>
      <c r="C794" s="1334">
        <v>137662</v>
      </c>
      <c r="D794" s="1308">
        <v>45670</v>
      </c>
      <c r="E794" s="658">
        <v>46791.4</v>
      </c>
      <c r="F794" s="1309" t="s">
        <v>65</v>
      </c>
      <c r="G794" s="1310">
        <f ca="1">ROUND(IF(CostTrack[[#This Row],[Holdback (Y/N/R)]]="Yes",CostTrack[[#This Row],[Value]]*-0.1,IF(CostTrack[[#This Row],[Holdback (Y/N/R)]]="Release",CostTrack[[#This Row],[Value]],0)),2)</f>
        <v>-4679.1400000000003</v>
      </c>
      <c r="H794" s="1311">
        <f ca="1">IF(CostTrack[[#This Row],[Holdback (Y/N/R)]]="Release",CostTrack[[#This Row],[Value]],CostTrack[[#This Row],[Value]]+CostTrack[[#This Row],[Holdback Value]])</f>
        <v>42112.26</v>
      </c>
      <c r="I794" s="1312"/>
      <c r="J794" s="1312"/>
      <c r="K794" s="1313"/>
      <c r="L794" s="1325">
        <v>45693</v>
      </c>
      <c r="M794" s="1326">
        <v>45716</v>
      </c>
      <c r="N794" s="1327"/>
      <c r="O794" s="1328" t="s">
        <v>106</v>
      </c>
      <c r="P794" s="1308">
        <v>45716</v>
      </c>
      <c r="Q794" s="1314" t="str">
        <f ca="1">IF(CostTrack[[#This Row],[Vendor - Contract]]="","",INDEX(VendorList[PA ID],MATCH(CostTrack[[#This Row],[Vendor - Contract]],VendorList[Vendor / Org. with Contract ID],0)))</f>
        <v>300.040.F1</v>
      </c>
      <c r="R794" s="1314" t="str">
        <f ca="1">IF(CostTrack[[#This Row],[Vendor - Contract]]="","",INDEX(VendorList[Primary Category],MATCH(CostTrack[[#This Row],[Vendor - Contract]],VendorList[Vendor / Org. with Contract ID],0)))</f>
        <v>Construction</v>
      </c>
      <c r="S794" s="1314" t="str">
        <f ca="1">IF(CostTrack[[#This Row],[Vendor - Contract]]="","",INDEX(VendorList[Secondary Category],MATCH(CostTrack[[#This Row],[Vendor - Contract]],VendorList[Vendor / Org. with Contract ID],0)))</f>
        <v>Other Contractor</v>
      </c>
      <c r="T794" s="1314" t="str">
        <f ca="1">IF(CostTrack[[#This Row],[Vendor - Contract]]="","",INDEX(VendorList[Phase / Subproject],MATCH(CostTrack[[#This Row],[Vendor - Contract]],VendorList[Vendor / Org. with Contract ID],0)))</f>
        <v>--</v>
      </c>
      <c r="U794" s="1314" t="str">
        <f ca="1">IF(CostTrack[[#This Row],[Vendor - Contract]]="","",INDEX(VendorList[Phase / Subproject 2],MATCH(CostTrack[[#This Row],[Vendor - Contract]],VendorList[Vendor / Org. with Contract ID],0)))</f>
        <v>--</v>
      </c>
      <c r="V794" s="1314" t="str">
        <f ca="1">IF(CostTrack[[#This Row],[Vendor - Contract]]="","",INDEX(VendorList[Funding Source],MATCH(CostTrack[[#This Row],[Vendor - Contract]],VendorList[Vendor / Org. with Contract ID],0)))</f>
        <v>P-002360</v>
      </c>
      <c r="W794" s="1308">
        <v>45720</v>
      </c>
      <c r="X794" s="1315" t="str">
        <f ca="1">IF(CostTrack[[#This Row],[Release Date (CMS)]]="","*","")</f>
        <v/>
      </c>
      <c r="Y794" s="267" t="s">
        <v>63</v>
      </c>
      <c r="Z794" s="713"/>
      <c r="AA794" s="1316">
        <f ca="1">IF(OR(CostTrack[[#This Row],[Release Date (CMS)]]&gt;=DATE(VALUE(REPLACE(CostTrack[[#This Row],[Fiscal Period]],3,3,"")),3,1),CostTrack[[#This Row],[Release Date (CMS)]]&lt;DATE(VALUE(LEFT(CostTrack[[#This Row],[Fiscal Period]],4)),4,1)),1,0)</f>
        <v>1</v>
      </c>
      <c r="AB794" s="1317">
        <v>46791.4</v>
      </c>
      <c r="AC794" s="1308">
        <v>45757</v>
      </c>
      <c r="AD794" s="402" t="str">
        <f ca="1">IF(CostTrack[[#This Row],[Reconciled Amount]]="","",IF(CostTrack[[#This Row],[Value]]&lt;&gt;CostTrack[[#This Row],[Reconciled Amount]],"Yes","No"))</f>
        <v>No</v>
      </c>
      <c r="AE794" s="658"/>
    </row>
    <row r="795" spans="2:31" ht="15" customHeight="1">
      <c r="B795" s="1324" t="s">
        <v>527</v>
      </c>
      <c r="C795" s="1334" t="s">
        <v>1495</v>
      </c>
      <c r="D795" s="1308">
        <v>45716</v>
      </c>
      <c r="E795" s="658">
        <v>126116.11</v>
      </c>
      <c r="F795" s="1309" t="s">
        <v>69</v>
      </c>
      <c r="G795" s="1310">
        <f ca="1">ROUND(IF(CostTrack[[#This Row],[Holdback (Y/N/R)]]="Yes",CostTrack[[#This Row],[Value]]*-0.1,IF(CostTrack[[#This Row],[Holdback (Y/N/R)]]="Release",CostTrack[[#This Row],[Value]],0)),2)</f>
        <v>0</v>
      </c>
      <c r="H795" s="1311">
        <f ca="1">IF(CostTrack[[#This Row],[Holdback (Y/N/R)]]="Release",CostTrack[[#This Row],[Value]],CostTrack[[#This Row],[Value]]+CostTrack[[#This Row],[Holdback Value]])</f>
        <v>126116.11</v>
      </c>
      <c r="I795" s="1312"/>
      <c r="J795" s="1312"/>
      <c r="K795" s="1313"/>
      <c r="L795" s="1325">
        <v>45723</v>
      </c>
      <c r="M795" s="1326">
        <v>45726</v>
      </c>
      <c r="N795" s="1327"/>
      <c r="O795" s="1328" t="s">
        <v>106</v>
      </c>
      <c r="P795" s="1308">
        <v>45726</v>
      </c>
      <c r="Q795" s="1314" t="str">
        <f ca="1">IF(CostTrack[[#This Row],[Vendor - Contract]]="","",INDEX(VendorList[PA ID],MATCH(CostTrack[[#This Row],[Vendor - Contract]],VendorList[Vendor / Org. with Contract ID],0)))</f>
        <v>200.010.F1</v>
      </c>
      <c r="R795" s="1314" t="str">
        <f ca="1">IF(CostTrack[[#This Row],[Vendor - Contract]]="","",INDEX(VendorList[Primary Category],MATCH(CostTrack[[#This Row],[Vendor - Contract]],VendorList[Vendor / Org. with Contract ID],0)))</f>
        <v>Professional Services</v>
      </c>
      <c r="S795" s="1314" t="str">
        <f ca="1">IF(CostTrack[[#This Row],[Vendor - Contract]]="","",INDEX(VendorList[Secondary Category],MATCH(CostTrack[[#This Row],[Vendor - Contract]],VendorList[Vendor / Org. with Contract ID],0)))</f>
        <v>Prime Consultant</v>
      </c>
      <c r="T795" s="1314" t="str">
        <f ca="1">IF(CostTrack[[#This Row],[Vendor - Contract]]="","",INDEX(VendorList[Phase / Subproject],MATCH(CostTrack[[#This Row],[Vendor - Contract]],VendorList[Vendor / Org. with Contract ID],0)))</f>
        <v>--</v>
      </c>
      <c r="U795" s="1314" t="str">
        <f ca="1">IF(CostTrack[[#This Row],[Vendor - Contract]]="","",INDEX(VendorList[Phase / Subproject 2],MATCH(CostTrack[[#This Row],[Vendor - Contract]],VendorList[Vendor / Org. with Contract ID],0)))</f>
        <v>--</v>
      </c>
      <c r="V795" s="1314" t="str">
        <f ca="1">IF(CostTrack[[#This Row],[Vendor - Contract]]="","",INDEX(VendorList[Funding Source],MATCH(CostTrack[[#This Row],[Vendor - Contract]],VendorList[Vendor / Org. with Contract ID],0)))</f>
        <v>P-002360</v>
      </c>
      <c r="W795" s="1308">
        <v>45726</v>
      </c>
      <c r="X795" s="1315" t="str">
        <f ca="1">IF(CostTrack[[#This Row],[Release Date (CMS)]]="","*","")</f>
        <v/>
      </c>
      <c r="Y795" s="1308" t="s">
        <v>63</v>
      </c>
      <c r="Z795" s="713" t="s">
        <v>1496</v>
      </c>
      <c r="AA795" s="1316">
        <f ca="1">IF(OR(CostTrack[[#This Row],[Release Date (CMS)]]&gt;=DATE(VALUE(REPLACE(CostTrack[[#This Row],[Fiscal Period]],3,3,"")),3,1),CostTrack[[#This Row],[Release Date (CMS)]]&lt;DATE(VALUE(LEFT(CostTrack[[#This Row],[Fiscal Period]],4)),4,1)),1,0)</f>
        <v>1</v>
      </c>
      <c r="AB795" s="1317">
        <v>126116.11</v>
      </c>
      <c r="AC795" s="1308">
        <v>45757</v>
      </c>
      <c r="AD795" s="402" t="str">
        <f ca="1">IF(CostTrack[[#This Row],[Reconciled Amount]]="","",IF(CostTrack[[#This Row],[Value]]&lt;&gt;CostTrack[[#This Row],[Reconciled Amount]],"Yes","No"))</f>
        <v>No</v>
      </c>
      <c r="AE795" s="658"/>
    </row>
    <row r="796" spans="2:31" ht="15" customHeight="1">
      <c r="B796" s="1324" t="s">
        <v>736</v>
      </c>
      <c r="C796" s="1334" t="s">
        <v>1497</v>
      </c>
      <c r="D796" s="1308">
        <v>45716</v>
      </c>
      <c r="E796" s="658">
        <v>26951.91</v>
      </c>
      <c r="F796" s="1309" t="s">
        <v>69</v>
      </c>
      <c r="G796" s="1310">
        <f ca="1">ROUND(IF(CostTrack[[#This Row],[Holdback (Y/N/R)]]="Yes",CostTrack[[#This Row],[Value]]*-0.1,IF(CostTrack[[#This Row],[Holdback (Y/N/R)]]="Release",CostTrack[[#This Row],[Value]],0)),2)</f>
        <v>0</v>
      </c>
      <c r="H796" s="1311">
        <f ca="1">IF(CostTrack[[#This Row],[Holdback (Y/N/R)]]="Release",CostTrack[[#This Row],[Value]],CostTrack[[#This Row],[Value]]+CostTrack[[#This Row],[Holdback Value]])</f>
        <v>26951.91</v>
      </c>
      <c r="I796" s="1312"/>
      <c r="J796" s="1312"/>
      <c r="K796" s="1313"/>
      <c r="L796" s="1325">
        <v>45716</v>
      </c>
      <c r="M796" s="1326">
        <v>45716</v>
      </c>
      <c r="N796" s="1327"/>
      <c r="O796" s="1328" t="s">
        <v>106</v>
      </c>
      <c r="P796" s="1308">
        <v>45716</v>
      </c>
      <c r="Q796" s="1314" t="str">
        <f ca="1">IF(CostTrack[[#This Row],[Vendor - Contract]]="","",INDEX(VendorList[PA ID],MATCH(CostTrack[[#This Row],[Vendor - Contract]],VendorList[Vendor / Org. with Contract ID],0)))</f>
        <v>100.010.F1</v>
      </c>
      <c r="R796" s="1314" t="str">
        <f ca="1">IF(CostTrack[[#This Row],[Vendor - Contract]]="","",INDEX(VendorList[Primary Category],MATCH(CostTrack[[#This Row],[Vendor - Contract]],VendorList[Vendor / Org. with Contract ID],0)))</f>
        <v>Administration</v>
      </c>
      <c r="S796" s="1314" t="str">
        <f ca="1">IF(CostTrack[[#This Row],[Vendor - Contract]]="","",INDEX(VendorList[Secondary Category],MATCH(CostTrack[[#This Row],[Vendor - Contract]],VendorList[Vendor / Org. with Contract ID],0)))</f>
        <v>Staff Capitalization - INFRA</v>
      </c>
      <c r="T796" s="1314" t="str">
        <f ca="1">IF(CostTrack[[#This Row],[Vendor - Contract]]="","",INDEX(VendorList[Phase / Subproject],MATCH(CostTrack[[#This Row],[Vendor - Contract]],VendorList[Vendor / Org. with Contract ID],0)))</f>
        <v>--</v>
      </c>
      <c r="U796" s="1314" t="str">
        <f ca="1">IF(CostTrack[[#This Row],[Vendor - Contract]]="","",INDEX(VendorList[Phase / Subproject 2],MATCH(CostTrack[[#This Row],[Vendor - Contract]],VendorList[Vendor / Org. with Contract ID],0)))</f>
        <v>--</v>
      </c>
      <c r="V796" s="1314" t="str">
        <f ca="1">IF(CostTrack[[#This Row],[Vendor - Contract]]="","",INDEX(VendorList[Funding Source],MATCH(CostTrack[[#This Row],[Vendor - Contract]],VendorList[Vendor / Org. with Contract ID],0)))</f>
        <v>P-002360</v>
      </c>
      <c r="W796" s="1308">
        <v>45716</v>
      </c>
      <c r="X796" s="1315" t="str">
        <f ca="1">IF(CostTrack[[#This Row],[Release Date (CMS)]]="","*","")</f>
        <v/>
      </c>
      <c r="Y796" s="1308" t="s">
        <v>63</v>
      </c>
      <c r="Z796" s="713"/>
      <c r="AA796" s="1316">
        <f ca="1">IF(OR(CostTrack[[#This Row],[Release Date (CMS)]]&gt;=DATE(VALUE(REPLACE(CostTrack[[#This Row],[Fiscal Period]],3,3,"")),3,1),CostTrack[[#This Row],[Release Date (CMS)]]&lt;DATE(VALUE(LEFT(CostTrack[[#This Row],[Fiscal Period]],4)),4,1)),1,0)</f>
        <v>0</v>
      </c>
      <c r="AB796" s="1317">
        <v>26951.91</v>
      </c>
      <c r="AC796" s="1308">
        <v>45720</v>
      </c>
      <c r="AD796" s="402" t="str">
        <f ca="1">IF(CostTrack[[#This Row],[Reconciled Amount]]="","",IF(CostTrack[[#This Row],[Value]]&lt;&gt;CostTrack[[#This Row],[Reconciled Amount]],"Yes","No"))</f>
        <v>No</v>
      </c>
      <c r="AE796" s="658"/>
    </row>
    <row r="797" spans="2:31" ht="16.899999999999999" customHeight="1">
      <c r="B797" s="1324" t="s">
        <v>1498</v>
      </c>
      <c r="C797" s="1334">
        <v>2667515</v>
      </c>
      <c r="D797" s="1308">
        <v>45721</v>
      </c>
      <c r="E797" s="658">
        <v>8612.08</v>
      </c>
      <c r="F797" s="1309" t="s">
        <v>69</v>
      </c>
      <c r="G797" s="1310">
        <f ca="1">ROUND(IF(CostTrack[[#This Row],[Holdback (Y/N/R)]]="Yes",CostTrack[[#This Row],[Value]]*-0.1,IF(CostTrack[[#This Row],[Holdback (Y/N/R)]]="Release",CostTrack[[#This Row],[Value]],0)),2)</f>
        <v>0</v>
      </c>
      <c r="H797" s="1311">
        <f ca="1">IF(CostTrack[[#This Row],[Holdback (Y/N/R)]]="Release",CostTrack[[#This Row],[Value]],CostTrack[[#This Row],[Value]]+CostTrack[[#This Row],[Holdback Value]])</f>
        <v>8612.08</v>
      </c>
      <c r="I797" s="1312"/>
      <c r="J797" s="1312"/>
      <c r="K797" s="1313"/>
      <c r="L797" s="1325">
        <v>45721</v>
      </c>
      <c r="M797" s="1326">
        <v>45730</v>
      </c>
      <c r="N797" s="1327"/>
      <c r="O797" s="1328" t="s">
        <v>106</v>
      </c>
      <c r="P797" s="1308">
        <v>45730</v>
      </c>
      <c r="Q797" s="1314" t="str">
        <f ca="1">IF(CostTrack[[#This Row],[Vendor - Contract]]="","",INDEX(VendorList[PA ID],MATCH(CostTrack[[#This Row],[Vendor - Contract]],VendorList[Vendor / Org. with Contract ID],0)))</f>
        <v>300.020.F1</v>
      </c>
      <c r="R797" s="1314" t="str">
        <f ca="1">IF(CostTrack[[#This Row],[Vendor - Contract]]="","",INDEX(VendorList[Primary Category],MATCH(CostTrack[[#This Row],[Vendor - Contract]],VendorList[Vendor / Org. with Contract ID],0)))</f>
        <v>Construction</v>
      </c>
      <c r="S797" s="1314" t="str">
        <f ca="1">IF(CostTrack[[#This Row],[Vendor - Contract]]="","",INDEX(VendorList[Secondary Category],MATCH(CostTrack[[#This Row],[Vendor - Contract]],VendorList[Vendor / Org. with Contract ID],0)))</f>
        <v>Utilities</v>
      </c>
      <c r="T797" s="1314" t="str">
        <f ca="1">IF(CostTrack[[#This Row],[Vendor - Contract]]="","",INDEX(VendorList[Phase / Subproject],MATCH(CostTrack[[#This Row],[Vendor - Contract]],VendorList[Vendor / Org. with Contract ID],0)))</f>
        <v>--</v>
      </c>
      <c r="U797" s="1314" t="str">
        <f ca="1">IF(CostTrack[[#This Row],[Vendor - Contract]]="","",INDEX(VendorList[Phase / Subproject 2],MATCH(CostTrack[[#This Row],[Vendor - Contract]],VendorList[Vendor / Org. with Contract ID],0)))</f>
        <v>--</v>
      </c>
      <c r="V797" s="1314" t="str">
        <f ca="1">IF(CostTrack[[#This Row],[Vendor - Contract]]="","",INDEX(VendorList[Funding Source],MATCH(CostTrack[[#This Row],[Vendor - Contract]],VendorList[Vendor / Org. with Contract ID],0)))</f>
        <v>P-002360</v>
      </c>
      <c r="W797" s="1308">
        <v>45733</v>
      </c>
      <c r="X797" s="1315" t="str">
        <f ca="1">IF(CostTrack[[#This Row],[Release Date (CMS)]]="","*","")</f>
        <v/>
      </c>
      <c r="Y797" s="1308" t="s">
        <v>63</v>
      </c>
      <c r="Z797" s="713"/>
      <c r="AA797" s="1316">
        <f ca="1">IF(OR(CostTrack[[#This Row],[Release Date (CMS)]]&gt;=DATE(VALUE(REPLACE(CostTrack[[#This Row],[Fiscal Period]],3,3,"")),3,1),CostTrack[[#This Row],[Release Date (CMS)]]&lt;DATE(VALUE(LEFT(CostTrack[[#This Row],[Fiscal Period]],4)),4,1)),1,0)</f>
        <v>1</v>
      </c>
      <c r="AB797" s="1317">
        <v>8612.08</v>
      </c>
      <c r="AC797" s="1308">
        <v>45757</v>
      </c>
      <c r="AD797" s="402" t="str">
        <f ca="1">IF(CostTrack[[#This Row],[Reconciled Amount]]="","",IF(CostTrack[[#This Row],[Value]]&lt;&gt;CostTrack[[#This Row],[Reconciled Amount]],"Yes","No"))</f>
        <v>No</v>
      </c>
      <c r="AE797" s="658"/>
    </row>
    <row r="798" spans="2:31" ht="15" customHeight="1">
      <c r="B798" s="1324" t="s">
        <v>1499</v>
      </c>
      <c r="C798" s="1366" t="s">
        <v>1500</v>
      </c>
      <c r="D798" s="1308">
        <v>45730</v>
      </c>
      <c r="E798" s="658">
        <v>9545.89</v>
      </c>
      <c r="F798" s="1309" t="s">
        <v>69</v>
      </c>
      <c r="G798" s="1310">
        <f ca="1">ROUND(IF(CostTrack[[#This Row],[Holdback (Y/N/R)]]="Yes",CostTrack[[#This Row],[Value]]*-0.1,IF(CostTrack[[#This Row],[Holdback (Y/N/R)]]="Release",CostTrack[[#This Row],[Value]],0)),2)</f>
        <v>0</v>
      </c>
      <c r="H798" s="1311">
        <f ca="1">IF(CostTrack[[#This Row],[Holdback (Y/N/R)]]="Release",CostTrack[[#This Row],[Value]],CostTrack[[#This Row],[Value]]+CostTrack[[#This Row],[Holdback Value]])</f>
        <v>9545.89</v>
      </c>
      <c r="I798" s="1312"/>
      <c r="J798" s="1312"/>
      <c r="K798" s="1313"/>
      <c r="L798" s="1325">
        <v>45730</v>
      </c>
      <c r="M798" s="1326">
        <v>45730</v>
      </c>
      <c r="N798" s="1327"/>
      <c r="O798" s="1328" t="s">
        <v>106</v>
      </c>
      <c r="P798" s="1308">
        <v>45730</v>
      </c>
      <c r="Q798" s="1314" t="str">
        <f ca="1">IF(CostTrack[[#This Row],[Vendor - Contract]]="","",INDEX(VendorList[PA ID],MATCH(CostTrack[[#This Row],[Vendor - Contract]],VendorList[Vendor / Org. with Contract ID],0)))</f>
        <v>400.010.F1</v>
      </c>
      <c r="R798" s="1314" t="str">
        <f ca="1">IF(CostTrack[[#This Row],[Vendor - Contract]]="","",INDEX(VendorList[Primary Category],MATCH(CostTrack[[#This Row],[Vendor - Contract]],VendorList[Vendor / Org. with Contract ID],0)))</f>
        <v>FE_IT</v>
      </c>
      <c r="S798" s="1314" t="str">
        <f ca="1">IF(CostTrack[[#This Row],[Vendor - Contract]]="","",INDEX(VendorList[Secondary Category],MATCH(CostTrack[[#This Row],[Vendor - Contract]],VendorList[Vendor / Org. with Contract ID],0)))</f>
        <v>Furniture &amp; Equipment</v>
      </c>
      <c r="T798" s="1314" t="str">
        <f ca="1">IF(CostTrack[[#This Row],[Vendor - Contract]]="","",INDEX(VendorList[Phase / Subproject],MATCH(CostTrack[[#This Row],[Vendor - Contract]],VendorList[Vendor / Org. with Contract ID],0)))</f>
        <v>--</v>
      </c>
      <c r="U798" s="1314" t="str">
        <f ca="1">IF(CostTrack[[#This Row],[Vendor - Contract]]="","",INDEX(VendorList[Phase / Subproject 2],MATCH(CostTrack[[#This Row],[Vendor - Contract]],VendorList[Vendor / Org. with Contract ID],0)))</f>
        <v>--</v>
      </c>
      <c r="V798" s="1314" t="str">
        <f ca="1">IF(CostTrack[[#This Row],[Vendor - Contract]]="","",INDEX(VendorList[Funding Source],MATCH(CostTrack[[#This Row],[Vendor - Contract]],VendorList[Vendor / Org. with Contract ID],0)))</f>
        <v>P-002360</v>
      </c>
      <c r="W798" s="1308">
        <v>45769</v>
      </c>
      <c r="X798" s="1315" t="str">
        <f ca="1">IF(CostTrack[[#This Row],[Release Date (CMS)]]="","*","")</f>
        <v/>
      </c>
      <c r="Y798" s="1308" t="s">
        <v>67</v>
      </c>
      <c r="Z798" s="713" t="s">
        <v>1501</v>
      </c>
      <c r="AA798" s="1316">
        <f ca="1">IF(OR(CostTrack[[#This Row],[Release Date (CMS)]]&gt;=DATE(VALUE(REPLACE(CostTrack[[#This Row],[Fiscal Period]],3,3,"")),3,1),CostTrack[[#This Row],[Release Date (CMS)]]&lt;DATE(VALUE(LEFT(CostTrack[[#This Row],[Fiscal Period]],4)),4,1)),1,0)</f>
        <v>0</v>
      </c>
      <c r="AB798" s="1317">
        <v>9545.89</v>
      </c>
      <c r="AC798" s="1308">
        <v>45789</v>
      </c>
      <c r="AD798" s="402" t="str">
        <f ca="1">IF(CostTrack[[#This Row],[Reconciled Amount]]="","",IF(CostTrack[[#This Row],[Value]]&lt;&gt;CostTrack[[#This Row],[Reconciled Amount]],"Yes","No"))</f>
        <v>No</v>
      </c>
      <c r="AE798" s="658"/>
    </row>
    <row r="799" spans="2:31" ht="7.9" customHeight="1">
      <c r="B799" s="706" t="s">
        <v>738</v>
      </c>
      <c r="C799" s="691">
        <v>137977</v>
      </c>
      <c r="D799" s="267">
        <v>45693</v>
      </c>
      <c r="E799" s="654">
        <v>20564.189999999999</v>
      </c>
      <c r="F799" s="647" t="s">
        <v>100</v>
      </c>
      <c r="G799" s="406">
        <f ca="1">ROUND(IF(CostTrack[[#This Row],[Holdback (Y/N/R)]]="Yes",CostTrack[[#This Row],[Value]]*-0.1,IF(CostTrack[[#This Row],[Holdback (Y/N/R)]]="Release",CostTrack[[#This Row],[Value]],0)),2)</f>
        <v>20564.189999999999</v>
      </c>
      <c r="H799" s="407">
        <f ca="1">IF(CostTrack[[#This Row],[Holdback (Y/N/R)]]="Release",CostTrack[[#This Row],[Value]],CostTrack[[#This Row],[Value]]+CostTrack[[#This Row],[Holdback Value]])</f>
        <v>20564.189999999999</v>
      </c>
      <c r="I799" s="650"/>
      <c r="J799" s="650"/>
      <c r="K799" s="648"/>
      <c r="L799" s="707">
        <v>45693</v>
      </c>
      <c r="M799" s="708">
        <v>45716</v>
      </c>
      <c r="N799" s="709"/>
      <c r="O799" s="712" t="s">
        <v>106</v>
      </c>
      <c r="P799" s="267">
        <v>45730</v>
      </c>
      <c r="Q799" s="243" t="str">
        <f ca="1">IF(CostTrack[[#This Row],[Vendor - Contract]]="","",INDEX(VendorList[PA ID],MATCH(CostTrack[[#This Row],[Vendor - Contract]],VendorList[Vendor / Org. with Contract ID],0)))</f>
        <v>300.040.F1</v>
      </c>
      <c r="R799" s="243" t="str">
        <f ca="1">IF(CostTrack[[#This Row],[Vendor - Contract]]="","",INDEX(VendorList[Primary Category],MATCH(CostTrack[[#This Row],[Vendor - Contract]],VendorList[Vendor / Org. with Contract ID],0)))</f>
        <v>Construction</v>
      </c>
      <c r="S799" s="243" t="str">
        <f ca="1">IF(CostTrack[[#This Row],[Vendor - Contract]]="","",INDEX(VendorList[Secondary Category],MATCH(CostTrack[[#This Row],[Vendor - Contract]],VendorList[Vendor / Org. with Contract ID],0)))</f>
        <v>Other Contractor</v>
      </c>
      <c r="T799" s="243" t="str">
        <f ca="1">IF(CostTrack[[#This Row],[Vendor - Contract]]="","",INDEX(VendorList[Phase / Subproject],MATCH(CostTrack[[#This Row],[Vendor - Contract]],VendorList[Vendor / Org. with Contract ID],0)))</f>
        <v>--</v>
      </c>
      <c r="U799" s="243" t="str">
        <f ca="1">IF(CostTrack[[#This Row],[Vendor - Contract]]="","",INDEX(VendorList[Phase / Subproject 2],MATCH(CostTrack[[#This Row],[Vendor - Contract]],VendorList[Vendor / Org. with Contract ID],0)))</f>
        <v>--</v>
      </c>
      <c r="V799" s="243" t="str">
        <f ca="1">IF(CostTrack[[#This Row],[Vendor - Contract]]="","",INDEX(VendorList[Funding Source],MATCH(CostTrack[[#This Row],[Vendor - Contract]],VendorList[Vendor / Org. with Contract ID],0)))</f>
        <v>P-002360</v>
      </c>
      <c r="W799" s="267">
        <v>45733</v>
      </c>
      <c r="X799" s="251" t="str">
        <f ca="1">IF(CostTrack[[#This Row],[Release Date (CMS)]]="","*","")</f>
        <v/>
      </c>
      <c r="Y799" s="267" t="s">
        <v>63</v>
      </c>
      <c r="Z799" s="652" t="s">
        <v>1502</v>
      </c>
      <c r="AA799" s="245">
        <f ca="1">IF(OR(CostTrack[[#This Row],[Release Date (CMS)]]&gt;=DATE(VALUE(REPLACE(CostTrack[[#This Row],[Fiscal Period]],3,3,"")),3,1),CostTrack[[#This Row],[Release Date (CMS)]]&lt;DATE(VALUE(LEFT(CostTrack[[#This Row],[Fiscal Period]],4)),4,1)),1,0)</f>
        <v>1</v>
      </c>
      <c r="AB799" s="655"/>
      <c r="AC799" s="267"/>
      <c r="AD799" s="402" t="str">
        <f ca="1">IF(CostTrack[[#This Row],[Reconciled Amount]]="","",IF(CostTrack[[#This Row],[Value]]&lt;&gt;CostTrack[[#This Row],[Reconciled Amount]],"Yes","No"))</f>
        <v/>
      </c>
      <c r="AE799" s="654"/>
    </row>
    <row r="800" spans="2:31" ht="33.75" customHeight="1">
      <c r="B800" s="1324" t="s">
        <v>1499</v>
      </c>
      <c r="C800" s="1334" t="s">
        <v>1503</v>
      </c>
      <c r="D800" s="1308">
        <v>45736</v>
      </c>
      <c r="E800" s="658">
        <v>1366.14</v>
      </c>
      <c r="F800" s="1309" t="s">
        <v>69</v>
      </c>
      <c r="G800" s="1310">
        <f ca="1">ROUND(IF(CostTrack[[#This Row],[Holdback (Y/N/R)]]="Yes",CostTrack[[#This Row],[Value]]*-0.1,IF(CostTrack[[#This Row],[Holdback (Y/N/R)]]="Release",CostTrack[[#This Row],[Value]],0)),2)</f>
        <v>0</v>
      </c>
      <c r="H800" s="1311">
        <f ca="1">IF(CostTrack[[#This Row],[Holdback (Y/N/R)]]="Release",CostTrack[[#This Row],[Value]],CostTrack[[#This Row],[Value]]+CostTrack[[#This Row],[Holdback Value]])</f>
        <v>1366.14</v>
      </c>
      <c r="I800" s="1312"/>
      <c r="J800" s="1312"/>
      <c r="K800" s="1313"/>
      <c r="L800" s="1308">
        <v>45736</v>
      </c>
      <c r="M800" s="1308">
        <v>45736</v>
      </c>
      <c r="N800" s="1327"/>
      <c r="O800" s="1328" t="s">
        <v>106</v>
      </c>
      <c r="P800" s="1308">
        <v>45736</v>
      </c>
      <c r="Q800" s="1314" t="str">
        <f ca="1">IF(CostTrack[[#This Row],[Vendor - Contract]]="","",INDEX(VendorList[PA ID],MATCH(CostTrack[[#This Row],[Vendor - Contract]],VendorList[Vendor / Org. with Contract ID],0)))</f>
        <v>400.010.F1</v>
      </c>
      <c r="R800" s="1314" t="str">
        <f ca="1">IF(CostTrack[[#This Row],[Vendor - Contract]]="","",INDEX(VendorList[Primary Category],MATCH(CostTrack[[#This Row],[Vendor - Contract]],VendorList[Vendor / Org. with Contract ID],0)))</f>
        <v>FE_IT</v>
      </c>
      <c r="S800" s="1314" t="str">
        <f ca="1">IF(CostTrack[[#This Row],[Vendor - Contract]]="","",INDEX(VendorList[Secondary Category],MATCH(CostTrack[[#This Row],[Vendor - Contract]],VendorList[Vendor / Org. with Contract ID],0)))</f>
        <v>Furniture &amp; Equipment</v>
      </c>
      <c r="T800" s="1314" t="str">
        <f ca="1">IF(CostTrack[[#This Row],[Vendor - Contract]]="","",INDEX(VendorList[Phase / Subproject],MATCH(CostTrack[[#This Row],[Vendor - Contract]],VendorList[Vendor / Org. with Contract ID],0)))</f>
        <v>--</v>
      </c>
      <c r="U800" s="1314" t="str">
        <f ca="1">IF(CostTrack[[#This Row],[Vendor - Contract]]="","",INDEX(VendorList[Phase / Subproject 2],MATCH(CostTrack[[#This Row],[Vendor - Contract]],VendorList[Vendor / Org. with Contract ID],0)))</f>
        <v>--</v>
      </c>
      <c r="V800" s="1314" t="str">
        <f ca="1">IF(CostTrack[[#This Row],[Vendor - Contract]]="","",INDEX(VendorList[Funding Source],MATCH(CostTrack[[#This Row],[Vendor - Contract]],VendorList[Vendor / Org. with Contract ID],0)))</f>
        <v>P-002360</v>
      </c>
      <c r="W800" s="1308">
        <v>45769</v>
      </c>
      <c r="X800" s="1315" t="str">
        <f ca="1">IF(CostTrack[[#This Row],[Release Date (CMS)]]="","*","")</f>
        <v/>
      </c>
      <c r="Y800" s="1308" t="s">
        <v>67</v>
      </c>
      <c r="Z800" s="713" t="s">
        <v>1504</v>
      </c>
      <c r="AA800" s="1316">
        <f ca="1">IF(OR(CostTrack[[#This Row],[Release Date (CMS)]]&gt;=DATE(VALUE(REPLACE(CostTrack[[#This Row],[Fiscal Period]],3,3,"")),3,1),CostTrack[[#This Row],[Release Date (CMS)]]&lt;DATE(VALUE(LEFT(CostTrack[[#This Row],[Fiscal Period]],4)),4,1)),1,0)</f>
        <v>0</v>
      </c>
      <c r="AB800" s="1317">
        <v>1366.14</v>
      </c>
      <c r="AC800" s="1308">
        <v>45789</v>
      </c>
      <c r="AD800" s="402" t="str">
        <f ca="1">IF(CostTrack[[#This Row],[Reconciled Amount]]="","",IF(CostTrack[[#This Row],[Value]]&lt;&gt;CostTrack[[#This Row],[Reconciled Amount]],"Yes","No"))</f>
        <v>No</v>
      </c>
      <c r="AE800" s="658"/>
    </row>
    <row r="801" spans="2:31" ht="33.75" customHeight="1">
      <c r="B801" s="1367" t="s">
        <v>731</v>
      </c>
      <c r="C801" s="1368">
        <v>8000002694</v>
      </c>
      <c r="D801" s="1369">
        <v>45755</v>
      </c>
      <c r="E801" s="1370">
        <v>85.99</v>
      </c>
      <c r="F801" s="1371" t="s">
        <v>69</v>
      </c>
      <c r="G801" s="1372">
        <f ca="1">ROUND(IF(CostTrack[[#This Row],[Holdback (Y/N/R)]]="Yes",CostTrack[[#This Row],[Value]]*-0.1,IF(CostTrack[[#This Row],[Holdback (Y/N/R)]]="Release",CostTrack[[#This Row],[Value]],0)),2)</f>
        <v>0</v>
      </c>
      <c r="H801" s="1373">
        <f ca="1">IF(CostTrack[[#This Row],[Holdback (Y/N/R)]]="Release",CostTrack[[#This Row],[Value]],CostTrack[[#This Row],[Value]]+CostTrack[[#This Row],[Holdback Value]])</f>
        <v>85.99</v>
      </c>
      <c r="I801" s="1374"/>
      <c r="J801" s="1374"/>
      <c r="K801" s="1375"/>
      <c r="L801" s="1376">
        <v>45755</v>
      </c>
      <c r="M801" s="1377">
        <v>45755</v>
      </c>
      <c r="N801" s="1378"/>
      <c r="O801" s="1379" t="s">
        <v>106</v>
      </c>
      <c r="P801" s="1369">
        <v>45755</v>
      </c>
      <c r="Q801" s="1380" t="str">
        <f ca="1">IF(CostTrack[[#This Row],[Vendor - Contract]]="","",INDEX(VendorList[PA ID],MATCH(CostTrack[[#This Row],[Vendor - Contract]],VendorList[Vendor / Org. with Contract ID],0)))</f>
        <v>100.050.F1</v>
      </c>
      <c r="R801" s="1380" t="str">
        <f ca="1">IF(CostTrack[[#This Row],[Vendor - Contract]]="","",INDEX(VendorList[Primary Category],MATCH(CostTrack[[#This Row],[Vendor - Contract]],VendorList[Vendor / Org. with Contract ID],0)))</f>
        <v>Administration</v>
      </c>
      <c r="S801" s="1380" t="str">
        <f ca="1">IF(CostTrack[[#This Row],[Vendor - Contract]]="","",INDEX(VendorList[Secondary Category],MATCH(CostTrack[[#This Row],[Vendor - Contract]],VendorList[Vendor / Org. with Contract ID],0)))</f>
        <v>Other Administration</v>
      </c>
      <c r="T801" s="1380" t="str">
        <f ca="1">IF(CostTrack[[#This Row],[Vendor - Contract]]="","",INDEX(VendorList[Phase / Subproject],MATCH(CostTrack[[#This Row],[Vendor - Contract]],VendorList[Vendor / Org. with Contract ID],0)))</f>
        <v>--</v>
      </c>
      <c r="U801" s="1380" t="str">
        <f ca="1">IF(CostTrack[[#This Row],[Vendor - Contract]]="","",INDEX(VendorList[Phase / Subproject 2],MATCH(CostTrack[[#This Row],[Vendor - Contract]],VendorList[Vendor / Org. with Contract ID],0)))</f>
        <v>--</v>
      </c>
      <c r="V801" s="1380" t="str">
        <f ca="1">IF(CostTrack[[#This Row],[Vendor - Contract]]="","",INDEX(VendorList[Funding Source],MATCH(CostTrack[[#This Row],[Vendor - Contract]],VendorList[Vendor / Org. with Contract ID],0)))</f>
        <v>P-002360</v>
      </c>
      <c r="W801" s="1369">
        <v>45755</v>
      </c>
      <c r="X801" s="1381" t="str">
        <f ca="1">IF(CostTrack[[#This Row],[Release Date (CMS)]]="","*","")</f>
        <v/>
      </c>
      <c r="Y801" s="1369" t="s">
        <v>67</v>
      </c>
      <c r="Z801" s="1382" t="s">
        <v>1505</v>
      </c>
      <c r="AA801" s="1383">
        <f ca="1">IF(OR(CostTrack[[#This Row],[Release Date (CMS)]]&gt;=DATE(VALUE(REPLACE(CostTrack[[#This Row],[Fiscal Period]],3,3,"")),3,1),CostTrack[[#This Row],[Release Date (CMS)]]&lt;DATE(VALUE(LEFT(CostTrack[[#This Row],[Fiscal Period]],4)),4,1)),1,0)</f>
        <v>0</v>
      </c>
      <c r="AB801" s="1384">
        <v>85.99</v>
      </c>
      <c r="AC801" s="1369">
        <v>45789</v>
      </c>
      <c r="AD801" s="402" t="str">
        <f ca="1">IF(CostTrack[[#This Row],[Reconciled Amount]]="","",IF(CostTrack[[#This Row],[Value]]&lt;&gt;CostTrack[[#This Row],[Reconciled Amount]],"Yes","No"))</f>
        <v>No</v>
      </c>
      <c r="AE801" s="1370"/>
    </row>
    <row r="802" spans="2:31" ht="45.75" customHeight="1">
      <c r="B802" s="1324" t="s">
        <v>775</v>
      </c>
      <c r="C802" s="1034" t="s">
        <v>1506</v>
      </c>
      <c r="D802" s="1308">
        <v>45657</v>
      </c>
      <c r="E802" s="658">
        <v>60800</v>
      </c>
      <c r="F802" s="1309" t="s">
        <v>69</v>
      </c>
      <c r="G802" s="1310">
        <f ca="1">ROUND(IF(CostTrack[[#This Row],[Holdback (Y/N/R)]]="Yes",CostTrack[[#This Row],[Value]]*-0.1,IF(CostTrack[[#This Row],[Holdback (Y/N/R)]]="Release",CostTrack[[#This Row],[Value]],0)),2)</f>
        <v>0</v>
      </c>
      <c r="H802" s="1311">
        <f ca="1">IF(CostTrack[[#This Row],[Holdback (Y/N/R)]]="Release",CostTrack[[#This Row],[Value]],CostTrack[[#This Row],[Value]]+CostTrack[[#This Row],[Holdback Value]])</f>
        <v>60800</v>
      </c>
      <c r="I802" s="1312"/>
      <c r="J802" s="1312"/>
      <c r="K802" s="1313"/>
      <c r="L802" s="1308">
        <v>45737</v>
      </c>
      <c r="M802" s="1308">
        <v>45737</v>
      </c>
      <c r="N802" s="1327"/>
      <c r="O802" s="1328" t="s">
        <v>106</v>
      </c>
      <c r="P802" s="1308">
        <v>45737</v>
      </c>
      <c r="Q802" s="1314" t="str">
        <f ca="1">IF(CostTrack[[#This Row],[Vendor - Contract]]="","",INDEX(VendorList[PA ID],MATCH(CostTrack[[#This Row],[Vendor - Contract]],VendorList[Vendor / Org. with Contract ID],0)))</f>
        <v>400.030.F1</v>
      </c>
      <c r="R802" s="1314" t="str">
        <f ca="1">IF(CostTrack[[#This Row],[Vendor - Contract]]="","",INDEX(VendorList[Primary Category],MATCH(CostTrack[[#This Row],[Vendor - Contract]],VendorList[Vendor / Org. with Contract ID],0)))</f>
        <v>FE_IT</v>
      </c>
      <c r="S802" s="1314" t="str">
        <f ca="1">IF(CostTrack[[#This Row],[Vendor - Contract]]="","",INDEX(VendorList[Secondary Category],MATCH(CostTrack[[#This Row],[Vendor - Contract]],VendorList[Vendor / Org. with Contract ID],0)))</f>
        <v>Movers</v>
      </c>
      <c r="T802" s="1314" t="str">
        <f ca="1">IF(CostTrack[[#This Row],[Vendor - Contract]]="","",INDEX(VendorList[Phase / Subproject],MATCH(CostTrack[[#This Row],[Vendor - Contract]],VendorList[Vendor / Org. with Contract ID],0)))</f>
        <v>--</v>
      </c>
      <c r="U802" s="1314" t="str">
        <f ca="1">IF(CostTrack[[#This Row],[Vendor - Contract]]="","",INDEX(VendorList[Phase / Subproject 2],MATCH(CostTrack[[#This Row],[Vendor - Contract]],VendorList[Vendor / Org. with Contract ID],0)))</f>
        <v>--</v>
      </c>
      <c r="V802" s="1314" t="str">
        <f ca="1">IF(CostTrack[[#This Row],[Vendor - Contract]]="","",INDEX(VendorList[Funding Source],MATCH(CostTrack[[#This Row],[Vendor - Contract]],VendorList[Vendor / Org. with Contract ID],0)))</f>
        <v>P-002360</v>
      </c>
      <c r="W802" s="1308">
        <v>45746</v>
      </c>
      <c r="X802" s="1315" t="str">
        <f ca="1">IF(CostTrack[[#This Row],[Release Date (CMS)]]="","*","")</f>
        <v/>
      </c>
      <c r="Y802" s="1308" t="s">
        <v>63</v>
      </c>
      <c r="Z802" s="713" t="s">
        <v>1507</v>
      </c>
      <c r="AA802" s="1316">
        <f ca="1">IF(OR(CostTrack[[#This Row],[Release Date (CMS)]]&gt;=DATE(VALUE(REPLACE(CostTrack[[#This Row],[Fiscal Period]],3,3,"")),3,1),CostTrack[[#This Row],[Release Date (CMS)]]&lt;DATE(VALUE(LEFT(CostTrack[[#This Row],[Fiscal Period]],4)),4,1)),1,0)</f>
        <v>1</v>
      </c>
      <c r="AB802" s="1317">
        <v>60800</v>
      </c>
      <c r="AC802" s="1308">
        <v>45783</v>
      </c>
      <c r="AD802" s="402" t="str">
        <f ca="1">IF(CostTrack[[#This Row],[Reconciled Amount]]="","",IF(CostTrack[[#This Row],[Value]]&lt;&gt;CostTrack[[#This Row],[Reconciled Amount]],"Yes","No"))</f>
        <v>No</v>
      </c>
      <c r="AE802" s="658"/>
    </row>
    <row r="803" spans="2:31" ht="33.75" customHeight="1">
      <c r="B803" s="1324" t="s">
        <v>529</v>
      </c>
      <c r="C803" s="1334">
        <v>31351</v>
      </c>
      <c r="D803" s="1308">
        <v>45716</v>
      </c>
      <c r="E803" s="658">
        <v>225197.64</v>
      </c>
      <c r="F803" s="1309" t="s">
        <v>65</v>
      </c>
      <c r="G803" s="1310">
        <f ca="1">ROUND(IF(CostTrack[[#This Row],[Holdback (Y/N/R)]]="Yes",CostTrack[[#This Row],[Value]]*-0.1,IF(CostTrack[[#This Row],[Holdback (Y/N/R)]]="Release",CostTrack[[#This Row],[Value]],0)),2)</f>
        <v>-22519.759999999998</v>
      </c>
      <c r="H803" s="1311">
        <f ca="1">IF(CostTrack[[#This Row],[Holdback (Y/N/R)]]="Release",CostTrack[[#This Row],[Value]],CostTrack[[#This Row],[Value]]+CostTrack[[#This Row],[Holdback Value]])</f>
        <v>202677.88</v>
      </c>
      <c r="I803" s="1312"/>
      <c r="J803" s="1312"/>
      <c r="K803" s="1313"/>
      <c r="L803" s="1308">
        <v>45735</v>
      </c>
      <c r="M803" s="1308">
        <v>45735</v>
      </c>
      <c r="N803" s="1327"/>
      <c r="O803" s="1328" t="s">
        <v>106</v>
      </c>
      <c r="P803" s="1308">
        <v>45735</v>
      </c>
      <c r="Q803" s="1314" t="str">
        <f ca="1">IF(CostTrack[[#This Row],[Vendor - Contract]]="","",INDEX(VendorList[PA ID],MATCH(CostTrack[[#This Row],[Vendor - Contract]],VendorList[Vendor / Org. with Contract ID],0)))</f>
        <v>300.030.F1</v>
      </c>
      <c r="R803" s="1314" t="str">
        <f ca="1">IF(CostTrack[[#This Row],[Vendor - Contract]]="","",INDEX(VendorList[Primary Category],MATCH(CostTrack[[#This Row],[Vendor - Contract]],VendorList[Vendor / Org. with Contract ID],0)))</f>
        <v>Construction</v>
      </c>
      <c r="S803" s="1314" t="str">
        <f ca="1">IF(CostTrack[[#This Row],[Vendor - Contract]]="","",INDEX(VendorList[Secondary Category],MATCH(CostTrack[[#This Row],[Vendor - Contract]],VendorList[Vendor / Org. with Contract ID],0)))</f>
        <v>Prime Contractor</v>
      </c>
      <c r="T803" s="1314" t="str">
        <f ca="1">IF(CostTrack[[#This Row],[Vendor - Contract]]="","",INDEX(VendorList[Phase / Subproject],MATCH(CostTrack[[#This Row],[Vendor - Contract]],VendorList[Vendor / Org. with Contract ID],0)))</f>
        <v>--</v>
      </c>
      <c r="U803" s="1314" t="str">
        <f ca="1">IF(CostTrack[[#This Row],[Vendor - Contract]]="","",INDEX(VendorList[Phase / Subproject 2],MATCH(CostTrack[[#This Row],[Vendor - Contract]],VendorList[Vendor / Org. with Contract ID],0)))</f>
        <v>--</v>
      </c>
      <c r="V803" s="1314" t="str">
        <f ca="1">IF(CostTrack[[#This Row],[Vendor - Contract]]="","",INDEX(VendorList[Funding Source],MATCH(CostTrack[[#This Row],[Vendor - Contract]],VendorList[Vendor / Org. with Contract ID],0)))</f>
        <v>P-002360</v>
      </c>
      <c r="W803" s="1308">
        <v>45735</v>
      </c>
      <c r="X803" s="1315" t="str">
        <f ca="1">IF(CostTrack[[#This Row],[Release Date (CMS)]]="","*","")</f>
        <v/>
      </c>
      <c r="Y803" s="1308" t="s">
        <v>63</v>
      </c>
      <c r="Z803" s="713" t="s">
        <v>1508</v>
      </c>
      <c r="AA803" s="1316">
        <f ca="1">IF(OR(CostTrack[[#This Row],[Release Date (CMS)]]&gt;=DATE(VALUE(REPLACE(CostTrack[[#This Row],[Fiscal Period]],3,3,"")),3,1),CostTrack[[#This Row],[Release Date (CMS)]]&lt;DATE(VALUE(LEFT(CostTrack[[#This Row],[Fiscal Period]],4)),4,1)),1,0)</f>
        <v>1</v>
      </c>
      <c r="AB803" s="1317">
        <v>225197.64</v>
      </c>
      <c r="AC803" s="1308">
        <v>45757</v>
      </c>
      <c r="AD803" s="402" t="str">
        <f ca="1">IF(CostTrack[[#This Row],[Reconciled Amount]]="","",IF(CostTrack[[#This Row],[Value]]&lt;&gt;CostTrack[[#This Row],[Reconciled Amount]],"Yes","No"))</f>
        <v>No</v>
      </c>
      <c r="AE803" s="658"/>
    </row>
    <row r="804" spans="2:31" ht="33.75" customHeight="1">
      <c r="B804" s="1385" t="s">
        <v>624</v>
      </c>
      <c r="C804" s="1092" t="s">
        <v>1509</v>
      </c>
      <c r="D804" s="1386">
        <v>45715</v>
      </c>
      <c r="E804" s="1387">
        <v>7200</v>
      </c>
      <c r="F804" s="1309" t="s">
        <v>69</v>
      </c>
      <c r="G804" s="1310">
        <f ca="1">ROUND(IF(CostTrack[[#This Row],[Holdback (Y/N/R)]]="Yes",CostTrack[[#This Row],[Value]]*-0.1,IF(CostTrack[[#This Row],[Holdback (Y/N/R)]]="Release",CostTrack[[#This Row],[Value]],0)),2)</f>
        <v>0</v>
      </c>
      <c r="H804" s="1311">
        <f ca="1">IF(CostTrack[[#This Row],[Holdback (Y/N/R)]]="Release",CostTrack[[#This Row],[Value]],CostTrack[[#This Row],[Value]]+CostTrack[[#This Row],[Holdback Value]])</f>
        <v>7200</v>
      </c>
      <c r="I804" s="1312"/>
      <c r="J804" s="1312"/>
      <c r="K804" s="1313"/>
      <c r="L804" s="1325">
        <v>45715</v>
      </c>
      <c r="M804" s="1326">
        <v>45715</v>
      </c>
      <c r="N804" s="1327"/>
      <c r="O804" s="1328" t="s">
        <v>106</v>
      </c>
      <c r="P804" s="1308">
        <v>45737</v>
      </c>
      <c r="Q804" s="1314" t="str">
        <f ca="1">IF(CostTrack[[#This Row],[Vendor - Contract]]="","",INDEX(VendorList[PA ID],MATCH(CostTrack[[#This Row],[Vendor - Contract]],VendorList[Vendor / Org. with Contract ID],0)))</f>
        <v>200.040.F1</v>
      </c>
      <c r="R804" s="1314" t="str">
        <f ca="1">IF(CostTrack[[#This Row],[Vendor - Contract]]="","",INDEX(VendorList[Primary Category],MATCH(CostTrack[[#This Row],[Vendor - Contract]],VendorList[Vendor / Org. with Contract ID],0)))</f>
        <v>Professional Services</v>
      </c>
      <c r="S804" s="1314" t="str">
        <f ca="1">IF(CostTrack[[#This Row],[Vendor - Contract]]="","",INDEX(VendorList[Secondary Category],MATCH(CostTrack[[#This Row],[Vendor - Contract]],VendorList[Vendor / Org. with Contract ID],0)))</f>
        <v>Commissioning</v>
      </c>
      <c r="T804" s="1314" t="str">
        <f ca="1">IF(CostTrack[[#This Row],[Vendor - Contract]]="","",INDEX(VendorList[Phase / Subproject],MATCH(CostTrack[[#This Row],[Vendor - Contract]],VendorList[Vendor / Org. with Contract ID],0)))</f>
        <v>--</v>
      </c>
      <c r="U804" s="1314" t="str">
        <f ca="1">IF(CostTrack[[#This Row],[Vendor - Contract]]="","",INDEX(VendorList[Phase / Subproject 2],MATCH(CostTrack[[#This Row],[Vendor - Contract]],VendorList[Vendor / Org. with Contract ID],0)))</f>
        <v>--</v>
      </c>
      <c r="V804" s="1314" t="str">
        <f ca="1">IF(CostTrack[[#This Row],[Vendor - Contract]]="","",INDEX(VendorList[Funding Source],MATCH(CostTrack[[#This Row],[Vendor - Contract]],VendorList[Vendor / Org. with Contract ID],0)))</f>
        <v>P-002360</v>
      </c>
      <c r="W804" s="1308">
        <v>45747</v>
      </c>
      <c r="X804" s="1315" t="str">
        <f ca="1">IF(CostTrack[[#This Row],[Release Date (CMS)]]="","*","")</f>
        <v/>
      </c>
      <c r="Y804" s="1308" t="s">
        <v>63</v>
      </c>
      <c r="Z804" s="1344" t="s">
        <v>1510</v>
      </c>
      <c r="AA804" s="1316">
        <f ca="1">IF(OR(CostTrack[[#This Row],[Release Date (CMS)]]&gt;=DATE(VALUE(REPLACE(CostTrack[[#This Row],[Fiscal Period]],3,3,"")),3,1),CostTrack[[#This Row],[Release Date (CMS)]]&lt;DATE(VALUE(LEFT(CostTrack[[#This Row],[Fiscal Period]],4)),4,1)),1,0)</f>
        <v>1</v>
      </c>
      <c r="AB804" s="1317">
        <v>7200</v>
      </c>
      <c r="AC804" s="1308">
        <v>45783</v>
      </c>
      <c r="AD804" s="402" t="str">
        <f ca="1">IF(CostTrack[[#This Row],[Reconciled Amount]]="","",IF(CostTrack[[#This Row],[Value]]&lt;&gt;CostTrack[[#This Row],[Reconciled Amount]],"Yes","No"))</f>
        <v>No</v>
      </c>
      <c r="AE804" s="658"/>
    </row>
    <row r="805" spans="2:31" ht="33.75" customHeight="1">
      <c r="B805" s="1388" t="s">
        <v>624</v>
      </c>
      <c r="C805" s="1389" t="s">
        <v>1511</v>
      </c>
      <c r="D805" s="1390">
        <v>45715</v>
      </c>
      <c r="E805" s="1391">
        <v>7200</v>
      </c>
      <c r="F805" s="1309" t="s">
        <v>69</v>
      </c>
      <c r="G805" s="1310">
        <f ca="1">ROUND(IF(CostTrack[[#This Row],[Holdback (Y/N/R)]]="Yes",CostTrack[[#This Row],[Value]]*-0.1,IF(CostTrack[[#This Row],[Holdback (Y/N/R)]]="Release",CostTrack[[#This Row],[Value]],0)),2)</f>
        <v>0</v>
      </c>
      <c r="H805" s="1311">
        <f ca="1">IF(CostTrack[[#This Row],[Holdback (Y/N/R)]]="Release",CostTrack[[#This Row],[Value]],CostTrack[[#This Row],[Value]]+CostTrack[[#This Row],[Holdback Value]])</f>
        <v>7200</v>
      </c>
      <c r="I805" s="1312"/>
      <c r="J805" s="1312"/>
      <c r="K805" s="1313"/>
      <c r="L805" s="1325">
        <v>45754</v>
      </c>
      <c r="M805" s="1326" t="s">
        <v>1512</v>
      </c>
      <c r="N805" s="1327"/>
      <c r="O805" s="1328" t="s">
        <v>106</v>
      </c>
      <c r="P805" s="1308">
        <v>45757</v>
      </c>
      <c r="Q805" s="1314" t="str">
        <f ca="1">IF(CostTrack[[#This Row],[Vendor - Contract]]="","",INDEX(VendorList[PA ID],MATCH(CostTrack[[#This Row],[Vendor - Contract]],VendorList[Vendor / Org. with Contract ID],0)))</f>
        <v>200.040.F1</v>
      </c>
      <c r="R805" s="1314" t="str">
        <f ca="1">IF(CostTrack[[#This Row],[Vendor - Contract]]="","",INDEX(VendorList[Primary Category],MATCH(CostTrack[[#This Row],[Vendor - Contract]],VendorList[Vendor / Org. with Contract ID],0)))</f>
        <v>Professional Services</v>
      </c>
      <c r="S805" s="1314" t="str">
        <f ca="1">IF(CostTrack[[#This Row],[Vendor - Contract]]="","",INDEX(VendorList[Secondary Category],MATCH(CostTrack[[#This Row],[Vendor - Contract]],VendorList[Vendor / Org. with Contract ID],0)))</f>
        <v>Commissioning</v>
      </c>
      <c r="T805" s="1314" t="str">
        <f ca="1">IF(CostTrack[[#This Row],[Vendor - Contract]]="","",INDEX(VendorList[Phase / Subproject],MATCH(CostTrack[[#This Row],[Vendor - Contract]],VendorList[Vendor / Org. with Contract ID],0)))</f>
        <v>--</v>
      </c>
      <c r="U805" s="1314" t="str">
        <f ca="1">IF(CostTrack[[#This Row],[Vendor - Contract]]="","",INDEX(VendorList[Phase / Subproject 2],MATCH(CostTrack[[#This Row],[Vendor - Contract]],VendorList[Vendor / Org. with Contract ID],0)))</f>
        <v>--</v>
      </c>
      <c r="V805" s="1314" t="str">
        <f ca="1">IF(CostTrack[[#This Row],[Vendor - Contract]]="","",INDEX(VendorList[Funding Source],MATCH(CostTrack[[#This Row],[Vendor - Contract]],VendorList[Vendor / Org. with Contract ID],0)))</f>
        <v>P-002360</v>
      </c>
      <c r="W805" s="1308">
        <v>45762</v>
      </c>
      <c r="X805" s="1315" t="str">
        <f ca="1">IF(CostTrack[[#This Row],[Release Date (CMS)]]="","*","")</f>
        <v/>
      </c>
      <c r="Y805" s="1308" t="s">
        <v>67</v>
      </c>
      <c r="Z805" s="1093" t="s">
        <v>1513</v>
      </c>
      <c r="AA805" s="1316">
        <f ca="1">IF(OR(CostTrack[[#This Row],[Release Date (CMS)]]&gt;=DATE(VALUE(REPLACE(CostTrack[[#This Row],[Fiscal Period]],3,3,"")),3,1),CostTrack[[#This Row],[Release Date (CMS)]]&lt;DATE(VALUE(LEFT(CostTrack[[#This Row],[Fiscal Period]],4)),4,1)),1,0)</f>
        <v>0</v>
      </c>
      <c r="AB805" s="1317">
        <v>7200</v>
      </c>
      <c r="AC805" s="1308">
        <v>45783</v>
      </c>
      <c r="AD805" s="402" t="str">
        <f ca="1">IF(CostTrack[[#This Row],[Reconciled Amount]]="","",IF(CostTrack[[#This Row],[Value]]&lt;&gt;CostTrack[[#This Row],[Reconciled Amount]],"Yes","No"))</f>
        <v>No</v>
      </c>
      <c r="AE805" s="658"/>
    </row>
    <row r="806" spans="2:31" ht="42.75" customHeight="1">
      <c r="B806" s="1392" t="s">
        <v>624</v>
      </c>
      <c r="C806" s="1393" t="s">
        <v>1511</v>
      </c>
      <c r="D806" s="1394">
        <v>45715</v>
      </c>
      <c r="E806" s="1395">
        <v>-7200</v>
      </c>
      <c r="F806" s="1309" t="s">
        <v>69</v>
      </c>
      <c r="G806" s="1310">
        <f ca="1">ROUND(IF(CostTrack[[#This Row],[Holdback (Y/N/R)]]="Yes",CostTrack[[#This Row],[Value]]*-0.1,IF(CostTrack[[#This Row],[Holdback (Y/N/R)]]="Release",CostTrack[[#This Row],[Value]],0)),2)</f>
        <v>0</v>
      </c>
      <c r="H806" s="1311">
        <f ca="1">IF(CostTrack[[#This Row],[Holdback (Y/N/R)]]="Release",CostTrack[[#This Row],[Value]],CostTrack[[#This Row],[Value]]+CostTrack[[#This Row],[Holdback Value]])</f>
        <v>-7200</v>
      </c>
      <c r="I806" s="1312"/>
      <c r="J806" s="1312"/>
      <c r="K806" s="1313"/>
      <c r="L806" s="1325">
        <v>45754</v>
      </c>
      <c r="M806" s="1326" t="s">
        <v>1512</v>
      </c>
      <c r="N806" s="1327"/>
      <c r="O806" s="1328" t="s">
        <v>106</v>
      </c>
      <c r="P806" s="1308">
        <v>45757</v>
      </c>
      <c r="Q806" s="1314" t="str">
        <f ca="1">IF(CostTrack[[#This Row],[Vendor - Contract]]="","",INDEX(VendorList[PA ID],MATCH(CostTrack[[#This Row],[Vendor - Contract]],VendorList[Vendor / Org. with Contract ID],0)))</f>
        <v>200.040.F1</v>
      </c>
      <c r="R806" s="1314" t="str">
        <f ca="1">IF(CostTrack[[#This Row],[Vendor - Contract]]="","",INDEX(VendorList[Primary Category],MATCH(CostTrack[[#This Row],[Vendor - Contract]],VendorList[Vendor / Org. with Contract ID],0)))</f>
        <v>Professional Services</v>
      </c>
      <c r="S806" s="1314" t="str">
        <f ca="1">IF(CostTrack[[#This Row],[Vendor - Contract]]="","",INDEX(VendorList[Secondary Category],MATCH(CostTrack[[#This Row],[Vendor - Contract]],VendorList[Vendor / Org. with Contract ID],0)))</f>
        <v>Commissioning</v>
      </c>
      <c r="T806" s="1314" t="str">
        <f ca="1">IF(CostTrack[[#This Row],[Vendor - Contract]]="","",INDEX(VendorList[Phase / Subproject],MATCH(CostTrack[[#This Row],[Vendor - Contract]],VendorList[Vendor / Org. with Contract ID],0)))</f>
        <v>--</v>
      </c>
      <c r="U806" s="1314" t="str">
        <f ca="1">IF(CostTrack[[#This Row],[Vendor - Contract]]="","",INDEX(VendorList[Phase / Subproject 2],MATCH(CostTrack[[#This Row],[Vendor - Contract]],VendorList[Vendor / Org. with Contract ID],0)))</f>
        <v>--</v>
      </c>
      <c r="V806" s="1314" t="str">
        <f ca="1">IF(CostTrack[[#This Row],[Vendor - Contract]]="","",INDEX(VendorList[Funding Source],MATCH(CostTrack[[#This Row],[Vendor - Contract]],VendorList[Vendor / Org. with Contract ID],0)))</f>
        <v>P-002360</v>
      </c>
      <c r="W806" s="1308">
        <v>45762</v>
      </c>
      <c r="X806" s="1315" t="str">
        <f ca="1">IF(CostTrack[[#This Row],[Release Date (CMS)]]="","*","")</f>
        <v/>
      </c>
      <c r="Y806" s="1308" t="s">
        <v>67</v>
      </c>
      <c r="Z806" s="1094" t="s">
        <v>1514</v>
      </c>
      <c r="AA806" s="1316">
        <f ca="1">IF(OR(CostTrack[[#This Row],[Release Date (CMS)]]&gt;=DATE(VALUE(REPLACE(CostTrack[[#This Row],[Fiscal Period]],3,3,"")),3,1),CostTrack[[#This Row],[Release Date (CMS)]]&lt;DATE(VALUE(LEFT(CostTrack[[#This Row],[Fiscal Period]],4)),4,1)),1,0)</f>
        <v>0</v>
      </c>
      <c r="AB806" s="1317">
        <v>-7200</v>
      </c>
      <c r="AC806" s="1308">
        <v>45783</v>
      </c>
      <c r="AD806" s="402" t="str">
        <f ca="1">IF(CostTrack[[#This Row],[Reconciled Amount]]="","",IF(CostTrack[[#This Row],[Value]]&lt;&gt;CostTrack[[#This Row],[Reconciled Amount]],"Yes","No"))</f>
        <v>No</v>
      </c>
      <c r="AE806" s="658"/>
    </row>
    <row r="807" spans="2:31" ht="33.75" customHeight="1">
      <c r="B807" s="1324" t="s">
        <v>624</v>
      </c>
      <c r="C807" s="1334" t="s">
        <v>1515</v>
      </c>
      <c r="D807" s="1308">
        <v>45715</v>
      </c>
      <c r="E807" s="658">
        <v>39946.75</v>
      </c>
      <c r="F807" s="1309" t="s">
        <v>69</v>
      </c>
      <c r="G807" s="1310">
        <f ca="1">ROUND(IF(CostTrack[[#This Row],[Holdback (Y/N/R)]]="Yes",CostTrack[[#This Row],[Value]]*-0.1,IF(CostTrack[[#This Row],[Holdback (Y/N/R)]]="Release",CostTrack[[#This Row],[Value]],0)),2)</f>
        <v>0</v>
      </c>
      <c r="H807" s="1311">
        <f ca="1">IF(CostTrack[[#This Row],[Holdback (Y/N/R)]]="Release",CostTrack[[#This Row],[Value]],CostTrack[[#This Row],[Value]]+CostTrack[[#This Row],[Holdback Value]])</f>
        <v>39946.75</v>
      </c>
      <c r="I807" s="1312"/>
      <c r="J807" s="1312"/>
      <c r="K807" s="1313"/>
      <c r="L807" s="1325">
        <v>45754</v>
      </c>
      <c r="M807" s="1326" t="s">
        <v>1512</v>
      </c>
      <c r="N807" s="1327"/>
      <c r="O807" s="1328" t="s">
        <v>106</v>
      </c>
      <c r="P807" s="1308">
        <v>45757</v>
      </c>
      <c r="Q807" s="1314" t="str">
        <f ca="1">IF(CostTrack[[#This Row],[Vendor - Contract]]="","",INDEX(VendorList[PA ID],MATCH(CostTrack[[#This Row],[Vendor - Contract]],VendorList[Vendor / Org. with Contract ID],0)))</f>
        <v>200.040.F1</v>
      </c>
      <c r="R807" s="1314" t="str">
        <f ca="1">IF(CostTrack[[#This Row],[Vendor - Contract]]="","",INDEX(VendorList[Primary Category],MATCH(CostTrack[[#This Row],[Vendor - Contract]],VendorList[Vendor / Org. with Contract ID],0)))</f>
        <v>Professional Services</v>
      </c>
      <c r="S807" s="1314" t="str">
        <f ca="1">IF(CostTrack[[#This Row],[Vendor - Contract]]="","",INDEX(VendorList[Secondary Category],MATCH(CostTrack[[#This Row],[Vendor - Contract]],VendorList[Vendor / Org. with Contract ID],0)))</f>
        <v>Commissioning</v>
      </c>
      <c r="T807" s="1314" t="str">
        <f ca="1">IF(CostTrack[[#This Row],[Vendor - Contract]]="","",INDEX(VendorList[Phase / Subproject],MATCH(CostTrack[[#This Row],[Vendor - Contract]],VendorList[Vendor / Org. with Contract ID],0)))</f>
        <v>--</v>
      </c>
      <c r="U807" s="1314" t="str">
        <f ca="1">IF(CostTrack[[#This Row],[Vendor - Contract]]="","",INDEX(VendorList[Phase / Subproject 2],MATCH(CostTrack[[#This Row],[Vendor - Contract]],VendorList[Vendor / Org. with Contract ID],0)))</f>
        <v>--</v>
      </c>
      <c r="V807" s="1314" t="str">
        <f ca="1">IF(CostTrack[[#This Row],[Vendor - Contract]]="","",INDEX(VendorList[Funding Source],MATCH(CostTrack[[#This Row],[Vendor - Contract]],VendorList[Vendor / Org. with Contract ID],0)))</f>
        <v>P-002360</v>
      </c>
      <c r="W807" s="1308">
        <v>45762</v>
      </c>
      <c r="X807" s="1315" t="str">
        <f ca="1">IF(CostTrack[[#This Row],[Release Date (CMS)]]="","*","")</f>
        <v/>
      </c>
      <c r="Y807" s="1308" t="s">
        <v>67</v>
      </c>
      <c r="Z807" s="713"/>
      <c r="AA807" s="1316">
        <f ca="1">IF(OR(CostTrack[[#This Row],[Release Date (CMS)]]&gt;=DATE(VALUE(REPLACE(CostTrack[[#This Row],[Fiscal Period]],3,3,"")),3,1),CostTrack[[#This Row],[Release Date (CMS)]]&lt;DATE(VALUE(LEFT(CostTrack[[#This Row],[Fiscal Period]],4)),4,1)),1,0)</f>
        <v>0</v>
      </c>
      <c r="AB807" s="1317"/>
      <c r="AC807" s="1308"/>
      <c r="AD807" s="402" t="str">
        <f ca="1">IF(CostTrack[[#This Row],[Reconciled Amount]]="","",IF(CostTrack[[#This Row],[Value]]&lt;&gt;CostTrack[[#This Row],[Reconciled Amount]],"Yes","No"))</f>
        <v/>
      </c>
      <c r="AE807" s="658"/>
    </row>
    <row r="808" spans="2:31" ht="46.35" customHeight="1">
      <c r="B808" s="1385" t="s">
        <v>1493</v>
      </c>
      <c r="C808" s="1396" t="s">
        <v>1516</v>
      </c>
      <c r="D808" s="1386">
        <v>45728</v>
      </c>
      <c r="E808" s="1387">
        <v>159912.32999999999</v>
      </c>
      <c r="F808" s="1309" t="s">
        <v>69</v>
      </c>
      <c r="G808" s="1310">
        <f ca="1">ROUND(IF(CostTrack[[#This Row],[Holdback (Y/N/R)]]="Yes",CostTrack[[#This Row],[Value]]*-0.1,IF(CostTrack[[#This Row],[Holdback (Y/N/R)]]="Release",CostTrack[[#This Row],[Value]],0)),2)</f>
        <v>0</v>
      </c>
      <c r="H808" s="1311">
        <f ca="1">IF(CostTrack[[#This Row],[Holdback (Y/N/R)]]="Release",CostTrack[[#This Row],[Value]],CostTrack[[#This Row],[Value]]+CostTrack[[#This Row],[Holdback Value]])</f>
        <v>159912.32999999999</v>
      </c>
      <c r="I808" s="1312"/>
      <c r="J808" s="1312"/>
      <c r="K808" s="1313"/>
      <c r="L808" s="1325">
        <v>45737</v>
      </c>
      <c r="M808" s="1326">
        <v>45737</v>
      </c>
      <c r="N808" s="1327"/>
      <c r="O808" s="1328" t="s">
        <v>106</v>
      </c>
      <c r="P808" s="1308">
        <v>45737</v>
      </c>
      <c r="Q808" s="1314" t="str">
        <f ca="1">IF(CostTrack[[#This Row],[Vendor - Contract]]="","",INDEX(VendorList[PA ID],MATCH(CostTrack[[#This Row],[Vendor - Contract]],VendorList[Vendor / Org. with Contract ID],0)))</f>
        <v>200.050.F1</v>
      </c>
      <c r="R808" s="1314" t="str">
        <f ca="1">IF(CostTrack[[#This Row],[Vendor - Contract]]="","",INDEX(VendorList[Primary Category],MATCH(CostTrack[[#This Row],[Vendor - Contract]],VendorList[Vendor / Org. with Contract ID],0)))</f>
        <v>Professional Services</v>
      </c>
      <c r="S808" s="1314" t="str">
        <f ca="1">IF(CostTrack[[#This Row],[Vendor - Contract]]="","",INDEX(VendorList[Secondary Category],MATCH(CostTrack[[#This Row],[Vendor - Contract]],VendorList[Vendor / Org. with Contract ID],0)))</f>
        <v>Other Professional Services</v>
      </c>
      <c r="T808" s="1314" t="str">
        <f ca="1">IF(CostTrack[[#This Row],[Vendor - Contract]]="","",INDEX(VendorList[Phase / Subproject],MATCH(CostTrack[[#This Row],[Vendor - Contract]],VendorList[Vendor / Org. with Contract ID],0)))</f>
        <v>--</v>
      </c>
      <c r="U808" s="1314" t="str">
        <f ca="1">IF(CostTrack[[#This Row],[Vendor - Contract]]="","",INDEX(VendorList[Phase / Subproject 2],MATCH(CostTrack[[#This Row],[Vendor - Contract]],VendorList[Vendor / Org. with Contract ID],0)))</f>
        <v>--</v>
      </c>
      <c r="V808" s="1314" t="str">
        <f ca="1">IF(CostTrack[[#This Row],[Vendor - Contract]]="","",INDEX(VendorList[Funding Source],MATCH(CostTrack[[#This Row],[Vendor - Contract]],VendorList[Vendor / Org. with Contract ID],0)))</f>
        <v>P-002360</v>
      </c>
      <c r="W808" s="1308">
        <v>45747</v>
      </c>
      <c r="X808" s="1315" t="str">
        <f ca="1">IF(CostTrack[[#This Row],[Release Date (CMS)]]="","*","")</f>
        <v/>
      </c>
      <c r="Y808" s="1308" t="s">
        <v>63</v>
      </c>
      <c r="Z808" s="1095" t="s">
        <v>1517</v>
      </c>
      <c r="AA808" s="1316">
        <f ca="1">IF(OR(CostTrack[[#This Row],[Release Date (CMS)]]&gt;=DATE(VALUE(REPLACE(CostTrack[[#This Row],[Fiscal Period]],3,3,"")),3,1),CostTrack[[#This Row],[Release Date (CMS)]]&lt;DATE(VALUE(LEFT(CostTrack[[#This Row],[Fiscal Period]],4)),4,1)),1,0)</f>
        <v>1</v>
      </c>
      <c r="AB808" s="1317">
        <v>159912.32999999999</v>
      </c>
      <c r="AC808" s="1308">
        <v>45783</v>
      </c>
      <c r="AD808" s="402" t="str">
        <f ca="1">IF(CostTrack[[#This Row],[Reconciled Amount]]="","",IF(CostTrack[[#This Row],[Value]]&lt;&gt;CostTrack[[#This Row],[Reconciled Amount]],"Yes","No"))</f>
        <v>No</v>
      </c>
      <c r="AE808" s="658"/>
    </row>
    <row r="809" spans="2:31" ht="46.35" customHeight="1">
      <c r="B809" s="1096" t="s">
        <v>1493</v>
      </c>
      <c r="C809" s="1097" t="s">
        <v>1518</v>
      </c>
      <c r="D809" s="1098">
        <v>45756</v>
      </c>
      <c r="E809" s="1099">
        <v>38770.28</v>
      </c>
      <c r="F809" s="647" t="s">
        <v>69</v>
      </c>
      <c r="G809" s="406">
        <f ca="1">ROUND(IF(CostTrack[[#This Row],[Holdback (Y/N/R)]]="Yes",CostTrack[[#This Row],[Value]]*-0.1,IF(CostTrack[[#This Row],[Holdback (Y/N/R)]]="Release",CostTrack[[#This Row],[Value]],0)),2)</f>
        <v>0</v>
      </c>
      <c r="H809" s="407">
        <f ca="1">IF(CostTrack[[#This Row],[Holdback (Y/N/R)]]="Release",CostTrack[[#This Row],[Value]],CostTrack[[#This Row],[Value]]+CostTrack[[#This Row],[Holdback Value]])</f>
        <v>38770.28</v>
      </c>
      <c r="I809" s="650"/>
      <c r="J809" s="650"/>
      <c r="K809" s="648"/>
      <c r="L809" s="707">
        <v>45758</v>
      </c>
      <c r="M809" s="708">
        <v>45769</v>
      </c>
      <c r="N809" s="709"/>
      <c r="O809" s="712" t="s">
        <v>106</v>
      </c>
      <c r="P809" s="267">
        <v>45772</v>
      </c>
      <c r="Q809" s="243" t="str">
        <f ca="1">IF(CostTrack[[#This Row],[Vendor - Contract]]="","",INDEX(VendorList[PA ID],MATCH(CostTrack[[#This Row],[Vendor - Contract]],VendorList[Vendor / Org. with Contract ID],0)))</f>
        <v>200.050.F1</v>
      </c>
      <c r="R809" s="243" t="str">
        <f ca="1">IF(CostTrack[[#This Row],[Vendor - Contract]]="","",INDEX(VendorList[Primary Category],MATCH(CostTrack[[#This Row],[Vendor - Contract]],VendorList[Vendor / Org. with Contract ID],0)))</f>
        <v>Professional Services</v>
      </c>
      <c r="S809" s="243" t="str">
        <f ca="1">IF(CostTrack[[#This Row],[Vendor - Contract]]="","",INDEX(VendorList[Secondary Category],MATCH(CostTrack[[#This Row],[Vendor - Contract]],VendorList[Vendor / Org. with Contract ID],0)))</f>
        <v>Other Professional Services</v>
      </c>
      <c r="T809" s="243" t="str">
        <f ca="1">IF(CostTrack[[#This Row],[Vendor - Contract]]="","",INDEX(VendorList[Phase / Subproject],MATCH(CostTrack[[#This Row],[Vendor - Contract]],VendorList[Vendor / Org. with Contract ID],0)))</f>
        <v>--</v>
      </c>
      <c r="U809" s="243" t="str">
        <f ca="1">IF(CostTrack[[#This Row],[Vendor - Contract]]="","",INDEX(VendorList[Phase / Subproject 2],MATCH(CostTrack[[#This Row],[Vendor - Contract]],VendorList[Vendor / Org. with Contract ID],0)))</f>
        <v>--</v>
      </c>
      <c r="V809" s="243" t="str">
        <f ca="1">IF(CostTrack[[#This Row],[Vendor - Contract]]="","",INDEX(VendorList[Funding Source],MATCH(CostTrack[[#This Row],[Vendor - Contract]],VendorList[Vendor / Org. with Contract ID],0)))</f>
        <v>P-002360</v>
      </c>
      <c r="W809" s="267">
        <v>45775</v>
      </c>
      <c r="X809" s="251" t="str">
        <f ca="1">IF(CostTrack[[#This Row],[Release Date (CMS)]]="","*","")</f>
        <v/>
      </c>
      <c r="Y809" s="267" t="s">
        <v>67</v>
      </c>
      <c r="Z809" s="1093" t="s">
        <v>1519</v>
      </c>
      <c r="AA809" s="245">
        <f ca="1">IF(OR(CostTrack[[#This Row],[Release Date (CMS)]]&gt;=DATE(VALUE(REPLACE(CostTrack[[#This Row],[Fiscal Period]],3,3,"")),3,1),CostTrack[[#This Row],[Release Date (CMS)]]&lt;DATE(VALUE(LEFT(CostTrack[[#This Row],[Fiscal Period]],4)),4,1)),1,0)</f>
        <v>0</v>
      </c>
      <c r="AB809" s="655">
        <v>38770.28</v>
      </c>
      <c r="AC809" s="267">
        <v>45783</v>
      </c>
      <c r="AD809" s="402" t="str">
        <f ca="1">IF(CostTrack[[#This Row],[Reconciled Amount]]="","",IF(CostTrack[[#This Row],[Value]]&lt;&gt;CostTrack[[#This Row],[Reconciled Amount]],"Yes","No"))</f>
        <v>No</v>
      </c>
      <c r="AE809" s="654"/>
    </row>
    <row r="810" spans="2:31" ht="46.35" customHeight="1">
      <c r="B810" s="1100" t="s">
        <v>1493</v>
      </c>
      <c r="C810" s="1091" t="s">
        <v>1518</v>
      </c>
      <c r="D810" s="1101">
        <v>45756</v>
      </c>
      <c r="E810" s="1102">
        <v>-38770.28</v>
      </c>
      <c r="F810" s="647" t="s">
        <v>69</v>
      </c>
      <c r="G810" s="406">
        <f ca="1">ROUND(IF(CostTrack[[#This Row],[Holdback (Y/N/R)]]="Yes",CostTrack[[#This Row],[Value]]*-0.1,IF(CostTrack[[#This Row],[Holdback (Y/N/R)]]="Release",CostTrack[[#This Row],[Value]],0)),2)</f>
        <v>0</v>
      </c>
      <c r="H810" s="407">
        <f ca="1">IF(CostTrack[[#This Row],[Holdback (Y/N/R)]]="Release",CostTrack[[#This Row],[Value]],CostTrack[[#This Row],[Value]]+CostTrack[[#This Row],[Holdback Value]])</f>
        <v>-38770.28</v>
      </c>
      <c r="I810" s="650"/>
      <c r="J810" s="650"/>
      <c r="K810" s="648"/>
      <c r="L810" s="707">
        <v>45758</v>
      </c>
      <c r="M810" s="708">
        <v>45769</v>
      </c>
      <c r="N810" s="709"/>
      <c r="O810" s="712" t="s">
        <v>106</v>
      </c>
      <c r="P810" s="267">
        <v>45772</v>
      </c>
      <c r="Q810" s="243" t="str">
        <f ca="1">IF(CostTrack[[#This Row],[Vendor - Contract]]="","",INDEX(VendorList[PA ID],MATCH(CostTrack[[#This Row],[Vendor - Contract]],VendorList[Vendor / Org. with Contract ID],0)))</f>
        <v>200.050.F1</v>
      </c>
      <c r="R810" s="243" t="str">
        <f ca="1">IF(CostTrack[[#This Row],[Vendor - Contract]]="","",INDEX(VendorList[Primary Category],MATCH(CostTrack[[#This Row],[Vendor - Contract]],VendorList[Vendor / Org. with Contract ID],0)))</f>
        <v>Professional Services</v>
      </c>
      <c r="S810" s="243" t="str">
        <f ca="1">IF(CostTrack[[#This Row],[Vendor - Contract]]="","",INDEX(VendorList[Secondary Category],MATCH(CostTrack[[#This Row],[Vendor - Contract]],VendorList[Vendor / Org. with Contract ID],0)))</f>
        <v>Other Professional Services</v>
      </c>
      <c r="T810" s="243" t="str">
        <f ca="1">IF(CostTrack[[#This Row],[Vendor - Contract]]="","",INDEX(VendorList[Phase / Subproject],MATCH(CostTrack[[#This Row],[Vendor - Contract]],VendorList[Vendor / Org. with Contract ID],0)))</f>
        <v>--</v>
      </c>
      <c r="U810" s="243" t="str">
        <f ca="1">IF(CostTrack[[#This Row],[Vendor - Contract]]="","",INDEX(VendorList[Phase / Subproject 2],MATCH(CostTrack[[#This Row],[Vendor - Contract]],VendorList[Vendor / Org. with Contract ID],0)))</f>
        <v>--</v>
      </c>
      <c r="V810" s="243" t="str">
        <f ca="1">IF(CostTrack[[#This Row],[Vendor - Contract]]="","",INDEX(VendorList[Funding Source],MATCH(CostTrack[[#This Row],[Vendor - Contract]],VendorList[Vendor / Org. with Contract ID],0)))</f>
        <v>P-002360</v>
      </c>
      <c r="W810" s="267">
        <v>45775</v>
      </c>
      <c r="X810" s="251" t="str">
        <f ca="1">IF(CostTrack[[#This Row],[Release Date (CMS)]]="","*","")</f>
        <v/>
      </c>
      <c r="Y810" s="267" t="s">
        <v>67</v>
      </c>
      <c r="Z810" s="1094" t="s">
        <v>1520</v>
      </c>
      <c r="AA810" s="245">
        <f ca="1">IF(OR(CostTrack[[#This Row],[Release Date (CMS)]]&gt;=DATE(VALUE(REPLACE(CostTrack[[#This Row],[Fiscal Period]],3,3,"")),3,1),CostTrack[[#This Row],[Release Date (CMS)]]&lt;DATE(VALUE(LEFT(CostTrack[[#This Row],[Fiscal Period]],4)),4,1)),1,0)</f>
        <v>0</v>
      </c>
      <c r="AB810" s="655">
        <v>-38770.28</v>
      </c>
      <c r="AC810" s="267">
        <v>45783</v>
      </c>
      <c r="AD810" s="402" t="str">
        <f ca="1">IF(CostTrack[[#This Row],[Reconciled Amount]]="","",IF(CostTrack[[#This Row],[Value]]&lt;&gt;CostTrack[[#This Row],[Reconciled Amount]],"Yes","No"))</f>
        <v>No</v>
      </c>
      <c r="AE810" s="654"/>
    </row>
    <row r="811" spans="2:31" ht="46.35" customHeight="1">
      <c r="B811" s="1106" t="s">
        <v>1493</v>
      </c>
      <c r="C811" s="1107" t="s">
        <v>1518</v>
      </c>
      <c r="D811" s="1108">
        <v>45756</v>
      </c>
      <c r="E811" s="1109">
        <v>-121142.05</v>
      </c>
      <c r="F811" s="647" t="s">
        <v>69</v>
      </c>
      <c r="G811" s="406">
        <f ca="1">ROUND(IF(CostTrack[[#This Row],[Holdback (Y/N/R)]]="Yes",CostTrack[[#This Row],[Value]]*-0.1,IF(CostTrack[[#This Row],[Holdback (Y/N/R)]]="Release",CostTrack[[#This Row],[Value]],0)),2)</f>
        <v>0</v>
      </c>
      <c r="H811" s="407">
        <f ca="1">IF(CostTrack[[#This Row],[Holdback (Y/N/R)]]="Release",CostTrack[[#This Row],[Value]],CostTrack[[#This Row],[Value]]+CostTrack[[#This Row],[Holdback Value]])</f>
        <v>-121142.05</v>
      </c>
      <c r="I811" s="650"/>
      <c r="J811" s="650"/>
      <c r="K811" s="648"/>
      <c r="L811" s="707">
        <v>45758</v>
      </c>
      <c r="M811" s="708">
        <v>45769</v>
      </c>
      <c r="N811" s="709"/>
      <c r="O811" s="712" t="s">
        <v>106</v>
      </c>
      <c r="P811" s="267">
        <v>45775</v>
      </c>
      <c r="Q811" s="243" t="str">
        <f ca="1">IF(CostTrack[[#This Row],[Vendor - Contract]]="","",INDEX(VendorList[PA ID],MATCH(CostTrack[[#This Row],[Vendor - Contract]],VendorList[Vendor / Org. with Contract ID],0)))</f>
        <v>200.050.F1</v>
      </c>
      <c r="R811" s="243" t="str">
        <f ca="1">IF(CostTrack[[#This Row],[Vendor - Contract]]="","",INDEX(VendorList[Primary Category],MATCH(CostTrack[[#This Row],[Vendor - Contract]],VendorList[Vendor / Org. with Contract ID],0)))</f>
        <v>Professional Services</v>
      </c>
      <c r="S811" s="243" t="str">
        <f ca="1">IF(CostTrack[[#This Row],[Vendor - Contract]]="","",INDEX(VendorList[Secondary Category],MATCH(CostTrack[[#This Row],[Vendor - Contract]],VendorList[Vendor / Org. with Contract ID],0)))</f>
        <v>Other Professional Services</v>
      </c>
      <c r="T811" s="243" t="str">
        <f ca="1">IF(CostTrack[[#This Row],[Vendor - Contract]]="","",INDEX(VendorList[Phase / Subproject],MATCH(CostTrack[[#This Row],[Vendor - Contract]],VendorList[Vendor / Org. with Contract ID],0)))</f>
        <v>--</v>
      </c>
      <c r="U811" s="243" t="str">
        <f ca="1">IF(CostTrack[[#This Row],[Vendor - Contract]]="","",INDEX(VendorList[Phase / Subproject 2],MATCH(CostTrack[[#This Row],[Vendor - Contract]],VendorList[Vendor / Org. with Contract ID],0)))</f>
        <v>--</v>
      </c>
      <c r="V811" s="243" t="str">
        <f ca="1">IF(CostTrack[[#This Row],[Vendor - Contract]]="","",INDEX(VendorList[Funding Source],MATCH(CostTrack[[#This Row],[Vendor - Contract]],VendorList[Vendor / Org. with Contract ID],0)))</f>
        <v>P-002360</v>
      </c>
      <c r="W811" s="267">
        <v>45782</v>
      </c>
      <c r="X811" s="251" t="str">
        <f ca="1">IF(CostTrack[[#This Row],[Release Date (CMS)]]="","*","")</f>
        <v/>
      </c>
      <c r="Y811" s="267" t="s">
        <v>67</v>
      </c>
      <c r="Z811" s="1103" t="s">
        <v>1521</v>
      </c>
      <c r="AA811" s="245">
        <f ca="1">IF(OR(CostTrack[[#This Row],[Release Date (CMS)]]&gt;=DATE(VALUE(REPLACE(CostTrack[[#This Row],[Fiscal Period]],3,3,"")),3,1),CostTrack[[#This Row],[Release Date (CMS)]]&lt;DATE(VALUE(LEFT(CostTrack[[#This Row],[Fiscal Period]],4)),4,1)),1,0)</f>
        <v>0</v>
      </c>
      <c r="AB811" s="655">
        <v>-121142.05</v>
      </c>
      <c r="AC811" s="267">
        <v>45783</v>
      </c>
      <c r="AD811" s="402" t="str">
        <f ca="1">IF(CostTrack[[#This Row],[Reconciled Amount]]="","",IF(CostTrack[[#This Row],[Value]]&lt;&gt;CostTrack[[#This Row],[Reconciled Amount]],"Yes","No"))</f>
        <v>No</v>
      </c>
      <c r="AE811" s="654"/>
    </row>
    <row r="812" spans="2:31" ht="76.900000000000006" customHeight="1">
      <c r="B812" s="1104" t="s">
        <v>1062</v>
      </c>
      <c r="C812" s="1105" t="s">
        <v>1518</v>
      </c>
      <c r="D812" s="1110">
        <v>45756</v>
      </c>
      <c r="E812" s="1111">
        <v>121142.05</v>
      </c>
      <c r="F812" s="647" t="s">
        <v>69</v>
      </c>
      <c r="G812" s="406">
        <f ca="1">ROUND(IF(CostTrack[[#This Row],[Holdback (Y/N/R)]]="Yes",CostTrack[[#This Row],[Value]]*-0.1,IF(CostTrack[[#This Row],[Holdback (Y/N/R)]]="Release",CostTrack[[#This Row],[Value]],0)),2)</f>
        <v>0</v>
      </c>
      <c r="H812" s="407">
        <f ca="1">IF(CostTrack[[#This Row],[Holdback (Y/N/R)]]="Release",CostTrack[[#This Row],[Value]],CostTrack[[#This Row],[Value]]+CostTrack[[#This Row],[Holdback Value]])</f>
        <v>121142.05</v>
      </c>
      <c r="I812" s="650"/>
      <c r="J812" s="650"/>
      <c r="K812" s="648"/>
      <c r="L812" s="707">
        <v>45758</v>
      </c>
      <c r="M812" s="708">
        <v>45769</v>
      </c>
      <c r="N812" s="709"/>
      <c r="O812" s="712" t="s">
        <v>106</v>
      </c>
      <c r="P812" s="267">
        <v>45775</v>
      </c>
      <c r="Q812" s="243" t="str">
        <f ca="1">IF(CostTrack[[#This Row],[Vendor - Contract]]="","",INDEX(VendorList[PA ID],MATCH(CostTrack[[#This Row],[Vendor - Contract]],VendorList[Vendor / Org. with Contract ID],0)))</f>
        <v>100.040.F1</v>
      </c>
      <c r="R812" s="243" t="str">
        <f ca="1">IF(CostTrack[[#This Row],[Vendor - Contract]]="","",INDEX(VendorList[Primary Category],MATCH(CostTrack[[#This Row],[Vendor - Contract]],VendorList[Vendor / Org. with Contract ID],0)))</f>
        <v>Administration</v>
      </c>
      <c r="S812" s="243" t="str">
        <f ca="1">IF(CostTrack[[#This Row],[Vendor - Contract]]="","",INDEX(VendorList[Secondary Category],MATCH(CostTrack[[#This Row],[Vendor - Contract]],VendorList[Vendor / Org. with Contract ID],0)))</f>
        <v>Accrual Write Off</v>
      </c>
      <c r="T812" s="243" t="str">
        <f ca="1">IF(CostTrack[[#This Row],[Vendor - Contract]]="","",INDEX(VendorList[Phase / Subproject],MATCH(CostTrack[[#This Row],[Vendor - Contract]],VendorList[Vendor / Org. with Contract ID],0)))</f>
        <v>--</v>
      </c>
      <c r="U812" s="243" t="str">
        <f ca="1">IF(CostTrack[[#This Row],[Vendor - Contract]]="","",INDEX(VendorList[Phase / Subproject 2],MATCH(CostTrack[[#This Row],[Vendor - Contract]],VendorList[Vendor / Org. with Contract ID],0)))</f>
        <v>--</v>
      </c>
      <c r="V812" s="243" t="str">
        <f ca="1">IF(CostTrack[[#This Row],[Vendor - Contract]]="","",INDEX(VendorList[Funding Source],MATCH(CostTrack[[#This Row],[Vendor - Contract]],VendorList[Vendor / Org. with Contract ID],0)))</f>
        <v>P-002360</v>
      </c>
      <c r="W812" s="267">
        <v>45782</v>
      </c>
      <c r="X812" s="251" t="str">
        <f ca="1">IF(CostTrack[[#This Row],[Release Date (CMS)]]="","*","")</f>
        <v/>
      </c>
      <c r="Y812" s="267" t="s">
        <v>67</v>
      </c>
      <c r="Z812" s="880" t="s">
        <v>1522</v>
      </c>
      <c r="AA812" s="245">
        <f ca="1">IF(OR(CostTrack[[#This Row],[Release Date (CMS)]]&gt;=DATE(VALUE(REPLACE(CostTrack[[#This Row],[Fiscal Period]],3,3,"")),3,1),CostTrack[[#This Row],[Release Date (CMS)]]&lt;DATE(VALUE(LEFT(CostTrack[[#This Row],[Fiscal Period]],4)),4,1)),1,0)</f>
        <v>0</v>
      </c>
      <c r="AB812" s="655">
        <v>121142.05</v>
      </c>
      <c r="AC812" s="267">
        <v>45783</v>
      </c>
      <c r="AD812" s="402" t="str">
        <f ca="1">IF(CostTrack[[#This Row],[Reconciled Amount]]="","",IF(CostTrack[[#This Row],[Value]]&lt;&gt;CostTrack[[#This Row],[Reconciled Amount]],"Yes","No"))</f>
        <v>No</v>
      </c>
      <c r="AE812" s="654"/>
    </row>
    <row r="813" spans="2:31" ht="33.75" customHeight="1">
      <c r="B813" s="1385" t="s">
        <v>1493</v>
      </c>
      <c r="C813" s="1092" t="s">
        <v>1523</v>
      </c>
      <c r="D813" s="1386">
        <v>45729</v>
      </c>
      <c r="E813" s="1387">
        <v>4537.5</v>
      </c>
      <c r="F813" s="1309" t="s">
        <v>69</v>
      </c>
      <c r="G813" s="1310">
        <f ca="1">ROUND(IF(CostTrack[[#This Row],[Holdback (Y/N/R)]]="Yes",CostTrack[[#This Row],[Value]]*-0.1,IF(CostTrack[[#This Row],[Holdback (Y/N/R)]]="Release",CostTrack[[#This Row],[Value]],0)),2)</f>
        <v>0</v>
      </c>
      <c r="H813" s="1311">
        <f ca="1">IF(CostTrack[[#This Row],[Holdback (Y/N/R)]]="Release",CostTrack[[#This Row],[Value]],CostTrack[[#This Row],[Value]]+CostTrack[[#This Row],[Holdback Value]])</f>
        <v>4537.5</v>
      </c>
      <c r="I813" s="1312"/>
      <c r="J813" s="1312"/>
      <c r="K813" s="1313"/>
      <c r="L813" s="1325">
        <v>45737</v>
      </c>
      <c r="M813" s="1326">
        <v>45749</v>
      </c>
      <c r="N813" s="1327"/>
      <c r="O813" s="1328" t="s">
        <v>106</v>
      </c>
      <c r="P813" s="1308">
        <v>45737</v>
      </c>
      <c r="Q813" s="1314" t="str">
        <f ca="1">IF(CostTrack[[#This Row],[Vendor - Contract]]="","",INDEX(VendorList[PA ID],MATCH(CostTrack[[#This Row],[Vendor - Contract]],VendorList[Vendor / Org. with Contract ID],0)))</f>
        <v>200.050.F1</v>
      </c>
      <c r="R813" s="1314" t="str">
        <f ca="1">IF(CostTrack[[#This Row],[Vendor - Contract]]="","",INDEX(VendorList[Primary Category],MATCH(CostTrack[[#This Row],[Vendor - Contract]],VendorList[Vendor / Org. with Contract ID],0)))</f>
        <v>Professional Services</v>
      </c>
      <c r="S813" s="1314" t="str">
        <f ca="1">IF(CostTrack[[#This Row],[Vendor - Contract]]="","",INDEX(VendorList[Secondary Category],MATCH(CostTrack[[#This Row],[Vendor - Contract]],VendorList[Vendor / Org. with Contract ID],0)))</f>
        <v>Other Professional Services</v>
      </c>
      <c r="T813" s="1314" t="str">
        <f ca="1">IF(CostTrack[[#This Row],[Vendor - Contract]]="","",INDEX(VendorList[Phase / Subproject],MATCH(CostTrack[[#This Row],[Vendor - Contract]],VendorList[Vendor / Org. with Contract ID],0)))</f>
        <v>--</v>
      </c>
      <c r="U813" s="1314" t="str">
        <f ca="1">IF(CostTrack[[#This Row],[Vendor - Contract]]="","",INDEX(VendorList[Phase / Subproject 2],MATCH(CostTrack[[#This Row],[Vendor - Contract]],VendorList[Vendor / Org. with Contract ID],0)))</f>
        <v>--</v>
      </c>
      <c r="V813" s="1314" t="str">
        <f ca="1">IF(CostTrack[[#This Row],[Vendor - Contract]]="","",INDEX(VendorList[Funding Source],MATCH(CostTrack[[#This Row],[Vendor - Contract]],VendorList[Vendor / Org. with Contract ID],0)))</f>
        <v>P-002360</v>
      </c>
      <c r="W813" s="1308">
        <v>45747</v>
      </c>
      <c r="X813" s="1315" t="str">
        <f ca="1">IF(CostTrack[[#This Row],[Release Date (CMS)]]="","*","")</f>
        <v/>
      </c>
      <c r="Y813" s="1308" t="s">
        <v>63</v>
      </c>
      <c r="Z813" s="1344" t="s">
        <v>1524</v>
      </c>
      <c r="AA813" s="1316">
        <f ca="1">IF(OR(CostTrack[[#This Row],[Release Date (CMS)]]&gt;=DATE(VALUE(REPLACE(CostTrack[[#This Row],[Fiscal Period]],3,3,"")),3,1),CostTrack[[#This Row],[Release Date (CMS)]]&lt;DATE(VALUE(LEFT(CostTrack[[#This Row],[Fiscal Period]],4)),4,1)),1,0)</f>
        <v>1</v>
      </c>
      <c r="AB813" s="1317">
        <v>4537.5</v>
      </c>
      <c r="AC813" s="1308">
        <v>45783</v>
      </c>
      <c r="AD813" s="402" t="str">
        <f ca="1">IF(CostTrack[[#This Row],[Reconciled Amount]]="","",IF(CostTrack[[#This Row],[Value]]&lt;&gt;CostTrack[[#This Row],[Reconciled Amount]],"Yes","No"))</f>
        <v>No</v>
      </c>
      <c r="AE813" s="658"/>
    </row>
    <row r="814" spans="2:31" ht="33.75" customHeight="1">
      <c r="B814" s="1397" t="s">
        <v>1493</v>
      </c>
      <c r="C814" s="1398" t="s">
        <v>1525</v>
      </c>
      <c r="D814" s="1399">
        <v>45729</v>
      </c>
      <c r="E814" s="1400">
        <v>4537.5</v>
      </c>
      <c r="F814" s="1309" t="s">
        <v>69</v>
      </c>
      <c r="G814" s="1310">
        <f ca="1">ROUND(IF(CostTrack[[#This Row],[Holdback (Y/N/R)]]="Yes",CostTrack[[#This Row],[Value]]*-0.1,IF(CostTrack[[#This Row],[Holdback (Y/N/R)]]="Release",CostTrack[[#This Row],[Value]],0)),2)</f>
        <v>0</v>
      </c>
      <c r="H814" s="1311">
        <f ca="1">IF(CostTrack[[#This Row],[Holdback (Y/N/R)]]="Release",CostTrack[[#This Row],[Value]],CostTrack[[#This Row],[Value]]+CostTrack[[#This Row],[Holdback Value]])</f>
        <v>4537.5</v>
      </c>
      <c r="I814" s="1312"/>
      <c r="J814" s="1312"/>
      <c r="K814" s="1313"/>
      <c r="L814" s="1325">
        <v>45737</v>
      </c>
      <c r="M814" s="1326">
        <v>45737</v>
      </c>
      <c r="N814" s="1327"/>
      <c r="O814" s="1328" t="s">
        <v>106</v>
      </c>
      <c r="P814" s="1308">
        <v>45749</v>
      </c>
      <c r="Q814" s="1314" t="str">
        <f ca="1">IF(CostTrack[[#This Row],[Vendor - Contract]]="","",INDEX(VendorList[PA ID],MATCH(CostTrack[[#This Row],[Vendor - Contract]],VendorList[Vendor / Org. with Contract ID],0)))</f>
        <v>200.050.F1</v>
      </c>
      <c r="R814" s="1314" t="str">
        <f ca="1">IF(CostTrack[[#This Row],[Vendor - Contract]]="","",INDEX(VendorList[Primary Category],MATCH(CostTrack[[#This Row],[Vendor - Contract]],VendorList[Vendor / Org. with Contract ID],0)))</f>
        <v>Professional Services</v>
      </c>
      <c r="S814" s="1314" t="str">
        <f ca="1">IF(CostTrack[[#This Row],[Vendor - Contract]]="","",INDEX(VendorList[Secondary Category],MATCH(CostTrack[[#This Row],[Vendor - Contract]],VendorList[Vendor / Org. with Contract ID],0)))</f>
        <v>Other Professional Services</v>
      </c>
      <c r="T814" s="1314" t="str">
        <f ca="1">IF(CostTrack[[#This Row],[Vendor - Contract]]="","",INDEX(VendorList[Phase / Subproject],MATCH(CostTrack[[#This Row],[Vendor - Contract]],VendorList[Vendor / Org. with Contract ID],0)))</f>
        <v>--</v>
      </c>
      <c r="U814" s="1314" t="str">
        <f ca="1">IF(CostTrack[[#This Row],[Vendor - Contract]]="","",INDEX(VendorList[Phase / Subproject 2],MATCH(CostTrack[[#This Row],[Vendor - Contract]],VendorList[Vendor / Org. with Contract ID],0)))</f>
        <v>--</v>
      </c>
      <c r="V814" s="1314" t="str">
        <f ca="1">IF(CostTrack[[#This Row],[Vendor - Contract]]="","",INDEX(VendorList[Funding Source],MATCH(CostTrack[[#This Row],[Vendor - Contract]],VendorList[Vendor / Org. with Contract ID],0)))</f>
        <v>P-002360</v>
      </c>
      <c r="W814" s="1308">
        <v>45762</v>
      </c>
      <c r="X814" s="1315" t="str">
        <f ca="1">IF(CostTrack[[#This Row],[Release Date (CMS)]]="","*","")</f>
        <v/>
      </c>
      <c r="Y814" s="1308" t="s">
        <v>67</v>
      </c>
      <c r="Z814" s="1093" t="s">
        <v>1526</v>
      </c>
      <c r="AA814" s="1316">
        <f ca="1">IF(OR(CostTrack[[#This Row],[Release Date (CMS)]]&gt;=DATE(VALUE(REPLACE(CostTrack[[#This Row],[Fiscal Period]],3,3,"")),3,1),CostTrack[[#This Row],[Release Date (CMS)]]&lt;DATE(VALUE(LEFT(CostTrack[[#This Row],[Fiscal Period]],4)),4,1)),1,0)</f>
        <v>0</v>
      </c>
      <c r="AB814" s="1317">
        <v>4537.5</v>
      </c>
      <c r="AC814" s="1308">
        <v>45783</v>
      </c>
      <c r="AD814" s="402" t="str">
        <f ca="1">IF(CostTrack[[#This Row],[Reconciled Amount]]="","",IF(CostTrack[[#This Row],[Value]]&lt;&gt;CostTrack[[#This Row],[Reconciled Amount]],"Yes","No"))</f>
        <v>No</v>
      </c>
      <c r="AE814" s="658"/>
    </row>
    <row r="815" spans="2:31" ht="42" customHeight="1">
      <c r="B815" s="1392" t="s">
        <v>1493</v>
      </c>
      <c r="C815" s="1393" t="s">
        <v>1525</v>
      </c>
      <c r="D815" s="1394">
        <v>45729</v>
      </c>
      <c r="E815" s="1395">
        <v>-4537.5</v>
      </c>
      <c r="F815" s="1309" t="s">
        <v>69</v>
      </c>
      <c r="G815" s="1310">
        <f ca="1">ROUND(IF(CostTrack[[#This Row],[Holdback (Y/N/R)]]="Yes",CostTrack[[#This Row],[Value]]*-0.1,IF(CostTrack[[#This Row],[Holdback (Y/N/R)]]="Release",CostTrack[[#This Row],[Value]],0)),2)</f>
        <v>0</v>
      </c>
      <c r="H815" s="1311">
        <f ca="1">IF(CostTrack[[#This Row],[Holdback (Y/N/R)]]="Release",CostTrack[[#This Row],[Value]],CostTrack[[#This Row],[Value]]+CostTrack[[#This Row],[Holdback Value]])</f>
        <v>-4537.5</v>
      </c>
      <c r="I815" s="1312"/>
      <c r="J815" s="1312"/>
      <c r="K815" s="1313"/>
      <c r="L815" s="1325">
        <v>45737</v>
      </c>
      <c r="M815" s="1326">
        <v>45737</v>
      </c>
      <c r="N815" s="1327"/>
      <c r="O815" s="1328" t="s">
        <v>106</v>
      </c>
      <c r="P815" s="1308">
        <v>45749</v>
      </c>
      <c r="Q815" s="1314" t="str">
        <f ca="1">IF(CostTrack[[#This Row],[Vendor - Contract]]="","",INDEX(VendorList[PA ID],MATCH(CostTrack[[#This Row],[Vendor - Contract]],VendorList[Vendor / Org. with Contract ID],0)))</f>
        <v>200.050.F1</v>
      </c>
      <c r="R815" s="1314" t="str">
        <f ca="1">IF(CostTrack[[#This Row],[Vendor - Contract]]="","",INDEX(VendorList[Primary Category],MATCH(CostTrack[[#This Row],[Vendor - Contract]],VendorList[Vendor / Org. with Contract ID],0)))</f>
        <v>Professional Services</v>
      </c>
      <c r="S815" s="1314" t="str">
        <f ca="1">IF(CostTrack[[#This Row],[Vendor - Contract]]="","",INDEX(VendorList[Secondary Category],MATCH(CostTrack[[#This Row],[Vendor - Contract]],VendorList[Vendor / Org. with Contract ID],0)))</f>
        <v>Other Professional Services</v>
      </c>
      <c r="T815" s="1314" t="str">
        <f ca="1">IF(CostTrack[[#This Row],[Vendor - Contract]]="","",INDEX(VendorList[Phase / Subproject],MATCH(CostTrack[[#This Row],[Vendor - Contract]],VendorList[Vendor / Org. with Contract ID],0)))</f>
        <v>--</v>
      </c>
      <c r="U815" s="1314" t="str">
        <f ca="1">IF(CostTrack[[#This Row],[Vendor - Contract]]="","",INDEX(VendorList[Phase / Subproject 2],MATCH(CostTrack[[#This Row],[Vendor - Contract]],VendorList[Vendor / Org. with Contract ID],0)))</f>
        <v>--</v>
      </c>
      <c r="V815" s="1314" t="str">
        <f ca="1">IF(CostTrack[[#This Row],[Vendor - Contract]]="","",INDEX(VendorList[Funding Source],MATCH(CostTrack[[#This Row],[Vendor - Contract]],VendorList[Vendor / Org. with Contract ID],0)))</f>
        <v>P-002360</v>
      </c>
      <c r="W815" s="1308">
        <v>45762</v>
      </c>
      <c r="X815" s="1315" t="str">
        <f ca="1">IF(CostTrack[[#This Row],[Release Date (CMS)]]="","*","")</f>
        <v/>
      </c>
      <c r="Y815" s="1308" t="s">
        <v>67</v>
      </c>
      <c r="Z815" s="1343" t="s">
        <v>1527</v>
      </c>
      <c r="AA815" s="1316">
        <f ca="1">IF(OR(CostTrack[[#This Row],[Release Date (CMS)]]&gt;=DATE(VALUE(REPLACE(CostTrack[[#This Row],[Fiscal Period]],3,3,"")),3,1),CostTrack[[#This Row],[Release Date (CMS)]]&lt;DATE(VALUE(LEFT(CostTrack[[#This Row],[Fiscal Period]],4)),4,1)),1,0)</f>
        <v>0</v>
      </c>
      <c r="AB815" s="1317">
        <v>-4537.5</v>
      </c>
      <c r="AC815" s="1308">
        <v>45783</v>
      </c>
      <c r="AD815" s="402" t="str">
        <f ca="1">IF(CostTrack[[#This Row],[Reconciled Amount]]="","",IF(CostTrack[[#This Row],[Value]]&lt;&gt;CostTrack[[#This Row],[Reconciled Amount]],"Yes","No"))</f>
        <v>No</v>
      </c>
      <c r="AE815" s="658"/>
    </row>
    <row r="816" spans="2:31" ht="25.15" customHeight="1">
      <c r="B816" s="1385" t="s">
        <v>527</v>
      </c>
      <c r="C816" s="1092" t="s">
        <v>1528</v>
      </c>
      <c r="D816" s="1386">
        <v>45747</v>
      </c>
      <c r="E816" s="1387">
        <v>15500.7</v>
      </c>
      <c r="F816" s="1309" t="s">
        <v>69</v>
      </c>
      <c r="G816" s="1310">
        <f ca="1">ROUND(IF(CostTrack[[#This Row],[Holdback (Y/N/R)]]="Yes",CostTrack[[#This Row],[Value]]*-0.1,IF(CostTrack[[#This Row],[Holdback (Y/N/R)]]="Release",CostTrack[[#This Row],[Value]],0)),2)</f>
        <v>0</v>
      </c>
      <c r="H816" s="1311">
        <f ca="1">IF(CostTrack[[#This Row],[Holdback (Y/N/R)]]="Release",CostTrack[[#This Row],[Value]],CostTrack[[#This Row],[Value]]+CostTrack[[#This Row],[Holdback Value]])</f>
        <v>15500.7</v>
      </c>
      <c r="I816" s="1312"/>
      <c r="J816" s="1312"/>
      <c r="K816" s="1313"/>
      <c r="L816" s="1325">
        <v>45733</v>
      </c>
      <c r="M816" s="1326">
        <v>45733</v>
      </c>
      <c r="N816" s="1327"/>
      <c r="O816" s="1328" t="s">
        <v>106</v>
      </c>
      <c r="P816" s="1308">
        <v>45734</v>
      </c>
      <c r="Q816" s="1314" t="str">
        <f ca="1">IF(CostTrack[[#This Row],[Vendor - Contract]]="","",INDEX(VendorList[PA ID],MATCH(CostTrack[[#This Row],[Vendor - Contract]],VendorList[Vendor / Org. with Contract ID],0)))</f>
        <v>200.010.F1</v>
      </c>
      <c r="R816" s="1314" t="str">
        <f ca="1">IF(CostTrack[[#This Row],[Vendor - Contract]]="","",INDEX(VendorList[Primary Category],MATCH(CostTrack[[#This Row],[Vendor - Contract]],VendorList[Vendor / Org. with Contract ID],0)))</f>
        <v>Professional Services</v>
      </c>
      <c r="S816" s="1314" t="str">
        <f ca="1">IF(CostTrack[[#This Row],[Vendor - Contract]]="","",INDEX(VendorList[Secondary Category],MATCH(CostTrack[[#This Row],[Vendor - Contract]],VendorList[Vendor / Org. with Contract ID],0)))</f>
        <v>Prime Consultant</v>
      </c>
      <c r="T816" s="1314" t="str">
        <f ca="1">IF(CostTrack[[#This Row],[Vendor - Contract]]="","",INDEX(VendorList[Phase / Subproject],MATCH(CostTrack[[#This Row],[Vendor - Contract]],VendorList[Vendor / Org. with Contract ID],0)))</f>
        <v>--</v>
      </c>
      <c r="U816" s="1314" t="str">
        <f ca="1">IF(CostTrack[[#This Row],[Vendor - Contract]]="","",INDEX(VendorList[Phase / Subproject 2],MATCH(CostTrack[[#This Row],[Vendor - Contract]],VendorList[Vendor / Org. with Contract ID],0)))</f>
        <v>--</v>
      </c>
      <c r="V816" s="1314" t="str">
        <f ca="1">IF(CostTrack[[#This Row],[Vendor - Contract]]="","",INDEX(VendorList[Funding Source],MATCH(CostTrack[[#This Row],[Vendor - Contract]],VendorList[Vendor / Org. with Contract ID],0)))</f>
        <v>P-002360</v>
      </c>
      <c r="W816" s="1308">
        <v>45747</v>
      </c>
      <c r="X816" s="1315" t="str">
        <f ca="1">IF(CostTrack[[#This Row],[Release Date (CMS)]]="","*","")</f>
        <v/>
      </c>
      <c r="Y816" s="1308" t="s">
        <v>63</v>
      </c>
      <c r="Z816" s="1344" t="s">
        <v>1524</v>
      </c>
      <c r="AA816" s="1316">
        <f ca="1">IF(OR(CostTrack[[#This Row],[Release Date (CMS)]]&gt;=DATE(VALUE(REPLACE(CostTrack[[#This Row],[Fiscal Period]],3,3,"")),3,1),CostTrack[[#This Row],[Release Date (CMS)]]&lt;DATE(VALUE(LEFT(CostTrack[[#This Row],[Fiscal Period]],4)),4,1)),1,0)</f>
        <v>1</v>
      </c>
      <c r="AB816" s="1317">
        <v>15500.7</v>
      </c>
      <c r="AC816" s="1308">
        <v>45783</v>
      </c>
      <c r="AD816" s="402" t="str">
        <f ca="1">IF(CostTrack[[#This Row],[Reconciled Amount]]="","",IF(CostTrack[[#This Row],[Value]]&lt;&gt;CostTrack[[#This Row],[Reconciled Amount]],"Yes","No"))</f>
        <v>No</v>
      </c>
      <c r="AE816" s="658"/>
    </row>
    <row r="817" spans="2:31" ht="28.9" customHeight="1">
      <c r="B817" s="1388" t="s">
        <v>527</v>
      </c>
      <c r="C817" s="1090" t="s">
        <v>1529</v>
      </c>
      <c r="D817" s="1390">
        <v>45750</v>
      </c>
      <c r="E817" s="1391">
        <v>15500.7</v>
      </c>
      <c r="F817" s="1309" t="s">
        <v>69</v>
      </c>
      <c r="G817" s="1310">
        <f ca="1">ROUND(IF(CostTrack[[#This Row],[Holdback (Y/N/R)]]="Yes",CostTrack[[#This Row],[Value]]*-0.1,IF(CostTrack[[#This Row],[Holdback (Y/N/R)]]="Release",CostTrack[[#This Row],[Value]],0)),2)</f>
        <v>0</v>
      </c>
      <c r="H817" s="1311">
        <f ca="1">IF(CostTrack[[#This Row],[Holdback (Y/N/R)]]="Release",CostTrack[[#This Row],[Value]],CostTrack[[#This Row],[Value]]+CostTrack[[#This Row],[Holdback Value]])</f>
        <v>15500.7</v>
      </c>
      <c r="I817" s="1312"/>
      <c r="J817" s="1312"/>
      <c r="K817" s="1313"/>
      <c r="L817" s="1325">
        <v>45750</v>
      </c>
      <c r="M817" s="1326">
        <v>45750</v>
      </c>
      <c r="N817" s="1327"/>
      <c r="O817" s="1328" t="s">
        <v>106</v>
      </c>
      <c r="P817" s="1308">
        <v>45750</v>
      </c>
      <c r="Q817" s="1314" t="str">
        <f ca="1">IF(CostTrack[[#This Row],[Vendor - Contract]]="","",INDEX(VendorList[PA ID],MATCH(CostTrack[[#This Row],[Vendor - Contract]],VendorList[Vendor / Org. with Contract ID],0)))</f>
        <v>200.010.F1</v>
      </c>
      <c r="R817" s="1314" t="str">
        <f ca="1">IF(CostTrack[[#This Row],[Vendor - Contract]]="","",INDEX(VendorList[Primary Category],MATCH(CostTrack[[#This Row],[Vendor - Contract]],VendorList[Vendor / Org. with Contract ID],0)))</f>
        <v>Professional Services</v>
      </c>
      <c r="S817" s="1314" t="str">
        <f ca="1">IF(CostTrack[[#This Row],[Vendor - Contract]]="","",INDEX(VendorList[Secondary Category],MATCH(CostTrack[[#This Row],[Vendor - Contract]],VendorList[Vendor / Org. with Contract ID],0)))</f>
        <v>Prime Consultant</v>
      </c>
      <c r="T817" s="1314" t="str">
        <f ca="1">IF(CostTrack[[#This Row],[Vendor - Contract]]="","",INDEX(VendorList[Phase / Subproject],MATCH(CostTrack[[#This Row],[Vendor - Contract]],VendorList[Vendor / Org. with Contract ID],0)))</f>
        <v>--</v>
      </c>
      <c r="U817" s="1314" t="str">
        <f ca="1">IF(CostTrack[[#This Row],[Vendor - Contract]]="","",INDEX(VendorList[Phase / Subproject 2],MATCH(CostTrack[[#This Row],[Vendor - Contract]],VendorList[Vendor / Org. with Contract ID],0)))</f>
        <v>--</v>
      </c>
      <c r="V817" s="1314" t="str">
        <f ca="1">IF(CostTrack[[#This Row],[Vendor - Contract]]="","",INDEX(VendorList[Funding Source],MATCH(CostTrack[[#This Row],[Vendor - Contract]],VendorList[Vendor / Org. with Contract ID],0)))</f>
        <v>P-002360</v>
      </c>
      <c r="W817" s="1308">
        <v>45762</v>
      </c>
      <c r="X817" s="1315" t="str">
        <f ca="1">IF(CostTrack[[#This Row],[Release Date (CMS)]]="","*","")</f>
        <v/>
      </c>
      <c r="Y817" s="1308" t="s">
        <v>67</v>
      </c>
      <c r="Z817" s="1093" t="s">
        <v>1530</v>
      </c>
      <c r="AA817" s="1316">
        <f ca="1">IF(OR(CostTrack[[#This Row],[Release Date (CMS)]]&gt;=DATE(VALUE(REPLACE(CostTrack[[#This Row],[Fiscal Period]],3,3,"")),3,1),CostTrack[[#This Row],[Release Date (CMS)]]&lt;DATE(VALUE(LEFT(CostTrack[[#This Row],[Fiscal Period]],4)),4,1)),1,0)</f>
        <v>0</v>
      </c>
      <c r="AB817" s="1317">
        <v>15500.7</v>
      </c>
      <c r="AC817" s="1308">
        <v>45783</v>
      </c>
      <c r="AD817" s="402" t="str">
        <f ca="1">IF(CostTrack[[#This Row],[Reconciled Amount]]="","",IF(CostTrack[[#This Row],[Value]]&lt;&gt;CostTrack[[#This Row],[Reconciled Amount]],"Yes","No"))</f>
        <v>No</v>
      </c>
      <c r="AE817" s="658"/>
    </row>
    <row r="818" spans="2:31" ht="43.9" customHeight="1">
      <c r="B818" s="1392" t="s">
        <v>527</v>
      </c>
      <c r="C818" s="1091" t="s">
        <v>1529</v>
      </c>
      <c r="D818" s="1394">
        <v>45750</v>
      </c>
      <c r="E818" s="1395">
        <v>-15500.7</v>
      </c>
      <c r="F818" s="1309" t="s">
        <v>69</v>
      </c>
      <c r="G818" s="1310">
        <f ca="1">ROUND(IF(CostTrack[[#This Row],[Holdback (Y/N/R)]]="Yes",CostTrack[[#This Row],[Value]]*-0.1,IF(CostTrack[[#This Row],[Holdback (Y/N/R)]]="Release",CostTrack[[#This Row],[Value]],0)),2)</f>
        <v>0</v>
      </c>
      <c r="H818" s="1311">
        <f ca="1">IF(CostTrack[[#This Row],[Holdback (Y/N/R)]]="Release",CostTrack[[#This Row],[Value]],CostTrack[[#This Row],[Value]]+CostTrack[[#This Row],[Holdback Value]])</f>
        <v>-15500.7</v>
      </c>
      <c r="I818" s="1312"/>
      <c r="J818" s="1312"/>
      <c r="K818" s="1313"/>
      <c r="L818" s="1325">
        <v>45750</v>
      </c>
      <c r="M818" s="1326">
        <v>45750</v>
      </c>
      <c r="N818" s="1327"/>
      <c r="O818" s="1328" t="s">
        <v>106</v>
      </c>
      <c r="P818" s="1308">
        <v>45750</v>
      </c>
      <c r="Q818" s="1314" t="str">
        <f ca="1">IF(CostTrack[[#This Row],[Vendor - Contract]]="","",INDEX(VendorList[PA ID],MATCH(CostTrack[[#This Row],[Vendor - Contract]],VendorList[Vendor / Org. with Contract ID],0)))</f>
        <v>200.010.F1</v>
      </c>
      <c r="R818" s="1314" t="str">
        <f ca="1">IF(CostTrack[[#This Row],[Vendor - Contract]]="","",INDEX(VendorList[Primary Category],MATCH(CostTrack[[#This Row],[Vendor - Contract]],VendorList[Vendor / Org. with Contract ID],0)))</f>
        <v>Professional Services</v>
      </c>
      <c r="S818" s="1314" t="str">
        <f ca="1">IF(CostTrack[[#This Row],[Vendor - Contract]]="","",INDEX(VendorList[Secondary Category],MATCH(CostTrack[[#This Row],[Vendor - Contract]],VendorList[Vendor / Org. with Contract ID],0)))</f>
        <v>Prime Consultant</v>
      </c>
      <c r="T818" s="1314" t="str">
        <f ca="1">IF(CostTrack[[#This Row],[Vendor - Contract]]="","",INDEX(VendorList[Phase / Subproject],MATCH(CostTrack[[#This Row],[Vendor - Contract]],VendorList[Vendor / Org. with Contract ID],0)))</f>
        <v>--</v>
      </c>
      <c r="U818" s="1314" t="str">
        <f ca="1">IF(CostTrack[[#This Row],[Vendor - Contract]]="","",INDEX(VendorList[Phase / Subproject 2],MATCH(CostTrack[[#This Row],[Vendor - Contract]],VendorList[Vendor / Org. with Contract ID],0)))</f>
        <v>--</v>
      </c>
      <c r="V818" s="1314" t="str">
        <f ca="1">IF(CostTrack[[#This Row],[Vendor - Contract]]="","",INDEX(VendorList[Funding Source],MATCH(CostTrack[[#This Row],[Vendor - Contract]],VendorList[Vendor / Org. with Contract ID],0)))</f>
        <v>P-002360</v>
      </c>
      <c r="W818" s="1308">
        <v>45762</v>
      </c>
      <c r="X818" s="1315" t="str">
        <f ca="1">IF(CostTrack[[#This Row],[Release Date (CMS)]]="","*","")</f>
        <v/>
      </c>
      <c r="Y818" s="1308" t="s">
        <v>67</v>
      </c>
      <c r="Z818" s="1343" t="s">
        <v>1531</v>
      </c>
      <c r="AA818" s="1316">
        <f ca="1">IF(OR(CostTrack[[#This Row],[Release Date (CMS)]]&gt;=DATE(VALUE(REPLACE(CostTrack[[#This Row],[Fiscal Period]],3,3,"")),3,1),CostTrack[[#This Row],[Release Date (CMS)]]&lt;DATE(VALUE(LEFT(CostTrack[[#This Row],[Fiscal Period]],4)),4,1)),1,0)</f>
        <v>0</v>
      </c>
      <c r="AB818" s="1317">
        <v>-15500.7</v>
      </c>
      <c r="AC818" s="1308">
        <v>45783</v>
      </c>
      <c r="AD818" s="402" t="str">
        <f ca="1">IF(CostTrack[[#This Row],[Reconciled Amount]]="","",IF(CostTrack[[#This Row],[Value]]&lt;&gt;CostTrack[[#This Row],[Reconciled Amount]],"Yes","No"))</f>
        <v>No</v>
      </c>
      <c r="AE818" s="658"/>
    </row>
    <row r="819" spans="2:31" ht="70.900000000000006" customHeight="1">
      <c r="B819" s="1324" t="s">
        <v>527</v>
      </c>
      <c r="C819" s="691" t="s">
        <v>1532</v>
      </c>
      <c r="D819" s="1308">
        <v>45750</v>
      </c>
      <c r="E819" s="658">
        <v>22375</v>
      </c>
      <c r="F819" s="1309" t="s">
        <v>69</v>
      </c>
      <c r="G819" s="1310">
        <f ca="1">ROUND(IF(CostTrack[[#This Row],[Holdback (Y/N/R)]]="Yes",CostTrack[[#This Row],[Value]]*-0.1,IF(CostTrack[[#This Row],[Holdback (Y/N/R)]]="Release",CostTrack[[#This Row],[Value]],0)),2)</f>
        <v>0</v>
      </c>
      <c r="H819" s="1311">
        <f ca="1">IF(CostTrack[[#This Row],[Holdback (Y/N/R)]]="Release",CostTrack[[#This Row],[Value]],CostTrack[[#This Row],[Value]]+CostTrack[[#This Row],[Holdback Value]])</f>
        <v>22375</v>
      </c>
      <c r="I819" s="1312"/>
      <c r="J819" s="1312"/>
      <c r="K819" s="1313"/>
      <c r="L819" s="1325">
        <v>45750</v>
      </c>
      <c r="M819" s="1326">
        <v>45750</v>
      </c>
      <c r="N819" s="1327"/>
      <c r="O819" s="1328" t="s">
        <v>106</v>
      </c>
      <c r="P819" s="1308">
        <v>45750</v>
      </c>
      <c r="Q819" s="1314" t="str">
        <f ca="1">IF(CostTrack[[#This Row],[Vendor - Contract]]="","",INDEX(VendorList[PA ID],MATCH(CostTrack[[#This Row],[Vendor - Contract]],VendorList[Vendor / Org. with Contract ID],0)))</f>
        <v>200.010.F1</v>
      </c>
      <c r="R819" s="1314" t="str">
        <f ca="1">IF(CostTrack[[#This Row],[Vendor - Contract]]="","",INDEX(VendorList[Primary Category],MATCH(CostTrack[[#This Row],[Vendor - Contract]],VendorList[Vendor / Org. with Contract ID],0)))</f>
        <v>Professional Services</v>
      </c>
      <c r="S819" s="1314" t="str">
        <f ca="1">IF(CostTrack[[#This Row],[Vendor - Contract]]="","",INDEX(VendorList[Secondary Category],MATCH(CostTrack[[#This Row],[Vendor - Contract]],VendorList[Vendor / Org. with Contract ID],0)))</f>
        <v>Prime Consultant</v>
      </c>
      <c r="T819" s="1314" t="str">
        <f ca="1">IF(CostTrack[[#This Row],[Vendor - Contract]]="","",INDEX(VendorList[Phase / Subproject],MATCH(CostTrack[[#This Row],[Vendor - Contract]],VendorList[Vendor / Org. with Contract ID],0)))</f>
        <v>--</v>
      </c>
      <c r="U819" s="1314" t="str">
        <f ca="1">IF(CostTrack[[#This Row],[Vendor - Contract]]="","",INDEX(VendorList[Phase / Subproject 2],MATCH(CostTrack[[#This Row],[Vendor - Contract]],VendorList[Vendor / Org. with Contract ID],0)))</f>
        <v>--</v>
      </c>
      <c r="V819" s="1314" t="str">
        <f ca="1">IF(CostTrack[[#This Row],[Vendor - Contract]]="","",INDEX(VendorList[Funding Source],MATCH(CostTrack[[#This Row],[Vendor - Contract]],VendorList[Vendor / Org. with Contract ID],0)))</f>
        <v>P-002360</v>
      </c>
      <c r="W819" s="1308">
        <v>45762</v>
      </c>
      <c r="X819" s="1315" t="str">
        <f ca="1">IF(CostTrack[[#This Row],[Release Date (CMS)]]="","*","")</f>
        <v/>
      </c>
      <c r="Y819" s="1308" t="s">
        <v>67</v>
      </c>
      <c r="Z819" s="695" t="s">
        <v>1533</v>
      </c>
      <c r="AA819" s="1316">
        <f ca="1">IF(OR(CostTrack[[#This Row],[Release Date (CMS)]]&gt;=DATE(VALUE(REPLACE(CostTrack[[#This Row],[Fiscal Period]],3,3,"")),3,1),CostTrack[[#This Row],[Release Date (CMS)]]&lt;DATE(VALUE(LEFT(CostTrack[[#This Row],[Fiscal Period]],4)),4,1)),1,0)</f>
        <v>0</v>
      </c>
      <c r="AB819" s="1317"/>
      <c r="AC819" s="1308"/>
      <c r="AD819" s="402" t="str">
        <f ca="1">IF(CostTrack[[#This Row],[Reconciled Amount]]="","",IF(CostTrack[[#This Row],[Value]]&lt;&gt;CostTrack[[#This Row],[Reconciled Amount]],"Yes","No"))</f>
        <v/>
      </c>
      <c r="AE819" s="658"/>
    </row>
    <row r="820" spans="2:31" ht="70.900000000000006" customHeight="1">
      <c r="B820" s="1367" t="s">
        <v>527</v>
      </c>
      <c r="C820" s="1401" t="s">
        <v>1534</v>
      </c>
      <c r="D820" s="1369">
        <v>45750</v>
      </c>
      <c r="E820" s="1370">
        <v>-22375</v>
      </c>
      <c r="F820" s="1371"/>
      <c r="G820" s="1372">
        <f ca="1">ROUND(IF(CostTrack[[#This Row],[Holdback (Y/N/R)]]="Yes",CostTrack[[#This Row],[Value]]*-0.1,IF(CostTrack[[#This Row],[Holdback (Y/N/R)]]="Release",CostTrack[[#This Row],[Value]],0)),2)</f>
        <v>0</v>
      </c>
      <c r="H820" s="1373">
        <f ca="1">IF(CostTrack[[#This Row],[Holdback (Y/N/R)]]="Release",CostTrack[[#This Row],[Value]],CostTrack[[#This Row],[Value]]+CostTrack[[#This Row],[Holdback Value]])</f>
        <v>-22375</v>
      </c>
      <c r="I820" s="1374"/>
      <c r="J820" s="1374"/>
      <c r="K820" s="1375"/>
      <c r="L820" s="1376">
        <v>45750</v>
      </c>
      <c r="M820" s="1377">
        <v>45750</v>
      </c>
      <c r="N820" s="1378"/>
      <c r="O820" s="1379" t="s">
        <v>106</v>
      </c>
      <c r="P820" s="1369">
        <v>45779</v>
      </c>
      <c r="Q820" s="1380" t="str">
        <f ca="1">IF(CostTrack[[#This Row],[Vendor - Contract]]="","",INDEX(VendorList[PA ID],MATCH(CostTrack[[#This Row],[Vendor - Contract]],VendorList[Vendor / Org. with Contract ID],0)))</f>
        <v>200.010.F1</v>
      </c>
      <c r="R820" s="1380" t="str">
        <f ca="1">IF(CostTrack[[#This Row],[Vendor - Contract]]="","",INDEX(VendorList[Primary Category],MATCH(CostTrack[[#This Row],[Vendor - Contract]],VendorList[Vendor / Org. with Contract ID],0)))</f>
        <v>Professional Services</v>
      </c>
      <c r="S820" s="1380" t="str">
        <f ca="1">IF(CostTrack[[#This Row],[Vendor - Contract]]="","",INDEX(VendorList[Secondary Category],MATCH(CostTrack[[#This Row],[Vendor - Contract]],VendorList[Vendor / Org. with Contract ID],0)))</f>
        <v>Prime Consultant</v>
      </c>
      <c r="T820" s="1380" t="str">
        <f ca="1">IF(CostTrack[[#This Row],[Vendor - Contract]]="","",INDEX(VendorList[Phase / Subproject],MATCH(CostTrack[[#This Row],[Vendor - Contract]],VendorList[Vendor / Org. with Contract ID],0)))</f>
        <v>--</v>
      </c>
      <c r="U820" s="1380" t="str">
        <f ca="1">IF(CostTrack[[#This Row],[Vendor - Contract]]="","",INDEX(VendorList[Phase / Subproject 2],MATCH(CostTrack[[#This Row],[Vendor - Contract]],VendorList[Vendor / Org. with Contract ID],0)))</f>
        <v>--</v>
      </c>
      <c r="V820" s="1380" t="str">
        <f ca="1">IF(CostTrack[[#This Row],[Vendor - Contract]]="","",INDEX(VendorList[Funding Source],MATCH(CostTrack[[#This Row],[Vendor - Contract]],VendorList[Vendor / Org. with Contract ID],0)))</f>
        <v>P-002360</v>
      </c>
      <c r="W820" s="1369">
        <v>45790</v>
      </c>
      <c r="X820" s="1381" t="str">
        <f ca="1">IF(CostTrack[[#This Row],[Release Date (CMS)]]="","*","")</f>
        <v/>
      </c>
      <c r="Y820" s="1369" t="s">
        <v>67</v>
      </c>
      <c r="Z820" s="695" t="s">
        <v>1535</v>
      </c>
      <c r="AA820" s="1383">
        <f ca="1">IF(OR(CostTrack[[#This Row],[Release Date (CMS)]]&gt;=DATE(VALUE(REPLACE(CostTrack[[#This Row],[Fiscal Period]],3,3,"")),3,1),CostTrack[[#This Row],[Release Date (CMS)]]&lt;DATE(VALUE(LEFT(CostTrack[[#This Row],[Fiscal Period]],4)),4,1)),1,0)</f>
        <v>0</v>
      </c>
      <c r="AB820" s="1384"/>
      <c r="AC820" s="1369"/>
      <c r="AD820" s="402" t="str">
        <f ca="1">IF(CostTrack[[#This Row],[Reconciled Amount]]="","",IF(CostTrack[[#This Row],[Value]]&lt;&gt;CostTrack[[#This Row],[Reconciled Amount]],"Yes","No"))</f>
        <v/>
      </c>
      <c r="AE820" s="1370"/>
    </row>
    <row r="821" spans="2:31" ht="42.75" customHeight="1">
      <c r="B821" s="1324" t="s">
        <v>775</v>
      </c>
      <c r="C821" s="1034" t="s">
        <v>1536</v>
      </c>
      <c r="D821" s="1308">
        <v>45747</v>
      </c>
      <c r="E821" s="658">
        <v>90000</v>
      </c>
      <c r="F821" s="1309" t="s">
        <v>69</v>
      </c>
      <c r="G821" s="1310">
        <f ca="1">ROUND(IF(CostTrack[[#This Row],[Holdback (Y/N/R)]]="Yes",CostTrack[[#This Row],[Value]]*-0.1,IF(CostTrack[[#This Row],[Holdback (Y/N/R)]]="Release",CostTrack[[#This Row],[Value]],0)),2)</f>
        <v>0</v>
      </c>
      <c r="H821" s="1311">
        <f ca="1">IF(CostTrack[[#This Row],[Holdback (Y/N/R)]]="Release",CostTrack[[#This Row],[Value]],CostTrack[[#This Row],[Value]]+CostTrack[[#This Row],[Holdback Value]])</f>
        <v>90000</v>
      </c>
      <c r="I821" s="1312"/>
      <c r="J821" s="1312"/>
      <c r="K821" s="1313"/>
      <c r="L821" s="1325">
        <v>45747</v>
      </c>
      <c r="M821" s="1326">
        <v>45747</v>
      </c>
      <c r="N821" s="1327"/>
      <c r="O821" s="1328" t="s">
        <v>106</v>
      </c>
      <c r="P821" s="1308">
        <v>45747</v>
      </c>
      <c r="Q821" s="1314" t="str">
        <f ca="1">IF(CostTrack[[#This Row],[Vendor - Contract]]="","",INDEX(VendorList[PA ID],MATCH(CostTrack[[#This Row],[Vendor - Contract]],VendorList[Vendor / Org. with Contract ID],0)))</f>
        <v>400.030.F1</v>
      </c>
      <c r="R821" s="1314" t="str">
        <f ca="1">IF(CostTrack[[#This Row],[Vendor - Contract]]="","",INDEX(VendorList[Primary Category],MATCH(CostTrack[[#This Row],[Vendor - Contract]],VendorList[Vendor / Org. with Contract ID],0)))</f>
        <v>FE_IT</v>
      </c>
      <c r="S821" s="1314" t="str">
        <f ca="1">IF(CostTrack[[#This Row],[Vendor - Contract]]="","",INDEX(VendorList[Secondary Category],MATCH(CostTrack[[#This Row],[Vendor - Contract]],VendorList[Vendor / Org. with Contract ID],0)))</f>
        <v>Movers</v>
      </c>
      <c r="T821" s="1314" t="str">
        <f ca="1">IF(CostTrack[[#This Row],[Vendor - Contract]]="","",INDEX(VendorList[Phase / Subproject],MATCH(CostTrack[[#This Row],[Vendor - Contract]],VendorList[Vendor / Org. with Contract ID],0)))</f>
        <v>--</v>
      </c>
      <c r="U821" s="1314" t="str">
        <f ca="1">IF(CostTrack[[#This Row],[Vendor - Contract]]="","",INDEX(VendorList[Phase / Subproject 2],MATCH(CostTrack[[#This Row],[Vendor - Contract]],VendorList[Vendor / Org. with Contract ID],0)))</f>
        <v>--</v>
      </c>
      <c r="V821" s="1314" t="str">
        <f ca="1">IF(CostTrack[[#This Row],[Vendor - Contract]]="","",INDEX(VendorList[Funding Source],MATCH(CostTrack[[#This Row],[Vendor - Contract]],VendorList[Vendor / Org. with Contract ID],0)))</f>
        <v>P-002360</v>
      </c>
      <c r="W821" s="1308">
        <v>45747</v>
      </c>
      <c r="X821" s="1315" t="str">
        <f ca="1">IF(CostTrack[[#This Row],[Release Date (CMS)]]="","*","")</f>
        <v/>
      </c>
      <c r="Y821" s="1308" t="s">
        <v>63</v>
      </c>
      <c r="Z821" s="713" t="s">
        <v>1537</v>
      </c>
      <c r="AA821" s="1316">
        <f ca="1">IF(OR(CostTrack[[#This Row],[Release Date (CMS)]]&gt;=DATE(VALUE(REPLACE(CostTrack[[#This Row],[Fiscal Period]],3,3,"")),3,1),CostTrack[[#This Row],[Release Date (CMS)]]&lt;DATE(VALUE(LEFT(CostTrack[[#This Row],[Fiscal Period]],4)),4,1)),1,0)</f>
        <v>1</v>
      </c>
      <c r="AB821" s="1317">
        <v>90000</v>
      </c>
      <c r="AC821" s="1308">
        <v>45783</v>
      </c>
      <c r="AD821" s="402" t="str">
        <f ca="1">IF(CostTrack[[#This Row],[Reconciled Amount]]="","",IF(CostTrack[[#This Row],[Value]]&lt;&gt;CostTrack[[#This Row],[Reconciled Amount]],"Yes","No"))</f>
        <v>No</v>
      </c>
      <c r="AE821" s="658"/>
    </row>
    <row r="822" spans="2:31" ht="43.15" customHeight="1">
      <c r="B822" s="1324" t="s">
        <v>775</v>
      </c>
      <c r="C822" s="1034" t="s">
        <v>1538</v>
      </c>
      <c r="D822" s="1308">
        <v>45744</v>
      </c>
      <c r="E822" s="658">
        <v>15995.77</v>
      </c>
      <c r="F822" s="1309" t="s">
        <v>69</v>
      </c>
      <c r="G822" s="1310">
        <f ca="1">ROUND(IF(CostTrack[[#This Row],[Holdback (Y/N/R)]]="Yes",CostTrack[[#This Row],[Value]]*-0.1,IF(CostTrack[[#This Row],[Holdback (Y/N/R)]]="Release",CostTrack[[#This Row],[Value]],0)),2)</f>
        <v>0</v>
      </c>
      <c r="H822" s="1311">
        <f ca="1">IF(CostTrack[[#This Row],[Holdback (Y/N/R)]]="Release",CostTrack[[#This Row],[Value]],CostTrack[[#This Row],[Value]]+CostTrack[[#This Row],[Holdback Value]])</f>
        <v>15995.77</v>
      </c>
      <c r="I822" s="1312"/>
      <c r="J822" s="1312"/>
      <c r="K822" s="1313"/>
      <c r="L822" s="1325">
        <v>45750</v>
      </c>
      <c r="M822" s="1326">
        <v>45750</v>
      </c>
      <c r="N822" s="1327"/>
      <c r="O822" s="1328" t="s">
        <v>106</v>
      </c>
      <c r="P822" s="1308">
        <v>45750</v>
      </c>
      <c r="Q822" s="1314" t="str">
        <f ca="1">IF(CostTrack[[#This Row],[Vendor - Contract]]="","",INDEX(VendorList[PA ID],MATCH(CostTrack[[#This Row],[Vendor - Contract]],VendorList[Vendor / Org. with Contract ID],0)))</f>
        <v>400.030.F1</v>
      </c>
      <c r="R822" s="1314" t="str">
        <f ca="1">IF(CostTrack[[#This Row],[Vendor - Contract]]="","",INDEX(VendorList[Primary Category],MATCH(CostTrack[[#This Row],[Vendor - Contract]],VendorList[Vendor / Org. with Contract ID],0)))</f>
        <v>FE_IT</v>
      </c>
      <c r="S822" s="1314" t="str">
        <f ca="1">IF(CostTrack[[#This Row],[Vendor - Contract]]="","",INDEX(VendorList[Secondary Category],MATCH(CostTrack[[#This Row],[Vendor - Contract]],VendorList[Vendor / Org. with Contract ID],0)))</f>
        <v>Movers</v>
      </c>
      <c r="T822" s="1314" t="str">
        <f ca="1">IF(CostTrack[[#This Row],[Vendor - Contract]]="","",INDEX(VendorList[Phase / Subproject],MATCH(CostTrack[[#This Row],[Vendor - Contract]],VendorList[Vendor / Org. with Contract ID],0)))</f>
        <v>--</v>
      </c>
      <c r="U822" s="1314" t="str">
        <f ca="1">IF(CostTrack[[#This Row],[Vendor - Contract]]="","",INDEX(VendorList[Phase / Subproject 2],MATCH(CostTrack[[#This Row],[Vendor - Contract]],VendorList[Vendor / Org. with Contract ID],0)))</f>
        <v>--</v>
      </c>
      <c r="V822" s="1314" t="str">
        <f ca="1">IF(CostTrack[[#This Row],[Vendor - Contract]]="","",INDEX(VendorList[Funding Source],MATCH(CostTrack[[#This Row],[Vendor - Contract]],VendorList[Vendor / Org. with Contract ID],0)))</f>
        <v>P-002360</v>
      </c>
      <c r="W822" s="1308">
        <v>45747</v>
      </c>
      <c r="X822" s="1315" t="str">
        <f ca="1">IF(CostTrack[[#This Row],[Release Date (CMS)]]="","*","")</f>
        <v/>
      </c>
      <c r="Y822" s="1308" t="s">
        <v>63</v>
      </c>
      <c r="Z822" s="713" t="s">
        <v>1539</v>
      </c>
      <c r="AA822" s="1316">
        <f ca="1">IF(OR(CostTrack[[#This Row],[Release Date (CMS)]]&gt;=DATE(VALUE(REPLACE(CostTrack[[#This Row],[Fiscal Period]],3,3,"")),3,1),CostTrack[[#This Row],[Release Date (CMS)]]&lt;DATE(VALUE(LEFT(CostTrack[[#This Row],[Fiscal Period]],4)),4,1)),1,0)</f>
        <v>1</v>
      </c>
      <c r="AB822" s="1317">
        <v>15995.77</v>
      </c>
      <c r="AC822" s="1308">
        <v>45783</v>
      </c>
      <c r="AD822" s="402" t="str">
        <f ca="1">IF(CostTrack[[#This Row],[Reconciled Amount]]="","",IF(CostTrack[[#This Row],[Value]]&lt;&gt;CostTrack[[#This Row],[Reconciled Amount]],"Yes","No"))</f>
        <v>No</v>
      </c>
      <c r="AE822" s="658"/>
    </row>
    <row r="823" spans="2:31" ht="47.65" customHeight="1">
      <c r="B823" s="1324" t="s">
        <v>679</v>
      </c>
      <c r="C823" s="1034" t="s">
        <v>1540</v>
      </c>
      <c r="D823" s="1308">
        <v>45742</v>
      </c>
      <c r="E823" s="658">
        <v>59741</v>
      </c>
      <c r="F823" s="1309" t="s">
        <v>69</v>
      </c>
      <c r="G823" s="1310">
        <f ca="1">ROUND(IF(CostTrack[[#This Row],[Holdback (Y/N/R)]]="Yes",CostTrack[[#This Row],[Value]]*-0.1,IF(CostTrack[[#This Row],[Holdback (Y/N/R)]]="Release",CostTrack[[#This Row],[Value]],0)),2)</f>
        <v>0</v>
      </c>
      <c r="H823" s="1311">
        <f ca="1">IF(CostTrack[[#This Row],[Holdback (Y/N/R)]]="Release",CostTrack[[#This Row],[Value]],CostTrack[[#This Row],[Value]]+CostTrack[[#This Row],[Holdback Value]])</f>
        <v>59741</v>
      </c>
      <c r="I823" s="1312"/>
      <c r="J823" s="1312"/>
      <c r="K823" s="1313"/>
      <c r="L823" s="1325">
        <v>45743</v>
      </c>
      <c r="M823" s="1326">
        <v>45743</v>
      </c>
      <c r="N823" s="1327"/>
      <c r="O823" s="1328" t="s">
        <v>106</v>
      </c>
      <c r="P823" s="1308">
        <v>45747</v>
      </c>
      <c r="Q823" s="1314" t="str">
        <f ca="1">IF(CostTrack[[#This Row],[Vendor - Contract]]="","",INDEX(VendorList[PA ID],MATCH(CostTrack[[#This Row],[Vendor - Contract]],VendorList[Vendor / Org. with Contract ID],0)))</f>
        <v>400.020.F1</v>
      </c>
      <c r="R823" s="1314" t="str">
        <f ca="1">IF(CostTrack[[#This Row],[Vendor - Contract]]="","",INDEX(VendorList[Primary Category],MATCH(CostTrack[[#This Row],[Vendor - Contract]],VendorList[Vendor / Org. with Contract ID],0)))</f>
        <v>FE_IT</v>
      </c>
      <c r="S823" s="1314" t="str">
        <f ca="1">IF(CostTrack[[#This Row],[Vendor - Contract]]="","",INDEX(VendorList[Secondary Category],MATCH(CostTrack[[#This Row],[Vendor - Contract]],VendorList[Vendor / Org. with Contract ID],0)))</f>
        <v>Information Technology</v>
      </c>
      <c r="T823" s="1314" t="str">
        <f ca="1">IF(CostTrack[[#This Row],[Vendor - Contract]]="","",INDEX(VendorList[Phase / Subproject],MATCH(CostTrack[[#This Row],[Vendor - Contract]],VendorList[Vendor / Org. with Contract ID],0)))</f>
        <v>--</v>
      </c>
      <c r="U823" s="1314" t="str">
        <f ca="1">IF(CostTrack[[#This Row],[Vendor - Contract]]="","",INDEX(VendorList[Phase / Subproject 2],MATCH(CostTrack[[#This Row],[Vendor - Contract]],VendorList[Vendor / Org. with Contract ID],0)))</f>
        <v>--</v>
      </c>
      <c r="V823" s="1314" t="str">
        <f ca="1">IF(CostTrack[[#This Row],[Vendor - Contract]]="","",INDEX(VendorList[Funding Source],MATCH(CostTrack[[#This Row],[Vendor - Contract]],VendorList[Vendor / Org. with Contract ID],0)))</f>
        <v>P-002360</v>
      </c>
      <c r="W823" s="1308">
        <v>45747</v>
      </c>
      <c r="X823" s="1315" t="str">
        <f ca="1">IF(CostTrack[[#This Row],[Release Date (CMS)]]="","*","")</f>
        <v/>
      </c>
      <c r="Y823" s="1308" t="s">
        <v>63</v>
      </c>
      <c r="Z823" s="713" t="s">
        <v>1541</v>
      </c>
      <c r="AA823" s="1316">
        <f ca="1">IF(OR(CostTrack[[#This Row],[Release Date (CMS)]]&gt;=DATE(VALUE(REPLACE(CostTrack[[#This Row],[Fiscal Period]],3,3,"")),3,1),CostTrack[[#This Row],[Release Date (CMS)]]&lt;DATE(VALUE(LEFT(CostTrack[[#This Row],[Fiscal Period]],4)),4,1)),1,0)</f>
        <v>1</v>
      </c>
      <c r="AB823" s="1317">
        <v>59741</v>
      </c>
      <c r="AC823" s="1308">
        <v>45783</v>
      </c>
      <c r="AD823" s="402" t="str">
        <f ca="1">IF(CostTrack[[#This Row],[Reconciled Amount]]="","",IF(CostTrack[[#This Row],[Value]]&lt;&gt;CostTrack[[#This Row],[Reconciled Amount]],"Yes","No"))</f>
        <v>No</v>
      </c>
      <c r="AE823" s="658"/>
    </row>
    <row r="824" spans="2:31" ht="25.15" customHeight="1">
      <c r="B824" s="1324" t="s">
        <v>736</v>
      </c>
      <c r="C824" s="691" t="s">
        <v>1542</v>
      </c>
      <c r="D824" s="1308">
        <v>45747</v>
      </c>
      <c r="E824" s="658">
        <v>57883.41</v>
      </c>
      <c r="F824" s="1309" t="s">
        <v>69</v>
      </c>
      <c r="G824" s="1310">
        <f ca="1">ROUND(IF(CostTrack[[#This Row],[Holdback (Y/N/R)]]="Yes",CostTrack[[#This Row],[Value]]*-0.1,IF(CostTrack[[#This Row],[Holdback (Y/N/R)]]="Release",CostTrack[[#This Row],[Value]],0)),2)</f>
        <v>0</v>
      </c>
      <c r="H824" s="1311">
        <f ca="1">IF(CostTrack[[#This Row],[Holdback (Y/N/R)]]="Release",CostTrack[[#This Row],[Value]],CostTrack[[#This Row],[Value]]+CostTrack[[#This Row],[Holdback Value]])</f>
        <v>57883.41</v>
      </c>
      <c r="I824" s="1312"/>
      <c r="J824" s="1312"/>
      <c r="K824" s="1313"/>
      <c r="L824" s="1325">
        <v>45747</v>
      </c>
      <c r="M824" s="1326">
        <v>45747</v>
      </c>
      <c r="N824" s="1327"/>
      <c r="O824" s="1328" t="s">
        <v>106</v>
      </c>
      <c r="P824" s="1308">
        <v>45747</v>
      </c>
      <c r="Q824" s="1314" t="str">
        <f ca="1">IF(CostTrack[[#This Row],[Vendor - Contract]]="","",INDEX(VendorList[PA ID],MATCH(CostTrack[[#This Row],[Vendor - Contract]],VendorList[Vendor / Org. with Contract ID],0)))</f>
        <v>100.010.F1</v>
      </c>
      <c r="R824" s="1314" t="str">
        <f ca="1">IF(CostTrack[[#This Row],[Vendor - Contract]]="","",INDEX(VendorList[Primary Category],MATCH(CostTrack[[#This Row],[Vendor - Contract]],VendorList[Vendor / Org. with Contract ID],0)))</f>
        <v>Administration</v>
      </c>
      <c r="S824" s="1314" t="str">
        <f ca="1">IF(CostTrack[[#This Row],[Vendor - Contract]]="","",INDEX(VendorList[Secondary Category],MATCH(CostTrack[[#This Row],[Vendor - Contract]],VendorList[Vendor / Org. with Contract ID],0)))</f>
        <v>Staff Capitalization - INFRA</v>
      </c>
      <c r="T824" s="1314" t="str">
        <f ca="1">IF(CostTrack[[#This Row],[Vendor - Contract]]="","",INDEX(VendorList[Phase / Subproject],MATCH(CostTrack[[#This Row],[Vendor - Contract]],VendorList[Vendor / Org. with Contract ID],0)))</f>
        <v>--</v>
      </c>
      <c r="U824" s="1314" t="str">
        <f ca="1">IF(CostTrack[[#This Row],[Vendor - Contract]]="","",INDEX(VendorList[Phase / Subproject 2],MATCH(CostTrack[[#This Row],[Vendor - Contract]],VendorList[Vendor / Org. with Contract ID],0)))</f>
        <v>--</v>
      </c>
      <c r="V824" s="1314" t="str">
        <f ca="1">IF(CostTrack[[#This Row],[Vendor - Contract]]="","",INDEX(VendorList[Funding Source],MATCH(CostTrack[[#This Row],[Vendor - Contract]],VendorList[Vendor / Org. with Contract ID],0)))</f>
        <v>P-002360</v>
      </c>
      <c r="W824" s="1308">
        <v>45747</v>
      </c>
      <c r="X824" s="1315" t="str">
        <f ca="1">IF(CostTrack[[#This Row],[Release Date (CMS)]]="","*","")</f>
        <v/>
      </c>
      <c r="Y824" s="1308" t="s">
        <v>63</v>
      </c>
      <c r="Z824" s="713"/>
      <c r="AA824" s="1316">
        <f ca="1">IF(OR(CostTrack[[#This Row],[Release Date (CMS)]]&gt;=DATE(VALUE(REPLACE(CostTrack[[#This Row],[Fiscal Period]],3,3,"")),3,1),CostTrack[[#This Row],[Release Date (CMS)]]&lt;DATE(VALUE(LEFT(CostTrack[[#This Row],[Fiscal Period]],4)),4,1)),1,0)</f>
        <v>1</v>
      </c>
      <c r="AB824" s="1317">
        <v>57883.41</v>
      </c>
      <c r="AC824" s="1308">
        <v>45757</v>
      </c>
      <c r="AD824" s="402" t="str">
        <f ca="1">IF(CostTrack[[#This Row],[Reconciled Amount]]="","",IF(CostTrack[[#This Row],[Value]]&lt;&gt;CostTrack[[#This Row],[Reconciled Amount]],"Yes","No"))</f>
        <v>No</v>
      </c>
      <c r="AE824" s="658"/>
    </row>
    <row r="825" spans="2:31" ht="33.75" customHeight="1">
      <c r="B825" s="1324" t="s">
        <v>754</v>
      </c>
      <c r="C825" s="1334">
        <v>800142189</v>
      </c>
      <c r="D825" s="1308">
        <v>45740</v>
      </c>
      <c r="E825" s="658">
        <v>152.24</v>
      </c>
      <c r="F825" s="1309" t="s">
        <v>69</v>
      </c>
      <c r="G825" s="1310">
        <f ca="1">ROUND(IF(CostTrack[[#This Row],[Holdback (Y/N/R)]]="Yes",CostTrack[[#This Row],[Value]]*-0.1,IF(CostTrack[[#This Row],[Holdback (Y/N/R)]]="Release",CostTrack[[#This Row],[Value]],0)),2)</f>
        <v>0</v>
      </c>
      <c r="H825" s="1311">
        <f ca="1">IF(CostTrack[[#This Row],[Holdback (Y/N/R)]]="Release",CostTrack[[#This Row],[Value]],CostTrack[[#This Row],[Value]]+CostTrack[[#This Row],[Holdback Value]])</f>
        <v>152.24</v>
      </c>
      <c r="I825" s="1312"/>
      <c r="J825" s="1312"/>
      <c r="K825" s="1313"/>
      <c r="L825" s="1325">
        <v>45740</v>
      </c>
      <c r="M825" s="1326">
        <v>45740</v>
      </c>
      <c r="N825" s="1327"/>
      <c r="O825" s="1328" t="s">
        <v>106</v>
      </c>
      <c r="P825" s="1308">
        <v>45740</v>
      </c>
      <c r="Q825" s="1314" t="str">
        <f ca="1">IF(CostTrack[[#This Row],[Vendor - Contract]]="","",INDEX(VendorList[PA ID],MATCH(CostTrack[[#This Row],[Vendor - Contract]],VendorList[Vendor / Org. with Contract ID],0)))</f>
        <v>100.050.F1</v>
      </c>
      <c r="R825" s="1314" t="str">
        <f ca="1">IF(CostTrack[[#This Row],[Vendor - Contract]]="","",INDEX(VendorList[Primary Category],MATCH(CostTrack[[#This Row],[Vendor - Contract]],VendorList[Vendor / Org. with Contract ID],0)))</f>
        <v>Administration</v>
      </c>
      <c r="S825" s="1314" t="str">
        <f ca="1">IF(CostTrack[[#This Row],[Vendor - Contract]]="","",INDEX(VendorList[Secondary Category],MATCH(CostTrack[[#This Row],[Vendor - Contract]],VendorList[Vendor / Org. with Contract ID],0)))</f>
        <v>Other Administration</v>
      </c>
      <c r="T825" s="1314" t="str">
        <f ca="1">IF(CostTrack[[#This Row],[Vendor - Contract]]="","",INDEX(VendorList[Phase / Subproject],MATCH(CostTrack[[#This Row],[Vendor - Contract]],VendorList[Vendor / Org. with Contract ID],0)))</f>
        <v>--</v>
      </c>
      <c r="U825" s="1314" t="str">
        <f ca="1">IF(CostTrack[[#This Row],[Vendor - Contract]]="","",INDEX(VendorList[Phase / Subproject 2],MATCH(CostTrack[[#This Row],[Vendor - Contract]],VendorList[Vendor / Org. with Contract ID],0)))</f>
        <v>--</v>
      </c>
      <c r="V825" s="1314" t="str">
        <f ca="1">IF(CostTrack[[#This Row],[Vendor - Contract]]="","",INDEX(VendorList[Funding Source],MATCH(CostTrack[[#This Row],[Vendor - Contract]],VendorList[Vendor / Org. with Contract ID],0)))</f>
        <v>P-002360</v>
      </c>
      <c r="W825" s="1308">
        <v>45740</v>
      </c>
      <c r="X825" s="1315" t="str">
        <f ca="1">IF(CostTrack[[#This Row],[Release Date (CMS)]]="","*","")</f>
        <v/>
      </c>
      <c r="Y825" s="1308" t="s">
        <v>63</v>
      </c>
      <c r="Z825" s="652" t="s">
        <v>1543</v>
      </c>
      <c r="AA825" s="1316">
        <f ca="1">IF(OR(CostTrack[[#This Row],[Release Date (CMS)]]&gt;=DATE(VALUE(REPLACE(CostTrack[[#This Row],[Fiscal Period]],3,3,"")),3,1),CostTrack[[#This Row],[Release Date (CMS)]]&lt;DATE(VALUE(LEFT(CostTrack[[#This Row],[Fiscal Period]],4)),4,1)),1,0)</f>
        <v>1</v>
      </c>
      <c r="AB825" s="1317">
        <v>152.24</v>
      </c>
      <c r="AC825" s="1308">
        <v>45757</v>
      </c>
      <c r="AD825" s="402" t="str">
        <f ca="1">IF(CostTrack[[#This Row],[Reconciled Amount]]="","",IF(CostTrack[[#This Row],[Value]]&lt;&gt;CostTrack[[#This Row],[Reconciled Amount]],"Yes","No"))</f>
        <v>No</v>
      </c>
      <c r="AE825" s="658"/>
    </row>
    <row r="826" spans="2:31" ht="33.75" customHeight="1">
      <c r="B826" s="706" t="s">
        <v>624</v>
      </c>
      <c r="C826" s="691">
        <v>1999287</v>
      </c>
      <c r="D826" s="267">
        <v>45782</v>
      </c>
      <c r="E826" s="654">
        <v>67486.289999999994</v>
      </c>
      <c r="F826" s="647" t="s">
        <v>69</v>
      </c>
      <c r="G826" s="406">
        <f ca="1">ROUND(IF(CostTrack[[#This Row],[Holdback (Y/N/R)]]="Yes",CostTrack[[#This Row],[Value]]*-0.1,IF(CostTrack[[#This Row],[Holdback (Y/N/R)]]="Release",CostTrack[[#This Row],[Value]],0)),2)</f>
        <v>0</v>
      </c>
      <c r="H826" s="407">
        <f ca="1">IF(CostTrack[[#This Row],[Holdback (Y/N/R)]]="Release",CostTrack[[#This Row],[Value]],CostTrack[[#This Row],[Value]]+CostTrack[[#This Row],[Holdback Value]])</f>
        <v>67486.289999999994</v>
      </c>
      <c r="I826" s="650"/>
      <c r="J826" s="650"/>
      <c r="K826" s="648"/>
      <c r="L826" s="707">
        <v>45782</v>
      </c>
      <c r="M826" s="708">
        <v>45782</v>
      </c>
      <c r="N826" s="709"/>
      <c r="O826" s="712" t="s">
        <v>106</v>
      </c>
      <c r="P826" s="267">
        <v>45782</v>
      </c>
      <c r="Q826" s="243" t="str">
        <f ca="1">IF(CostTrack[[#This Row],[Vendor - Contract]]="","",INDEX(VendorList[PA ID],MATCH(CostTrack[[#This Row],[Vendor - Contract]],VendorList[Vendor / Org. with Contract ID],0)))</f>
        <v>200.040.F1</v>
      </c>
      <c r="R826" s="243" t="str">
        <f ca="1">IF(CostTrack[[#This Row],[Vendor - Contract]]="","",INDEX(VendorList[Primary Category],MATCH(CostTrack[[#This Row],[Vendor - Contract]],VendorList[Vendor / Org. with Contract ID],0)))</f>
        <v>Professional Services</v>
      </c>
      <c r="S826" s="243" t="str">
        <f ca="1">IF(CostTrack[[#This Row],[Vendor - Contract]]="","",INDEX(VendorList[Secondary Category],MATCH(CostTrack[[#This Row],[Vendor - Contract]],VendorList[Vendor / Org. with Contract ID],0)))</f>
        <v>Commissioning</v>
      </c>
      <c r="T826" s="243" t="str">
        <f ca="1">IF(CostTrack[[#This Row],[Vendor - Contract]]="","",INDEX(VendorList[Phase / Subproject],MATCH(CostTrack[[#This Row],[Vendor - Contract]],VendorList[Vendor / Org. with Contract ID],0)))</f>
        <v>--</v>
      </c>
      <c r="U826" s="243" t="str">
        <f ca="1">IF(CostTrack[[#This Row],[Vendor - Contract]]="","",INDEX(VendorList[Phase / Subproject 2],MATCH(CostTrack[[#This Row],[Vendor - Contract]],VendorList[Vendor / Org. with Contract ID],0)))</f>
        <v>--</v>
      </c>
      <c r="V826" s="243" t="str">
        <f ca="1">IF(CostTrack[[#This Row],[Vendor - Contract]]="","",INDEX(VendorList[Funding Source],MATCH(CostTrack[[#This Row],[Vendor - Contract]],VendorList[Vendor / Org. with Contract ID],0)))</f>
        <v>P-002360</v>
      </c>
      <c r="W826" s="267">
        <v>45782</v>
      </c>
      <c r="X826" s="251" t="str">
        <f ca="1">IF(CostTrack[[#This Row],[Release Date (CMS)]]="","*","")</f>
        <v/>
      </c>
      <c r="Y826" s="267" t="s">
        <v>67</v>
      </c>
      <c r="Z826" s="652" t="s">
        <v>1544</v>
      </c>
      <c r="AA826" s="245">
        <f ca="1">IF(OR(CostTrack[[#This Row],[Release Date (CMS)]]&gt;=DATE(VALUE(REPLACE(CostTrack[[#This Row],[Fiscal Period]],3,3,"")),3,1),CostTrack[[#This Row],[Release Date (CMS)]]&lt;DATE(VALUE(LEFT(CostTrack[[#This Row],[Fiscal Period]],4)),4,1)),1,0)</f>
        <v>0</v>
      </c>
      <c r="AB826" s="655"/>
      <c r="AC826" s="267"/>
      <c r="AD826" s="402" t="str">
        <f ca="1">IF(CostTrack[[#This Row],[Reconciled Amount]]="","",IF(CostTrack[[#This Row],[Value]]&lt;&gt;CostTrack[[#This Row],[Reconciled Amount]],"Yes","No"))</f>
        <v/>
      </c>
      <c r="AE826" s="654"/>
    </row>
    <row r="827" spans="2:31" ht="33.75" customHeight="1">
      <c r="B827" s="1367" t="s">
        <v>529</v>
      </c>
      <c r="C827" s="1368" t="s">
        <v>1545</v>
      </c>
      <c r="D827" s="1369">
        <v>45740</v>
      </c>
      <c r="E827" s="1370">
        <v>28122.05</v>
      </c>
      <c r="F827" s="1371" t="s">
        <v>100</v>
      </c>
      <c r="G827" s="1372">
        <f ca="1">ROUND(IF(CostTrack[[#This Row],[Holdback (Y/N/R)]]="Yes",CostTrack[[#This Row],[Value]]*-0.1,IF(CostTrack[[#This Row],[Holdback (Y/N/R)]]="Release",CostTrack[[#This Row],[Value]],0)),2)</f>
        <v>28122.05</v>
      </c>
      <c r="H827" s="1373">
        <f ca="1">IF(CostTrack[[#This Row],[Holdback (Y/N/R)]]="Release",CostTrack[[#This Row],[Value]],CostTrack[[#This Row],[Value]]+CostTrack[[#This Row],[Holdback Value]])</f>
        <v>28122.05</v>
      </c>
      <c r="I827" s="1374" t="s">
        <v>1546</v>
      </c>
      <c r="J827" s="1374"/>
      <c r="K827" s="1375"/>
      <c r="L827" s="1376">
        <v>45771</v>
      </c>
      <c r="M827" s="1377">
        <v>45790</v>
      </c>
      <c r="N827" s="1378" t="s">
        <v>175</v>
      </c>
      <c r="O827" s="1379" t="s">
        <v>106</v>
      </c>
      <c r="P827" s="1369">
        <v>45790</v>
      </c>
      <c r="Q827" s="1380" t="str">
        <f ca="1">IF(CostTrack[[#This Row],[Vendor - Contract]]="","",INDEX(VendorList[PA ID],MATCH(CostTrack[[#This Row],[Vendor - Contract]],VendorList[Vendor / Org. with Contract ID],0)))</f>
        <v>300.030.F1</v>
      </c>
      <c r="R827" s="1380" t="str">
        <f ca="1">IF(CostTrack[[#This Row],[Vendor - Contract]]="","",INDEX(VendorList[Primary Category],MATCH(CostTrack[[#This Row],[Vendor - Contract]],VendorList[Vendor / Org. with Contract ID],0)))</f>
        <v>Construction</v>
      </c>
      <c r="S827" s="1380" t="str">
        <f ca="1">IF(CostTrack[[#This Row],[Vendor - Contract]]="","",INDEX(VendorList[Secondary Category],MATCH(CostTrack[[#This Row],[Vendor - Contract]],VendorList[Vendor / Org. with Contract ID],0)))</f>
        <v>Prime Contractor</v>
      </c>
      <c r="T827" s="1380" t="str">
        <f ca="1">IF(CostTrack[[#This Row],[Vendor - Contract]]="","",INDEX(VendorList[Phase / Subproject],MATCH(CostTrack[[#This Row],[Vendor - Contract]],VendorList[Vendor / Org. with Contract ID],0)))</f>
        <v>--</v>
      </c>
      <c r="U827" s="1380" t="str">
        <f ca="1">IF(CostTrack[[#This Row],[Vendor - Contract]]="","",INDEX(VendorList[Phase / Subproject 2],MATCH(CostTrack[[#This Row],[Vendor - Contract]],VendorList[Vendor / Org. with Contract ID],0)))</f>
        <v>--</v>
      </c>
      <c r="V827" s="1380" t="str">
        <f ca="1">IF(CostTrack[[#This Row],[Vendor - Contract]]="","",INDEX(VendorList[Funding Source],MATCH(CostTrack[[#This Row],[Vendor - Contract]],VendorList[Vendor / Org. with Contract ID],0)))</f>
        <v>P-002360</v>
      </c>
      <c r="W827" s="1369">
        <v>45790</v>
      </c>
      <c r="X827" s="1381" t="str">
        <f ca="1">IF(CostTrack[[#This Row],[Release Date (CMS)]]="","*","")</f>
        <v/>
      </c>
      <c r="Y827" s="1369" t="s">
        <v>67</v>
      </c>
      <c r="Z827" s="1382" t="s">
        <v>1547</v>
      </c>
      <c r="AA827" s="1383">
        <f ca="1">IF(OR(CostTrack[[#This Row],[Release Date (CMS)]]&gt;=DATE(VALUE(REPLACE(CostTrack[[#This Row],[Fiscal Period]],3,3,"")),3,1),CostTrack[[#This Row],[Release Date (CMS)]]&lt;DATE(VALUE(LEFT(CostTrack[[#This Row],[Fiscal Period]],4)),4,1)),1,0)</f>
        <v>0</v>
      </c>
      <c r="AB827" s="1384"/>
      <c r="AC827" s="1369"/>
      <c r="AD827" s="402" t="str">
        <f ca="1">IF(CostTrack[[#This Row],[Reconciled Amount]]="","",IF(CostTrack[[#This Row],[Value]]&lt;&gt;CostTrack[[#This Row],[Reconciled Amount]],"Yes","No"))</f>
        <v/>
      </c>
      <c r="AE827" s="1370"/>
    </row>
    <row r="828" spans="2:31" ht="33.75" customHeight="1">
      <c r="B828" s="1367" t="s">
        <v>529</v>
      </c>
      <c r="C828" s="1368" t="s">
        <v>1548</v>
      </c>
      <c r="D828" s="1369">
        <v>45740</v>
      </c>
      <c r="E828" s="1370">
        <v>2013125.47</v>
      </c>
      <c r="F828" s="1371" t="s">
        <v>100</v>
      </c>
      <c r="G828" s="1372">
        <f ca="1">ROUND(IF(CostTrack[[#This Row],[Holdback (Y/N/R)]]="Yes",CostTrack[[#This Row],[Value]]*-0.1,IF(CostTrack[[#This Row],[Holdback (Y/N/R)]]="Release",CostTrack[[#This Row],[Value]],0)),2)</f>
        <v>2013125.47</v>
      </c>
      <c r="H828" s="1373">
        <f ca="1">IF(CostTrack[[#This Row],[Holdback (Y/N/R)]]="Release",CostTrack[[#This Row],[Value]],CostTrack[[#This Row],[Value]]+CostTrack[[#This Row],[Holdback Value]])</f>
        <v>2013125.47</v>
      </c>
      <c r="I828" s="1374" t="s">
        <v>1549</v>
      </c>
      <c r="J828" s="1374"/>
      <c r="K828" s="1375"/>
      <c r="L828" s="1376">
        <v>45761</v>
      </c>
      <c r="M828" s="1377">
        <v>45791</v>
      </c>
      <c r="N828" s="1378" t="s">
        <v>177</v>
      </c>
      <c r="O828" s="1379" t="s">
        <v>106</v>
      </c>
      <c r="P828" s="1369">
        <v>45791</v>
      </c>
      <c r="Q828" s="1380" t="str">
        <f ca="1">IF(CostTrack[[#This Row],[Vendor - Contract]]="","",INDEX(VendorList[PA ID],MATCH(CostTrack[[#This Row],[Vendor - Contract]],VendorList[Vendor / Org. with Contract ID],0)))</f>
        <v>300.030.F1</v>
      </c>
      <c r="R828" s="1380" t="str">
        <f ca="1">IF(CostTrack[[#This Row],[Vendor - Contract]]="","",INDEX(VendorList[Primary Category],MATCH(CostTrack[[#This Row],[Vendor - Contract]],VendorList[Vendor / Org. with Contract ID],0)))</f>
        <v>Construction</v>
      </c>
      <c r="S828" s="1380" t="str">
        <f ca="1">IF(CostTrack[[#This Row],[Vendor - Contract]]="","",INDEX(VendorList[Secondary Category],MATCH(CostTrack[[#This Row],[Vendor - Contract]],VendorList[Vendor / Org. with Contract ID],0)))</f>
        <v>Prime Contractor</v>
      </c>
      <c r="T828" s="1380" t="str">
        <f ca="1">IF(CostTrack[[#This Row],[Vendor - Contract]]="","",INDEX(VendorList[Phase / Subproject],MATCH(CostTrack[[#This Row],[Vendor - Contract]],VendorList[Vendor / Org. with Contract ID],0)))</f>
        <v>--</v>
      </c>
      <c r="U828" s="1380" t="str">
        <f ca="1">IF(CostTrack[[#This Row],[Vendor - Contract]]="","",INDEX(VendorList[Phase / Subproject 2],MATCH(CostTrack[[#This Row],[Vendor - Contract]],VendorList[Vendor / Org. with Contract ID],0)))</f>
        <v>--</v>
      </c>
      <c r="V828" s="1380" t="str">
        <f ca="1">IF(CostTrack[[#This Row],[Vendor - Contract]]="","",INDEX(VendorList[Funding Source],MATCH(CostTrack[[#This Row],[Vendor - Contract]],VendorList[Vendor / Org. with Contract ID],0)))</f>
        <v>P-002360</v>
      </c>
      <c r="W828" s="1369">
        <v>45791</v>
      </c>
      <c r="X828" s="1381" t="str">
        <f ca="1">IF(CostTrack[[#This Row],[Release Date (CMS)]]="","*","")</f>
        <v/>
      </c>
      <c r="Y828" s="1369" t="s">
        <v>67</v>
      </c>
      <c r="Z828" s="1382" t="s">
        <v>1550</v>
      </c>
      <c r="AA828" s="1383">
        <f ca="1">IF(OR(CostTrack[[#This Row],[Release Date (CMS)]]&gt;=DATE(VALUE(REPLACE(CostTrack[[#This Row],[Fiscal Period]],3,3,"")),3,1),CostTrack[[#This Row],[Release Date (CMS)]]&lt;DATE(VALUE(LEFT(CostTrack[[#This Row],[Fiscal Period]],4)),4,1)),1,0)</f>
        <v>0</v>
      </c>
      <c r="AB828" s="1384"/>
      <c r="AC828" s="1369"/>
      <c r="AD828" s="402" t="str">
        <f ca="1">IF(CostTrack[[#This Row],[Reconciled Amount]]="","",IF(CostTrack[[#This Row],[Value]]&lt;&gt;CostTrack[[#This Row],[Reconciled Amount]],"Yes","No"))</f>
        <v/>
      </c>
      <c r="AE828" s="1370"/>
    </row>
    <row r="829" spans="2:31" ht="33.75" customHeight="1">
      <c r="B829" s="1367" t="s">
        <v>1493</v>
      </c>
      <c r="C829" s="1368">
        <v>20490101</v>
      </c>
      <c r="D829" s="1369">
        <v>45777</v>
      </c>
      <c r="E829" s="1370">
        <v>60871.63</v>
      </c>
      <c r="F829" s="1371" t="s">
        <v>69</v>
      </c>
      <c r="G829" s="1372">
        <f ca="1">ROUND(IF(CostTrack[[#This Row],[Holdback (Y/N/R)]]="Yes",CostTrack[[#This Row],[Value]]*-0.1,IF(CostTrack[[#This Row],[Holdback (Y/N/R)]]="Release",CostTrack[[#This Row],[Value]],0)),2)</f>
        <v>0</v>
      </c>
      <c r="H829" s="1373">
        <f ca="1">IF(CostTrack[[#This Row],[Holdback (Y/N/R)]]="Release",CostTrack[[#This Row],[Value]],CostTrack[[#This Row],[Value]]+CostTrack[[#This Row],[Holdback Value]])</f>
        <v>60871.63</v>
      </c>
      <c r="I829" s="1374"/>
      <c r="J829" s="1374"/>
      <c r="K829" s="1375"/>
      <c r="L829" s="1376">
        <v>45790</v>
      </c>
      <c r="M829" s="1377">
        <v>45790</v>
      </c>
      <c r="N829" s="1378"/>
      <c r="O829" s="1379" t="s">
        <v>106</v>
      </c>
      <c r="P829" s="1369">
        <v>45791</v>
      </c>
      <c r="Q829" s="1380" t="str">
        <f ca="1">IF(CostTrack[[#This Row],[Vendor - Contract]]="","",INDEX(VendorList[PA ID],MATCH(CostTrack[[#This Row],[Vendor - Contract]],VendorList[Vendor / Org. with Contract ID],0)))</f>
        <v>200.050.F1</v>
      </c>
      <c r="R829" s="1380" t="str">
        <f ca="1">IF(CostTrack[[#This Row],[Vendor - Contract]]="","",INDEX(VendorList[Primary Category],MATCH(CostTrack[[#This Row],[Vendor - Contract]],VendorList[Vendor / Org. with Contract ID],0)))</f>
        <v>Professional Services</v>
      </c>
      <c r="S829" s="1380" t="str">
        <f ca="1">IF(CostTrack[[#This Row],[Vendor - Contract]]="","",INDEX(VendorList[Secondary Category],MATCH(CostTrack[[#This Row],[Vendor - Contract]],VendorList[Vendor / Org. with Contract ID],0)))</f>
        <v>Other Professional Services</v>
      </c>
      <c r="T829" s="1380" t="str">
        <f ca="1">IF(CostTrack[[#This Row],[Vendor - Contract]]="","",INDEX(VendorList[Phase / Subproject],MATCH(CostTrack[[#This Row],[Vendor - Contract]],VendorList[Vendor / Org. with Contract ID],0)))</f>
        <v>--</v>
      </c>
      <c r="U829" s="1380" t="str">
        <f ca="1">IF(CostTrack[[#This Row],[Vendor - Contract]]="","",INDEX(VendorList[Phase / Subproject 2],MATCH(CostTrack[[#This Row],[Vendor - Contract]],VendorList[Vendor / Org. with Contract ID],0)))</f>
        <v>--</v>
      </c>
      <c r="V829" s="1380" t="str">
        <f ca="1">IF(CostTrack[[#This Row],[Vendor - Contract]]="","",INDEX(VendorList[Funding Source],MATCH(CostTrack[[#This Row],[Vendor - Contract]],VendorList[Vendor / Org. with Contract ID],0)))</f>
        <v>P-002360</v>
      </c>
      <c r="W829" s="1369">
        <v>45791</v>
      </c>
      <c r="X829" s="1381" t="str">
        <f ca="1">IF(CostTrack[[#This Row],[Release Date (CMS)]]="","*","")</f>
        <v/>
      </c>
      <c r="Y829" s="1369" t="s">
        <v>67</v>
      </c>
      <c r="Z829" s="1382" t="s">
        <v>1551</v>
      </c>
      <c r="AA829" s="1383">
        <f ca="1">IF(OR(CostTrack[[#This Row],[Release Date (CMS)]]&gt;=DATE(VALUE(REPLACE(CostTrack[[#This Row],[Fiscal Period]],3,3,"")),3,1),CostTrack[[#This Row],[Release Date (CMS)]]&lt;DATE(VALUE(LEFT(CostTrack[[#This Row],[Fiscal Period]],4)),4,1)),1,0)</f>
        <v>0</v>
      </c>
      <c r="AB829" s="1384"/>
      <c r="AC829" s="1369"/>
      <c r="AD829" s="402" t="str">
        <f ca="1">IF(CostTrack[[#This Row],[Reconciled Amount]]="","",IF(CostTrack[[#This Row],[Value]]&lt;&gt;CostTrack[[#This Row],[Reconciled Amount]],"Yes","No"))</f>
        <v/>
      </c>
      <c r="AE829" s="1370"/>
    </row>
    <row r="830" spans="2:31" ht="33.75" customHeight="1">
      <c r="B830" s="1367" t="s">
        <v>527</v>
      </c>
      <c r="C830" s="1368" t="s">
        <v>1552</v>
      </c>
      <c r="D830" s="1369">
        <v>45777</v>
      </c>
      <c r="E830" s="1370">
        <v>53179.75</v>
      </c>
      <c r="F830" s="1371" t="s">
        <v>69</v>
      </c>
      <c r="G830" s="1372">
        <f ca="1">ROUND(IF(CostTrack[[#This Row],[Holdback (Y/N/R)]]="Yes",CostTrack[[#This Row],[Value]]*-0.1,IF(CostTrack[[#This Row],[Holdback (Y/N/R)]]="Release",CostTrack[[#This Row],[Value]],0)),2)</f>
        <v>0</v>
      </c>
      <c r="H830" s="1373">
        <f ca="1">IF(CostTrack[[#This Row],[Holdback (Y/N/R)]]="Release",CostTrack[[#This Row],[Value]],CostTrack[[#This Row],[Value]]+CostTrack[[#This Row],[Holdback Value]])</f>
        <v>53179.75</v>
      </c>
      <c r="I830" s="1374"/>
      <c r="J830" s="1374"/>
      <c r="K830" s="1375"/>
      <c r="L830" s="1376">
        <v>45786</v>
      </c>
      <c r="M830" s="1377">
        <v>45797</v>
      </c>
      <c r="N830" s="1378"/>
      <c r="O830" s="1379" t="s">
        <v>106</v>
      </c>
      <c r="P830" s="1369">
        <v>45799</v>
      </c>
      <c r="Q830" s="1380" t="str">
        <f ca="1">IF(CostTrack[[#This Row],[Vendor - Contract]]="","",INDEX(VendorList[PA ID],MATCH(CostTrack[[#This Row],[Vendor - Contract]],VendorList[Vendor / Org. with Contract ID],0)))</f>
        <v>200.010.F1</v>
      </c>
      <c r="R830" s="1380" t="str">
        <f ca="1">IF(CostTrack[[#This Row],[Vendor - Contract]]="","",INDEX(VendorList[Primary Category],MATCH(CostTrack[[#This Row],[Vendor - Contract]],VendorList[Vendor / Org. with Contract ID],0)))</f>
        <v>Professional Services</v>
      </c>
      <c r="S830" s="1380" t="str">
        <f ca="1">IF(CostTrack[[#This Row],[Vendor - Contract]]="","",INDEX(VendorList[Secondary Category],MATCH(CostTrack[[#This Row],[Vendor - Contract]],VendorList[Vendor / Org. with Contract ID],0)))</f>
        <v>Prime Consultant</v>
      </c>
      <c r="T830" s="1380" t="str">
        <f ca="1">IF(CostTrack[[#This Row],[Vendor - Contract]]="","",INDEX(VendorList[Phase / Subproject],MATCH(CostTrack[[#This Row],[Vendor - Contract]],VendorList[Vendor / Org. with Contract ID],0)))</f>
        <v>--</v>
      </c>
      <c r="U830" s="1380" t="str">
        <f ca="1">IF(CostTrack[[#This Row],[Vendor - Contract]]="","",INDEX(VendorList[Phase / Subproject 2],MATCH(CostTrack[[#This Row],[Vendor - Contract]],VendorList[Vendor / Org. with Contract ID],0)))</f>
        <v>--</v>
      </c>
      <c r="V830" s="1380" t="str">
        <f ca="1">IF(CostTrack[[#This Row],[Vendor - Contract]]="","",INDEX(VendorList[Funding Source],MATCH(CostTrack[[#This Row],[Vendor - Contract]],VendorList[Vendor / Org. with Contract ID],0)))</f>
        <v>P-002360</v>
      </c>
      <c r="W830" s="1369">
        <v>45799</v>
      </c>
      <c r="X830" s="1381" t="str">
        <f ca="1">IF(CostTrack[[#This Row],[Release Date (CMS)]]="","*","")</f>
        <v/>
      </c>
      <c r="Y830" s="1369" t="s">
        <v>67</v>
      </c>
      <c r="Z830" s="1382" t="s">
        <v>1553</v>
      </c>
      <c r="AA830" s="1383">
        <f ca="1">IF(OR(CostTrack[[#This Row],[Release Date (CMS)]]&gt;=DATE(VALUE(REPLACE(CostTrack[[#This Row],[Fiscal Period]],3,3,"")),3,1),CostTrack[[#This Row],[Release Date (CMS)]]&lt;DATE(VALUE(LEFT(CostTrack[[#This Row],[Fiscal Period]],4)),4,1)),1,0)</f>
        <v>0</v>
      </c>
      <c r="AB830" s="1384"/>
      <c r="AC830" s="1369"/>
      <c r="AD830" s="402" t="str">
        <f ca="1">IF(CostTrack[[#This Row],[Reconciled Amount]]="","",IF(CostTrack[[#This Row],[Value]]&lt;&gt;CostTrack[[#This Row],[Reconciled Amount]],"Yes","No"))</f>
        <v/>
      </c>
      <c r="AE830" s="1370"/>
    </row>
    <row r="831" spans="2:31" ht="33.75" customHeight="1">
      <c r="B831" s="1324" t="s">
        <v>1493</v>
      </c>
      <c r="C831" s="1334">
        <v>20452569</v>
      </c>
      <c r="D831" s="1308">
        <v>45716</v>
      </c>
      <c r="E831" s="658">
        <v>47265.03</v>
      </c>
      <c r="F831" s="1309" t="s">
        <v>69</v>
      </c>
      <c r="G831" s="1310">
        <f ca="1">ROUND(IF(CostTrack[[#This Row],[Holdback (Y/N/R)]]="Yes",CostTrack[[#This Row],[Value]]*-0.1,IF(CostTrack[[#This Row],[Holdback (Y/N/R)]]="Release",CostTrack[[#This Row],[Value]],0)),2)</f>
        <v>0</v>
      </c>
      <c r="H831" s="1311">
        <f ca="1">IF(CostTrack[[#This Row],[Holdback (Y/N/R)]]="Release",CostTrack[[#This Row],[Value]],CostTrack[[#This Row],[Value]]+CostTrack[[#This Row],[Holdback Value]])</f>
        <v>47265.03</v>
      </c>
      <c r="I831" s="1312"/>
      <c r="J831" s="1312"/>
      <c r="K831" s="1313"/>
      <c r="L831" s="1325">
        <v>45726</v>
      </c>
      <c r="M831" s="1326">
        <v>45803</v>
      </c>
      <c r="N831" s="1327" t="s">
        <v>181</v>
      </c>
      <c r="O831" s="1328" t="s">
        <v>106</v>
      </c>
      <c r="P831" s="1308">
        <v>45800</v>
      </c>
      <c r="Q831" s="1314" t="str">
        <f ca="1">IF(CostTrack[[#This Row],[Vendor - Contract]]="","",INDEX(VendorList[PA ID],MATCH(CostTrack[[#This Row],[Vendor - Contract]],VendorList[Vendor / Org. with Contract ID],0)))</f>
        <v>200.050.F1</v>
      </c>
      <c r="R831" s="1314" t="str">
        <f ca="1">IF(CostTrack[[#This Row],[Vendor - Contract]]="","",INDEX(VendorList[Primary Category],MATCH(CostTrack[[#This Row],[Vendor - Contract]],VendorList[Vendor / Org. with Contract ID],0)))</f>
        <v>Professional Services</v>
      </c>
      <c r="S831" s="1314" t="str">
        <f ca="1">IF(CostTrack[[#This Row],[Vendor - Contract]]="","",INDEX(VendorList[Secondary Category],MATCH(CostTrack[[#This Row],[Vendor - Contract]],VendorList[Vendor / Org. with Contract ID],0)))</f>
        <v>Other Professional Services</v>
      </c>
      <c r="T831" s="1314" t="str">
        <f ca="1">IF(CostTrack[[#This Row],[Vendor - Contract]]="","",INDEX(VendorList[Phase / Subproject],MATCH(CostTrack[[#This Row],[Vendor - Contract]],VendorList[Vendor / Org. with Contract ID],0)))</f>
        <v>--</v>
      </c>
      <c r="U831" s="1314" t="str">
        <f ca="1">IF(CostTrack[[#This Row],[Vendor - Contract]]="","",INDEX(VendorList[Phase / Subproject 2],MATCH(CostTrack[[#This Row],[Vendor - Contract]],VendorList[Vendor / Org. with Contract ID],0)))</f>
        <v>--</v>
      </c>
      <c r="V831" s="1314" t="str">
        <f ca="1">IF(CostTrack[[#This Row],[Vendor - Contract]]="","",INDEX(VendorList[Funding Source],MATCH(CostTrack[[#This Row],[Vendor - Contract]],VendorList[Vendor / Org. with Contract ID],0)))</f>
        <v>P-002360</v>
      </c>
      <c r="W831" s="1308">
        <v>45803</v>
      </c>
      <c r="X831" s="1315" t="str">
        <f ca="1">IF(CostTrack[[#This Row],[Release Date (CMS)]]="","*","")</f>
        <v/>
      </c>
      <c r="Y831" s="1308" t="s">
        <v>67</v>
      </c>
      <c r="Z831" s="652" t="s">
        <v>1554</v>
      </c>
      <c r="AA831" s="1316">
        <f ca="1">IF(OR(CostTrack[[#This Row],[Release Date (CMS)]]&gt;=DATE(VALUE(REPLACE(CostTrack[[#This Row],[Fiscal Period]],3,3,"")),3,1),CostTrack[[#This Row],[Release Date (CMS)]]&lt;DATE(VALUE(LEFT(CostTrack[[#This Row],[Fiscal Period]],4)),4,1)),1,0)</f>
        <v>0</v>
      </c>
      <c r="AB831" s="1317"/>
      <c r="AC831" s="1308"/>
      <c r="AD831" s="402" t="str">
        <f ca="1">IF(CostTrack[[#This Row],[Reconciled Amount]]="","",IF(CostTrack[[#This Row],[Value]]&lt;&gt;CostTrack[[#This Row],[Reconciled Amount]],"Yes","No"))</f>
        <v/>
      </c>
      <c r="AE831" s="658"/>
    </row>
    <row r="832" spans="2:31" ht="17.649999999999999" customHeight="1">
      <c r="B832" s="1324"/>
      <c r="C832" s="1334"/>
      <c r="D832" s="1308"/>
      <c r="E832" s="658"/>
      <c r="F832" s="1309"/>
      <c r="G832" s="1310">
        <f ca="1">ROUND(IF(CostTrack[[#This Row],[Holdback (Y/N/R)]]="Yes",CostTrack[[#This Row],[Value]]*-0.1,IF(CostTrack[[#This Row],[Holdback (Y/N/R)]]="Release",CostTrack[[#This Row],[Value]],0)),2)</f>
        <v>0</v>
      </c>
      <c r="H832" s="1311">
        <f ca="1">IF(CostTrack[[#This Row],[Holdback (Y/N/R)]]="Release",CostTrack[[#This Row],[Value]],CostTrack[[#This Row],[Value]]+CostTrack[[#This Row],[Holdback Value]])</f>
        <v>0</v>
      </c>
      <c r="I832" s="1312"/>
      <c r="J832" s="1312"/>
      <c r="K832" s="1313"/>
      <c r="L832" s="1325"/>
      <c r="M832" s="1326"/>
      <c r="N832" s="1327"/>
      <c r="O832" s="1328"/>
      <c r="P832" s="1308"/>
      <c r="Q832" s="1314" t="str">
        <f ca="1">IF(CostTrack[[#This Row],[Vendor - Contract]]="","",INDEX(VendorList[PA ID],MATCH(CostTrack[[#This Row],[Vendor - Contract]],VendorList[Vendor / Org. with Contract ID],0)))</f>
        <v/>
      </c>
      <c r="R832" s="1314" t="str">
        <f ca="1">IF(CostTrack[[#This Row],[Vendor - Contract]]="","",INDEX(VendorList[Primary Category],MATCH(CostTrack[[#This Row],[Vendor - Contract]],VendorList[Vendor / Org. with Contract ID],0)))</f>
        <v/>
      </c>
      <c r="S832" s="1314" t="str">
        <f ca="1">IF(CostTrack[[#This Row],[Vendor - Contract]]="","",INDEX(VendorList[Secondary Category],MATCH(CostTrack[[#This Row],[Vendor - Contract]],VendorList[Vendor / Org. with Contract ID],0)))</f>
        <v/>
      </c>
      <c r="T832" s="1314" t="str">
        <f ca="1">IF(CostTrack[[#This Row],[Vendor - Contract]]="","",INDEX(VendorList[Phase / Subproject],MATCH(CostTrack[[#This Row],[Vendor - Contract]],VendorList[Vendor / Org. with Contract ID],0)))</f>
        <v/>
      </c>
      <c r="U832" s="1314" t="str">
        <f ca="1">IF(CostTrack[[#This Row],[Vendor - Contract]]="","",INDEX(VendorList[Phase / Subproject 2],MATCH(CostTrack[[#This Row],[Vendor - Contract]],VendorList[Vendor / Org. with Contract ID],0)))</f>
        <v/>
      </c>
      <c r="V832" s="1314" t="str">
        <f ca="1">IF(CostTrack[[#This Row],[Vendor - Contract]]="","",INDEX(VendorList[Funding Source],MATCH(CostTrack[[#This Row],[Vendor - Contract]],VendorList[Vendor / Org. with Contract ID],0)))</f>
        <v/>
      </c>
      <c r="W832" s="1308"/>
      <c r="X832" s="1315" t="str">
        <f ca="1">IF(CostTrack[[#This Row],[Release Date (CMS)]]="","*","")</f>
        <v>*</v>
      </c>
      <c r="Y832" s="1308"/>
      <c r="Z832" s="713"/>
      <c r="AA832" s="1316" t="e">
        <f ca="1">IF(OR(CostTrack[[#This Row],[Release Date (CMS)]]&gt;=DATE(VALUE(REPLACE(CostTrack[[#This Row],[Fiscal Period]],3,3,"")),3,1),CostTrack[[#This Row],[Release Date (CMS)]]&lt;DATE(VALUE(LEFT(CostTrack[[#This Row],[Fiscal Period]],4)),4,1)),1,0)</f>
        <v>#VALUE!</v>
      </c>
      <c r="AB832" s="1317"/>
      <c r="AC832" s="1308"/>
      <c r="AD832" s="402" t="str">
        <f ca="1">IF(CostTrack[[#This Row],[Reconciled Amount]]="","",IF(CostTrack[[#This Row],[Value]]&lt;&gt;CostTrack[[#This Row],[Reconciled Amount]],"Yes","No"))</f>
        <v/>
      </c>
      <c r="AE832" s="658"/>
    </row>
    <row r="833" spans="2:31">
      <c r="B833" s="885"/>
      <c r="C833" s="886"/>
      <c r="D833" s="885" t="s">
        <v>362</v>
      </c>
      <c r="E833" s="280">
        <f ca="1">SUBTOTAL(109,CostTrack[Value])</f>
        <v>197908423.90000013</v>
      </c>
      <c r="F833" s="244"/>
      <c r="G833" s="280">
        <f ca="1">SUBTOTAL(109,CostTrack[Holdback Value])</f>
        <v>-9.9999990779906511E-3</v>
      </c>
      <c r="H833" s="280">
        <f ca="1">SUBTOTAL(109,CostTrack[Payable])</f>
        <v>182727345.3900001</v>
      </c>
      <c r="I833" s="244"/>
      <c r="J833" s="244"/>
      <c r="K833" s="244"/>
      <c r="L833" s="244"/>
      <c r="M833" s="244"/>
      <c r="N833" s="244"/>
      <c r="O833" s="244"/>
      <c r="P833" s="244"/>
      <c r="Q833" s="244"/>
      <c r="R833" s="244"/>
      <c r="S833" s="244"/>
      <c r="T833" s="244"/>
      <c r="U833" s="244"/>
      <c r="V833" s="244"/>
      <c r="W833" s="244"/>
      <c r="X833" s="244"/>
      <c r="Y833" s="244"/>
      <c r="Z833" s="244"/>
      <c r="AA833" s="244"/>
      <c r="AB833" s="280">
        <f ca="1">SUBTOTAL(109,CostTrack[Reconciled Amount])</f>
        <v>195577862.74000013</v>
      </c>
      <c r="AC833" s="244"/>
      <c r="AD833" s="244"/>
      <c r="AE833" s="244"/>
    </row>
    <row r="834" spans="2:31" s="56" customFormat="1">
      <c r="B834" s="409"/>
      <c r="C834" s="255"/>
      <c r="D834" s="254" t="s">
        <v>274</v>
      </c>
      <c r="E834" s="477">
        <f ca="1">ROUND(SUM(CostTrack[Value]),2)</f>
        <v>197908423.90000001</v>
      </c>
      <c r="F834" s="477"/>
      <c r="G834" s="477">
        <f ca="1">ROUND(SUM(CostTrack[Holdback Value]),2)</f>
        <v>-0.01</v>
      </c>
      <c r="H834" s="477">
        <f ca="1">ROUND(SUM(CostTrack[Payable]),2)</f>
        <v>182727345.38999999</v>
      </c>
      <c r="I834" s="254"/>
      <c r="J834" s="254"/>
      <c r="K834" s="254"/>
      <c r="L834" s="254"/>
      <c r="M834" s="254"/>
      <c r="N834" s="254"/>
      <c r="O834" s="254"/>
      <c r="P834" s="254"/>
      <c r="Q834" s="254"/>
      <c r="R834" s="254"/>
      <c r="S834" s="254"/>
      <c r="T834" s="254"/>
      <c r="U834" s="255"/>
      <c r="V834" s="254"/>
      <c r="W834" s="256"/>
      <c r="X834" s="256"/>
      <c r="Y834" s="256"/>
      <c r="Z834" s="256"/>
      <c r="AA834" s="256"/>
      <c r="AB834" s="477">
        <f ca="1">ROUND(SUM(CostTrack[Reconciled Amount]),2)</f>
        <v>195577862.74000001</v>
      </c>
      <c r="AC834" s="256"/>
      <c r="AD834" s="257"/>
    </row>
    <row r="835" spans="2:31" s="56" customFormat="1" ht="15" customHeight="1">
      <c r="B835" s="3"/>
      <c r="C835" s="1"/>
      <c r="D835" s="255" t="s">
        <v>1555</v>
      </c>
      <c r="E835" s="476">
        <f ca="1">ROUND(SUMIFS(CostTrack[Value],CostTrack[Holdback (Y/N/R)],"&lt;&gt;Release"),2)</f>
        <v>182727345.40000001</v>
      </c>
      <c r="F835" s="2"/>
      <c r="G835" s="1"/>
      <c r="H835" s="1"/>
      <c r="I835" s="1"/>
      <c r="J835" s="1"/>
      <c r="K835" s="1"/>
      <c r="L835" s="1"/>
      <c r="M835" s="1"/>
      <c r="N835" s="1"/>
      <c r="O835" s="1"/>
      <c r="P835" s="2"/>
      <c r="Q835" s="3"/>
      <c r="R835" s="3"/>
      <c r="S835" s="3"/>
      <c r="Y835" s="1"/>
    </row>
    <row r="836" spans="2:31">
      <c r="B836" s="136"/>
      <c r="C836" s="137"/>
      <c r="D836" s="56"/>
      <c r="E836" s="138"/>
      <c r="F836" s="56"/>
      <c r="G836" s="139"/>
      <c r="H836" s="138"/>
      <c r="I836" s="56"/>
      <c r="J836" s="56"/>
      <c r="K836" s="56"/>
      <c r="L836" s="56"/>
      <c r="M836" s="56"/>
      <c r="N836" s="56"/>
      <c r="O836" s="137"/>
      <c r="P836" s="6"/>
      <c r="Q836" s="136"/>
      <c r="R836" s="136"/>
      <c r="S836" s="56"/>
      <c r="T836" s="56"/>
      <c r="U836" s="56"/>
      <c r="V836" s="56"/>
      <c r="W836" s="56"/>
      <c r="X836" s="56"/>
      <c r="Y836" s="56"/>
      <c r="Z836" s="56"/>
      <c r="AA836" s="56"/>
      <c r="AB836" s="56"/>
    </row>
    <row r="837" spans="2:31">
      <c r="B837" s="136"/>
      <c r="C837" s="56"/>
      <c r="D837" s="56"/>
      <c r="E837" s="138"/>
      <c r="F837" s="56"/>
      <c r="G837" s="139"/>
      <c r="H837" s="138"/>
      <c r="I837" s="56"/>
      <c r="J837" s="56"/>
      <c r="K837" s="56"/>
      <c r="L837" s="56"/>
      <c r="M837" s="56"/>
      <c r="N837" s="56"/>
      <c r="O837" s="137"/>
      <c r="P837" s="6"/>
      <c r="Q837" s="136"/>
      <c r="R837" s="136"/>
      <c r="S837" s="56"/>
      <c r="Y837" s="56"/>
    </row>
    <row r="843" spans="2:31">
      <c r="E843" s="508"/>
    </row>
  </sheetData>
  <sheetProtection insertRows="0" autoFilter="0"/>
  <mergeCells count="3">
    <mergeCell ref="I4:J4"/>
    <mergeCell ref="AB11:AD11"/>
    <mergeCell ref="J9:L9"/>
  </mergeCells>
  <phoneticPr fontId="76" type="noConversion"/>
  <conditionalFormatting sqref="L6">
    <cfRule type="cellIs" dxfId="488" priority="2" operator="notEqual">
      <formula>0</formula>
    </cfRule>
  </conditionalFormatting>
  <conditionalFormatting sqref="AD13:AD832">
    <cfRule type="cellIs" dxfId="487" priority="1" operator="equal">
      <formula>"Yes"</formula>
    </cfRule>
  </conditionalFormatting>
  <dataValidations count="6">
    <dataValidation type="list" allowBlank="1" showInputMessage="1" showErrorMessage="1" sqref="J297:J314" xr:uid="{00000000-0002-0000-0600-000000000000}">
      <formula1>$F$7:$F$187</formula1>
    </dataValidation>
    <dataValidation type="list" allowBlank="1" showInputMessage="1" showErrorMessage="1" sqref="B6:B9" xr:uid="{00000000-0002-0000-0600-000001000000}">
      <formula1>VendorListFullname</formula1>
    </dataValidation>
    <dataValidation type="date" operator="greaterThanOrEqual" allowBlank="1" showInputMessage="1" showErrorMessage="1" error="Please enter a valid date." sqref="K6 W231:W232 W13:W215 W263:W264 L293 W288:W302 P13:P303 P306:P321 W304:W314 M451:M457 P451:P457 W451:W457 D13:D476 P530:P540 W530:W540 D479:D564 AC13:AC832" xr:uid="{00000000-0002-0000-0600-000002000000}">
      <formula1>1</formula1>
    </dataValidation>
    <dataValidation type="date" operator="greaterThanOrEqual" allowBlank="1" showInputMessage="1" showErrorMessage="1" errorTitle="Invalid Date" error="Please enter a valid date." sqref="L13:L292 P304:P305 L294:L304 L305:M321 M13:M304" xr:uid="{00000000-0002-0000-0600-000003000000}">
      <formula1>1</formula1>
    </dataValidation>
    <dataValidation type="list" allowBlank="1" showInputMessage="1" showErrorMessage="1" sqref="B13:B832" xr:uid="{00000000-0002-0000-0600-000004000000}">
      <formula1>OpenVendorList</formula1>
    </dataValidation>
    <dataValidation type="list" allowBlank="1" showInputMessage="1" showErrorMessage="1" errorTitle="Invalid Code" error="Please select an error code from the dropdown." sqref="N13:N832" xr:uid="{00000000-0002-0000-0600-000005000000}">
      <formula1>ErrCodes</formula1>
    </dataValidation>
  </dataValidations>
  <pageMargins left="0.23622047244094491" right="0.23622047244094491" top="0.35433070866141736" bottom="0.35433070866141736" header="0.31496062992125984" footer="0.31496062992125984"/>
  <pageSetup paperSize="17" scale="46" fitToHeight="10" orientation="landscape" r:id="rId1"/>
  <headerFooter>
    <oddFooter>&amp;L&amp;1#&amp;"Calibri"&amp;11&amp;K000000Classification: Protected A</oddFooter>
  </headerFooter>
  <drawing r:id="rId2"/>
  <legacyDrawing r:id="rId3"/>
  <tableParts count="3">
    <tablePart r:id="rId4"/>
    <tablePart r:id="rId5"/>
    <tablePart r:id="rId6"/>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6000000}">
          <x14:formula1>
            <xm:f>Validations!$F$11:$F$33</xm:f>
          </x14:formula1>
          <xm:sqref>J13:J296</xm:sqref>
        </x14:dataValidation>
        <x14:dataValidation type="list" allowBlank="1" showInputMessage="1" showErrorMessage="1" xr:uid="{00000000-0002-0000-0600-000009000000}">
          <x14:formula1>
            <xm:f>Validations!$B$31:$B$34</xm:f>
          </x14:formula1>
          <xm:sqref>O13:O832</xm:sqref>
        </x14:dataValidation>
        <x14:dataValidation type="list" allowBlank="1" showInputMessage="1" showErrorMessage="1" xr:uid="{00000000-0002-0000-0600-000008000000}">
          <x14:formula1>
            <xm:f>Validations!$B$26:$B$28</xm:f>
          </x14:formula1>
          <xm:sqref>F13:F832</xm:sqref>
        </x14:dataValidation>
        <x14:dataValidation type="list" allowBlank="1" showInputMessage="1" showErrorMessage="1" xr:uid="{00000000-0002-0000-0600-000007000000}">
          <x14:formula1>
            <xm:f>Validations!$G$12:$G$33</xm:f>
          </x14:formula1>
          <xm:sqref>Y13:Y832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tabColor rgb="FFC00000"/>
  </sheetPr>
  <dimension ref="A1:L169"/>
  <sheetViews>
    <sheetView workbookViewId="0">
      <selection activeCell="L10" sqref="L10"/>
    </sheetView>
  </sheetViews>
  <sheetFormatPr defaultRowHeight="14.1"/>
  <cols>
    <col min="1" max="1" width="11.42578125" customWidth="1"/>
    <col min="2" max="2" width="13.42578125" customWidth="1"/>
    <col min="5" max="5" width="10.42578125" customWidth="1"/>
    <col min="6" max="6" width="13.42578125" bestFit="1" customWidth="1"/>
    <col min="7" max="8" width="13.42578125" customWidth="1"/>
    <col min="9" max="9" width="16.42578125" bestFit="1" customWidth="1"/>
    <col min="10" max="10" width="15.42578125" customWidth="1"/>
  </cols>
  <sheetData>
    <row r="1" spans="1:12">
      <c r="A1" t="s">
        <v>10</v>
      </c>
      <c r="B1" t="s">
        <v>1556</v>
      </c>
      <c r="C1" t="s">
        <v>1557</v>
      </c>
      <c r="D1" t="s">
        <v>1558</v>
      </c>
      <c r="E1" t="s">
        <v>1559</v>
      </c>
      <c r="F1" t="s">
        <v>1560</v>
      </c>
      <c r="G1" t="s">
        <v>1561</v>
      </c>
      <c r="H1" t="s">
        <v>1562</v>
      </c>
      <c r="I1" t="s">
        <v>1563</v>
      </c>
      <c r="J1" t="s">
        <v>1564</v>
      </c>
      <c r="L1" s="227"/>
    </row>
    <row r="2" spans="1:12">
      <c r="A2" t="str">
        <f ca="1">IF(OFFSET(Cashflows[#This Row],-1,0)=Cashflows[[#Headers],[Fiscal Year]],'Target Tracking'!$E$17,IF(Cashflows[[#This Row],[Month Num]]&lt;&gt;4,OFFSET(Cashflows[#This Row],-1,0),CONCATENATE(LEFT(OFFSET(Cashflows[#This Row],-1,0),4)+1,"-",RIGHT(OFFSET(Cashflows[#This Row],-1,0),2)+1)))</f>
        <v>2017-18</v>
      </c>
      <c r="B2">
        <f ca="1">IF(OFFSET(Cashflows[#This Row],-1,0)=Cashflows[[#Headers],[Month Num]],4,MONTH(EDATE(DATE(2000,OFFSET(Cashflows[#This Row],-1,0),1),1)))</f>
        <v>4</v>
      </c>
      <c r="C2" t="str">
        <f ca="1">IF(IFERROR(INDEX('Target Tracking'!$19:$19,,MATCH(Cashflows[[#This Row],[Fiscal Year]],'Target Tracking'!$17:$17,0)),0)&gt;0,TEXT(DATE(IF(Cashflows[[#This Row],[Month Num]]&gt;=4,LEFT(Cashflows[[#This Row],[Fiscal Year]],4),"20" &amp; RIGHT(Cashflows[[#This Row],[Fiscal Year]],2)),Cashflows[[#This Row],[Month Num]],1),"mmm yyyy"),"")</f>
        <v>Apr 2017</v>
      </c>
      <c r="D2">
        <f ca="1">IF(Cashflows[[#This Row],[Month Num]]=4,-12,OFFSET(Cashflows[#This Row],-1,0)+1)</f>
        <v>-12</v>
      </c>
      <c r="E2">
        <f ca="1">IF(Cashflows[[#This Row],[Month]]="","",IFERROR(OFFSET(INDEX(OFFSET(Cashflow!$U$7,0,0,,CELL("col",CWS_Total) - CELL("col",Cashflow!$U$7)),MATCH(Cashflows[[#This Row],[MonthDate]],OFFSET(Cashflow!$U$7,0,0,,CELL("col",CWS_Total) - CELL("col",Cashflow!$U$7)),0)),MATCH("Total",Cashflow!$B:$B,0)-7,0),0))</f>
        <v>0</v>
      </c>
      <c r="F2" s="228">
        <f ca="1">IFERROR(Cashflows[[#This Row],[Cashflow]]+IF(OFFSET(Cashflows[#This Row],-1,0)=Cashflows[[#Headers],[Cumulative]],0,IF(OFFSET(Cashflows[#This Row],-1,0)="",0,OFFSET(Cashflows[#This Row],-1,0))),"")</f>
        <v>0</v>
      </c>
      <c r="G2" s="228">
        <f ca="1">IF(Cashflows[[#This Row],[MonthDate]]&lt;&gt;"",INDEX(Cashflow!$U$142:$FQ$142,MATCH(Cashflows[[#This Row],[MonthDate]],Cashflow!$U$7:$FQ$7,0)),"")</f>
        <v>0</v>
      </c>
      <c r="H2" s="228">
        <f ca="1">IF(Cashflows[[#This Row],[MonthDate]]&lt;&gt;"",INDEX(Cashflow!$U$143:$FQ$143,MATCH(Cashflows[[#This Row],[MonthDate]],Cashflow!$U$7:$FQ$7,0)),"")</f>
        <v>0</v>
      </c>
      <c r="I2" s="226">
        <f ca="1">IFERROR(DATEVALUE(Cashflows[[#This Row],[Month]]),"")</f>
        <v>42826</v>
      </c>
      <c r="J2" s="228" t="str">
        <f ca="1">IF(EOMONTH(TODAY(),-1)+1=Cashflows[[#This Row],[MonthDate]],MAX(Cashflows[Cumulative]),"")</f>
        <v/>
      </c>
    </row>
    <row r="3" spans="1:12">
      <c r="A3" t="str">
        <f ca="1">IF(OFFSET(Cashflows[#This Row],-1,0)=Cashflows[[#Headers],[Fiscal Year]],'Target Tracking'!$E$17,IF(Cashflows[[#This Row],[Month Num]]&lt;&gt;4,OFFSET(Cashflows[#This Row],-1,0),CONCATENATE(LEFT(OFFSET(Cashflows[#This Row],-1,0),4)+1,"-",RIGHT(OFFSET(Cashflows[#This Row],-1,0),2)+1)))</f>
        <v>2017-18</v>
      </c>
      <c r="B3">
        <f ca="1">IF(OFFSET(Cashflows[#This Row],-1,0)=Cashflows[[#Headers],[Month Num]],4,MONTH(EDATE(DATE(2000,OFFSET(Cashflows[#This Row],-1,0),1),1)))</f>
        <v>5</v>
      </c>
      <c r="C3" t="str">
        <f ca="1">IF(IFERROR(INDEX('Target Tracking'!$19:$19,,MATCH(Cashflows[[#This Row],[Fiscal Year]],'Target Tracking'!$17:$17,0)),0)&gt;0,TEXT(DATE(IF(Cashflows[[#This Row],[Month Num]]&gt;=4,LEFT(Cashflows[[#This Row],[Fiscal Year]],4),"20" &amp; RIGHT(Cashflows[[#This Row],[Fiscal Year]],2)),Cashflows[[#This Row],[Month Num]],1),"mmm yyyy"),"")</f>
        <v>May 2017</v>
      </c>
      <c r="D3">
        <f ca="1">IF(Cashflows[[#This Row],[Month Num]]=4,-12,OFFSET(Cashflows[#This Row],-1,0)+1)</f>
        <v>-11</v>
      </c>
      <c r="E3">
        <f ca="1">IF(Cashflows[[#This Row],[Month]]="","",IFERROR(OFFSET(INDEX(OFFSET(Cashflow!$U$7,0,0,,CELL("col",CWS_Total) - CELL("col",Cashflow!$U$7)),MATCH(Cashflows[[#This Row],[MonthDate]],OFFSET(Cashflow!$U$7,0,0,,CELL("col",CWS_Total) - CELL("col",Cashflow!$U$7)),0)),MATCH("Total",Cashflow!$B:$B,0)-7,0),0))</f>
        <v>0</v>
      </c>
      <c r="F3" s="228">
        <f ca="1">IFERROR(Cashflows[[#This Row],[Cashflow]]+IF(OFFSET(Cashflows[#This Row],-1,0)=Cashflows[[#Headers],[Cumulative]],0,IF(OFFSET(Cashflows[#This Row],-1,0)="",0,OFFSET(Cashflows[#This Row],-1,0))),"")</f>
        <v>0</v>
      </c>
      <c r="G3" s="228">
        <f ca="1">IF(Cashflows[[#This Row],[MonthDate]]&lt;&gt;"",INDEX(Cashflow!$U$142:$FQ$142,MATCH(Cashflows[[#This Row],[MonthDate]],Cashflow!$U$7:$FQ$7,0)),"")</f>
        <v>0</v>
      </c>
      <c r="H3" s="228">
        <f ca="1">IF(Cashflows[[#This Row],[MonthDate]]&lt;&gt;"",INDEX(Cashflow!$U$143:$FQ$143,MATCH(Cashflows[[#This Row],[MonthDate]],Cashflow!$U$7:$FQ$7,0)),"")</f>
        <v>0</v>
      </c>
      <c r="I3" s="226">
        <f ca="1">IFERROR(DATEVALUE(Cashflows[[#This Row],[Month]]),"")</f>
        <v>42856</v>
      </c>
      <c r="J3" s="228" t="str">
        <f ca="1">IF(EOMONTH(TODAY(),-1)+1=Cashflows[[#This Row],[MonthDate]],MAX(Cashflows[Cumulative]),"")</f>
        <v/>
      </c>
    </row>
    <row r="4" spans="1:12">
      <c r="A4" t="str">
        <f ca="1">IF(OFFSET(Cashflows[#This Row],-1,0)=Cashflows[[#Headers],[Fiscal Year]],'Target Tracking'!$E$17,IF(Cashflows[[#This Row],[Month Num]]&lt;&gt;4,OFFSET(Cashflows[#This Row],-1,0),CONCATENATE(LEFT(OFFSET(Cashflows[#This Row],-1,0),4)+1,"-",RIGHT(OFFSET(Cashflows[#This Row],-1,0),2)+1)))</f>
        <v>2017-18</v>
      </c>
      <c r="B4">
        <f ca="1">IF(OFFSET(Cashflows[#This Row],-1,0)=Cashflows[[#Headers],[Month Num]],4,MONTH(EDATE(DATE(2000,OFFSET(Cashflows[#This Row],-1,0),1),1)))</f>
        <v>6</v>
      </c>
      <c r="C4" t="str">
        <f ca="1">IF(IFERROR(INDEX('Target Tracking'!$19:$19,,MATCH(Cashflows[[#This Row],[Fiscal Year]],'Target Tracking'!$17:$17,0)),0)&gt;0,TEXT(DATE(IF(Cashflows[[#This Row],[Month Num]]&gt;=4,LEFT(Cashflows[[#This Row],[Fiscal Year]],4),"20" &amp; RIGHT(Cashflows[[#This Row],[Fiscal Year]],2)),Cashflows[[#This Row],[Month Num]],1),"mmm yyyy"),"")</f>
        <v>Jun 2017</v>
      </c>
      <c r="D4">
        <f ca="1">IF(Cashflows[[#This Row],[Month Num]]=4,-12,OFFSET(Cashflows[#This Row],-1,0)+1)</f>
        <v>-10</v>
      </c>
      <c r="E4">
        <f ca="1">IF(Cashflows[[#This Row],[Month]]="","",IFERROR(OFFSET(INDEX(OFFSET(Cashflow!$U$7,0,0,,CELL("col",CWS_Total) - CELL("col",Cashflow!$U$7)),MATCH(Cashflows[[#This Row],[MonthDate]],OFFSET(Cashflow!$U$7,0,0,,CELL("col",CWS_Total) - CELL("col",Cashflow!$U$7)),0)),MATCH("Total",Cashflow!$B:$B,0)-7,0),0))</f>
        <v>0</v>
      </c>
      <c r="F4" s="228">
        <f ca="1">IFERROR(Cashflows[[#This Row],[Cashflow]]+IF(OFFSET(Cashflows[#This Row],-1,0)=Cashflows[[#Headers],[Cumulative]],0,IF(OFFSET(Cashflows[#This Row],-1,0)="",0,OFFSET(Cashflows[#This Row],-1,0))),"")</f>
        <v>0</v>
      </c>
      <c r="G4" s="228">
        <f ca="1">IF(Cashflows[[#This Row],[MonthDate]]&lt;&gt;"",INDEX(Cashflow!$U$142:$FQ$142,MATCH(Cashflows[[#This Row],[MonthDate]],Cashflow!$U$7:$FQ$7,0)),"")</f>
        <v>0</v>
      </c>
      <c r="H4" s="228">
        <f ca="1">IF(Cashflows[[#This Row],[MonthDate]]&lt;&gt;"",INDEX(Cashflow!$U$143:$FQ$143,MATCH(Cashflows[[#This Row],[MonthDate]],Cashflow!$U$7:$FQ$7,0)),"")</f>
        <v>0</v>
      </c>
      <c r="I4" s="226">
        <f ca="1">IFERROR(DATEVALUE(Cashflows[[#This Row],[Month]]),"")</f>
        <v>42887</v>
      </c>
      <c r="J4" s="228" t="str">
        <f ca="1">IF(EOMONTH(TODAY(),-1)+1=Cashflows[[#This Row],[MonthDate]],MAX(Cashflows[Cumulative]),"")</f>
        <v/>
      </c>
    </row>
    <row r="5" spans="1:12">
      <c r="A5" t="str">
        <f ca="1">IF(OFFSET(Cashflows[#This Row],-1,0)=Cashflows[[#Headers],[Fiscal Year]],'Target Tracking'!$E$17,IF(Cashflows[[#This Row],[Month Num]]&lt;&gt;4,OFFSET(Cashflows[#This Row],-1,0),CONCATENATE(LEFT(OFFSET(Cashflows[#This Row],-1,0),4)+1,"-",RIGHT(OFFSET(Cashflows[#This Row],-1,0),2)+1)))</f>
        <v>2017-18</v>
      </c>
      <c r="B5">
        <f ca="1">IF(OFFSET(Cashflows[#This Row],-1,0)=Cashflows[[#Headers],[Month Num]],4,MONTH(EDATE(DATE(2000,OFFSET(Cashflows[#This Row],-1,0),1),1)))</f>
        <v>7</v>
      </c>
      <c r="C5" t="str">
        <f ca="1">IF(IFERROR(INDEX('Target Tracking'!$19:$19,,MATCH(Cashflows[[#This Row],[Fiscal Year]],'Target Tracking'!$17:$17,0)),0)&gt;0,TEXT(DATE(IF(Cashflows[[#This Row],[Month Num]]&gt;=4,LEFT(Cashflows[[#This Row],[Fiscal Year]],4),"20" &amp; RIGHT(Cashflows[[#This Row],[Fiscal Year]],2)),Cashflows[[#This Row],[Month Num]],1),"mmm yyyy"),"")</f>
        <v>Jul 2017</v>
      </c>
      <c r="D5">
        <f ca="1">IF(Cashflows[[#This Row],[Month Num]]=4,-12,OFFSET(Cashflows[#This Row],-1,0)+1)</f>
        <v>-9</v>
      </c>
      <c r="E5">
        <f ca="1">IF(Cashflows[[#This Row],[Month]]="","",IFERROR(OFFSET(INDEX(OFFSET(Cashflow!$U$7,0,0,,CELL("col",CWS_Total) - CELL("col",Cashflow!$U$7)),MATCH(Cashflows[[#This Row],[MonthDate]],OFFSET(Cashflow!$U$7,0,0,,CELL("col",CWS_Total) - CELL("col",Cashflow!$U$7)),0)),MATCH("Total",Cashflow!$B:$B,0)-7,0),0))</f>
        <v>0</v>
      </c>
      <c r="F5" s="228">
        <f ca="1">IFERROR(Cashflows[[#This Row],[Cashflow]]+IF(OFFSET(Cashflows[#This Row],-1,0)=Cashflows[[#Headers],[Cumulative]],0,IF(OFFSET(Cashflows[#This Row],-1,0)="",0,OFFSET(Cashflows[#This Row],-1,0))),"")</f>
        <v>0</v>
      </c>
      <c r="G5" s="228">
        <f ca="1">IF(Cashflows[[#This Row],[MonthDate]]&lt;&gt;"",INDEX(Cashflow!$U$142:$FQ$142,MATCH(Cashflows[[#This Row],[MonthDate]],Cashflow!$U$7:$FQ$7,0)),"")</f>
        <v>0</v>
      </c>
      <c r="H5" s="228">
        <f ca="1">IF(Cashflows[[#This Row],[MonthDate]]&lt;&gt;"",INDEX(Cashflow!$U$143:$FQ$143,MATCH(Cashflows[[#This Row],[MonthDate]],Cashflow!$U$7:$FQ$7,0)),"")</f>
        <v>0</v>
      </c>
      <c r="I5" s="226">
        <f ca="1">IFERROR(DATEVALUE(Cashflows[[#This Row],[Month]]),"")</f>
        <v>42917</v>
      </c>
      <c r="J5" s="228" t="str">
        <f ca="1">IF(EOMONTH(TODAY(),-1)+1=Cashflows[[#This Row],[MonthDate]],MAX(Cashflows[Cumulative]),"")</f>
        <v/>
      </c>
    </row>
    <row r="6" spans="1:12">
      <c r="A6" t="str">
        <f ca="1">IF(OFFSET(Cashflows[#This Row],-1,0)=Cashflows[[#Headers],[Fiscal Year]],'Target Tracking'!$E$17,IF(Cashflows[[#This Row],[Month Num]]&lt;&gt;4,OFFSET(Cashflows[#This Row],-1,0),CONCATENATE(LEFT(OFFSET(Cashflows[#This Row],-1,0),4)+1,"-",RIGHT(OFFSET(Cashflows[#This Row],-1,0),2)+1)))</f>
        <v>2017-18</v>
      </c>
      <c r="B6">
        <f ca="1">IF(OFFSET(Cashflows[#This Row],-1,0)=Cashflows[[#Headers],[Month Num]],4,MONTH(EDATE(DATE(2000,OFFSET(Cashflows[#This Row],-1,0),1),1)))</f>
        <v>8</v>
      </c>
      <c r="C6" t="str">
        <f ca="1">IF(IFERROR(INDEX('Target Tracking'!$19:$19,,MATCH(Cashflows[[#This Row],[Fiscal Year]],'Target Tracking'!$17:$17,0)),0)&gt;0,TEXT(DATE(IF(Cashflows[[#This Row],[Month Num]]&gt;=4,LEFT(Cashflows[[#This Row],[Fiscal Year]],4),"20" &amp; RIGHT(Cashflows[[#This Row],[Fiscal Year]],2)),Cashflows[[#This Row],[Month Num]],1),"mmm yyyy"),"")</f>
        <v>Aug 2017</v>
      </c>
      <c r="D6">
        <f ca="1">IF(Cashflows[[#This Row],[Month Num]]=4,-12,OFFSET(Cashflows[#This Row],-1,0)+1)</f>
        <v>-8</v>
      </c>
      <c r="E6">
        <f ca="1">IF(Cashflows[[#This Row],[Month]]="","",IFERROR(OFFSET(INDEX(OFFSET(Cashflow!$U$7,0,0,,CELL("col",CWS_Total) - CELL("col",Cashflow!$U$7)),MATCH(Cashflows[[#This Row],[MonthDate]],OFFSET(Cashflow!$U$7,0,0,,CELL("col",CWS_Total) - CELL("col",Cashflow!$U$7)),0)),MATCH("Total",Cashflow!$B:$B,0)-7,0),0))</f>
        <v>70549.600000000006</v>
      </c>
      <c r="F6" s="228">
        <f ca="1">IFERROR(Cashflows[[#This Row],[Cashflow]]+IF(OFFSET(Cashflows[#This Row],-1,0)=Cashflows[[#Headers],[Cumulative]],0,IF(OFFSET(Cashflows[#This Row],-1,0)="",0,OFFSET(Cashflows[#This Row],-1,0))),"")</f>
        <v>70549.600000000006</v>
      </c>
      <c r="G6" s="228">
        <f ca="1">IF(Cashflows[[#This Row],[MonthDate]]&lt;&gt;"",INDEX(Cashflow!$U$142:$FQ$142,MATCH(Cashflows[[#This Row],[MonthDate]],Cashflow!$U$7:$FQ$7,0)),"")</f>
        <v>70549.600000000006</v>
      </c>
      <c r="H6" s="228">
        <f ca="1">IF(Cashflows[[#This Row],[MonthDate]]&lt;&gt;"",INDEX(Cashflow!$U$143:$FQ$143,MATCH(Cashflows[[#This Row],[MonthDate]],Cashflow!$U$7:$FQ$7,0)),"")</f>
        <v>70549.600000000006</v>
      </c>
      <c r="I6" s="226">
        <f ca="1">IFERROR(DATEVALUE(Cashflows[[#This Row],[Month]]),"")</f>
        <v>42948</v>
      </c>
      <c r="J6" s="228" t="str">
        <f ca="1">IF(EOMONTH(TODAY(),-1)+1=Cashflows[[#This Row],[MonthDate]],MAX(Cashflows[Cumulative]),"")</f>
        <v/>
      </c>
    </row>
    <row r="7" spans="1:12">
      <c r="A7" t="str">
        <f ca="1">IF(OFFSET(Cashflows[#This Row],-1,0)=Cashflows[[#Headers],[Fiscal Year]],'Target Tracking'!$E$17,IF(Cashflows[[#This Row],[Month Num]]&lt;&gt;4,OFFSET(Cashflows[#This Row],-1,0),CONCATENATE(LEFT(OFFSET(Cashflows[#This Row],-1,0),4)+1,"-",RIGHT(OFFSET(Cashflows[#This Row],-1,0),2)+1)))</f>
        <v>2017-18</v>
      </c>
      <c r="B7">
        <f ca="1">IF(OFFSET(Cashflows[#This Row],-1,0)=Cashflows[[#Headers],[Month Num]],4,MONTH(EDATE(DATE(2000,OFFSET(Cashflows[#This Row],-1,0),1),1)))</f>
        <v>9</v>
      </c>
      <c r="C7" t="str">
        <f ca="1">IF(IFERROR(INDEX('Target Tracking'!$19:$19,,MATCH(Cashflows[[#This Row],[Fiscal Year]],'Target Tracking'!$17:$17,0)),0)&gt;0,TEXT(DATE(IF(Cashflows[[#This Row],[Month Num]]&gt;=4,LEFT(Cashflows[[#This Row],[Fiscal Year]],4),"20" &amp; RIGHT(Cashflows[[#This Row],[Fiscal Year]],2)),Cashflows[[#This Row],[Month Num]],1),"mmm yyyy"),"")</f>
        <v>Sep 2017</v>
      </c>
      <c r="D7">
        <f ca="1">IF(Cashflows[[#This Row],[Month Num]]=4,-12,OFFSET(Cashflows[#This Row],-1,0)+1)</f>
        <v>-7</v>
      </c>
      <c r="E7">
        <f ca="1">IF(Cashflows[[#This Row],[Month]]="","",IFERROR(OFFSET(INDEX(OFFSET(Cashflow!$U$7,0,0,,CELL("col",CWS_Total) - CELL("col",Cashflow!$U$7)),MATCH(Cashflows[[#This Row],[MonthDate]],OFFSET(Cashflow!$U$7,0,0,,CELL("col",CWS_Total) - CELL("col",Cashflow!$U$7)),0)),MATCH("Total",Cashflow!$B:$B,0)-7,0),0))</f>
        <v>45459.99</v>
      </c>
      <c r="F7" s="228">
        <f ca="1">IFERROR(Cashflows[[#This Row],[Cashflow]]+IF(OFFSET(Cashflows[#This Row],-1,0)=Cashflows[[#Headers],[Cumulative]],0,IF(OFFSET(Cashflows[#This Row],-1,0)="",0,OFFSET(Cashflows[#This Row],-1,0))),"")</f>
        <v>116009.59</v>
      </c>
      <c r="G7" s="228">
        <f ca="1">IF(Cashflows[[#This Row],[MonthDate]]&lt;&gt;"",INDEX(Cashflow!$U$142:$FQ$142,MATCH(Cashflows[[#This Row],[MonthDate]],Cashflow!$U$7:$FQ$7,0)),"")</f>
        <v>45459.99</v>
      </c>
      <c r="H7" s="228">
        <f ca="1">IF(Cashflows[[#This Row],[MonthDate]]&lt;&gt;"",INDEX(Cashflow!$U$143:$FQ$143,MATCH(Cashflows[[#This Row],[MonthDate]],Cashflow!$U$7:$FQ$7,0)),"")</f>
        <v>116009.59</v>
      </c>
      <c r="I7" s="226">
        <f ca="1">IFERROR(DATEVALUE(Cashflows[[#This Row],[Month]]),"")</f>
        <v>42979</v>
      </c>
      <c r="J7" s="228" t="str">
        <f ca="1">IF(EOMONTH(TODAY(),-1)+1=Cashflows[[#This Row],[MonthDate]],MAX(Cashflows[Cumulative]),"")</f>
        <v/>
      </c>
    </row>
    <row r="8" spans="1:12">
      <c r="A8" t="str">
        <f ca="1">IF(OFFSET(Cashflows[#This Row],-1,0)=Cashflows[[#Headers],[Fiscal Year]],'Target Tracking'!$E$17,IF(Cashflows[[#This Row],[Month Num]]&lt;&gt;4,OFFSET(Cashflows[#This Row],-1,0),CONCATENATE(LEFT(OFFSET(Cashflows[#This Row],-1,0),4)+1,"-",RIGHT(OFFSET(Cashflows[#This Row],-1,0),2)+1)))</f>
        <v>2017-18</v>
      </c>
      <c r="B8">
        <f ca="1">IF(OFFSET(Cashflows[#This Row],-1,0)=Cashflows[[#Headers],[Month Num]],4,MONTH(EDATE(DATE(2000,OFFSET(Cashflows[#This Row],-1,0),1),1)))</f>
        <v>10</v>
      </c>
      <c r="C8" t="str">
        <f ca="1">IF(IFERROR(INDEX('Target Tracking'!$19:$19,,MATCH(Cashflows[[#This Row],[Fiscal Year]],'Target Tracking'!$17:$17,0)),0)&gt;0,TEXT(DATE(IF(Cashflows[[#This Row],[Month Num]]&gt;=4,LEFT(Cashflows[[#This Row],[Fiscal Year]],4),"20" &amp; RIGHT(Cashflows[[#This Row],[Fiscal Year]],2)),Cashflows[[#This Row],[Month Num]],1),"mmm yyyy"),"")</f>
        <v>Oct 2017</v>
      </c>
      <c r="D8">
        <f ca="1">IF(Cashflows[[#This Row],[Month Num]]=4,-12,OFFSET(Cashflows[#This Row],-1,0)+1)</f>
        <v>-6</v>
      </c>
      <c r="E8">
        <f ca="1">IF(Cashflows[[#This Row],[Month]]="","",IFERROR(OFFSET(INDEX(OFFSET(Cashflow!$U$7,0,0,,CELL("col",CWS_Total) - CELL("col",Cashflow!$U$7)),MATCH(Cashflows[[#This Row],[MonthDate]],OFFSET(Cashflow!$U$7,0,0,,CELL("col",CWS_Total) - CELL("col",Cashflow!$U$7)),0)),MATCH("Total",Cashflow!$B:$B,0)-7,0),0))</f>
        <v>64270.92</v>
      </c>
      <c r="F8" s="228">
        <f ca="1">IFERROR(Cashflows[[#This Row],[Cashflow]]+IF(OFFSET(Cashflows[#This Row],-1,0)=Cashflows[[#Headers],[Cumulative]],0,IF(OFFSET(Cashflows[#This Row],-1,0)="",0,OFFSET(Cashflows[#This Row],-1,0))),"")</f>
        <v>180280.51</v>
      </c>
      <c r="G8" s="228">
        <f ca="1">IF(Cashflows[[#This Row],[MonthDate]]&lt;&gt;"",INDEX(Cashflow!$U$142:$FQ$142,MATCH(Cashflows[[#This Row],[MonthDate]],Cashflow!$U$7:$FQ$7,0)),"")</f>
        <v>64270.92</v>
      </c>
      <c r="H8" s="228">
        <f ca="1">IF(Cashflows[[#This Row],[MonthDate]]&lt;&gt;"",INDEX(Cashflow!$U$143:$FQ$143,MATCH(Cashflows[[#This Row],[MonthDate]],Cashflow!$U$7:$FQ$7,0)),"")</f>
        <v>180280.51</v>
      </c>
      <c r="I8" s="226">
        <f ca="1">IFERROR(DATEVALUE(Cashflows[[#This Row],[Month]]),"")</f>
        <v>43009</v>
      </c>
      <c r="J8" s="228" t="str">
        <f ca="1">IF(EOMONTH(TODAY(),-1)+1=Cashflows[[#This Row],[MonthDate]],MAX(Cashflows[Cumulative]),"")</f>
        <v/>
      </c>
    </row>
    <row r="9" spans="1:12">
      <c r="A9" t="str">
        <f ca="1">IF(OFFSET(Cashflows[#This Row],-1,0)=Cashflows[[#Headers],[Fiscal Year]],'Target Tracking'!$E$17,IF(Cashflows[[#This Row],[Month Num]]&lt;&gt;4,OFFSET(Cashflows[#This Row],-1,0),CONCATENATE(LEFT(OFFSET(Cashflows[#This Row],-1,0),4)+1,"-",RIGHT(OFFSET(Cashflows[#This Row],-1,0),2)+1)))</f>
        <v>2017-18</v>
      </c>
      <c r="B9">
        <f ca="1">IF(OFFSET(Cashflows[#This Row],-1,0)=Cashflows[[#Headers],[Month Num]],4,MONTH(EDATE(DATE(2000,OFFSET(Cashflows[#This Row],-1,0),1),1)))</f>
        <v>11</v>
      </c>
      <c r="C9" t="str">
        <f ca="1">IF(IFERROR(INDEX('Target Tracking'!$19:$19,,MATCH(Cashflows[[#This Row],[Fiscal Year]],'Target Tracking'!$17:$17,0)),0)&gt;0,TEXT(DATE(IF(Cashflows[[#This Row],[Month Num]]&gt;=4,LEFT(Cashflows[[#This Row],[Fiscal Year]],4),"20" &amp; RIGHT(Cashflows[[#This Row],[Fiscal Year]],2)),Cashflows[[#This Row],[Month Num]],1),"mmm yyyy"),"")</f>
        <v>Nov 2017</v>
      </c>
      <c r="D9">
        <f ca="1">IF(Cashflows[[#This Row],[Month Num]]=4,-12,OFFSET(Cashflows[#This Row],-1,0)+1)</f>
        <v>-5</v>
      </c>
      <c r="E9">
        <f ca="1">IF(Cashflows[[#This Row],[Month]]="","",IFERROR(OFFSET(INDEX(OFFSET(Cashflow!$U$7,0,0,,CELL("col",CWS_Total) - CELL("col",Cashflow!$U$7)),MATCH(Cashflows[[#This Row],[MonthDate]],OFFSET(Cashflow!$U$7,0,0,,CELL("col",CWS_Total) - CELL("col",Cashflow!$U$7)),0)),MATCH("Total",Cashflow!$B:$B,0)-7,0),0))</f>
        <v>70291.48</v>
      </c>
      <c r="F9" s="228">
        <f ca="1">IFERROR(Cashflows[[#This Row],[Cashflow]]+IF(OFFSET(Cashflows[#This Row],-1,0)=Cashflows[[#Headers],[Cumulative]],0,IF(OFFSET(Cashflows[#This Row],-1,0)="",0,OFFSET(Cashflows[#This Row],-1,0))),"")</f>
        <v>250571.99</v>
      </c>
      <c r="G9" s="228">
        <f ca="1">IF(Cashflows[[#This Row],[MonthDate]]&lt;&gt;"",INDEX(Cashflow!$U$142:$FQ$142,MATCH(Cashflows[[#This Row],[MonthDate]],Cashflow!$U$7:$FQ$7,0)),"")</f>
        <v>70291.48</v>
      </c>
      <c r="H9" s="228">
        <f ca="1">IF(Cashflows[[#This Row],[MonthDate]]&lt;&gt;"",INDEX(Cashflow!$U$143:$FQ$143,MATCH(Cashflows[[#This Row],[MonthDate]],Cashflow!$U$7:$FQ$7,0)),"")</f>
        <v>250571.99</v>
      </c>
      <c r="I9" s="226">
        <f ca="1">IFERROR(DATEVALUE(Cashflows[[#This Row],[Month]]),"")</f>
        <v>43040</v>
      </c>
      <c r="J9" s="228" t="str">
        <f ca="1">IF(EOMONTH(TODAY(),-1)+1=Cashflows[[#This Row],[MonthDate]],MAX(Cashflows[Cumulative]),"")</f>
        <v/>
      </c>
    </row>
    <row r="10" spans="1:12">
      <c r="A10" t="str">
        <f ca="1">IF(OFFSET(Cashflows[#This Row],-1,0)=Cashflows[[#Headers],[Fiscal Year]],'Target Tracking'!$E$17,IF(Cashflows[[#This Row],[Month Num]]&lt;&gt;4,OFFSET(Cashflows[#This Row],-1,0),CONCATENATE(LEFT(OFFSET(Cashflows[#This Row],-1,0),4)+1,"-",RIGHT(OFFSET(Cashflows[#This Row],-1,0),2)+1)))</f>
        <v>2017-18</v>
      </c>
      <c r="B10">
        <f ca="1">IF(OFFSET(Cashflows[#This Row],-1,0)=Cashflows[[#Headers],[Month Num]],4,MONTH(EDATE(DATE(2000,OFFSET(Cashflows[#This Row],-1,0),1),1)))</f>
        <v>12</v>
      </c>
      <c r="C10" t="str">
        <f ca="1">IF(IFERROR(INDEX('Target Tracking'!$19:$19,,MATCH(Cashflows[[#This Row],[Fiscal Year]],'Target Tracking'!$17:$17,0)),0)&gt;0,TEXT(DATE(IF(Cashflows[[#This Row],[Month Num]]&gt;=4,LEFT(Cashflows[[#This Row],[Fiscal Year]],4),"20" &amp; RIGHT(Cashflows[[#This Row],[Fiscal Year]],2)),Cashflows[[#This Row],[Month Num]],1),"mmm yyyy"),"")</f>
        <v>Dec 2017</v>
      </c>
      <c r="D10">
        <f ca="1">IF(Cashflows[[#This Row],[Month Num]]=4,-12,OFFSET(Cashflows[#This Row],-1,0)+1)</f>
        <v>-4</v>
      </c>
      <c r="E10">
        <f ca="1">IF(Cashflows[[#This Row],[Month]]="","",IFERROR(OFFSET(INDEX(OFFSET(Cashflow!$U$7,0,0,,CELL("col",CWS_Total) - CELL("col",Cashflow!$U$7)),MATCH(Cashflows[[#This Row],[MonthDate]],OFFSET(Cashflow!$U$7,0,0,,CELL("col",CWS_Total) - CELL("col",Cashflow!$U$7)),0)),MATCH("Total",Cashflow!$B:$B,0)-7,0),0))</f>
        <v>113754.36</v>
      </c>
      <c r="F10" s="228">
        <f ca="1">IFERROR(Cashflows[[#This Row],[Cashflow]]+IF(OFFSET(Cashflows[#This Row],-1,0)=Cashflows[[#Headers],[Cumulative]],0,IF(OFFSET(Cashflows[#This Row],-1,0)="",0,OFFSET(Cashflows[#This Row],-1,0))),"")</f>
        <v>364326.35</v>
      </c>
      <c r="G10" s="228">
        <f ca="1">IF(Cashflows[[#This Row],[MonthDate]]&lt;&gt;"",INDEX(Cashflow!$U$142:$FQ$142,MATCH(Cashflows[[#This Row],[MonthDate]],Cashflow!$U$7:$FQ$7,0)),"")</f>
        <v>113754.36</v>
      </c>
      <c r="H10" s="228">
        <f ca="1">IF(Cashflows[[#This Row],[MonthDate]]&lt;&gt;"",INDEX(Cashflow!$U$143:$FQ$143,MATCH(Cashflows[[#This Row],[MonthDate]],Cashflow!$U$7:$FQ$7,0)),"")</f>
        <v>364326.35</v>
      </c>
      <c r="I10" s="226">
        <f ca="1">IFERROR(DATEVALUE(Cashflows[[#This Row],[Month]]),"")</f>
        <v>43070</v>
      </c>
      <c r="J10" s="228" t="str">
        <f ca="1">IF(EOMONTH(TODAY(),-1)+1=Cashflows[[#This Row],[MonthDate]],MAX(Cashflows[Cumulative]),"")</f>
        <v/>
      </c>
    </row>
    <row r="11" spans="1:12">
      <c r="A11" t="str">
        <f ca="1">IF(OFFSET(Cashflows[#This Row],-1,0)=Cashflows[[#Headers],[Fiscal Year]],'Target Tracking'!$E$17,IF(Cashflows[[#This Row],[Month Num]]&lt;&gt;4,OFFSET(Cashflows[#This Row],-1,0),CONCATENATE(LEFT(OFFSET(Cashflows[#This Row],-1,0),4)+1,"-",RIGHT(OFFSET(Cashflows[#This Row],-1,0),2)+1)))</f>
        <v>2017-18</v>
      </c>
      <c r="B11">
        <f ca="1">IF(OFFSET(Cashflows[#This Row],-1,0)=Cashflows[[#Headers],[Month Num]],4,MONTH(EDATE(DATE(2000,OFFSET(Cashflows[#This Row],-1,0),1),1)))</f>
        <v>1</v>
      </c>
      <c r="C11" t="str">
        <f ca="1">IF(IFERROR(INDEX('Target Tracking'!$19:$19,,MATCH(Cashflows[[#This Row],[Fiscal Year]],'Target Tracking'!$17:$17,0)),0)&gt;0,TEXT(DATE(IF(Cashflows[[#This Row],[Month Num]]&gt;=4,LEFT(Cashflows[[#This Row],[Fiscal Year]],4),"20" &amp; RIGHT(Cashflows[[#This Row],[Fiscal Year]],2)),Cashflows[[#This Row],[Month Num]],1),"mmm yyyy"),"")</f>
        <v>Jan 2018</v>
      </c>
      <c r="D11">
        <f ca="1">IF(Cashflows[[#This Row],[Month Num]]=4,-12,OFFSET(Cashflows[#This Row],-1,0)+1)</f>
        <v>-3</v>
      </c>
      <c r="E11">
        <f ca="1">IF(Cashflows[[#This Row],[Month]]="","",IFERROR(OFFSET(INDEX(OFFSET(Cashflow!$U$7,0,0,,CELL("col",CWS_Total) - CELL("col",Cashflow!$U$7)),MATCH(Cashflows[[#This Row],[MonthDate]],OFFSET(Cashflow!$U$7,0,0,,CELL("col",CWS_Total) - CELL("col",Cashflow!$U$7)),0)),MATCH("Total",Cashflow!$B:$B,0)-7,0),0))</f>
        <v>3366295.18</v>
      </c>
      <c r="F11" s="228">
        <f ca="1">IFERROR(Cashflows[[#This Row],[Cashflow]]+IF(OFFSET(Cashflows[#This Row],-1,0)=Cashflows[[#Headers],[Cumulative]],0,IF(OFFSET(Cashflows[#This Row],-1,0)="",0,OFFSET(Cashflows[#This Row],-1,0))),"")</f>
        <v>3730621.5300000003</v>
      </c>
      <c r="G11" s="228">
        <f ca="1">IF(Cashflows[[#This Row],[MonthDate]]&lt;&gt;"",INDEX(Cashflow!$U$142:$FQ$142,MATCH(Cashflows[[#This Row],[MonthDate]],Cashflow!$U$7:$FQ$7,0)),"")</f>
        <v>3366295.18</v>
      </c>
      <c r="H11" s="228">
        <f ca="1">IF(Cashflows[[#This Row],[MonthDate]]&lt;&gt;"",INDEX(Cashflow!$U$143:$FQ$143,MATCH(Cashflows[[#This Row],[MonthDate]],Cashflow!$U$7:$FQ$7,0)),"")</f>
        <v>3730621.5300000003</v>
      </c>
      <c r="I11" s="226">
        <f ca="1">IFERROR(DATEVALUE(Cashflows[[#This Row],[Month]]),"")</f>
        <v>43101</v>
      </c>
      <c r="J11" s="228" t="str">
        <f ca="1">IF(EOMONTH(TODAY(),-1)+1=Cashflows[[#This Row],[MonthDate]],MAX(Cashflows[Cumulative]),"")</f>
        <v/>
      </c>
    </row>
    <row r="12" spans="1:12">
      <c r="A12" t="str">
        <f ca="1">IF(OFFSET(Cashflows[#This Row],-1,0)=Cashflows[[#Headers],[Fiscal Year]],'Target Tracking'!$E$17,IF(Cashflows[[#This Row],[Month Num]]&lt;&gt;4,OFFSET(Cashflows[#This Row],-1,0),CONCATENATE(LEFT(OFFSET(Cashflows[#This Row],-1,0),4)+1,"-",RIGHT(OFFSET(Cashflows[#This Row],-1,0),2)+1)))</f>
        <v>2017-18</v>
      </c>
      <c r="B12">
        <f ca="1">IF(OFFSET(Cashflows[#This Row],-1,0)=Cashflows[[#Headers],[Month Num]],4,MONTH(EDATE(DATE(2000,OFFSET(Cashflows[#This Row],-1,0),1),1)))</f>
        <v>2</v>
      </c>
      <c r="C12" t="str">
        <f ca="1">IF(IFERROR(INDEX('Target Tracking'!$19:$19,,MATCH(Cashflows[[#This Row],[Fiscal Year]],'Target Tracking'!$17:$17,0)),0)&gt;0,TEXT(DATE(IF(Cashflows[[#This Row],[Month Num]]&gt;=4,LEFT(Cashflows[[#This Row],[Fiscal Year]],4),"20" &amp; RIGHT(Cashflows[[#This Row],[Fiscal Year]],2)),Cashflows[[#This Row],[Month Num]],1),"mmm yyyy"),"")</f>
        <v>Feb 2018</v>
      </c>
      <c r="D12">
        <f ca="1">IF(Cashflows[[#This Row],[Month Num]]=4,-12,OFFSET(Cashflows[#This Row],-1,0)+1)</f>
        <v>-2</v>
      </c>
      <c r="E12">
        <f ca="1">IF(Cashflows[[#This Row],[Month]]="","",IFERROR(OFFSET(INDEX(OFFSET(Cashflow!$U$7,0,0,,CELL("col",CWS_Total) - CELL("col",Cashflow!$U$7)),MATCH(Cashflows[[#This Row],[MonthDate]],OFFSET(Cashflow!$U$7,0,0,,CELL("col",CWS_Total) - CELL("col",Cashflow!$U$7)),0)),MATCH("Total",Cashflow!$B:$B,0)-7,0),0))</f>
        <v>33626.18</v>
      </c>
      <c r="F12" s="228">
        <f ca="1">IFERROR(Cashflows[[#This Row],[Cashflow]]+IF(OFFSET(Cashflows[#This Row],-1,0)=Cashflows[[#Headers],[Cumulative]],0,IF(OFFSET(Cashflows[#This Row],-1,0)="",0,OFFSET(Cashflows[#This Row],-1,0))),"")</f>
        <v>3764247.7100000004</v>
      </c>
      <c r="G12" s="228">
        <f ca="1">IF(Cashflows[[#This Row],[MonthDate]]&lt;&gt;"",INDEX(Cashflow!$U$142:$FQ$142,MATCH(Cashflows[[#This Row],[MonthDate]],Cashflow!$U$7:$FQ$7,0)),"")</f>
        <v>33626.18</v>
      </c>
      <c r="H12" s="228">
        <f ca="1">IF(Cashflows[[#This Row],[MonthDate]]&lt;&gt;"",INDEX(Cashflow!$U$143:$FQ$143,MATCH(Cashflows[[#This Row],[MonthDate]],Cashflow!$U$7:$FQ$7,0)),"")</f>
        <v>3764247.7100000004</v>
      </c>
      <c r="I12" s="226">
        <f ca="1">IFERROR(DATEVALUE(Cashflows[[#This Row],[Month]]),"")</f>
        <v>43132</v>
      </c>
      <c r="J12" s="228" t="str">
        <f ca="1">IF(EOMONTH(TODAY(),-1)+1=Cashflows[[#This Row],[MonthDate]],MAX(Cashflows[Cumulative]),"")</f>
        <v/>
      </c>
    </row>
    <row r="13" spans="1:12">
      <c r="A13" t="str">
        <f ca="1">IF(OFFSET(Cashflows[#This Row],-1,0)=Cashflows[[#Headers],[Fiscal Year]],'Target Tracking'!$E$17,IF(Cashflows[[#This Row],[Month Num]]&lt;&gt;4,OFFSET(Cashflows[#This Row],-1,0),CONCATENATE(LEFT(OFFSET(Cashflows[#This Row],-1,0),4)+1,"-",RIGHT(OFFSET(Cashflows[#This Row],-1,0),2)+1)))</f>
        <v>2017-18</v>
      </c>
      <c r="B13">
        <f ca="1">IF(OFFSET(Cashflows[#This Row],-1,0)=Cashflows[[#Headers],[Month Num]],4,MONTH(EDATE(DATE(2000,OFFSET(Cashflows[#This Row],-1,0),1),1)))</f>
        <v>3</v>
      </c>
      <c r="C13" t="str">
        <f ca="1">IF(IFERROR(INDEX('Target Tracking'!$19:$19,,MATCH(Cashflows[[#This Row],[Fiscal Year]],'Target Tracking'!$17:$17,0)),0)&gt;0,TEXT(DATE(IF(Cashflows[[#This Row],[Month Num]]&gt;=4,LEFT(Cashflows[[#This Row],[Fiscal Year]],4),"20" &amp; RIGHT(Cashflows[[#This Row],[Fiscal Year]],2)),Cashflows[[#This Row],[Month Num]],1),"mmm yyyy"),"")</f>
        <v>Mar 2018</v>
      </c>
      <c r="D13">
        <f ca="1">IF(Cashflows[[#This Row],[Month Num]]=4,-12,OFFSET(Cashflows[#This Row],-1,0)+1)</f>
        <v>-1</v>
      </c>
      <c r="E13">
        <f ca="1">IF(Cashflows[[#This Row],[Month]]="","",IFERROR(OFFSET(INDEX(OFFSET(Cashflow!$U$7,0,0,,CELL("col",CWS_Total) - CELL("col",Cashflow!$U$7)),MATCH(Cashflows[[#This Row],[MonthDate]],OFFSET(Cashflow!$U$7,0,0,,CELL("col",CWS_Total) - CELL("col",Cashflow!$U$7)),0)),MATCH("Total",Cashflow!$B:$B,0)-7,0),0))</f>
        <v>40826.410000000003</v>
      </c>
      <c r="F13" s="228">
        <f ca="1">IFERROR(Cashflows[[#This Row],[Cashflow]]+IF(OFFSET(Cashflows[#This Row],-1,0)=Cashflows[[#Headers],[Cumulative]],0,IF(OFFSET(Cashflows[#This Row],-1,0)="",0,OFFSET(Cashflows[#This Row],-1,0))),"")</f>
        <v>3805074.1200000006</v>
      </c>
      <c r="G13" s="228">
        <f ca="1">IF(Cashflows[[#This Row],[MonthDate]]&lt;&gt;"",INDEX(Cashflow!$U$142:$FQ$142,MATCH(Cashflows[[#This Row],[MonthDate]],Cashflow!$U$7:$FQ$7,0)),"")</f>
        <v>40826.410000000003</v>
      </c>
      <c r="H13" s="228">
        <f ca="1">IF(Cashflows[[#This Row],[MonthDate]]&lt;&gt;"",INDEX(Cashflow!$U$143:$FQ$143,MATCH(Cashflows[[#This Row],[MonthDate]],Cashflow!$U$7:$FQ$7,0)),"")</f>
        <v>3805074.1200000006</v>
      </c>
      <c r="I13" s="226">
        <f ca="1">IFERROR(DATEVALUE(Cashflows[[#This Row],[Month]]),"")</f>
        <v>43160</v>
      </c>
      <c r="J13" s="228" t="str">
        <f ca="1">IF(EOMONTH(TODAY(),-1)+1=Cashflows[[#This Row],[MonthDate]],MAX(Cashflows[Cumulative]),"")</f>
        <v/>
      </c>
    </row>
    <row r="14" spans="1:12">
      <c r="A14" t="str">
        <f ca="1">IF(OFFSET(Cashflows[#This Row],-1,0)=Cashflows[[#Headers],[Fiscal Year]],'Target Tracking'!$E$17,IF(Cashflows[[#This Row],[Month Num]]&lt;&gt;4,OFFSET(Cashflows[#This Row],-1,0),CONCATENATE(LEFT(OFFSET(Cashflows[#This Row],-1,0),4)+1,"-",RIGHT(OFFSET(Cashflows[#This Row],-1,0),2)+1)))</f>
        <v>2018-19</v>
      </c>
      <c r="B14">
        <f ca="1">IF(OFFSET(Cashflows[#This Row],-1,0)=Cashflows[[#Headers],[Month Num]],4,MONTH(EDATE(DATE(2000,OFFSET(Cashflows[#This Row],-1,0),1),1)))</f>
        <v>4</v>
      </c>
      <c r="C14" t="str">
        <f ca="1">IF(IFERROR(INDEX('Target Tracking'!$19:$19,,MATCH(Cashflows[[#This Row],[Fiscal Year]],'Target Tracking'!$17:$17,0)),0)&gt;0,TEXT(DATE(IF(Cashflows[[#This Row],[Month Num]]&gt;=4,LEFT(Cashflows[[#This Row],[Fiscal Year]],4),"20" &amp; RIGHT(Cashflows[[#This Row],[Fiscal Year]],2)),Cashflows[[#This Row],[Month Num]],1),"mmm yyyy"),"")</f>
        <v>Apr 2018</v>
      </c>
      <c r="D14">
        <f ca="1">IF(Cashflows[[#This Row],[Month Num]]=4,-12,OFFSET(Cashflows[#This Row],-1,0)+1)</f>
        <v>-12</v>
      </c>
      <c r="E14">
        <f ca="1">IF(Cashflows[[#This Row],[Month]]="","",IFERROR(OFFSET(INDEX(OFFSET(Cashflow!$U$7,0,0,,CELL("col",CWS_Total) - CELL("col",Cashflow!$U$7)),MATCH(Cashflows[[#This Row],[MonthDate]],OFFSET(Cashflow!$U$7,0,0,,CELL("col",CWS_Total) - CELL("col",Cashflow!$U$7)),0)),MATCH("Total",Cashflow!$B:$B,0)-7,0),0))</f>
        <v>0</v>
      </c>
      <c r="F14" s="228">
        <f ca="1">IFERROR(Cashflows[[#This Row],[Cashflow]]+IF(OFFSET(Cashflows[#This Row],-1,0)=Cashflows[[#Headers],[Cumulative]],0,IF(OFFSET(Cashflows[#This Row],-1,0)="",0,OFFSET(Cashflows[#This Row],-1,0))),"")</f>
        <v>3805074.1200000006</v>
      </c>
      <c r="G14" s="228">
        <f ca="1">IF(Cashflows[[#This Row],[MonthDate]]&lt;&gt;"",INDEX(Cashflow!$U$142:$FQ$142,MATCH(Cashflows[[#This Row],[MonthDate]],Cashflow!$U$7:$FQ$7,0)),"")</f>
        <v>0</v>
      </c>
      <c r="H14" s="228">
        <f ca="1">IF(Cashflows[[#This Row],[MonthDate]]&lt;&gt;"",INDEX(Cashflow!$U$143:$FQ$143,MATCH(Cashflows[[#This Row],[MonthDate]],Cashflow!$U$7:$FQ$7,0)),"")</f>
        <v>3805074.1200000006</v>
      </c>
      <c r="I14" s="226">
        <f ca="1">IFERROR(DATEVALUE(Cashflows[[#This Row],[Month]]),"")</f>
        <v>43191</v>
      </c>
      <c r="J14" s="228" t="str">
        <f ca="1">IF(EOMONTH(TODAY(),-1)+1=Cashflows[[#This Row],[MonthDate]],MAX(Cashflows[Cumulative]),"")</f>
        <v/>
      </c>
    </row>
    <row r="15" spans="1:12">
      <c r="A15" t="str">
        <f ca="1">IF(OFFSET(Cashflows[#This Row],-1,0)=Cashflows[[#Headers],[Fiscal Year]],'Target Tracking'!$E$17,IF(Cashflows[[#This Row],[Month Num]]&lt;&gt;4,OFFSET(Cashflows[#This Row],-1,0),CONCATENATE(LEFT(OFFSET(Cashflows[#This Row],-1,0),4)+1,"-",RIGHT(OFFSET(Cashflows[#This Row],-1,0),2)+1)))</f>
        <v>2018-19</v>
      </c>
      <c r="B15">
        <f ca="1">IF(OFFSET(Cashflows[#This Row],-1,0)=Cashflows[[#Headers],[Month Num]],4,MONTH(EDATE(DATE(2000,OFFSET(Cashflows[#This Row],-1,0),1),1)))</f>
        <v>5</v>
      </c>
      <c r="C15" t="str">
        <f ca="1">IF(IFERROR(INDEX('Target Tracking'!$19:$19,,MATCH(Cashflows[[#This Row],[Fiscal Year]],'Target Tracking'!$17:$17,0)),0)&gt;0,TEXT(DATE(IF(Cashflows[[#This Row],[Month Num]]&gt;=4,LEFT(Cashflows[[#This Row],[Fiscal Year]],4),"20" &amp; RIGHT(Cashflows[[#This Row],[Fiscal Year]],2)),Cashflows[[#This Row],[Month Num]],1),"mmm yyyy"),"")</f>
        <v>May 2018</v>
      </c>
      <c r="D15">
        <f ca="1">IF(Cashflows[[#This Row],[Month Num]]=4,-12,OFFSET(Cashflows[#This Row],-1,0)+1)</f>
        <v>-11</v>
      </c>
      <c r="E15">
        <f ca="1">IF(Cashflows[[#This Row],[Month]]="","",IFERROR(OFFSET(INDEX(OFFSET(Cashflow!$U$7,0,0,,CELL("col",CWS_Total) - CELL("col",Cashflow!$U$7)),MATCH(Cashflows[[#This Row],[MonthDate]],OFFSET(Cashflow!$U$7,0,0,,CELL("col",CWS_Total) - CELL("col",Cashflow!$U$7)),0)),MATCH("Total",Cashflow!$B:$B,0)-7,0),0))</f>
        <v>306030</v>
      </c>
      <c r="F15" s="228">
        <f ca="1">IFERROR(Cashflows[[#This Row],[Cashflow]]+IF(OFFSET(Cashflows[#This Row],-1,0)=Cashflows[[#Headers],[Cumulative]],0,IF(OFFSET(Cashflows[#This Row],-1,0)="",0,OFFSET(Cashflows[#This Row],-1,0))),"")</f>
        <v>4111104.1200000006</v>
      </c>
      <c r="G15" s="228">
        <f ca="1">IF(Cashflows[[#This Row],[MonthDate]]&lt;&gt;"",INDEX(Cashflow!$U$142:$FQ$142,MATCH(Cashflows[[#This Row],[MonthDate]],Cashflow!$U$7:$FQ$7,0)),"")</f>
        <v>306030</v>
      </c>
      <c r="H15" s="228">
        <f ca="1">IF(Cashflows[[#This Row],[MonthDate]]&lt;&gt;"",INDEX(Cashflow!$U$143:$FQ$143,MATCH(Cashflows[[#This Row],[MonthDate]],Cashflow!$U$7:$FQ$7,0)),"")</f>
        <v>4111104.1200000006</v>
      </c>
      <c r="I15" s="226">
        <f ca="1">IFERROR(DATEVALUE(Cashflows[[#This Row],[Month]]),"")</f>
        <v>43221</v>
      </c>
      <c r="J15" s="228" t="str">
        <f ca="1">IF(EOMONTH(TODAY(),-1)+1=Cashflows[[#This Row],[MonthDate]],MAX(Cashflows[Cumulative]),"")</f>
        <v/>
      </c>
    </row>
    <row r="16" spans="1:12">
      <c r="A16" t="str">
        <f ca="1">IF(OFFSET(Cashflows[#This Row],-1,0)=Cashflows[[#Headers],[Fiscal Year]],'Target Tracking'!$E$17,IF(Cashflows[[#This Row],[Month Num]]&lt;&gt;4,OFFSET(Cashflows[#This Row],-1,0),CONCATENATE(LEFT(OFFSET(Cashflows[#This Row],-1,0),4)+1,"-",RIGHT(OFFSET(Cashflows[#This Row],-1,0),2)+1)))</f>
        <v>2018-19</v>
      </c>
      <c r="B16">
        <f ca="1">IF(OFFSET(Cashflows[#This Row],-1,0)=Cashflows[[#Headers],[Month Num]],4,MONTH(EDATE(DATE(2000,OFFSET(Cashflows[#This Row],-1,0),1),1)))</f>
        <v>6</v>
      </c>
      <c r="C16" t="str">
        <f ca="1">IF(IFERROR(INDEX('Target Tracking'!$19:$19,,MATCH(Cashflows[[#This Row],[Fiscal Year]],'Target Tracking'!$17:$17,0)),0)&gt;0,TEXT(DATE(IF(Cashflows[[#This Row],[Month Num]]&gt;=4,LEFT(Cashflows[[#This Row],[Fiscal Year]],4),"20" &amp; RIGHT(Cashflows[[#This Row],[Fiscal Year]],2)),Cashflows[[#This Row],[Month Num]],1),"mmm yyyy"),"")</f>
        <v>Jun 2018</v>
      </c>
      <c r="D16">
        <f ca="1">IF(Cashflows[[#This Row],[Month Num]]=4,-12,OFFSET(Cashflows[#This Row],-1,0)+1)</f>
        <v>-10</v>
      </c>
      <c r="E16">
        <f ca="1">IF(Cashflows[[#This Row],[Month]]="","",IFERROR(OFFSET(INDEX(OFFSET(Cashflow!$U$7,0,0,,CELL("col",CWS_Total) - CELL("col",Cashflow!$U$7)),MATCH(Cashflows[[#This Row],[MonthDate]],OFFSET(Cashflow!$U$7,0,0,,CELL("col",CWS_Total) - CELL("col",Cashflow!$U$7)),0)),MATCH("Total",Cashflow!$B:$B,0)-7,0),0))</f>
        <v>1482047.17</v>
      </c>
      <c r="F16" s="228">
        <f ca="1">IFERROR(Cashflows[[#This Row],[Cashflow]]+IF(OFFSET(Cashflows[#This Row],-1,0)=Cashflows[[#Headers],[Cumulative]],0,IF(OFFSET(Cashflows[#This Row],-1,0)="",0,OFFSET(Cashflows[#This Row],-1,0))),"")</f>
        <v>5593151.290000001</v>
      </c>
      <c r="G16" s="228">
        <f ca="1">IF(Cashflows[[#This Row],[MonthDate]]&lt;&gt;"",INDEX(Cashflow!$U$142:$FQ$142,MATCH(Cashflows[[#This Row],[MonthDate]],Cashflow!$U$7:$FQ$7,0)),"")</f>
        <v>1482047.17</v>
      </c>
      <c r="H16" s="228">
        <f ca="1">IF(Cashflows[[#This Row],[MonthDate]]&lt;&gt;"",INDEX(Cashflow!$U$143:$FQ$143,MATCH(Cashflows[[#This Row],[MonthDate]],Cashflow!$U$7:$FQ$7,0)),"")</f>
        <v>5593151.290000001</v>
      </c>
      <c r="I16" s="226">
        <f ca="1">IFERROR(DATEVALUE(Cashflows[[#This Row],[Month]]),"")</f>
        <v>43252</v>
      </c>
      <c r="J16" s="228" t="str">
        <f ca="1">IF(EOMONTH(TODAY(),-1)+1=Cashflows[[#This Row],[MonthDate]],MAX(Cashflows[Cumulative]),"")</f>
        <v/>
      </c>
    </row>
    <row r="17" spans="1:10">
      <c r="A17" t="str">
        <f ca="1">IF(OFFSET(Cashflows[#This Row],-1,0)=Cashflows[[#Headers],[Fiscal Year]],'Target Tracking'!$E$17,IF(Cashflows[[#This Row],[Month Num]]&lt;&gt;4,OFFSET(Cashflows[#This Row],-1,0),CONCATENATE(LEFT(OFFSET(Cashflows[#This Row],-1,0),4)+1,"-",RIGHT(OFFSET(Cashflows[#This Row],-1,0),2)+1)))</f>
        <v>2018-19</v>
      </c>
      <c r="B17">
        <f ca="1">IF(OFFSET(Cashflows[#This Row],-1,0)=Cashflows[[#Headers],[Month Num]],4,MONTH(EDATE(DATE(2000,OFFSET(Cashflows[#This Row],-1,0),1),1)))</f>
        <v>7</v>
      </c>
      <c r="C17" t="str">
        <f ca="1">IF(IFERROR(INDEX('Target Tracking'!$19:$19,,MATCH(Cashflows[[#This Row],[Fiscal Year]],'Target Tracking'!$17:$17,0)),0)&gt;0,TEXT(DATE(IF(Cashflows[[#This Row],[Month Num]]&gt;=4,LEFT(Cashflows[[#This Row],[Fiscal Year]],4),"20" &amp; RIGHT(Cashflows[[#This Row],[Fiscal Year]],2)),Cashflows[[#This Row],[Month Num]],1),"mmm yyyy"),"")</f>
        <v>Jul 2018</v>
      </c>
      <c r="D17">
        <f ca="1">IF(Cashflows[[#This Row],[Month Num]]=4,-12,OFFSET(Cashflows[#This Row],-1,0)+1)</f>
        <v>-9</v>
      </c>
      <c r="E17">
        <f ca="1">IF(Cashflows[[#This Row],[Month]]="","",IFERROR(OFFSET(INDEX(OFFSET(Cashflow!$U$7,0,0,,CELL("col",CWS_Total) - CELL("col",Cashflow!$U$7)),MATCH(Cashflows[[#This Row],[MonthDate]],OFFSET(Cashflow!$U$7,0,0,,CELL("col",CWS_Total) - CELL("col",Cashflow!$U$7)),0)),MATCH("Total",Cashflow!$B:$B,0)-7,0),0))</f>
        <v>425581.29</v>
      </c>
      <c r="F17" s="228">
        <f ca="1">IFERROR(Cashflows[[#This Row],[Cashflow]]+IF(OFFSET(Cashflows[#This Row],-1,0)=Cashflows[[#Headers],[Cumulative]],0,IF(OFFSET(Cashflows[#This Row],-1,0)="",0,OFFSET(Cashflows[#This Row],-1,0))),"")</f>
        <v>6018732.580000001</v>
      </c>
      <c r="G17" s="228">
        <f ca="1">IF(Cashflows[[#This Row],[MonthDate]]&lt;&gt;"",INDEX(Cashflow!$U$142:$FQ$142,MATCH(Cashflows[[#This Row],[MonthDate]],Cashflow!$U$7:$FQ$7,0)),"")</f>
        <v>425581.29</v>
      </c>
      <c r="H17" s="228">
        <f ca="1">IF(Cashflows[[#This Row],[MonthDate]]&lt;&gt;"",INDEX(Cashflow!$U$143:$FQ$143,MATCH(Cashflows[[#This Row],[MonthDate]],Cashflow!$U$7:$FQ$7,0)),"")</f>
        <v>6018732.580000001</v>
      </c>
      <c r="I17" s="226">
        <f ca="1">IFERROR(DATEVALUE(Cashflows[[#This Row],[Month]]),"")</f>
        <v>43282</v>
      </c>
      <c r="J17" s="228" t="str">
        <f ca="1">IF(EOMONTH(TODAY(),-1)+1=Cashflows[[#This Row],[MonthDate]],MAX(Cashflows[Cumulative]),"")</f>
        <v/>
      </c>
    </row>
    <row r="18" spans="1:10">
      <c r="A18" t="str">
        <f ca="1">IF(OFFSET(Cashflows[#This Row],-1,0)=Cashflows[[#Headers],[Fiscal Year]],'Target Tracking'!$E$17,IF(Cashflows[[#This Row],[Month Num]]&lt;&gt;4,OFFSET(Cashflows[#This Row],-1,0),CONCATENATE(LEFT(OFFSET(Cashflows[#This Row],-1,0),4)+1,"-",RIGHT(OFFSET(Cashflows[#This Row],-1,0),2)+1)))</f>
        <v>2018-19</v>
      </c>
      <c r="B18">
        <f ca="1">IF(OFFSET(Cashflows[#This Row],-1,0)=Cashflows[[#Headers],[Month Num]],4,MONTH(EDATE(DATE(2000,OFFSET(Cashflows[#This Row],-1,0),1),1)))</f>
        <v>8</v>
      </c>
      <c r="C18" t="str">
        <f ca="1">IF(IFERROR(INDEX('Target Tracking'!$19:$19,,MATCH(Cashflows[[#This Row],[Fiscal Year]],'Target Tracking'!$17:$17,0)),0)&gt;0,TEXT(DATE(IF(Cashflows[[#This Row],[Month Num]]&gt;=4,LEFT(Cashflows[[#This Row],[Fiscal Year]],4),"20" &amp; RIGHT(Cashflows[[#This Row],[Fiscal Year]],2)),Cashflows[[#This Row],[Month Num]],1),"mmm yyyy"),"")</f>
        <v>Aug 2018</v>
      </c>
      <c r="D18">
        <f ca="1">IF(Cashflows[[#This Row],[Month Num]]=4,-12,OFFSET(Cashflows[#This Row],-1,0)+1)</f>
        <v>-8</v>
      </c>
      <c r="E18">
        <f ca="1">IF(Cashflows[[#This Row],[Month]]="","",IFERROR(OFFSET(INDEX(OFFSET(Cashflow!$U$7,0,0,,CELL("col",CWS_Total) - CELL("col",Cashflow!$U$7)),MATCH(Cashflows[[#This Row],[MonthDate]],OFFSET(Cashflow!$U$7,0,0,,CELL("col",CWS_Total) - CELL("col",Cashflow!$U$7)),0)),MATCH("Total",Cashflow!$B:$B,0)-7,0),0))</f>
        <v>383205.15</v>
      </c>
      <c r="F18" s="228">
        <f ca="1">IFERROR(Cashflows[[#This Row],[Cashflow]]+IF(OFFSET(Cashflows[#This Row],-1,0)=Cashflows[[#Headers],[Cumulative]],0,IF(OFFSET(Cashflows[#This Row],-1,0)="",0,OFFSET(Cashflows[#This Row],-1,0))),"")</f>
        <v>6401937.7300000014</v>
      </c>
      <c r="G18" s="228">
        <f ca="1">IF(Cashflows[[#This Row],[MonthDate]]&lt;&gt;"",INDEX(Cashflow!$U$142:$FQ$142,MATCH(Cashflows[[#This Row],[MonthDate]],Cashflow!$U$7:$FQ$7,0)),"")</f>
        <v>383205.15</v>
      </c>
      <c r="H18" s="228">
        <f ca="1">IF(Cashflows[[#This Row],[MonthDate]]&lt;&gt;"",INDEX(Cashflow!$U$143:$FQ$143,MATCH(Cashflows[[#This Row],[MonthDate]],Cashflow!$U$7:$FQ$7,0)),"")</f>
        <v>6401937.7300000014</v>
      </c>
      <c r="I18" s="226">
        <f ca="1">IFERROR(DATEVALUE(Cashflows[[#This Row],[Month]]),"")</f>
        <v>43313</v>
      </c>
      <c r="J18" s="228" t="str">
        <f ca="1">IF(EOMONTH(TODAY(),-1)+1=Cashflows[[#This Row],[MonthDate]],MAX(Cashflows[Cumulative]),"")</f>
        <v/>
      </c>
    </row>
    <row r="19" spans="1:10">
      <c r="A19" t="str">
        <f ca="1">IF(OFFSET(Cashflows[#This Row],-1,0)=Cashflows[[#Headers],[Fiscal Year]],'Target Tracking'!$E$17,IF(Cashflows[[#This Row],[Month Num]]&lt;&gt;4,OFFSET(Cashflows[#This Row],-1,0),CONCATENATE(LEFT(OFFSET(Cashflows[#This Row],-1,0),4)+1,"-",RIGHT(OFFSET(Cashflows[#This Row],-1,0),2)+1)))</f>
        <v>2018-19</v>
      </c>
      <c r="B19">
        <f ca="1">IF(OFFSET(Cashflows[#This Row],-1,0)=Cashflows[[#Headers],[Month Num]],4,MONTH(EDATE(DATE(2000,OFFSET(Cashflows[#This Row],-1,0),1),1)))</f>
        <v>9</v>
      </c>
      <c r="C19" t="str">
        <f ca="1">IF(IFERROR(INDEX('Target Tracking'!$19:$19,,MATCH(Cashflows[[#This Row],[Fiscal Year]],'Target Tracking'!$17:$17,0)),0)&gt;0,TEXT(DATE(IF(Cashflows[[#This Row],[Month Num]]&gt;=4,LEFT(Cashflows[[#This Row],[Fiscal Year]],4),"20" &amp; RIGHT(Cashflows[[#This Row],[Fiscal Year]],2)),Cashflows[[#This Row],[Month Num]],1),"mmm yyyy"),"")</f>
        <v>Sep 2018</v>
      </c>
      <c r="D19">
        <f ca="1">IF(Cashflows[[#This Row],[Month Num]]=4,-12,OFFSET(Cashflows[#This Row],-1,0)+1)</f>
        <v>-7</v>
      </c>
      <c r="E19">
        <f ca="1">IF(Cashflows[[#This Row],[Month]]="","",IFERROR(OFFSET(INDEX(OFFSET(Cashflow!$U$7,0,0,,CELL("col",CWS_Total) - CELL("col",Cashflow!$U$7)),MATCH(Cashflows[[#This Row],[MonthDate]],OFFSET(Cashflow!$U$7,0,0,,CELL("col",CWS_Total) - CELL("col",Cashflow!$U$7)),0)),MATCH("Total",Cashflow!$B:$B,0)-7,0),0))</f>
        <v>341521.97</v>
      </c>
      <c r="F19" s="228">
        <f ca="1">IFERROR(Cashflows[[#This Row],[Cashflow]]+IF(OFFSET(Cashflows[#This Row],-1,0)=Cashflows[[#Headers],[Cumulative]],0,IF(OFFSET(Cashflows[#This Row],-1,0)="",0,OFFSET(Cashflows[#This Row],-1,0))),"")</f>
        <v>6743459.7000000011</v>
      </c>
      <c r="G19" s="228">
        <f ca="1">IF(Cashflows[[#This Row],[MonthDate]]&lt;&gt;"",INDEX(Cashflow!$U$142:$FQ$142,MATCH(Cashflows[[#This Row],[MonthDate]],Cashflow!$U$7:$FQ$7,0)),"")</f>
        <v>341521.97</v>
      </c>
      <c r="H19" s="228">
        <f ca="1">IF(Cashflows[[#This Row],[MonthDate]]&lt;&gt;"",INDEX(Cashflow!$U$143:$FQ$143,MATCH(Cashflows[[#This Row],[MonthDate]],Cashflow!$U$7:$FQ$7,0)),"")</f>
        <v>6743459.7000000011</v>
      </c>
      <c r="I19" s="226">
        <f ca="1">IFERROR(DATEVALUE(Cashflows[[#This Row],[Month]]),"")</f>
        <v>43344</v>
      </c>
      <c r="J19" s="228" t="str">
        <f ca="1">IF(EOMONTH(TODAY(),-1)+1=Cashflows[[#This Row],[MonthDate]],MAX(Cashflows[Cumulative]),"")</f>
        <v/>
      </c>
    </row>
    <row r="20" spans="1:10">
      <c r="A20" t="str">
        <f ca="1">IF(OFFSET(Cashflows[#This Row],-1,0)=Cashflows[[#Headers],[Fiscal Year]],'Target Tracking'!$E$17,IF(Cashflows[[#This Row],[Month Num]]&lt;&gt;4,OFFSET(Cashflows[#This Row],-1,0),CONCATENATE(LEFT(OFFSET(Cashflows[#This Row],-1,0),4)+1,"-",RIGHT(OFFSET(Cashflows[#This Row],-1,0),2)+1)))</f>
        <v>2018-19</v>
      </c>
      <c r="B20">
        <f ca="1">IF(OFFSET(Cashflows[#This Row],-1,0)=Cashflows[[#Headers],[Month Num]],4,MONTH(EDATE(DATE(2000,OFFSET(Cashflows[#This Row],-1,0),1),1)))</f>
        <v>10</v>
      </c>
      <c r="C20" t="str">
        <f ca="1">IF(IFERROR(INDEX('Target Tracking'!$19:$19,,MATCH(Cashflows[[#This Row],[Fiscal Year]],'Target Tracking'!$17:$17,0)),0)&gt;0,TEXT(DATE(IF(Cashflows[[#This Row],[Month Num]]&gt;=4,LEFT(Cashflows[[#This Row],[Fiscal Year]],4),"20" &amp; RIGHT(Cashflows[[#This Row],[Fiscal Year]],2)),Cashflows[[#This Row],[Month Num]],1),"mmm yyyy"),"")</f>
        <v>Oct 2018</v>
      </c>
      <c r="D20">
        <f ca="1">IF(Cashflows[[#This Row],[Month Num]]=4,-12,OFFSET(Cashflows[#This Row],-1,0)+1)</f>
        <v>-6</v>
      </c>
      <c r="E20">
        <f ca="1">IF(Cashflows[[#This Row],[Month]]="","",IFERROR(OFFSET(INDEX(OFFSET(Cashflow!$U$7,0,0,,CELL("col",CWS_Total) - CELL("col",Cashflow!$U$7)),MATCH(Cashflows[[#This Row],[MonthDate]],OFFSET(Cashflow!$U$7,0,0,,CELL("col",CWS_Total) - CELL("col",Cashflow!$U$7)),0)),MATCH("Total",Cashflow!$B:$B,0)-7,0),0))</f>
        <v>345370.03</v>
      </c>
      <c r="F20" s="228">
        <f ca="1">IFERROR(Cashflows[[#This Row],[Cashflow]]+IF(OFFSET(Cashflows[#This Row],-1,0)=Cashflows[[#Headers],[Cumulative]],0,IF(OFFSET(Cashflows[#This Row],-1,0)="",0,OFFSET(Cashflows[#This Row],-1,0))),"")</f>
        <v>7088829.7300000014</v>
      </c>
      <c r="G20" s="228">
        <f ca="1">IF(Cashflows[[#This Row],[MonthDate]]&lt;&gt;"",INDEX(Cashflow!$U$142:$FQ$142,MATCH(Cashflows[[#This Row],[MonthDate]],Cashflow!$U$7:$FQ$7,0)),"")</f>
        <v>345370.03</v>
      </c>
      <c r="H20" s="228">
        <f ca="1">IF(Cashflows[[#This Row],[MonthDate]]&lt;&gt;"",INDEX(Cashflow!$U$143:$FQ$143,MATCH(Cashflows[[#This Row],[MonthDate]],Cashflow!$U$7:$FQ$7,0)),"")</f>
        <v>7088829.7300000014</v>
      </c>
      <c r="I20" s="226">
        <f ca="1">IFERROR(DATEVALUE(Cashflows[[#This Row],[Month]]),"")</f>
        <v>43374</v>
      </c>
      <c r="J20" s="228" t="str">
        <f ca="1">IF(EOMONTH(TODAY(),-1)+1=Cashflows[[#This Row],[MonthDate]],MAX(Cashflows[Cumulative]),"")</f>
        <v/>
      </c>
    </row>
    <row r="21" spans="1:10">
      <c r="A21" t="str">
        <f ca="1">IF(OFFSET(Cashflows[#This Row],-1,0)=Cashflows[[#Headers],[Fiscal Year]],'Target Tracking'!$E$17,IF(Cashflows[[#This Row],[Month Num]]&lt;&gt;4,OFFSET(Cashflows[#This Row],-1,0),CONCATENATE(LEFT(OFFSET(Cashflows[#This Row],-1,0),4)+1,"-",RIGHT(OFFSET(Cashflows[#This Row],-1,0),2)+1)))</f>
        <v>2018-19</v>
      </c>
      <c r="B21">
        <f ca="1">IF(OFFSET(Cashflows[#This Row],-1,0)=Cashflows[[#Headers],[Month Num]],4,MONTH(EDATE(DATE(2000,OFFSET(Cashflows[#This Row],-1,0),1),1)))</f>
        <v>11</v>
      </c>
      <c r="C21" t="str">
        <f ca="1">IF(IFERROR(INDEX('Target Tracking'!$19:$19,,MATCH(Cashflows[[#This Row],[Fiscal Year]],'Target Tracking'!$17:$17,0)),0)&gt;0,TEXT(DATE(IF(Cashflows[[#This Row],[Month Num]]&gt;=4,LEFT(Cashflows[[#This Row],[Fiscal Year]],4),"20" &amp; RIGHT(Cashflows[[#This Row],[Fiscal Year]],2)),Cashflows[[#This Row],[Month Num]],1),"mmm yyyy"),"")</f>
        <v>Nov 2018</v>
      </c>
      <c r="D21">
        <f ca="1">IF(Cashflows[[#This Row],[Month Num]]=4,-12,OFFSET(Cashflows[#This Row],-1,0)+1)</f>
        <v>-5</v>
      </c>
      <c r="E21">
        <f ca="1">IF(Cashflows[[#This Row],[Month]]="","",IFERROR(OFFSET(INDEX(OFFSET(Cashflow!$U$7,0,0,,CELL("col",CWS_Total) - CELL("col",Cashflow!$U$7)),MATCH(Cashflows[[#This Row],[MonthDate]],OFFSET(Cashflow!$U$7,0,0,,CELL("col",CWS_Total) - CELL("col",Cashflow!$U$7)),0)),MATCH("Total",Cashflow!$B:$B,0)-7,0),0))</f>
        <v>354037.01</v>
      </c>
      <c r="F21" s="228">
        <f ca="1">IFERROR(Cashflows[[#This Row],[Cashflow]]+IF(OFFSET(Cashflows[#This Row],-1,0)=Cashflows[[#Headers],[Cumulative]],0,IF(OFFSET(Cashflows[#This Row],-1,0)="",0,OFFSET(Cashflows[#This Row],-1,0))),"")</f>
        <v>7442866.7400000012</v>
      </c>
      <c r="G21" s="228">
        <f ca="1">IF(Cashflows[[#This Row],[MonthDate]]&lt;&gt;"",INDEX(Cashflow!$U$142:$FQ$142,MATCH(Cashflows[[#This Row],[MonthDate]],Cashflow!$U$7:$FQ$7,0)),"")</f>
        <v>354037.01</v>
      </c>
      <c r="H21" s="228">
        <f ca="1">IF(Cashflows[[#This Row],[MonthDate]]&lt;&gt;"",INDEX(Cashflow!$U$143:$FQ$143,MATCH(Cashflows[[#This Row],[MonthDate]],Cashflow!$U$7:$FQ$7,0)),"")</f>
        <v>7442866.7400000012</v>
      </c>
      <c r="I21" s="226">
        <f ca="1">IFERROR(DATEVALUE(Cashflows[[#This Row],[Month]]),"")</f>
        <v>43405</v>
      </c>
      <c r="J21" s="228" t="str">
        <f ca="1">IF(EOMONTH(TODAY(),-1)+1=Cashflows[[#This Row],[MonthDate]],MAX(Cashflows[Cumulative]),"")</f>
        <v/>
      </c>
    </row>
    <row r="22" spans="1:10">
      <c r="A22" t="str">
        <f ca="1">IF(OFFSET(Cashflows[#This Row],-1,0)=Cashflows[[#Headers],[Fiscal Year]],'Target Tracking'!$E$17,IF(Cashflows[[#This Row],[Month Num]]&lt;&gt;4,OFFSET(Cashflows[#This Row],-1,0),CONCATENATE(LEFT(OFFSET(Cashflows[#This Row],-1,0),4)+1,"-",RIGHT(OFFSET(Cashflows[#This Row],-1,0),2)+1)))</f>
        <v>2018-19</v>
      </c>
      <c r="B22">
        <f ca="1">IF(OFFSET(Cashflows[#This Row],-1,0)=Cashflows[[#Headers],[Month Num]],4,MONTH(EDATE(DATE(2000,OFFSET(Cashflows[#This Row],-1,0),1),1)))</f>
        <v>12</v>
      </c>
      <c r="C22" t="str">
        <f ca="1">IF(IFERROR(INDEX('Target Tracking'!$19:$19,,MATCH(Cashflows[[#This Row],[Fiscal Year]],'Target Tracking'!$17:$17,0)),0)&gt;0,TEXT(DATE(IF(Cashflows[[#This Row],[Month Num]]&gt;=4,LEFT(Cashflows[[#This Row],[Fiscal Year]],4),"20" &amp; RIGHT(Cashflows[[#This Row],[Fiscal Year]],2)),Cashflows[[#This Row],[Month Num]],1),"mmm yyyy"),"")</f>
        <v>Dec 2018</v>
      </c>
      <c r="D22">
        <f ca="1">IF(Cashflows[[#This Row],[Month Num]]=4,-12,OFFSET(Cashflows[#This Row],-1,0)+1)</f>
        <v>-4</v>
      </c>
      <c r="E22">
        <f ca="1">IF(Cashflows[[#This Row],[Month]]="","",IFERROR(OFFSET(INDEX(OFFSET(Cashflow!$U$7,0,0,,CELL("col",CWS_Total) - CELL("col",Cashflow!$U$7)),MATCH(Cashflows[[#This Row],[MonthDate]],OFFSET(Cashflow!$U$7,0,0,,CELL("col",CWS_Total) - CELL("col",Cashflow!$U$7)),0)),MATCH("Total",Cashflow!$B:$B,0)-7,0),0))</f>
        <v>257482.62</v>
      </c>
      <c r="F22" s="228">
        <f ca="1">IFERROR(Cashflows[[#This Row],[Cashflow]]+IF(OFFSET(Cashflows[#This Row],-1,0)=Cashflows[[#Headers],[Cumulative]],0,IF(OFFSET(Cashflows[#This Row],-1,0)="",0,OFFSET(Cashflows[#This Row],-1,0))),"")</f>
        <v>7700349.3600000013</v>
      </c>
      <c r="G22" s="228">
        <f ca="1">IF(Cashflows[[#This Row],[MonthDate]]&lt;&gt;"",INDEX(Cashflow!$U$142:$FQ$142,MATCH(Cashflows[[#This Row],[MonthDate]],Cashflow!$U$7:$FQ$7,0)),"")</f>
        <v>257482.62</v>
      </c>
      <c r="H22" s="228">
        <f ca="1">IF(Cashflows[[#This Row],[MonthDate]]&lt;&gt;"",INDEX(Cashflow!$U$143:$FQ$143,MATCH(Cashflows[[#This Row],[MonthDate]],Cashflow!$U$7:$FQ$7,0)),"")</f>
        <v>7700349.3600000013</v>
      </c>
      <c r="I22" s="226">
        <f ca="1">IFERROR(DATEVALUE(Cashflows[[#This Row],[Month]]),"")</f>
        <v>43435</v>
      </c>
      <c r="J22" s="228" t="str">
        <f ca="1">IF(EOMONTH(TODAY(),-1)+1=Cashflows[[#This Row],[MonthDate]],MAX(Cashflows[Cumulative]),"")</f>
        <v/>
      </c>
    </row>
    <row r="23" spans="1:10">
      <c r="A23" t="str">
        <f ca="1">IF(OFFSET(Cashflows[#This Row],-1,0)=Cashflows[[#Headers],[Fiscal Year]],'Target Tracking'!$E$17,IF(Cashflows[[#This Row],[Month Num]]&lt;&gt;4,OFFSET(Cashflows[#This Row],-1,0),CONCATENATE(LEFT(OFFSET(Cashflows[#This Row],-1,0),4)+1,"-",RIGHT(OFFSET(Cashflows[#This Row],-1,0),2)+1)))</f>
        <v>2018-19</v>
      </c>
      <c r="B23">
        <f ca="1">IF(OFFSET(Cashflows[#This Row],-1,0)=Cashflows[[#Headers],[Month Num]],4,MONTH(EDATE(DATE(2000,OFFSET(Cashflows[#This Row],-1,0),1),1)))</f>
        <v>1</v>
      </c>
      <c r="C23" t="str">
        <f ca="1">IF(IFERROR(INDEX('Target Tracking'!$19:$19,,MATCH(Cashflows[[#This Row],[Fiscal Year]],'Target Tracking'!$17:$17,0)),0)&gt;0,TEXT(DATE(IF(Cashflows[[#This Row],[Month Num]]&gt;=4,LEFT(Cashflows[[#This Row],[Fiscal Year]],4),"20" &amp; RIGHT(Cashflows[[#This Row],[Fiscal Year]],2)),Cashflows[[#This Row],[Month Num]],1),"mmm yyyy"),"")</f>
        <v>Jan 2019</v>
      </c>
      <c r="D23">
        <f ca="1">IF(Cashflows[[#This Row],[Month Num]]=4,-12,OFFSET(Cashflows[#This Row],-1,0)+1)</f>
        <v>-3</v>
      </c>
      <c r="E23">
        <f ca="1">IF(Cashflows[[#This Row],[Month]]="","",IFERROR(OFFSET(INDEX(OFFSET(Cashflow!$U$7,0,0,,CELL("col",CWS_Total) - CELL("col",Cashflow!$U$7)),MATCH(Cashflows[[#This Row],[MonthDate]],OFFSET(Cashflow!$U$7,0,0,,CELL("col",CWS_Total) - CELL("col",Cashflow!$U$7)),0)),MATCH("Total",Cashflow!$B:$B,0)-7,0),0))</f>
        <v>265998.07</v>
      </c>
      <c r="F23" s="228">
        <f ca="1">IFERROR(Cashflows[[#This Row],[Cashflow]]+IF(OFFSET(Cashflows[#This Row],-1,0)=Cashflows[[#Headers],[Cumulative]],0,IF(OFFSET(Cashflows[#This Row],-1,0)="",0,OFFSET(Cashflows[#This Row],-1,0))),"")</f>
        <v>7966347.4300000016</v>
      </c>
      <c r="G23" s="228">
        <f ca="1">IF(Cashflows[[#This Row],[MonthDate]]&lt;&gt;"",INDEX(Cashflow!$U$142:$FQ$142,MATCH(Cashflows[[#This Row],[MonthDate]],Cashflow!$U$7:$FQ$7,0)),"")</f>
        <v>265998.07</v>
      </c>
      <c r="H23" s="228">
        <f ca="1">IF(Cashflows[[#This Row],[MonthDate]]&lt;&gt;"",INDEX(Cashflow!$U$143:$FQ$143,MATCH(Cashflows[[#This Row],[MonthDate]],Cashflow!$U$7:$FQ$7,0)),"")</f>
        <v>7966347.4300000016</v>
      </c>
      <c r="I23" s="226">
        <f ca="1">IFERROR(DATEVALUE(Cashflows[[#This Row],[Month]]),"")</f>
        <v>43466</v>
      </c>
      <c r="J23" s="228" t="str">
        <f ca="1">IF(EOMONTH(TODAY(),-1)+1=Cashflows[[#This Row],[MonthDate]],MAX(Cashflows[Cumulative]),"")</f>
        <v/>
      </c>
    </row>
    <row r="24" spans="1:10">
      <c r="A24" t="str">
        <f ca="1">IF(OFFSET(Cashflows[#This Row],-1,0)=Cashflows[[#Headers],[Fiscal Year]],'Target Tracking'!$E$17,IF(Cashflows[[#This Row],[Month Num]]&lt;&gt;4,OFFSET(Cashflows[#This Row],-1,0),CONCATENATE(LEFT(OFFSET(Cashflows[#This Row],-1,0),4)+1,"-",RIGHT(OFFSET(Cashflows[#This Row],-1,0),2)+1)))</f>
        <v>2018-19</v>
      </c>
      <c r="B24">
        <f ca="1">IF(OFFSET(Cashflows[#This Row],-1,0)=Cashflows[[#Headers],[Month Num]],4,MONTH(EDATE(DATE(2000,OFFSET(Cashflows[#This Row],-1,0),1),1)))</f>
        <v>2</v>
      </c>
      <c r="C24" t="str">
        <f ca="1">IF(IFERROR(INDEX('Target Tracking'!$19:$19,,MATCH(Cashflows[[#This Row],[Fiscal Year]],'Target Tracking'!$17:$17,0)),0)&gt;0,TEXT(DATE(IF(Cashflows[[#This Row],[Month Num]]&gt;=4,LEFT(Cashflows[[#This Row],[Fiscal Year]],4),"20" &amp; RIGHT(Cashflows[[#This Row],[Fiscal Year]],2)),Cashflows[[#This Row],[Month Num]],1),"mmm yyyy"),"")</f>
        <v>Feb 2019</v>
      </c>
      <c r="D24">
        <f ca="1">IF(Cashflows[[#This Row],[Month Num]]=4,-12,OFFSET(Cashflows[#This Row],-1,0)+1)</f>
        <v>-2</v>
      </c>
      <c r="E24">
        <f ca="1">IF(Cashflows[[#This Row],[Month]]="","",IFERROR(OFFSET(INDEX(OFFSET(Cashflow!$U$7,0,0,,CELL("col",CWS_Total) - CELL("col",Cashflow!$U$7)),MATCH(Cashflows[[#This Row],[MonthDate]],OFFSET(Cashflow!$U$7,0,0,,CELL("col",CWS_Total) - CELL("col",Cashflow!$U$7)),0)),MATCH("Total",Cashflow!$B:$B,0)-7,0),0))</f>
        <v>258481.03</v>
      </c>
      <c r="F24" s="228">
        <f ca="1">IFERROR(Cashflows[[#This Row],[Cashflow]]+IF(OFFSET(Cashflows[#This Row],-1,0)=Cashflows[[#Headers],[Cumulative]],0,IF(OFFSET(Cashflows[#This Row],-1,0)="",0,OFFSET(Cashflows[#This Row],-1,0))),"")</f>
        <v>8224828.4600000018</v>
      </c>
      <c r="G24" s="228">
        <f ca="1">IF(Cashflows[[#This Row],[MonthDate]]&lt;&gt;"",INDEX(Cashflow!$U$142:$FQ$142,MATCH(Cashflows[[#This Row],[MonthDate]],Cashflow!$U$7:$FQ$7,0)),"")</f>
        <v>258481.03</v>
      </c>
      <c r="H24" s="228">
        <f ca="1">IF(Cashflows[[#This Row],[MonthDate]]&lt;&gt;"",INDEX(Cashflow!$U$143:$FQ$143,MATCH(Cashflows[[#This Row],[MonthDate]],Cashflow!$U$7:$FQ$7,0)),"")</f>
        <v>8224828.4600000018</v>
      </c>
      <c r="I24" s="226">
        <f ca="1">IFERROR(DATEVALUE(Cashflows[[#This Row],[Month]]),"")</f>
        <v>43497</v>
      </c>
      <c r="J24" s="228" t="str">
        <f ca="1">IF(EOMONTH(TODAY(),-1)+1=Cashflows[[#This Row],[MonthDate]],MAX(Cashflows[Cumulative]),"")</f>
        <v/>
      </c>
    </row>
    <row r="25" spans="1:10">
      <c r="A25" t="str">
        <f ca="1">IF(OFFSET(Cashflows[#This Row],-1,0)=Cashflows[[#Headers],[Fiscal Year]],'Target Tracking'!$E$17,IF(Cashflows[[#This Row],[Month Num]]&lt;&gt;4,OFFSET(Cashflows[#This Row],-1,0),CONCATENATE(LEFT(OFFSET(Cashflows[#This Row],-1,0),4)+1,"-",RIGHT(OFFSET(Cashflows[#This Row],-1,0),2)+1)))</f>
        <v>2018-19</v>
      </c>
      <c r="B25">
        <f ca="1">IF(OFFSET(Cashflows[#This Row],-1,0)=Cashflows[[#Headers],[Month Num]],4,MONTH(EDATE(DATE(2000,OFFSET(Cashflows[#This Row],-1,0),1),1)))</f>
        <v>3</v>
      </c>
      <c r="C25" t="str">
        <f ca="1">IF(IFERROR(INDEX('Target Tracking'!$19:$19,,MATCH(Cashflows[[#This Row],[Fiscal Year]],'Target Tracking'!$17:$17,0)),0)&gt;0,TEXT(DATE(IF(Cashflows[[#This Row],[Month Num]]&gt;=4,LEFT(Cashflows[[#This Row],[Fiscal Year]],4),"20" &amp; RIGHT(Cashflows[[#This Row],[Fiscal Year]],2)),Cashflows[[#This Row],[Month Num]],1),"mmm yyyy"),"")</f>
        <v>Mar 2019</v>
      </c>
      <c r="D25">
        <f ca="1">IF(Cashflows[[#This Row],[Month Num]]=4,-12,OFFSET(Cashflows[#This Row],-1,0)+1)</f>
        <v>-1</v>
      </c>
      <c r="E25">
        <f ca="1">IF(Cashflows[[#This Row],[Month]]="","",IFERROR(OFFSET(INDEX(OFFSET(Cashflow!$U$7,0,0,,CELL("col",CWS_Total) - CELL("col",Cashflow!$U$7)),MATCH(Cashflows[[#This Row],[MonthDate]],OFFSET(Cashflow!$U$7,0,0,,CELL("col",CWS_Total) - CELL("col",Cashflow!$U$7)),0)),MATCH("Total",Cashflow!$B:$B,0)-7,0),0))</f>
        <v>646547.74</v>
      </c>
      <c r="F25" s="228">
        <f ca="1">IFERROR(Cashflows[[#This Row],[Cashflow]]+IF(OFFSET(Cashflows[#This Row],-1,0)=Cashflows[[#Headers],[Cumulative]],0,IF(OFFSET(Cashflows[#This Row],-1,0)="",0,OFFSET(Cashflows[#This Row],-1,0))),"")</f>
        <v>8871376.2000000011</v>
      </c>
      <c r="G25" s="228">
        <f ca="1">IF(Cashflows[[#This Row],[MonthDate]]&lt;&gt;"",INDEX(Cashflow!$U$142:$FQ$142,MATCH(Cashflows[[#This Row],[MonthDate]],Cashflow!$U$7:$FQ$7,0)),"")</f>
        <v>646547.74</v>
      </c>
      <c r="H25" s="228">
        <f ca="1">IF(Cashflows[[#This Row],[MonthDate]]&lt;&gt;"",INDEX(Cashflow!$U$143:$FQ$143,MATCH(Cashflows[[#This Row],[MonthDate]],Cashflow!$U$7:$FQ$7,0)),"")</f>
        <v>8871376.2000000011</v>
      </c>
      <c r="I25" s="226">
        <f ca="1">IFERROR(DATEVALUE(Cashflows[[#This Row],[Month]]),"")</f>
        <v>43525</v>
      </c>
      <c r="J25" s="228" t="str">
        <f ca="1">IF(EOMONTH(TODAY(),-1)+1=Cashflows[[#This Row],[MonthDate]],MAX(Cashflows[Cumulative]),"")</f>
        <v/>
      </c>
    </row>
    <row r="26" spans="1:10">
      <c r="A26" t="str">
        <f ca="1">IF(OFFSET(Cashflows[#This Row],-1,0)=Cashflows[[#Headers],[Fiscal Year]],'Target Tracking'!$E$17,IF(Cashflows[[#This Row],[Month Num]]&lt;&gt;4,OFFSET(Cashflows[#This Row],-1,0),CONCATENATE(LEFT(OFFSET(Cashflows[#This Row],-1,0),4)+1,"-",RIGHT(OFFSET(Cashflows[#This Row],-1,0),2)+1)))</f>
        <v>2019-20</v>
      </c>
      <c r="B26">
        <f ca="1">IF(OFFSET(Cashflows[#This Row],-1,0)=Cashflows[[#Headers],[Month Num]],4,MONTH(EDATE(DATE(2000,OFFSET(Cashflows[#This Row],-1,0),1),1)))</f>
        <v>4</v>
      </c>
      <c r="C26" t="str">
        <f ca="1">IF(IFERROR(INDEX('Target Tracking'!$19:$19,,MATCH(Cashflows[[#This Row],[Fiscal Year]],'Target Tracking'!$17:$17,0)),0)&gt;0,TEXT(DATE(IF(Cashflows[[#This Row],[Month Num]]&gt;=4,LEFT(Cashflows[[#This Row],[Fiscal Year]],4),"20" &amp; RIGHT(Cashflows[[#This Row],[Fiscal Year]],2)),Cashflows[[#This Row],[Month Num]],1),"mmm yyyy"),"")</f>
        <v>Apr 2019</v>
      </c>
      <c r="D26">
        <f ca="1">IF(Cashflows[[#This Row],[Month Num]]=4,-12,OFFSET(Cashflows[#This Row],-1,0)+1)</f>
        <v>-12</v>
      </c>
      <c r="E26">
        <f ca="1">IF(Cashflows[[#This Row],[Month]]="","",IFERROR(OFFSET(INDEX(OFFSET(Cashflow!$U$7,0,0,,CELL("col",CWS_Total) - CELL("col",Cashflow!$U$7)),MATCH(Cashflows[[#This Row],[MonthDate]],OFFSET(Cashflow!$U$7,0,0,,CELL("col",CWS_Total) - CELL("col",Cashflow!$U$7)),0)),MATCH("Total",Cashflow!$B:$B,0)-7,0),0))</f>
        <v>34348.85</v>
      </c>
      <c r="F26" s="228">
        <f ca="1">IFERROR(Cashflows[[#This Row],[Cashflow]]+IF(OFFSET(Cashflows[#This Row],-1,0)=Cashflows[[#Headers],[Cumulative]],0,IF(OFFSET(Cashflows[#This Row],-1,0)="",0,OFFSET(Cashflows[#This Row],-1,0))),"")</f>
        <v>8905725.0500000007</v>
      </c>
      <c r="G26" s="228">
        <f ca="1">IF(Cashflows[[#This Row],[MonthDate]]&lt;&gt;"",INDEX(Cashflow!$U$142:$FQ$142,MATCH(Cashflows[[#This Row],[MonthDate]],Cashflow!$U$7:$FQ$7,0)),"")</f>
        <v>34549.61</v>
      </c>
      <c r="H26" s="228">
        <f ca="1">IF(Cashflows[[#This Row],[MonthDate]]&lt;&gt;"",INDEX(Cashflow!$U$143:$FQ$143,MATCH(Cashflows[[#This Row],[MonthDate]],Cashflow!$U$7:$FQ$7,0)),"")</f>
        <v>8905925.8100000005</v>
      </c>
      <c r="I26" s="226">
        <f ca="1">IFERROR(DATEVALUE(Cashflows[[#This Row],[Month]]),"")</f>
        <v>43556</v>
      </c>
      <c r="J26" s="228" t="str">
        <f ca="1">IF(EOMONTH(TODAY(),-1)+1=Cashflows[[#This Row],[MonthDate]],MAX(Cashflows[Cumulative]),"")</f>
        <v/>
      </c>
    </row>
    <row r="27" spans="1:10">
      <c r="A27" t="str">
        <f ca="1">IF(OFFSET(Cashflows[#This Row],-1,0)=Cashflows[[#Headers],[Fiscal Year]],'Target Tracking'!$E$17,IF(Cashflows[[#This Row],[Month Num]]&lt;&gt;4,OFFSET(Cashflows[#This Row],-1,0),CONCATENATE(LEFT(OFFSET(Cashflows[#This Row],-1,0),4)+1,"-",RIGHT(OFFSET(Cashflows[#This Row],-1,0),2)+1)))</f>
        <v>2019-20</v>
      </c>
      <c r="B27">
        <f ca="1">IF(OFFSET(Cashflows[#This Row],-1,0)=Cashflows[[#Headers],[Month Num]],4,MONTH(EDATE(DATE(2000,OFFSET(Cashflows[#This Row],-1,0),1),1)))</f>
        <v>5</v>
      </c>
      <c r="C27" t="str">
        <f ca="1">IF(IFERROR(INDEX('Target Tracking'!$19:$19,,MATCH(Cashflows[[#This Row],[Fiscal Year]],'Target Tracking'!$17:$17,0)),0)&gt;0,TEXT(DATE(IF(Cashflows[[#This Row],[Month Num]]&gt;=4,LEFT(Cashflows[[#This Row],[Fiscal Year]],4),"20" &amp; RIGHT(Cashflows[[#This Row],[Fiscal Year]],2)),Cashflows[[#This Row],[Month Num]],1),"mmm yyyy"),"")</f>
        <v>May 2019</v>
      </c>
      <c r="D27">
        <f ca="1">IF(Cashflows[[#This Row],[Month Num]]=4,-12,OFFSET(Cashflows[#This Row],-1,0)+1)</f>
        <v>-11</v>
      </c>
      <c r="E27">
        <f ca="1">IF(Cashflows[[#This Row],[Month]]="","",IFERROR(OFFSET(INDEX(OFFSET(Cashflow!$U$7,0,0,,CELL("col",CWS_Total) - CELL("col",Cashflow!$U$7)),MATCH(Cashflows[[#This Row],[MonthDate]],OFFSET(Cashflow!$U$7,0,0,,CELL("col",CWS_Total) - CELL("col",Cashflow!$U$7)),0)),MATCH("Total",Cashflow!$B:$B,0)-7,0),0))</f>
        <v>560829.26</v>
      </c>
      <c r="F27" s="228">
        <f ca="1">IFERROR(Cashflows[[#This Row],[Cashflow]]+IF(OFFSET(Cashflows[#This Row],-1,0)=Cashflows[[#Headers],[Cumulative]],0,IF(OFFSET(Cashflows[#This Row],-1,0)="",0,OFFSET(Cashflows[#This Row],-1,0))),"")</f>
        <v>9466554.3100000005</v>
      </c>
      <c r="G27" s="228">
        <f ca="1">IF(Cashflows[[#This Row],[MonthDate]]&lt;&gt;"",INDEX(Cashflow!$U$142:$FQ$142,MATCH(Cashflows[[#This Row],[MonthDate]],Cashflow!$U$7:$FQ$7,0)),"")</f>
        <v>560829.26</v>
      </c>
      <c r="H27" s="228">
        <f ca="1">IF(Cashflows[[#This Row],[MonthDate]]&lt;&gt;"",INDEX(Cashflow!$U$143:$FQ$143,MATCH(Cashflows[[#This Row],[MonthDate]],Cashflow!$U$7:$FQ$7,0)),"")</f>
        <v>9466755.0700000003</v>
      </c>
      <c r="I27" s="226">
        <f ca="1">IFERROR(DATEVALUE(Cashflows[[#This Row],[Month]]),"")</f>
        <v>43586</v>
      </c>
      <c r="J27" s="228" t="str">
        <f ca="1">IF(EOMONTH(TODAY(),-1)+1=Cashflows[[#This Row],[MonthDate]],MAX(Cashflows[Cumulative]),"")</f>
        <v/>
      </c>
    </row>
    <row r="28" spans="1:10">
      <c r="A28" t="str">
        <f ca="1">IF(OFFSET(Cashflows[#This Row],-1,0)=Cashflows[[#Headers],[Fiscal Year]],'Target Tracking'!$E$17,IF(Cashflows[[#This Row],[Month Num]]&lt;&gt;4,OFFSET(Cashflows[#This Row],-1,0),CONCATENATE(LEFT(OFFSET(Cashflows[#This Row],-1,0),4)+1,"-",RIGHT(OFFSET(Cashflows[#This Row],-1,0),2)+1)))</f>
        <v>2019-20</v>
      </c>
      <c r="B28">
        <f ca="1">IF(OFFSET(Cashflows[#This Row],-1,0)=Cashflows[[#Headers],[Month Num]],4,MONTH(EDATE(DATE(2000,OFFSET(Cashflows[#This Row],-1,0),1),1)))</f>
        <v>6</v>
      </c>
      <c r="C28" t="str">
        <f ca="1">IF(IFERROR(INDEX('Target Tracking'!$19:$19,,MATCH(Cashflows[[#This Row],[Fiscal Year]],'Target Tracking'!$17:$17,0)),0)&gt;0,TEXT(DATE(IF(Cashflows[[#This Row],[Month Num]]&gt;=4,LEFT(Cashflows[[#This Row],[Fiscal Year]],4),"20" &amp; RIGHT(Cashflows[[#This Row],[Fiscal Year]],2)),Cashflows[[#This Row],[Month Num]],1),"mmm yyyy"),"")</f>
        <v>Jun 2019</v>
      </c>
      <c r="D28">
        <f ca="1">IF(Cashflows[[#This Row],[Month Num]]=4,-12,OFFSET(Cashflows[#This Row],-1,0)+1)</f>
        <v>-10</v>
      </c>
      <c r="E28">
        <f ca="1">IF(Cashflows[[#This Row],[Month]]="","",IFERROR(OFFSET(INDEX(OFFSET(Cashflow!$U$7,0,0,,CELL("col",CWS_Total) - CELL("col",Cashflow!$U$7)),MATCH(Cashflows[[#This Row],[MonthDate]],OFFSET(Cashflow!$U$7,0,0,,CELL("col",CWS_Total) - CELL("col",Cashflow!$U$7)),0)),MATCH("Total",Cashflow!$B:$B,0)-7,0),0))</f>
        <v>379011.21</v>
      </c>
      <c r="F28" s="228">
        <f ca="1">IFERROR(Cashflows[[#This Row],[Cashflow]]+IF(OFFSET(Cashflows[#This Row],-1,0)=Cashflows[[#Headers],[Cumulative]],0,IF(OFFSET(Cashflows[#This Row],-1,0)="",0,OFFSET(Cashflows[#This Row],-1,0))),"")</f>
        <v>9845565.5200000014</v>
      </c>
      <c r="G28" s="228">
        <f ca="1">IF(Cashflows[[#This Row],[MonthDate]]&lt;&gt;"",INDEX(Cashflow!$U$142:$FQ$142,MATCH(Cashflows[[#This Row],[MonthDate]],Cashflow!$U$7:$FQ$7,0)),"")</f>
        <v>379011.21</v>
      </c>
      <c r="H28" s="228">
        <f ca="1">IF(Cashflows[[#This Row],[MonthDate]]&lt;&gt;"",INDEX(Cashflow!$U$143:$FQ$143,MATCH(Cashflows[[#This Row],[MonthDate]],Cashflow!$U$7:$FQ$7,0)),"")</f>
        <v>9845766.2800000012</v>
      </c>
      <c r="I28" s="226">
        <f ca="1">IFERROR(DATEVALUE(Cashflows[[#This Row],[Month]]),"")</f>
        <v>43617</v>
      </c>
      <c r="J28" s="228" t="str">
        <f ca="1">IF(EOMONTH(TODAY(),-1)+1=Cashflows[[#This Row],[MonthDate]],MAX(Cashflows[Cumulative]),"")</f>
        <v/>
      </c>
    </row>
    <row r="29" spans="1:10">
      <c r="A29" t="str">
        <f ca="1">IF(OFFSET(Cashflows[#This Row],-1,0)=Cashflows[[#Headers],[Fiscal Year]],'Target Tracking'!$E$17,IF(Cashflows[[#This Row],[Month Num]]&lt;&gt;4,OFFSET(Cashflows[#This Row],-1,0),CONCATENATE(LEFT(OFFSET(Cashflows[#This Row],-1,0),4)+1,"-",RIGHT(OFFSET(Cashflows[#This Row],-1,0),2)+1)))</f>
        <v>2019-20</v>
      </c>
      <c r="B29">
        <f ca="1">IF(OFFSET(Cashflows[#This Row],-1,0)=Cashflows[[#Headers],[Month Num]],4,MONTH(EDATE(DATE(2000,OFFSET(Cashflows[#This Row],-1,0),1),1)))</f>
        <v>7</v>
      </c>
      <c r="C29" t="str">
        <f ca="1">IF(IFERROR(INDEX('Target Tracking'!$19:$19,,MATCH(Cashflows[[#This Row],[Fiscal Year]],'Target Tracking'!$17:$17,0)),0)&gt;0,TEXT(DATE(IF(Cashflows[[#This Row],[Month Num]]&gt;=4,LEFT(Cashflows[[#This Row],[Fiscal Year]],4),"20" &amp; RIGHT(Cashflows[[#This Row],[Fiscal Year]],2)),Cashflows[[#This Row],[Month Num]],1),"mmm yyyy"),"")</f>
        <v>Jul 2019</v>
      </c>
      <c r="D29">
        <f ca="1">IF(Cashflows[[#This Row],[Month Num]]=4,-12,OFFSET(Cashflows[#This Row],-1,0)+1)</f>
        <v>-9</v>
      </c>
      <c r="E29">
        <f ca="1">IF(Cashflows[[#This Row],[Month]]="","",IFERROR(OFFSET(INDEX(OFFSET(Cashflow!$U$7,0,0,,CELL("col",CWS_Total) - CELL("col",Cashflow!$U$7)),MATCH(Cashflows[[#This Row],[MonthDate]],OFFSET(Cashflow!$U$7,0,0,,CELL("col",CWS_Total) - CELL("col",Cashflow!$U$7)),0)),MATCH("Total",Cashflow!$B:$B,0)-7,0),0))</f>
        <v>398927.95</v>
      </c>
      <c r="F29" s="228">
        <f ca="1">IFERROR(Cashflows[[#This Row],[Cashflow]]+IF(OFFSET(Cashflows[#This Row],-1,0)=Cashflows[[#Headers],[Cumulative]],0,IF(OFFSET(Cashflows[#This Row],-1,0)="",0,OFFSET(Cashflows[#This Row],-1,0))),"")</f>
        <v>10244493.470000001</v>
      </c>
      <c r="G29" s="228">
        <f ca="1">IF(Cashflows[[#This Row],[MonthDate]]&lt;&gt;"",INDEX(Cashflow!$U$142:$FQ$142,MATCH(Cashflows[[#This Row],[MonthDate]],Cashflow!$U$7:$FQ$7,0)),"")</f>
        <v>398927.95</v>
      </c>
      <c r="H29" s="228">
        <f ca="1">IF(Cashflows[[#This Row],[MonthDate]]&lt;&gt;"",INDEX(Cashflow!$U$143:$FQ$143,MATCH(Cashflows[[#This Row],[MonthDate]],Cashflow!$U$7:$FQ$7,0)),"")</f>
        <v>10244694.23</v>
      </c>
      <c r="I29" s="226">
        <f ca="1">IFERROR(DATEVALUE(Cashflows[[#This Row],[Month]]),"")</f>
        <v>43647</v>
      </c>
      <c r="J29" s="228" t="str">
        <f ca="1">IF(EOMONTH(TODAY(),-1)+1=Cashflows[[#This Row],[MonthDate]],MAX(Cashflows[Cumulative]),"")</f>
        <v/>
      </c>
    </row>
    <row r="30" spans="1:10">
      <c r="A30" t="str">
        <f ca="1">IF(OFFSET(Cashflows[#This Row],-1,0)=Cashflows[[#Headers],[Fiscal Year]],'Target Tracking'!$E$17,IF(Cashflows[[#This Row],[Month Num]]&lt;&gt;4,OFFSET(Cashflows[#This Row],-1,0),CONCATENATE(LEFT(OFFSET(Cashflows[#This Row],-1,0),4)+1,"-",RIGHT(OFFSET(Cashflows[#This Row],-1,0),2)+1)))</f>
        <v>2019-20</v>
      </c>
      <c r="B30">
        <f ca="1">IF(OFFSET(Cashflows[#This Row],-1,0)=Cashflows[[#Headers],[Month Num]],4,MONTH(EDATE(DATE(2000,OFFSET(Cashflows[#This Row],-1,0),1),1)))</f>
        <v>8</v>
      </c>
      <c r="C30" t="str">
        <f ca="1">IF(IFERROR(INDEX('Target Tracking'!$19:$19,,MATCH(Cashflows[[#This Row],[Fiscal Year]],'Target Tracking'!$17:$17,0)),0)&gt;0,TEXT(DATE(IF(Cashflows[[#This Row],[Month Num]]&gt;=4,LEFT(Cashflows[[#This Row],[Fiscal Year]],4),"20" &amp; RIGHT(Cashflows[[#This Row],[Fiscal Year]],2)),Cashflows[[#This Row],[Month Num]],1),"mmm yyyy"),"")</f>
        <v>Aug 2019</v>
      </c>
      <c r="D30">
        <f ca="1">IF(Cashflows[[#This Row],[Month Num]]=4,-12,OFFSET(Cashflows[#This Row],-1,0)+1)</f>
        <v>-8</v>
      </c>
      <c r="E30">
        <f ca="1">IF(Cashflows[[#This Row],[Month]]="","",IFERROR(OFFSET(INDEX(OFFSET(Cashflow!$U$7,0,0,,CELL("col",CWS_Total) - CELL("col",Cashflow!$U$7)),MATCH(Cashflows[[#This Row],[MonthDate]],OFFSET(Cashflow!$U$7,0,0,,CELL("col",CWS_Total) - CELL("col",Cashflow!$U$7)),0)),MATCH("Total",Cashflow!$B:$B,0)-7,0),0))</f>
        <v>417205.13</v>
      </c>
      <c r="F30" s="228">
        <f ca="1">IFERROR(Cashflows[[#This Row],[Cashflow]]+IF(OFFSET(Cashflows[#This Row],-1,0)=Cashflows[[#Headers],[Cumulative]],0,IF(OFFSET(Cashflows[#This Row],-1,0)="",0,OFFSET(Cashflows[#This Row],-1,0))),"")</f>
        <v>10661698.600000001</v>
      </c>
      <c r="G30" s="228">
        <f ca="1">IF(Cashflows[[#This Row],[MonthDate]]&lt;&gt;"",INDEX(Cashflow!$U$142:$FQ$142,MATCH(Cashflows[[#This Row],[MonthDate]],Cashflow!$U$7:$FQ$7,0)),"")</f>
        <v>417205.13</v>
      </c>
      <c r="H30" s="228">
        <f ca="1">IF(Cashflows[[#This Row],[MonthDate]]&lt;&gt;"",INDEX(Cashflow!$U$143:$FQ$143,MATCH(Cashflows[[#This Row],[MonthDate]],Cashflow!$U$7:$FQ$7,0)),"")</f>
        <v>10661899.360000001</v>
      </c>
      <c r="I30" s="226">
        <f ca="1">IFERROR(DATEVALUE(Cashflows[[#This Row],[Month]]),"")</f>
        <v>43678</v>
      </c>
      <c r="J30" s="228" t="str">
        <f ca="1">IF(EOMONTH(TODAY(),-1)+1=Cashflows[[#This Row],[MonthDate]],MAX(Cashflows[Cumulative]),"")</f>
        <v/>
      </c>
    </row>
    <row r="31" spans="1:10">
      <c r="A31" t="str">
        <f ca="1">IF(OFFSET(Cashflows[#This Row],-1,0)=Cashflows[[#Headers],[Fiscal Year]],'Target Tracking'!$E$17,IF(Cashflows[[#This Row],[Month Num]]&lt;&gt;4,OFFSET(Cashflows[#This Row],-1,0),CONCATENATE(LEFT(OFFSET(Cashflows[#This Row],-1,0),4)+1,"-",RIGHT(OFFSET(Cashflows[#This Row],-1,0),2)+1)))</f>
        <v>2019-20</v>
      </c>
      <c r="B31">
        <f ca="1">IF(OFFSET(Cashflows[#This Row],-1,0)=Cashflows[[#Headers],[Month Num]],4,MONTH(EDATE(DATE(2000,OFFSET(Cashflows[#This Row],-1,0),1),1)))</f>
        <v>9</v>
      </c>
      <c r="C31" t="str">
        <f ca="1">IF(IFERROR(INDEX('Target Tracking'!$19:$19,,MATCH(Cashflows[[#This Row],[Fiscal Year]],'Target Tracking'!$17:$17,0)),0)&gt;0,TEXT(DATE(IF(Cashflows[[#This Row],[Month Num]]&gt;=4,LEFT(Cashflows[[#This Row],[Fiscal Year]],4),"20" &amp; RIGHT(Cashflows[[#This Row],[Fiscal Year]],2)),Cashflows[[#This Row],[Month Num]],1),"mmm yyyy"),"")</f>
        <v>Sep 2019</v>
      </c>
      <c r="D31">
        <f ca="1">IF(Cashflows[[#This Row],[Month Num]]=4,-12,OFFSET(Cashflows[#This Row],-1,0)+1)</f>
        <v>-7</v>
      </c>
      <c r="E31">
        <f ca="1">IF(Cashflows[[#This Row],[Month]]="","",IFERROR(OFFSET(INDEX(OFFSET(Cashflow!$U$7,0,0,,CELL("col",CWS_Total) - CELL("col",Cashflow!$U$7)),MATCH(Cashflows[[#This Row],[MonthDate]],OFFSET(Cashflow!$U$7,0,0,,CELL("col",CWS_Total) - CELL("col",Cashflow!$U$7)),0)),MATCH("Total",Cashflow!$B:$B,0)-7,0),0))</f>
        <v>460514.61</v>
      </c>
      <c r="F31" s="228">
        <f ca="1">IFERROR(Cashflows[[#This Row],[Cashflow]]+IF(OFFSET(Cashflows[#This Row],-1,0)=Cashflows[[#Headers],[Cumulative]],0,IF(OFFSET(Cashflows[#This Row],-1,0)="",0,OFFSET(Cashflows[#This Row],-1,0))),"")</f>
        <v>11122213.210000001</v>
      </c>
      <c r="G31" s="228">
        <f ca="1">IF(Cashflows[[#This Row],[MonthDate]]&lt;&gt;"",INDEX(Cashflow!$U$142:$FQ$142,MATCH(Cashflows[[#This Row],[MonthDate]],Cashflow!$U$7:$FQ$7,0)),"")</f>
        <v>460514.61</v>
      </c>
      <c r="H31" s="228">
        <f ca="1">IF(Cashflows[[#This Row],[MonthDate]]&lt;&gt;"",INDEX(Cashflow!$U$143:$FQ$143,MATCH(Cashflows[[#This Row],[MonthDate]],Cashflow!$U$7:$FQ$7,0)),"")</f>
        <v>11122413.970000001</v>
      </c>
      <c r="I31" s="226">
        <f ca="1">IFERROR(DATEVALUE(Cashflows[[#This Row],[Month]]),"")</f>
        <v>43709</v>
      </c>
      <c r="J31" s="228" t="str">
        <f ca="1">IF(EOMONTH(TODAY(),-1)+1=Cashflows[[#This Row],[MonthDate]],MAX(Cashflows[Cumulative]),"")</f>
        <v/>
      </c>
    </row>
    <row r="32" spans="1:10">
      <c r="A32" t="str">
        <f ca="1">IF(OFFSET(Cashflows[#This Row],-1,0)=Cashflows[[#Headers],[Fiscal Year]],'Target Tracking'!$E$17,IF(Cashflows[[#This Row],[Month Num]]&lt;&gt;4,OFFSET(Cashflows[#This Row],-1,0),CONCATENATE(LEFT(OFFSET(Cashflows[#This Row],-1,0),4)+1,"-",RIGHT(OFFSET(Cashflows[#This Row],-1,0),2)+1)))</f>
        <v>2019-20</v>
      </c>
      <c r="B32">
        <f ca="1">IF(OFFSET(Cashflows[#This Row],-1,0)=Cashflows[[#Headers],[Month Num]],4,MONTH(EDATE(DATE(2000,OFFSET(Cashflows[#This Row],-1,0),1),1)))</f>
        <v>10</v>
      </c>
      <c r="C32" t="str">
        <f ca="1">IF(IFERROR(INDEX('Target Tracking'!$19:$19,,MATCH(Cashflows[[#This Row],[Fiscal Year]],'Target Tracking'!$17:$17,0)),0)&gt;0,TEXT(DATE(IF(Cashflows[[#This Row],[Month Num]]&gt;=4,LEFT(Cashflows[[#This Row],[Fiscal Year]],4),"20" &amp; RIGHT(Cashflows[[#This Row],[Fiscal Year]],2)),Cashflows[[#This Row],[Month Num]],1),"mmm yyyy"),"")</f>
        <v>Oct 2019</v>
      </c>
      <c r="D32">
        <f ca="1">IF(Cashflows[[#This Row],[Month Num]]=4,-12,OFFSET(Cashflows[#This Row],-1,0)+1)</f>
        <v>-6</v>
      </c>
      <c r="E32">
        <f ca="1">IF(Cashflows[[#This Row],[Month]]="","",IFERROR(OFFSET(INDEX(OFFSET(Cashflow!$U$7,0,0,,CELL("col",CWS_Total) - CELL("col",Cashflow!$U$7)),MATCH(Cashflows[[#This Row],[MonthDate]],OFFSET(Cashflow!$U$7,0,0,,CELL("col",CWS_Total) - CELL("col",Cashflow!$U$7)),0)),MATCH("Total",Cashflow!$B:$B,0)-7,0),0))</f>
        <v>618436.89</v>
      </c>
      <c r="F32" s="228">
        <f ca="1">IFERROR(Cashflows[[#This Row],[Cashflow]]+IF(OFFSET(Cashflows[#This Row],-1,0)=Cashflows[[#Headers],[Cumulative]],0,IF(OFFSET(Cashflows[#This Row],-1,0)="",0,OFFSET(Cashflows[#This Row],-1,0))),"")</f>
        <v>11740650.100000001</v>
      </c>
      <c r="G32" s="228">
        <f ca="1">IF(Cashflows[[#This Row],[MonthDate]]&lt;&gt;"",INDEX(Cashflow!$U$142:$FQ$142,MATCH(Cashflows[[#This Row],[MonthDate]],Cashflow!$U$7:$FQ$7,0)),"")</f>
        <v>618436.89</v>
      </c>
      <c r="H32" s="228">
        <f ca="1">IF(Cashflows[[#This Row],[MonthDate]]&lt;&gt;"",INDEX(Cashflow!$U$143:$FQ$143,MATCH(Cashflows[[#This Row],[MonthDate]],Cashflow!$U$7:$FQ$7,0)),"")</f>
        <v>11740850.860000001</v>
      </c>
      <c r="I32" s="226">
        <f ca="1">IFERROR(DATEVALUE(Cashflows[[#This Row],[Month]]),"")</f>
        <v>43739</v>
      </c>
      <c r="J32" s="228" t="str">
        <f ca="1">IF(EOMONTH(TODAY(),-1)+1=Cashflows[[#This Row],[MonthDate]],MAX(Cashflows[Cumulative]),"")</f>
        <v/>
      </c>
    </row>
    <row r="33" spans="1:10">
      <c r="A33" t="str">
        <f ca="1">IF(OFFSET(Cashflows[#This Row],-1,0)=Cashflows[[#Headers],[Fiscal Year]],'Target Tracking'!$E$17,IF(Cashflows[[#This Row],[Month Num]]&lt;&gt;4,OFFSET(Cashflows[#This Row],-1,0),CONCATENATE(LEFT(OFFSET(Cashflows[#This Row],-1,0),4)+1,"-",RIGHT(OFFSET(Cashflows[#This Row],-1,0),2)+1)))</f>
        <v>2019-20</v>
      </c>
      <c r="B33">
        <f ca="1">IF(OFFSET(Cashflows[#This Row],-1,0)=Cashflows[[#Headers],[Month Num]],4,MONTH(EDATE(DATE(2000,OFFSET(Cashflows[#This Row],-1,0),1),1)))</f>
        <v>11</v>
      </c>
      <c r="C33" t="str">
        <f ca="1">IF(IFERROR(INDEX('Target Tracking'!$19:$19,,MATCH(Cashflows[[#This Row],[Fiscal Year]],'Target Tracking'!$17:$17,0)),0)&gt;0,TEXT(DATE(IF(Cashflows[[#This Row],[Month Num]]&gt;=4,LEFT(Cashflows[[#This Row],[Fiscal Year]],4),"20" &amp; RIGHT(Cashflows[[#This Row],[Fiscal Year]],2)),Cashflows[[#This Row],[Month Num]],1),"mmm yyyy"),"")</f>
        <v>Nov 2019</v>
      </c>
      <c r="D33">
        <f ca="1">IF(Cashflows[[#This Row],[Month Num]]=4,-12,OFFSET(Cashflows[#This Row],-1,0)+1)</f>
        <v>-5</v>
      </c>
      <c r="E33">
        <f ca="1">IF(Cashflows[[#This Row],[Month]]="","",IFERROR(OFFSET(INDEX(OFFSET(Cashflow!$U$7,0,0,,CELL("col",CWS_Total) - CELL("col",Cashflow!$U$7)),MATCH(Cashflows[[#This Row],[MonthDate]],OFFSET(Cashflow!$U$7,0,0,,CELL("col",CWS_Total) - CELL("col",Cashflow!$U$7)),0)),MATCH("Total",Cashflow!$B:$B,0)-7,0),0))</f>
        <v>1382507.85</v>
      </c>
      <c r="F33" s="228">
        <f ca="1">IFERROR(Cashflows[[#This Row],[Cashflow]]+IF(OFFSET(Cashflows[#This Row],-1,0)=Cashflows[[#Headers],[Cumulative]],0,IF(OFFSET(Cashflows[#This Row],-1,0)="",0,OFFSET(Cashflows[#This Row],-1,0))),"")</f>
        <v>13123157.950000001</v>
      </c>
      <c r="G33" s="228">
        <f ca="1">IF(Cashflows[[#This Row],[MonthDate]]&lt;&gt;"",INDEX(Cashflow!$U$142:$FQ$142,MATCH(Cashflows[[#This Row],[MonthDate]],Cashflow!$U$7:$FQ$7,0)),"")</f>
        <v>1382507.85</v>
      </c>
      <c r="H33" s="228">
        <f ca="1">IF(Cashflows[[#This Row],[MonthDate]]&lt;&gt;"",INDEX(Cashflow!$U$143:$FQ$143,MATCH(Cashflows[[#This Row],[MonthDate]],Cashflow!$U$7:$FQ$7,0)),"")</f>
        <v>13123358.710000001</v>
      </c>
      <c r="I33" s="226">
        <f ca="1">IFERROR(DATEVALUE(Cashflows[[#This Row],[Month]]),"")</f>
        <v>43770</v>
      </c>
      <c r="J33" s="228" t="str">
        <f ca="1">IF(EOMONTH(TODAY(),-1)+1=Cashflows[[#This Row],[MonthDate]],MAX(Cashflows[Cumulative]),"")</f>
        <v/>
      </c>
    </row>
    <row r="34" spans="1:10">
      <c r="A34" t="str">
        <f ca="1">IF(OFFSET(Cashflows[#This Row],-1,0)=Cashflows[[#Headers],[Fiscal Year]],'Target Tracking'!$E$17,IF(Cashflows[[#This Row],[Month Num]]&lt;&gt;4,OFFSET(Cashflows[#This Row],-1,0),CONCATENATE(LEFT(OFFSET(Cashflows[#This Row],-1,0),4)+1,"-",RIGHT(OFFSET(Cashflows[#This Row],-1,0),2)+1)))</f>
        <v>2019-20</v>
      </c>
      <c r="B34">
        <f ca="1">IF(OFFSET(Cashflows[#This Row],-1,0)=Cashflows[[#Headers],[Month Num]],4,MONTH(EDATE(DATE(2000,OFFSET(Cashflows[#This Row],-1,0),1),1)))</f>
        <v>12</v>
      </c>
      <c r="C34" t="str">
        <f ca="1">IF(IFERROR(INDEX('Target Tracking'!$19:$19,,MATCH(Cashflows[[#This Row],[Fiscal Year]],'Target Tracking'!$17:$17,0)),0)&gt;0,TEXT(DATE(IF(Cashflows[[#This Row],[Month Num]]&gt;=4,LEFT(Cashflows[[#This Row],[Fiscal Year]],4),"20" &amp; RIGHT(Cashflows[[#This Row],[Fiscal Year]],2)),Cashflows[[#This Row],[Month Num]],1),"mmm yyyy"),"")</f>
        <v>Dec 2019</v>
      </c>
      <c r="D34">
        <f ca="1">IF(Cashflows[[#This Row],[Month Num]]=4,-12,OFFSET(Cashflows[#This Row],-1,0)+1)</f>
        <v>-4</v>
      </c>
      <c r="E34">
        <f ca="1">IF(Cashflows[[#This Row],[Month]]="","",IFERROR(OFFSET(INDEX(OFFSET(Cashflow!$U$7,0,0,,CELL("col",CWS_Total) - CELL("col",Cashflow!$U$7)),MATCH(Cashflows[[#This Row],[MonthDate]],OFFSET(Cashflow!$U$7,0,0,,CELL("col",CWS_Total) - CELL("col",Cashflow!$U$7)),0)),MATCH("Total",Cashflow!$B:$B,0)-7,0),0))</f>
        <v>244742.35</v>
      </c>
      <c r="F34" s="228">
        <f ca="1">IFERROR(Cashflows[[#This Row],[Cashflow]]+IF(OFFSET(Cashflows[#This Row],-1,0)=Cashflows[[#Headers],[Cumulative]],0,IF(OFFSET(Cashflows[#This Row],-1,0)="",0,OFFSET(Cashflows[#This Row],-1,0))),"")</f>
        <v>13367900.300000001</v>
      </c>
      <c r="G34" s="228">
        <f ca="1">IF(Cashflows[[#This Row],[MonthDate]]&lt;&gt;"",INDEX(Cashflow!$U$142:$FQ$142,MATCH(Cashflows[[#This Row],[MonthDate]],Cashflow!$U$7:$FQ$7,0)),"")</f>
        <v>244742.35</v>
      </c>
      <c r="H34" s="228">
        <f ca="1">IF(Cashflows[[#This Row],[MonthDate]]&lt;&gt;"",INDEX(Cashflow!$U$143:$FQ$143,MATCH(Cashflows[[#This Row],[MonthDate]],Cashflow!$U$7:$FQ$7,0)),"")</f>
        <v>13368101.060000001</v>
      </c>
      <c r="I34" s="226">
        <f ca="1">IFERROR(DATEVALUE(Cashflows[[#This Row],[Month]]),"")</f>
        <v>43800</v>
      </c>
      <c r="J34" s="228" t="str">
        <f ca="1">IF(EOMONTH(TODAY(),-1)+1=Cashflows[[#This Row],[MonthDate]],MAX(Cashflows[Cumulative]),"")</f>
        <v/>
      </c>
    </row>
    <row r="35" spans="1:10">
      <c r="A35" t="str">
        <f ca="1">IF(OFFSET(Cashflows[#This Row],-1,0)=Cashflows[[#Headers],[Fiscal Year]],'Target Tracking'!$E$17,IF(Cashflows[[#This Row],[Month Num]]&lt;&gt;4,OFFSET(Cashflows[#This Row],-1,0),CONCATENATE(LEFT(OFFSET(Cashflows[#This Row],-1,0),4)+1,"-",RIGHT(OFFSET(Cashflows[#This Row],-1,0),2)+1)))</f>
        <v>2019-20</v>
      </c>
      <c r="B35">
        <f ca="1">IF(OFFSET(Cashflows[#This Row],-1,0)=Cashflows[[#Headers],[Month Num]],4,MONTH(EDATE(DATE(2000,OFFSET(Cashflows[#This Row],-1,0),1),1)))</f>
        <v>1</v>
      </c>
      <c r="C35" t="str">
        <f ca="1">IF(IFERROR(INDEX('Target Tracking'!$19:$19,,MATCH(Cashflows[[#This Row],[Fiscal Year]],'Target Tracking'!$17:$17,0)),0)&gt;0,TEXT(DATE(IF(Cashflows[[#This Row],[Month Num]]&gt;=4,LEFT(Cashflows[[#This Row],[Fiscal Year]],4),"20" &amp; RIGHT(Cashflows[[#This Row],[Fiscal Year]],2)),Cashflows[[#This Row],[Month Num]],1),"mmm yyyy"),"")</f>
        <v>Jan 2020</v>
      </c>
      <c r="D35">
        <f ca="1">IF(Cashflows[[#This Row],[Month Num]]=4,-12,OFFSET(Cashflows[#This Row],-1,0)+1)</f>
        <v>-3</v>
      </c>
      <c r="E35">
        <f ca="1">IF(Cashflows[[#This Row],[Month]]="","",IFERROR(OFFSET(INDEX(OFFSET(Cashflow!$U$7,0,0,,CELL("col",CWS_Total) - CELL("col",Cashflow!$U$7)),MATCH(Cashflows[[#This Row],[MonthDate]],OFFSET(Cashflow!$U$7,0,0,,CELL("col",CWS_Total) - CELL("col",Cashflow!$U$7)),0)),MATCH("Total",Cashflow!$B:$B,0)-7,0),0))</f>
        <v>160547.64000000001</v>
      </c>
      <c r="F35" s="228">
        <f ca="1">IFERROR(Cashflows[[#This Row],[Cashflow]]+IF(OFFSET(Cashflows[#This Row],-1,0)=Cashflows[[#Headers],[Cumulative]],0,IF(OFFSET(Cashflows[#This Row],-1,0)="",0,OFFSET(Cashflows[#This Row],-1,0))),"")</f>
        <v>13528447.940000001</v>
      </c>
      <c r="G35" s="228">
        <f ca="1">IF(Cashflows[[#This Row],[MonthDate]]&lt;&gt;"",INDEX(Cashflow!$U$142:$FQ$142,MATCH(Cashflows[[#This Row],[MonthDate]],Cashflow!$U$7:$FQ$7,0)),"")</f>
        <v>160547.64000000001</v>
      </c>
      <c r="H35" s="228">
        <f ca="1">IF(Cashflows[[#This Row],[MonthDate]]&lt;&gt;"",INDEX(Cashflow!$U$143:$FQ$143,MATCH(Cashflows[[#This Row],[MonthDate]],Cashflow!$U$7:$FQ$7,0)),"")</f>
        <v>13528648.700000001</v>
      </c>
      <c r="I35" s="226">
        <f ca="1">IFERROR(DATEVALUE(Cashflows[[#This Row],[Month]]),"")</f>
        <v>43831</v>
      </c>
      <c r="J35" s="228" t="str">
        <f ca="1">IF(EOMONTH(TODAY(),-1)+1=Cashflows[[#This Row],[MonthDate]],MAX(Cashflows[Cumulative]),"")</f>
        <v/>
      </c>
    </row>
    <row r="36" spans="1:10">
      <c r="A36" t="str">
        <f ca="1">IF(OFFSET(Cashflows[#This Row],-1,0)=Cashflows[[#Headers],[Fiscal Year]],'Target Tracking'!$E$17,IF(Cashflows[[#This Row],[Month Num]]&lt;&gt;4,OFFSET(Cashflows[#This Row],-1,0),CONCATENATE(LEFT(OFFSET(Cashflows[#This Row],-1,0),4)+1,"-",RIGHT(OFFSET(Cashflows[#This Row],-1,0),2)+1)))</f>
        <v>2019-20</v>
      </c>
      <c r="B36">
        <f ca="1">IF(OFFSET(Cashflows[#This Row],-1,0)=Cashflows[[#Headers],[Month Num]],4,MONTH(EDATE(DATE(2000,OFFSET(Cashflows[#This Row],-1,0),1),1)))</f>
        <v>2</v>
      </c>
      <c r="C36" t="str">
        <f ca="1">IF(IFERROR(INDEX('Target Tracking'!$19:$19,,MATCH(Cashflows[[#This Row],[Fiscal Year]],'Target Tracking'!$17:$17,0)),0)&gt;0,TEXT(DATE(IF(Cashflows[[#This Row],[Month Num]]&gt;=4,LEFT(Cashflows[[#This Row],[Fiscal Year]],4),"20" &amp; RIGHT(Cashflows[[#This Row],[Fiscal Year]],2)),Cashflows[[#This Row],[Month Num]],1),"mmm yyyy"),"")</f>
        <v>Feb 2020</v>
      </c>
      <c r="D36">
        <f ca="1">IF(Cashflows[[#This Row],[Month Num]]=4,-12,OFFSET(Cashflows[#This Row],-1,0)+1)</f>
        <v>-2</v>
      </c>
      <c r="E36">
        <f ca="1">IF(Cashflows[[#This Row],[Month]]="","",IFERROR(OFFSET(INDEX(OFFSET(Cashflow!$U$7,0,0,,CELL("col",CWS_Total) - CELL("col",Cashflow!$U$7)),MATCH(Cashflows[[#This Row],[MonthDate]],OFFSET(Cashflow!$U$7,0,0,,CELL("col",CWS_Total) - CELL("col",Cashflow!$U$7)),0)),MATCH("Total",Cashflow!$B:$B,0)-7,0),0))</f>
        <v>54663.83</v>
      </c>
      <c r="F36" s="228">
        <f ca="1">IFERROR(Cashflows[[#This Row],[Cashflow]]+IF(OFFSET(Cashflows[#This Row],-1,0)=Cashflows[[#Headers],[Cumulative]],0,IF(OFFSET(Cashflows[#This Row],-1,0)="",0,OFFSET(Cashflows[#This Row],-1,0))),"")</f>
        <v>13583111.770000001</v>
      </c>
      <c r="G36" s="228">
        <f ca="1">IF(Cashflows[[#This Row],[MonthDate]]&lt;&gt;"",INDEX(Cashflow!$U$142:$FQ$142,MATCH(Cashflows[[#This Row],[MonthDate]],Cashflow!$U$7:$FQ$7,0)),"")</f>
        <v>54663.83</v>
      </c>
      <c r="H36" s="228">
        <f ca="1">IF(Cashflows[[#This Row],[MonthDate]]&lt;&gt;"",INDEX(Cashflow!$U$143:$FQ$143,MATCH(Cashflows[[#This Row],[MonthDate]],Cashflow!$U$7:$FQ$7,0)),"")</f>
        <v>13583312.530000001</v>
      </c>
      <c r="I36" s="226">
        <f ca="1">IFERROR(DATEVALUE(Cashflows[[#This Row],[Month]]),"")</f>
        <v>43862</v>
      </c>
      <c r="J36" s="228" t="str">
        <f ca="1">IF(EOMONTH(TODAY(),-1)+1=Cashflows[[#This Row],[MonthDate]],MAX(Cashflows[Cumulative]),"")</f>
        <v/>
      </c>
    </row>
    <row r="37" spans="1:10">
      <c r="A37" t="str">
        <f ca="1">IF(OFFSET(Cashflows[#This Row],-1,0)=Cashflows[[#Headers],[Fiscal Year]],'Target Tracking'!$E$17,IF(Cashflows[[#This Row],[Month Num]]&lt;&gt;4,OFFSET(Cashflows[#This Row],-1,0),CONCATENATE(LEFT(OFFSET(Cashflows[#This Row],-1,0),4)+1,"-",RIGHT(OFFSET(Cashflows[#This Row],-1,0),2)+1)))</f>
        <v>2019-20</v>
      </c>
      <c r="B37">
        <f ca="1">IF(OFFSET(Cashflows[#This Row],-1,0)=Cashflows[[#Headers],[Month Num]],4,MONTH(EDATE(DATE(2000,OFFSET(Cashflows[#This Row],-1,0),1),1)))</f>
        <v>3</v>
      </c>
      <c r="C37" t="str">
        <f ca="1">IF(IFERROR(INDEX('Target Tracking'!$19:$19,,MATCH(Cashflows[[#This Row],[Fiscal Year]],'Target Tracking'!$17:$17,0)),0)&gt;0,TEXT(DATE(IF(Cashflows[[#This Row],[Month Num]]&gt;=4,LEFT(Cashflows[[#This Row],[Fiscal Year]],4),"20" &amp; RIGHT(Cashflows[[#This Row],[Fiscal Year]],2)),Cashflows[[#This Row],[Month Num]],1),"mmm yyyy"),"")</f>
        <v>Mar 2020</v>
      </c>
      <c r="D37">
        <f ca="1">IF(Cashflows[[#This Row],[Month Num]]=4,-12,OFFSET(Cashflows[#This Row],-1,0)+1)</f>
        <v>-1</v>
      </c>
      <c r="E37">
        <f ca="1">IF(Cashflows[[#This Row],[Month]]="","",IFERROR(OFFSET(INDEX(OFFSET(Cashflow!$U$7,0,0,,CELL("col",CWS_Total) - CELL("col",Cashflow!$U$7)),MATCH(Cashflows[[#This Row],[MonthDate]],OFFSET(Cashflow!$U$7,0,0,,CELL("col",CWS_Total) - CELL("col",Cashflow!$U$7)),0)),MATCH("Total",Cashflow!$B:$B,0)-7,0),0))</f>
        <v>154625.39000000001</v>
      </c>
      <c r="F37" s="228">
        <f ca="1">IFERROR(Cashflows[[#This Row],[Cashflow]]+IF(OFFSET(Cashflows[#This Row],-1,0)=Cashflows[[#Headers],[Cumulative]],0,IF(OFFSET(Cashflows[#This Row],-1,0)="",0,OFFSET(Cashflows[#This Row],-1,0))),"")</f>
        <v>13737737.160000002</v>
      </c>
      <c r="G37" s="228">
        <f ca="1">IF(Cashflows[[#This Row],[MonthDate]]&lt;&gt;"",INDEX(Cashflow!$U$142:$FQ$142,MATCH(Cashflows[[#This Row],[MonthDate]],Cashflow!$U$7:$FQ$7,0)),"")</f>
        <v>154625.39000000001</v>
      </c>
      <c r="H37" s="228">
        <f ca="1">IF(Cashflows[[#This Row],[MonthDate]]&lt;&gt;"",INDEX(Cashflow!$U$143:$FQ$143,MATCH(Cashflows[[#This Row],[MonthDate]],Cashflow!$U$7:$FQ$7,0)),"")</f>
        <v>13737937.920000002</v>
      </c>
      <c r="I37" s="226">
        <f ca="1">IFERROR(DATEVALUE(Cashflows[[#This Row],[Month]]),"")</f>
        <v>43891</v>
      </c>
      <c r="J37" s="228" t="str">
        <f ca="1">IF(EOMONTH(TODAY(),-1)+1=Cashflows[[#This Row],[MonthDate]],MAX(Cashflows[Cumulative]),"")</f>
        <v/>
      </c>
    </row>
    <row r="38" spans="1:10">
      <c r="A38" t="str">
        <f ca="1">IF(OFFSET(Cashflows[#This Row],-1,0)=Cashflows[[#Headers],[Fiscal Year]],'Target Tracking'!$E$17,IF(Cashflows[[#This Row],[Month Num]]&lt;&gt;4,OFFSET(Cashflows[#This Row],-1,0),CONCATENATE(LEFT(OFFSET(Cashflows[#This Row],-1,0),4)+1,"-",RIGHT(OFFSET(Cashflows[#This Row],-1,0),2)+1)))</f>
        <v>2020-21</v>
      </c>
      <c r="B38">
        <f ca="1">IF(OFFSET(Cashflows[#This Row],-1,0)=Cashflows[[#Headers],[Month Num]],4,MONTH(EDATE(DATE(2000,OFFSET(Cashflows[#This Row],-1,0),1),1)))</f>
        <v>4</v>
      </c>
      <c r="C38" t="str">
        <f ca="1">IF(IFERROR(INDEX('Target Tracking'!$19:$19,,MATCH(Cashflows[[#This Row],[Fiscal Year]],'Target Tracking'!$17:$17,0)),0)&gt;0,TEXT(DATE(IF(Cashflows[[#This Row],[Month Num]]&gt;=4,LEFT(Cashflows[[#This Row],[Fiscal Year]],4),"20" &amp; RIGHT(Cashflows[[#This Row],[Fiscal Year]],2)),Cashflows[[#This Row],[Month Num]],1),"mmm yyyy"),"")</f>
        <v>Apr 2020</v>
      </c>
      <c r="D38">
        <f ca="1">IF(Cashflows[[#This Row],[Month Num]]=4,-12,OFFSET(Cashflows[#This Row],-1,0)+1)</f>
        <v>-12</v>
      </c>
      <c r="E38">
        <f ca="1">IF(Cashflows[[#This Row],[Month]]="","",IFERROR(OFFSET(INDEX(OFFSET(Cashflow!$U$7,0,0,,CELL("col",CWS_Total) - CELL("col",Cashflow!$U$7)),MATCH(Cashflows[[#This Row],[MonthDate]],OFFSET(Cashflow!$U$7,0,0,,CELL("col",CWS_Total) - CELL("col",Cashflow!$U$7)),0)),MATCH("Total",Cashflow!$B:$B,0)-7,0),0))</f>
        <v>32009.22</v>
      </c>
      <c r="F38" s="228">
        <f ca="1">IFERROR(Cashflows[[#This Row],[Cashflow]]+IF(OFFSET(Cashflows[#This Row],-1,0)=Cashflows[[#Headers],[Cumulative]],0,IF(OFFSET(Cashflows[#This Row],-1,0)="",0,OFFSET(Cashflows[#This Row],-1,0))),"")</f>
        <v>13769746.380000003</v>
      </c>
      <c r="G38" s="228">
        <f ca="1">IF(Cashflows[[#This Row],[MonthDate]]&lt;&gt;"",INDEX(Cashflow!$U$142:$FQ$142,MATCH(Cashflows[[#This Row],[MonthDate]],Cashflow!$U$7:$FQ$7,0)),"")</f>
        <v>32009.22</v>
      </c>
      <c r="H38" s="228">
        <f ca="1">IF(Cashflows[[#This Row],[MonthDate]]&lt;&gt;"",INDEX(Cashflow!$U$143:$FQ$143,MATCH(Cashflows[[#This Row],[MonthDate]],Cashflow!$U$7:$FQ$7,0)),"")</f>
        <v>13769947.140000002</v>
      </c>
      <c r="I38" s="226">
        <f ca="1">IFERROR(DATEVALUE(Cashflows[[#This Row],[Month]]),"")</f>
        <v>43922</v>
      </c>
      <c r="J38" s="228" t="str">
        <f ca="1">IF(EOMONTH(TODAY(),-1)+1=Cashflows[[#This Row],[MonthDate]],MAX(Cashflows[Cumulative]),"")</f>
        <v/>
      </c>
    </row>
    <row r="39" spans="1:10">
      <c r="A39" t="str">
        <f ca="1">IF(OFFSET(Cashflows[#This Row],-1,0)=Cashflows[[#Headers],[Fiscal Year]],'Target Tracking'!$E$17,IF(Cashflows[[#This Row],[Month Num]]&lt;&gt;4,OFFSET(Cashflows[#This Row],-1,0),CONCATENATE(LEFT(OFFSET(Cashflows[#This Row],-1,0),4)+1,"-",RIGHT(OFFSET(Cashflows[#This Row],-1,0),2)+1)))</f>
        <v>2020-21</v>
      </c>
      <c r="B39">
        <f ca="1">IF(OFFSET(Cashflows[#This Row],-1,0)=Cashflows[[#Headers],[Month Num]],4,MONTH(EDATE(DATE(2000,OFFSET(Cashflows[#This Row],-1,0),1),1)))</f>
        <v>5</v>
      </c>
      <c r="C39" t="str">
        <f ca="1">IF(IFERROR(INDEX('Target Tracking'!$19:$19,,MATCH(Cashflows[[#This Row],[Fiscal Year]],'Target Tracking'!$17:$17,0)),0)&gt;0,TEXT(DATE(IF(Cashflows[[#This Row],[Month Num]]&gt;=4,LEFT(Cashflows[[#This Row],[Fiscal Year]],4),"20" &amp; RIGHT(Cashflows[[#This Row],[Fiscal Year]],2)),Cashflows[[#This Row],[Month Num]],1),"mmm yyyy"),"")</f>
        <v>May 2020</v>
      </c>
      <c r="D39">
        <f ca="1">IF(Cashflows[[#This Row],[Month Num]]=4,-12,OFFSET(Cashflows[#This Row],-1,0)+1)</f>
        <v>-11</v>
      </c>
      <c r="E39">
        <f ca="1">IF(Cashflows[[#This Row],[Month]]="","",IFERROR(OFFSET(INDEX(OFFSET(Cashflow!$U$7,0,0,,CELL("col",CWS_Total) - CELL("col",Cashflow!$U$7)),MATCH(Cashflows[[#This Row],[MonthDate]],OFFSET(Cashflow!$U$7,0,0,,CELL("col",CWS_Total) - CELL("col",Cashflow!$U$7)),0)),MATCH("Total",Cashflow!$B:$B,0)-7,0),0))</f>
        <v>87225.77</v>
      </c>
      <c r="F39" s="228">
        <f ca="1">IFERROR(Cashflows[[#This Row],[Cashflow]]+IF(OFFSET(Cashflows[#This Row],-1,0)=Cashflows[[#Headers],[Cumulative]],0,IF(OFFSET(Cashflows[#This Row],-1,0)="",0,OFFSET(Cashflows[#This Row],-1,0))),"")</f>
        <v>13856972.150000002</v>
      </c>
      <c r="G39" s="228">
        <f ca="1">IF(Cashflows[[#This Row],[MonthDate]]&lt;&gt;"",INDEX(Cashflow!$U$142:$FQ$142,MATCH(Cashflows[[#This Row],[MonthDate]],Cashflow!$U$7:$FQ$7,0)),"")</f>
        <v>87225.77</v>
      </c>
      <c r="H39" s="228">
        <f ca="1">IF(Cashflows[[#This Row],[MonthDate]]&lt;&gt;"",INDEX(Cashflow!$U$143:$FQ$143,MATCH(Cashflows[[#This Row],[MonthDate]],Cashflow!$U$7:$FQ$7,0)),"")</f>
        <v>13857172.910000002</v>
      </c>
      <c r="I39" s="226">
        <f ca="1">IFERROR(DATEVALUE(Cashflows[[#This Row],[Month]]),"")</f>
        <v>43952</v>
      </c>
      <c r="J39" s="228" t="str">
        <f ca="1">IF(EOMONTH(TODAY(),-1)+1=Cashflows[[#This Row],[MonthDate]],MAX(Cashflows[Cumulative]),"")</f>
        <v/>
      </c>
    </row>
    <row r="40" spans="1:10">
      <c r="A40" t="str">
        <f ca="1">IF(OFFSET(Cashflows[#This Row],-1,0)=Cashflows[[#Headers],[Fiscal Year]],'Target Tracking'!$E$17,IF(Cashflows[[#This Row],[Month Num]]&lt;&gt;4,OFFSET(Cashflows[#This Row],-1,0),CONCATENATE(LEFT(OFFSET(Cashflows[#This Row],-1,0),4)+1,"-",RIGHT(OFFSET(Cashflows[#This Row],-1,0),2)+1)))</f>
        <v>2020-21</v>
      </c>
      <c r="B40">
        <f ca="1">IF(OFFSET(Cashflows[#This Row],-1,0)=Cashflows[[#Headers],[Month Num]],4,MONTH(EDATE(DATE(2000,OFFSET(Cashflows[#This Row],-1,0),1),1)))</f>
        <v>6</v>
      </c>
      <c r="C40" t="str">
        <f ca="1">IF(IFERROR(INDEX('Target Tracking'!$19:$19,,MATCH(Cashflows[[#This Row],[Fiscal Year]],'Target Tracking'!$17:$17,0)),0)&gt;0,TEXT(DATE(IF(Cashflows[[#This Row],[Month Num]]&gt;=4,LEFT(Cashflows[[#This Row],[Fiscal Year]],4),"20" &amp; RIGHT(Cashflows[[#This Row],[Fiscal Year]],2)),Cashflows[[#This Row],[Month Num]],1),"mmm yyyy"),"")</f>
        <v>Jun 2020</v>
      </c>
      <c r="D40">
        <f ca="1">IF(Cashflows[[#This Row],[Month Num]]=4,-12,OFFSET(Cashflows[#This Row],-1,0)+1)</f>
        <v>-10</v>
      </c>
      <c r="E40">
        <f ca="1">IF(Cashflows[[#This Row],[Month]]="","",IFERROR(OFFSET(INDEX(OFFSET(Cashflow!$U$7,0,0,,CELL("col",CWS_Total) - CELL("col",Cashflow!$U$7)),MATCH(Cashflows[[#This Row],[MonthDate]],OFFSET(Cashflow!$U$7,0,0,,CELL("col",CWS_Total) - CELL("col",Cashflow!$U$7)),0)),MATCH("Total",Cashflow!$B:$B,0)-7,0),0))</f>
        <v>147894.70000000001</v>
      </c>
      <c r="F40" s="228">
        <f ca="1">IFERROR(Cashflows[[#This Row],[Cashflow]]+IF(OFFSET(Cashflows[#This Row],-1,0)=Cashflows[[#Headers],[Cumulative]],0,IF(OFFSET(Cashflows[#This Row],-1,0)="",0,OFFSET(Cashflows[#This Row],-1,0))),"")</f>
        <v>14004866.850000001</v>
      </c>
      <c r="G40" s="228">
        <f ca="1">IF(Cashflows[[#This Row],[MonthDate]]&lt;&gt;"",INDEX(Cashflow!$U$142:$FQ$142,MATCH(Cashflows[[#This Row],[MonthDate]],Cashflow!$U$7:$FQ$7,0)),"")</f>
        <v>147894.70000000001</v>
      </c>
      <c r="H40" s="228">
        <f ca="1">IF(Cashflows[[#This Row],[MonthDate]]&lt;&gt;"",INDEX(Cashflow!$U$143:$FQ$143,MATCH(Cashflows[[#This Row],[MonthDate]],Cashflow!$U$7:$FQ$7,0)),"")</f>
        <v>14005067.610000001</v>
      </c>
      <c r="I40" s="226">
        <f ca="1">IFERROR(DATEVALUE(Cashflows[[#This Row],[Month]]),"")</f>
        <v>43983</v>
      </c>
      <c r="J40" s="228" t="str">
        <f ca="1">IF(EOMONTH(TODAY(),-1)+1=Cashflows[[#This Row],[MonthDate]],MAX(Cashflows[Cumulative]),"")</f>
        <v/>
      </c>
    </row>
    <row r="41" spans="1:10">
      <c r="A41" t="str">
        <f ca="1">IF(OFFSET(Cashflows[#This Row],-1,0)=Cashflows[[#Headers],[Fiscal Year]],'Target Tracking'!$E$17,IF(Cashflows[[#This Row],[Month Num]]&lt;&gt;4,OFFSET(Cashflows[#This Row],-1,0),CONCATENATE(LEFT(OFFSET(Cashflows[#This Row],-1,0),4)+1,"-",RIGHT(OFFSET(Cashflows[#This Row],-1,0),2)+1)))</f>
        <v>2020-21</v>
      </c>
      <c r="B41">
        <f ca="1">IF(OFFSET(Cashflows[#This Row],-1,0)=Cashflows[[#Headers],[Month Num]],4,MONTH(EDATE(DATE(2000,OFFSET(Cashflows[#This Row],-1,0),1),1)))</f>
        <v>7</v>
      </c>
      <c r="C41" t="str">
        <f ca="1">IF(IFERROR(INDEX('Target Tracking'!$19:$19,,MATCH(Cashflows[[#This Row],[Fiscal Year]],'Target Tracking'!$17:$17,0)),0)&gt;0,TEXT(DATE(IF(Cashflows[[#This Row],[Month Num]]&gt;=4,LEFT(Cashflows[[#This Row],[Fiscal Year]],4),"20" &amp; RIGHT(Cashflows[[#This Row],[Fiscal Year]],2)),Cashflows[[#This Row],[Month Num]],1),"mmm yyyy"),"")</f>
        <v>Jul 2020</v>
      </c>
      <c r="D41">
        <f ca="1">IF(Cashflows[[#This Row],[Month Num]]=4,-12,OFFSET(Cashflows[#This Row],-1,0)+1)</f>
        <v>-9</v>
      </c>
      <c r="E41">
        <f ca="1">IF(Cashflows[[#This Row],[Month]]="","",IFERROR(OFFSET(INDEX(OFFSET(Cashflow!$U$7,0,0,,CELL("col",CWS_Total) - CELL("col",Cashflow!$U$7)),MATCH(Cashflows[[#This Row],[MonthDate]],OFFSET(Cashflow!$U$7,0,0,,CELL("col",CWS_Total) - CELL("col",Cashflow!$U$7)),0)),MATCH("Total",Cashflow!$B:$B,0)-7,0),0))</f>
        <v>159353.51</v>
      </c>
      <c r="F41" s="228">
        <f ca="1">IFERROR(Cashflows[[#This Row],[Cashflow]]+IF(OFFSET(Cashflows[#This Row],-1,0)=Cashflows[[#Headers],[Cumulative]],0,IF(OFFSET(Cashflows[#This Row],-1,0)="",0,OFFSET(Cashflows[#This Row],-1,0))),"")</f>
        <v>14164220.360000001</v>
      </c>
      <c r="G41" s="228">
        <f ca="1">IF(Cashflows[[#This Row],[MonthDate]]&lt;&gt;"",INDEX(Cashflow!$U$142:$FQ$142,MATCH(Cashflows[[#This Row],[MonthDate]],Cashflow!$U$7:$FQ$7,0)),"")</f>
        <v>159353.51</v>
      </c>
      <c r="H41" s="228">
        <f ca="1">IF(Cashflows[[#This Row],[MonthDate]]&lt;&gt;"",INDEX(Cashflow!$U$143:$FQ$143,MATCH(Cashflows[[#This Row],[MonthDate]],Cashflow!$U$7:$FQ$7,0)),"")</f>
        <v>14164421.120000001</v>
      </c>
      <c r="I41" s="226">
        <f ca="1">IFERROR(DATEVALUE(Cashflows[[#This Row],[Month]]),"")</f>
        <v>44013</v>
      </c>
      <c r="J41" s="228" t="str">
        <f ca="1">IF(EOMONTH(TODAY(),-1)+1=Cashflows[[#This Row],[MonthDate]],MAX(Cashflows[Cumulative]),"")</f>
        <v/>
      </c>
    </row>
    <row r="42" spans="1:10">
      <c r="A42" t="str">
        <f ca="1">IF(OFFSET(Cashflows[#This Row],-1,0)=Cashflows[[#Headers],[Fiscal Year]],'Target Tracking'!$E$17,IF(Cashflows[[#This Row],[Month Num]]&lt;&gt;4,OFFSET(Cashflows[#This Row],-1,0),CONCATENATE(LEFT(OFFSET(Cashflows[#This Row],-1,0),4)+1,"-",RIGHT(OFFSET(Cashflows[#This Row],-1,0),2)+1)))</f>
        <v>2020-21</v>
      </c>
      <c r="B42">
        <f ca="1">IF(OFFSET(Cashflows[#This Row],-1,0)=Cashflows[[#Headers],[Month Num]],4,MONTH(EDATE(DATE(2000,OFFSET(Cashflows[#This Row],-1,0),1),1)))</f>
        <v>8</v>
      </c>
      <c r="C42" t="str">
        <f ca="1">IF(IFERROR(INDEX('Target Tracking'!$19:$19,,MATCH(Cashflows[[#This Row],[Fiscal Year]],'Target Tracking'!$17:$17,0)),0)&gt;0,TEXT(DATE(IF(Cashflows[[#This Row],[Month Num]]&gt;=4,LEFT(Cashflows[[#This Row],[Fiscal Year]],4),"20" &amp; RIGHT(Cashflows[[#This Row],[Fiscal Year]],2)),Cashflows[[#This Row],[Month Num]],1),"mmm yyyy"),"")</f>
        <v>Aug 2020</v>
      </c>
      <c r="D42">
        <f ca="1">IF(Cashflows[[#This Row],[Month Num]]=4,-12,OFFSET(Cashflows[#This Row],-1,0)+1)</f>
        <v>-8</v>
      </c>
      <c r="E42">
        <f ca="1">IF(Cashflows[[#This Row],[Month]]="","",IFERROR(OFFSET(INDEX(OFFSET(Cashflow!$U$7,0,0,,CELL("col",CWS_Total) - CELL("col",Cashflow!$U$7)),MATCH(Cashflows[[#This Row],[MonthDate]],OFFSET(Cashflow!$U$7,0,0,,CELL("col",CWS_Total) - CELL("col",Cashflow!$U$7)),0)),MATCH("Total",Cashflow!$B:$B,0)-7,0),0))</f>
        <v>235597.81</v>
      </c>
      <c r="F42" s="228">
        <f ca="1">IFERROR(Cashflows[[#This Row],[Cashflow]]+IF(OFFSET(Cashflows[#This Row],-1,0)=Cashflows[[#Headers],[Cumulative]],0,IF(OFFSET(Cashflows[#This Row],-1,0)="",0,OFFSET(Cashflows[#This Row],-1,0))),"")</f>
        <v>14399818.170000002</v>
      </c>
      <c r="G42" s="228">
        <f ca="1">IF(Cashflows[[#This Row],[MonthDate]]&lt;&gt;"",INDEX(Cashflow!$U$142:$FQ$142,MATCH(Cashflows[[#This Row],[MonthDate]],Cashflow!$U$7:$FQ$7,0)),"")</f>
        <v>235597.81</v>
      </c>
      <c r="H42" s="228">
        <f ca="1">IF(Cashflows[[#This Row],[MonthDate]]&lt;&gt;"",INDEX(Cashflow!$U$143:$FQ$143,MATCH(Cashflows[[#This Row],[MonthDate]],Cashflow!$U$7:$FQ$7,0)),"")</f>
        <v>14400018.930000002</v>
      </c>
      <c r="I42" s="226">
        <f ca="1">IFERROR(DATEVALUE(Cashflows[[#This Row],[Month]]),"")</f>
        <v>44044</v>
      </c>
      <c r="J42" s="228" t="str">
        <f ca="1">IF(EOMONTH(TODAY(),-1)+1=Cashflows[[#This Row],[MonthDate]],MAX(Cashflows[Cumulative]),"")</f>
        <v/>
      </c>
    </row>
    <row r="43" spans="1:10">
      <c r="A43" t="str">
        <f ca="1">IF(OFFSET(Cashflows[#This Row],-1,0)=Cashflows[[#Headers],[Fiscal Year]],'Target Tracking'!$E$17,IF(Cashflows[[#This Row],[Month Num]]&lt;&gt;4,OFFSET(Cashflows[#This Row],-1,0),CONCATENATE(LEFT(OFFSET(Cashflows[#This Row],-1,0),4)+1,"-",RIGHT(OFFSET(Cashflows[#This Row],-1,0),2)+1)))</f>
        <v>2020-21</v>
      </c>
      <c r="B43">
        <f ca="1">IF(OFFSET(Cashflows[#This Row],-1,0)=Cashflows[[#Headers],[Month Num]],4,MONTH(EDATE(DATE(2000,OFFSET(Cashflows[#This Row],-1,0),1),1)))</f>
        <v>9</v>
      </c>
      <c r="C43" t="str">
        <f ca="1">IF(IFERROR(INDEX('Target Tracking'!$19:$19,,MATCH(Cashflows[[#This Row],[Fiscal Year]],'Target Tracking'!$17:$17,0)),0)&gt;0,TEXT(DATE(IF(Cashflows[[#This Row],[Month Num]]&gt;=4,LEFT(Cashflows[[#This Row],[Fiscal Year]],4),"20" &amp; RIGHT(Cashflows[[#This Row],[Fiscal Year]],2)),Cashflows[[#This Row],[Month Num]],1),"mmm yyyy"),"")</f>
        <v>Sep 2020</v>
      </c>
      <c r="D43">
        <f ca="1">IF(Cashflows[[#This Row],[Month Num]]=4,-12,OFFSET(Cashflows[#This Row],-1,0)+1)</f>
        <v>-7</v>
      </c>
      <c r="E43">
        <f ca="1">IF(Cashflows[[#This Row],[Month]]="","",IFERROR(OFFSET(INDEX(OFFSET(Cashflow!$U$7,0,0,,CELL("col",CWS_Total) - CELL("col",Cashflow!$U$7)),MATCH(Cashflows[[#This Row],[MonthDate]],OFFSET(Cashflow!$U$7,0,0,,CELL("col",CWS_Total) - CELL("col",Cashflow!$U$7)),0)),MATCH("Total",Cashflow!$B:$B,0)-7,0),0))</f>
        <v>2787597.66</v>
      </c>
      <c r="F43" s="228">
        <f ca="1">IFERROR(Cashflows[[#This Row],[Cashflow]]+IF(OFFSET(Cashflows[#This Row],-1,0)=Cashflows[[#Headers],[Cumulative]],0,IF(OFFSET(Cashflows[#This Row],-1,0)="",0,OFFSET(Cashflows[#This Row],-1,0))),"")</f>
        <v>17187415.830000002</v>
      </c>
      <c r="G43" s="228">
        <f ca="1">IF(Cashflows[[#This Row],[MonthDate]]&lt;&gt;"",INDEX(Cashflow!$U$142:$FQ$142,MATCH(Cashflows[[#This Row],[MonthDate]],Cashflow!$U$7:$FQ$7,0)),"")</f>
        <v>2787597.66</v>
      </c>
      <c r="H43" s="228">
        <f ca="1">IF(Cashflows[[#This Row],[MonthDate]]&lt;&gt;"",INDEX(Cashflow!$U$143:$FQ$143,MATCH(Cashflows[[#This Row],[MonthDate]],Cashflow!$U$7:$FQ$7,0)),"")</f>
        <v>17187616.590000004</v>
      </c>
      <c r="I43" s="226">
        <f ca="1">IFERROR(DATEVALUE(Cashflows[[#This Row],[Month]]),"")</f>
        <v>44075</v>
      </c>
      <c r="J43" s="228" t="str">
        <f ca="1">IF(EOMONTH(TODAY(),-1)+1=Cashflows[[#This Row],[MonthDate]],MAX(Cashflows[Cumulative]),"")</f>
        <v/>
      </c>
    </row>
    <row r="44" spans="1:10">
      <c r="A44" t="str">
        <f ca="1">IF(OFFSET(Cashflows[#This Row],-1,0)=Cashflows[[#Headers],[Fiscal Year]],'Target Tracking'!$E$17,IF(Cashflows[[#This Row],[Month Num]]&lt;&gt;4,OFFSET(Cashflows[#This Row],-1,0),CONCATENATE(LEFT(OFFSET(Cashflows[#This Row],-1,0),4)+1,"-",RIGHT(OFFSET(Cashflows[#This Row],-1,0),2)+1)))</f>
        <v>2020-21</v>
      </c>
      <c r="B44">
        <f ca="1">IF(OFFSET(Cashflows[#This Row],-1,0)=Cashflows[[#Headers],[Month Num]],4,MONTH(EDATE(DATE(2000,OFFSET(Cashflows[#This Row],-1,0),1),1)))</f>
        <v>10</v>
      </c>
      <c r="C44" t="str">
        <f ca="1">IF(IFERROR(INDEX('Target Tracking'!$19:$19,,MATCH(Cashflows[[#This Row],[Fiscal Year]],'Target Tracking'!$17:$17,0)),0)&gt;0,TEXT(DATE(IF(Cashflows[[#This Row],[Month Num]]&gt;=4,LEFT(Cashflows[[#This Row],[Fiscal Year]],4),"20" &amp; RIGHT(Cashflows[[#This Row],[Fiscal Year]],2)),Cashflows[[#This Row],[Month Num]],1),"mmm yyyy"),"")</f>
        <v>Oct 2020</v>
      </c>
      <c r="D44">
        <f ca="1">IF(Cashflows[[#This Row],[Month Num]]=4,-12,OFFSET(Cashflows[#This Row],-1,0)+1)</f>
        <v>-6</v>
      </c>
      <c r="E44">
        <f ca="1">IF(Cashflows[[#This Row],[Month]]="","",IFERROR(OFFSET(INDEX(OFFSET(Cashflow!$U$7,0,0,,CELL("col",CWS_Total) - CELL("col",Cashflow!$U$7)),MATCH(Cashflows[[#This Row],[MonthDate]],OFFSET(Cashflow!$U$7,0,0,,CELL("col",CWS_Total) - CELL("col",Cashflow!$U$7)),0)),MATCH("Total",Cashflow!$B:$B,0)-7,0),0))</f>
        <v>896855.61</v>
      </c>
      <c r="F44" s="228">
        <f ca="1">IFERROR(Cashflows[[#This Row],[Cashflow]]+IF(OFFSET(Cashflows[#This Row],-1,0)=Cashflows[[#Headers],[Cumulative]],0,IF(OFFSET(Cashflows[#This Row],-1,0)="",0,OFFSET(Cashflows[#This Row],-1,0))),"")</f>
        <v>18084271.440000001</v>
      </c>
      <c r="G44" s="228">
        <f ca="1">IF(Cashflows[[#This Row],[MonthDate]]&lt;&gt;"",INDEX(Cashflow!$U$142:$FQ$142,MATCH(Cashflows[[#This Row],[MonthDate]],Cashflow!$U$7:$FQ$7,0)),"")</f>
        <v>896855.61</v>
      </c>
      <c r="H44" s="228">
        <f ca="1">IF(Cashflows[[#This Row],[MonthDate]]&lt;&gt;"",INDEX(Cashflow!$U$143:$FQ$143,MATCH(Cashflows[[#This Row],[MonthDate]],Cashflow!$U$7:$FQ$7,0)),"")</f>
        <v>18084472.200000003</v>
      </c>
      <c r="I44" s="226">
        <f ca="1">IFERROR(DATEVALUE(Cashflows[[#This Row],[Month]]),"")</f>
        <v>44105</v>
      </c>
      <c r="J44" s="228" t="str">
        <f ca="1">IF(EOMONTH(TODAY(),-1)+1=Cashflows[[#This Row],[MonthDate]],MAX(Cashflows[Cumulative]),"")</f>
        <v/>
      </c>
    </row>
    <row r="45" spans="1:10">
      <c r="A45" t="str">
        <f ca="1">IF(OFFSET(Cashflows[#This Row],-1,0)=Cashflows[[#Headers],[Fiscal Year]],'Target Tracking'!$E$17,IF(Cashflows[[#This Row],[Month Num]]&lt;&gt;4,OFFSET(Cashflows[#This Row],-1,0),CONCATENATE(LEFT(OFFSET(Cashflows[#This Row],-1,0),4)+1,"-",RIGHT(OFFSET(Cashflows[#This Row],-1,0),2)+1)))</f>
        <v>2020-21</v>
      </c>
      <c r="B45">
        <f ca="1">IF(OFFSET(Cashflows[#This Row],-1,0)=Cashflows[[#Headers],[Month Num]],4,MONTH(EDATE(DATE(2000,OFFSET(Cashflows[#This Row],-1,0),1),1)))</f>
        <v>11</v>
      </c>
      <c r="C45" t="str">
        <f ca="1">IF(IFERROR(INDEX('Target Tracking'!$19:$19,,MATCH(Cashflows[[#This Row],[Fiscal Year]],'Target Tracking'!$17:$17,0)),0)&gt;0,TEXT(DATE(IF(Cashflows[[#This Row],[Month Num]]&gt;=4,LEFT(Cashflows[[#This Row],[Fiscal Year]],4),"20" &amp; RIGHT(Cashflows[[#This Row],[Fiscal Year]],2)),Cashflows[[#This Row],[Month Num]],1),"mmm yyyy"),"")</f>
        <v>Nov 2020</v>
      </c>
      <c r="D45">
        <f ca="1">IF(Cashflows[[#This Row],[Month Num]]=4,-12,OFFSET(Cashflows[#This Row],-1,0)+1)</f>
        <v>-5</v>
      </c>
      <c r="E45">
        <f ca="1">IF(Cashflows[[#This Row],[Month]]="","",IFERROR(OFFSET(INDEX(OFFSET(Cashflow!$U$7,0,0,,CELL("col",CWS_Total) - CELL("col",Cashflow!$U$7)),MATCH(Cashflows[[#This Row],[MonthDate]],OFFSET(Cashflow!$U$7,0,0,,CELL("col",CWS_Total) - CELL("col",Cashflow!$U$7)),0)),MATCH("Total",Cashflow!$B:$B,0)-7,0),0))</f>
        <v>1637398.74</v>
      </c>
      <c r="F45" s="228">
        <f ca="1">IFERROR(Cashflows[[#This Row],[Cashflow]]+IF(OFFSET(Cashflows[#This Row],-1,0)=Cashflows[[#Headers],[Cumulative]],0,IF(OFFSET(Cashflows[#This Row],-1,0)="",0,OFFSET(Cashflows[#This Row],-1,0))),"")</f>
        <v>19721670.18</v>
      </c>
      <c r="G45" s="228">
        <f ca="1">IF(Cashflows[[#This Row],[MonthDate]]&lt;&gt;"",INDEX(Cashflow!$U$142:$FQ$142,MATCH(Cashflows[[#This Row],[MonthDate]],Cashflow!$U$7:$FQ$7,0)),"")</f>
        <v>1637398.74</v>
      </c>
      <c r="H45" s="228">
        <f ca="1">IF(Cashflows[[#This Row],[MonthDate]]&lt;&gt;"",INDEX(Cashflow!$U$143:$FQ$143,MATCH(Cashflows[[#This Row],[MonthDate]],Cashflow!$U$7:$FQ$7,0)),"")</f>
        <v>19721870.940000001</v>
      </c>
      <c r="I45" s="226">
        <f ca="1">IFERROR(DATEVALUE(Cashflows[[#This Row],[Month]]),"")</f>
        <v>44136</v>
      </c>
      <c r="J45" s="228" t="str">
        <f ca="1">IF(EOMONTH(TODAY(),-1)+1=Cashflows[[#This Row],[MonthDate]],MAX(Cashflows[Cumulative]),"")</f>
        <v/>
      </c>
    </row>
    <row r="46" spans="1:10">
      <c r="A46" t="str">
        <f ca="1">IF(OFFSET(Cashflows[#This Row],-1,0)=Cashflows[[#Headers],[Fiscal Year]],'Target Tracking'!$E$17,IF(Cashflows[[#This Row],[Month Num]]&lt;&gt;4,OFFSET(Cashflows[#This Row],-1,0),CONCATENATE(LEFT(OFFSET(Cashflows[#This Row],-1,0),4)+1,"-",RIGHT(OFFSET(Cashflows[#This Row],-1,0),2)+1)))</f>
        <v>2020-21</v>
      </c>
      <c r="B46">
        <f ca="1">IF(OFFSET(Cashflows[#This Row],-1,0)=Cashflows[[#Headers],[Month Num]],4,MONTH(EDATE(DATE(2000,OFFSET(Cashflows[#This Row],-1,0),1),1)))</f>
        <v>12</v>
      </c>
      <c r="C46" t="str">
        <f ca="1">IF(IFERROR(INDEX('Target Tracking'!$19:$19,,MATCH(Cashflows[[#This Row],[Fiscal Year]],'Target Tracking'!$17:$17,0)),0)&gt;0,TEXT(DATE(IF(Cashflows[[#This Row],[Month Num]]&gt;=4,LEFT(Cashflows[[#This Row],[Fiscal Year]],4),"20" &amp; RIGHT(Cashflows[[#This Row],[Fiscal Year]],2)),Cashflows[[#This Row],[Month Num]],1),"mmm yyyy"),"")</f>
        <v>Dec 2020</v>
      </c>
      <c r="D46">
        <f ca="1">IF(Cashflows[[#This Row],[Month Num]]=4,-12,OFFSET(Cashflows[#This Row],-1,0)+1)</f>
        <v>-4</v>
      </c>
      <c r="E46">
        <f ca="1">IF(Cashflows[[#This Row],[Month]]="","",IFERROR(OFFSET(INDEX(OFFSET(Cashflow!$U$7,0,0,,CELL("col",CWS_Total) - CELL("col",Cashflow!$U$7)),MATCH(Cashflows[[#This Row],[MonthDate]],OFFSET(Cashflow!$U$7,0,0,,CELL("col",CWS_Total) - CELL("col",Cashflow!$U$7)),0)),MATCH("Total",Cashflow!$B:$B,0)-7,0),0))</f>
        <v>1092048.67</v>
      </c>
      <c r="F46" s="228">
        <f ca="1">IFERROR(Cashflows[[#This Row],[Cashflow]]+IF(OFFSET(Cashflows[#This Row],-1,0)=Cashflows[[#Headers],[Cumulative]],0,IF(OFFSET(Cashflows[#This Row],-1,0)="",0,OFFSET(Cashflows[#This Row],-1,0))),"")</f>
        <v>20813718.850000001</v>
      </c>
      <c r="G46" s="228">
        <f ca="1">IF(Cashflows[[#This Row],[MonthDate]]&lt;&gt;"",INDEX(Cashflow!$U$142:$FQ$142,MATCH(Cashflows[[#This Row],[MonthDate]],Cashflow!$U$7:$FQ$7,0)),"")</f>
        <v>1092048.67</v>
      </c>
      <c r="H46" s="228">
        <f ca="1">IF(Cashflows[[#This Row],[MonthDate]]&lt;&gt;"",INDEX(Cashflow!$U$143:$FQ$143,MATCH(Cashflows[[#This Row],[MonthDate]],Cashflow!$U$7:$FQ$7,0)),"")</f>
        <v>20813919.609999999</v>
      </c>
      <c r="I46" s="226">
        <f ca="1">IFERROR(DATEVALUE(Cashflows[[#This Row],[Month]]),"")</f>
        <v>44166</v>
      </c>
      <c r="J46" s="228" t="str">
        <f ca="1">IF(EOMONTH(TODAY(),-1)+1=Cashflows[[#This Row],[MonthDate]],MAX(Cashflows[Cumulative]),"")</f>
        <v/>
      </c>
    </row>
    <row r="47" spans="1:10">
      <c r="A47" t="str">
        <f ca="1">IF(OFFSET(Cashflows[#This Row],-1,0)=Cashflows[[#Headers],[Fiscal Year]],'Target Tracking'!$E$17,IF(Cashflows[[#This Row],[Month Num]]&lt;&gt;4,OFFSET(Cashflows[#This Row],-1,0),CONCATENATE(LEFT(OFFSET(Cashflows[#This Row],-1,0),4)+1,"-",RIGHT(OFFSET(Cashflows[#This Row],-1,0),2)+1)))</f>
        <v>2020-21</v>
      </c>
      <c r="B47">
        <f ca="1">IF(OFFSET(Cashflows[#This Row],-1,0)=Cashflows[[#Headers],[Month Num]],4,MONTH(EDATE(DATE(2000,OFFSET(Cashflows[#This Row],-1,0),1),1)))</f>
        <v>1</v>
      </c>
      <c r="C47" t="str">
        <f ca="1">IF(IFERROR(INDEX('Target Tracking'!$19:$19,,MATCH(Cashflows[[#This Row],[Fiscal Year]],'Target Tracking'!$17:$17,0)),0)&gt;0,TEXT(DATE(IF(Cashflows[[#This Row],[Month Num]]&gt;=4,LEFT(Cashflows[[#This Row],[Fiscal Year]],4),"20" &amp; RIGHT(Cashflows[[#This Row],[Fiscal Year]],2)),Cashflows[[#This Row],[Month Num]],1),"mmm yyyy"),"")</f>
        <v>Jan 2021</v>
      </c>
      <c r="D47">
        <f ca="1">IF(Cashflows[[#This Row],[Month Num]]=4,-12,OFFSET(Cashflows[#This Row],-1,0)+1)</f>
        <v>-3</v>
      </c>
      <c r="E47">
        <f ca="1">IF(Cashflows[[#This Row],[Month]]="","",IFERROR(OFFSET(INDEX(OFFSET(Cashflow!$U$7,0,0,,CELL("col",CWS_Total) - CELL("col",Cashflow!$U$7)),MATCH(Cashflows[[#This Row],[MonthDate]],OFFSET(Cashflow!$U$7,0,0,,CELL("col",CWS_Total) - CELL("col",Cashflow!$U$7)),0)),MATCH("Total",Cashflow!$B:$B,0)-7,0),0))</f>
        <v>1626918.09</v>
      </c>
      <c r="F47" s="228">
        <f ca="1">IFERROR(Cashflows[[#This Row],[Cashflow]]+IF(OFFSET(Cashflows[#This Row],-1,0)=Cashflows[[#Headers],[Cumulative]],0,IF(OFFSET(Cashflows[#This Row],-1,0)="",0,OFFSET(Cashflows[#This Row],-1,0))),"")</f>
        <v>22440636.940000001</v>
      </c>
      <c r="G47" s="228">
        <f ca="1">IF(Cashflows[[#This Row],[MonthDate]]&lt;&gt;"",INDEX(Cashflow!$U$142:$FQ$142,MATCH(Cashflows[[#This Row],[MonthDate]],Cashflow!$U$7:$FQ$7,0)),"")</f>
        <v>1626918.09</v>
      </c>
      <c r="H47" s="228">
        <f ca="1">IF(Cashflows[[#This Row],[MonthDate]]&lt;&gt;"",INDEX(Cashflow!$U$143:$FQ$143,MATCH(Cashflows[[#This Row],[MonthDate]],Cashflow!$U$7:$FQ$7,0)),"")</f>
        <v>22440837.699999999</v>
      </c>
      <c r="I47" s="226">
        <f ca="1">IFERROR(DATEVALUE(Cashflows[[#This Row],[Month]]),"")</f>
        <v>44197</v>
      </c>
      <c r="J47" s="228" t="str">
        <f ca="1">IF(EOMONTH(TODAY(),-1)+1=Cashflows[[#This Row],[MonthDate]],MAX(Cashflows[Cumulative]),"")</f>
        <v/>
      </c>
    </row>
    <row r="48" spans="1:10">
      <c r="A48" t="str">
        <f ca="1">IF(OFFSET(Cashflows[#This Row],-1,0)=Cashflows[[#Headers],[Fiscal Year]],'Target Tracking'!$E$17,IF(Cashflows[[#This Row],[Month Num]]&lt;&gt;4,OFFSET(Cashflows[#This Row],-1,0),CONCATENATE(LEFT(OFFSET(Cashflows[#This Row],-1,0),4)+1,"-",RIGHT(OFFSET(Cashflows[#This Row],-1,0),2)+1)))</f>
        <v>2020-21</v>
      </c>
      <c r="B48">
        <f ca="1">IF(OFFSET(Cashflows[#This Row],-1,0)=Cashflows[[#Headers],[Month Num]],4,MONTH(EDATE(DATE(2000,OFFSET(Cashflows[#This Row],-1,0),1),1)))</f>
        <v>2</v>
      </c>
      <c r="C48" t="str">
        <f ca="1">IF(IFERROR(INDEX('Target Tracking'!$19:$19,,MATCH(Cashflows[[#This Row],[Fiscal Year]],'Target Tracking'!$17:$17,0)),0)&gt;0,TEXT(DATE(IF(Cashflows[[#This Row],[Month Num]]&gt;=4,LEFT(Cashflows[[#This Row],[Fiscal Year]],4),"20" &amp; RIGHT(Cashflows[[#This Row],[Fiscal Year]],2)),Cashflows[[#This Row],[Month Num]],1),"mmm yyyy"),"")</f>
        <v>Feb 2021</v>
      </c>
      <c r="D48">
        <f ca="1">IF(Cashflows[[#This Row],[Month Num]]=4,-12,OFFSET(Cashflows[#This Row],-1,0)+1)</f>
        <v>-2</v>
      </c>
      <c r="E48">
        <f ca="1">IF(Cashflows[[#This Row],[Month]]="","",IFERROR(OFFSET(INDEX(OFFSET(Cashflow!$U$7,0,0,,CELL("col",CWS_Total) - CELL("col",Cashflow!$U$7)),MATCH(Cashflows[[#This Row],[MonthDate]],OFFSET(Cashflow!$U$7,0,0,,CELL("col",CWS_Total) - CELL("col",Cashflow!$U$7)),0)),MATCH("Total",Cashflow!$B:$B,0)-7,0),0))</f>
        <v>2188545.7799999998</v>
      </c>
      <c r="F48" s="228">
        <f ca="1">IFERROR(Cashflows[[#This Row],[Cashflow]]+IF(OFFSET(Cashflows[#This Row],-1,0)=Cashflows[[#Headers],[Cumulative]],0,IF(OFFSET(Cashflows[#This Row],-1,0)="",0,OFFSET(Cashflows[#This Row],-1,0))),"")</f>
        <v>24629182.720000003</v>
      </c>
      <c r="G48" s="228">
        <f ca="1">IF(Cashflows[[#This Row],[MonthDate]]&lt;&gt;"",INDEX(Cashflow!$U$142:$FQ$142,MATCH(Cashflows[[#This Row],[MonthDate]],Cashflow!$U$7:$FQ$7,0)),"")</f>
        <v>2188545.7799999998</v>
      </c>
      <c r="H48" s="228">
        <f ca="1">IF(Cashflows[[#This Row],[MonthDate]]&lt;&gt;"",INDEX(Cashflow!$U$143:$FQ$143,MATCH(Cashflows[[#This Row],[MonthDate]],Cashflow!$U$7:$FQ$7,0)),"")</f>
        <v>24629383.48</v>
      </c>
      <c r="I48" s="226">
        <f ca="1">IFERROR(DATEVALUE(Cashflows[[#This Row],[Month]]),"")</f>
        <v>44228</v>
      </c>
      <c r="J48" s="228" t="str">
        <f ca="1">IF(EOMONTH(TODAY(),-1)+1=Cashflows[[#This Row],[MonthDate]],MAX(Cashflows[Cumulative]),"")</f>
        <v/>
      </c>
    </row>
    <row r="49" spans="1:10">
      <c r="A49" t="str">
        <f ca="1">IF(OFFSET(Cashflows[#This Row],-1,0)=Cashflows[[#Headers],[Fiscal Year]],'Target Tracking'!$E$17,IF(Cashflows[[#This Row],[Month Num]]&lt;&gt;4,OFFSET(Cashflows[#This Row],-1,0),CONCATENATE(LEFT(OFFSET(Cashflows[#This Row],-1,0),4)+1,"-",RIGHT(OFFSET(Cashflows[#This Row],-1,0),2)+1)))</f>
        <v>2020-21</v>
      </c>
      <c r="B49">
        <f ca="1">IF(OFFSET(Cashflows[#This Row],-1,0)=Cashflows[[#Headers],[Month Num]],4,MONTH(EDATE(DATE(2000,OFFSET(Cashflows[#This Row],-1,0),1),1)))</f>
        <v>3</v>
      </c>
      <c r="C49" t="str">
        <f ca="1">IF(IFERROR(INDEX('Target Tracking'!$19:$19,,MATCH(Cashflows[[#This Row],[Fiscal Year]],'Target Tracking'!$17:$17,0)),0)&gt;0,TEXT(DATE(IF(Cashflows[[#This Row],[Month Num]]&gt;=4,LEFT(Cashflows[[#This Row],[Fiscal Year]],4),"20" &amp; RIGHT(Cashflows[[#This Row],[Fiscal Year]],2)),Cashflows[[#This Row],[Month Num]],1),"mmm yyyy"),"")</f>
        <v>Mar 2021</v>
      </c>
      <c r="D49">
        <f ca="1">IF(Cashflows[[#This Row],[Month Num]]=4,-12,OFFSET(Cashflows[#This Row],-1,0)+1)</f>
        <v>-1</v>
      </c>
      <c r="E49">
        <f ca="1">IF(Cashflows[[#This Row],[Month]]="","",IFERROR(OFFSET(INDEX(OFFSET(Cashflow!$U$7,0,0,,CELL("col",CWS_Total) - CELL("col",Cashflow!$U$7)),MATCH(Cashflows[[#This Row],[MonthDate]],OFFSET(Cashflow!$U$7,0,0,,CELL("col",CWS_Total) - CELL("col",Cashflow!$U$7)),0)),MATCH("Total",Cashflow!$B:$B,0)-7,0),0))</f>
        <v>4375234.74</v>
      </c>
      <c r="F49" s="228">
        <f ca="1">IFERROR(Cashflows[[#This Row],[Cashflow]]+IF(OFFSET(Cashflows[#This Row],-1,0)=Cashflows[[#Headers],[Cumulative]],0,IF(OFFSET(Cashflows[#This Row],-1,0)="",0,OFFSET(Cashflows[#This Row],-1,0))),"")</f>
        <v>29004417.460000001</v>
      </c>
      <c r="G49" s="228">
        <f ca="1">IF(Cashflows[[#This Row],[MonthDate]]&lt;&gt;"",INDEX(Cashflow!$U$142:$FQ$142,MATCH(Cashflows[[#This Row],[MonthDate]],Cashflow!$U$7:$FQ$7,0)),"")</f>
        <v>4375234.74</v>
      </c>
      <c r="H49" s="228">
        <f ca="1">IF(Cashflows[[#This Row],[MonthDate]]&lt;&gt;"",INDEX(Cashflow!$U$143:$FQ$143,MATCH(Cashflows[[#This Row],[MonthDate]],Cashflow!$U$7:$FQ$7,0)),"")</f>
        <v>29004618.219999999</v>
      </c>
      <c r="I49" s="226">
        <f ca="1">IFERROR(DATEVALUE(Cashflows[[#This Row],[Month]]),"")</f>
        <v>44256</v>
      </c>
      <c r="J49" s="228" t="str">
        <f ca="1">IF(EOMONTH(TODAY(),-1)+1=Cashflows[[#This Row],[MonthDate]],MAX(Cashflows[Cumulative]),"")</f>
        <v/>
      </c>
    </row>
    <row r="50" spans="1:10">
      <c r="A50" t="str">
        <f ca="1">IF(OFFSET(Cashflows[#This Row],-1,0)=Cashflows[[#Headers],[Fiscal Year]],'Target Tracking'!$E$17,IF(Cashflows[[#This Row],[Month Num]]&lt;&gt;4,OFFSET(Cashflows[#This Row],-1,0),CONCATENATE(LEFT(OFFSET(Cashflows[#This Row],-1,0),4)+1,"-",RIGHT(OFFSET(Cashflows[#This Row],-1,0),2)+1)))</f>
        <v>2021-22</v>
      </c>
      <c r="B50">
        <f ca="1">IF(OFFSET(Cashflows[#This Row],-1,0)=Cashflows[[#Headers],[Month Num]],4,MONTH(EDATE(DATE(2000,OFFSET(Cashflows[#This Row],-1,0),1),1)))</f>
        <v>4</v>
      </c>
      <c r="C50" t="str">
        <f ca="1">IF(IFERROR(INDEX('Target Tracking'!$19:$19,,MATCH(Cashflows[[#This Row],[Fiscal Year]],'Target Tracking'!$17:$17,0)),0)&gt;0,TEXT(DATE(IF(Cashflows[[#This Row],[Month Num]]&gt;=4,LEFT(Cashflows[[#This Row],[Fiscal Year]],4),"20" &amp; RIGHT(Cashflows[[#This Row],[Fiscal Year]],2)),Cashflows[[#This Row],[Month Num]],1),"mmm yyyy"),"")</f>
        <v>Apr 2021</v>
      </c>
      <c r="D50">
        <f ca="1">IF(Cashflows[[#This Row],[Month Num]]=4,-12,OFFSET(Cashflows[#This Row],-1,0)+1)</f>
        <v>-12</v>
      </c>
      <c r="E50">
        <f ca="1">IF(Cashflows[[#This Row],[Month]]="","",IFERROR(OFFSET(INDEX(OFFSET(Cashflow!$U$7,0,0,,CELL("col",CWS_Total) - CELL("col",Cashflow!$U$7)),MATCH(Cashflows[[#This Row],[MonthDate]],OFFSET(Cashflow!$U$7,0,0,,CELL("col",CWS_Total) - CELL("col",Cashflow!$U$7)),0)),MATCH("Total",Cashflow!$B:$B,0)-7,0),0))</f>
        <v>48667.5</v>
      </c>
      <c r="F50" s="228">
        <f ca="1">IFERROR(Cashflows[[#This Row],[Cashflow]]+IF(OFFSET(Cashflows[#This Row],-1,0)=Cashflows[[#Headers],[Cumulative]],0,IF(OFFSET(Cashflows[#This Row],-1,0)="",0,OFFSET(Cashflows[#This Row],-1,0))),"")</f>
        <v>29053084.960000001</v>
      </c>
      <c r="G50" s="228">
        <f ca="1">IF(Cashflows[[#This Row],[MonthDate]]&lt;&gt;"",INDEX(Cashflow!$U$142:$FQ$142,MATCH(Cashflows[[#This Row],[MonthDate]],Cashflow!$U$7:$FQ$7,0)),"")</f>
        <v>48667.5</v>
      </c>
      <c r="H50" s="228">
        <f ca="1">IF(Cashflows[[#This Row],[MonthDate]]&lt;&gt;"",INDEX(Cashflow!$U$143:$FQ$143,MATCH(Cashflows[[#This Row],[MonthDate]],Cashflow!$U$7:$FQ$7,0)),"")</f>
        <v>29053285.719999999</v>
      </c>
      <c r="I50" s="226">
        <f ca="1">IFERROR(DATEVALUE(Cashflows[[#This Row],[Month]]),"")</f>
        <v>44287</v>
      </c>
      <c r="J50" s="228" t="str">
        <f ca="1">IF(EOMONTH(TODAY(),-1)+1=Cashflows[[#This Row],[MonthDate]],MAX(Cashflows[Cumulative]),"")</f>
        <v/>
      </c>
    </row>
    <row r="51" spans="1:10">
      <c r="A51" t="str">
        <f ca="1">IF(OFFSET(Cashflows[#This Row],-1,0)=Cashflows[[#Headers],[Fiscal Year]],'Target Tracking'!$E$17,IF(Cashflows[[#This Row],[Month Num]]&lt;&gt;4,OFFSET(Cashflows[#This Row],-1,0),CONCATENATE(LEFT(OFFSET(Cashflows[#This Row],-1,0),4)+1,"-",RIGHT(OFFSET(Cashflows[#This Row],-1,0),2)+1)))</f>
        <v>2021-22</v>
      </c>
      <c r="B51">
        <f ca="1">IF(OFFSET(Cashflows[#This Row],-1,0)=Cashflows[[#Headers],[Month Num]],4,MONTH(EDATE(DATE(2000,OFFSET(Cashflows[#This Row],-1,0),1),1)))</f>
        <v>5</v>
      </c>
      <c r="C51" t="str">
        <f ca="1">IF(IFERROR(INDEX('Target Tracking'!$19:$19,,MATCH(Cashflows[[#This Row],[Fiscal Year]],'Target Tracking'!$17:$17,0)),0)&gt;0,TEXT(DATE(IF(Cashflows[[#This Row],[Month Num]]&gt;=4,LEFT(Cashflows[[#This Row],[Fiscal Year]],4),"20" &amp; RIGHT(Cashflows[[#This Row],[Fiscal Year]],2)),Cashflows[[#This Row],[Month Num]],1),"mmm yyyy"),"")</f>
        <v>May 2021</v>
      </c>
      <c r="D51">
        <f ca="1">IF(Cashflows[[#This Row],[Month Num]]=4,-12,OFFSET(Cashflows[#This Row],-1,0)+1)</f>
        <v>-11</v>
      </c>
      <c r="E51">
        <f ca="1">IF(Cashflows[[#This Row],[Month]]="","",IFERROR(OFFSET(INDEX(OFFSET(Cashflow!$U$7,0,0,,CELL("col",CWS_Total) - CELL("col",Cashflow!$U$7)),MATCH(Cashflows[[#This Row],[MonthDate]],OFFSET(Cashflow!$U$7,0,0,,CELL("col",CWS_Total) - CELL("col",Cashflow!$U$7)),0)),MATCH("Total",Cashflow!$B:$B,0)-7,0),0))</f>
        <v>2545147.9</v>
      </c>
      <c r="F51" s="228">
        <f ca="1">IFERROR(Cashflows[[#This Row],[Cashflow]]+IF(OFFSET(Cashflows[#This Row],-1,0)=Cashflows[[#Headers],[Cumulative]],0,IF(OFFSET(Cashflows[#This Row],-1,0)="",0,OFFSET(Cashflows[#This Row],-1,0))),"")</f>
        <v>31598232.859999999</v>
      </c>
      <c r="G51" s="228">
        <f ca="1">IF(Cashflows[[#This Row],[MonthDate]]&lt;&gt;"",INDEX(Cashflow!$U$142:$FQ$142,MATCH(Cashflows[[#This Row],[MonthDate]],Cashflow!$U$7:$FQ$7,0)),"")</f>
        <v>2545147.9</v>
      </c>
      <c r="H51" s="228">
        <f ca="1">IF(Cashflows[[#This Row],[MonthDate]]&lt;&gt;"",INDEX(Cashflow!$U$143:$FQ$143,MATCH(Cashflows[[#This Row],[MonthDate]],Cashflow!$U$7:$FQ$7,0)),"")</f>
        <v>31598433.619999997</v>
      </c>
      <c r="I51" s="226">
        <f ca="1">IFERROR(DATEVALUE(Cashflows[[#This Row],[Month]]),"")</f>
        <v>44317</v>
      </c>
      <c r="J51" s="228" t="str">
        <f ca="1">IF(EOMONTH(TODAY(),-1)+1=Cashflows[[#This Row],[MonthDate]],MAX(Cashflows[Cumulative]),"")</f>
        <v/>
      </c>
    </row>
    <row r="52" spans="1:10">
      <c r="A52" t="str">
        <f ca="1">IF(OFFSET(Cashflows[#This Row],-1,0)=Cashflows[[#Headers],[Fiscal Year]],'Target Tracking'!$E$17,IF(Cashflows[[#This Row],[Month Num]]&lt;&gt;4,OFFSET(Cashflows[#This Row],-1,0),CONCATENATE(LEFT(OFFSET(Cashflows[#This Row],-1,0),4)+1,"-",RIGHT(OFFSET(Cashflows[#This Row],-1,0),2)+1)))</f>
        <v>2021-22</v>
      </c>
      <c r="B52">
        <f ca="1">IF(OFFSET(Cashflows[#This Row],-1,0)=Cashflows[[#Headers],[Month Num]],4,MONTH(EDATE(DATE(2000,OFFSET(Cashflows[#This Row],-1,0),1),1)))</f>
        <v>6</v>
      </c>
      <c r="C52" t="str">
        <f ca="1">IF(IFERROR(INDEX('Target Tracking'!$19:$19,,MATCH(Cashflows[[#This Row],[Fiscal Year]],'Target Tracking'!$17:$17,0)),0)&gt;0,TEXT(DATE(IF(Cashflows[[#This Row],[Month Num]]&gt;=4,LEFT(Cashflows[[#This Row],[Fiscal Year]],4),"20" &amp; RIGHT(Cashflows[[#This Row],[Fiscal Year]],2)),Cashflows[[#This Row],[Month Num]],1),"mmm yyyy"),"")</f>
        <v>Jun 2021</v>
      </c>
      <c r="D52">
        <f ca="1">IF(Cashflows[[#This Row],[Month Num]]=4,-12,OFFSET(Cashflows[#This Row],-1,0)+1)</f>
        <v>-10</v>
      </c>
      <c r="E52">
        <f ca="1">IF(Cashflows[[#This Row],[Month]]="","",IFERROR(OFFSET(INDEX(OFFSET(Cashflow!$U$7,0,0,,CELL("col",CWS_Total) - CELL("col",Cashflow!$U$7)),MATCH(Cashflows[[#This Row],[MonthDate]],OFFSET(Cashflow!$U$7,0,0,,CELL("col",CWS_Total) - CELL("col",Cashflow!$U$7)),0)),MATCH("Total",Cashflow!$B:$B,0)-7,0),0))</f>
        <v>2392322.62</v>
      </c>
      <c r="F52" s="228">
        <f ca="1">IFERROR(Cashflows[[#This Row],[Cashflow]]+IF(OFFSET(Cashflows[#This Row],-1,0)=Cashflows[[#Headers],[Cumulative]],0,IF(OFFSET(Cashflows[#This Row],-1,0)="",0,OFFSET(Cashflows[#This Row],-1,0))),"")</f>
        <v>33990555.479999997</v>
      </c>
      <c r="G52" s="228">
        <f ca="1">IF(Cashflows[[#This Row],[MonthDate]]&lt;&gt;"",INDEX(Cashflow!$U$142:$FQ$142,MATCH(Cashflows[[#This Row],[MonthDate]],Cashflow!$U$7:$FQ$7,0)),"")</f>
        <v>2392322.62</v>
      </c>
      <c r="H52" s="228">
        <f ca="1">IF(Cashflows[[#This Row],[MonthDate]]&lt;&gt;"",INDEX(Cashflow!$U$143:$FQ$143,MATCH(Cashflows[[#This Row],[MonthDate]],Cashflow!$U$7:$FQ$7,0)),"")</f>
        <v>33990756.239999995</v>
      </c>
      <c r="I52" s="226">
        <f ca="1">IFERROR(DATEVALUE(Cashflows[[#This Row],[Month]]),"")</f>
        <v>44348</v>
      </c>
      <c r="J52" s="228" t="str">
        <f ca="1">IF(EOMONTH(TODAY(),-1)+1=Cashflows[[#This Row],[MonthDate]],MAX(Cashflows[Cumulative]),"")</f>
        <v/>
      </c>
    </row>
    <row r="53" spans="1:10">
      <c r="A53" t="str">
        <f ca="1">IF(OFFSET(Cashflows[#This Row],-1,0)=Cashflows[[#Headers],[Fiscal Year]],'Target Tracking'!$E$17,IF(Cashflows[[#This Row],[Month Num]]&lt;&gt;4,OFFSET(Cashflows[#This Row],-1,0),CONCATENATE(LEFT(OFFSET(Cashflows[#This Row],-1,0),4)+1,"-",RIGHT(OFFSET(Cashflows[#This Row],-1,0),2)+1)))</f>
        <v>2021-22</v>
      </c>
      <c r="B53">
        <f ca="1">IF(OFFSET(Cashflows[#This Row],-1,0)=Cashflows[[#Headers],[Month Num]],4,MONTH(EDATE(DATE(2000,OFFSET(Cashflows[#This Row],-1,0),1),1)))</f>
        <v>7</v>
      </c>
      <c r="C53" t="str">
        <f ca="1">IF(IFERROR(INDEX('Target Tracking'!$19:$19,,MATCH(Cashflows[[#This Row],[Fiscal Year]],'Target Tracking'!$17:$17,0)),0)&gt;0,TEXT(DATE(IF(Cashflows[[#This Row],[Month Num]]&gt;=4,LEFT(Cashflows[[#This Row],[Fiscal Year]],4),"20" &amp; RIGHT(Cashflows[[#This Row],[Fiscal Year]],2)),Cashflows[[#This Row],[Month Num]],1),"mmm yyyy"),"")</f>
        <v>Jul 2021</v>
      </c>
      <c r="D53">
        <f ca="1">IF(Cashflows[[#This Row],[Month Num]]=4,-12,OFFSET(Cashflows[#This Row],-1,0)+1)</f>
        <v>-9</v>
      </c>
      <c r="E53">
        <f ca="1">IF(Cashflows[[#This Row],[Month]]="","",IFERROR(OFFSET(INDEX(OFFSET(Cashflow!$U$7,0,0,,CELL("col",CWS_Total) - CELL("col",Cashflow!$U$7)),MATCH(Cashflows[[#This Row],[MonthDate]],OFFSET(Cashflow!$U$7,0,0,,CELL("col",CWS_Total) - CELL("col",Cashflow!$U$7)),0)),MATCH("Total",Cashflow!$B:$B,0)-7,0),0))</f>
        <v>2107079.7599999998</v>
      </c>
      <c r="F53" s="228">
        <f ca="1">IFERROR(Cashflows[[#This Row],[Cashflow]]+IF(OFFSET(Cashflows[#This Row],-1,0)=Cashflows[[#Headers],[Cumulative]],0,IF(OFFSET(Cashflows[#This Row],-1,0)="",0,OFFSET(Cashflows[#This Row],-1,0))),"")</f>
        <v>36097635.239999995</v>
      </c>
      <c r="G53" s="228">
        <f ca="1">IF(Cashflows[[#This Row],[MonthDate]]&lt;&gt;"",INDEX(Cashflow!$U$142:$FQ$142,MATCH(Cashflows[[#This Row],[MonthDate]],Cashflow!$U$7:$FQ$7,0)),"")</f>
        <v>2107079.7599999998</v>
      </c>
      <c r="H53" s="228">
        <f ca="1">IF(Cashflows[[#This Row],[MonthDate]]&lt;&gt;"",INDEX(Cashflow!$U$143:$FQ$143,MATCH(Cashflows[[#This Row],[MonthDate]],Cashflow!$U$7:$FQ$7,0)),"")</f>
        <v>36097835.999999993</v>
      </c>
      <c r="I53" s="226">
        <f ca="1">IFERROR(DATEVALUE(Cashflows[[#This Row],[Month]]),"")</f>
        <v>44378</v>
      </c>
      <c r="J53" s="228" t="str">
        <f ca="1">IF(EOMONTH(TODAY(),-1)+1=Cashflows[[#This Row],[MonthDate]],MAX(Cashflows[Cumulative]),"")</f>
        <v/>
      </c>
    </row>
    <row r="54" spans="1:10">
      <c r="A54" t="str">
        <f ca="1">IF(OFFSET(Cashflows[#This Row],-1,0)=Cashflows[[#Headers],[Fiscal Year]],'Target Tracking'!$E$17,IF(Cashflows[[#This Row],[Month Num]]&lt;&gt;4,OFFSET(Cashflows[#This Row],-1,0),CONCATENATE(LEFT(OFFSET(Cashflows[#This Row],-1,0),4)+1,"-",RIGHT(OFFSET(Cashflows[#This Row],-1,0),2)+1)))</f>
        <v>2021-22</v>
      </c>
      <c r="B54">
        <f ca="1">IF(OFFSET(Cashflows[#This Row],-1,0)=Cashflows[[#Headers],[Month Num]],4,MONTH(EDATE(DATE(2000,OFFSET(Cashflows[#This Row],-1,0),1),1)))</f>
        <v>8</v>
      </c>
      <c r="C54" t="str">
        <f ca="1">IF(IFERROR(INDEX('Target Tracking'!$19:$19,,MATCH(Cashflows[[#This Row],[Fiscal Year]],'Target Tracking'!$17:$17,0)),0)&gt;0,TEXT(DATE(IF(Cashflows[[#This Row],[Month Num]]&gt;=4,LEFT(Cashflows[[#This Row],[Fiscal Year]],4),"20" &amp; RIGHT(Cashflows[[#This Row],[Fiscal Year]],2)),Cashflows[[#This Row],[Month Num]],1),"mmm yyyy"),"")</f>
        <v>Aug 2021</v>
      </c>
      <c r="D54">
        <f ca="1">IF(Cashflows[[#This Row],[Month Num]]=4,-12,OFFSET(Cashflows[#This Row],-1,0)+1)</f>
        <v>-8</v>
      </c>
      <c r="E54">
        <f ca="1">IF(Cashflows[[#This Row],[Month]]="","",IFERROR(OFFSET(INDEX(OFFSET(Cashflow!$U$7,0,0,,CELL("col",CWS_Total) - CELL("col",Cashflow!$U$7)),MATCH(Cashflows[[#This Row],[MonthDate]],OFFSET(Cashflow!$U$7,0,0,,CELL("col",CWS_Total) - CELL("col",Cashflow!$U$7)),0)),MATCH("Total",Cashflow!$B:$B,0)-7,0),0))</f>
        <v>2349776.7599999998</v>
      </c>
      <c r="F54" s="228">
        <f ca="1">IFERROR(Cashflows[[#This Row],[Cashflow]]+IF(OFFSET(Cashflows[#This Row],-1,0)=Cashflows[[#Headers],[Cumulative]],0,IF(OFFSET(Cashflows[#This Row],-1,0)="",0,OFFSET(Cashflows[#This Row],-1,0))),"")</f>
        <v>38447411.999999993</v>
      </c>
      <c r="G54" s="228">
        <f ca="1">IF(Cashflows[[#This Row],[MonthDate]]&lt;&gt;"",INDEX(Cashflow!$U$142:$FQ$142,MATCH(Cashflows[[#This Row],[MonthDate]],Cashflow!$U$7:$FQ$7,0)),"")</f>
        <v>2349776.7599999998</v>
      </c>
      <c r="H54" s="228">
        <f ca="1">IF(Cashflows[[#This Row],[MonthDate]]&lt;&gt;"",INDEX(Cashflow!$U$143:$FQ$143,MATCH(Cashflows[[#This Row],[MonthDate]],Cashflow!$U$7:$FQ$7,0)),"")</f>
        <v>38447612.75999999</v>
      </c>
      <c r="I54" s="226">
        <f ca="1">IFERROR(DATEVALUE(Cashflows[[#This Row],[Month]]),"")</f>
        <v>44409</v>
      </c>
      <c r="J54" s="228" t="str">
        <f ca="1">IF(EOMONTH(TODAY(),-1)+1=Cashflows[[#This Row],[MonthDate]],MAX(Cashflows[Cumulative]),"")</f>
        <v/>
      </c>
    </row>
    <row r="55" spans="1:10">
      <c r="A55" t="str">
        <f ca="1">IF(OFFSET(Cashflows[#This Row],-1,0)=Cashflows[[#Headers],[Fiscal Year]],'Target Tracking'!$E$17,IF(Cashflows[[#This Row],[Month Num]]&lt;&gt;4,OFFSET(Cashflows[#This Row],-1,0),CONCATENATE(LEFT(OFFSET(Cashflows[#This Row],-1,0),4)+1,"-",RIGHT(OFFSET(Cashflows[#This Row],-1,0),2)+1)))</f>
        <v>2021-22</v>
      </c>
      <c r="B55">
        <f ca="1">IF(OFFSET(Cashflows[#This Row],-1,0)=Cashflows[[#Headers],[Month Num]],4,MONTH(EDATE(DATE(2000,OFFSET(Cashflows[#This Row],-1,0),1),1)))</f>
        <v>9</v>
      </c>
      <c r="C55" t="str">
        <f ca="1">IF(IFERROR(INDEX('Target Tracking'!$19:$19,,MATCH(Cashflows[[#This Row],[Fiscal Year]],'Target Tracking'!$17:$17,0)),0)&gt;0,TEXT(DATE(IF(Cashflows[[#This Row],[Month Num]]&gt;=4,LEFT(Cashflows[[#This Row],[Fiscal Year]],4),"20" &amp; RIGHT(Cashflows[[#This Row],[Fiscal Year]],2)),Cashflows[[#This Row],[Month Num]],1),"mmm yyyy"),"")</f>
        <v>Sep 2021</v>
      </c>
      <c r="D55">
        <f ca="1">IF(Cashflows[[#This Row],[Month Num]]=4,-12,OFFSET(Cashflows[#This Row],-1,0)+1)</f>
        <v>-7</v>
      </c>
      <c r="E55">
        <f ca="1">IF(Cashflows[[#This Row],[Month]]="","",IFERROR(OFFSET(INDEX(OFFSET(Cashflow!$U$7,0,0,,CELL("col",CWS_Total) - CELL("col",Cashflow!$U$7)),MATCH(Cashflows[[#This Row],[MonthDate]],OFFSET(Cashflow!$U$7,0,0,,CELL("col",CWS_Total) - CELL("col",Cashflow!$U$7)),0)),MATCH("Total",Cashflow!$B:$B,0)-7,0),0))</f>
        <v>1868298.45</v>
      </c>
      <c r="F55" s="228">
        <f ca="1">IFERROR(Cashflows[[#This Row],[Cashflow]]+IF(OFFSET(Cashflows[#This Row],-1,0)=Cashflows[[#Headers],[Cumulative]],0,IF(OFFSET(Cashflows[#This Row],-1,0)="",0,OFFSET(Cashflows[#This Row],-1,0))),"")</f>
        <v>40315710.449999996</v>
      </c>
      <c r="G55" s="228">
        <f ca="1">IF(Cashflows[[#This Row],[MonthDate]]&lt;&gt;"",INDEX(Cashflow!$U$142:$FQ$142,MATCH(Cashflows[[#This Row],[MonthDate]],Cashflow!$U$7:$FQ$7,0)),"")</f>
        <v>1868298.45</v>
      </c>
      <c r="H55" s="228">
        <f ca="1">IF(Cashflows[[#This Row],[MonthDate]]&lt;&gt;"",INDEX(Cashflow!$U$143:$FQ$143,MATCH(Cashflows[[#This Row],[MonthDate]],Cashflow!$U$7:$FQ$7,0)),"")</f>
        <v>40315911.209999993</v>
      </c>
      <c r="I55" s="226">
        <f ca="1">IFERROR(DATEVALUE(Cashflows[[#This Row],[Month]]),"")</f>
        <v>44440</v>
      </c>
      <c r="J55" s="228" t="str">
        <f ca="1">IF(EOMONTH(TODAY(),-1)+1=Cashflows[[#This Row],[MonthDate]],MAX(Cashflows[Cumulative]),"")</f>
        <v/>
      </c>
    </row>
    <row r="56" spans="1:10">
      <c r="A56" t="str">
        <f ca="1">IF(OFFSET(Cashflows[#This Row],-1,0)=Cashflows[[#Headers],[Fiscal Year]],'Target Tracking'!$E$17,IF(Cashflows[[#This Row],[Month Num]]&lt;&gt;4,OFFSET(Cashflows[#This Row],-1,0),CONCATENATE(LEFT(OFFSET(Cashflows[#This Row],-1,0),4)+1,"-",RIGHT(OFFSET(Cashflows[#This Row],-1,0),2)+1)))</f>
        <v>2021-22</v>
      </c>
      <c r="B56">
        <f ca="1">IF(OFFSET(Cashflows[#This Row],-1,0)=Cashflows[[#Headers],[Month Num]],4,MONTH(EDATE(DATE(2000,OFFSET(Cashflows[#This Row],-1,0),1),1)))</f>
        <v>10</v>
      </c>
      <c r="C56" t="str">
        <f ca="1">IF(IFERROR(INDEX('Target Tracking'!$19:$19,,MATCH(Cashflows[[#This Row],[Fiscal Year]],'Target Tracking'!$17:$17,0)),0)&gt;0,TEXT(DATE(IF(Cashflows[[#This Row],[Month Num]]&gt;=4,LEFT(Cashflows[[#This Row],[Fiscal Year]],4),"20" &amp; RIGHT(Cashflows[[#This Row],[Fiscal Year]],2)),Cashflows[[#This Row],[Month Num]],1),"mmm yyyy"),"")</f>
        <v>Oct 2021</v>
      </c>
      <c r="D56">
        <f ca="1">IF(Cashflows[[#This Row],[Month Num]]=4,-12,OFFSET(Cashflows[#This Row],-1,0)+1)</f>
        <v>-6</v>
      </c>
      <c r="E56">
        <f ca="1">IF(Cashflows[[#This Row],[Month]]="","",IFERROR(OFFSET(INDEX(OFFSET(Cashflow!$U$7,0,0,,CELL("col",CWS_Total) - CELL("col",Cashflow!$U$7)),MATCH(Cashflows[[#This Row],[MonthDate]],OFFSET(Cashflow!$U$7,0,0,,CELL("col",CWS_Total) - CELL("col",Cashflow!$U$7)),0)),MATCH("Total",Cashflow!$B:$B,0)-7,0),0))</f>
        <v>2520593.7799999998</v>
      </c>
      <c r="F56" s="228">
        <f ca="1">IFERROR(Cashflows[[#This Row],[Cashflow]]+IF(OFFSET(Cashflows[#This Row],-1,0)=Cashflows[[#Headers],[Cumulative]],0,IF(OFFSET(Cashflows[#This Row],-1,0)="",0,OFFSET(Cashflows[#This Row],-1,0))),"")</f>
        <v>42836304.229999997</v>
      </c>
      <c r="G56" s="228">
        <f ca="1">IF(Cashflows[[#This Row],[MonthDate]]&lt;&gt;"",INDEX(Cashflow!$U$142:$FQ$142,MATCH(Cashflows[[#This Row],[MonthDate]],Cashflow!$U$7:$FQ$7,0)),"")</f>
        <v>2520593.7799999998</v>
      </c>
      <c r="H56" s="228">
        <f ca="1">IF(Cashflows[[#This Row],[MonthDate]]&lt;&gt;"",INDEX(Cashflow!$U$143:$FQ$143,MATCH(Cashflows[[#This Row],[MonthDate]],Cashflow!$U$7:$FQ$7,0)),"")</f>
        <v>42836504.989999995</v>
      </c>
      <c r="I56" s="226">
        <f ca="1">IFERROR(DATEVALUE(Cashflows[[#This Row],[Month]]),"")</f>
        <v>44470</v>
      </c>
      <c r="J56" s="228" t="str">
        <f ca="1">IF(EOMONTH(TODAY(),-1)+1=Cashflows[[#This Row],[MonthDate]],MAX(Cashflows[Cumulative]),"")</f>
        <v/>
      </c>
    </row>
    <row r="57" spans="1:10">
      <c r="A57" t="str">
        <f ca="1">IF(OFFSET(Cashflows[#This Row],-1,0)=Cashflows[[#Headers],[Fiscal Year]],'Target Tracking'!$E$17,IF(Cashflows[[#This Row],[Month Num]]&lt;&gt;4,OFFSET(Cashflows[#This Row],-1,0),CONCATENATE(LEFT(OFFSET(Cashflows[#This Row],-1,0),4)+1,"-",RIGHT(OFFSET(Cashflows[#This Row],-1,0),2)+1)))</f>
        <v>2021-22</v>
      </c>
      <c r="B57">
        <f ca="1">IF(OFFSET(Cashflows[#This Row],-1,0)=Cashflows[[#Headers],[Month Num]],4,MONTH(EDATE(DATE(2000,OFFSET(Cashflows[#This Row],-1,0),1),1)))</f>
        <v>11</v>
      </c>
      <c r="C57" t="str">
        <f ca="1">IF(IFERROR(INDEX('Target Tracking'!$19:$19,,MATCH(Cashflows[[#This Row],[Fiscal Year]],'Target Tracking'!$17:$17,0)),0)&gt;0,TEXT(DATE(IF(Cashflows[[#This Row],[Month Num]]&gt;=4,LEFT(Cashflows[[#This Row],[Fiscal Year]],4),"20" &amp; RIGHT(Cashflows[[#This Row],[Fiscal Year]],2)),Cashflows[[#This Row],[Month Num]],1),"mmm yyyy"),"")</f>
        <v>Nov 2021</v>
      </c>
      <c r="D57">
        <f ca="1">IF(Cashflows[[#This Row],[Month Num]]=4,-12,OFFSET(Cashflows[#This Row],-1,0)+1)</f>
        <v>-5</v>
      </c>
      <c r="E57">
        <f ca="1">IF(Cashflows[[#This Row],[Month]]="","",IFERROR(OFFSET(INDEX(OFFSET(Cashflow!$U$7,0,0,,CELL("col",CWS_Total) - CELL("col",Cashflow!$U$7)),MATCH(Cashflows[[#This Row],[MonthDate]],OFFSET(Cashflow!$U$7,0,0,,CELL("col",CWS_Total) - CELL("col",Cashflow!$U$7)),0)),MATCH("Total",Cashflow!$B:$B,0)-7,0),0))</f>
        <v>2265015.19</v>
      </c>
      <c r="F57" s="228">
        <f ca="1">IFERROR(Cashflows[[#This Row],[Cashflow]]+IF(OFFSET(Cashflows[#This Row],-1,0)=Cashflows[[#Headers],[Cumulative]],0,IF(OFFSET(Cashflows[#This Row],-1,0)="",0,OFFSET(Cashflows[#This Row],-1,0))),"")</f>
        <v>45101319.419999994</v>
      </c>
      <c r="G57" s="228">
        <f ca="1">IF(Cashflows[[#This Row],[MonthDate]]&lt;&gt;"",INDEX(Cashflow!$U$142:$FQ$142,MATCH(Cashflows[[#This Row],[MonthDate]],Cashflow!$U$7:$FQ$7,0)),"")</f>
        <v>2265015.19</v>
      </c>
      <c r="H57" s="228">
        <f ca="1">IF(Cashflows[[#This Row],[MonthDate]]&lt;&gt;"",INDEX(Cashflow!$U$143:$FQ$143,MATCH(Cashflows[[#This Row],[MonthDate]],Cashflow!$U$7:$FQ$7,0)),"")</f>
        <v>45101520.179999992</v>
      </c>
      <c r="I57" s="226">
        <f ca="1">IFERROR(DATEVALUE(Cashflows[[#This Row],[Month]]),"")</f>
        <v>44501</v>
      </c>
      <c r="J57" s="228" t="str">
        <f ca="1">IF(EOMONTH(TODAY(),-1)+1=Cashflows[[#This Row],[MonthDate]],MAX(Cashflows[Cumulative]),"")</f>
        <v/>
      </c>
    </row>
    <row r="58" spans="1:10">
      <c r="A58" t="str">
        <f ca="1">IF(OFFSET(Cashflows[#This Row],-1,0)=Cashflows[[#Headers],[Fiscal Year]],'Target Tracking'!$E$17,IF(Cashflows[[#This Row],[Month Num]]&lt;&gt;4,OFFSET(Cashflows[#This Row],-1,0),CONCATENATE(LEFT(OFFSET(Cashflows[#This Row],-1,0),4)+1,"-",RIGHT(OFFSET(Cashflows[#This Row],-1,0),2)+1)))</f>
        <v>2021-22</v>
      </c>
      <c r="B58">
        <f ca="1">IF(OFFSET(Cashflows[#This Row],-1,0)=Cashflows[[#Headers],[Month Num]],4,MONTH(EDATE(DATE(2000,OFFSET(Cashflows[#This Row],-1,0),1),1)))</f>
        <v>12</v>
      </c>
      <c r="C58" t="str">
        <f ca="1">IF(IFERROR(INDEX('Target Tracking'!$19:$19,,MATCH(Cashflows[[#This Row],[Fiscal Year]],'Target Tracking'!$17:$17,0)),0)&gt;0,TEXT(DATE(IF(Cashflows[[#This Row],[Month Num]]&gt;=4,LEFT(Cashflows[[#This Row],[Fiscal Year]],4),"20" &amp; RIGHT(Cashflows[[#This Row],[Fiscal Year]],2)),Cashflows[[#This Row],[Month Num]],1),"mmm yyyy"),"")</f>
        <v>Dec 2021</v>
      </c>
      <c r="D58">
        <f ca="1">IF(Cashflows[[#This Row],[Month Num]]=4,-12,OFFSET(Cashflows[#This Row],-1,0)+1)</f>
        <v>-4</v>
      </c>
      <c r="E58">
        <f ca="1">IF(Cashflows[[#This Row],[Month]]="","",IFERROR(OFFSET(INDEX(OFFSET(Cashflow!$U$7,0,0,,CELL("col",CWS_Total) - CELL("col",Cashflow!$U$7)),MATCH(Cashflows[[#This Row],[MonthDate]],OFFSET(Cashflow!$U$7,0,0,,CELL("col",CWS_Total) - CELL("col",Cashflow!$U$7)),0)),MATCH("Total",Cashflow!$B:$B,0)-7,0),0))</f>
        <v>2909666.84</v>
      </c>
      <c r="F58" s="228">
        <f ca="1">IFERROR(Cashflows[[#This Row],[Cashflow]]+IF(OFFSET(Cashflows[#This Row],-1,0)=Cashflows[[#Headers],[Cumulative]],0,IF(OFFSET(Cashflows[#This Row],-1,0)="",0,OFFSET(Cashflows[#This Row],-1,0))),"")</f>
        <v>48010986.25999999</v>
      </c>
      <c r="G58" s="228">
        <f ca="1">IF(Cashflows[[#This Row],[MonthDate]]&lt;&gt;"",INDEX(Cashflow!$U$142:$FQ$142,MATCH(Cashflows[[#This Row],[MonthDate]],Cashflow!$U$7:$FQ$7,0)),"")</f>
        <v>2909666.84</v>
      </c>
      <c r="H58" s="228">
        <f ca="1">IF(Cashflows[[#This Row],[MonthDate]]&lt;&gt;"",INDEX(Cashflow!$U$143:$FQ$143,MATCH(Cashflows[[#This Row],[MonthDate]],Cashflow!$U$7:$FQ$7,0)),"")</f>
        <v>48011187.019999996</v>
      </c>
      <c r="I58" s="226">
        <f ca="1">IFERROR(DATEVALUE(Cashflows[[#This Row],[Month]]),"")</f>
        <v>44531</v>
      </c>
      <c r="J58" s="228" t="str">
        <f ca="1">IF(EOMONTH(TODAY(),-1)+1=Cashflows[[#This Row],[MonthDate]],MAX(Cashflows[Cumulative]),"")</f>
        <v/>
      </c>
    </row>
    <row r="59" spans="1:10">
      <c r="A59" t="str">
        <f ca="1">IF(OFFSET(Cashflows[#This Row],-1,0)=Cashflows[[#Headers],[Fiscal Year]],'Target Tracking'!$E$17,IF(Cashflows[[#This Row],[Month Num]]&lt;&gt;4,OFFSET(Cashflows[#This Row],-1,0),CONCATENATE(LEFT(OFFSET(Cashflows[#This Row],-1,0),4)+1,"-",RIGHT(OFFSET(Cashflows[#This Row],-1,0),2)+1)))</f>
        <v>2021-22</v>
      </c>
      <c r="B59">
        <f ca="1">IF(OFFSET(Cashflows[#This Row],-1,0)=Cashflows[[#Headers],[Month Num]],4,MONTH(EDATE(DATE(2000,OFFSET(Cashflows[#This Row],-1,0),1),1)))</f>
        <v>1</v>
      </c>
      <c r="C59" t="str">
        <f ca="1">IF(IFERROR(INDEX('Target Tracking'!$19:$19,,MATCH(Cashflows[[#This Row],[Fiscal Year]],'Target Tracking'!$17:$17,0)),0)&gt;0,TEXT(DATE(IF(Cashflows[[#This Row],[Month Num]]&gt;=4,LEFT(Cashflows[[#This Row],[Fiscal Year]],4),"20" &amp; RIGHT(Cashflows[[#This Row],[Fiscal Year]],2)),Cashflows[[#This Row],[Month Num]],1),"mmm yyyy"),"")</f>
        <v>Jan 2022</v>
      </c>
      <c r="D59">
        <f ca="1">IF(Cashflows[[#This Row],[Month Num]]=4,-12,OFFSET(Cashflows[#This Row],-1,0)+1)</f>
        <v>-3</v>
      </c>
      <c r="E59">
        <f ca="1">IF(Cashflows[[#This Row],[Month]]="","",IFERROR(OFFSET(INDEX(OFFSET(Cashflow!$U$7,0,0,,CELL("col",CWS_Total) - CELL("col",Cashflow!$U$7)),MATCH(Cashflows[[#This Row],[MonthDate]],OFFSET(Cashflow!$U$7,0,0,,CELL("col",CWS_Total) - CELL("col",Cashflow!$U$7)),0)),MATCH("Total",Cashflow!$B:$B,0)-7,0),0))</f>
        <v>2739074.1</v>
      </c>
      <c r="F59" s="228">
        <f ca="1">IFERROR(Cashflows[[#This Row],[Cashflow]]+IF(OFFSET(Cashflows[#This Row],-1,0)=Cashflows[[#Headers],[Cumulative]],0,IF(OFFSET(Cashflows[#This Row],-1,0)="",0,OFFSET(Cashflows[#This Row],-1,0))),"")</f>
        <v>50750060.359999992</v>
      </c>
      <c r="G59" s="228">
        <f ca="1">IF(Cashflows[[#This Row],[MonthDate]]&lt;&gt;"",INDEX(Cashflow!$U$142:$FQ$142,MATCH(Cashflows[[#This Row],[MonthDate]],Cashflow!$U$7:$FQ$7,0)),"")</f>
        <v>2739074.1</v>
      </c>
      <c r="H59" s="228">
        <f ca="1">IF(Cashflows[[#This Row],[MonthDate]]&lt;&gt;"",INDEX(Cashflow!$U$143:$FQ$143,MATCH(Cashflows[[#This Row],[MonthDate]],Cashflow!$U$7:$FQ$7,0)),"")</f>
        <v>50750261.119999997</v>
      </c>
      <c r="I59" s="226">
        <f ca="1">IFERROR(DATEVALUE(Cashflows[[#This Row],[Month]]),"")</f>
        <v>44562</v>
      </c>
      <c r="J59" s="228" t="str">
        <f ca="1">IF(EOMONTH(TODAY(),-1)+1=Cashflows[[#This Row],[MonthDate]],MAX(Cashflows[Cumulative]),"")</f>
        <v/>
      </c>
    </row>
    <row r="60" spans="1:10">
      <c r="A60" t="str">
        <f ca="1">IF(OFFSET(Cashflows[#This Row],-1,0)=Cashflows[[#Headers],[Fiscal Year]],'Target Tracking'!$E$17,IF(Cashflows[[#This Row],[Month Num]]&lt;&gt;4,OFFSET(Cashflows[#This Row],-1,0),CONCATENATE(LEFT(OFFSET(Cashflows[#This Row],-1,0),4)+1,"-",RIGHT(OFFSET(Cashflows[#This Row],-1,0),2)+1)))</f>
        <v>2021-22</v>
      </c>
      <c r="B60">
        <f ca="1">IF(OFFSET(Cashflows[#This Row],-1,0)=Cashflows[[#Headers],[Month Num]],4,MONTH(EDATE(DATE(2000,OFFSET(Cashflows[#This Row],-1,0),1),1)))</f>
        <v>2</v>
      </c>
      <c r="C60" t="str">
        <f ca="1">IF(IFERROR(INDEX('Target Tracking'!$19:$19,,MATCH(Cashflows[[#This Row],[Fiscal Year]],'Target Tracking'!$17:$17,0)),0)&gt;0,TEXT(DATE(IF(Cashflows[[#This Row],[Month Num]]&gt;=4,LEFT(Cashflows[[#This Row],[Fiscal Year]],4),"20" &amp; RIGHT(Cashflows[[#This Row],[Fiscal Year]],2)),Cashflows[[#This Row],[Month Num]],1),"mmm yyyy"),"")</f>
        <v>Feb 2022</v>
      </c>
      <c r="D60">
        <f ca="1">IF(Cashflows[[#This Row],[Month Num]]=4,-12,OFFSET(Cashflows[#This Row],-1,0)+1)</f>
        <v>-2</v>
      </c>
      <c r="E60">
        <f ca="1">IF(Cashflows[[#This Row],[Month]]="","",IFERROR(OFFSET(INDEX(OFFSET(Cashflow!$U$7,0,0,,CELL("col",CWS_Total) - CELL("col",Cashflow!$U$7)),MATCH(Cashflows[[#This Row],[MonthDate]],OFFSET(Cashflow!$U$7,0,0,,CELL("col",CWS_Total) - CELL("col",Cashflow!$U$7)),0)),MATCH("Total",Cashflow!$B:$B,0)-7,0),0))</f>
        <v>152285.85999999999</v>
      </c>
      <c r="F60" s="228">
        <f ca="1">IFERROR(Cashflows[[#This Row],[Cashflow]]+IF(OFFSET(Cashflows[#This Row],-1,0)=Cashflows[[#Headers],[Cumulative]],0,IF(OFFSET(Cashflows[#This Row],-1,0)="",0,OFFSET(Cashflows[#This Row],-1,0))),"")</f>
        <v>50902346.219999991</v>
      </c>
      <c r="G60" s="228">
        <f ca="1">IF(Cashflows[[#This Row],[MonthDate]]&lt;&gt;"",INDEX(Cashflow!$U$142:$FQ$142,MATCH(Cashflows[[#This Row],[MonthDate]],Cashflow!$U$7:$FQ$7,0)),"")</f>
        <v>152285.85999999999</v>
      </c>
      <c r="H60" s="228">
        <f ca="1">IF(Cashflows[[#This Row],[MonthDate]]&lt;&gt;"",INDEX(Cashflow!$U$143:$FQ$143,MATCH(Cashflows[[#This Row],[MonthDate]],Cashflow!$U$7:$FQ$7,0)),"")</f>
        <v>50902546.979999997</v>
      </c>
      <c r="I60" s="226">
        <f ca="1">IFERROR(DATEVALUE(Cashflows[[#This Row],[Month]]),"")</f>
        <v>44593</v>
      </c>
      <c r="J60" s="228" t="str">
        <f ca="1">IF(EOMONTH(TODAY(),-1)+1=Cashflows[[#This Row],[MonthDate]],MAX(Cashflows[Cumulative]),"")</f>
        <v/>
      </c>
    </row>
    <row r="61" spans="1:10">
      <c r="A61" t="str">
        <f ca="1">IF(OFFSET(Cashflows[#This Row],-1,0)=Cashflows[[#Headers],[Fiscal Year]],'Target Tracking'!$E$17,IF(Cashflows[[#This Row],[Month Num]]&lt;&gt;4,OFFSET(Cashflows[#This Row],-1,0),CONCATENATE(LEFT(OFFSET(Cashflows[#This Row],-1,0),4)+1,"-",RIGHT(OFFSET(Cashflows[#This Row],-1,0),2)+1)))</f>
        <v>2021-22</v>
      </c>
      <c r="B61">
        <f ca="1">IF(OFFSET(Cashflows[#This Row],-1,0)=Cashflows[[#Headers],[Month Num]],4,MONTH(EDATE(DATE(2000,OFFSET(Cashflows[#This Row],-1,0),1),1)))</f>
        <v>3</v>
      </c>
      <c r="C61" t="str">
        <f ca="1">IF(IFERROR(INDEX('Target Tracking'!$19:$19,,MATCH(Cashflows[[#This Row],[Fiscal Year]],'Target Tracking'!$17:$17,0)),0)&gt;0,TEXT(DATE(IF(Cashflows[[#This Row],[Month Num]]&gt;=4,LEFT(Cashflows[[#This Row],[Fiscal Year]],4),"20" &amp; RIGHT(Cashflows[[#This Row],[Fiscal Year]],2)),Cashflows[[#This Row],[Month Num]],1),"mmm yyyy"),"")</f>
        <v>Mar 2022</v>
      </c>
      <c r="D61">
        <f ca="1">IF(Cashflows[[#This Row],[Month Num]]=4,-12,OFFSET(Cashflows[#This Row],-1,0)+1)</f>
        <v>-1</v>
      </c>
      <c r="E61">
        <f ca="1">IF(Cashflows[[#This Row],[Month]]="","",IFERROR(OFFSET(INDEX(OFFSET(Cashflow!$U$7,0,0,,CELL("col",CWS_Total) - CELL("col",Cashflow!$U$7)),MATCH(Cashflows[[#This Row],[MonthDate]],OFFSET(Cashflow!$U$7,0,0,,CELL("col",CWS_Total) - CELL("col",Cashflow!$U$7)),0)),MATCH("Total",Cashflow!$B:$B,0)-7,0),0))</f>
        <v>8926629.4700000007</v>
      </c>
      <c r="F61" s="228">
        <f ca="1">IFERROR(Cashflows[[#This Row],[Cashflow]]+IF(OFFSET(Cashflows[#This Row],-1,0)=Cashflows[[#Headers],[Cumulative]],0,IF(OFFSET(Cashflows[#This Row],-1,0)="",0,OFFSET(Cashflows[#This Row],-1,0))),"")</f>
        <v>59828975.68999999</v>
      </c>
      <c r="G61" s="228">
        <f ca="1">IF(Cashflows[[#This Row],[MonthDate]]&lt;&gt;"",INDEX(Cashflow!$U$142:$FQ$142,MATCH(Cashflows[[#This Row],[MonthDate]],Cashflow!$U$7:$FQ$7,0)),"")</f>
        <v>8926629.4700000007</v>
      </c>
      <c r="H61" s="228">
        <f ca="1">IF(Cashflows[[#This Row],[MonthDate]]&lt;&gt;"",INDEX(Cashflow!$U$143:$FQ$143,MATCH(Cashflows[[#This Row],[MonthDate]],Cashflow!$U$7:$FQ$7,0)),"")</f>
        <v>59829176.449999996</v>
      </c>
      <c r="I61" s="226">
        <f ca="1">IFERROR(DATEVALUE(Cashflows[[#This Row],[Month]]),"")</f>
        <v>44621</v>
      </c>
      <c r="J61" s="228" t="str">
        <f ca="1">IF(EOMONTH(TODAY(),-1)+1=Cashflows[[#This Row],[MonthDate]],MAX(Cashflows[Cumulative]),"")</f>
        <v/>
      </c>
    </row>
    <row r="62" spans="1:10">
      <c r="A62" t="str">
        <f ca="1">IF(OFFSET(Cashflows[#This Row],-1,0)=Cashflows[[#Headers],[Fiscal Year]],'Target Tracking'!$E$17,IF(Cashflows[[#This Row],[Month Num]]&lt;&gt;4,OFFSET(Cashflows[#This Row],-1,0),CONCATENATE(LEFT(OFFSET(Cashflows[#This Row],-1,0),4)+1,"-",RIGHT(OFFSET(Cashflows[#This Row],-1,0),2)+1)))</f>
        <v>2022-23</v>
      </c>
      <c r="B62">
        <f ca="1">IF(OFFSET(Cashflows[#This Row],-1,0)=Cashflows[[#Headers],[Month Num]],4,MONTH(EDATE(DATE(2000,OFFSET(Cashflows[#This Row],-1,0),1),1)))</f>
        <v>4</v>
      </c>
      <c r="C62" t="str">
        <f ca="1">IF(IFERROR(INDEX('Target Tracking'!$19:$19,,MATCH(Cashflows[[#This Row],[Fiscal Year]],'Target Tracking'!$17:$17,0)),0)&gt;0,TEXT(DATE(IF(Cashflows[[#This Row],[Month Num]]&gt;=4,LEFT(Cashflows[[#This Row],[Fiscal Year]],4),"20" &amp; RIGHT(Cashflows[[#This Row],[Fiscal Year]],2)),Cashflows[[#This Row],[Month Num]],1),"mmm yyyy"),"")</f>
        <v>Apr 2022</v>
      </c>
      <c r="D62">
        <f ca="1">IF(Cashflows[[#This Row],[Month Num]]=4,-12,OFFSET(Cashflows[#This Row],-1,0)+1)</f>
        <v>-12</v>
      </c>
      <c r="E62">
        <f ca="1">IF(Cashflows[[#This Row],[Month]]="","",IFERROR(OFFSET(INDEX(OFFSET(Cashflow!$U$7,0,0,,CELL("col",CWS_Total) - CELL("col",Cashflow!$U$7)),MATCH(Cashflows[[#This Row],[MonthDate]],OFFSET(Cashflow!$U$7,0,0,,CELL("col",CWS_Total) - CELL("col",Cashflow!$U$7)),0)),MATCH("Total",Cashflow!$B:$B,0)-7,0),0))</f>
        <v>452020.68</v>
      </c>
      <c r="F62" s="228">
        <f ca="1">IFERROR(Cashflows[[#This Row],[Cashflow]]+IF(OFFSET(Cashflows[#This Row],-1,0)=Cashflows[[#Headers],[Cumulative]],0,IF(OFFSET(Cashflows[#This Row],-1,0)="",0,OFFSET(Cashflows[#This Row],-1,0))),"")</f>
        <v>60280996.36999999</v>
      </c>
      <c r="G62" s="228">
        <f ca="1">IF(Cashflows[[#This Row],[MonthDate]]&lt;&gt;"",INDEX(Cashflow!$U$142:$FQ$142,MATCH(Cashflows[[#This Row],[MonthDate]],Cashflow!$U$7:$FQ$7,0)),"")</f>
        <v>452020.68</v>
      </c>
      <c r="H62" s="228">
        <f ca="1">IF(Cashflows[[#This Row],[MonthDate]]&lt;&gt;"",INDEX(Cashflow!$U$143:$FQ$143,MATCH(Cashflows[[#This Row],[MonthDate]],Cashflow!$U$7:$FQ$7,0)),"")</f>
        <v>60281197.129999995</v>
      </c>
      <c r="I62" s="226">
        <f ca="1">IFERROR(DATEVALUE(Cashflows[[#This Row],[Month]]),"")</f>
        <v>44652</v>
      </c>
      <c r="J62" s="228" t="str">
        <f ca="1">IF(EOMONTH(TODAY(),-1)+1=Cashflows[[#This Row],[MonthDate]],MAX(Cashflows[Cumulative]),"")</f>
        <v/>
      </c>
    </row>
    <row r="63" spans="1:10">
      <c r="A63" t="str">
        <f ca="1">IF(OFFSET(Cashflows[#This Row],-1,0)=Cashflows[[#Headers],[Fiscal Year]],'Target Tracking'!$E$17,IF(Cashflows[[#This Row],[Month Num]]&lt;&gt;4,OFFSET(Cashflows[#This Row],-1,0),CONCATENATE(LEFT(OFFSET(Cashflows[#This Row],-1,0),4)+1,"-",RIGHT(OFFSET(Cashflows[#This Row],-1,0),2)+1)))</f>
        <v>2022-23</v>
      </c>
      <c r="B63">
        <f ca="1">IF(OFFSET(Cashflows[#This Row],-1,0)=Cashflows[[#Headers],[Month Num]],4,MONTH(EDATE(DATE(2000,OFFSET(Cashflows[#This Row],-1,0),1),1)))</f>
        <v>5</v>
      </c>
      <c r="C63" t="str">
        <f ca="1">IF(IFERROR(INDEX('Target Tracking'!$19:$19,,MATCH(Cashflows[[#This Row],[Fiscal Year]],'Target Tracking'!$17:$17,0)),0)&gt;0,TEXT(DATE(IF(Cashflows[[#This Row],[Month Num]]&gt;=4,LEFT(Cashflows[[#This Row],[Fiscal Year]],4),"20" &amp; RIGHT(Cashflows[[#This Row],[Fiscal Year]],2)),Cashflows[[#This Row],[Month Num]],1),"mmm yyyy"),"")</f>
        <v>May 2022</v>
      </c>
      <c r="D63">
        <f ca="1">IF(Cashflows[[#This Row],[Month Num]]=4,-12,OFFSET(Cashflows[#This Row],-1,0)+1)</f>
        <v>-11</v>
      </c>
      <c r="E63">
        <f ca="1">IF(Cashflows[[#This Row],[Month]]="","",IFERROR(OFFSET(INDEX(OFFSET(Cashflow!$U$7,0,0,,CELL("col",CWS_Total) - CELL("col",Cashflow!$U$7)),MATCH(Cashflows[[#This Row],[MonthDate]],OFFSET(Cashflow!$U$7,0,0,,CELL("col",CWS_Total) - CELL("col",Cashflow!$U$7)),0)),MATCH("Total",Cashflow!$B:$B,0)-7,0),0))</f>
        <v>4449468.43</v>
      </c>
      <c r="F63" s="228">
        <f ca="1">IFERROR(Cashflows[[#This Row],[Cashflow]]+IF(OFFSET(Cashflows[#This Row],-1,0)=Cashflows[[#Headers],[Cumulative]],0,IF(OFFSET(Cashflows[#This Row],-1,0)="",0,OFFSET(Cashflows[#This Row],-1,0))),"")</f>
        <v>64730464.79999999</v>
      </c>
      <c r="G63" s="228">
        <f ca="1">IF(Cashflows[[#This Row],[MonthDate]]&lt;&gt;"",INDEX(Cashflow!$U$142:$FQ$142,MATCH(Cashflows[[#This Row],[MonthDate]],Cashflow!$U$7:$FQ$7,0)),"")</f>
        <v>4449468.43</v>
      </c>
      <c r="H63" s="228">
        <f ca="1">IF(Cashflows[[#This Row],[MonthDate]]&lt;&gt;"",INDEX(Cashflow!$U$143:$FQ$143,MATCH(Cashflows[[#This Row],[MonthDate]],Cashflow!$U$7:$FQ$7,0)),"")</f>
        <v>64730665.559999995</v>
      </c>
      <c r="I63" s="226">
        <f ca="1">IFERROR(DATEVALUE(Cashflows[[#This Row],[Month]]),"")</f>
        <v>44682</v>
      </c>
      <c r="J63" s="228" t="str">
        <f ca="1">IF(EOMONTH(TODAY(),-1)+1=Cashflows[[#This Row],[MonthDate]],MAX(Cashflows[Cumulative]),"")</f>
        <v/>
      </c>
    </row>
    <row r="64" spans="1:10">
      <c r="A64" t="str">
        <f ca="1">IF(OFFSET(Cashflows[#This Row],-1,0)=Cashflows[[#Headers],[Fiscal Year]],'Target Tracking'!$E$17,IF(Cashflows[[#This Row],[Month Num]]&lt;&gt;4,OFFSET(Cashflows[#This Row],-1,0),CONCATENATE(LEFT(OFFSET(Cashflows[#This Row],-1,0),4)+1,"-",RIGHT(OFFSET(Cashflows[#This Row],-1,0),2)+1)))</f>
        <v>2022-23</v>
      </c>
      <c r="B64">
        <f ca="1">IF(OFFSET(Cashflows[#This Row],-1,0)=Cashflows[[#Headers],[Month Num]],4,MONTH(EDATE(DATE(2000,OFFSET(Cashflows[#This Row],-1,0),1),1)))</f>
        <v>6</v>
      </c>
      <c r="C64" t="str">
        <f ca="1">IF(IFERROR(INDEX('Target Tracking'!$19:$19,,MATCH(Cashflows[[#This Row],[Fiscal Year]],'Target Tracking'!$17:$17,0)),0)&gt;0,TEXT(DATE(IF(Cashflows[[#This Row],[Month Num]]&gt;=4,LEFT(Cashflows[[#This Row],[Fiscal Year]],4),"20" &amp; RIGHT(Cashflows[[#This Row],[Fiscal Year]],2)),Cashflows[[#This Row],[Month Num]],1),"mmm yyyy"),"")</f>
        <v>Jun 2022</v>
      </c>
      <c r="D64">
        <f ca="1">IF(Cashflows[[#This Row],[Month Num]]=4,-12,OFFSET(Cashflows[#This Row],-1,0)+1)</f>
        <v>-10</v>
      </c>
      <c r="E64">
        <f ca="1">IF(Cashflows[[#This Row],[Month]]="","",IFERROR(OFFSET(INDEX(OFFSET(Cashflow!$U$7,0,0,,CELL("col",CWS_Total) - CELL("col",Cashflow!$U$7)),MATCH(Cashflows[[#This Row],[MonthDate]],OFFSET(Cashflow!$U$7,0,0,,CELL("col",CWS_Total) - CELL("col",Cashflow!$U$7)),0)),MATCH("Total",Cashflow!$B:$B,0)-7,0),0))</f>
        <v>6086613.5599999996</v>
      </c>
      <c r="F64" s="228">
        <f ca="1">IFERROR(Cashflows[[#This Row],[Cashflow]]+IF(OFFSET(Cashflows[#This Row],-1,0)=Cashflows[[#Headers],[Cumulative]],0,IF(OFFSET(Cashflows[#This Row],-1,0)="",0,OFFSET(Cashflows[#This Row],-1,0))),"")</f>
        <v>70817078.359999985</v>
      </c>
      <c r="G64" s="228">
        <f ca="1">IF(Cashflows[[#This Row],[MonthDate]]&lt;&gt;"",INDEX(Cashflow!$U$142:$FQ$142,MATCH(Cashflows[[#This Row],[MonthDate]],Cashflow!$U$7:$FQ$7,0)),"")</f>
        <v>6086613.5599999996</v>
      </c>
      <c r="H64" s="228">
        <f ca="1">IF(Cashflows[[#This Row],[MonthDate]]&lt;&gt;"",INDEX(Cashflow!$U$143:$FQ$143,MATCH(Cashflows[[#This Row],[MonthDate]],Cashflow!$U$7:$FQ$7,0)),"")</f>
        <v>70817279.11999999</v>
      </c>
      <c r="I64" s="226">
        <f ca="1">IFERROR(DATEVALUE(Cashflows[[#This Row],[Month]]),"")</f>
        <v>44713</v>
      </c>
      <c r="J64" s="228" t="str">
        <f ca="1">IF(EOMONTH(TODAY(),-1)+1=Cashflows[[#This Row],[MonthDate]],MAX(Cashflows[Cumulative]),"")</f>
        <v/>
      </c>
    </row>
    <row r="65" spans="1:10">
      <c r="A65" t="str">
        <f ca="1">IF(OFFSET(Cashflows[#This Row],-1,0)=Cashflows[[#Headers],[Fiscal Year]],'Target Tracking'!$E$17,IF(Cashflows[[#This Row],[Month Num]]&lt;&gt;4,OFFSET(Cashflows[#This Row],-1,0),CONCATENATE(LEFT(OFFSET(Cashflows[#This Row],-1,0),4)+1,"-",RIGHT(OFFSET(Cashflows[#This Row],-1,0),2)+1)))</f>
        <v>2022-23</v>
      </c>
      <c r="B65">
        <f ca="1">IF(OFFSET(Cashflows[#This Row],-1,0)=Cashflows[[#Headers],[Month Num]],4,MONTH(EDATE(DATE(2000,OFFSET(Cashflows[#This Row],-1,0),1),1)))</f>
        <v>7</v>
      </c>
      <c r="C65" t="str">
        <f ca="1">IF(IFERROR(INDEX('Target Tracking'!$19:$19,,MATCH(Cashflows[[#This Row],[Fiscal Year]],'Target Tracking'!$17:$17,0)),0)&gt;0,TEXT(DATE(IF(Cashflows[[#This Row],[Month Num]]&gt;=4,LEFT(Cashflows[[#This Row],[Fiscal Year]],4),"20" &amp; RIGHT(Cashflows[[#This Row],[Fiscal Year]],2)),Cashflows[[#This Row],[Month Num]],1),"mmm yyyy"),"")</f>
        <v>Jul 2022</v>
      </c>
      <c r="D65">
        <f ca="1">IF(Cashflows[[#This Row],[Month Num]]=4,-12,OFFSET(Cashflows[#This Row],-1,0)+1)</f>
        <v>-9</v>
      </c>
      <c r="E65">
        <f ca="1">IF(Cashflows[[#This Row],[Month]]="","",IFERROR(OFFSET(INDEX(OFFSET(Cashflow!$U$7,0,0,,CELL("col",CWS_Total) - CELL("col",Cashflow!$U$7)),MATCH(Cashflows[[#This Row],[MonthDate]],OFFSET(Cashflow!$U$7,0,0,,CELL("col",CWS_Total) - CELL("col",Cashflow!$U$7)),0)),MATCH("Total",Cashflow!$B:$B,0)-7,0),0))</f>
        <v>5872216.3300000001</v>
      </c>
      <c r="F65" s="228">
        <f ca="1">IFERROR(Cashflows[[#This Row],[Cashflow]]+IF(OFFSET(Cashflows[#This Row],-1,0)=Cashflows[[#Headers],[Cumulative]],0,IF(OFFSET(Cashflows[#This Row],-1,0)="",0,OFFSET(Cashflows[#This Row],-1,0))),"")</f>
        <v>76689294.689999983</v>
      </c>
      <c r="G65" s="228">
        <f ca="1">IF(Cashflows[[#This Row],[MonthDate]]&lt;&gt;"",INDEX(Cashflow!$U$142:$FQ$142,MATCH(Cashflows[[#This Row],[MonthDate]],Cashflow!$U$7:$FQ$7,0)),"")</f>
        <v>5872216.3300000001</v>
      </c>
      <c r="H65" s="228">
        <f ca="1">IF(Cashflows[[#This Row],[MonthDate]]&lt;&gt;"",INDEX(Cashflow!$U$143:$FQ$143,MATCH(Cashflows[[#This Row],[MonthDate]],Cashflow!$U$7:$FQ$7,0)),"")</f>
        <v>76689495.449999988</v>
      </c>
      <c r="I65" s="226">
        <f ca="1">IFERROR(DATEVALUE(Cashflows[[#This Row],[Month]]),"")</f>
        <v>44743</v>
      </c>
      <c r="J65" s="228" t="str">
        <f ca="1">IF(EOMONTH(TODAY(),-1)+1=Cashflows[[#This Row],[MonthDate]],MAX(Cashflows[Cumulative]),"")</f>
        <v/>
      </c>
    </row>
    <row r="66" spans="1:10">
      <c r="A66" t="str">
        <f ca="1">IF(OFFSET(Cashflows[#This Row],-1,0)=Cashflows[[#Headers],[Fiscal Year]],'Target Tracking'!$E$17,IF(Cashflows[[#This Row],[Month Num]]&lt;&gt;4,OFFSET(Cashflows[#This Row],-1,0),CONCATENATE(LEFT(OFFSET(Cashflows[#This Row],-1,0),4)+1,"-",RIGHT(OFFSET(Cashflows[#This Row],-1,0),2)+1)))</f>
        <v>2022-23</v>
      </c>
      <c r="B66">
        <f ca="1">IF(OFFSET(Cashflows[#This Row],-1,0)=Cashflows[[#Headers],[Month Num]],4,MONTH(EDATE(DATE(2000,OFFSET(Cashflows[#This Row],-1,0),1),1)))</f>
        <v>8</v>
      </c>
      <c r="C66" t="str">
        <f ca="1">IF(IFERROR(INDEX('Target Tracking'!$19:$19,,MATCH(Cashflows[[#This Row],[Fiscal Year]],'Target Tracking'!$17:$17,0)),0)&gt;0,TEXT(DATE(IF(Cashflows[[#This Row],[Month Num]]&gt;=4,LEFT(Cashflows[[#This Row],[Fiscal Year]],4),"20" &amp; RIGHT(Cashflows[[#This Row],[Fiscal Year]],2)),Cashflows[[#This Row],[Month Num]],1),"mmm yyyy"),"")</f>
        <v>Aug 2022</v>
      </c>
      <c r="D66">
        <f ca="1">IF(Cashflows[[#This Row],[Month Num]]=4,-12,OFFSET(Cashflows[#This Row],-1,0)+1)</f>
        <v>-8</v>
      </c>
      <c r="E66">
        <f ca="1">IF(Cashflows[[#This Row],[Month]]="","",IFERROR(OFFSET(INDEX(OFFSET(Cashflow!$U$7,0,0,,CELL("col",CWS_Total) - CELL("col",Cashflow!$U$7)),MATCH(Cashflows[[#This Row],[MonthDate]],OFFSET(Cashflow!$U$7,0,0,,CELL("col",CWS_Total) - CELL("col",Cashflow!$U$7)),0)),MATCH("Total",Cashflow!$B:$B,0)-7,0),0))</f>
        <v>6321995.7800000003</v>
      </c>
      <c r="F66" s="228">
        <f ca="1">IFERROR(Cashflows[[#This Row],[Cashflow]]+IF(OFFSET(Cashflows[#This Row],-1,0)=Cashflows[[#Headers],[Cumulative]],0,IF(OFFSET(Cashflows[#This Row],-1,0)="",0,OFFSET(Cashflows[#This Row],-1,0))),"")</f>
        <v>83011290.469999984</v>
      </c>
      <c r="G66" s="228">
        <f ca="1">IF(Cashflows[[#This Row],[MonthDate]]&lt;&gt;"",INDEX(Cashflow!$U$142:$FQ$142,MATCH(Cashflows[[#This Row],[MonthDate]],Cashflow!$U$7:$FQ$7,0)),"")</f>
        <v>6321995.7800000003</v>
      </c>
      <c r="H66" s="228">
        <f ca="1">IF(Cashflows[[#This Row],[MonthDate]]&lt;&gt;"",INDEX(Cashflow!$U$143:$FQ$143,MATCH(Cashflows[[#This Row],[MonthDate]],Cashflow!$U$7:$FQ$7,0)),"")</f>
        <v>83011491.229999989</v>
      </c>
      <c r="I66" s="226">
        <f ca="1">IFERROR(DATEVALUE(Cashflows[[#This Row],[Month]]),"")</f>
        <v>44774</v>
      </c>
      <c r="J66" s="228" t="str">
        <f ca="1">IF(EOMONTH(TODAY(),-1)+1=Cashflows[[#This Row],[MonthDate]],MAX(Cashflows[Cumulative]),"")</f>
        <v/>
      </c>
    </row>
    <row r="67" spans="1:10">
      <c r="A67" t="str">
        <f ca="1">IF(OFFSET(Cashflows[#This Row],-1,0)=Cashflows[[#Headers],[Fiscal Year]],'Target Tracking'!$E$17,IF(Cashflows[[#This Row],[Month Num]]&lt;&gt;4,OFFSET(Cashflows[#This Row],-1,0),CONCATENATE(LEFT(OFFSET(Cashflows[#This Row],-1,0),4)+1,"-",RIGHT(OFFSET(Cashflows[#This Row],-1,0),2)+1)))</f>
        <v>2022-23</v>
      </c>
      <c r="B67">
        <f ca="1">IF(OFFSET(Cashflows[#This Row],-1,0)=Cashflows[[#Headers],[Month Num]],4,MONTH(EDATE(DATE(2000,OFFSET(Cashflows[#This Row],-1,0),1),1)))</f>
        <v>9</v>
      </c>
      <c r="C67" t="str">
        <f ca="1">IF(IFERROR(INDEX('Target Tracking'!$19:$19,,MATCH(Cashflows[[#This Row],[Fiscal Year]],'Target Tracking'!$17:$17,0)),0)&gt;0,TEXT(DATE(IF(Cashflows[[#This Row],[Month Num]]&gt;=4,LEFT(Cashflows[[#This Row],[Fiscal Year]],4),"20" &amp; RIGHT(Cashflows[[#This Row],[Fiscal Year]],2)),Cashflows[[#This Row],[Month Num]],1),"mmm yyyy"),"")</f>
        <v>Sep 2022</v>
      </c>
      <c r="D67">
        <f ca="1">IF(Cashflows[[#This Row],[Month Num]]=4,-12,OFFSET(Cashflows[#This Row],-1,0)+1)</f>
        <v>-7</v>
      </c>
      <c r="E67">
        <f ca="1">IF(Cashflows[[#This Row],[Month]]="","",IFERROR(OFFSET(INDEX(OFFSET(Cashflow!$U$7,0,0,,CELL("col",CWS_Total) - CELL("col",Cashflow!$U$7)),MATCH(Cashflows[[#This Row],[MonthDate]],OFFSET(Cashflow!$U$7,0,0,,CELL("col",CWS_Total) - CELL("col",Cashflow!$U$7)),0)),MATCH("Total",Cashflow!$B:$B,0)-7,0),0))</f>
        <v>9531002.9900000002</v>
      </c>
      <c r="F67" s="228">
        <f ca="1">IFERROR(Cashflows[[#This Row],[Cashflow]]+IF(OFFSET(Cashflows[#This Row],-1,0)=Cashflows[[#Headers],[Cumulative]],0,IF(OFFSET(Cashflows[#This Row],-1,0)="",0,OFFSET(Cashflows[#This Row],-1,0))),"")</f>
        <v>92542293.459999979</v>
      </c>
      <c r="G67" s="228">
        <f ca="1">IF(Cashflows[[#This Row],[MonthDate]]&lt;&gt;"",INDEX(Cashflow!$U$142:$FQ$142,MATCH(Cashflows[[#This Row],[MonthDate]],Cashflow!$U$7:$FQ$7,0)),"")</f>
        <v>9531002.9900000002</v>
      </c>
      <c r="H67" s="228">
        <f ca="1">IF(Cashflows[[#This Row],[MonthDate]]&lt;&gt;"",INDEX(Cashflow!$U$143:$FQ$143,MATCH(Cashflows[[#This Row],[MonthDate]],Cashflow!$U$7:$FQ$7,0)),"")</f>
        <v>92542494.219999984</v>
      </c>
      <c r="I67" s="226">
        <f ca="1">IFERROR(DATEVALUE(Cashflows[[#This Row],[Month]]),"")</f>
        <v>44805</v>
      </c>
      <c r="J67" s="228" t="str">
        <f ca="1">IF(EOMONTH(TODAY(),-1)+1=Cashflows[[#This Row],[MonthDate]],MAX(Cashflows[Cumulative]),"")</f>
        <v/>
      </c>
    </row>
    <row r="68" spans="1:10">
      <c r="A68" t="str">
        <f ca="1">IF(OFFSET(Cashflows[#This Row],-1,0)=Cashflows[[#Headers],[Fiscal Year]],'Target Tracking'!$E$17,IF(Cashflows[[#This Row],[Month Num]]&lt;&gt;4,OFFSET(Cashflows[#This Row],-1,0),CONCATENATE(LEFT(OFFSET(Cashflows[#This Row],-1,0),4)+1,"-",RIGHT(OFFSET(Cashflows[#This Row],-1,0),2)+1)))</f>
        <v>2022-23</v>
      </c>
      <c r="B68">
        <f ca="1">IF(OFFSET(Cashflows[#This Row],-1,0)=Cashflows[[#Headers],[Month Num]],4,MONTH(EDATE(DATE(2000,OFFSET(Cashflows[#This Row],-1,0),1),1)))</f>
        <v>10</v>
      </c>
      <c r="C68" t="str">
        <f ca="1">IF(IFERROR(INDEX('Target Tracking'!$19:$19,,MATCH(Cashflows[[#This Row],[Fiscal Year]],'Target Tracking'!$17:$17,0)),0)&gt;0,TEXT(DATE(IF(Cashflows[[#This Row],[Month Num]]&gt;=4,LEFT(Cashflows[[#This Row],[Fiscal Year]],4),"20" &amp; RIGHT(Cashflows[[#This Row],[Fiscal Year]],2)),Cashflows[[#This Row],[Month Num]],1),"mmm yyyy"),"")</f>
        <v>Oct 2022</v>
      </c>
      <c r="D68">
        <f ca="1">IF(Cashflows[[#This Row],[Month Num]]=4,-12,OFFSET(Cashflows[#This Row],-1,0)+1)</f>
        <v>-6</v>
      </c>
      <c r="E68">
        <f ca="1">IF(Cashflows[[#This Row],[Month]]="","",IFERROR(OFFSET(INDEX(OFFSET(Cashflow!$U$7,0,0,,CELL("col",CWS_Total) - CELL("col",Cashflow!$U$7)),MATCH(Cashflows[[#This Row],[MonthDate]],OFFSET(Cashflow!$U$7,0,0,,CELL("col",CWS_Total) - CELL("col",Cashflow!$U$7)),0)),MATCH("Total",Cashflow!$B:$B,0)-7,0),0))</f>
        <v>7429437.1600000001</v>
      </c>
      <c r="F68" s="228">
        <f ca="1">IFERROR(Cashflows[[#This Row],[Cashflow]]+IF(OFFSET(Cashflows[#This Row],-1,0)=Cashflows[[#Headers],[Cumulative]],0,IF(OFFSET(Cashflows[#This Row],-1,0)="",0,OFFSET(Cashflows[#This Row],-1,0))),"")</f>
        <v>99971730.619999975</v>
      </c>
      <c r="G68" s="228">
        <f ca="1">IF(Cashflows[[#This Row],[MonthDate]]&lt;&gt;"",INDEX(Cashflow!$U$142:$FQ$142,MATCH(Cashflows[[#This Row],[MonthDate]],Cashflow!$U$7:$FQ$7,0)),"")</f>
        <v>7429437.1600000001</v>
      </c>
      <c r="H68" s="228">
        <f ca="1">IF(Cashflows[[#This Row],[MonthDate]]&lt;&gt;"",INDEX(Cashflow!$U$143:$FQ$143,MATCH(Cashflows[[#This Row],[MonthDate]],Cashflow!$U$7:$FQ$7,0)),"")</f>
        <v>99971931.37999998</v>
      </c>
      <c r="I68" s="226">
        <f ca="1">IFERROR(DATEVALUE(Cashflows[[#This Row],[Month]]),"")</f>
        <v>44835</v>
      </c>
      <c r="J68" s="228" t="str">
        <f ca="1">IF(EOMONTH(TODAY(),-1)+1=Cashflows[[#This Row],[MonthDate]],MAX(Cashflows[Cumulative]),"")</f>
        <v/>
      </c>
    </row>
    <row r="69" spans="1:10">
      <c r="A69" t="str">
        <f ca="1">IF(OFFSET(Cashflows[#This Row],-1,0)=Cashflows[[#Headers],[Fiscal Year]],'Target Tracking'!$E$17,IF(Cashflows[[#This Row],[Month Num]]&lt;&gt;4,OFFSET(Cashflows[#This Row],-1,0),CONCATENATE(LEFT(OFFSET(Cashflows[#This Row],-1,0),4)+1,"-",RIGHT(OFFSET(Cashflows[#This Row],-1,0),2)+1)))</f>
        <v>2022-23</v>
      </c>
      <c r="B69">
        <f ca="1">IF(OFFSET(Cashflows[#This Row],-1,0)=Cashflows[[#Headers],[Month Num]],4,MONTH(EDATE(DATE(2000,OFFSET(Cashflows[#This Row],-1,0),1),1)))</f>
        <v>11</v>
      </c>
      <c r="C69" t="str">
        <f ca="1">IF(IFERROR(INDEX('Target Tracking'!$19:$19,,MATCH(Cashflows[[#This Row],[Fiscal Year]],'Target Tracking'!$17:$17,0)),0)&gt;0,TEXT(DATE(IF(Cashflows[[#This Row],[Month Num]]&gt;=4,LEFT(Cashflows[[#This Row],[Fiscal Year]],4),"20" &amp; RIGHT(Cashflows[[#This Row],[Fiscal Year]],2)),Cashflows[[#This Row],[Month Num]],1),"mmm yyyy"),"")</f>
        <v>Nov 2022</v>
      </c>
      <c r="D69">
        <f ca="1">IF(Cashflows[[#This Row],[Month Num]]=4,-12,OFFSET(Cashflows[#This Row],-1,0)+1)</f>
        <v>-5</v>
      </c>
      <c r="E69">
        <f ca="1">IF(Cashflows[[#This Row],[Month]]="","",IFERROR(OFFSET(INDEX(OFFSET(Cashflow!$U$7,0,0,,CELL("col",CWS_Total) - CELL("col",Cashflow!$U$7)),MATCH(Cashflows[[#This Row],[MonthDate]],OFFSET(Cashflow!$U$7,0,0,,CELL("col",CWS_Total) - CELL("col",Cashflow!$U$7)),0)),MATCH("Total",Cashflow!$B:$B,0)-7,0),0))</f>
        <v>7604604.9000000004</v>
      </c>
      <c r="F69" s="228">
        <f ca="1">IFERROR(Cashflows[[#This Row],[Cashflow]]+IF(OFFSET(Cashflows[#This Row],-1,0)=Cashflows[[#Headers],[Cumulative]],0,IF(OFFSET(Cashflows[#This Row],-1,0)="",0,OFFSET(Cashflows[#This Row],-1,0))),"")</f>
        <v>107576335.51999998</v>
      </c>
      <c r="G69" s="228">
        <f ca="1">IF(Cashflows[[#This Row],[MonthDate]]&lt;&gt;"",INDEX(Cashflow!$U$142:$FQ$142,MATCH(Cashflows[[#This Row],[MonthDate]],Cashflow!$U$7:$FQ$7,0)),"")</f>
        <v>7604604.9000000004</v>
      </c>
      <c r="H69" s="228">
        <f ca="1">IF(Cashflows[[#This Row],[MonthDate]]&lt;&gt;"",INDEX(Cashflow!$U$143:$FQ$143,MATCH(Cashflows[[#This Row],[MonthDate]],Cashflow!$U$7:$FQ$7,0)),"")</f>
        <v>107576536.27999999</v>
      </c>
      <c r="I69" s="226">
        <f ca="1">IFERROR(DATEVALUE(Cashflows[[#This Row],[Month]]),"")</f>
        <v>44866</v>
      </c>
      <c r="J69" s="228" t="str">
        <f ca="1">IF(EOMONTH(TODAY(),-1)+1=Cashflows[[#This Row],[MonthDate]],MAX(Cashflows[Cumulative]),"")</f>
        <v/>
      </c>
    </row>
    <row r="70" spans="1:10">
      <c r="A70" t="str">
        <f ca="1">IF(OFFSET(Cashflows[#This Row],-1,0)=Cashflows[[#Headers],[Fiscal Year]],'Target Tracking'!$E$17,IF(Cashflows[[#This Row],[Month Num]]&lt;&gt;4,OFFSET(Cashflows[#This Row],-1,0),CONCATENATE(LEFT(OFFSET(Cashflows[#This Row],-1,0),4)+1,"-",RIGHT(OFFSET(Cashflows[#This Row],-1,0),2)+1)))</f>
        <v>2022-23</v>
      </c>
      <c r="B70">
        <f ca="1">IF(OFFSET(Cashflows[#This Row],-1,0)=Cashflows[[#Headers],[Month Num]],4,MONTH(EDATE(DATE(2000,OFFSET(Cashflows[#This Row],-1,0),1),1)))</f>
        <v>12</v>
      </c>
      <c r="C70" t="str">
        <f ca="1">IF(IFERROR(INDEX('Target Tracking'!$19:$19,,MATCH(Cashflows[[#This Row],[Fiscal Year]],'Target Tracking'!$17:$17,0)),0)&gt;0,TEXT(DATE(IF(Cashflows[[#This Row],[Month Num]]&gt;=4,LEFT(Cashflows[[#This Row],[Fiscal Year]],4),"20" &amp; RIGHT(Cashflows[[#This Row],[Fiscal Year]],2)),Cashflows[[#This Row],[Month Num]],1),"mmm yyyy"),"")</f>
        <v>Dec 2022</v>
      </c>
      <c r="D70">
        <f ca="1">IF(Cashflows[[#This Row],[Month Num]]=4,-12,OFFSET(Cashflows[#This Row],-1,0)+1)</f>
        <v>-4</v>
      </c>
      <c r="E70">
        <f ca="1">IF(Cashflows[[#This Row],[Month]]="","",IFERROR(OFFSET(INDEX(OFFSET(Cashflow!$U$7,0,0,,CELL("col",CWS_Total) - CELL("col",Cashflow!$U$7)),MATCH(Cashflows[[#This Row],[MonthDate]],OFFSET(Cashflow!$U$7,0,0,,CELL("col",CWS_Total) - CELL("col",Cashflow!$U$7)),0)),MATCH("Total",Cashflow!$B:$B,0)-7,0),0))</f>
        <v>5900682.6299999999</v>
      </c>
      <c r="F70" s="228">
        <f ca="1">IFERROR(Cashflows[[#This Row],[Cashflow]]+IF(OFFSET(Cashflows[#This Row],-1,0)=Cashflows[[#Headers],[Cumulative]],0,IF(OFFSET(Cashflows[#This Row],-1,0)="",0,OFFSET(Cashflows[#This Row],-1,0))),"")</f>
        <v>113477018.14999998</v>
      </c>
      <c r="G70" s="228">
        <f ca="1">IF(Cashflows[[#This Row],[MonthDate]]&lt;&gt;"",INDEX(Cashflow!$U$142:$FQ$142,MATCH(Cashflows[[#This Row],[MonthDate]],Cashflow!$U$7:$FQ$7,0)),"")</f>
        <v>5900682.6299999999</v>
      </c>
      <c r="H70" s="228">
        <f ca="1">IF(Cashflows[[#This Row],[MonthDate]]&lt;&gt;"",INDEX(Cashflow!$U$143:$FQ$143,MATCH(Cashflows[[#This Row],[MonthDate]],Cashflow!$U$7:$FQ$7,0)),"")</f>
        <v>113477218.90999998</v>
      </c>
      <c r="I70" s="226">
        <f ca="1">IFERROR(DATEVALUE(Cashflows[[#This Row],[Month]]),"")</f>
        <v>44896</v>
      </c>
      <c r="J70" s="228" t="str">
        <f ca="1">IF(EOMONTH(TODAY(),-1)+1=Cashflows[[#This Row],[MonthDate]],MAX(Cashflows[Cumulative]),"")</f>
        <v/>
      </c>
    </row>
    <row r="71" spans="1:10">
      <c r="A71" t="str">
        <f ca="1">IF(OFFSET(Cashflows[#This Row],-1,0)=Cashflows[[#Headers],[Fiscal Year]],'Target Tracking'!$E$17,IF(Cashflows[[#This Row],[Month Num]]&lt;&gt;4,OFFSET(Cashflows[#This Row],-1,0),CONCATENATE(LEFT(OFFSET(Cashflows[#This Row],-1,0),4)+1,"-",RIGHT(OFFSET(Cashflows[#This Row],-1,0),2)+1)))</f>
        <v>2022-23</v>
      </c>
      <c r="B71">
        <f ca="1">IF(OFFSET(Cashflows[#This Row],-1,0)=Cashflows[[#Headers],[Month Num]],4,MONTH(EDATE(DATE(2000,OFFSET(Cashflows[#This Row],-1,0),1),1)))</f>
        <v>1</v>
      </c>
      <c r="C71" t="str">
        <f ca="1">IF(IFERROR(INDEX('Target Tracking'!$19:$19,,MATCH(Cashflows[[#This Row],[Fiscal Year]],'Target Tracking'!$17:$17,0)),0)&gt;0,TEXT(DATE(IF(Cashflows[[#This Row],[Month Num]]&gt;=4,LEFT(Cashflows[[#This Row],[Fiscal Year]],4),"20" &amp; RIGHT(Cashflows[[#This Row],[Fiscal Year]],2)),Cashflows[[#This Row],[Month Num]],1),"mmm yyyy"),"")</f>
        <v>Jan 2023</v>
      </c>
      <c r="D71">
        <f ca="1">IF(Cashflows[[#This Row],[Month Num]]=4,-12,OFFSET(Cashflows[#This Row],-1,0)+1)</f>
        <v>-3</v>
      </c>
      <c r="E71">
        <f ca="1">IF(Cashflows[[#This Row],[Month]]="","",IFERROR(OFFSET(INDEX(OFFSET(Cashflow!$U$7,0,0,,CELL("col",CWS_Total) - CELL("col",Cashflow!$U$7)),MATCH(Cashflows[[#This Row],[MonthDate]],OFFSET(Cashflow!$U$7,0,0,,CELL("col",CWS_Total) - CELL("col",Cashflow!$U$7)),0)),MATCH("Total",Cashflow!$B:$B,0)-7,0),0))</f>
        <v>6244703.5800000001</v>
      </c>
      <c r="F71" s="228">
        <f ca="1">IFERROR(Cashflows[[#This Row],[Cashflow]]+IF(OFFSET(Cashflows[#This Row],-1,0)=Cashflows[[#Headers],[Cumulative]],0,IF(OFFSET(Cashflows[#This Row],-1,0)="",0,OFFSET(Cashflows[#This Row],-1,0))),"")</f>
        <v>119721721.72999997</v>
      </c>
      <c r="G71" s="228">
        <f ca="1">IF(Cashflows[[#This Row],[MonthDate]]&lt;&gt;"",INDEX(Cashflow!$U$142:$FQ$142,MATCH(Cashflows[[#This Row],[MonthDate]],Cashflow!$U$7:$FQ$7,0)),"")</f>
        <v>6244703.5800000001</v>
      </c>
      <c r="H71" s="228">
        <f ca="1">IF(Cashflows[[#This Row],[MonthDate]]&lt;&gt;"",INDEX(Cashflow!$U$143:$FQ$143,MATCH(Cashflows[[#This Row],[MonthDate]],Cashflow!$U$7:$FQ$7,0)),"")</f>
        <v>119721922.48999998</v>
      </c>
      <c r="I71" s="226">
        <f ca="1">IFERROR(DATEVALUE(Cashflows[[#This Row],[Month]]),"")</f>
        <v>44927</v>
      </c>
      <c r="J71" s="228" t="str">
        <f ca="1">IF(EOMONTH(TODAY(),-1)+1=Cashflows[[#This Row],[MonthDate]],MAX(Cashflows[Cumulative]),"")</f>
        <v/>
      </c>
    </row>
    <row r="72" spans="1:10">
      <c r="A72" t="str">
        <f ca="1">IF(OFFSET(Cashflows[#This Row],-1,0)=Cashflows[[#Headers],[Fiscal Year]],'Target Tracking'!$E$17,IF(Cashflows[[#This Row],[Month Num]]&lt;&gt;4,OFFSET(Cashflows[#This Row],-1,0),CONCATENATE(LEFT(OFFSET(Cashflows[#This Row],-1,0),4)+1,"-",RIGHT(OFFSET(Cashflows[#This Row],-1,0),2)+1)))</f>
        <v>2022-23</v>
      </c>
      <c r="B72">
        <f ca="1">IF(OFFSET(Cashflows[#This Row],-1,0)=Cashflows[[#Headers],[Month Num]],4,MONTH(EDATE(DATE(2000,OFFSET(Cashflows[#This Row],-1,0),1),1)))</f>
        <v>2</v>
      </c>
      <c r="C72" t="str">
        <f ca="1">IF(IFERROR(INDEX('Target Tracking'!$19:$19,,MATCH(Cashflows[[#This Row],[Fiscal Year]],'Target Tracking'!$17:$17,0)),0)&gt;0,TEXT(DATE(IF(Cashflows[[#This Row],[Month Num]]&gt;=4,LEFT(Cashflows[[#This Row],[Fiscal Year]],4),"20" &amp; RIGHT(Cashflows[[#This Row],[Fiscal Year]],2)),Cashflows[[#This Row],[Month Num]],1),"mmm yyyy"),"")</f>
        <v>Feb 2023</v>
      </c>
      <c r="D72">
        <f ca="1">IF(Cashflows[[#This Row],[Month Num]]=4,-12,OFFSET(Cashflows[#This Row],-1,0)+1)</f>
        <v>-2</v>
      </c>
      <c r="E72">
        <f ca="1">IF(Cashflows[[#This Row],[Month]]="","",IFERROR(OFFSET(INDEX(OFFSET(Cashflow!$U$7,0,0,,CELL("col",CWS_Total) - CELL("col",Cashflow!$U$7)),MATCH(Cashflows[[#This Row],[MonthDate]],OFFSET(Cashflow!$U$7,0,0,,CELL("col",CWS_Total) - CELL("col",Cashflow!$U$7)),0)),MATCH("Total",Cashflow!$B:$B,0)-7,0),0))</f>
        <v>5955543.25</v>
      </c>
      <c r="F72" s="228">
        <f ca="1">IFERROR(Cashflows[[#This Row],[Cashflow]]+IF(OFFSET(Cashflows[#This Row],-1,0)=Cashflows[[#Headers],[Cumulative]],0,IF(OFFSET(Cashflows[#This Row],-1,0)="",0,OFFSET(Cashflows[#This Row],-1,0))),"")</f>
        <v>125677264.97999997</v>
      </c>
      <c r="G72" s="228">
        <f ca="1">IF(Cashflows[[#This Row],[MonthDate]]&lt;&gt;"",INDEX(Cashflow!$U$142:$FQ$142,MATCH(Cashflows[[#This Row],[MonthDate]],Cashflow!$U$7:$FQ$7,0)),"")</f>
        <v>5955543.25</v>
      </c>
      <c r="H72" s="228">
        <f ca="1">IF(Cashflows[[#This Row],[MonthDate]]&lt;&gt;"",INDEX(Cashflow!$U$143:$FQ$143,MATCH(Cashflows[[#This Row],[MonthDate]],Cashflow!$U$7:$FQ$7,0)),"")</f>
        <v>125677465.73999998</v>
      </c>
      <c r="I72" s="226">
        <f ca="1">IFERROR(DATEVALUE(Cashflows[[#This Row],[Month]]),"")</f>
        <v>44958</v>
      </c>
      <c r="J72" s="228" t="str">
        <f ca="1">IF(EOMONTH(TODAY(),-1)+1=Cashflows[[#This Row],[MonthDate]],MAX(Cashflows[Cumulative]),"")</f>
        <v/>
      </c>
    </row>
    <row r="73" spans="1:10">
      <c r="A73" t="str">
        <f ca="1">IF(OFFSET(Cashflows[#This Row],-1,0)=Cashflows[[#Headers],[Fiscal Year]],'Target Tracking'!$E$17,IF(Cashflows[[#This Row],[Month Num]]&lt;&gt;4,OFFSET(Cashflows[#This Row],-1,0),CONCATENATE(LEFT(OFFSET(Cashflows[#This Row],-1,0),4)+1,"-",RIGHT(OFFSET(Cashflows[#This Row],-1,0),2)+1)))</f>
        <v>2022-23</v>
      </c>
      <c r="B73">
        <f ca="1">IF(OFFSET(Cashflows[#This Row],-1,0)=Cashflows[[#Headers],[Month Num]],4,MONTH(EDATE(DATE(2000,OFFSET(Cashflows[#This Row],-1,0),1),1)))</f>
        <v>3</v>
      </c>
      <c r="C73" t="str">
        <f ca="1">IF(IFERROR(INDEX('Target Tracking'!$19:$19,,MATCH(Cashflows[[#This Row],[Fiscal Year]],'Target Tracking'!$17:$17,0)),0)&gt;0,TEXT(DATE(IF(Cashflows[[#This Row],[Month Num]]&gt;=4,LEFT(Cashflows[[#This Row],[Fiscal Year]],4),"20" &amp; RIGHT(Cashflows[[#This Row],[Fiscal Year]],2)),Cashflows[[#This Row],[Month Num]],1),"mmm yyyy"),"")</f>
        <v>Mar 2023</v>
      </c>
      <c r="D73">
        <f ca="1">IF(Cashflows[[#This Row],[Month Num]]=4,-12,OFFSET(Cashflows[#This Row],-1,0)+1)</f>
        <v>-1</v>
      </c>
      <c r="E73">
        <f ca="1">IF(Cashflows[[#This Row],[Month]]="","",IFERROR(OFFSET(INDEX(OFFSET(Cashflow!$U$7,0,0,,CELL("col",CWS_Total) - CELL("col",Cashflow!$U$7)),MATCH(Cashflows[[#This Row],[MonthDate]],OFFSET(Cashflow!$U$7,0,0,,CELL("col",CWS_Total) - CELL("col",Cashflow!$U$7)),0)),MATCH("Total",Cashflow!$B:$B,0)-7,0),0))</f>
        <v>11132382.43</v>
      </c>
      <c r="F73" s="228">
        <f ca="1">IFERROR(Cashflows[[#This Row],[Cashflow]]+IF(OFFSET(Cashflows[#This Row],-1,0)=Cashflows[[#Headers],[Cumulative]],0,IF(OFFSET(Cashflows[#This Row],-1,0)="",0,OFFSET(Cashflows[#This Row],-1,0))),"")</f>
        <v>136809647.40999997</v>
      </c>
      <c r="G73" s="228">
        <f ca="1">IF(Cashflows[[#This Row],[MonthDate]]&lt;&gt;"",INDEX(Cashflow!$U$142:$FQ$142,MATCH(Cashflows[[#This Row],[MonthDate]],Cashflow!$U$7:$FQ$7,0)),"")</f>
        <v>11132382.43</v>
      </c>
      <c r="H73" s="228">
        <f ca="1">IF(Cashflows[[#This Row],[MonthDate]]&lt;&gt;"",INDEX(Cashflow!$U$143:$FQ$143,MATCH(Cashflows[[#This Row],[MonthDate]],Cashflow!$U$7:$FQ$7,0)),"")</f>
        <v>136809848.16999999</v>
      </c>
      <c r="I73" s="226">
        <f ca="1">IFERROR(DATEVALUE(Cashflows[[#This Row],[Month]]),"")</f>
        <v>44986</v>
      </c>
      <c r="J73" s="228" t="str">
        <f ca="1">IF(EOMONTH(TODAY(),-1)+1=Cashflows[[#This Row],[MonthDate]],MAX(Cashflows[Cumulative]),"")</f>
        <v/>
      </c>
    </row>
    <row r="74" spans="1:10">
      <c r="A74" t="str">
        <f ca="1">IF(OFFSET(Cashflows[#This Row],-1,0)=Cashflows[[#Headers],[Fiscal Year]],'Target Tracking'!$E$17,IF(Cashflows[[#This Row],[Month Num]]&lt;&gt;4,OFFSET(Cashflows[#This Row],-1,0),CONCATENATE(LEFT(OFFSET(Cashflows[#This Row],-1,0),4)+1,"-",RIGHT(OFFSET(Cashflows[#This Row],-1,0),2)+1)))</f>
        <v>2023-24</v>
      </c>
      <c r="B74">
        <f ca="1">IF(OFFSET(Cashflows[#This Row],-1,0)=Cashflows[[#Headers],[Month Num]],4,MONTH(EDATE(DATE(2000,OFFSET(Cashflows[#This Row],-1,0),1),1)))</f>
        <v>4</v>
      </c>
      <c r="C74" t="str">
        <f ca="1">IF(IFERROR(INDEX('Target Tracking'!$19:$19,,MATCH(Cashflows[[#This Row],[Fiscal Year]],'Target Tracking'!$17:$17,0)),0)&gt;0,TEXT(DATE(IF(Cashflows[[#This Row],[Month Num]]&gt;=4,LEFT(Cashflows[[#This Row],[Fiscal Year]],4),"20" &amp; RIGHT(Cashflows[[#This Row],[Fiscal Year]],2)),Cashflows[[#This Row],[Month Num]],1),"mmm yyyy"),"")</f>
        <v>Apr 2023</v>
      </c>
      <c r="D74">
        <f ca="1">IF(Cashflows[[#This Row],[Month Num]]=4,-12,OFFSET(Cashflows[#This Row],-1,0)+1)</f>
        <v>-12</v>
      </c>
      <c r="E74">
        <f ca="1">IF(Cashflows[[#This Row],[Month]]="","",IFERROR(OFFSET(INDEX(OFFSET(Cashflow!$U$7,0,0,,CELL("col",CWS_Total) - CELL("col",Cashflow!$U$7)),MATCH(Cashflows[[#This Row],[MonthDate]],OFFSET(Cashflow!$U$7,0,0,,CELL("col",CWS_Total) - CELL("col",Cashflow!$U$7)),0)),MATCH("Total",Cashflow!$B:$B,0)-7,0),0))</f>
        <v>278497.15999999997</v>
      </c>
      <c r="F74" s="228">
        <f ca="1">IFERROR(Cashflows[[#This Row],[Cashflow]]+IF(OFFSET(Cashflows[#This Row],-1,0)=Cashflows[[#Headers],[Cumulative]],0,IF(OFFSET(Cashflows[#This Row],-1,0)="",0,OFFSET(Cashflows[#This Row],-1,0))),"")</f>
        <v>137088144.56999996</v>
      </c>
      <c r="G74" s="228">
        <f ca="1">IF(Cashflows[[#This Row],[MonthDate]]&lt;&gt;"",INDEX(Cashflow!$U$142:$FQ$142,MATCH(Cashflows[[#This Row],[MonthDate]],Cashflow!$U$7:$FQ$7,0)),"")</f>
        <v>278497.15999999997</v>
      </c>
      <c r="H74" s="228">
        <f ca="1">IF(Cashflows[[#This Row],[MonthDate]]&lt;&gt;"",INDEX(Cashflow!$U$143:$FQ$143,MATCH(Cashflows[[#This Row],[MonthDate]],Cashflow!$U$7:$FQ$7,0)),"")</f>
        <v>137088345.32999998</v>
      </c>
      <c r="I74" s="226">
        <f ca="1">IFERROR(DATEVALUE(Cashflows[[#This Row],[Month]]),"")</f>
        <v>45017</v>
      </c>
      <c r="J74" s="228" t="str">
        <f ca="1">IF(EOMONTH(TODAY(),-1)+1=Cashflows[[#This Row],[MonthDate]],MAX(Cashflows[Cumulative]),"")</f>
        <v/>
      </c>
    </row>
    <row r="75" spans="1:10">
      <c r="A75" t="str">
        <f ca="1">IF(OFFSET(Cashflows[#This Row],-1,0)=Cashflows[[#Headers],[Fiscal Year]],'Target Tracking'!$E$17,IF(Cashflows[[#This Row],[Month Num]]&lt;&gt;4,OFFSET(Cashflows[#This Row],-1,0),CONCATENATE(LEFT(OFFSET(Cashflows[#This Row],-1,0),4)+1,"-",RIGHT(OFFSET(Cashflows[#This Row],-1,0),2)+1)))</f>
        <v>2023-24</v>
      </c>
      <c r="B75">
        <f ca="1">IF(OFFSET(Cashflows[#This Row],-1,0)=Cashflows[[#Headers],[Month Num]],4,MONTH(EDATE(DATE(2000,OFFSET(Cashflows[#This Row],-1,0),1),1)))</f>
        <v>5</v>
      </c>
      <c r="C75" t="str">
        <f ca="1">IF(IFERROR(INDEX('Target Tracking'!$19:$19,,MATCH(Cashflows[[#This Row],[Fiscal Year]],'Target Tracking'!$17:$17,0)),0)&gt;0,TEXT(DATE(IF(Cashflows[[#This Row],[Month Num]]&gt;=4,LEFT(Cashflows[[#This Row],[Fiscal Year]],4),"20" &amp; RIGHT(Cashflows[[#This Row],[Fiscal Year]],2)),Cashflows[[#This Row],[Month Num]],1),"mmm yyyy"),"")</f>
        <v>May 2023</v>
      </c>
      <c r="D75">
        <f ca="1">IF(Cashflows[[#This Row],[Month Num]]=4,-12,OFFSET(Cashflows[#This Row],-1,0)+1)</f>
        <v>-11</v>
      </c>
      <c r="E75">
        <f ca="1">IF(Cashflows[[#This Row],[Month]]="","",IFERROR(OFFSET(INDEX(OFFSET(Cashflow!$U$7,0,0,,CELL("col",CWS_Total) - CELL("col",Cashflow!$U$7)),MATCH(Cashflows[[#This Row],[MonthDate]],OFFSET(Cashflow!$U$7,0,0,,CELL("col",CWS_Total) - CELL("col",Cashflow!$U$7)),0)),MATCH("Total",Cashflow!$B:$B,0)-7,0),0))</f>
        <v>4882063.99</v>
      </c>
      <c r="F75" s="228">
        <f ca="1">IFERROR(Cashflows[[#This Row],[Cashflow]]+IF(OFFSET(Cashflows[#This Row],-1,0)=Cashflows[[#Headers],[Cumulative]],0,IF(OFFSET(Cashflows[#This Row],-1,0)="",0,OFFSET(Cashflows[#This Row],-1,0))),"")</f>
        <v>141970208.55999997</v>
      </c>
      <c r="G75" s="228">
        <f ca="1">IF(Cashflows[[#This Row],[MonthDate]]&lt;&gt;"",INDEX(Cashflow!$U$142:$FQ$142,MATCH(Cashflows[[#This Row],[MonthDate]],Cashflow!$U$7:$FQ$7,0)),"")</f>
        <v>4882063.99</v>
      </c>
      <c r="H75" s="228">
        <f ca="1">IF(Cashflows[[#This Row],[MonthDate]]&lt;&gt;"",INDEX(Cashflow!$U$143:$FQ$143,MATCH(Cashflows[[#This Row],[MonthDate]],Cashflow!$U$7:$FQ$7,0)),"")</f>
        <v>141970409.31999999</v>
      </c>
      <c r="I75" s="226">
        <f ca="1">IFERROR(DATEVALUE(Cashflows[[#This Row],[Month]]),"")</f>
        <v>45047</v>
      </c>
      <c r="J75" s="228" t="str">
        <f ca="1">IF(EOMONTH(TODAY(),-1)+1=Cashflows[[#This Row],[MonthDate]],MAX(Cashflows[Cumulative]),"")</f>
        <v/>
      </c>
    </row>
    <row r="76" spans="1:10">
      <c r="A76" t="str">
        <f ca="1">IF(OFFSET(Cashflows[#This Row],-1,0)=Cashflows[[#Headers],[Fiscal Year]],'Target Tracking'!$E$17,IF(Cashflows[[#This Row],[Month Num]]&lt;&gt;4,OFFSET(Cashflows[#This Row],-1,0),CONCATENATE(LEFT(OFFSET(Cashflows[#This Row],-1,0),4)+1,"-",RIGHT(OFFSET(Cashflows[#This Row],-1,0),2)+1)))</f>
        <v>2023-24</v>
      </c>
      <c r="B76">
        <f ca="1">IF(OFFSET(Cashflows[#This Row],-1,0)=Cashflows[[#Headers],[Month Num]],4,MONTH(EDATE(DATE(2000,OFFSET(Cashflows[#This Row],-1,0),1),1)))</f>
        <v>6</v>
      </c>
      <c r="C76" t="str">
        <f ca="1">IF(IFERROR(INDEX('Target Tracking'!$19:$19,,MATCH(Cashflows[[#This Row],[Fiscal Year]],'Target Tracking'!$17:$17,0)),0)&gt;0,TEXT(DATE(IF(Cashflows[[#This Row],[Month Num]]&gt;=4,LEFT(Cashflows[[#This Row],[Fiscal Year]],4),"20" &amp; RIGHT(Cashflows[[#This Row],[Fiscal Year]],2)),Cashflows[[#This Row],[Month Num]],1),"mmm yyyy"),"")</f>
        <v>Jun 2023</v>
      </c>
      <c r="D76">
        <f ca="1">IF(Cashflows[[#This Row],[Month Num]]=4,-12,OFFSET(Cashflows[#This Row],-1,0)+1)</f>
        <v>-10</v>
      </c>
      <c r="E76">
        <f ca="1">IF(Cashflows[[#This Row],[Month]]="","",IFERROR(OFFSET(INDEX(OFFSET(Cashflow!$U$7,0,0,,CELL("col",CWS_Total) - CELL("col",Cashflow!$U$7)),MATCH(Cashflows[[#This Row],[MonthDate]],OFFSET(Cashflow!$U$7,0,0,,CELL("col",CWS_Total) - CELL("col",Cashflow!$U$7)),0)),MATCH("Total",Cashflow!$B:$B,0)-7,0),0))</f>
        <v>4731909.47</v>
      </c>
      <c r="F76" s="228">
        <f ca="1">IFERROR(Cashflows[[#This Row],[Cashflow]]+IF(OFFSET(Cashflows[#This Row],-1,0)=Cashflows[[#Headers],[Cumulative]],0,IF(OFFSET(Cashflows[#This Row],-1,0)="",0,OFFSET(Cashflows[#This Row],-1,0))),"")</f>
        <v>146702118.02999997</v>
      </c>
      <c r="G76" s="228">
        <f ca="1">IF(Cashflows[[#This Row],[MonthDate]]&lt;&gt;"",INDEX(Cashflow!$U$142:$FQ$142,MATCH(Cashflows[[#This Row],[MonthDate]],Cashflow!$U$7:$FQ$7,0)),"")</f>
        <v>4731909.47</v>
      </c>
      <c r="H76" s="228">
        <f ca="1">IF(Cashflows[[#This Row],[MonthDate]]&lt;&gt;"",INDEX(Cashflow!$U$143:$FQ$143,MATCH(Cashflows[[#This Row],[MonthDate]],Cashflow!$U$7:$FQ$7,0)),"")</f>
        <v>146702318.78999999</v>
      </c>
      <c r="I76" s="226">
        <f ca="1">IFERROR(DATEVALUE(Cashflows[[#This Row],[Month]]),"")</f>
        <v>45078</v>
      </c>
      <c r="J76" s="228" t="str">
        <f ca="1">IF(EOMONTH(TODAY(),-1)+1=Cashflows[[#This Row],[MonthDate]],MAX(Cashflows[Cumulative]),"")</f>
        <v/>
      </c>
    </row>
    <row r="77" spans="1:10">
      <c r="A77" t="str">
        <f ca="1">IF(OFFSET(Cashflows[#This Row],-1,0)=Cashflows[[#Headers],[Fiscal Year]],'Target Tracking'!$E$17,IF(Cashflows[[#This Row],[Month Num]]&lt;&gt;4,OFFSET(Cashflows[#This Row],-1,0),CONCATENATE(LEFT(OFFSET(Cashflows[#This Row],-1,0),4)+1,"-",RIGHT(OFFSET(Cashflows[#This Row],-1,0),2)+1)))</f>
        <v>2023-24</v>
      </c>
      <c r="B77">
        <f ca="1">IF(OFFSET(Cashflows[#This Row],-1,0)=Cashflows[[#Headers],[Month Num]],4,MONTH(EDATE(DATE(2000,OFFSET(Cashflows[#This Row],-1,0),1),1)))</f>
        <v>7</v>
      </c>
      <c r="C77" t="str">
        <f ca="1">IF(IFERROR(INDEX('Target Tracking'!$19:$19,,MATCH(Cashflows[[#This Row],[Fiscal Year]],'Target Tracking'!$17:$17,0)),0)&gt;0,TEXT(DATE(IF(Cashflows[[#This Row],[Month Num]]&gt;=4,LEFT(Cashflows[[#This Row],[Fiscal Year]],4),"20" &amp; RIGHT(Cashflows[[#This Row],[Fiscal Year]],2)),Cashflows[[#This Row],[Month Num]],1),"mmm yyyy"),"")</f>
        <v>Jul 2023</v>
      </c>
      <c r="D77">
        <f ca="1">IF(Cashflows[[#This Row],[Month Num]]=4,-12,OFFSET(Cashflows[#This Row],-1,0)+1)</f>
        <v>-9</v>
      </c>
      <c r="E77">
        <f ca="1">IF(Cashflows[[#This Row],[Month]]="","",IFERROR(OFFSET(INDEX(OFFSET(Cashflow!$U$7,0,0,,CELL("col",CWS_Total) - CELL("col",Cashflow!$U$7)),MATCH(Cashflows[[#This Row],[MonthDate]],OFFSET(Cashflow!$U$7,0,0,,CELL("col",CWS_Total) - CELL("col",Cashflow!$U$7)),0)),MATCH("Total",Cashflow!$B:$B,0)-7,0),0))</f>
        <v>3728976.35</v>
      </c>
      <c r="F77" s="228">
        <f ca="1">IFERROR(Cashflows[[#This Row],[Cashflow]]+IF(OFFSET(Cashflows[#This Row],-1,0)=Cashflows[[#Headers],[Cumulative]],0,IF(OFFSET(Cashflows[#This Row],-1,0)="",0,OFFSET(Cashflows[#This Row],-1,0))),"")</f>
        <v>150431094.37999997</v>
      </c>
      <c r="G77" s="228">
        <f ca="1">IF(Cashflows[[#This Row],[MonthDate]]&lt;&gt;"",INDEX(Cashflow!$U$142:$FQ$142,MATCH(Cashflows[[#This Row],[MonthDate]],Cashflow!$U$7:$FQ$7,0)),"")</f>
        <v>3728976.35</v>
      </c>
      <c r="H77" s="228">
        <f ca="1">IF(Cashflows[[#This Row],[MonthDate]]&lt;&gt;"",INDEX(Cashflow!$U$143:$FQ$143,MATCH(Cashflows[[#This Row],[MonthDate]],Cashflow!$U$7:$FQ$7,0)),"")</f>
        <v>150431295.13999999</v>
      </c>
      <c r="I77" s="226">
        <f ca="1">IFERROR(DATEVALUE(Cashflows[[#This Row],[Month]]),"")</f>
        <v>45108</v>
      </c>
      <c r="J77" s="228" t="str">
        <f ca="1">IF(EOMONTH(TODAY(),-1)+1=Cashflows[[#This Row],[MonthDate]],MAX(Cashflows[Cumulative]),"")</f>
        <v/>
      </c>
    </row>
    <row r="78" spans="1:10">
      <c r="A78" t="str">
        <f ca="1">IF(OFFSET(Cashflows[#This Row],-1,0)=Cashflows[[#Headers],[Fiscal Year]],'Target Tracking'!$E$17,IF(Cashflows[[#This Row],[Month Num]]&lt;&gt;4,OFFSET(Cashflows[#This Row],-1,0),CONCATENATE(LEFT(OFFSET(Cashflows[#This Row],-1,0),4)+1,"-",RIGHT(OFFSET(Cashflows[#This Row],-1,0),2)+1)))</f>
        <v>2023-24</v>
      </c>
      <c r="B78">
        <f ca="1">IF(OFFSET(Cashflows[#This Row],-1,0)=Cashflows[[#Headers],[Month Num]],4,MONTH(EDATE(DATE(2000,OFFSET(Cashflows[#This Row],-1,0),1),1)))</f>
        <v>8</v>
      </c>
      <c r="C78" t="str">
        <f ca="1">IF(IFERROR(INDEX('Target Tracking'!$19:$19,,MATCH(Cashflows[[#This Row],[Fiscal Year]],'Target Tracking'!$17:$17,0)),0)&gt;0,TEXT(DATE(IF(Cashflows[[#This Row],[Month Num]]&gt;=4,LEFT(Cashflows[[#This Row],[Fiscal Year]],4),"20" &amp; RIGHT(Cashflows[[#This Row],[Fiscal Year]],2)),Cashflows[[#This Row],[Month Num]],1),"mmm yyyy"),"")</f>
        <v>Aug 2023</v>
      </c>
      <c r="D78">
        <f ca="1">IF(Cashflows[[#This Row],[Month Num]]=4,-12,OFFSET(Cashflows[#This Row],-1,0)+1)</f>
        <v>-8</v>
      </c>
      <c r="E78">
        <f ca="1">IF(Cashflows[[#This Row],[Month]]="","",IFERROR(OFFSET(INDEX(OFFSET(Cashflow!$U$7,0,0,,CELL("col",CWS_Total) - CELL("col",Cashflow!$U$7)),MATCH(Cashflows[[#This Row],[MonthDate]],OFFSET(Cashflow!$U$7,0,0,,CELL("col",CWS_Total) - CELL("col",Cashflow!$U$7)),0)),MATCH("Total",Cashflow!$B:$B,0)-7,0),0))</f>
        <v>4003755.78</v>
      </c>
      <c r="F78" s="228">
        <f ca="1">IFERROR(Cashflows[[#This Row],[Cashflow]]+IF(OFFSET(Cashflows[#This Row],-1,0)=Cashflows[[#Headers],[Cumulative]],0,IF(OFFSET(Cashflows[#This Row],-1,0)="",0,OFFSET(Cashflows[#This Row],-1,0))),"")</f>
        <v>154434850.15999997</v>
      </c>
      <c r="G78" s="228">
        <f ca="1">IF(Cashflows[[#This Row],[MonthDate]]&lt;&gt;"",INDEX(Cashflow!$U$142:$FQ$142,MATCH(Cashflows[[#This Row],[MonthDate]],Cashflow!$U$7:$FQ$7,0)),"")</f>
        <v>4003755.78</v>
      </c>
      <c r="H78" s="228">
        <f ca="1">IF(Cashflows[[#This Row],[MonthDate]]&lt;&gt;"",INDEX(Cashflow!$U$143:$FQ$143,MATCH(Cashflows[[#This Row],[MonthDate]],Cashflow!$U$7:$FQ$7,0)),"")</f>
        <v>154435050.91999999</v>
      </c>
      <c r="I78" s="226">
        <f ca="1">IFERROR(DATEVALUE(Cashflows[[#This Row],[Month]]),"")</f>
        <v>45139</v>
      </c>
      <c r="J78" s="228" t="str">
        <f ca="1">IF(EOMONTH(TODAY(),-1)+1=Cashflows[[#This Row],[MonthDate]],MAX(Cashflows[Cumulative]),"")</f>
        <v/>
      </c>
    </row>
    <row r="79" spans="1:10">
      <c r="A79" t="str">
        <f ca="1">IF(OFFSET(Cashflows[#This Row],-1,0)=Cashflows[[#Headers],[Fiscal Year]],'Target Tracking'!$E$17,IF(Cashflows[[#This Row],[Month Num]]&lt;&gt;4,OFFSET(Cashflows[#This Row],-1,0),CONCATENATE(LEFT(OFFSET(Cashflows[#This Row],-1,0),4)+1,"-",RIGHT(OFFSET(Cashflows[#This Row],-1,0),2)+1)))</f>
        <v>2023-24</v>
      </c>
      <c r="B79">
        <f ca="1">IF(OFFSET(Cashflows[#This Row],-1,0)=Cashflows[[#Headers],[Month Num]],4,MONTH(EDATE(DATE(2000,OFFSET(Cashflows[#This Row],-1,0),1),1)))</f>
        <v>9</v>
      </c>
      <c r="C79" t="str">
        <f ca="1">IF(IFERROR(INDEX('Target Tracking'!$19:$19,,MATCH(Cashflows[[#This Row],[Fiscal Year]],'Target Tracking'!$17:$17,0)),0)&gt;0,TEXT(DATE(IF(Cashflows[[#This Row],[Month Num]]&gt;=4,LEFT(Cashflows[[#This Row],[Fiscal Year]],4),"20" &amp; RIGHT(Cashflows[[#This Row],[Fiscal Year]],2)),Cashflows[[#This Row],[Month Num]],1),"mmm yyyy"),"")</f>
        <v>Sep 2023</v>
      </c>
      <c r="D79">
        <f ca="1">IF(Cashflows[[#This Row],[Month Num]]=4,-12,OFFSET(Cashflows[#This Row],-1,0)+1)</f>
        <v>-7</v>
      </c>
      <c r="E79">
        <f ca="1">IF(Cashflows[[#This Row],[Month]]="","",IFERROR(OFFSET(INDEX(OFFSET(Cashflow!$U$7,0,0,,CELL("col",CWS_Total) - CELL("col",Cashflow!$U$7)),MATCH(Cashflows[[#This Row],[MonthDate]],OFFSET(Cashflow!$U$7,0,0,,CELL("col",CWS_Total) - CELL("col",Cashflow!$U$7)),0)),MATCH("Total",Cashflow!$B:$B,0)-7,0),0))</f>
        <v>3956157.25</v>
      </c>
      <c r="F79" s="228">
        <f ca="1">IFERROR(Cashflows[[#This Row],[Cashflow]]+IF(OFFSET(Cashflows[#This Row],-1,0)=Cashflows[[#Headers],[Cumulative]],0,IF(OFFSET(Cashflows[#This Row],-1,0)="",0,OFFSET(Cashflows[#This Row],-1,0))),"")</f>
        <v>158391007.40999997</v>
      </c>
      <c r="G79" s="228">
        <f ca="1">IF(Cashflows[[#This Row],[MonthDate]]&lt;&gt;"",INDEX(Cashflow!$U$142:$FQ$142,MATCH(Cashflows[[#This Row],[MonthDate]],Cashflow!$U$7:$FQ$7,0)),"")</f>
        <v>3956157.25</v>
      </c>
      <c r="H79" s="228">
        <f ca="1">IF(Cashflows[[#This Row],[MonthDate]]&lt;&gt;"",INDEX(Cashflow!$U$143:$FQ$143,MATCH(Cashflows[[#This Row],[MonthDate]],Cashflow!$U$7:$FQ$7,0)),"")</f>
        <v>158391208.16999999</v>
      </c>
      <c r="I79" s="226">
        <f ca="1">IFERROR(DATEVALUE(Cashflows[[#This Row],[Month]]),"")</f>
        <v>45170</v>
      </c>
      <c r="J79" s="228" t="str">
        <f ca="1">IF(EOMONTH(TODAY(),-1)+1=Cashflows[[#This Row],[MonthDate]],MAX(Cashflows[Cumulative]),"")</f>
        <v/>
      </c>
    </row>
    <row r="80" spans="1:10">
      <c r="A80" t="str">
        <f ca="1">IF(OFFSET(Cashflows[#This Row],-1,0)=Cashflows[[#Headers],[Fiscal Year]],'Target Tracking'!$E$17,IF(Cashflows[[#This Row],[Month Num]]&lt;&gt;4,OFFSET(Cashflows[#This Row],-1,0),CONCATENATE(LEFT(OFFSET(Cashflows[#This Row],-1,0),4)+1,"-",RIGHT(OFFSET(Cashflows[#This Row],-1,0),2)+1)))</f>
        <v>2023-24</v>
      </c>
      <c r="B80">
        <f ca="1">IF(OFFSET(Cashflows[#This Row],-1,0)=Cashflows[[#Headers],[Month Num]],4,MONTH(EDATE(DATE(2000,OFFSET(Cashflows[#This Row],-1,0),1),1)))</f>
        <v>10</v>
      </c>
      <c r="C80" t="str">
        <f ca="1">IF(IFERROR(INDEX('Target Tracking'!$19:$19,,MATCH(Cashflows[[#This Row],[Fiscal Year]],'Target Tracking'!$17:$17,0)),0)&gt;0,TEXT(DATE(IF(Cashflows[[#This Row],[Month Num]]&gt;=4,LEFT(Cashflows[[#This Row],[Fiscal Year]],4),"20" &amp; RIGHT(Cashflows[[#This Row],[Fiscal Year]],2)),Cashflows[[#This Row],[Month Num]],1),"mmm yyyy"),"")</f>
        <v>Oct 2023</v>
      </c>
      <c r="D80">
        <f ca="1">IF(Cashflows[[#This Row],[Month Num]]=4,-12,OFFSET(Cashflows[#This Row],-1,0)+1)</f>
        <v>-6</v>
      </c>
      <c r="E80">
        <f ca="1">IF(Cashflows[[#This Row],[Month]]="","",IFERROR(OFFSET(INDEX(OFFSET(Cashflow!$U$7,0,0,,CELL("col",CWS_Total) - CELL("col",Cashflow!$U$7)),MATCH(Cashflows[[#This Row],[MonthDate]],OFFSET(Cashflow!$U$7,0,0,,CELL("col",CWS_Total) - CELL("col",Cashflow!$U$7)),0)),MATCH("Total",Cashflow!$B:$B,0)-7,0),0))</f>
        <v>3073240.23</v>
      </c>
      <c r="F80" s="228">
        <f ca="1">IFERROR(Cashflows[[#This Row],[Cashflow]]+IF(OFFSET(Cashflows[#This Row],-1,0)=Cashflows[[#Headers],[Cumulative]],0,IF(OFFSET(Cashflows[#This Row],-1,0)="",0,OFFSET(Cashflows[#This Row],-1,0))),"")</f>
        <v>161464247.63999996</v>
      </c>
      <c r="G80" s="228">
        <f ca="1">IF(Cashflows[[#This Row],[MonthDate]]&lt;&gt;"",INDEX(Cashflow!$U$142:$FQ$142,MATCH(Cashflows[[#This Row],[MonthDate]],Cashflow!$U$7:$FQ$7,0)),"")</f>
        <v>3073240.23</v>
      </c>
      <c r="H80" s="228">
        <f ca="1">IF(Cashflows[[#This Row],[MonthDate]]&lt;&gt;"",INDEX(Cashflow!$U$143:$FQ$143,MATCH(Cashflows[[#This Row],[MonthDate]],Cashflow!$U$7:$FQ$7,0)),"")</f>
        <v>161464448.39999998</v>
      </c>
      <c r="I80" s="226">
        <f ca="1">IFERROR(DATEVALUE(Cashflows[[#This Row],[Month]]),"")</f>
        <v>45200</v>
      </c>
      <c r="J80" s="228" t="str">
        <f ca="1">IF(EOMONTH(TODAY(),-1)+1=Cashflows[[#This Row],[MonthDate]],MAX(Cashflows[Cumulative]),"")</f>
        <v/>
      </c>
    </row>
    <row r="81" spans="1:10">
      <c r="A81" t="str">
        <f ca="1">IF(OFFSET(Cashflows[#This Row],-1,0)=Cashflows[[#Headers],[Fiscal Year]],'Target Tracking'!$E$17,IF(Cashflows[[#This Row],[Month Num]]&lt;&gt;4,OFFSET(Cashflows[#This Row],-1,0),CONCATENATE(LEFT(OFFSET(Cashflows[#This Row],-1,0),4)+1,"-",RIGHT(OFFSET(Cashflows[#This Row],-1,0),2)+1)))</f>
        <v>2023-24</v>
      </c>
      <c r="B81">
        <f ca="1">IF(OFFSET(Cashflows[#This Row],-1,0)=Cashflows[[#Headers],[Month Num]],4,MONTH(EDATE(DATE(2000,OFFSET(Cashflows[#This Row],-1,0),1),1)))</f>
        <v>11</v>
      </c>
      <c r="C81" t="str">
        <f ca="1">IF(IFERROR(INDEX('Target Tracking'!$19:$19,,MATCH(Cashflows[[#This Row],[Fiscal Year]],'Target Tracking'!$17:$17,0)),0)&gt;0,TEXT(DATE(IF(Cashflows[[#This Row],[Month Num]]&gt;=4,LEFT(Cashflows[[#This Row],[Fiscal Year]],4),"20" &amp; RIGHT(Cashflows[[#This Row],[Fiscal Year]],2)),Cashflows[[#This Row],[Month Num]],1),"mmm yyyy"),"")</f>
        <v>Nov 2023</v>
      </c>
      <c r="D81">
        <f ca="1">IF(Cashflows[[#This Row],[Month Num]]=4,-12,OFFSET(Cashflows[#This Row],-1,0)+1)</f>
        <v>-5</v>
      </c>
      <c r="E81">
        <f ca="1">IF(Cashflows[[#This Row],[Month]]="","",IFERROR(OFFSET(INDEX(OFFSET(Cashflow!$U$7,0,0,,CELL("col",CWS_Total) - CELL("col",Cashflow!$U$7)),MATCH(Cashflows[[#This Row],[MonthDate]],OFFSET(Cashflow!$U$7,0,0,,CELL("col",CWS_Total) - CELL("col",Cashflow!$U$7)),0)),MATCH("Total",Cashflow!$B:$B,0)-7,0),0))</f>
        <v>1972629.76</v>
      </c>
      <c r="F81" s="228">
        <f ca="1">IFERROR(Cashflows[[#This Row],[Cashflow]]+IF(OFFSET(Cashflows[#This Row],-1,0)=Cashflows[[#Headers],[Cumulative]],0,IF(OFFSET(Cashflows[#This Row],-1,0)="",0,OFFSET(Cashflows[#This Row],-1,0))),"")</f>
        <v>163436877.39999995</v>
      </c>
      <c r="G81" s="228">
        <f ca="1">IF(Cashflows[[#This Row],[MonthDate]]&lt;&gt;"",INDEX(Cashflow!$U$142:$FQ$142,MATCH(Cashflows[[#This Row],[MonthDate]],Cashflow!$U$7:$FQ$7,0)),"")</f>
        <v>1686960.38</v>
      </c>
      <c r="H81" s="228">
        <f ca="1">IF(Cashflows[[#This Row],[MonthDate]]&lt;&gt;"",INDEX(Cashflow!$U$143:$FQ$143,MATCH(Cashflows[[#This Row],[MonthDate]],Cashflow!$U$7:$FQ$7,0)),"")</f>
        <v>163151408.77999997</v>
      </c>
      <c r="I81" s="226">
        <f ca="1">IFERROR(DATEVALUE(Cashflows[[#This Row],[Month]]),"")</f>
        <v>45231</v>
      </c>
      <c r="J81" s="228" t="str">
        <f ca="1">IF(EOMONTH(TODAY(),-1)+1=Cashflows[[#This Row],[MonthDate]],MAX(Cashflows[Cumulative]),"")</f>
        <v/>
      </c>
    </row>
    <row r="82" spans="1:10">
      <c r="A82" t="str">
        <f ca="1">IF(OFFSET(Cashflows[#This Row],-1,0)=Cashflows[[#Headers],[Fiscal Year]],'Target Tracking'!$E$17,IF(Cashflows[[#This Row],[Month Num]]&lt;&gt;4,OFFSET(Cashflows[#This Row],-1,0),CONCATENATE(LEFT(OFFSET(Cashflows[#This Row],-1,0),4)+1,"-",RIGHT(OFFSET(Cashflows[#This Row],-1,0),2)+1)))</f>
        <v>2023-24</v>
      </c>
      <c r="B82">
        <f ca="1">IF(OFFSET(Cashflows[#This Row],-1,0)=Cashflows[[#Headers],[Month Num]],4,MONTH(EDATE(DATE(2000,OFFSET(Cashflows[#This Row],-1,0),1),1)))</f>
        <v>12</v>
      </c>
      <c r="C82" t="str">
        <f ca="1">IF(IFERROR(INDEX('Target Tracking'!$19:$19,,MATCH(Cashflows[[#This Row],[Fiscal Year]],'Target Tracking'!$17:$17,0)),0)&gt;0,TEXT(DATE(IF(Cashflows[[#This Row],[Month Num]]&gt;=4,LEFT(Cashflows[[#This Row],[Fiscal Year]],4),"20" &amp; RIGHT(Cashflows[[#This Row],[Fiscal Year]],2)),Cashflows[[#This Row],[Month Num]],1),"mmm yyyy"),"")</f>
        <v>Dec 2023</v>
      </c>
      <c r="D82">
        <f ca="1">IF(Cashflows[[#This Row],[Month Num]]=4,-12,OFFSET(Cashflows[#This Row],-1,0)+1)</f>
        <v>-4</v>
      </c>
      <c r="E82">
        <f ca="1">IF(Cashflows[[#This Row],[Month]]="","",IFERROR(OFFSET(INDEX(OFFSET(Cashflow!$U$7,0,0,,CELL("col",CWS_Total) - CELL("col",Cashflow!$U$7)),MATCH(Cashflows[[#This Row],[MonthDate]],OFFSET(Cashflow!$U$7,0,0,,CELL("col",CWS_Total) - CELL("col",Cashflow!$U$7)),0)),MATCH("Total",Cashflow!$B:$B,0)-7,0),0))</f>
        <v>1946571.27</v>
      </c>
      <c r="F82" s="228">
        <f ca="1">IFERROR(Cashflows[[#This Row],[Cashflow]]+IF(OFFSET(Cashflows[#This Row],-1,0)=Cashflows[[#Headers],[Cumulative]],0,IF(OFFSET(Cashflows[#This Row],-1,0)="",0,OFFSET(Cashflows[#This Row],-1,0))),"")</f>
        <v>165383448.66999996</v>
      </c>
      <c r="G82" s="228">
        <f ca="1">IF(Cashflows[[#This Row],[MonthDate]]&lt;&gt;"",INDEX(Cashflow!$U$142:$FQ$142,MATCH(Cashflows[[#This Row],[MonthDate]],Cashflow!$U$7:$FQ$7,0)),"")</f>
        <v>2261372.9</v>
      </c>
      <c r="H82" s="228">
        <f ca="1">IF(Cashflows[[#This Row],[MonthDate]]&lt;&gt;"",INDEX(Cashflow!$U$143:$FQ$143,MATCH(Cashflows[[#This Row],[MonthDate]],Cashflow!$U$7:$FQ$7,0)),"")</f>
        <v>165412781.67999998</v>
      </c>
      <c r="I82" s="226">
        <f ca="1">IFERROR(DATEVALUE(Cashflows[[#This Row],[Month]]),"")</f>
        <v>45261</v>
      </c>
      <c r="J82" s="228" t="str">
        <f ca="1">IF(EOMONTH(TODAY(),-1)+1=Cashflows[[#This Row],[MonthDate]],MAX(Cashflows[Cumulative]),"")</f>
        <v/>
      </c>
    </row>
    <row r="83" spans="1:10">
      <c r="A83" t="str">
        <f ca="1">IF(OFFSET(Cashflows[#This Row],-1,0)=Cashflows[[#Headers],[Fiscal Year]],'Target Tracking'!$E$17,IF(Cashflows[[#This Row],[Month Num]]&lt;&gt;4,OFFSET(Cashflows[#This Row],-1,0),CONCATENATE(LEFT(OFFSET(Cashflows[#This Row],-1,0),4)+1,"-",RIGHT(OFFSET(Cashflows[#This Row],-1,0),2)+1)))</f>
        <v>2023-24</v>
      </c>
      <c r="B83">
        <f ca="1">IF(OFFSET(Cashflows[#This Row],-1,0)=Cashflows[[#Headers],[Month Num]],4,MONTH(EDATE(DATE(2000,OFFSET(Cashflows[#This Row],-1,0),1),1)))</f>
        <v>1</v>
      </c>
      <c r="C83" t="str">
        <f ca="1">IF(IFERROR(INDEX('Target Tracking'!$19:$19,,MATCH(Cashflows[[#This Row],[Fiscal Year]],'Target Tracking'!$17:$17,0)),0)&gt;0,TEXT(DATE(IF(Cashflows[[#This Row],[Month Num]]&gt;=4,LEFT(Cashflows[[#This Row],[Fiscal Year]],4),"20" &amp; RIGHT(Cashflows[[#This Row],[Fiscal Year]],2)),Cashflows[[#This Row],[Month Num]],1),"mmm yyyy"),"")</f>
        <v>Jan 2024</v>
      </c>
      <c r="D83">
        <f ca="1">IF(Cashflows[[#This Row],[Month Num]]=4,-12,OFFSET(Cashflows[#This Row],-1,0)+1)</f>
        <v>-3</v>
      </c>
      <c r="E83">
        <f ca="1">IF(Cashflows[[#This Row],[Month]]="","",IFERROR(OFFSET(INDEX(OFFSET(Cashflow!$U$7,0,0,,CELL("col",CWS_Total) - CELL("col",Cashflow!$U$7)),MATCH(Cashflows[[#This Row],[MonthDate]],OFFSET(Cashflow!$U$7,0,0,,CELL("col",CWS_Total) - CELL("col",Cashflow!$U$7)),0)),MATCH("Total",Cashflow!$B:$B,0)-7,0),0))</f>
        <v>1502118.09</v>
      </c>
      <c r="F83" s="228">
        <f ca="1">IFERROR(Cashflows[[#This Row],[Cashflow]]+IF(OFFSET(Cashflows[#This Row],-1,0)=Cashflows[[#Headers],[Cumulative]],0,IF(OFFSET(Cashflows[#This Row],-1,0)="",0,OFFSET(Cashflows[#This Row],-1,0))),"")</f>
        <v>166885566.75999996</v>
      </c>
      <c r="G83" s="228">
        <f ca="1">IF(Cashflows[[#This Row],[MonthDate]]&lt;&gt;"",INDEX(Cashflow!$U$142:$FQ$142,MATCH(Cashflows[[#This Row],[MonthDate]],Cashflow!$U$7:$FQ$7,0)),"")</f>
        <v>2028199.67</v>
      </c>
      <c r="H83" s="228">
        <f ca="1">IF(Cashflows[[#This Row],[MonthDate]]&lt;&gt;"",INDEX(Cashflow!$U$143:$FQ$143,MATCH(Cashflows[[#This Row],[MonthDate]],Cashflow!$U$7:$FQ$7,0)),"")</f>
        <v>167440981.34999996</v>
      </c>
      <c r="I83" s="226">
        <f ca="1">IFERROR(DATEVALUE(Cashflows[[#This Row],[Month]]),"")</f>
        <v>45292</v>
      </c>
      <c r="J83" s="228" t="str">
        <f ca="1">IF(EOMONTH(TODAY(),-1)+1=Cashflows[[#This Row],[MonthDate]],MAX(Cashflows[Cumulative]),"")</f>
        <v/>
      </c>
    </row>
    <row r="84" spans="1:10">
      <c r="A84" t="str">
        <f ca="1">IF(OFFSET(Cashflows[#This Row],-1,0)=Cashflows[[#Headers],[Fiscal Year]],'Target Tracking'!$E$17,IF(Cashflows[[#This Row],[Month Num]]&lt;&gt;4,OFFSET(Cashflows[#This Row],-1,0),CONCATENATE(LEFT(OFFSET(Cashflows[#This Row],-1,0),4)+1,"-",RIGHT(OFFSET(Cashflows[#This Row],-1,0),2)+1)))</f>
        <v>2023-24</v>
      </c>
      <c r="B84">
        <f ca="1">IF(OFFSET(Cashflows[#This Row],-1,0)=Cashflows[[#Headers],[Month Num]],4,MONTH(EDATE(DATE(2000,OFFSET(Cashflows[#This Row],-1,0),1),1)))</f>
        <v>2</v>
      </c>
      <c r="C84" t="str">
        <f ca="1">IF(IFERROR(INDEX('Target Tracking'!$19:$19,,MATCH(Cashflows[[#This Row],[Fiscal Year]],'Target Tracking'!$17:$17,0)),0)&gt;0,TEXT(DATE(IF(Cashflows[[#This Row],[Month Num]]&gt;=4,LEFT(Cashflows[[#This Row],[Fiscal Year]],4),"20" &amp; RIGHT(Cashflows[[#This Row],[Fiscal Year]],2)),Cashflows[[#This Row],[Month Num]],1),"mmm yyyy"),"")</f>
        <v>Feb 2024</v>
      </c>
      <c r="D84">
        <f ca="1">IF(Cashflows[[#This Row],[Month Num]]=4,-12,OFFSET(Cashflows[#This Row],-1,0)+1)</f>
        <v>-2</v>
      </c>
      <c r="E84">
        <f ca="1">IF(Cashflows[[#This Row],[Month]]="","",IFERROR(OFFSET(INDEX(OFFSET(Cashflow!$U$7,0,0,,CELL("col",CWS_Total) - CELL("col",Cashflow!$U$7)),MATCH(Cashflows[[#This Row],[MonthDate]],OFFSET(Cashflow!$U$7,0,0,,CELL("col",CWS_Total) - CELL("col",Cashflow!$U$7)),0)),MATCH("Total",Cashflow!$B:$B,0)-7,0),0))</f>
        <v>1395339.27</v>
      </c>
      <c r="F84" s="228">
        <f ca="1">IFERROR(Cashflows[[#This Row],[Cashflow]]+IF(OFFSET(Cashflows[#This Row],-1,0)=Cashflows[[#Headers],[Cumulative]],0,IF(OFFSET(Cashflows[#This Row],-1,0)="",0,OFFSET(Cashflows[#This Row],-1,0))),"")</f>
        <v>168280906.02999997</v>
      </c>
      <c r="G84" s="228">
        <f ca="1">IF(Cashflows[[#This Row],[MonthDate]]&lt;&gt;"",INDEX(Cashflow!$U$142:$FQ$142,MATCH(Cashflows[[#This Row],[MonthDate]],Cashflow!$U$7:$FQ$7,0)),"")</f>
        <v>1820773.53</v>
      </c>
      <c r="H84" s="228">
        <f ca="1">IF(Cashflows[[#This Row],[MonthDate]]&lt;&gt;"",INDEX(Cashflow!$U$143:$FQ$143,MATCH(Cashflows[[#This Row],[MonthDate]],Cashflow!$U$7:$FQ$7,0)),"")</f>
        <v>169261754.87999997</v>
      </c>
      <c r="I84" s="226">
        <f ca="1">IFERROR(DATEVALUE(Cashflows[[#This Row],[Month]]),"")</f>
        <v>45323</v>
      </c>
      <c r="J84" s="228" t="str">
        <f ca="1">IF(EOMONTH(TODAY(),-1)+1=Cashflows[[#This Row],[MonthDate]],MAX(Cashflows[Cumulative]),"")</f>
        <v/>
      </c>
    </row>
    <row r="85" spans="1:10">
      <c r="A85" t="str">
        <f ca="1">IF(OFFSET(Cashflows[#This Row],-1,0)=Cashflows[[#Headers],[Fiscal Year]],'Target Tracking'!$E$17,IF(Cashflows[[#This Row],[Month Num]]&lt;&gt;4,OFFSET(Cashflows[#This Row],-1,0),CONCATENATE(LEFT(OFFSET(Cashflows[#This Row],-1,0),4)+1,"-",RIGHT(OFFSET(Cashflows[#This Row],-1,0),2)+1)))</f>
        <v>2023-24</v>
      </c>
      <c r="B85">
        <f ca="1">IF(OFFSET(Cashflows[#This Row],-1,0)=Cashflows[[#Headers],[Month Num]],4,MONTH(EDATE(DATE(2000,OFFSET(Cashflows[#This Row],-1,0),1),1)))</f>
        <v>3</v>
      </c>
      <c r="C85" t="str">
        <f ca="1">IF(IFERROR(INDEX('Target Tracking'!$19:$19,,MATCH(Cashflows[[#This Row],[Fiscal Year]],'Target Tracking'!$17:$17,0)),0)&gt;0,TEXT(DATE(IF(Cashflows[[#This Row],[Month Num]]&gt;=4,LEFT(Cashflows[[#This Row],[Fiscal Year]],4),"20" &amp; RIGHT(Cashflows[[#This Row],[Fiscal Year]],2)),Cashflows[[#This Row],[Month Num]],1),"mmm yyyy"),"")</f>
        <v>Mar 2024</v>
      </c>
      <c r="D85">
        <f ca="1">IF(Cashflows[[#This Row],[Month Num]]=4,-12,OFFSET(Cashflows[#This Row],-1,0)+1)</f>
        <v>-1</v>
      </c>
      <c r="E85">
        <f ca="1">IF(Cashflows[[#This Row],[Month]]="","",IFERROR(OFFSET(INDEX(OFFSET(Cashflow!$U$7,0,0,,CELL("col",CWS_Total) - CELL("col",Cashflow!$U$7)),MATCH(Cashflows[[#This Row],[MonthDate]],OFFSET(Cashflow!$U$7,0,0,,CELL("col",CWS_Total) - CELL("col",Cashflow!$U$7)),0)),MATCH("Total",Cashflow!$B:$B,0)-7,0),0))</f>
        <v>2667921.7400000002</v>
      </c>
      <c r="F85" s="228">
        <f ca="1">IFERROR(Cashflows[[#This Row],[Cashflow]]+IF(OFFSET(Cashflows[#This Row],-1,0)=Cashflows[[#Headers],[Cumulative]],0,IF(OFFSET(Cashflows[#This Row],-1,0)="",0,OFFSET(Cashflows[#This Row],-1,0))),"")</f>
        <v>170948827.76999998</v>
      </c>
      <c r="G85" s="228">
        <f ca="1">IF(Cashflows[[#This Row],[MonthDate]]&lt;&gt;"",INDEX(Cashflow!$U$142:$FQ$142,MATCH(Cashflows[[#This Row],[MonthDate]],Cashflow!$U$7:$FQ$7,0)),"")</f>
        <v>2028445.91</v>
      </c>
      <c r="H85" s="228">
        <f ca="1">IF(Cashflows[[#This Row],[MonthDate]]&lt;&gt;"",INDEX(Cashflow!$U$143:$FQ$143,MATCH(Cashflows[[#This Row],[MonthDate]],Cashflow!$U$7:$FQ$7,0)),"")</f>
        <v>171290200.78999996</v>
      </c>
      <c r="I85" s="226">
        <f ca="1">IFERROR(DATEVALUE(Cashflows[[#This Row],[Month]]),"")</f>
        <v>45352</v>
      </c>
      <c r="J85" s="228" t="str">
        <f ca="1">IF(EOMONTH(TODAY(),-1)+1=Cashflows[[#This Row],[MonthDate]],MAX(Cashflows[Cumulative]),"")</f>
        <v/>
      </c>
    </row>
    <row r="86" spans="1:10">
      <c r="A86" t="str">
        <f ca="1">IF(OFFSET(Cashflows[#This Row],-1,0)=Cashflows[[#Headers],[Fiscal Year]],'Target Tracking'!$E$17,IF(Cashflows[[#This Row],[Month Num]]&lt;&gt;4,OFFSET(Cashflows[#This Row],-1,0),CONCATENATE(LEFT(OFFSET(Cashflows[#This Row],-1,0),4)+1,"-",RIGHT(OFFSET(Cashflows[#This Row],-1,0),2)+1)))</f>
        <v>2024-25</v>
      </c>
      <c r="B86">
        <f ca="1">IF(OFFSET(Cashflows[#This Row],-1,0)=Cashflows[[#Headers],[Month Num]],4,MONTH(EDATE(DATE(2000,OFFSET(Cashflows[#This Row],-1,0),1),1)))</f>
        <v>4</v>
      </c>
      <c r="C86" t="str">
        <f ca="1">IF(IFERROR(INDEX('Target Tracking'!$19:$19,,MATCH(Cashflows[[#This Row],[Fiscal Year]],'Target Tracking'!$17:$17,0)),0)&gt;0,TEXT(DATE(IF(Cashflows[[#This Row],[Month Num]]&gt;=4,LEFT(Cashflows[[#This Row],[Fiscal Year]],4),"20" &amp; RIGHT(Cashflows[[#This Row],[Fiscal Year]],2)),Cashflows[[#This Row],[Month Num]],1),"mmm yyyy"),"")</f>
        <v>Apr 2024</v>
      </c>
      <c r="D86">
        <f ca="1">IF(Cashflows[[#This Row],[Month Num]]=4,-12,OFFSET(Cashflows[#This Row],-1,0)+1)</f>
        <v>-12</v>
      </c>
      <c r="E86">
        <f ca="1">IF(Cashflows[[#This Row],[Month]]="","",IFERROR(OFFSET(INDEX(OFFSET(Cashflow!$U$7,0,0,,CELL("col",CWS_Total) - CELL("col",Cashflow!$U$7)),MATCH(Cashflows[[#This Row],[MonthDate]],OFFSET(Cashflow!$U$7,0,0,,CELL("col",CWS_Total) - CELL("col",Cashflow!$U$7)),0)),MATCH("Total",Cashflow!$B:$B,0)-7,0),0))</f>
        <v>193776.56</v>
      </c>
      <c r="F86" s="228">
        <f ca="1">IFERROR(Cashflows[[#This Row],[Cashflow]]+IF(OFFSET(Cashflows[#This Row],-1,0)=Cashflows[[#Headers],[Cumulative]],0,IF(OFFSET(Cashflows[#This Row],-1,0)="",0,OFFSET(Cashflows[#This Row],-1,0))),"")</f>
        <v>171142604.32999998</v>
      </c>
      <c r="G86" s="228">
        <f ca="1">IF(Cashflows[[#This Row],[MonthDate]]&lt;&gt;"",INDEX(Cashflow!$U$142:$FQ$142,MATCH(Cashflows[[#This Row],[MonthDate]],Cashflow!$U$7:$FQ$7,0)),"")</f>
        <v>608467.49</v>
      </c>
      <c r="H86" s="228">
        <f ca="1">IF(Cashflows[[#This Row],[MonthDate]]&lt;&gt;"",INDEX(Cashflow!$U$143:$FQ$143,MATCH(Cashflows[[#This Row],[MonthDate]],Cashflow!$U$7:$FQ$7,0)),"")</f>
        <v>171898668.27999997</v>
      </c>
      <c r="I86" s="226">
        <f ca="1">IFERROR(DATEVALUE(Cashflows[[#This Row],[Month]]),"")</f>
        <v>45383</v>
      </c>
      <c r="J86" s="228" t="str">
        <f ca="1">IF(EOMONTH(TODAY(),-1)+1=Cashflows[[#This Row],[MonthDate]],MAX(Cashflows[Cumulative]),"")</f>
        <v/>
      </c>
    </row>
    <row r="87" spans="1:10">
      <c r="A87" t="str">
        <f ca="1">IF(OFFSET(Cashflows[#This Row],-1,0)=Cashflows[[#Headers],[Fiscal Year]],'Target Tracking'!$E$17,IF(Cashflows[[#This Row],[Month Num]]&lt;&gt;4,OFFSET(Cashflows[#This Row],-1,0),CONCATENATE(LEFT(OFFSET(Cashflows[#This Row],-1,0),4)+1,"-",RIGHT(OFFSET(Cashflows[#This Row],-1,0),2)+1)))</f>
        <v>2024-25</v>
      </c>
      <c r="B87">
        <f ca="1">IF(OFFSET(Cashflows[#This Row],-1,0)=Cashflows[[#Headers],[Month Num]],4,MONTH(EDATE(DATE(2000,OFFSET(Cashflows[#This Row],-1,0),1),1)))</f>
        <v>5</v>
      </c>
      <c r="C87" t="str">
        <f ca="1">IF(IFERROR(INDEX('Target Tracking'!$19:$19,,MATCH(Cashflows[[#This Row],[Fiscal Year]],'Target Tracking'!$17:$17,0)),0)&gt;0,TEXT(DATE(IF(Cashflows[[#This Row],[Month Num]]&gt;=4,LEFT(Cashflows[[#This Row],[Fiscal Year]],4),"20" &amp; RIGHT(Cashflows[[#This Row],[Fiscal Year]],2)),Cashflows[[#This Row],[Month Num]],1),"mmm yyyy"),"")</f>
        <v>May 2024</v>
      </c>
      <c r="D87">
        <f ca="1">IF(Cashflows[[#This Row],[Month Num]]=4,-12,OFFSET(Cashflows[#This Row],-1,0)+1)</f>
        <v>-11</v>
      </c>
      <c r="E87">
        <f ca="1">IF(Cashflows[[#This Row],[Month]]="","",IFERROR(OFFSET(INDEX(OFFSET(Cashflow!$U$7,0,0,,CELL("col",CWS_Total) - CELL("col",Cashflow!$U$7)),MATCH(Cashflows[[#This Row],[MonthDate]],OFFSET(Cashflow!$U$7,0,0,,CELL("col",CWS_Total) - CELL("col",Cashflow!$U$7)),0)),MATCH("Total",Cashflow!$B:$B,0)-7,0),0))</f>
        <v>89723.25</v>
      </c>
      <c r="F87" s="228">
        <f ca="1">IFERROR(Cashflows[[#This Row],[Cashflow]]+IF(OFFSET(Cashflows[#This Row],-1,0)=Cashflows[[#Headers],[Cumulative]],0,IF(OFFSET(Cashflows[#This Row],-1,0)="",0,OFFSET(Cashflows[#This Row],-1,0))),"")</f>
        <v>171232327.57999998</v>
      </c>
      <c r="G87" s="228">
        <f ca="1">IF(Cashflows[[#This Row],[MonthDate]]&lt;&gt;"",INDEX(Cashflow!$U$142:$FQ$142,MATCH(Cashflows[[#This Row],[MonthDate]],Cashflow!$U$7:$FQ$7,0)),"")</f>
        <v>2804302.11</v>
      </c>
      <c r="H87" s="228">
        <f ca="1">IF(Cashflows[[#This Row],[MonthDate]]&lt;&gt;"",INDEX(Cashflow!$U$143:$FQ$143,MATCH(Cashflows[[#This Row],[MonthDate]],Cashflow!$U$7:$FQ$7,0)),"")</f>
        <v>174702970.38999999</v>
      </c>
      <c r="I87" s="226">
        <f ca="1">IFERROR(DATEVALUE(Cashflows[[#This Row],[Month]]),"")</f>
        <v>45413</v>
      </c>
      <c r="J87" s="228" t="str">
        <f ca="1">IF(EOMONTH(TODAY(),-1)+1=Cashflows[[#This Row],[MonthDate]],MAX(Cashflows[Cumulative]),"")</f>
        <v/>
      </c>
    </row>
    <row r="88" spans="1:10">
      <c r="A88" t="str">
        <f ca="1">IF(OFFSET(Cashflows[#This Row],-1,0)=Cashflows[[#Headers],[Fiscal Year]],'Target Tracking'!$E$17,IF(Cashflows[[#This Row],[Month Num]]&lt;&gt;4,OFFSET(Cashflows[#This Row],-1,0),CONCATENATE(LEFT(OFFSET(Cashflows[#This Row],-1,0),4)+1,"-",RIGHT(OFFSET(Cashflows[#This Row],-1,0),2)+1)))</f>
        <v>2024-25</v>
      </c>
      <c r="B88">
        <f ca="1">IF(OFFSET(Cashflows[#This Row],-1,0)=Cashflows[[#Headers],[Month Num]],4,MONTH(EDATE(DATE(2000,OFFSET(Cashflows[#This Row],-1,0),1),1)))</f>
        <v>6</v>
      </c>
      <c r="C88" t="str">
        <f ca="1">IF(IFERROR(INDEX('Target Tracking'!$19:$19,,MATCH(Cashflows[[#This Row],[Fiscal Year]],'Target Tracking'!$17:$17,0)),0)&gt;0,TEXT(DATE(IF(Cashflows[[#This Row],[Month Num]]&gt;=4,LEFT(Cashflows[[#This Row],[Fiscal Year]],4),"20" &amp; RIGHT(Cashflows[[#This Row],[Fiscal Year]],2)),Cashflows[[#This Row],[Month Num]],1),"mmm yyyy"),"")</f>
        <v>Jun 2024</v>
      </c>
      <c r="D88">
        <f ca="1">IF(Cashflows[[#This Row],[Month Num]]=4,-12,OFFSET(Cashflows[#This Row],-1,0)+1)</f>
        <v>-10</v>
      </c>
      <c r="E88">
        <f ca="1">IF(Cashflows[[#This Row],[Month]]="","",IFERROR(OFFSET(INDEX(OFFSET(Cashflow!$U$7,0,0,,CELL("col",CWS_Total) - CELL("col",Cashflow!$U$7)),MATCH(Cashflows[[#This Row],[MonthDate]],OFFSET(Cashflow!$U$7,0,0,,CELL("col",CWS_Total) - CELL("col",Cashflow!$U$7)),0)),MATCH("Total",Cashflow!$B:$B,0)-7,0),0))</f>
        <v>746845.92</v>
      </c>
      <c r="F88" s="228">
        <f ca="1">IFERROR(Cashflows[[#This Row],[Cashflow]]+IF(OFFSET(Cashflows[#This Row],-1,0)=Cashflows[[#Headers],[Cumulative]],0,IF(OFFSET(Cashflows[#This Row],-1,0)="",0,OFFSET(Cashflows[#This Row],-1,0))),"")</f>
        <v>171979173.49999997</v>
      </c>
      <c r="G88" s="228">
        <f ca="1">IF(Cashflows[[#This Row],[MonthDate]]&lt;&gt;"",INDEX(Cashflow!$U$142:$FQ$142,MATCH(Cashflows[[#This Row],[MonthDate]],Cashflow!$U$7:$FQ$7,0)),"")</f>
        <v>2252283.3199999998</v>
      </c>
      <c r="H88" s="228">
        <f ca="1">IF(Cashflows[[#This Row],[MonthDate]]&lt;&gt;"",INDEX(Cashflow!$U$143:$FQ$143,MATCH(Cashflows[[#This Row],[MonthDate]],Cashflow!$U$7:$FQ$7,0)),"")</f>
        <v>176955253.70999998</v>
      </c>
      <c r="I88" s="226">
        <f ca="1">IFERROR(DATEVALUE(Cashflows[[#This Row],[Month]]),"")</f>
        <v>45444</v>
      </c>
      <c r="J88" s="228" t="str">
        <f ca="1">IF(EOMONTH(TODAY(),-1)+1=Cashflows[[#This Row],[MonthDate]],MAX(Cashflows[Cumulative]),"")</f>
        <v/>
      </c>
    </row>
    <row r="89" spans="1:10">
      <c r="A89" t="str">
        <f ca="1">IF(OFFSET(Cashflows[#This Row],-1,0)=Cashflows[[#Headers],[Fiscal Year]],'Target Tracking'!$E$17,IF(Cashflows[[#This Row],[Month Num]]&lt;&gt;4,OFFSET(Cashflows[#This Row],-1,0),CONCATENATE(LEFT(OFFSET(Cashflows[#This Row],-1,0),4)+1,"-",RIGHT(OFFSET(Cashflows[#This Row],-1,0),2)+1)))</f>
        <v>2024-25</v>
      </c>
      <c r="B89">
        <f ca="1">IF(OFFSET(Cashflows[#This Row],-1,0)=Cashflows[[#Headers],[Month Num]],4,MONTH(EDATE(DATE(2000,OFFSET(Cashflows[#This Row],-1,0),1),1)))</f>
        <v>7</v>
      </c>
      <c r="C89" t="str">
        <f ca="1">IF(IFERROR(INDEX('Target Tracking'!$19:$19,,MATCH(Cashflows[[#This Row],[Fiscal Year]],'Target Tracking'!$17:$17,0)),0)&gt;0,TEXT(DATE(IF(Cashflows[[#This Row],[Month Num]]&gt;=4,LEFT(Cashflows[[#This Row],[Fiscal Year]],4),"20" &amp; RIGHT(Cashflows[[#This Row],[Fiscal Year]],2)),Cashflows[[#This Row],[Month Num]],1),"mmm yyyy"),"")</f>
        <v>Jul 2024</v>
      </c>
      <c r="D89">
        <f ca="1">IF(Cashflows[[#This Row],[Month Num]]=4,-12,OFFSET(Cashflows[#This Row],-1,0)+1)</f>
        <v>-9</v>
      </c>
      <c r="E89">
        <f ca="1">IF(Cashflows[[#This Row],[Month]]="","",IFERROR(OFFSET(INDEX(OFFSET(Cashflow!$U$7,0,0,,CELL("col",CWS_Total) - CELL("col",Cashflow!$U$7)),MATCH(Cashflows[[#This Row],[MonthDate]],OFFSET(Cashflow!$U$7,0,0,,CELL("col",CWS_Total) - CELL("col",Cashflow!$U$7)),0)),MATCH("Total",Cashflow!$B:$B,0)-7,0),0))</f>
        <v>662047.47</v>
      </c>
      <c r="F89" s="228">
        <f ca="1">IFERROR(Cashflows[[#This Row],[Cashflow]]+IF(OFFSET(Cashflows[#This Row],-1,0)=Cashflows[[#Headers],[Cumulative]],0,IF(OFFSET(Cashflows[#This Row],-1,0)="",0,OFFSET(Cashflows[#This Row],-1,0))),"")</f>
        <v>172641220.96999997</v>
      </c>
      <c r="G89" s="228">
        <f ca="1">IF(Cashflows[[#This Row],[MonthDate]]&lt;&gt;"",INDEX(Cashflow!$U$142:$FQ$142,MATCH(Cashflows[[#This Row],[MonthDate]],Cashflow!$U$7:$FQ$7,0)),"")</f>
        <v>1905214.97</v>
      </c>
      <c r="H89" s="228">
        <f ca="1">IF(Cashflows[[#This Row],[MonthDate]]&lt;&gt;"",INDEX(Cashflow!$U$143:$FQ$143,MATCH(Cashflows[[#This Row],[MonthDate]],Cashflow!$U$7:$FQ$7,0)),"")</f>
        <v>178860468.67999998</v>
      </c>
      <c r="I89" s="226">
        <f ca="1">IFERROR(DATEVALUE(Cashflows[[#This Row],[Month]]),"")</f>
        <v>45474</v>
      </c>
      <c r="J89" s="228" t="str">
        <f ca="1">IF(EOMONTH(TODAY(),-1)+1=Cashflows[[#This Row],[MonthDate]],MAX(Cashflows[Cumulative]),"")</f>
        <v/>
      </c>
    </row>
    <row r="90" spans="1:10">
      <c r="A90" t="str">
        <f ca="1">IF(OFFSET(Cashflows[#This Row],-1,0)=Cashflows[[#Headers],[Fiscal Year]],'Target Tracking'!$E$17,IF(Cashflows[[#This Row],[Month Num]]&lt;&gt;4,OFFSET(Cashflows[#This Row],-1,0),CONCATENATE(LEFT(OFFSET(Cashflows[#This Row],-1,0),4)+1,"-",RIGHT(OFFSET(Cashflows[#This Row],-1,0),2)+1)))</f>
        <v>2024-25</v>
      </c>
      <c r="B90">
        <f ca="1">IF(OFFSET(Cashflows[#This Row],-1,0)=Cashflows[[#Headers],[Month Num]],4,MONTH(EDATE(DATE(2000,OFFSET(Cashflows[#This Row],-1,0),1),1)))</f>
        <v>8</v>
      </c>
      <c r="C90" t="str">
        <f ca="1">IF(IFERROR(INDEX('Target Tracking'!$19:$19,,MATCH(Cashflows[[#This Row],[Fiscal Year]],'Target Tracking'!$17:$17,0)),0)&gt;0,TEXT(DATE(IF(Cashflows[[#This Row],[Month Num]]&gt;=4,LEFT(Cashflows[[#This Row],[Fiscal Year]],4),"20" &amp; RIGHT(Cashflows[[#This Row],[Fiscal Year]],2)),Cashflows[[#This Row],[Month Num]],1),"mmm yyyy"),"")</f>
        <v>Aug 2024</v>
      </c>
      <c r="D90">
        <f ca="1">IF(Cashflows[[#This Row],[Month Num]]=4,-12,OFFSET(Cashflows[#This Row],-1,0)+1)</f>
        <v>-8</v>
      </c>
      <c r="E90">
        <f ca="1">IF(Cashflows[[#This Row],[Month]]="","",IFERROR(OFFSET(INDEX(OFFSET(Cashflow!$U$7,0,0,,CELL("col",CWS_Total) - CELL("col",Cashflow!$U$7)),MATCH(Cashflows[[#This Row],[MonthDate]],OFFSET(Cashflow!$U$7,0,0,,CELL("col",CWS_Total) - CELL("col",Cashflow!$U$7)),0)),MATCH("Total",Cashflow!$B:$B,0)-7,0),0))</f>
        <v>746370.79</v>
      </c>
      <c r="F90" s="228">
        <f ca="1">IFERROR(Cashflows[[#This Row],[Cashflow]]+IF(OFFSET(Cashflows[#This Row],-1,0)=Cashflows[[#Headers],[Cumulative]],0,IF(OFFSET(Cashflows[#This Row],-1,0)="",0,OFFSET(Cashflows[#This Row],-1,0))),"")</f>
        <v>173387591.75999996</v>
      </c>
      <c r="G90" s="228">
        <f ca="1">IF(Cashflows[[#This Row],[MonthDate]]&lt;&gt;"",INDEX(Cashflow!$U$142:$FQ$142,MATCH(Cashflows[[#This Row],[MonthDate]],Cashflow!$U$7:$FQ$7,0)),"")</f>
        <v>440450.15</v>
      </c>
      <c r="H90" s="228">
        <f ca="1">IF(Cashflows[[#This Row],[MonthDate]]&lt;&gt;"",INDEX(Cashflow!$U$143:$FQ$143,MATCH(Cashflows[[#This Row],[MonthDate]],Cashflow!$U$7:$FQ$7,0)),"")</f>
        <v>179300918.82999998</v>
      </c>
      <c r="I90" s="226">
        <f ca="1">IFERROR(DATEVALUE(Cashflows[[#This Row],[Month]]),"")</f>
        <v>45505</v>
      </c>
      <c r="J90" s="228" t="str">
        <f ca="1">IF(EOMONTH(TODAY(),-1)+1=Cashflows[[#This Row],[MonthDate]],MAX(Cashflows[Cumulative]),"")</f>
        <v/>
      </c>
    </row>
    <row r="91" spans="1:10">
      <c r="A91" t="str">
        <f ca="1">IF(OFFSET(Cashflows[#This Row],-1,0)=Cashflows[[#Headers],[Fiscal Year]],'Target Tracking'!$E$17,IF(Cashflows[[#This Row],[Month Num]]&lt;&gt;4,OFFSET(Cashflows[#This Row],-1,0),CONCATENATE(LEFT(OFFSET(Cashflows[#This Row],-1,0),4)+1,"-",RIGHT(OFFSET(Cashflows[#This Row],-1,0),2)+1)))</f>
        <v>2024-25</v>
      </c>
      <c r="B91">
        <f ca="1">IF(OFFSET(Cashflows[#This Row],-1,0)=Cashflows[[#Headers],[Month Num]],4,MONTH(EDATE(DATE(2000,OFFSET(Cashflows[#This Row],-1,0),1),1)))</f>
        <v>9</v>
      </c>
      <c r="C91" t="str">
        <f ca="1">IF(IFERROR(INDEX('Target Tracking'!$19:$19,,MATCH(Cashflows[[#This Row],[Fiscal Year]],'Target Tracking'!$17:$17,0)),0)&gt;0,TEXT(DATE(IF(Cashflows[[#This Row],[Month Num]]&gt;=4,LEFT(Cashflows[[#This Row],[Fiscal Year]],4),"20" &amp; RIGHT(Cashflows[[#This Row],[Fiscal Year]],2)),Cashflows[[#This Row],[Month Num]],1),"mmm yyyy"),"")</f>
        <v>Sep 2024</v>
      </c>
      <c r="D91">
        <f ca="1">IF(Cashflows[[#This Row],[Month Num]]=4,-12,OFFSET(Cashflows[#This Row],-1,0)+1)</f>
        <v>-7</v>
      </c>
      <c r="E91">
        <f ca="1">IF(Cashflows[[#This Row],[Month]]="","",IFERROR(OFFSET(INDEX(OFFSET(Cashflow!$U$7,0,0,,CELL("col",CWS_Total) - CELL("col",Cashflow!$U$7)),MATCH(Cashflows[[#This Row],[MonthDate]],OFFSET(Cashflow!$U$7,0,0,,CELL("col",CWS_Total) - CELL("col",Cashflow!$U$7)),0)),MATCH("Total",Cashflow!$B:$B,0)-7,0),0))</f>
        <v>49192.73</v>
      </c>
      <c r="F91" s="228">
        <f ca="1">IFERROR(Cashflows[[#This Row],[Cashflow]]+IF(OFFSET(Cashflows[#This Row],-1,0)=Cashflows[[#Headers],[Cumulative]],0,IF(OFFSET(Cashflows[#This Row],-1,0)="",0,OFFSET(Cashflows[#This Row],-1,0))),"")</f>
        <v>173436784.48999995</v>
      </c>
      <c r="G91" s="228">
        <f ca="1">IF(Cashflows[[#This Row],[MonthDate]]&lt;&gt;"",INDEX(Cashflow!$U$142:$FQ$142,MATCH(Cashflows[[#This Row],[MonthDate]],Cashflow!$U$7:$FQ$7,0)),"")</f>
        <v>197140.79</v>
      </c>
      <c r="H91" s="228">
        <f ca="1">IF(Cashflows[[#This Row],[MonthDate]]&lt;&gt;"",INDEX(Cashflow!$U$143:$FQ$143,MATCH(Cashflows[[#This Row],[MonthDate]],Cashflow!$U$7:$FQ$7,0)),"")</f>
        <v>179498059.61999997</v>
      </c>
      <c r="I91" s="226">
        <f ca="1">IFERROR(DATEVALUE(Cashflows[[#This Row],[Month]]),"")</f>
        <v>45536</v>
      </c>
      <c r="J91" s="228" t="str">
        <f ca="1">IF(EOMONTH(TODAY(),-1)+1=Cashflows[[#This Row],[MonthDate]],MAX(Cashflows[Cumulative]),"")</f>
        <v/>
      </c>
    </row>
    <row r="92" spans="1:10">
      <c r="A92" t="str">
        <f ca="1">IF(OFFSET(Cashflows[#This Row],-1,0)=Cashflows[[#Headers],[Fiscal Year]],'Target Tracking'!$E$17,IF(Cashflows[[#This Row],[Month Num]]&lt;&gt;4,OFFSET(Cashflows[#This Row],-1,0),CONCATENATE(LEFT(OFFSET(Cashflows[#This Row],-1,0),4)+1,"-",RIGHT(OFFSET(Cashflows[#This Row],-1,0),2)+1)))</f>
        <v>2024-25</v>
      </c>
      <c r="B92">
        <f ca="1">IF(OFFSET(Cashflows[#This Row],-1,0)=Cashflows[[#Headers],[Month Num]],4,MONTH(EDATE(DATE(2000,OFFSET(Cashflows[#This Row],-1,0),1),1)))</f>
        <v>10</v>
      </c>
      <c r="C92" t="str">
        <f ca="1">IF(IFERROR(INDEX('Target Tracking'!$19:$19,,MATCH(Cashflows[[#This Row],[Fiscal Year]],'Target Tracking'!$17:$17,0)),0)&gt;0,TEXT(DATE(IF(Cashflows[[#This Row],[Month Num]]&gt;=4,LEFT(Cashflows[[#This Row],[Fiscal Year]],4),"20" &amp; RIGHT(Cashflows[[#This Row],[Fiscal Year]],2)),Cashflows[[#This Row],[Month Num]],1),"mmm yyyy"),"")</f>
        <v>Oct 2024</v>
      </c>
      <c r="D92">
        <f ca="1">IF(Cashflows[[#This Row],[Month Num]]=4,-12,OFFSET(Cashflows[#This Row],-1,0)+1)</f>
        <v>-6</v>
      </c>
      <c r="E92">
        <f ca="1">IF(Cashflows[[#This Row],[Month]]="","",IFERROR(OFFSET(INDEX(OFFSET(Cashflow!$U$7,0,0,,CELL("col",CWS_Total) - CELL("col",Cashflow!$U$7)),MATCH(Cashflows[[#This Row],[MonthDate]],OFFSET(Cashflow!$U$7,0,0,,CELL("col",CWS_Total) - CELL("col",Cashflow!$U$7)),0)),MATCH("Total",Cashflow!$B:$B,0)-7,0),0))</f>
        <v>5549374.2800000003</v>
      </c>
      <c r="F92" s="228">
        <f ca="1">IFERROR(Cashflows[[#This Row],[Cashflow]]+IF(OFFSET(Cashflows[#This Row],-1,0)=Cashflows[[#Headers],[Cumulative]],0,IF(OFFSET(Cashflows[#This Row],-1,0)="",0,OFFSET(Cashflows[#This Row],-1,0))),"")</f>
        <v>178986158.76999995</v>
      </c>
      <c r="G92" s="228">
        <f ca="1">IF(Cashflows[[#This Row],[MonthDate]]&lt;&gt;"",INDEX(Cashflow!$U$142:$FQ$142,MATCH(Cashflows[[#This Row],[MonthDate]],Cashflow!$U$7:$FQ$7,0)),"")</f>
        <v>48291.040000000001</v>
      </c>
      <c r="H92" s="228">
        <f ca="1">IF(Cashflows[[#This Row],[MonthDate]]&lt;&gt;"",INDEX(Cashflow!$U$143:$FQ$143,MATCH(Cashflows[[#This Row],[MonthDate]],Cashflow!$U$7:$FQ$7,0)),"")</f>
        <v>179546350.65999997</v>
      </c>
      <c r="I92" s="226">
        <f ca="1">IFERROR(DATEVALUE(Cashflows[[#This Row],[Month]]),"")</f>
        <v>45566</v>
      </c>
      <c r="J92" s="228" t="str">
        <f ca="1">IF(EOMONTH(TODAY(),-1)+1=Cashflows[[#This Row],[MonthDate]],MAX(Cashflows[Cumulative]),"")</f>
        <v/>
      </c>
    </row>
    <row r="93" spans="1:10">
      <c r="A93" t="str">
        <f ca="1">IF(OFFSET(Cashflows[#This Row],-1,0)=Cashflows[[#Headers],[Fiscal Year]],'Target Tracking'!$E$17,IF(Cashflows[[#This Row],[Month Num]]&lt;&gt;4,OFFSET(Cashflows[#This Row],-1,0),CONCATENATE(LEFT(OFFSET(Cashflows[#This Row],-1,0),4)+1,"-",RIGHT(OFFSET(Cashflows[#This Row],-1,0),2)+1)))</f>
        <v>2024-25</v>
      </c>
      <c r="B93">
        <f ca="1">IF(OFFSET(Cashflows[#This Row],-1,0)=Cashflows[[#Headers],[Month Num]],4,MONTH(EDATE(DATE(2000,OFFSET(Cashflows[#This Row],-1,0),1),1)))</f>
        <v>11</v>
      </c>
      <c r="C93" t="str">
        <f ca="1">IF(IFERROR(INDEX('Target Tracking'!$19:$19,,MATCH(Cashflows[[#This Row],[Fiscal Year]],'Target Tracking'!$17:$17,0)),0)&gt;0,TEXT(DATE(IF(Cashflows[[#This Row],[Month Num]]&gt;=4,LEFT(Cashflows[[#This Row],[Fiscal Year]],4),"20" &amp; RIGHT(Cashflows[[#This Row],[Fiscal Year]],2)),Cashflows[[#This Row],[Month Num]],1),"mmm yyyy"),"")</f>
        <v>Nov 2024</v>
      </c>
      <c r="D93">
        <f ca="1">IF(Cashflows[[#This Row],[Month Num]]=4,-12,OFFSET(Cashflows[#This Row],-1,0)+1)</f>
        <v>-5</v>
      </c>
      <c r="E93">
        <f ca="1">IF(Cashflows[[#This Row],[Month]]="","",IFERROR(OFFSET(INDEX(OFFSET(Cashflow!$U$7,0,0,,CELL("col",CWS_Total) - CELL("col",Cashflow!$U$7)),MATCH(Cashflows[[#This Row],[MonthDate]],OFFSET(Cashflow!$U$7,0,0,,CELL("col",CWS_Total) - CELL("col",Cashflow!$U$7)),0)),MATCH("Total",Cashflow!$B:$B,0)-7,0),0))</f>
        <v>999375.68</v>
      </c>
      <c r="F93" s="228">
        <f ca="1">IFERROR(Cashflows[[#This Row],[Cashflow]]+IF(OFFSET(Cashflows[#This Row],-1,0)=Cashflows[[#Headers],[Cumulative]],0,IF(OFFSET(Cashflows[#This Row],-1,0)="",0,OFFSET(Cashflows[#This Row],-1,0))),"")</f>
        <v>179985534.44999996</v>
      </c>
      <c r="G93" s="228">
        <f ca="1">IF(Cashflows[[#This Row],[MonthDate]]&lt;&gt;"",INDEX(Cashflow!$U$142:$FQ$142,MATCH(Cashflows[[#This Row],[MonthDate]],Cashflow!$U$7:$FQ$7,0)),"")</f>
        <v>32746.04</v>
      </c>
      <c r="H93" s="228">
        <f ca="1">IF(Cashflows[[#This Row],[MonthDate]]&lt;&gt;"",INDEX(Cashflow!$U$143:$FQ$143,MATCH(Cashflows[[#This Row],[MonthDate]],Cashflow!$U$7:$FQ$7,0)),"")</f>
        <v>179579096.69999996</v>
      </c>
      <c r="I93" s="226">
        <f ca="1">IFERROR(DATEVALUE(Cashflows[[#This Row],[Month]]),"")</f>
        <v>45597</v>
      </c>
      <c r="J93" s="228" t="str">
        <f ca="1">IF(EOMONTH(TODAY(),-1)+1=Cashflows[[#This Row],[MonthDate]],MAX(Cashflows[Cumulative]),"")</f>
        <v/>
      </c>
    </row>
    <row r="94" spans="1:10">
      <c r="A94" t="str">
        <f ca="1">IF(OFFSET(Cashflows[#This Row],-1,0)=Cashflows[[#Headers],[Fiscal Year]],'Target Tracking'!$E$17,IF(Cashflows[[#This Row],[Month Num]]&lt;&gt;4,OFFSET(Cashflows[#This Row],-1,0),CONCATENATE(LEFT(OFFSET(Cashflows[#This Row],-1,0),4)+1,"-",RIGHT(OFFSET(Cashflows[#This Row],-1,0),2)+1)))</f>
        <v>2024-25</v>
      </c>
      <c r="B94">
        <f ca="1">IF(OFFSET(Cashflows[#This Row],-1,0)=Cashflows[[#Headers],[Month Num]],4,MONTH(EDATE(DATE(2000,OFFSET(Cashflows[#This Row],-1,0),1),1)))</f>
        <v>12</v>
      </c>
      <c r="C94" t="str">
        <f ca="1">IF(IFERROR(INDEX('Target Tracking'!$19:$19,,MATCH(Cashflows[[#This Row],[Fiscal Year]],'Target Tracking'!$17:$17,0)),0)&gt;0,TEXT(DATE(IF(Cashflows[[#This Row],[Month Num]]&gt;=4,LEFT(Cashflows[[#This Row],[Fiscal Year]],4),"20" &amp; RIGHT(Cashflows[[#This Row],[Fiscal Year]],2)),Cashflows[[#This Row],[Month Num]],1),"mmm yyyy"),"")</f>
        <v>Dec 2024</v>
      </c>
      <c r="D94">
        <f ca="1">IF(Cashflows[[#This Row],[Month Num]]=4,-12,OFFSET(Cashflows[#This Row],-1,0)+1)</f>
        <v>-4</v>
      </c>
      <c r="E94">
        <f ca="1">IF(Cashflows[[#This Row],[Month]]="","",IFERROR(OFFSET(INDEX(OFFSET(Cashflow!$U$7,0,0,,CELL("col",CWS_Total) - CELL("col",Cashflow!$U$7)),MATCH(Cashflows[[#This Row],[MonthDate]],OFFSET(Cashflow!$U$7,0,0,,CELL("col",CWS_Total) - CELL("col",Cashflow!$U$7)),0)),MATCH("Total",Cashflow!$B:$B,0)-7,0),0))</f>
        <v>520860.1</v>
      </c>
      <c r="F94" s="228">
        <f ca="1">IFERROR(Cashflows[[#This Row],[Cashflow]]+IF(OFFSET(Cashflows[#This Row],-1,0)=Cashflows[[#Headers],[Cumulative]],0,IF(OFFSET(Cashflows[#This Row],-1,0)="",0,OFFSET(Cashflows[#This Row],-1,0))),"")</f>
        <v>180506394.54999995</v>
      </c>
      <c r="G94" s="228">
        <f ca="1">IF(Cashflows[[#This Row],[MonthDate]]&lt;&gt;"",INDEX(Cashflow!$U$142:$FQ$142,MATCH(Cashflows[[#This Row],[MonthDate]],Cashflow!$U$7:$FQ$7,0)),"")</f>
        <v>34536.400000000001</v>
      </c>
      <c r="H94" s="228">
        <f ca="1">IF(Cashflows[[#This Row],[MonthDate]]&lt;&gt;"",INDEX(Cashflow!$U$143:$FQ$143,MATCH(Cashflows[[#This Row],[MonthDate]],Cashflow!$U$7:$FQ$7,0)),"")</f>
        <v>179613633.09999996</v>
      </c>
      <c r="I94" s="226">
        <f ca="1">IFERROR(DATEVALUE(Cashflows[[#This Row],[Month]]),"")</f>
        <v>45627</v>
      </c>
      <c r="J94" s="228" t="str">
        <f ca="1">IF(EOMONTH(TODAY(),-1)+1=Cashflows[[#This Row],[MonthDate]],MAX(Cashflows[Cumulative]),"")</f>
        <v/>
      </c>
    </row>
    <row r="95" spans="1:10">
      <c r="A95" t="str">
        <f ca="1">IF(OFFSET(Cashflows[#This Row],-1,0)=Cashflows[[#Headers],[Fiscal Year]],'Target Tracking'!$E$17,IF(Cashflows[[#This Row],[Month Num]]&lt;&gt;4,OFFSET(Cashflows[#This Row],-1,0),CONCATENATE(LEFT(OFFSET(Cashflows[#This Row],-1,0),4)+1,"-",RIGHT(OFFSET(Cashflows[#This Row],-1,0),2)+1)))</f>
        <v>2024-25</v>
      </c>
      <c r="B95">
        <f ca="1">IF(OFFSET(Cashflows[#This Row],-1,0)=Cashflows[[#Headers],[Month Num]],4,MONTH(EDATE(DATE(2000,OFFSET(Cashflows[#This Row],-1,0),1),1)))</f>
        <v>1</v>
      </c>
      <c r="C95" t="str">
        <f ca="1">IF(IFERROR(INDEX('Target Tracking'!$19:$19,,MATCH(Cashflows[[#This Row],[Fiscal Year]],'Target Tracking'!$17:$17,0)),0)&gt;0,TEXT(DATE(IF(Cashflows[[#This Row],[Month Num]]&gt;=4,LEFT(Cashflows[[#This Row],[Fiscal Year]],4),"20" &amp; RIGHT(Cashflows[[#This Row],[Fiscal Year]],2)),Cashflows[[#This Row],[Month Num]],1),"mmm yyyy"),"")</f>
        <v>Jan 2025</v>
      </c>
      <c r="D95">
        <f ca="1">IF(Cashflows[[#This Row],[Month Num]]=4,-12,OFFSET(Cashflows[#This Row],-1,0)+1)</f>
        <v>-3</v>
      </c>
      <c r="E95">
        <f ca="1">IF(Cashflows[[#This Row],[Month]]="","",IFERROR(OFFSET(INDEX(OFFSET(Cashflow!$U$7,0,0,,CELL("col",CWS_Total) - CELL("col",Cashflow!$U$7)),MATCH(Cashflows[[#This Row],[MonthDate]],OFFSET(Cashflow!$U$7,0,0,,CELL("col",CWS_Total) - CELL("col",Cashflow!$U$7)),0)),MATCH("Total",Cashflow!$B:$B,0)-7,0),0))</f>
        <v>433312.34</v>
      </c>
      <c r="F95" s="228">
        <f ca="1">IFERROR(Cashflows[[#This Row],[Cashflow]]+IF(OFFSET(Cashflows[#This Row],-1,0)=Cashflows[[#Headers],[Cumulative]],0,IF(OFFSET(Cashflows[#This Row],-1,0)="",0,OFFSET(Cashflows[#This Row],-1,0))),"")</f>
        <v>180939706.88999996</v>
      </c>
      <c r="G95" s="228">
        <f ca="1">IF(Cashflows[[#This Row],[MonthDate]]&lt;&gt;"",INDEX(Cashflow!$U$142:$FQ$142,MATCH(Cashflows[[#This Row],[MonthDate]],Cashflow!$U$7:$FQ$7,0)),"")</f>
        <v>100</v>
      </c>
      <c r="H95" s="228">
        <f ca="1">IF(Cashflows[[#This Row],[MonthDate]]&lt;&gt;"",INDEX(Cashflow!$U$143:$FQ$143,MATCH(Cashflows[[#This Row],[MonthDate]],Cashflow!$U$7:$FQ$7,0)),"")</f>
        <v>179613733.09999996</v>
      </c>
      <c r="I95" s="226">
        <f ca="1">IFERROR(DATEVALUE(Cashflows[[#This Row],[Month]]),"")</f>
        <v>45658</v>
      </c>
      <c r="J95" s="228" t="str">
        <f ca="1">IF(EOMONTH(TODAY(),-1)+1=Cashflows[[#This Row],[MonthDate]],MAX(Cashflows[Cumulative]),"")</f>
        <v/>
      </c>
    </row>
    <row r="96" spans="1:10">
      <c r="A96" t="str">
        <f ca="1">IF(OFFSET(Cashflows[#This Row],-1,0)=Cashflows[[#Headers],[Fiscal Year]],'Target Tracking'!$E$17,IF(Cashflows[[#This Row],[Month Num]]&lt;&gt;4,OFFSET(Cashflows[#This Row],-1,0),CONCATENATE(LEFT(OFFSET(Cashflows[#This Row],-1,0),4)+1,"-",RIGHT(OFFSET(Cashflows[#This Row],-1,0),2)+1)))</f>
        <v>2024-25</v>
      </c>
      <c r="B96">
        <f ca="1">IF(OFFSET(Cashflows[#This Row],-1,0)=Cashflows[[#Headers],[Month Num]],4,MONTH(EDATE(DATE(2000,OFFSET(Cashflows[#This Row],-1,0),1),1)))</f>
        <v>2</v>
      </c>
      <c r="C96" t="str">
        <f ca="1">IF(IFERROR(INDEX('Target Tracking'!$19:$19,,MATCH(Cashflows[[#This Row],[Fiscal Year]],'Target Tracking'!$17:$17,0)),0)&gt;0,TEXT(DATE(IF(Cashflows[[#This Row],[Month Num]]&gt;=4,LEFT(Cashflows[[#This Row],[Fiscal Year]],4),"20" &amp; RIGHT(Cashflows[[#This Row],[Fiscal Year]],2)),Cashflows[[#This Row],[Month Num]],1),"mmm yyyy"),"")</f>
        <v>Feb 2025</v>
      </c>
      <c r="D96">
        <f ca="1">IF(Cashflows[[#This Row],[Month Num]]=4,-12,OFFSET(Cashflows[#This Row],-1,0)+1)</f>
        <v>-2</v>
      </c>
      <c r="E96">
        <f ca="1">IF(Cashflows[[#This Row],[Month]]="","",IFERROR(OFFSET(INDEX(OFFSET(Cashflow!$U$7,0,0,,CELL("col",CWS_Total) - CELL("col",Cashflow!$U$7)),MATCH(Cashflows[[#This Row],[MonthDate]],OFFSET(Cashflow!$U$7,0,0,,CELL("col",CWS_Total) - CELL("col",Cashflow!$U$7)),0)),MATCH("Total",Cashflow!$B:$B,0)-7,0),0))</f>
        <v>629450.86</v>
      </c>
      <c r="F96" s="228">
        <f ca="1">IFERROR(Cashflows[[#This Row],[Cashflow]]+IF(OFFSET(Cashflows[#This Row],-1,0)=Cashflows[[#Headers],[Cumulative]],0,IF(OFFSET(Cashflows[#This Row],-1,0)="",0,OFFSET(Cashflows[#This Row],-1,0))),"")</f>
        <v>181569157.74999997</v>
      </c>
      <c r="G96" s="228">
        <f ca="1">IF(Cashflows[[#This Row],[MonthDate]]&lt;&gt;"",INDEX(Cashflow!$U$142:$FQ$142,MATCH(Cashflows[[#This Row],[MonthDate]],Cashflow!$U$7:$FQ$7,0)),"")</f>
        <v>100</v>
      </c>
      <c r="H96" s="228">
        <f ca="1">IF(Cashflows[[#This Row],[MonthDate]]&lt;&gt;"",INDEX(Cashflow!$U$143:$FQ$143,MATCH(Cashflows[[#This Row],[MonthDate]],Cashflow!$U$7:$FQ$7,0)),"")</f>
        <v>179613833.09999996</v>
      </c>
      <c r="I96" s="226">
        <f ca="1">IFERROR(DATEVALUE(Cashflows[[#This Row],[Month]]),"")</f>
        <v>45689</v>
      </c>
      <c r="J96" s="228" t="str">
        <f ca="1">IF(EOMONTH(TODAY(),-1)+1=Cashflows[[#This Row],[MonthDate]],MAX(Cashflows[Cumulative]),"")</f>
        <v/>
      </c>
    </row>
    <row r="97" spans="1:10">
      <c r="A97" t="str">
        <f ca="1">IF(OFFSET(Cashflows[#This Row],-1,0)=Cashflows[[#Headers],[Fiscal Year]],'Target Tracking'!$E$17,IF(Cashflows[[#This Row],[Month Num]]&lt;&gt;4,OFFSET(Cashflows[#This Row],-1,0),CONCATENATE(LEFT(OFFSET(Cashflows[#This Row],-1,0),4)+1,"-",RIGHT(OFFSET(Cashflows[#This Row],-1,0),2)+1)))</f>
        <v>2024-25</v>
      </c>
      <c r="B97">
        <f ca="1">IF(OFFSET(Cashflows[#This Row],-1,0)=Cashflows[[#Headers],[Month Num]],4,MONTH(EDATE(DATE(2000,OFFSET(Cashflows[#This Row],-1,0),1),1)))</f>
        <v>3</v>
      </c>
      <c r="C97" t="str">
        <f ca="1">IF(IFERROR(INDEX('Target Tracking'!$19:$19,,MATCH(Cashflows[[#This Row],[Fiscal Year]],'Target Tracking'!$17:$17,0)),0)&gt;0,TEXT(DATE(IF(Cashflows[[#This Row],[Month Num]]&gt;=4,LEFT(Cashflows[[#This Row],[Fiscal Year]],4),"20" &amp; RIGHT(Cashflows[[#This Row],[Fiscal Year]],2)),Cashflows[[#This Row],[Month Num]],1),"mmm yyyy"),"")</f>
        <v>Mar 2025</v>
      </c>
      <c r="D97">
        <f ca="1">IF(Cashflows[[#This Row],[Month Num]]=4,-12,OFFSET(Cashflows[#This Row],-1,0)+1)</f>
        <v>-1</v>
      </c>
      <c r="E97">
        <f ca="1">IF(Cashflows[[#This Row],[Month]]="","",IFERROR(OFFSET(INDEX(OFFSET(Cashflow!$U$7,0,0,,CELL("col",CWS_Total) - CELL("col",Cashflow!$U$7)),MATCH(Cashflows[[#This Row],[MonthDate]],OFFSET(Cashflow!$U$7,0,0,,CELL("col",CWS_Total) - CELL("col",Cashflow!$U$7)),0)),MATCH("Total",Cashflow!$B:$B,0)-7,0),0))</f>
        <v>878440.18</v>
      </c>
      <c r="F97" s="228">
        <f ca="1">IFERROR(Cashflows[[#This Row],[Cashflow]]+IF(OFFSET(Cashflows[#This Row],-1,0)=Cashflows[[#Headers],[Cumulative]],0,IF(OFFSET(Cashflows[#This Row],-1,0)="",0,OFFSET(Cashflows[#This Row],-1,0))),"")</f>
        <v>182447597.92999998</v>
      </c>
      <c r="G97" s="228">
        <f ca="1">IF(Cashflows[[#This Row],[MonthDate]]&lt;&gt;"",INDEX(Cashflow!$U$142:$FQ$142,MATCH(Cashflows[[#This Row],[MonthDate]],Cashflow!$U$7:$FQ$7,0)),"")</f>
        <v>1060929.21</v>
      </c>
      <c r="H97" s="228">
        <f ca="1">IF(Cashflows[[#This Row],[MonthDate]]&lt;&gt;"",INDEX(Cashflow!$U$143:$FQ$143,MATCH(Cashflows[[#This Row],[MonthDate]],Cashflow!$U$7:$FQ$7,0)),"")</f>
        <v>180674762.30999997</v>
      </c>
      <c r="I97" s="226">
        <f ca="1">IFERROR(DATEVALUE(Cashflows[[#This Row],[Month]]),"")</f>
        <v>45717</v>
      </c>
      <c r="J97" s="228" t="str">
        <f ca="1">IF(EOMONTH(TODAY(),-1)+1=Cashflows[[#This Row],[MonthDate]],MAX(Cashflows[Cumulative]),"")</f>
        <v/>
      </c>
    </row>
    <row r="98" spans="1:10">
      <c r="A98" t="str">
        <f ca="1">IF(OFFSET(Cashflows[#This Row],-1,0)=Cashflows[[#Headers],[Fiscal Year]],'Target Tracking'!$E$17,IF(Cashflows[[#This Row],[Month Num]]&lt;&gt;4,OFFSET(Cashflows[#This Row],-1,0),CONCATENATE(LEFT(OFFSET(Cashflows[#This Row],-1,0),4)+1,"-",RIGHT(OFFSET(Cashflows[#This Row],-1,0),2)+1)))</f>
        <v>2025-26</v>
      </c>
      <c r="B98">
        <f ca="1">IF(OFFSET(Cashflows[#This Row],-1,0)=Cashflows[[#Headers],[Month Num]],4,MONTH(EDATE(DATE(2000,OFFSET(Cashflows[#This Row],-1,0),1),1)))</f>
        <v>4</v>
      </c>
      <c r="C98" t="str">
        <f ca="1">IF(IFERROR(INDEX('Target Tracking'!$19:$19,,MATCH(Cashflows[[#This Row],[Fiscal Year]],'Target Tracking'!$17:$17,0)),0)&gt;0,TEXT(DATE(IF(Cashflows[[#This Row],[Month Num]]&gt;=4,LEFT(Cashflows[[#This Row],[Fiscal Year]],4),"20" &amp; RIGHT(Cashflows[[#This Row],[Fiscal Year]],2)),Cashflows[[#This Row],[Month Num]],1),"mmm yyyy"),"")</f>
        <v>Apr 2025</v>
      </c>
      <c r="D98">
        <f ca="1">IF(Cashflows[[#This Row],[Month Num]]=4,-12,OFFSET(Cashflows[#This Row],-1,0)+1)</f>
        <v>-12</v>
      </c>
      <c r="E98">
        <f ca="1">IF(Cashflows[[#This Row],[Month]]="","",IFERROR(OFFSET(INDEX(OFFSET(Cashflow!$U$7,0,0,,CELL("col",CWS_Total) - CELL("col",Cashflow!$U$7)),MATCH(Cashflows[[#This Row],[MonthDate]],OFFSET(Cashflow!$U$7,0,0,,CELL("col",CWS_Total) - CELL("col",Cashflow!$U$7)),0)),MATCH("Total",Cashflow!$B:$B,0)-7,0),0))</f>
        <v>73319.77</v>
      </c>
      <c r="F98" s="228">
        <f ca="1">IFERROR(Cashflows[[#This Row],[Cashflow]]+IF(OFFSET(Cashflows[#This Row],-1,0)=Cashflows[[#Headers],[Cumulative]],0,IF(OFFSET(Cashflows[#This Row],-1,0)="",0,OFFSET(Cashflows[#This Row],-1,0))),"")</f>
        <v>182520917.69999999</v>
      </c>
      <c r="G98" s="228">
        <f ca="1">IF(Cashflows[[#This Row],[MonthDate]]&lt;&gt;"",INDEX(Cashflow!$U$142:$FQ$142,MATCH(Cashflows[[#This Row],[MonthDate]],Cashflow!$U$7:$FQ$7,0)),"")</f>
        <v>0</v>
      </c>
      <c r="H98" s="228">
        <f ca="1">IF(Cashflows[[#This Row],[MonthDate]]&lt;&gt;"",INDEX(Cashflow!$U$143:$FQ$143,MATCH(Cashflows[[#This Row],[MonthDate]],Cashflow!$U$7:$FQ$7,0)),"")</f>
        <v>180674762.30999997</v>
      </c>
      <c r="I98" s="226">
        <f ca="1">IFERROR(DATEVALUE(Cashflows[[#This Row],[Month]]),"")</f>
        <v>45748</v>
      </c>
      <c r="J98" s="228" t="str">
        <f ca="1">IF(EOMONTH(TODAY(),-1)+1=Cashflows[[#This Row],[MonthDate]],MAX(Cashflows[Cumulative]),"")</f>
        <v/>
      </c>
    </row>
    <row r="99" spans="1:10">
      <c r="A99" t="str">
        <f ca="1">IF(OFFSET(Cashflows[#This Row],-1,0)=Cashflows[[#Headers],[Fiscal Year]],'Target Tracking'!$E$17,IF(Cashflows[[#This Row],[Month Num]]&lt;&gt;4,OFFSET(Cashflows[#This Row],-1,0),CONCATENATE(LEFT(OFFSET(Cashflows[#This Row],-1,0),4)+1,"-",RIGHT(OFFSET(Cashflows[#This Row],-1,0),2)+1)))</f>
        <v>2025-26</v>
      </c>
      <c r="B99">
        <f ca="1">IF(OFFSET(Cashflows[#This Row],-1,0)=Cashflows[[#Headers],[Month Num]],4,MONTH(EDATE(DATE(2000,OFFSET(Cashflows[#This Row],-1,0),1),1)))</f>
        <v>5</v>
      </c>
      <c r="C99" t="str">
        <f ca="1">IF(IFERROR(INDEX('Target Tracking'!$19:$19,,MATCH(Cashflows[[#This Row],[Fiscal Year]],'Target Tracking'!$17:$17,0)),0)&gt;0,TEXT(DATE(IF(Cashflows[[#This Row],[Month Num]]&gt;=4,LEFT(Cashflows[[#This Row],[Fiscal Year]],4),"20" &amp; RIGHT(Cashflows[[#This Row],[Fiscal Year]],2)),Cashflows[[#This Row],[Month Num]],1),"mmm yyyy"),"")</f>
        <v>May 2025</v>
      </c>
      <c r="D99">
        <f ca="1">IF(Cashflows[[#This Row],[Month Num]]=4,-12,OFFSET(Cashflows[#This Row],-1,0)+1)</f>
        <v>-11</v>
      </c>
      <c r="E99">
        <f ca="1">IF(Cashflows[[#This Row],[Month]]="","",IFERROR(OFFSET(INDEX(OFFSET(Cashflow!$U$7,0,0,,CELL("col",CWS_Total) - CELL("col",Cashflow!$U$7)),MATCH(Cashflows[[#This Row],[MonthDate]],OFFSET(Cashflow!$U$7,0,0,,CELL("col",CWS_Total) - CELL("col",Cashflow!$U$7)),0)),MATCH("Total",Cashflow!$B:$B,0)-7,0),0))</f>
        <v>198632.21</v>
      </c>
      <c r="F99" s="228">
        <f ca="1">IFERROR(Cashflows[[#This Row],[Cashflow]]+IF(OFFSET(Cashflows[#This Row],-1,0)=Cashflows[[#Headers],[Cumulative]],0,IF(OFFSET(Cashflows[#This Row],-1,0)="",0,OFFSET(Cashflows[#This Row],-1,0))),"")</f>
        <v>182719549.91</v>
      </c>
      <c r="G99" s="228">
        <f ca="1">IF(Cashflows[[#This Row],[MonthDate]]&lt;&gt;"",INDEX(Cashflow!$U$142:$FQ$142,MATCH(Cashflows[[#This Row],[MonthDate]],Cashflow!$U$7:$FQ$7,0)),"")</f>
        <v>0</v>
      </c>
      <c r="H99" s="228">
        <f ca="1">IF(Cashflows[[#This Row],[MonthDate]]&lt;&gt;"",INDEX(Cashflow!$U$143:$FQ$143,MATCH(Cashflows[[#This Row],[MonthDate]],Cashflow!$U$7:$FQ$7,0)),"")</f>
        <v>180674762.30999997</v>
      </c>
      <c r="I99" s="226">
        <f ca="1">IFERROR(DATEVALUE(Cashflows[[#This Row],[Month]]),"")</f>
        <v>45778</v>
      </c>
      <c r="J99" s="228" t="str">
        <f ca="1">IF(EOMONTH(TODAY(),-1)+1=Cashflows[[#This Row],[MonthDate]],MAX(Cashflows[Cumulative]),"")</f>
        <v/>
      </c>
    </row>
    <row r="100" spans="1:10">
      <c r="A100" t="str">
        <f ca="1">IF(OFFSET(Cashflows[#This Row],-1,0)=Cashflows[[#Headers],[Fiscal Year]],'Target Tracking'!$E$17,IF(Cashflows[[#This Row],[Month Num]]&lt;&gt;4,OFFSET(Cashflows[#This Row],-1,0),CONCATENATE(LEFT(OFFSET(Cashflows[#This Row],-1,0),4)+1,"-",RIGHT(OFFSET(Cashflows[#This Row],-1,0),2)+1)))</f>
        <v>2025-26</v>
      </c>
      <c r="B100">
        <f ca="1">IF(OFFSET(Cashflows[#This Row],-1,0)=Cashflows[[#Headers],[Month Num]],4,MONTH(EDATE(DATE(2000,OFFSET(Cashflows[#This Row],-1,0),1),1)))</f>
        <v>6</v>
      </c>
      <c r="C100" t="str">
        <f ca="1">IF(IFERROR(INDEX('Target Tracking'!$19:$19,,MATCH(Cashflows[[#This Row],[Fiscal Year]],'Target Tracking'!$17:$17,0)),0)&gt;0,TEXT(DATE(IF(Cashflows[[#This Row],[Month Num]]&gt;=4,LEFT(Cashflows[[#This Row],[Fiscal Year]],4),"20" &amp; RIGHT(Cashflows[[#This Row],[Fiscal Year]],2)),Cashflows[[#This Row],[Month Num]],1),"mmm yyyy"),"")</f>
        <v>Jun 2025</v>
      </c>
      <c r="D100">
        <f ca="1">IF(Cashflows[[#This Row],[Month Num]]=4,-12,OFFSET(Cashflows[#This Row],-1,0)+1)</f>
        <v>-10</v>
      </c>
      <c r="E100">
        <f ca="1">IF(Cashflows[[#This Row],[Month]]="","",IFERROR(OFFSET(INDEX(OFFSET(Cashflow!$U$7,0,0,,CELL("col",CWS_Total) - CELL("col",Cashflow!$U$7)),MATCH(Cashflows[[#This Row],[MonthDate]],OFFSET(Cashflow!$U$7,0,0,,CELL("col",CWS_Total) - CELL("col",Cashflow!$U$7)),0)),MATCH("Total",Cashflow!$B:$B,0)-7,0),0))</f>
        <v>119000</v>
      </c>
      <c r="F100" s="228">
        <f ca="1">IFERROR(Cashflows[[#This Row],[Cashflow]]+IF(OFFSET(Cashflows[#This Row],-1,0)=Cashflows[[#Headers],[Cumulative]],0,IF(OFFSET(Cashflows[#This Row],-1,0)="",0,OFFSET(Cashflows[#This Row],-1,0))),"")</f>
        <v>182838549.91</v>
      </c>
      <c r="G100" s="228">
        <f ca="1">IF(Cashflows[[#This Row],[MonthDate]]&lt;&gt;"",INDEX(Cashflow!$U$142:$FQ$142,MATCH(Cashflows[[#This Row],[MonthDate]],Cashflow!$U$7:$FQ$7,0)),"")</f>
        <v>0</v>
      </c>
      <c r="H100" s="228">
        <f ca="1">IF(Cashflows[[#This Row],[MonthDate]]&lt;&gt;"",INDEX(Cashflow!$U$143:$FQ$143,MATCH(Cashflows[[#This Row],[MonthDate]],Cashflow!$U$7:$FQ$7,0)),"")</f>
        <v>180674762.30999997</v>
      </c>
      <c r="I100" s="226">
        <f ca="1">IFERROR(DATEVALUE(Cashflows[[#This Row],[Month]]),"")</f>
        <v>45809</v>
      </c>
      <c r="J100" s="228">
        <f ca="1">IF(EOMONTH(TODAY(),-1)+1=Cashflows[[#This Row],[MonthDate]],MAX(Cashflows[Cumulative]),"")</f>
        <v>191099999.88</v>
      </c>
    </row>
    <row r="101" spans="1:10">
      <c r="A101" t="str">
        <f ca="1">IF(OFFSET(Cashflows[#This Row],-1,0)=Cashflows[[#Headers],[Fiscal Year]],'Target Tracking'!$E$17,IF(Cashflows[[#This Row],[Month Num]]&lt;&gt;4,OFFSET(Cashflows[#This Row],-1,0),CONCATENATE(LEFT(OFFSET(Cashflows[#This Row],-1,0),4)+1,"-",RIGHT(OFFSET(Cashflows[#This Row],-1,0),2)+1)))</f>
        <v>2025-26</v>
      </c>
      <c r="B101">
        <f ca="1">IF(OFFSET(Cashflows[#This Row],-1,0)=Cashflows[[#Headers],[Month Num]],4,MONTH(EDATE(DATE(2000,OFFSET(Cashflows[#This Row],-1,0),1),1)))</f>
        <v>7</v>
      </c>
      <c r="C101" t="str">
        <f ca="1">IF(IFERROR(INDEX('Target Tracking'!$19:$19,,MATCH(Cashflows[[#This Row],[Fiscal Year]],'Target Tracking'!$17:$17,0)),0)&gt;0,TEXT(DATE(IF(Cashflows[[#This Row],[Month Num]]&gt;=4,LEFT(Cashflows[[#This Row],[Fiscal Year]],4),"20" &amp; RIGHT(Cashflows[[#This Row],[Fiscal Year]],2)),Cashflows[[#This Row],[Month Num]],1),"mmm yyyy"),"")</f>
        <v>Jul 2025</v>
      </c>
      <c r="D101">
        <f ca="1">IF(Cashflows[[#This Row],[Month Num]]=4,-12,OFFSET(Cashflows[#This Row],-1,0)+1)</f>
        <v>-9</v>
      </c>
      <c r="E101">
        <f ca="1">IF(Cashflows[[#This Row],[Month]]="","",IFERROR(OFFSET(INDEX(OFFSET(Cashflow!$U$7,0,0,,CELL("col",CWS_Total) - CELL("col",Cashflow!$U$7)),MATCH(Cashflows[[#This Row],[MonthDate]],OFFSET(Cashflow!$U$7,0,0,,CELL("col",CWS_Total) - CELL("col",Cashflow!$U$7)),0)),MATCH("Total",Cashflow!$B:$B,0)-7,0),0))</f>
        <v>492748</v>
      </c>
      <c r="F101" s="228">
        <f ca="1">IFERROR(Cashflows[[#This Row],[Cashflow]]+IF(OFFSET(Cashflows[#This Row],-1,0)=Cashflows[[#Headers],[Cumulative]],0,IF(OFFSET(Cashflows[#This Row],-1,0)="",0,OFFSET(Cashflows[#This Row],-1,0))),"")</f>
        <v>183331297.91</v>
      </c>
      <c r="G101" s="228">
        <f ca="1">IF(Cashflows[[#This Row],[MonthDate]]&lt;&gt;"",INDEX(Cashflow!$U$142:$FQ$142,MATCH(Cashflows[[#This Row],[MonthDate]],Cashflow!$U$7:$FQ$7,0)),"")</f>
        <v>0</v>
      </c>
      <c r="H101" s="228">
        <f ca="1">IF(Cashflows[[#This Row],[MonthDate]]&lt;&gt;"",INDEX(Cashflow!$U$143:$FQ$143,MATCH(Cashflows[[#This Row],[MonthDate]],Cashflow!$U$7:$FQ$7,0)),"")</f>
        <v>180674762.30999997</v>
      </c>
      <c r="I101" s="226">
        <f ca="1">IFERROR(DATEVALUE(Cashflows[[#This Row],[Month]]),"")</f>
        <v>45839</v>
      </c>
      <c r="J101" s="228" t="str">
        <f ca="1">IF(EOMONTH(TODAY(),-1)+1=Cashflows[[#This Row],[MonthDate]],MAX(Cashflows[Cumulative]),"")</f>
        <v/>
      </c>
    </row>
    <row r="102" spans="1:10">
      <c r="A102" t="str">
        <f ca="1">IF(OFFSET(Cashflows[#This Row],-1,0)=Cashflows[[#Headers],[Fiscal Year]],'Target Tracking'!$E$17,IF(Cashflows[[#This Row],[Month Num]]&lt;&gt;4,OFFSET(Cashflows[#This Row],-1,0),CONCATENATE(LEFT(OFFSET(Cashflows[#This Row],-1,0),4)+1,"-",RIGHT(OFFSET(Cashflows[#This Row],-1,0),2)+1)))</f>
        <v>2025-26</v>
      </c>
      <c r="B102">
        <f ca="1">IF(OFFSET(Cashflows[#This Row],-1,0)=Cashflows[[#Headers],[Month Num]],4,MONTH(EDATE(DATE(2000,OFFSET(Cashflows[#This Row],-1,0),1),1)))</f>
        <v>8</v>
      </c>
      <c r="C102" t="str">
        <f ca="1">IF(IFERROR(INDEX('Target Tracking'!$19:$19,,MATCH(Cashflows[[#This Row],[Fiscal Year]],'Target Tracking'!$17:$17,0)),0)&gt;0,TEXT(DATE(IF(Cashflows[[#This Row],[Month Num]]&gt;=4,LEFT(Cashflows[[#This Row],[Fiscal Year]],4),"20" &amp; RIGHT(Cashflows[[#This Row],[Fiscal Year]],2)),Cashflows[[#This Row],[Month Num]],1),"mmm yyyy"),"")</f>
        <v>Aug 2025</v>
      </c>
      <c r="D102">
        <f ca="1">IF(Cashflows[[#This Row],[Month Num]]=4,-12,OFFSET(Cashflows[#This Row],-1,0)+1)</f>
        <v>-8</v>
      </c>
      <c r="E102">
        <f ca="1">IF(Cashflows[[#This Row],[Month]]="","",IFERROR(OFFSET(INDEX(OFFSET(Cashflow!$U$7,0,0,,CELL("col",CWS_Total) - CELL("col",Cashflow!$U$7)),MATCH(Cashflows[[#This Row],[MonthDate]],OFFSET(Cashflow!$U$7,0,0,,CELL("col",CWS_Total) - CELL("col",Cashflow!$U$7)),0)),MATCH("Total",Cashflow!$B:$B,0)-7,0),0))</f>
        <v>324210.90999999997</v>
      </c>
      <c r="F102" s="228">
        <f ca="1">IFERROR(Cashflows[[#This Row],[Cashflow]]+IF(OFFSET(Cashflows[#This Row],-1,0)=Cashflows[[#Headers],[Cumulative]],0,IF(OFFSET(Cashflows[#This Row],-1,0)="",0,OFFSET(Cashflows[#This Row],-1,0))),"")</f>
        <v>183655508.81999999</v>
      </c>
      <c r="G102" s="228">
        <f ca="1">IF(Cashflows[[#This Row],[MonthDate]]&lt;&gt;"",INDEX(Cashflow!$U$142:$FQ$142,MATCH(Cashflows[[#This Row],[MonthDate]],Cashflow!$U$7:$FQ$7,0)),"")</f>
        <v>0</v>
      </c>
      <c r="H102" s="228">
        <f ca="1">IF(Cashflows[[#This Row],[MonthDate]]&lt;&gt;"",INDEX(Cashflow!$U$143:$FQ$143,MATCH(Cashflows[[#This Row],[MonthDate]],Cashflow!$U$7:$FQ$7,0)),"")</f>
        <v>180674762.30999997</v>
      </c>
      <c r="I102" s="226">
        <f ca="1">IFERROR(DATEVALUE(Cashflows[[#This Row],[Month]]),"")</f>
        <v>45870</v>
      </c>
      <c r="J102" s="228" t="str">
        <f ca="1">IF(EOMONTH(TODAY(),-1)+1=Cashflows[[#This Row],[MonthDate]],MAX(Cashflows[Cumulative]),"")</f>
        <v/>
      </c>
    </row>
    <row r="103" spans="1:10">
      <c r="A103" t="str">
        <f ca="1">IF(OFFSET(Cashflows[#This Row],-1,0)=Cashflows[[#Headers],[Fiscal Year]],'Target Tracking'!$E$17,IF(Cashflows[[#This Row],[Month Num]]&lt;&gt;4,OFFSET(Cashflows[#This Row],-1,0),CONCATENATE(LEFT(OFFSET(Cashflows[#This Row],-1,0),4)+1,"-",RIGHT(OFFSET(Cashflows[#This Row],-1,0),2)+1)))</f>
        <v>2025-26</v>
      </c>
      <c r="B103">
        <f ca="1">IF(OFFSET(Cashflows[#This Row],-1,0)=Cashflows[[#Headers],[Month Num]],4,MONTH(EDATE(DATE(2000,OFFSET(Cashflows[#This Row],-1,0),1),1)))</f>
        <v>9</v>
      </c>
      <c r="C103" t="str">
        <f ca="1">IF(IFERROR(INDEX('Target Tracking'!$19:$19,,MATCH(Cashflows[[#This Row],[Fiscal Year]],'Target Tracking'!$17:$17,0)),0)&gt;0,TEXT(DATE(IF(Cashflows[[#This Row],[Month Num]]&gt;=4,LEFT(Cashflows[[#This Row],[Fiscal Year]],4),"20" &amp; RIGHT(Cashflows[[#This Row],[Fiscal Year]],2)),Cashflows[[#This Row],[Month Num]],1),"mmm yyyy"),"")</f>
        <v>Sep 2025</v>
      </c>
      <c r="D103">
        <f ca="1">IF(Cashflows[[#This Row],[Month Num]]=4,-12,OFFSET(Cashflows[#This Row],-1,0)+1)</f>
        <v>-7</v>
      </c>
      <c r="E103">
        <f ca="1">IF(Cashflows[[#This Row],[Month]]="","",IFERROR(OFFSET(INDEX(OFFSET(Cashflow!$U$7,0,0,,CELL("col",CWS_Total) - CELL("col",Cashflow!$U$7)),MATCH(Cashflows[[#This Row],[MonthDate]],OFFSET(Cashflow!$U$7,0,0,,CELL("col",CWS_Total) - CELL("col",Cashflow!$U$7)),0)),MATCH("Total",Cashflow!$B:$B,0)-7,0),0))</f>
        <v>58803</v>
      </c>
      <c r="F103" s="228">
        <f ca="1">IFERROR(Cashflows[[#This Row],[Cashflow]]+IF(OFFSET(Cashflows[#This Row],-1,0)=Cashflows[[#Headers],[Cumulative]],0,IF(OFFSET(Cashflows[#This Row],-1,0)="",0,OFFSET(Cashflows[#This Row],-1,0))),"")</f>
        <v>183714311.81999999</v>
      </c>
      <c r="G103" s="228">
        <f ca="1">IF(Cashflows[[#This Row],[MonthDate]]&lt;&gt;"",INDEX(Cashflow!$U$142:$FQ$142,MATCH(Cashflows[[#This Row],[MonthDate]],Cashflow!$U$7:$FQ$7,0)),"")</f>
        <v>0</v>
      </c>
      <c r="H103" s="228">
        <f ca="1">IF(Cashflows[[#This Row],[MonthDate]]&lt;&gt;"",INDEX(Cashflow!$U$143:$FQ$143,MATCH(Cashflows[[#This Row],[MonthDate]],Cashflow!$U$7:$FQ$7,0)),"")</f>
        <v>180674762.30999997</v>
      </c>
      <c r="I103" s="226">
        <f ca="1">IFERROR(DATEVALUE(Cashflows[[#This Row],[Month]]),"")</f>
        <v>45901</v>
      </c>
      <c r="J103" s="228" t="str">
        <f ca="1">IF(EOMONTH(TODAY(),-1)+1=Cashflows[[#This Row],[MonthDate]],MAX(Cashflows[Cumulative]),"")</f>
        <v/>
      </c>
    </row>
    <row r="104" spans="1:10">
      <c r="A104" t="str">
        <f ca="1">IF(OFFSET(Cashflows[#This Row],-1,0)=Cashflows[[#Headers],[Fiscal Year]],'Target Tracking'!$E$17,IF(Cashflows[[#This Row],[Month Num]]&lt;&gt;4,OFFSET(Cashflows[#This Row],-1,0),CONCATENATE(LEFT(OFFSET(Cashflows[#This Row],-1,0),4)+1,"-",RIGHT(OFFSET(Cashflows[#This Row],-1,0),2)+1)))</f>
        <v>2025-26</v>
      </c>
      <c r="B104">
        <f ca="1">IF(OFFSET(Cashflows[#This Row],-1,0)=Cashflows[[#Headers],[Month Num]],4,MONTH(EDATE(DATE(2000,OFFSET(Cashflows[#This Row],-1,0),1),1)))</f>
        <v>10</v>
      </c>
      <c r="C104" t="str">
        <f ca="1">IF(IFERROR(INDEX('Target Tracking'!$19:$19,,MATCH(Cashflows[[#This Row],[Fiscal Year]],'Target Tracking'!$17:$17,0)),0)&gt;0,TEXT(DATE(IF(Cashflows[[#This Row],[Month Num]]&gt;=4,LEFT(Cashflows[[#This Row],[Fiscal Year]],4),"20" &amp; RIGHT(Cashflows[[#This Row],[Fiscal Year]],2)),Cashflows[[#This Row],[Month Num]],1),"mmm yyyy"),"")</f>
        <v>Oct 2025</v>
      </c>
      <c r="D104">
        <f ca="1">IF(Cashflows[[#This Row],[Month Num]]=4,-12,OFFSET(Cashflows[#This Row],-1,0)+1)</f>
        <v>-6</v>
      </c>
      <c r="E104">
        <f ca="1">IF(Cashflows[[#This Row],[Month]]="","",IFERROR(OFFSET(INDEX(OFFSET(Cashflow!$U$7,0,0,,CELL("col",CWS_Total) - CELL("col",Cashflow!$U$7)),MATCH(Cashflows[[#This Row],[MonthDate]],OFFSET(Cashflow!$U$7,0,0,,CELL("col",CWS_Total) - CELL("col",Cashflow!$U$7)),0)),MATCH("Total",Cashflow!$B:$B,0)-7,0),0))</f>
        <v>18402.14</v>
      </c>
      <c r="F104" s="228">
        <f ca="1">IFERROR(Cashflows[[#This Row],[Cashflow]]+IF(OFFSET(Cashflows[#This Row],-1,0)=Cashflows[[#Headers],[Cumulative]],0,IF(OFFSET(Cashflows[#This Row],-1,0)="",0,OFFSET(Cashflows[#This Row],-1,0))),"")</f>
        <v>183732713.95999998</v>
      </c>
      <c r="G104" s="228">
        <f ca="1">IF(Cashflows[[#This Row],[MonthDate]]&lt;&gt;"",INDEX(Cashflow!$U$142:$FQ$142,MATCH(Cashflows[[#This Row],[MonthDate]],Cashflow!$U$7:$FQ$7,0)),"")</f>
        <v>0</v>
      </c>
      <c r="H104" s="228">
        <f ca="1">IF(Cashflows[[#This Row],[MonthDate]]&lt;&gt;"",INDEX(Cashflow!$U$143:$FQ$143,MATCH(Cashflows[[#This Row],[MonthDate]],Cashflow!$U$7:$FQ$7,0)),"")</f>
        <v>180674762.30999997</v>
      </c>
      <c r="I104" s="226">
        <f ca="1">IFERROR(DATEVALUE(Cashflows[[#This Row],[Month]]),"")</f>
        <v>45931</v>
      </c>
      <c r="J104" s="228" t="str">
        <f ca="1">IF(EOMONTH(TODAY(),-1)+1=Cashflows[[#This Row],[MonthDate]],MAX(Cashflows[Cumulative]),"")</f>
        <v/>
      </c>
    </row>
    <row r="105" spans="1:10">
      <c r="A105" t="str">
        <f ca="1">IF(OFFSET(Cashflows[#This Row],-1,0)=Cashflows[[#Headers],[Fiscal Year]],'Target Tracking'!$E$17,IF(Cashflows[[#This Row],[Month Num]]&lt;&gt;4,OFFSET(Cashflows[#This Row],-1,0),CONCATENATE(LEFT(OFFSET(Cashflows[#This Row],-1,0),4)+1,"-",RIGHT(OFFSET(Cashflows[#This Row],-1,0),2)+1)))</f>
        <v>2025-26</v>
      </c>
      <c r="B105">
        <f ca="1">IF(OFFSET(Cashflows[#This Row],-1,0)=Cashflows[[#Headers],[Month Num]],4,MONTH(EDATE(DATE(2000,OFFSET(Cashflows[#This Row],-1,0),1),1)))</f>
        <v>11</v>
      </c>
      <c r="C105" t="str">
        <f ca="1">IF(IFERROR(INDEX('Target Tracking'!$19:$19,,MATCH(Cashflows[[#This Row],[Fiscal Year]],'Target Tracking'!$17:$17,0)),0)&gt;0,TEXT(DATE(IF(Cashflows[[#This Row],[Month Num]]&gt;=4,LEFT(Cashflows[[#This Row],[Fiscal Year]],4),"20" &amp; RIGHT(Cashflows[[#This Row],[Fiscal Year]],2)),Cashflows[[#This Row],[Month Num]],1),"mmm yyyy"),"")</f>
        <v>Nov 2025</v>
      </c>
      <c r="D105">
        <f ca="1">IF(Cashflows[[#This Row],[Month Num]]=4,-12,OFFSET(Cashflows[#This Row],-1,0)+1)</f>
        <v>-5</v>
      </c>
      <c r="E105">
        <f ca="1">IF(Cashflows[[#This Row],[Month]]="","",IFERROR(OFFSET(INDEX(OFFSET(Cashflow!$U$7,0,0,,CELL("col",CWS_Total) - CELL("col",Cashflow!$U$7)),MATCH(Cashflows[[#This Row],[MonthDate]],OFFSET(Cashflow!$U$7,0,0,,CELL("col",CWS_Total) - CELL("col",Cashflow!$U$7)),0)),MATCH("Total",Cashflow!$B:$B,0)-7,0),0))</f>
        <v>0</v>
      </c>
      <c r="F105" s="228">
        <f ca="1">IFERROR(Cashflows[[#This Row],[Cashflow]]+IF(OFFSET(Cashflows[#This Row],-1,0)=Cashflows[[#Headers],[Cumulative]],0,IF(OFFSET(Cashflows[#This Row],-1,0)="",0,OFFSET(Cashflows[#This Row],-1,0))),"")</f>
        <v>183732713.95999998</v>
      </c>
      <c r="G105" s="228">
        <f ca="1">IF(Cashflows[[#This Row],[MonthDate]]&lt;&gt;"",INDEX(Cashflow!$U$142:$FQ$142,MATCH(Cashflows[[#This Row],[MonthDate]],Cashflow!$U$7:$FQ$7,0)),"")</f>
        <v>0</v>
      </c>
      <c r="H105" s="228">
        <f ca="1">IF(Cashflows[[#This Row],[MonthDate]]&lt;&gt;"",INDEX(Cashflow!$U$143:$FQ$143,MATCH(Cashflows[[#This Row],[MonthDate]],Cashflow!$U$7:$FQ$7,0)),"")</f>
        <v>180674762.30999997</v>
      </c>
      <c r="I105" s="226">
        <f ca="1">IFERROR(DATEVALUE(Cashflows[[#This Row],[Month]]),"")</f>
        <v>45962</v>
      </c>
      <c r="J105" s="228" t="str">
        <f ca="1">IF(EOMONTH(TODAY(),-1)+1=Cashflows[[#This Row],[MonthDate]],MAX(Cashflows[Cumulative]),"")</f>
        <v/>
      </c>
    </row>
    <row r="106" spans="1:10">
      <c r="A106" t="str">
        <f ca="1">IF(OFFSET(Cashflows[#This Row],-1,0)=Cashflows[[#Headers],[Fiscal Year]],'Target Tracking'!$E$17,IF(Cashflows[[#This Row],[Month Num]]&lt;&gt;4,OFFSET(Cashflows[#This Row],-1,0),CONCATENATE(LEFT(OFFSET(Cashflows[#This Row],-1,0),4)+1,"-",RIGHT(OFFSET(Cashflows[#This Row],-1,0),2)+1)))</f>
        <v>2025-26</v>
      </c>
      <c r="B106">
        <f ca="1">IF(OFFSET(Cashflows[#This Row],-1,0)=Cashflows[[#Headers],[Month Num]],4,MONTH(EDATE(DATE(2000,OFFSET(Cashflows[#This Row],-1,0),1),1)))</f>
        <v>12</v>
      </c>
      <c r="C106" t="str">
        <f ca="1">IF(IFERROR(INDEX('Target Tracking'!$19:$19,,MATCH(Cashflows[[#This Row],[Fiscal Year]],'Target Tracking'!$17:$17,0)),0)&gt;0,TEXT(DATE(IF(Cashflows[[#This Row],[Month Num]]&gt;=4,LEFT(Cashflows[[#This Row],[Fiscal Year]],4),"20" &amp; RIGHT(Cashflows[[#This Row],[Fiscal Year]],2)),Cashflows[[#This Row],[Month Num]],1),"mmm yyyy"),"")</f>
        <v>Dec 2025</v>
      </c>
      <c r="D106">
        <f ca="1">IF(Cashflows[[#This Row],[Month Num]]=4,-12,OFFSET(Cashflows[#This Row],-1,0)+1)</f>
        <v>-4</v>
      </c>
      <c r="E106">
        <f ca="1">IF(Cashflows[[#This Row],[Month]]="","",IFERROR(OFFSET(INDEX(OFFSET(Cashflow!$U$7,0,0,,CELL("col",CWS_Total) - CELL("col",Cashflow!$U$7)),MATCH(Cashflows[[#This Row],[MonthDate]],OFFSET(Cashflow!$U$7,0,0,,CELL("col",CWS_Total) - CELL("col",Cashflow!$U$7)),0)),MATCH("Total",Cashflow!$B:$B,0)-7,0),0))</f>
        <v>0</v>
      </c>
      <c r="F106" s="228">
        <f ca="1">IFERROR(Cashflows[[#This Row],[Cashflow]]+IF(OFFSET(Cashflows[#This Row],-1,0)=Cashflows[[#Headers],[Cumulative]],0,IF(OFFSET(Cashflows[#This Row],-1,0)="",0,OFFSET(Cashflows[#This Row],-1,0))),"")</f>
        <v>183732713.95999998</v>
      </c>
      <c r="G106" s="228">
        <f ca="1">IF(Cashflows[[#This Row],[MonthDate]]&lt;&gt;"",INDEX(Cashflow!$U$142:$FQ$142,MATCH(Cashflows[[#This Row],[MonthDate]],Cashflow!$U$7:$FQ$7,0)),"")</f>
        <v>0</v>
      </c>
      <c r="H106" s="228">
        <f ca="1">IF(Cashflows[[#This Row],[MonthDate]]&lt;&gt;"",INDEX(Cashflow!$U$143:$FQ$143,MATCH(Cashflows[[#This Row],[MonthDate]],Cashflow!$U$7:$FQ$7,0)),"")</f>
        <v>180674762.30999997</v>
      </c>
      <c r="I106" s="226">
        <f ca="1">IFERROR(DATEVALUE(Cashflows[[#This Row],[Month]]),"")</f>
        <v>45992</v>
      </c>
      <c r="J106" s="228" t="str">
        <f ca="1">IF(EOMONTH(TODAY(),-1)+1=Cashflows[[#This Row],[MonthDate]],MAX(Cashflows[Cumulative]),"")</f>
        <v/>
      </c>
    </row>
    <row r="107" spans="1:10">
      <c r="A107" t="str">
        <f ca="1">IF(OFFSET(Cashflows[#This Row],-1,0)=Cashflows[[#Headers],[Fiscal Year]],'Target Tracking'!$E$17,IF(Cashflows[[#This Row],[Month Num]]&lt;&gt;4,OFFSET(Cashflows[#This Row],-1,0),CONCATENATE(LEFT(OFFSET(Cashflows[#This Row],-1,0),4)+1,"-",RIGHT(OFFSET(Cashflows[#This Row],-1,0),2)+1)))</f>
        <v>2025-26</v>
      </c>
      <c r="B107">
        <f ca="1">IF(OFFSET(Cashflows[#This Row],-1,0)=Cashflows[[#Headers],[Month Num]],4,MONTH(EDATE(DATE(2000,OFFSET(Cashflows[#This Row],-1,0),1),1)))</f>
        <v>1</v>
      </c>
      <c r="C107" t="str">
        <f ca="1">IF(IFERROR(INDEX('Target Tracking'!$19:$19,,MATCH(Cashflows[[#This Row],[Fiscal Year]],'Target Tracking'!$17:$17,0)),0)&gt;0,TEXT(DATE(IF(Cashflows[[#This Row],[Month Num]]&gt;=4,LEFT(Cashflows[[#This Row],[Fiscal Year]],4),"20" &amp; RIGHT(Cashflows[[#This Row],[Fiscal Year]],2)),Cashflows[[#This Row],[Month Num]],1),"mmm yyyy"),"")</f>
        <v>Jan 2026</v>
      </c>
      <c r="D107">
        <f ca="1">IF(Cashflows[[#This Row],[Month Num]]=4,-12,OFFSET(Cashflows[#This Row],-1,0)+1)</f>
        <v>-3</v>
      </c>
      <c r="E107">
        <f ca="1">IF(Cashflows[[#This Row],[Month]]="","",IFERROR(OFFSET(INDEX(OFFSET(Cashflow!$U$7,0,0,,CELL("col",CWS_Total) - CELL("col",Cashflow!$U$7)),MATCH(Cashflows[[#This Row],[MonthDate]],OFFSET(Cashflow!$U$7,0,0,,CELL("col",CWS_Total) - CELL("col",Cashflow!$U$7)),0)),MATCH("Total",Cashflow!$B:$B,0)-7,0),0))</f>
        <v>0</v>
      </c>
      <c r="F107" s="228">
        <f ca="1">IFERROR(Cashflows[[#This Row],[Cashflow]]+IF(OFFSET(Cashflows[#This Row],-1,0)=Cashflows[[#Headers],[Cumulative]],0,IF(OFFSET(Cashflows[#This Row],-1,0)="",0,OFFSET(Cashflows[#This Row],-1,0))),"")</f>
        <v>183732713.95999998</v>
      </c>
      <c r="G107" s="228">
        <f ca="1">IF(Cashflows[[#This Row],[MonthDate]]&lt;&gt;"",INDEX(Cashflow!$U$142:$FQ$142,MATCH(Cashflows[[#This Row],[MonthDate]],Cashflow!$U$7:$FQ$7,0)),"")</f>
        <v>0</v>
      </c>
      <c r="H107" s="228">
        <f ca="1">IF(Cashflows[[#This Row],[MonthDate]]&lt;&gt;"",INDEX(Cashflow!$U$143:$FQ$143,MATCH(Cashflows[[#This Row],[MonthDate]],Cashflow!$U$7:$FQ$7,0)),"")</f>
        <v>180674762.30999997</v>
      </c>
      <c r="I107" s="226">
        <f ca="1">IFERROR(DATEVALUE(Cashflows[[#This Row],[Month]]),"")</f>
        <v>46023</v>
      </c>
      <c r="J107" s="228" t="str">
        <f ca="1">IF(EOMONTH(TODAY(),-1)+1=Cashflows[[#This Row],[MonthDate]],MAX(Cashflows[Cumulative]),"")</f>
        <v/>
      </c>
    </row>
    <row r="108" spans="1:10">
      <c r="A108" t="str">
        <f ca="1">IF(OFFSET(Cashflows[#This Row],-1,0)=Cashflows[[#Headers],[Fiscal Year]],'Target Tracking'!$E$17,IF(Cashflows[[#This Row],[Month Num]]&lt;&gt;4,OFFSET(Cashflows[#This Row],-1,0),CONCATENATE(LEFT(OFFSET(Cashflows[#This Row],-1,0),4)+1,"-",RIGHT(OFFSET(Cashflows[#This Row],-1,0),2)+1)))</f>
        <v>2025-26</v>
      </c>
      <c r="B108">
        <f ca="1">IF(OFFSET(Cashflows[#This Row],-1,0)=Cashflows[[#Headers],[Month Num]],4,MONTH(EDATE(DATE(2000,OFFSET(Cashflows[#This Row],-1,0),1),1)))</f>
        <v>2</v>
      </c>
      <c r="C108" t="str">
        <f ca="1">IF(IFERROR(INDEX('Target Tracking'!$19:$19,,MATCH(Cashflows[[#This Row],[Fiscal Year]],'Target Tracking'!$17:$17,0)),0)&gt;0,TEXT(DATE(IF(Cashflows[[#This Row],[Month Num]]&gt;=4,LEFT(Cashflows[[#This Row],[Fiscal Year]],4),"20" &amp; RIGHT(Cashflows[[#This Row],[Fiscal Year]],2)),Cashflows[[#This Row],[Month Num]],1),"mmm yyyy"),"")</f>
        <v>Feb 2026</v>
      </c>
      <c r="D108">
        <f ca="1">IF(Cashflows[[#This Row],[Month Num]]=4,-12,OFFSET(Cashflows[#This Row],-1,0)+1)</f>
        <v>-2</v>
      </c>
      <c r="E108">
        <f ca="1">IF(Cashflows[[#This Row],[Month]]="","",IFERROR(OFFSET(INDEX(OFFSET(Cashflow!$U$7,0,0,,CELL("col",CWS_Total) - CELL("col",Cashflow!$U$7)),MATCH(Cashflows[[#This Row],[MonthDate]],OFFSET(Cashflow!$U$7,0,0,,CELL("col",CWS_Total) - CELL("col",Cashflow!$U$7)),0)),MATCH("Total",Cashflow!$B:$B,0)-7,0),0))</f>
        <v>0</v>
      </c>
      <c r="F108" s="228">
        <f ca="1">IFERROR(Cashflows[[#This Row],[Cashflow]]+IF(OFFSET(Cashflows[#This Row],-1,0)=Cashflows[[#Headers],[Cumulative]],0,IF(OFFSET(Cashflows[#This Row],-1,0)="",0,OFFSET(Cashflows[#This Row],-1,0))),"")</f>
        <v>183732713.95999998</v>
      </c>
      <c r="G108" s="228">
        <f ca="1">IF(Cashflows[[#This Row],[MonthDate]]&lt;&gt;"",INDEX(Cashflow!$U$142:$FQ$142,MATCH(Cashflows[[#This Row],[MonthDate]],Cashflow!$U$7:$FQ$7,0)),"")</f>
        <v>0</v>
      </c>
      <c r="H108" s="228">
        <f ca="1">IF(Cashflows[[#This Row],[MonthDate]]&lt;&gt;"",INDEX(Cashflow!$U$143:$FQ$143,MATCH(Cashflows[[#This Row],[MonthDate]],Cashflow!$U$7:$FQ$7,0)),"")</f>
        <v>180674762.30999997</v>
      </c>
      <c r="I108" s="226">
        <f ca="1">IFERROR(DATEVALUE(Cashflows[[#This Row],[Month]]),"")</f>
        <v>46054</v>
      </c>
      <c r="J108" s="228" t="str">
        <f ca="1">IF(EOMONTH(TODAY(),-1)+1=Cashflows[[#This Row],[MonthDate]],MAX(Cashflows[Cumulative]),"")</f>
        <v/>
      </c>
    </row>
    <row r="109" spans="1:10">
      <c r="A109" t="str">
        <f ca="1">IF(OFFSET(Cashflows[#This Row],-1,0)=Cashflows[[#Headers],[Fiscal Year]],'Target Tracking'!$E$17,IF(Cashflows[[#This Row],[Month Num]]&lt;&gt;4,OFFSET(Cashflows[#This Row],-1,0),CONCATENATE(LEFT(OFFSET(Cashflows[#This Row],-1,0),4)+1,"-",RIGHT(OFFSET(Cashflows[#This Row],-1,0),2)+1)))</f>
        <v>2025-26</v>
      </c>
      <c r="B109">
        <f ca="1">IF(OFFSET(Cashflows[#This Row],-1,0)=Cashflows[[#Headers],[Month Num]],4,MONTH(EDATE(DATE(2000,OFFSET(Cashflows[#This Row],-1,0),1),1)))</f>
        <v>3</v>
      </c>
      <c r="C109" t="str">
        <f ca="1">IF(IFERROR(INDEX('Target Tracking'!$19:$19,,MATCH(Cashflows[[#This Row],[Fiscal Year]],'Target Tracking'!$17:$17,0)),0)&gt;0,TEXT(DATE(IF(Cashflows[[#This Row],[Month Num]]&gt;=4,LEFT(Cashflows[[#This Row],[Fiscal Year]],4),"20" &amp; RIGHT(Cashflows[[#This Row],[Fiscal Year]],2)),Cashflows[[#This Row],[Month Num]],1),"mmm yyyy"),"")</f>
        <v>Mar 2026</v>
      </c>
      <c r="D109">
        <f ca="1">IF(Cashflows[[#This Row],[Month Num]]=4,-12,OFFSET(Cashflows[#This Row],-1,0)+1)</f>
        <v>-1</v>
      </c>
      <c r="E109">
        <f ca="1">IF(Cashflows[[#This Row],[Month]]="","",IFERROR(OFFSET(INDEX(OFFSET(Cashflow!$U$7,0,0,,CELL("col",CWS_Total) - CELL("col",Cashflow!$U$7)),MATCH(Cashflows[[#This Row],[MonthDate]],OFFSET(Cashflow!$U$7,0,0,,CELL("col",CWS_Total) - CELL("col",Cashflow!$U$7)),0)),MATCH("Total",Cashflow!$B:$B,0)-7,0),0))</f>
        <v>230055.96</v>
      </c>
      <c r="F109" s="228">
        <f ca="1">IFERROR(Cashflows[[#This Row],[Cashflow]]+IF(OFFSET(Cashflows[#This Row],-1,0)=Cashflows[[#Headers],[Cumulative]],0,IF(OFFSET(Cashflows[#This Row],-1,0)="",0,OFFSET(Cashflows[#This Row],-1,0))),"")</f>
        <v>183962769.91999999</v>
      </c>
      <c r="G109" s="228">
        <f ca="1">IF(Cashflows[[#This Row],[MonthDate]]&lt;&gt;"",INDEX(Cashflow!$U$142:$FQ$142,MATCH(Cashflows[[#This Row],[MonthDate]],Cashflow!$U$7:$FQ$7,0)),"")</f>
        <v>3000000</v>
      </c>
      <c r="H109" s="228">
        <f ca="1">IF(Cashflows[[#This Row],[MonthDate]]&lt;&gt;"",INDEX(Cashflow!$U$143:$FQ$143,MATCH(Cashflows[[#This Row],[MonthDate]],Cashflow!$U$7:$FQ$7,0)),"")</f>
        <v>183674762.30999997</v>
      </c>
      <c r="I109" s="226">
        <f ca="1">IFERROR(DATEVALUE(Cashflows[[#This Row],[Month]]),"")</f>
        <v>46082</v>
      </c>
      <c r="J109" s="228" t="str">
        <f ca="1">IF(EOMONTH(TODAY(),-1)+1=Cashflows[[#This Row],[MonthDate]],MAX(Cashflows[Cumulative]),"")</f>
        <v/>
      </c>
    </row>
    <row r="110" spans="1:10">
      <c r="A110" t="str">
        <f ca="1">IF(OFFSET(Cashflows[#This Row],-1,0)=Cashflows[[#Headers],[Fiscal Year]],'Target Tracking'!$E$17,IF(Cashflows[[#This Row],[Month Num]]&lt;&gt;4,OFFSET(Cashflows[#This Row],-1,0),CONCATENATE(LEFT(OFFSET(Cashflows[#This Row],-1,0),4)+1,"-",RIGHT(OFFSET(Cashflows[#This Row],-1,0),2)+1)))</f>
        <v>2026-27</v>
      </c>
      <c r="B110">
        <f ca="1">IF(OFFSET(Cashflows[#This Row],-1,0)=Cashflows[[#Headers],[Month Num]],4,MONTH(EDATE(DATE(2000,OFFSET(Cashflows[#This Row],-1,0),1),1)))</f>
        <v>4</v>
      </c>
      <c r="C110" t="str">
        <f ca="1">IF(IFERROR(INDEX('Target Tracking'!$19:$19,,MATCH(Cashflows[[#This Row],[Fiscal Year]],'Target Tracking'!$17:$17,0)),0)&gt;0,TEXT(DATE(IF(Cashflows[[#This Row],[Month Num]]&gt;=4,LEFT(Cashflows[[#This Row],[Fiscal Year]],4),"20" &amp; RIGHT(Cashflows[[#This Row],[Fiscal Year]],2)),Cashflows[[#This Row],[Month Num]],1),"mmm yyyy"),"")</f>
        <v>Apr 2026</v>
      </c>
      <c r="D110">
        <f ca="1">IF(Cashflows[[#This Row],[Month Num]]=4,-12,OFFSET(Cashflows[#This Row],-1,0)+1)</f>
        <v>-12</v>
      </c>
      <c r="E110">
        <f ca="1">IF(Cashflows[[#This Row],[Month]]="","",IFERROR(OFFSET(INDEX(OFFSET(Cashflow!$U$7,0,0,,CELL("col",CWS_Total) - CELL("col",Cashflow!$U$7)),MATCH(Cashflows[[#This Row],[MonthDate]],OFFSET(Cashflow!$U$7,0,0,,CELL("col",CWS_Total) - CELL("col",Cashflow!$U$7)),0)),MATCH("Total",Cashflow!$B:$B,0)-7,0),0))</f>
        <v>14111.53</v>
      </c>
      <c r="F110" s="228">
        <f ca="1">IFERROR(Cashflows[[#This Row],[Cashflow]]+IF(OFFSET(Cashflows[#This Row],-1,0)=Cashflows[[#Headers],[Cumulative]],0,IF(OFFSET(Cashflows[#This Row],-1,0)="",0,OFFSET(Cashflows[#This Row],-1,0))),"")</f>
        <v>183976881.44999999</v>
      </c>
      <c r="G110" s="228">
        <f ca="1">IF(Cashflows[[#This Row],[MonthDate]]&lt;&gt;"",INDEX(Cashflow!$U$142:$FQ$142,MATCH(Cashflows[[#This Row],[MonthDate]],Cashflow!$U$7:$FQ$7,0)),"")</f>
        <v>0</v>
      </c>
      <c r="H110" s="228">
        <f ca="1">IF(Cashflows[[#This Row],[MonthDate]]&lt;&gt;"",INDEX(Cashflow!$U$143:$FQ$143,MATCH(Cashflows[[#This Row],[MonthDate]],Cashflow!$U$7:$FQ$7,0)),"")</f>
        <v>183674762.30999997</v>
      </c>
      <c r="I110" s="226">
        <f ca="1">IFERROR(DATEVALUE(Cashflows[[#This Row],[Month]]),"")</f>
        <v>46113</v>
      </c>
      <c r="J110" s="228" t="str">
        <f ca="1">IF(EOMONTH(TODAY(),-1)+1=Cashflows[[#This Row],[MonthDate]],MAX(Cashflows[Cumulative]),"")</f>
        <v/>
      </c>
    </row>
    <row r="111" spans="1:10">
      <c r="A111" t="str">
        <f ca="1">IF(OFFSET(Cashflows[#This Row],-1,0)=Cashflows[[#Headers],[Fiscal Year]],'Target Tracking'!$E$17,IF(Cashflows[[#This Row],[Month Num]]&lt;&gt;4,OFFSET(Cashflows[#This Row],-1,0),CONCATENATE(LEFT(OFFSET(Cashflows[#This Row],-1,0),4)+1,"-",RIGHT(OFFSET(Cashflows[#This Row],-1,0),2)+1)))</f>
        <v>2026-27</v>
      </c>
      <c r="B111">
        <f ca="1">IF(OFFSET(Cashflows[#This Row],-1,0)=Cashflows[[#Headers],[Month Num]],4,MONTH(EDATE(DATE(2000,OFFSET(Cashflows[#This Row],-1,0),1),1)))</f>
        <v>5</v>
      </c>
      <c r="C111" t="str">
        <f ca="1">IF(IFERROR(INDEX('Target Tracking'!$19:$19,,MATCH(Cashflows[[#This Row],[Fiscal Year]],'Target Tracking'!$17:$17,0)),0)&gt;0,TEXT(DATE(IF(Cashflows[[#This Row],[Month Num]]&gt;=4,LEFT(Cashflows[[#This Row],[Fiscal Year]],4),"20" &amp; RIGHT(Cashflows[[#This Row],[Fiscal Year]],2)),Cashflows[[#This Row],[Month Num]],1),"mmm yyyy"),"")</f>
        <v>May 2026</v>
      </c>
      <c r="D111">
        <f ca="1">IF(Cashflows[[#This Row],[Month Num]]=4,-12,OFFSET(Cashflows[#This Row],-1,0)+1)</f>
        <v>-11</v>
      </c>
      <c r="E111">
        <f ca="1">IF(Cashflows[[#This Row],[Month]]="","",IFERROR(OFFSET(INDEX(OFFSET(Cashflow!$U$7,0,0,,CELL("col",CWS_Total) - CELL("col",Cashflow!$U$7)),MATCH(Cashflows[[#This Row],[MonthDate]],OFFSET(Cashflow!$U$7,0,0,,CELL("col",CWS_Total) - CELL("col",Cashflow!$U$7)),0)),MATCH("Total",Cashflow!$B:$B,0)-7,0),0))</f>
        <v>4746252.13</v>
      </c>
      <c r="F111" s="228">
        <f ca="1">IFERROR(Cashflows[[#This Row],[Cashflow]]+IF(OFFSET(Cashflows[#This Row],-1,0)=Cashflows[[#Headers],[Cumulative]],0,IF(OFFSET(Cashflows[#This Row],-1,0)="",0,OFFSET(Cashflows[#This Row],-1,0))),"")</f>
        <v>188723133.57999998</v>
      </c>
      <c r="G111" s="228">
        <f ca="1">IF(Cashflows[[#This Row],[MonthDate]]&lt;&gt;"",INDEX(Cashflow!$U$142:$FQ$142,MATCH(Cashflows[[#This Row],[MonthDate]],Cashflow!$U$7:$FQ$7,0)),"")</f>
        <v>0</v>
      </c>
      <c r="H111" s="228">
        <f ca="1">IF(Cashflows[[#This Row],[MonthDate]]&lt;&gt;"",INDEX(Cashflow!$U$143:$FQ$143,MATCH(Cashflows[[#This Row],[MonthDate]],Cashflow!$U$7:$FQ$7,0)),"")</f>
        <v>183674762.30999997</v>
      </c>
      <c r="I111" s="226">
        <f ca="1">IFERROR(DATEVALUE(Cashflows[[#This Row],[Month]]),"")</f>
        <v>46143</v>
      </c>
      <c r="J111" s="228" t="str">
        <f ca="1">IF(EOMONTH(TODAY(),-1)+1=Cashflows[[#This Row],[MonthDate]],MAX(Cashflows[Cumulative]),"")</f>
        <v/>
      </c>
    </row>
    <row r="112" spans="1:10">
      <c r="A112" t="str">
        <f ca="1">IF(OFFSET(Cashflows[#This Row],-1,0)=Cashflows[[#Headers],[Fiscal Year]],'Target Tracking'!$E$17,IF(Cashflows[[#This Row],[Month Num]]&lt;&gt;4,OFFSET(Cashflows[#This Row],-1,0),CONCATENATE(LEFT(OFFSET(Cashflows[#This Row],-1,0),4)+1,"-",RIGHT(OFFSET(Cashflows[#This Row],-1,0),2)+1)))</f>
        <v>2026-27</v>
      </c>
      <c r="B112">
        <f ca="1">IF(OFFSET(Cashflows[#This Row],-1,0)=Cashflows[[#Headers],[Month Num]],4,MONTH(EDATE(DATE(2000,OFFSET(Cashflows[#This Row],-1,0),1),1)))</f>
        <v>6</v>
      </c>
      <c r="C112" t="str">
        <f ca="1">IF(IFERROR(INDEX('Target Tracking'!$19:$19,,MATCH(Cashflows[[#This Row],[Fiscal Year]],'Target Tracking'!$17:$17,0)),0)&gt;0,TEXT(DATE(IF(Cashflows[[#This Row],[Month Num]]&gt;=4,LEFT(Cashflows[[#This Row],[Fiscal Year]],4),"20" &amp; RIGHT(Cashflows[[#This Row],[Fiscal Year]],2)),Cashflows[[#This Row],[Month Num]],1),"mmm yyyy"),"")</f>
        <v>Jun 2026</v>
      </c>
      <c r="D112">
        <f ca="1">IF(Cashflows[[#This Row],[Month Num]]=4,-12,OFFSET(Cashflows[#This Row],-1,0)+1)</f>
        <v>-10</v>
      </c>
      <c r="E112">
        <f ca="1">IF(Cashflows[[#This Row],[Month]]="","",IFERROR(OFFSET(INDEX(OFFSET(Cashflow!$U$7,0,0,,CELL("col",CWS_Total) - CELL("col",Cashflow!$U$7)),MATCH(Cashflows[[#This Row],[MonthDate]],OFFSET(Cashflow!$U$7,0,0,,CELL("col",CWS_Total) - CELL("col",Cashflow!$U$7)),0)),MATCH("Total",Cashflow!$B:$B,0)-7,0),0))</f>
        <v>0</v>
      </c>
      <c r="F112" s="228">
        <f ca="1">IFERROR(Cashflows[[#This Row],[Cashflow]]+IF(OFFSET(Cashflows[#This Row],-1,0)=Cashflows[[#Headers],[Cumulative]],0,IF(OFFSET(Cashflows[#This Row],-1,0)="",0,OFFSET(Cashflows[#This Row],-1,0))),"")</f>
        <v>188723133.57999998</v>
      </c>
      <c r="G112" s="228">
        <f ca="1">IF(Cashflows[[#This Row],[MonthDate]]&lt;&gt;"",INDEX(Cashflow!$U$142:$FQ$142,MATCH(Cashflows[[#This Row],[MonthDate]],Cashflow!$U$7:$FQ$7,0)),"")</f>
        <v>0</v>
      </c>
      <c r="H112" s="228">
        <f ca="1">IF(Cashflows[[#This Row],[MonthDate]]&lt;&gt;"",INDEX(Cashflow!$U$143:$FQ$143,MATCH(Cashflows[[#This Row],[MonthDate]],Cashflow!$U$7:$FQ$7,0)),"")</f>
        <v>183674762.30999997</v>
      </c>
      <c r="I112" s="226">
        <f ca="1">IFERROR(DATEVALUE(Cashflows[[#This Row],[Month]]),"")</f>
        <v>46174</v>
      </c>
      <c r="J112" s="228" t="str">
        <f ca="1">IF(EOMONTH(TODAY(),-1)+1=Cashflows[[#This Row],[MonthDate]],MAX(Cashflows[Cumulative]),"")</f>
        <v/>
      </c>
    </row>
    <row r="113" spans="1:10">
      <c r="A113" t="str">
        <f ca="1">IF(OFFSET(Cashflows[#This Row],-1,0)=Cashflows[[#Headers],[Fiscal Year]],'Target Tracking'!$E$17,IF(Cashflows[[#This Row],[Month Num]]&lt;&gt;4,OFFSET(Cashflows[#This Row],-1,0),CONCATENATE(LEFT(OFFSET(Cashflows[#This Row],-1,0),4)+1,"-",RIGHT(OFFSET(Cashflows[#This Row],-1,0),2)+1)))</f>
        <v>2026-27</v>
      </c>
      <c r="B113">
        <f ca="1">IF(OFFSET(Cashflows[#This Row],-1,0)=Cashflows[[#Headers],[Month Num]],4,MONTH(EDATE(DATE(2000,OFFSET(Cashflows[#This Row],-1,0),1),1)))</f>
        <v>7</v>
      </c>
      <c r="C113" t="str">
        <f ca="1">IF(IFERROR(INDEX('Target Tracking'!$19:$19,,MATCH(Cashflows[[#This Row],[Fiscal Year]],'Target Tracking'!$17:$17,0)),0)&gt;0,TEXT(DATE(IF(Cashflows[[#This Row],[Month Num]]&gt;=4,LEFT(Cashflows[[#This Row],[Fiscal Year]],4),"20" &amp; RIGHT(Cashflows[[#This Row],[Fiscal Year]],2)),Cashflows[[#This Row],[Month Num]],1),"mmm yyyy"),"")</f>
        <v>Jul 2026</v>
      </c>
      <c r="D113">
        <f ca="1">IF(Cashflows[[#This Row],[Month Num]]=4,-12,OFFSET(Cashflows[#This Row],-1,0)+1)</f>
        <v>-9</v>
      </c>
      <c r="E113">
        <f ca="1">IF(Cashflows[[#This Row],[Month]]="","",IFERROR(OFFSET(INDEX(OFFSET(Cashflow!$U$7,0,0,,CELL("col",CWS_Total) - CELL("col",Cashflow!$U$7)),MATCH(Cashflows[[#This Row],[MonthDate]],OFFSET(Cashflow!$U$7,0,0,,CELL("col",CWS_Total) - CELL("col",Cashflow!$U$7)),0)),MATCH("Total",Cashflow!$B:$B,0)-7,0),0))</f>
        <v>200000</v>
      </c>
      <c r="F113" s="228">
        <f ca="1">IFERROR(Cashflows[[#This Row],[Cashflow]]+IF(OFFSET(Cashflows[#This Row],-1,0)=Cashflows[[#Headers],[Cumulative]],0,IF(OFFSET(Cashflows[#This Row],-1,0)="",0,OFFSET(Cashflows[#This Row],-1,0))),"")</f>
        <v>188923133.57999998</v>
      </c>
      <c r="G113" s="228">
        <f ca="1">IF(Cashflows[[#This Row],[MonthDate]]&lt;&gt;"",INDEX(Cashflow!$U$142:$FQ$142,MATCH(Cashflows[[#This Row],[MonthDate]],Cashflow!$U$7:$FQ$7,0)),"")</f>
        <v>0</v>
      </c>
      <c r="H113" s="228">
        <f ca="1">IF(Cashflows[[#This Row],[MonthDate]]&lt;&gt;"",INDEX(Cashflow!$U$143:$FQ$143,MATCH(Cashflows[[#This Row],[MonthDate]],Cashflow!$U$7:$FQ$7,0)),"")</f>
        <v>183674762.30999997</v>
      </c>
      <c r="I113" s="226">
        <f ca="1">IFERROR(DATEVALUE(Cashflows[[#This Row],[Month]]),"")</f>
        <v>46204</v>
      </c>
      <c r="J113" s="228" t="str">
        <f ca="1">IF(EOMONTH(TODAY(),-1)+1=Cashflows[[#This Row],[MonthDate]],MAX(Cashflows[Cumulative]),"")</f>
        <v/>
      </c>
    </row>
    <row r="114" spans="1:10">
      <c r="A114" t="str">
        <f ca="1">IF(OFFSET(Cashflows[#This Row],-1,0)=Cashflows[[#Headers],[Fiscal Year]],'Target Tracking'!$E$17,IF(Cashflows[[#This Row],[Month Num]]&lt;&gt;4,OFFSET(Cashflows[#This Row],-1,0),CONCATENATE(LEFT(OFFSET(Cashflows[#This Row],-1,0),4)+1,"-",RIGHT(OFFSET(Cashflows[#This Row],-1,0),2)+1)))</f>
        <v>2026-27</v>
      </c>
      <c r="B114">
        <f ca="1">IF(OFFSET(Cashflows[#This Row],-1,0)=Cashflows[[#Headers],[Month Num]],4,MONTH(EDATE(DATE(2000,OFFSET(Cashflows[#This Row],-1,0),1),1)))</f>
        <v>8</v>
      </c>
      <c r="C114" t="str">
        <f ca="1">IF(IFERROR(INDEX('Target Tracking'!$19:$19,,MATCH(Cashflows[[#This Row],[Fiscal Year]],'Target Tracking'!$17:$17,0)),0)&gt;0,TEXT(DATE(IF(Cashflows[[#This Row],[Month Num]]&gt;=4,LEFT(Cashflows[[#This Row],[Fiscal Year]],4),"20" &amp; RIGHT(Cashflows[[#This Row],[Fiscal Year]],2)),Cashflows[[#This Row],[Month Num]],1),"mmm yyyy"),"")</f>
        <v>Aug 2026</v>
      </c>
      <c r="D114">
        <f ca="1">IF(Cashflows[[#This Row],[Month Num]]=4,-12,OFFSET(Cashflows[#This Row],-1,0)+1)</f>
        <v>-8</v>
      </c>
      <c r="E114">
        <f ca="1">IF(Cashflows[[#This Row],[Month]]="","",IFERROR(OFFSET(INDEX(OFFSET(Cashflow!$U$7,0,0,,CELL("col",CWS_Total) - CELL("col",Cashflow!$U$7)),MATCH(Cashflows[[#This Row],[MonthDate]],OFFSET(Cashflow!$U$7,0,0,,CELL("col",CWS_Total) - CELL("col",Cashflow!$U$7)),0)),MATCH("Total",Cashflow!$B:$B,0)-7,0),0))</f>
        <v>200000</v>
      </c>
      <c r="F114" s="228">
        <f ca="1">IFERROR(Cashflows[[#This Row],[Cashflow]]+IF(OFFSET(Cashflows[#This Row],-1,0)=Cashflows[[#Headers],[Cumulative]],0,IF(OFFSET(Cashflows[#This Row],-1,0)="",0,OFFSET(Cashflows[#This Row],-1,0))),"")</f>
        <v>189123133.57999998</v>
      </c>
      <c r="G114" s="228">
        <f ca="1">IF(Cashflows[[#This Row],[MonthDate]]&lt;&gt;"",INDEX(Cashflow!$U$142:$FQ$142,MATCH(Cashflows[[#This Row],[MonthDate]],Cashflow!$U$7:$FQ$7,0)),"")</f>
        <v>0</v>
      </c>
      <c r="H114" s="228">
        <f ca="1">IF(Cashflows[[#This Row],[MonthDate]]&lt;&gt;"",INDEX(Cashflow!$U$143:$FQ$143,MATCH(Cashflows[[#This Row],[MonthDate]],Cashflow!$U$7:$FQ$7,0)),"")</f>
        <v>183674762.30999997</v>
      </c>
      <c r="I114" s="226">
        <f ca="1">IFERROR(DATEVALUE(Cashflows[[#This Row],[Month]]),"")</f>
        <v>46235</v>
      </c>
      <c r="J114" s="228" t="str">
        <f ca="1">IF(EOMONTH(TODAY(),-1)+1=Cashflows[[#This Row],[MonthDate]],MAX(Cashflows[Cumulative]),"")</f>
        <v/>
      </c>
    </row>
    <row r="115" spans="1:10">
      <c r="A115" t="str">
        <f ca="1">IF(OFFSET(Cashflows[#This Row],-1,0)=Cashflows[[#Headers],[Fiscal Year]],'Target Tracking'!$E$17,IF(Cashflows[[#This Row],[Month Num]]&lt;&gt;4,OFFSET(Cashflows[#This Row],-1,0),CONCATENATE(LEFT(OFFSET(Cashflows[#This Row],-1,0),4)+1,"-",RIGHT(OFFSET(Cashflows[#This Row],-1,0),2)+1)))</f>
        <v>2026-27</v>
      </c>
      <c r="B115">
        <f ca="1">IF(OFFSET(Cashflows[#This Row],-1,0)=Cashflows[[#Headers],[Month Num]],4,MONTH(EDATE(DATE(2000,OFFSET(Cashflows[#This Row],-1,0),1),1)))</f>
        <v>9</v>
      </c>
      <c r="C115" t="str">
        <f ca="1">IF(IFERROR(INDEX('Target Tracking'!$19:$19,,MATCH(Cashflows[[#This Row],[Fiscal Year]],'Target Tracking'!$17:$17,0)),0)&gt;0,TEXT(DATE(IF(Cashflows[[#This Row],[Month Num]]&gt;=4,LEFT(Cashflows[[#This Row],[Fiscal Year]],4),"20" &amp; RIGHT(Cashflows[[#This Row],[Fiscal Year]],2)),Cashflows[[#This Row],[Month Num]],1),"mmm yyyy"),"")</f>
        <v>Sep 2026</v>
      </c>
      <c r="D115">
        <f ca="1">IF(Cashflows[[#This Row],[Month Num]]=4,-12,OFFSET(Cashflows[#This Row],-1,0)+1)</f>
        <v>-7</v>
      </c>
      <c r="E115">
        <f ca="1">IF(Cashflows[[#This Row],[Month]]="","",IFERROR(OFFSET(INDEX(OFFSET(Cashflow!$U$7,0,0,,CELL("col",CWS_Total) - CELL("col",Cashflow!$U$7)),MATCH(Cashflows[[#This Row],[MonthDate]],OFFSET(Cashflow!$U$7,0,0,,CELL("col",CWS_Total) - CELL("col",Cashflow!$U$7)),0)),MATCH("Total",Cashflow!$B:$B,0)-7,0),0))</f>
        <v>200000</v>
      </c>
      <c r="F115" s="228">
        <f ca="1">IFERROR(Cashflows[[#This Row],[Cashflow]]+IF(OFFSET(Cashflows[#This Row],-1,0)=Cashflows[[#Headers],[Cumulative]],0,IF(OFFSET(Cashflows[#This Row],-1,0)="",0,OFFSET(Cashflows[#This Row],-1,0))),"")</f>
        <v>189323133.57999998</v>
      </c>
      <c r="G115" s="228">
        <f ca="1">IF(Cashflows[[#This Row],[MonthDate]]&lt;&gt;"",INDEX(Cashflow!$U$142:$FQ$142,MATCH(Cashflows[[#This Row],[MonthDate]],Cashflow!$U$7:$FQ$7,0)),"")</f>
        <v>0</v>
      </c>
      <c r="H115" s="228">
        <f ca="1">IF(Cashflows[[#This Row],[MonthDate]]&lt;&gt;"",INDEX(Cashflow!$U$143:$FQ$143,MATCH(Cashflows[[#This Row],[MonthDate]],Cashflow!$U$7:$FQ$7,0)),"")</f>
        <v>183674762.30999997</v>
      </c>
      <c r="I115" s="226">
        <f ca="1">IFERROR(DATEVALUE(Cashflows[[#This Row],[Month]]),"")</f>
        <v>46266</v>
      </c>
      <c r="J115" s="228" t="str">
        <f ca="1">IF(EOMONTH(TODAY(),-1)+1=Cashflows[[#This Row],[MonthDate]],MAX(Cashflows[Cumulative]),"")</f>
        <v/>
      </c>
    </row>
    <row r="116" spans="1:10">
      <c r="A116" t="str">
        <f ca="1">IF(OFFSET(Cashflows[#This Row],-1,0)=Cashflows[[#Headers],[Fiscal Year]],'Target Tracking'!$E$17,IF(Cashflows[[#This Row],[Month Num]]&lt;&gt;4,OFFSET(Cashflows[#This Row],-1,0),CONCATENATE(LEFT(OFFSET(Cashflows[#This Row],-1,0),4)+1,"-",RIGHT(OFFSET(Cashflows[#This Row],-1,0),2)+1)))</f>
        <v>2026-27</v>
      </c>
      <c r="B116">
        <f ca="1">IF(OFFSET(Cashflows[#This Row],-1,0)=Cashflows[[#Headers],[Month Num]],4,MONTH(EDATE(DATE(2000,OFFSET(Cashflows[#This Row],-1,0),1),1)))</f>
        <v>10</v>
      </c>
      <c r="C116" t="str">
        <f ca="1">IF(IFERROR(INDEX('Target Tracking'!$19:$19,,MATCH(Cashflows[[#This Row],[Fiscal Year]],'Target Tracking'!$17:$17,0)),0)&gt;0,TEXT(DATE(IF(Cashflows[[#This Row],[Month Num]]&gt;=4,LEFT(Cashflows[[#This Row],[Fiscal Year]],4),"20" &amp; RIGHT(Cashflows[[#This Row],[Fiscal Year]],2)),Cashflows[[#This Row],[Month Num]],1),"mmm yyyy"),"")</f>
        <v>Oct 2026</v>
      </c>
      <c r="D116">
        <f ca="1">IF(Cashflows[[#This Row],[Month Num]]=4,-12,OFFSET(Cashflows[#This Row],-1,0)+1)</f>
        <v>-6</v>
      </c>
      <c r="E116">
        <f ca="1">IF(Cashflows[[#This Row],[Month]]="","",IFERROR(OFFSET(INDEX(OFFSET(Cashflow!$U$7,0,0,,CELL("col",CWS_Total) - CELL("col",Cashflow!$U$7)),MATCH(Cashflows[[#This Row],[MonthDate]],OFFSET(Cashflow!$U$7,0,0,,CELL("col",CWS_Total) - CELL("col",Cashflow!$U$7)),0)),MATCH("Total",Cashflow!$B:$B,0)-7,0),0))</f>
        <v>200000</v>
      </c>
      <c r="F116" s="228">
        <f ca="1">IFERROR(Cashflows[[#This Row],[Cashflow]]+IF(OFFSET(Cashflows[#This Row],-1,0)=Cashflows[[#Headers],[Cumulative]],0,IF(OFFSET(Cashflows[#This Row],-1,0)="",0,OFFSET(Cashflows[#This Row],-1,0))),"")</f>
        <v>189523133.57999998</v>
      </c>
      <c r="G116" s="228">
        <f ca="1">IF(Cashflows[[#This Row],[MonthDate]]&lt;&gt;"",INDEX(Cashflow!$U$142:$FQ$142,MATCH(Cashflows[[#This Row],[MonthDate]],Cashflow!$U$7:$FQ$7,0)),"")</f>
        <v>0</v>
      </c>
      <c r="H116" s="228">
        <f ca="1">IF(Cashflows[[#This Row],[MonthDate]]&lt;&gt;"",INDEX(Cashflow!$U$143:$FQ$143,MATCH(Cashflows[[#This Row],[MonthDate]],Cashflow!$U$7:$FQ$7,0)),"")</f>
        <v>183674762.30999997</v>
      </c>
      <c r="I116" s="226">
        <f ca="1">IFERROR(DATEVALUE(Cashflows[[#This Row],[Month]]),"")</f>
        <v>46296</v>
      </c>
      <c r="J116" s="228" t="str">
        <f ca="1">IF(EOMONTH(TODAY(),-1)+1=Cashflows[[#This Row],[MonthDate]],MAX(Cashflows[Cumulative]),"")</f>
        <v/>
      </c>
    </row>
    <row r="117" spans="1:10">
      <c r="A117" t="str">
        <f ca="1">IF(OFFSET(Cashflows[#This Row],-1,0)=Cashflows[[#Headers],[Fiscal Year]],'Target Tracking'!$E$17,IF(Cashflows[[#This Row],[Month Num]]&lt;&gt;4,OFFSET(Cashflows[#This Row],-1,0),CONCATENATE(LEFT(OFFSET(Cashflows[#This Row],-1,0),4)+1,"-",RIGHT(OFFSET(Cashflows[#This Row],-1,0),2)+1)))</f>
        <v>2026-27</v>
      </c>
      <c r="B117">
        <f ca="1">IF(OFFSET(Cashflows[#This Row],-1,0)=Cashflows[[#Headers],[Month Num]],4,MONTH(EDATE(DATE(2000,OFFSET(Cashflows[#This Row],-1,0),1),1)))</f>
        <v>11</v>
      </c>
      <c r="C117" t="str">
        <f ca="1">IF(IFERROR(INDEX('Target Tracking'!$19:$19,,MATCH(Cashflows[[#This Row],[Fiscal Year]],'Target Tracking'!$17:$17,0)),0)&gt;0,TEXT(DATE(IF(Cashflows[[#This Row],[Month Num]]&gt;=4,LEFT(Cashflows[[#This Row],[Fiscal Year]],4),"20" &amp; RIGHT(Cashflows[[#This Row],[Fiscal Year]],2)),Cashflows[[#This Row],[Month Num]],1),"mmm yyyy"),"")</f>
        <v>Nov 2026</v>
      </c>
      <c r="D117">
        <f ca="1">IF(Cashflows[[#This Row],[Month Num]]=4,-12,OFFSET(Cashflows[#This Row],-1,0)+1)</f>
        <v>-5</v>
      </c>
      <c r="E117">
        <f ca="1">IF(Cashflows[[#This Row],[Month]]="","",IFERROR(OFFSET(INDEX(OFFSET(Cashflow!$U$7,0,0,,CELL("col",CWS_Total) - CELL("col",Cashflow!$U$7)),MATCH(Cashflows[[#This Row],[MonthDate]],OFFSET(Cashflow!$U$7,0,0,,CELL("col",CWS_Total) - CELL("col",Cashflow!$U$7)),0)),MATCH("Total",Cashflow!$B:$B,0)-7,0),0))</f>
        <v>0</v>
      </c>
      <c r="F117" s="228">
        <f ca="1">IFERROR(Cashflows[[#This Row],[Cashflow]]+IF(OFFSET(Cashflows[#This Row],-1,0)=Cashflows[[#Headers],[Cumulative]],0,IF(OFFSET(Cashflows[#This Row],-1,0)="",0,OFFSET(Cashflows[#This Row],-1,0))),"")</f>
        <v>189523133.57999998</v>
      </c>
      <c r="G117" s="228">
        <f ca="1">IF(Cashflows[[#This Row],[MonthDate]]&lt;&gt;"",INDEX(Cashflow!$U$142:$FQ$142,MATCH(Cashflows[[#This Row],[MonthDate]],Cashflow!$U$7:$FQ$7,0)),"")</f>
        <v>0</v>
      </c>
      <c r="H117" s="228">
        <f ca="1">IF(Cashflows[[#This Row],[MonthDate]]&lt;&gt;"",INDEX(Cashflow!$U$143:$FQ$143,MATCH(Cashflows[[#This Row],[MonthDate]],Cashflow!$U$7:$FQ$7,0)),"")</f>
        <v>183674762.30999997</v>
      </c>
      <c r="I117" s="226">
        <f ca="1">IFERROR(DATEVALUE(Cashflows[[#This Row],[Month]]),"")</f>
        <v>46327</v>
      </c>
      <c r="J117" s="228" t="str">
        <f ca="1">IF(EOMONTH(TODAY(),-1)+1=Cashflows[[#This Row],[MonthDate]],MAX(Cashflows[Cumulative]),"")</f>
        <v/>
      </c>
    </row>
    <row r="118" spans="1:10">
      <c r="A118" t="str">
        <f ca="1">IF(OFFSET(Cashflows[#This Row],-1,0)=Cashflows[[#Headers],[Fiscal Year]],'Target Tracking'!$E$17,IF(Cashflows[[#This Row],[Month Num]]&lt;&gt;4,OFFSET(Cashflows[#This Row],-1,0),CONCATENATE(LEFT(OFFSET(Cashflows[#This Row],-1,0),4)+1,"-",RIGHT(OFFSET(Cashflows[#This Row],-1,0),2)+1)))</f>
        <v>2026-27</v>
      </c>
      <c r="B118">
        <f ca="1">IF(OFFSET(Cashflows[#This Row],-1,0)=Cashflows[[#Headers],[Month Num]],4,MONTH(EDATE(DATE(2000,OFFSET(Cashflows[#This Row],-1,0),1),1)))</f>
        <v>12</v>
      </c>
      <c r="C118" t="str">
        <f ca="1">IF(IFERROR(INDEX('Target Tracking'!$19:$19,,MATCH(Cashflows[[#This Row],[Fiscal Year]],'Target Tracking'!$17:$17,0)),0)&gt;0,TEXT(DATE(IF(Cashflows[[#This Row],[Month Num]]&gt;=4,LEFT(Cashflows[[#This Row],[Fiscal Year]],4),"20" &amp; RIGHT(Cashflows[[#This Row],[Fiscal Year]],2)),Cashflows[[#This Row],[Month Num]],1),"mmm yyyy"),"")</f>
        <v>Dec 2026</v>
      </c>
      <c r="D118">
        <f ca="1">IF(Cashflows[[#This Row],[Month Num]]=4,-12,OFFSET(Cashflows[#This Row],-1,0)+1)</f>
        <v>-4</v>
      </c>
      <c r="E118">
        <f ca="1">IF(Cashflows[[#This Row],[Month]]="","",IFERROR(OFFSET(INDEX(OFFSET(Cashflow!$U$7,0,0,,CELL("col",CWS_Total) - CELL("col",Cashflow!$U$7)),MATCH(Cashflows[[#This Row],[MonthDate]],OFFSET(Cashflow!$U$7,0,0,,CELL("col",CWS_Total) - CELL("col",Cashflow!$U$7)),0)),MATCH("Total",Cashflow!$B:$B,0)-7,0),0))</f>
        <v>0</v>
      </c>
      <c r="F118" s="228">
        <f ca="1">IFERROR(Cashflows[[#This Row],[Cashflow]]+IF(OFFSET(Cashflows[#This Row],-1,0)=Cashflows[[#Headers],[Cumulative]],0,IF(OFFSET(Cashflows[#This Row],-1,0)="",0,OFFSET(Cashflows[#This Row],-1,0))),"")</f>
        <v>189523133.57999998</v>
      </c>
      <c r="G118" s="228">
        <f ca="1">IF(Cashflows[[#This Row],[MonthDate]]&lt;&gt;"",INDEX(Cashflow!$U$142:$FQ$142,MATCH(Cashflows[[#This Row],[MonthDate]],Cashflow!$U$7:$FQ$7,0)),"")</f>
        <v>0</v>
      </c>
      <c r="H118" s="228">
        <f ca="1">IF(Cashflows[[#This Row],[MonthDate]]&lt;&gt;"",INDEX(Cashflow!$U$143:$FQ$143,MATCH(Cashflows[[#This Row],[MonthDate]],Cashflow!$U$7:$FQ$7,0)),"")</f>
        <v>183674762.30999997</v>
      </c>
      <c r="I118" s="226">
        <f ca="1">IFERROR(DATEVALUE(Cashflows[[#This Row],[Month]]),"")</f>
        <v>46357</v>
      </c>
      <c r="J118" s="228" t="str">
        <f ca="1">IF(EOMONTH(TODAY(),-1)+1=Cashflows[[#This Row],[MonthDate]],MAX(Cashflows[Cumulative]),"")</f>
        <v/>
      </c>
    </row>
    <row r="119" spans="1:10">
      <c r="A119" t="str">
        <f ca="1">IF(OFFSET(Cashflows[#This Row],-1,0)=Cashflows[[#Headers],[Fiscal Year]],'Target Tracking'!$E$17,IF(Cashflows[[#This Row],[Month Num]]&lt;&gt;4,OFFSET(Cashflows[#This Row],-1,0),CONCATENATE(LEFT(OFFSET(Cashflows[#This Row],-1,0),4)+1,"-",RIGHT(OFFSET(Cashflows[#This Row],-1,0),2)+1)))</f>
        <v>2026-27</v>
      </c>
      <c r="B119">
        <f ca="1">IF(OFFSET(Cashflows[#This Row],-1,0)=Cashflows[[#Headers],[Month Num]],4,MONTH(EDATE(DATE(2000,OFFSET(Cashflows[#This Row],-1,0),1),1)))</f>
        <v>1</v>
      </c>
      <c r="C119" t="str">
        <f ca="1">IF(IFERROR(INDEX('Target Tracking'!$19:$19,,MATCH(Cashflows[[#This Row],[Fiscal Year]],'Target Tracking'!$17:$17,0)),0)&gt;0,TEXT(DATE(IF(Cashflows[[#This Row],[Month Num]]&gt;=4,LEFT(Cashflows[[#This Row],[Fiscal Year]],4),"20" &amp; RIGHT(Cashflows[[#This Row],[Fiscal Year]],2)),Cashflows[[#This Row],[Month Num]],1),"mmm yyyy"),"")</f>
        <v>Jan 2027</v>
      </c>
      <c r="D119">
        <f ca="1">IF(Cashflows[[#This Row],[Month Num]]=4,-12,OFFSET(Cashflows[#This Row],-1,0)+1)</f>
        <v>-3</v>
      </c>
      <c r="E119">
        <f ca="1">IF(Cashflows[[#This Row],[Month]]="","",IFERROR(OFFSET(INDEX(OFFSET(Cashflow!$U$7,0,0,,CELL("col",CWS_Total) - CELL("col",Cashflow!$U$7)),MATCH(Cashflows[[#This Row],[MonthDate]],OFFSET(Cashflow!$U$7,0,0,,CELL("col",CWS_Total) - CELL("col",Cashflow!$U$7)),0)),MATCH("Total",Cashflow!$B:$B,0)-7,0),0))</f>
        <v>0</v>
      </c>
      <c r="F119" s="228">
        <f ca="1">IFERROR(Cashflows[[#This Row],[Cashflow]]+IF(OFFSET(Cashflows[#This Row],-1,0)=Cashflows[[#Headers],[Cumulative]],0,IF(OFFSET(Cashflows[#This Row],-1,0)="",0,OFFSET(Cashflows[#This Row],-1,0))),"")</f>
        <v>189523133.57999998</v>
      </c>
      <c r="G119" s="228">
        <f ca="1">IF(Cashflows[[#This Row],[MonthDate]]&lt;&gt;"",INDEX(Cashflow!$U$142:$FQ$142,MATCH(Cashflows[[#This Row],[MonthDate]],Cashflow!$U$7:$FQ$7,0)),"")</f>
        <v>0</v>
      </c>
      <c r="H119" s="228">
        <f ca="1">IF(Cashflows[[#This Row],[MonthDate]]&lt;&gt;"",INDEX(Cashflow!$U$143:$FQ$143,MATCH(Cashflows[[#This Row],[MonthDate]],Cashflow!$U$7:$FQ$7,0)),"")</f>
        <v>183674762.30999997</v>
      </c>
      <c r="I119" s="226">
        <f ca="1">IFERROR(DATEVALUE(Cashflows[[#This Row],[Month]]),"")</f>
        <v>46388</v>
      </c>
      <c r="J119" s="228" t="str">
        <f ca="1">IF(EOMONTH(TODAY(),-1)+1=Cashflows[[#This Row],[MonthDate]],MAX(Cashflows[Cumulative]),"")</f>
        <v/>
      </c>
    </row>
    <row r="120" spans="1:10">
      <c r="A120" t="str">
        <f ca="1">IF(OFFSET(Cashflows[#This Row],-1,0)=Cashflows[[#Headers],[Fiscal Year]],'Target Tracking'!$E$17,IF(Cashflows[[#This Row],[Month Num]]&lt;&gt;4,OFFSET(Cashflows[#This Row],-1,0),CONCATENATE(LEFT(OFFSET(Cashflows[#This Row],-1,0),4)+1,"-",RIGHT(OFFSET(Cashflows[#This Row],-1,0),2)+1)))</f>
        <v>2026-27</v>
      </c>
      <c r="B120">
        <f ca="1">IF(OFFSET(Cashflows[#This Row],-1,0)=Cashflows[[#Headers],[Month Num]],4,MONTH(EDATE(DATE(2000,OFFSET(Cashflows[#This Row],-1,0),1),1)))</f>
        <v>2</v>
      </c>
      <c r="C120" t="str">
        <f ca="1">IF(IFERROR(INDEX('Target Tracking'!$19:$19,,MATCH(Cashflows[[#This Row],[Fiscal Year]],'Target Tracking'!$17:$17,0)),0)&gt;0,TEXT(DATE(IF(Cashflows[[#This Row],[Month Num]]&gt;=4,LEFT(Cashflows[[#This Row],[Fiscal Year]],4),"20" &amp; RIGHT(Cashflows[[#This Row],[Fiscal Year]],2)),Cashflows[[#This Row],[Month Num]],1),"mmm yyyy"),"")</f>
        <v>Feb 2027</v>
      </c>
      <c r="D120">
        <f ca="1">IF(Cashflows[[#This Row],[Month Num]]=4,-12,OFFSET(Cashflows[#This Row],-1,0)+1)</f>
        <v>-2</v>
      </c>
      <c r="E120">
        <f ca="1">IF(Cashflows[[#This Row],[Month]]="","",IFERROR(OFFSET(INDEX(OFFSET(Cashflow!$U$7,0,0,,CELL("col",CWS_Total) - CELL("col",Cashflow!$U$7)),MATCH(Cashflows[[#This Row],[MonthDate]],OFFSET(Cashflow!$U$7,0,0,,CELL("col",CWS_Total) - CELL("col",Cashflow!$U$7)),0)),MATCH("Total",Cashflow!$B:$B,0)-7,0),0))</f>
        <v>0</v>
      </c>
      <c r="F120" s="228">
        <f ca="1">IFERROR(Cashflows[[#This Row],[Cashflow]]+IF(OFFSET(Cashflows[#This Row],-1,0)=Cashflows[[#Headers],[Cumulative]],0,IF(OFFSET(Cashflows[#This Row],-1,0)="",0,OFFSET(Cashflows[#This Row],-1,0))),"")</f>
        <v>189523133.57999998</v>
      </c>
      <c r="G120" s="228">
        <f ca="1">IF(Cashflows[[#This Row],[MonthDate]]&lt;&gt;"",INDEX(Cashflow!$U$142:$FQ$142,MATCH(Cashflows[[#This Row],[MonthDate]],Cashflow!$U$7:$FQ$7,0)),"")</f>
        <v>0</v>
      </c>
      <c r="H120" s="228">
        <f ca="1">IF(Cashflows[[#This Row],[MonthDate]]&lt;&gt;"",INDEX(Cashflow!$U$143:$FQ$143,MATCH(Cashflows[[#This Row],[MonthDate]],Cashflow!$U$7:$FQ$7,0)),"")</f>
        <v>183674762.30999997</v>
      </c>
      <c r="I120" s="226">
        <f ca="1">IFERROR(DATEVALUE(Cashflows[[#This Row],[Month]]),"")</f>
        <v>46419</v>
      </c>
      <c r="J120" s="228" t="str">
        <f ca="1">IF(EOMONTH(TODAY(),-1)+1=Cashflows[[#This Row],[MonthDate]],MAX(Cashflows[Cumulative]),"")</f>
        <v/>
      </c>
    </row>
    <row r="121" spans="1:10">
      <c r="A121" t="str">
        <f ca="1">IF(OFFSET(Cashflows[#This Row],-1,0)=Cashflows[[#Headers],[Fiscal Year]],'Target Tracking'!$E$17,IF(Cashflows[[#This Row],[Month Num]]&lt;&gt;4,OFFSET(Cashflows[#This Row],-1,0),CONCATENATE(LEFT(OFFSET(Cashflows[#This Row],-1,0),4)+1,"-",RIGHT(OFFSET(Cashflows[#This Row],-1,0),2)+1)))</f>
        <v>2026-27</v>
      </c>
      <c r="B121">
        <f ca="1">IF(OFFSET(Cashflows[#This Row],-1,0)=Cashflows[[#Headers],[Month Num]],4,MONTH(EDATE(DATE(2000,OFFSET(Cashflows[#This Row],-1,0),1),1)))</f>
        <v>3</v>
      </c>
      <c r="C121" t="str">
        <f ca="1">IF(IFERROR(INDEX('Target Tracking'!$19:$19,,MATCH(Cashflows[[#This Row],[Fiscal Year]],'Target Tracking'!$17:$17,0)),0)&gt;0,TEXT(DATE(IF(Cashflows[[#This Row],[Month Num]]&gt;=4,LEFT(Cashflows[[#This Row],[Fiscal Year]],4),"20" &amp; RIGHT(Cashflows[[#This Row],[Fiscal Year]],2)),Cashflows[[#This Row],[Month Num]],1),"mmm yyyy"),"")</f>
        <v>Mar 2027</v>
      </c>
      <c r="D121">
        <f ca="1">IF(Cashflows[[#This Row],[Month Num]]=4,-12,OFFSET(Cashflows[#This Row],-1,0)+1)</f>
        <v>-1</v>
      </c>
      <c r="E121">
        <f ca="1">IF(Cashflows[[#This Row],[Month]]="","",IFERROR(OFFSET(INDEX(OFFSET(Cashflow!$U$7,0,0,,CELL("col",CWS_Total) - CELL("col",Cashflow!$U$7)),MATCH(Cashflows[[#This Row],[MonthDate]],OFFSET(Cashflow!$U$7,0,0,,CELL("col",CWS_Total) - CELL("col",Cashflow!$U$7)),0)),MATCH("Total",Cashflow!$B:$B,0)-7,0),0))</f>
        <v>1576866.3</v>
      </c>
      <c r="F121" s="228">
        <f ca="1">IFERROR(Cashflows[[#This Row],[Cashflow]]+IF(OFFSET(Cashflows[#This Row],-1,0)=Cashflows[[#Headers],[Cumulative]],0,IF(OFFSET(Cashflows[#This Row],-1,0)="",0,OFFSET(Cashflows[#This Row],-1,0))),"")</f>
        <v>191099999.88</v>
      </c>
      <c r="G121" s="228">
        <f ca="1">IF(Cashflows[[#This Row],[MonthDate]]&lt;&gt;"",INDEX(Cashflow!$U$142:$FQ$142,MATCH(Cashflows[[#This Row],[MonthDate]],Cashflow!$U$7:$FQ$7,0)),"")</f>
        <v>0</v>
      </c>
      <c r="H121" s="228">
        <f ca="1">IF(Cashflows[[#This Row],[MonthDate]]&lt;&gt;"",INDEX(Cashflow!$U$143:$FQ$143,MATCH(Cashflows[[#This Row],[MonthDate]],Cashflow!$U$7:$FQ$7,0)),"")</f>
        <v>183674762.30999997</v>
      </c>
      <c r="I121" s="226">
        <f ca="1">IFERROR(DATEVALUE(Cashflows[[#This Row],[Month]]),"")</f>
        <v>46447</v>
      </c>
      <c r="J121" s="228" t="str">
        <f ca="1">IF(EOMONTH(TODAY(),-1)+1=Cashflows[[#This Row],[MonthDate]],MAX(Cashflows[Cumulative]),"")</f>
        <v/>
      </c>
    </row>
    <row r="122" spans="1:10">
      <c r="A122" t="str">
        <f ca="1">IF(OFFSET(Cashflows[#This Row],-1,0)=Cashflows[[#Headers],[Fiscal Year]],'Target Tracking'!$E$17,IF(Cashflows[[#This Row],[Month Num]]&lt;&gt;4,OFFSET(Cashflows[#This Row],-1,0),CONCATENATE(LEFT(OFFSET(Cashflows[#This Row],-1,0),4)+1,"-",RIGHT(OFFSET(Cashflows[#This Row],-1,0),2)+1)))</f>
        <v>2027-28</v>
      </c>
      <c r="B122">
        <f ca="1">IF(OFFSET(Cashflows[#This Row],-1,0)=Cashflows[[#Headers],[Month Num]],4,MONTH(EDATE(DATE(2000,OFFSET(Cashflows[#This Row],-1,0),1),1)))</f>
        <v>4</v>
      </c>
      <c r="C122" t="str">
        <f ca="1">IF(IFERROR(INDEX('Target Tracking'!$19:$19,,MATCH(Cashflows[[#This Row],[Fiscal Year]],'Target Tracking'!$17:$17,0)),0)&gt;0,TEXT(DATE(IF(Cashflows[[#This Row],[Month Num]]&gt;=4,LEFT(Cashflows[[#This Row],[Fiscal Year]],4),"20" &amp; RIGHT(Cashflows[[#This Row],[Fiscal Year]],2)),Cashflows[[#This Row],[Month Num]],1),"mmm yyyy"),"")</f>
        <v/>
      </c>
      <c r="D122">
        <f ca="1">IF(Cashflows[[#This Row],[Month Num]]=4,-12,OFFSET(Cashflows[#This Row],-1,0)+1)</f>
        <v>-12</v>
      </c>
      <c r="E122" t="str">
        <f ca="1">IF(Cashflows[[#This Row],[Month]]="","",IFERROR(OFFSET(INDEX(OFFSET(Cashflow!$U$7,0,0,,CELL("col",CWS_Total) - CELL("col",Cashflow!$U$7)),MATCH(Cashflows[[#This Row],[MonthDate]],OFFSET(Cashflow!$U$7,0,0,,CELL("col",CWS_Total) - CELL("col",Cashflow!$U$7)),0)),MATCH("Total",Cashflow!$B:$B,0)-7,0),0))</f>
        <v/>
      </c>
      <c r="F122" s="228" t="str">
        <f ca="1">IFERROR(Cashflows[[#This Row],[Cashflow]]+IF(OFFSET(Cashflows[#This Row],-1,0)=Cashflows[[#Headers],[Cumulative]],0,IF(OFFSET(Cashflows[#This Row],-1,0)="",0,OFFSET(Cashflows[#This Row],-1,0))),"")</f>
        <v/>
      </c>
      <c r="G122" s="228" t="str">
        <f ca="1">IF(Cashflows[[#This Row],[MonthDate]]&lt;&gt;"",INDEX(Cashflow!$U$142:$FQ$142,MATCH(Cashflows[[#This Row],[MonthDate]],Cashflow!$U$7:$FQ$7,0)),"")</f>
        <v/>
      </c>
      <c r="H122" s="228" t="str">
        <f ca="1">IF(Cashflows[[#This Row],[MonthDate]]&lt;&gt;"",INDEX(Cashflow!$U$143:$FQ$143,MATCH(Cashflows[[#This Row],[MonthDate]],Cashflow!$U$7:$FQ$7,0)),"")</f>
        <v/>
      </c>
      <c r="I122" s="226" t="str">
        <f ca="1">IFERROR(DATEVALUE(Cashflows[[#This Row],[Month]]),"")</f>
        <v/>
      </c>
      <c r="J122" s="228" t="str">
        <f ca="1">IF(EOMONTH(TODAY(),-1)+1=Cashflows[[#This Row],[MonthDate]],MAX(Cashflows[Cumulative]),"")</f>
        <v/>
      </c>
    </row>
    <row r="123" spans="1:10">
      <c r="A123" t="str">
        <f ca="1">IF(OFFSET(Cashflows[#This Row],-1,0)=Cashflows[[#Headers],[Fiscal Year]],'Target Tracking'!$E$17,IF(Cashflows[[#This Row],[Month Num]]&lt;&gt;4,OFFSET(Cashflows[#This Row],-1,0),CONCATENATE(LEFT(OFFSET(Cashflows[#This Row],-1,0),4)+1,"-",RIGHT(OFFSET(Cashflows[#This Row],-1,0),2)+1)))</f>
        <v>2027-28</v>
      </c>
      <c r="B123">
        <f ca="1">IF(OFFSET(Cashflows[#This Row],-1,0)=Cashflows[[#Headers],[Month Num]],4,MONTH(EDATE(DATE(2000,OFFSET(Cashflows[#This Row],-1,0),1),1)))</f>
        <v>5</v>
      </c>
      <c r="C123" t="str">
        <f ca="1">IF(IFERROR(INDEX('Target Tracking'!$19:$19,,MATCH(Cashflows[[#This Row],[Fiscal Year]],'Target Tracking'!$17:$17,0)),0)&gt;0,TEXT(DATE(IF(Cashflows[[#This Row],[Month Num]]&gt;=4,LEFT(Cashflows[[#This Row],[Fiscal Year]],4),"20" &amp; RIGHT(Cashflows[[#This Row],[Fiscal Year]],2)),Cashflows[[#This Row],[Month Num]],1),"mmm yyyy"),"")</f>
        <v/>
      </c>
      <c r="D123">
        <f ca="1">IF(Cashflows[[#This Row],[Month Num]]=4,-12,OFFSET(Cashflows[#This Row],-1,0)+1)</f>
        <v>-11</v>
      </c>
      <c r="E123" t="str">
        <f ca="1">IF(Cashflows[[#This Row],[Month]]="","",IFERROR(OFFSET(INDEX(OFFSET(Cashflow!$U$7,0,0,,CELL("col",CWS_Total) - CELL("col",Cashflow!$U$7)),MATCH(Cashflows[[#This Row],[MonthDate]],OFFSET(Cashflow!$U$7,0,0,,CELL("col",CWS_Total) - CELL("col",Cashflow!$U$7)),0)),MATCH("Total",Cashflow!$B:$B,0)-7,0),0))</f>
        <v/>
      </c>
      <c r="F123" s="228" t="str">
        <f ca="1">IFERROR(Cashflows[[#This Row],[Cashflow]]+IF(OFFSET(Cashflows[#This Row],-1,0)=Cashflows[[#Headers],[Cumulative]],0,IF(OFFSET(Cashflows[#This Row],-1,0)="",0,OFFSET(Cashflows[#This Row],-1,0))),"")</f>
        <v/>
      </c>
      <c r="G123" s="228" t="str">
        <f ca="1">IF(Cashflows[[#This Row],[MonthDate]]&lt;&gt;"",INDEX(Cashflow!$U$142:$FQ$142,MATCH(Cashflows[[#This Row],[MonthDate]],Cashflow!$U$7:$FQ$7,0)),"")</f>
        <v/>
      </c>
      <c r="H123" s="228" t="str">
        <f ca="1">IF(Cashflows[[#This Row],[MonthDate]]&lt;&gt;"",INDEX(Cashflow!$U$143:$FQ$143,MATCH(Cashflows[[#This Row],[MonthDate]],Cashflow!$U$7:$FQ$7,0)),"")</f>
        <v/>
      </c>
      <c r="I123" s="226" t="str">
        <f ca="1">IFERROR(DATEVALUE(Cashflows[[#This Row],[Month]]),"")</f>
        <v/>
      </c>
      <c r="J123" s="228" t="str">
        <f ca="1">IF(EOMONTH(TODAY(),-1)+1=Cashflows[[#This Row],[MonthDate]],MAX(Cashflows[Cumulative]),"")</f>
        <v/>
      </c>
    </row>
    <row r="124" spans="1:10">
      <c r="A124" t="str">
        <f ca="1">IF(OFFSET(Cashflows[#This Row],-1,0)=Cashflows[[#Headers],[Fiscal Year]],'Target Tracking'!$E$17,IF(Cashflows[[#This Row],[Month Num]]&lt;&gt;4,OFFSET(Cashflows[#This Row],-1,0),CONCATENATE(LEFT(OFFSET(Cashflows[#This Row],-1,0),4)+1,"-",RIGHT(OFFSET(Cashflows[#This Row],-1,0),2)+1)))</f>
        <v>2027-28</v>
      </c>
      <c r="B124">
        <f ca="1">IF(OFFSET(Cashflows[#This Row],-1,0)=Cashflows[[#Headers],[Month Num]],4,MONTH(EDATE(DATE(2000,OFFSET(Cashflows[#This Row],-1,0),1),1)))</f>
        <v>6</v>
      </c>
      <c r="C124" t="str">
        <f ca="1">IF(IFERROR(INDEX('Target Tracking'!$19:$19,,MATCH(Cashflows[[#This Row],[Fiscal Year]],'Target Tracking'!$17:$17,0)),0)&gt;0,TEXT(DATE(IF(Cashflows[[#This Row],[Month Num]]&gt;=4,LEFT(Cashflows[[#This Row],[Fiscal Year]],4),"20" &amp; RIGHT(Cashflows[[#This Row],[Fiscal Year]],2)),Cashflows[[#This Row],[Month Num]],1),"mmm yyyy"),"")</f>
        <v/>
      </c>
      <c r="D124">
        <f ca="1">IF(Cashflows[[#This Row],[Month Num]]=4,-12,OFFSET(Cashflows[#This Row],-1,0)+1)</f>
        <v>-10</v>
      </c>
      <c r="E124" t="str">
        <f ca="1">IF(Cashflows[[#This Row],[Month]]="","",IFERROR(OFFSET(INDEX(OFFSET(Cashflow!$U$7,0,0,,CELL("col",CWS_Total) - CELL("col",Cashflow!$U$7)),MATCH(Cashflows[[#This Row],[MonthDate]],OFFSET(Cashflow!$U$7,0,0,,CELL("col",CWS_Total) - CELL("col",Cashflow!$U$7)),0)),MATCH("Total",Cashflow!$B:$B,0)-7,0),0))</f>
        <v/>
      </c>
      <c r="F124" s="228" t="str">
        <f ca="1">IFERROR(Cashflows[[#This Row],[Cashflow]]+IF(OFFSET(Cashflows[#This Row],-1,0)=Cashflows[[#Headers],[Cumulative]],0,IF(OFFSET(Cashflows[#This Row],-1,0)="",0,OFFSET(Cashflows[#This Row],-1,0))),"")</f>
        <v/>
      </c>
      <c r="G124" s="228" t="str">
        <f ca="1">IF(Cashflows[[#This Row],[MonthDate]]&lt;&gt;"",INDEX(Cashflow!$U$142:$FQ$142,MATCH(Cashflows[[#This Row],[MonthDate]],Cashflow!$U$7:$FQ$7,0)),"")</f>
        <v/>
      </c>
      <c r="H124" s="228" t="str">
        <f ca="1">IF(Cashflows[[#This Row],[MonthDate]]&lt;&gt;"",INDEX(Cashflow!$U$143:$FQ$143,MATCH(Cashflows[[#This Row],[MonthDate]],Cashflow!$U$7:$FQ$7,0)),"")</f>
        <v/>
      </c>
      <c r="I124" s="226" t="str">
        <f ca="1">IFERROR(DATEVALUE(Cashflows[[#This Row],[Month]]),"")</f>
        <v/>
      </c>
      <c r="J124" s="228" t="str">
        <f ca="1">IF(EOMONTH(TODAY(),-1)+1=Cashflows[[#This Row],[MonthDate]],MAX(Cashflows[Cumulative]),"")</f>
        <v/>
      </c>
    </row>
    <row r="125" spans="1:10">
      <c r="A125" t="str">
        <f ca="1">IF(OFFSET(Cashflows[#This Row],-1,0)=Cashflows[[#Headers],[Fiscal Year]],'Target Tracking'!$E$17,IF(Cashflows[[#This Row],[Month Num]]&lt;&gt;4,OFFSET(Cashflows[#This Row],-1,0),CONCATENATE(LEFT(OFFSET(Cashflows[#This Row],-1,0),4)+1,"-",RIGHT(OFFSET(Cashflows[#This Row],-1,0),2)+1)))</f>
        <v>2027-28</v>
      </c>
      <c r="B125">
        <f ca="1">IF(OFFSET(Cashflows[#This Row],-1,0)=Cashflows[[#Headers],[Month Num]],4,MONTH(EDATE(DATE(2000,OFFSET(Cashflows[#This Row],-1,0),1),1)))</f>
        <v>7</v>
      </c>
      <c r="C125" t="str">
        <f ca="1">IF(IFERROR(INDEX('Target Tracking'!$19:$19,,MATCH(Cashflows[[#This Row],[Fiscal Year]],'Target Tracking'!$17:$17,0)),0)&gt;0,TEXT(DATE(IF(Cashflows[[#This Row],[Month Num]]&gt;=4,LEFT(Cashflows[[#This Row],[Fiscal Year]],4),"20" &amp; RIGHT(Cashflows[[#This Row],[Fiscal Year]],2)),Cashflows[[#This Row],[Month Num]],1),"mmm yyyy"),"")</f>
        <v/>
      </c>
      <c r="D125">
        <f ca="1">IF(Cashflows[[#This Row],[Month Num]]=4,-12,OFFSET(Cashflows[#This Row],-1,0)+1)</f>
        <v>-9</v>
      </c>
      <c r="E125" t="str">
        <f ca="1">IF(Cashflows[[#This Row],[Month]]="","",IFERROR(OFFSET(INDEX(OFFSET(Cashflow!$U$7,0,0,,CELL("col",CWS_Total) - CELL("col",Cashflow!$U$7)),MATCH(Cashflows[[#This Row],[MonthDate]],OFFSET(Cashflow!$U$7,0,0,,CELL("col",CWS_Total) - CELL("col",Cashflow!$U$7)),0)),MATCH("Total",Cashflow!$B:$B,0)-7,0),0))</f>
        <v/>
      </c>
      <c r="F125" s="228" t="str">
        <f ca="1">IFERROR(Cashflows[[#This Row],[Cashflow]]+IF(OFFSET(Cashflows[#This Row],-1,0)=Cashflows[[#Headers],[Cumulative]],0,IF(OFFSET(Cashflows[#This Row],-1,0)="",0,OFFSET(Cashflows[#This Row],-1,0))),"")</f>
        <v/>
      </c>
      <c r="G125" s="228" t="str">
        <f ca="1">IF(Cashflows[[#This Row],[MonthDate]]&lt;&gt;"",INDEX(Cashflow!$U$142:$FQ$142,MATCH(Cashflows[[#This Row],[MonthDate]],Cashflow!$U$7:$FQ$7,0)),"")</f>
        <v/>
      </c>
      <c r="H125" s="228" t="str">
        <f ca="1">IF(Cashflows[[#This Row],[MonthDate]]&lt;&gt;"",INDEX(Cashflow!$U$143:$FQ$143,MATCH(Cashflows[[#This Row],[MonthDate]],Cashflow!$U$7:$FQ$7,0)),"")</f>
        <v/>
      </c>
      <c r="I125" s="226" t="str">
        <f ca="1">IFERROR(DATEVALUE(Cashflows[[#This Row],[Month]]),"")</f>
        <v/>
      </c>
      <c r="J125" s="228" t="str">
        <f ca="1">IF(EOMONTH(TODAY(),-1)+1=Cashflows[[#This Row],[MonthDate]],MAX(Cashflows[Cumulative]),"")</f>
        <v/>
      </c>
    </row>
    <row r="126" spans="1:10">
      <c r="A126" t="str">
        <f ca="1">IF(OFFSET(Cashflows[#This Row],-1,0)=Cashflows[[#Headers],[Fiscal Year]],'Target Tracking'!$E$17,IF(Cashflows[[#This Row],[Month Num]]&lt;&gt;4,OFFSET(Cashflows[#This Row],-1,0),CONCATENATE(LEFT(OFFSET(Cashflows[#This Row],-1,0),4)+1,"-",RIGHT(OFFSET(Cashflows[#This Row],-1,0),2)+1)))</f>
        <v>2027-28</v>
      </c>
      <c r="B126">
        <f ca="1">IF(OFFSET(Cashflows[#This Row],-1,0)=Cashflows[[#Headers],[Month Num]],4,MONTH(EDATE(DATE(2000,OFFSET(Cashflows[#This Row],-1,0),1),1)))</f>
        <v>8</v>
      </c>
      <c r="C126" t="str">
        <f ca="1">IF(IFERROR(INDEX('Target Tracking'!$19:$19,,MATCH(Cashflows[[#This Row],[Fiscal Year]],'Target Tracking'!$17:$17,0)),0)&gt;0,TEXT(DATE(IF(Cashflows[[#This Row],[Month Num]]&gt;=4,LEFT(Cashflows[[#This Row],[Fiscal Year]],4),"20" &amp; RIGHT(Cashflows[[#This Row],[Fiscal Year]],2)),Cashflows[[#This Row],[Month Num]],1),"mmm yyyy"),"")</f>
        <v/>
      </c>
      <c r="D126">
        <f ca="1">IF(Cashflows[[#This Row],[Month Num]]=4,-12,OFFSET(Cashflows[#This Row],-1,0)+1)</f>
        <v>-8</v>
      </c>
      <c r="E126" t="str">
        <f ca="1">IF(Cashflows[[#This Row],[Month]]="","",IFERROR(OFFSET(INDEX(OFFSET(Cashflow!$U$7,0,0,,CELL("col",CWS_Total) - CELL("col",Cashflow!$U$7)),MATCH(Cashflows[[#This Row],[MonthDate]],OFFSET(Cashflow!$U$7,0,0,,CELL("col",CWS_Total) - CELL("col",Cashflow!$U$7)),0)),MATCH("Total",Cashflow!$B:$B,0)-7,0),0))</f>
        <v/>
      </c>
      <c r="F126" s="228" t="str">
        <f ca="1">IFERROR(Cashflows[[#This Row],[Cashflow]]+IF(OFFSET(Cashflows[#This Row],-1,0)=Cashflows[[#Headers],[Cumulative]],0,IF(OFFSET(Cashflows[#This Row],-1,0)="",0,OFFSET(Cashflows[#This Row],-1,0))),"")</f>
        <v/>
      </c>
      <c r="G126" s="228" t="str">
        <f ca="1">IF(Cashflows[[#This Row],[MonthDate]]&lt;&gt;"",INDEX(Cashflow!$U$142:$FQ$142,MATCH(Cashflows[[#This Row],[MonthDate]],Cashflow!$U$7:$FQ$7,0)),"")</f>
        <v/>
      </c>
      <c r="H126" s="228" t="str">
        <f ca="1">IF(Cashflows[[#This Row],[MonthDate]]&lt;&gt;"",INDEX(Cashflow!$U$143:$FQ$143,MATCH(Cashflows[[#This Row],[MonthDate]],Cashflow!$U$7:$FQ$7,0)),"")</f>
        <v/>
      </c>
      <c r="I126" s="226" t="str">
        <f ca="1">IFERROR(DATEVALUE(Cashflows[[#This Row],[Month]]),"")</f>
        <v/>
      </c>
      <c r="J126" s="228" t="str">
        <f ca="1">IF(EOMONTH(TODAY(),-1)+1=Cashflows[[#This Row],[MonthDate]],MAX(Cashflows[Cumulative]),"")</f>
        <v/>
      </c>
    </row>
    <row r="127" spans="1:10">
      <c r="A127" t="str">
        <f ca="1">IF(OFFSET(Cashflows[#This Row],-1,0)=Cashflows[[#Headers],[Fiscal Year]],'Target Tracking'!$E$17,IF(Cashflows[[#This Row],[Month Num]]&lt;&gt;4,OFFSET(Cashflows[#This Row],-1,0),CONCATENATE(LEFT(OFFSET(Cashflows[#This Row],-1,0),4)+1,"-",RIGHT(OFFSET(Cashflows[#This Row],-1,0),2)+1)))</f>
        <v>2027-28</v>
      </c>
      <c r="B127">
        <f ca="1">IF(OFFSET(Cashflows[#This Row],-1,0)=Cashflows[[#Headers],[Month Num]],4,MONTH(EDATE(DATE(2000,OFFSET(Cashflows[#This Row],-1,0),1),1)))</f>
        <v>9</v>
      </c>
      <c r="C127" t="str">
        <f ca="1">IF(IFERROR(INDEX('Target Tracking'!$19:$19,,MATCH(Cashflows[[#This Row],[Fiscal Year]],'Target Tracking'!$17:$17,0)),0)&gt;0,TEXT(DATE(IF(Cashflows[[#This Row],[Month Num]]&gt;=4,LEFT(Cashflows[[#This Row],[Fiscal Year]],4),"20" &amp; RIGHT(Cashflows[[#This Row],[Fiscal Year]],2)),Cashflows[[#This Row],[Month Num]],1),"mmm yyyy"),"")</f>
        <v/>
      </c>
      <c r="D127">
        <f ca="1">IF(Cashflows[[#This Row],[Month Num]]=4,-12,OFFSET(Cashflows[#This Row],-1,0)+1)</f>
        <v>-7</v>
      </c>
      <c r="E127" t="str">
        <f ca="1">IF(Cashflows[[#This Row],[Month]]="","",IFERROR(OFFSET(INDEX(OFFSET(Cashflow!$U$7,0,0,,CELL("col",CWS_Total) - CELL("col",Cashflow!$U$7)),MATCH(Cashflows[[#This Row],[MonthDate]],OFFSET(Cashflow!$U$7,0,0,,CELL("col",CWS_Total) - CELL("col",Cashflow!$U$7)),0)),MATCH("Total",Cashflow!$B:$B,0)-7,0),0))</f>
        <v/>
      </c>
      <c r="F127" s="228" t="str">
        <f ca="1">IFERROR(Cashflows[[#This Row],[Cashflow]]+IF(OFFSET(Cashflows[#This Row],-1,0)=Cashflows[[#Headers],[Cumulative]],0,IF(OFFSET(Cashflows[#This Row],-1,0)="",0,OFFSET(Cashflows[#This Row],-1,0))),"")</f>
        <v/>
      </c>
      <c r="G127" s="228" t="str">
        <f ca="1">IF(Cashflows[[#This Row],[MonthDate]]&lt;&gt;"",INDEX(Cashflow!$U$142:$FQ$142,MATCH(Cashflows[[#This Row],[MonthDate]],Cashflow!$U$7:$FQ$7,0)),"")</f>
        <v/>
      </c>
      <c r="H127" s="228" t="str">
        <f ca="1">IF(Cashflows[[#This Row],[MonthDate]]&lt;&gt;"",INDEX(Cashflow!$U$143:$FQ$143,MATCH(Cashflows[[#This Row],[MonthDate]],Cashflow!$U$7:$FQ$7,0)),"")</f>
        <v/>
      </c>
      <c r="I127" s="226" t="str">
        <f ca="1">IFERROR(DATEVALUE(Cashflows[[#This Row],[Month]]),"")</f>
        <v/>
      </c>
      <c r="J127" s="228" t="str">
        <f ca="1">IF(EOMONTH(TODAY(),-1)+1=Cashflows[[#This Row],[MonthDate]],MAX(Cashflows[Cumulative]),"")</f>
        <v/>
      </c>
    </row>
    <row r="128" spans="1:10">
      <c r="A128" t="str">
        <f ca="1">IF(OFFSET(Cashflows[#This Row],-1,0)=Cashflows[[#Headers],[Fiscal Year]],'Target Tracking'!$E$17,IF(Cashflows[[#This Row],[Month Num]]&lt;&gt;4,OFFSET(Cashflows[#This Row],-1,0),CONCATENATE(LEFT(OFFSET(Cashflows[#This Row],-1,0),4)+1,"-",RIGHT(OFFSET(Cashflows[#This Row],-1,0),2)+1)))</f>
        <v>2027-28</v>
      </c>
      <c r="B128">
        <f ca="1">IF(OFFSET(Cashflows[#This Row],-1,0)=Cashflows[[#Headers],[Month Num]],4,MONTH(EDATE(DATE(2000,OFFSET(Cashflows[#This Row],-1,0),1),1)))</f>
        <v>10</v>
      </c>
      <c r="C128" t="str">
        <f ca="1">IF(IFERROR(INDEX('Target Tracking'!$19:$19,,MATCH(Cashflows[[#This Row],[Fiscal Year]],'Target Tracking'!$17:$17,0)),0)&gt;0,TEXT(DATE(IF(Cashflows[[#This Row],[Month Num]]&gt;=4,LEFT(Cashflows[[#This Row],[Fiscal Year]],4),"20" &amp; RIGHT(Cashflows[[#This Row],[Fiscal Year]],2)),Cashflows[[#This Row],[Month Num]],1),"mmm yyyy"),"")</f>
        <v/>
      </c>
      <c r="D128">
        <f ca="1">IF(Cashflows[[#This Row],[Month Num]]=4,-12,OFFSET(Cashflows[#This Row],-1,0)+1)</f>
        <v>-6</v>
      </c>
      <c r="E128" t="str">
        <f ca="1">IF(Cashflows[[#This Row],[Month]]="","",IFERROR(OFFSET(INDEX(OFFSET(Cashflow!$U$7,0,0,,CELL("col",CWS_Total) - CELL("col",Cashflow!$U$7)),MATCH(Cashflows[[#This Row],[MonthDate]],OFFSET(Cashflow!$U$7,0,0,,CELL("col",CWS_Total) - CELL("col",Cashflow!$U$7)),0)),MATCH("Total",Cashflow!$B:$B,0)-7,0),0))</f>
        <v/>
      </c>
      <c r="F128" s="228" t="str">
        <f ca="1">IFERROR(Cashflows[[#This Row],[Cashflow]]+IF(OFFSET(Cashflows[#This Row],-1,0)=Cashflows[[#Headers],[Cumulative]],0,IF(OFFSET(Cashflows[#This Row],-1,0)="",0,OFFSET(Cashflows[#This Row],-1,0))),"")</f>
        <v/>
      </c>
      <c r="G128" s="228" t="str">
        <f ca="1">IF(Cashflows[[#This Row],[MonthDate]]&lt;&gt;"",INDEX(Cashflow!$U$142:$FQ$142,MATCH(Cashflows[[#This Row],[MonthDate]],Cashflow!$U$7:$FQ$7,0)),"")</f>
        <v/>
      </c>
      <c r="H128" s="228" t="str">
        <f ca="1">IF(Cashflows[[#This Row],[MonthDate]]&lt;&gt;"",INDEX(Cashflow!$U$143:$FQ$143,MATCH(Cashflows[[#This Row],[MonthDate]],Cashflow!$U$7:$FQ$7,0)),"")</f>
        <v/>
      </c>
      <c r="I128" s="226" t="str">
        <f ca="1">IFERROR(DATEVALUE(Cashflows[[#This Row],[Month]]),"")</f>
        <v/>
      </c>
      <c r="J128" s="228" t="str">
        <f ca="1">IF(EOMONTH(TODAY(),-1)+1=Cashflows[[#This Row],[MonthDate]],MAX(Cashflows[Cumulative]),"")</f>
        <v/>
      </c>
    </row>
    <row r="129" spans="1:10">
      <c r="A129" t="str">
        <f ca="1">IF(OFFSET(Cashflows[#This Row],-1,0)=Cashflows[[#Headers],[Fiscal Year]],'Target Tracking'!$E$17,IF(Cashflows[[#This Row],[Month Num]]&lt;&gt;4,OFFSET(Cashflows[#This Row],-1,0),CONCATENATE(LEFT(OFFSET(Cashflows[#This Row],-1,0),4)+1,"-",RIGHT(OFFSET(Cashflows[#This Row],-1,0),2)+1)))</f>
        <v>2027-28</v>
      </c>
      <c r="B129">
        <f ca="1">IF(OFFSET(Cashflows[#This Row],-1,0)=Cashflows[[#Headers],[Month Num]],4,MONTH(EDATE(DATE(2000,OFFSET(Cashflows[#This Row],-1,0),1),1)))</f>
        <v>11</v>
      </c>
      <c r="C129" t="str">
        <f ca="1">IF(IFERROR(INDEX('Target Tracking'!$19:$19,,MATCH(Cashflows[[#This Row],[Fiscal Year]],'Target Tracking'!$17:$17,0)),0)&gt;0,TEXT(DATE(IF(Cashflows[[#This Row],[Month Num]]&gt;=4,LEFT(Cashflows[[#This Row],[Fiscal Year]],4),"20" &amp; RIGHT(Cashflows[[#This Row],[Fiscal Year]],2)),Cashflows[[#This Row],[Month Num]],1),"mmm yyyy"),"")</f>
        <v/>
      </c>
      <c r="D129">
        <f ca="1">IF(Cashflows[[#This Row],[Month Num]]=4,-12,OFFSET(Cashflows[#This Row],-1,0)+1)</f>
        <v>-5</v>
      </c>
      <c r="E129" t="str">
        <f ca="1">IF(Cashflows[[#This Row],[Month]]="","",IFERROR(OFFSET(INDEX(OFFSET(Cashflow!$U$7,0,0,,CELL("col",CWS_Total) - CELL("col",Cashflow!$U$7)),MATCH(Cashflows[[#This Row],[MonthDate]],OFFSET(Cashflow!$U$7,0,0,,CELL("col",CWS_Total) - CELL("col",Cashflow!$U$7)),0)),MATCH("Total",Cashflow!$B:$B,0)-7,0),0))</f>
        <v/>
      </c>
      <c r="F129" s="228" t="str">
        <f ca="1">IFERROR(Cashflows[[#This Row],[Cashflow]]+IF(OFFSET(Cashflows[#This Row],-1,0)=Cashflows[[#Headers],[Cumulative]],0,IF(OFFSET(Cashflows[#This Row],-1,0)="",0,OFFSET(Cashflows[#This Row],-1,0))),"")</f>
        <v/>
      </c>
      <c r="G129" s="228" t="str">
        <f ca="1">IF(Cashflows[[#This Row],[MonthDate]]&lt;&gt;"",INDEX(Cashflow!$U$142:$FQ$142,MATCH(Cashflows[[#This Row],[MonthDate]],Cashflow!$U$7:$FQ$7,0)),"")</f>
        <v/>
      </c>
      <c r="H129" s="228" t="str">
        <f ca="1">IF(Cashflows[[#This Row],[MonthDate]]&lt;&gt;"",INDEX(Cashflow!$U$143:$FQ$143,MATCH(Cashflows[[#This Row],[MonthDate]],Cashflow!$U$7:$FQ$7,0)),"")</f>
        <v/>
      </c>
      <c r="I129" s="226" t="str">
        <f ca="1">IFERROR(DATEVALUE(Cashflows[[#This Row],[Month]]),"")</f>
        <v/>
      </c>
      <c r="J129" s="228" t="str">
        <f ca="1">IF(EOMONTH(TODAY(),-1)+1=Cashflows[[#This Row],[MonthDate]],MAX(Cashflows[Cumulative]),"")</f>
        <v/>
      </c>
    </row>
    <row r="130" spans="1:10">
      <c r="A130" t="str">
        <f ca="1">IF(OFFSET(Cashflows[#This Row],-1,0)=Cashflows[[#Headers],[Fiscal Year]],'Target Tracking'!$E$17,IF(Cashflows[[#This Row],[Month Num]]&lt;&gt;4,OFFSET(Cashflows[#This Row],-1,0),CONCATENATE(LEFT(OFFSET(Cashflows[#This Row],-1,0),4)+1,"-",RIGHT(OFFSET(Cashflows[#This Row],-1,0),2)+1)))</f>
        <v>2027-28</v>
      </c>
      <c r="B130">
        <f ca="1">IF(OFFSET(Cashflows[#This Row],-1,0)=Cashflows[[#Headers],[Month Num]],4,MONTH(EDATE(DATE(2000,OFFSET(Cashflows[#This Row],-1,0),1),1)))</f>
        <v>12</v>
      </c>
      <c r="C130" t="str">
        <f ca="1">IF(IFERROR(INDEX('Target Tracking'!$19:$19,,MATCH(Cashflows[[#This Row],[Fiscal Year]],'Target Tracking'!$17:$17,0)),0)&gt;0,TEXT(DATE(IF(Cashflows[[#This Row],[Month Num]]&gt;=4,LEFT(Cashflows[[#This Row],[Fiscal Year]],4),"20" &amp; RIGHT(Cashflows[[#This Row],[Fiscal Year]],2)),Cashflows[[#This Row],[Month Num]],1),"mmm yyyy"),"")</f>
        <v/>
      </c>
      <c r="D130">
        <f ca="1">IF(Cashflows[[#This Row],[Month Num]]=4,-12,OFFSET(Cashflows[#This Row],-1,0)+1)</f>
        <v>-4</v>
      </c>
      <c r="E130" t="str">
        <f ca="1">IF(Cashflows[[#This Row],[Month]]="","",IFERROR(OFFSET(INDEX(OFFSET(Cashflow!$U$7,0,0,,CELL("col",CWS_Total) - CELL("col",Cashflow!$U$7)),MATCH(Cashflows[[#This Row],[MonthDate]],OFFSET(Cashflow!$U$7,0,0,,CELL("col",CWS_Total) - CELL("col",Cashflow!$U$7)),0)),MATCH("Total",Cashflow!$B:$B,0)-7,0),0))</f>
        <v/>
      </c>
      <c r="F130" s="228" t="str">
        <f ca="1">IFERROR(Cashflows[[#This Row],[Cashflow]]+IF(OFFSET(Cashflows[#This Row],-1,0)=Cashflows[[#Headers],[Cumulative]],0,IF(OFFSET(Cashflows[#This Row],-1,0)="",0,OFFSET(Cashflows[#This Row],-1,0))),"")</f>
        <v/>
      </c>
      <c r="G130" s="228" t="str">
        <f ca="1">IF(Cashflows[[#This Row],[MonthDate]]&lt;&gt;"",INDEX(Cashflow!$U$142:$FQ$142,MATCH(Cashflows[[#This Row],[MonthDate]],Cashflow!$U$7:$FQ$7,0)),"")</f>
        <v/>
      </c>
      <c r="H130" s="228" t="str">
        <f ca="1">IF(Cashflows[[#This Row],[MonthDate]]&lt;&gt;"",INDEX(Cashflow!$U$143:$FQ$143,MATCH(Cashflows[[#This Row],[MonthDate]],Cashflow!$U$7:$FQ$7,0)),"")</f>
        <v/>
      </c>
      <c r="I130" s="226" t="str">
        <f ca="1">IFERROR(DATEVALUE(Cashflows[[#This Row],[Month]]),"")</f>
        <v/>
      </c>
      <c r="J130" s="228" t="str">
        <f ca="1">IF(EOMONTH(TODAY(),-1)+1=Cashflows[[#This Row],[MonthDate]],MAX(Cashflows[Cumulative]),"")</f>
        <v/>
      </c>
    </row>
    <row r="131" spans="1:10">
      <c r="A131" t="str">
        <f ca="1">IF(OFFSET(Cashflows[#This Row],-1,0)=Cashflows[[#Headers],[Fiscal Year]],'Target Tracking'!$E$17,IF(Cashflows[[#This Row],[Month Num]]&lt;&gt;4,OFFSET(Cashflows[#This Row],-1,0),CONCATENATE(LEFT(OFFSET(Cashflows[#This Row],-1,0),4)+1,"-",RIGHT(OFFSET(Cashflows[#This Row],-1,0),2)+1)))</f>
        <v>2027-28</v>
      </c>
      <c r="B131">
        <f ca="1">IF(OFFSET(Cashflows[#This Row],-1,0)=Cashflows[[#Headers],[Month Num]],4,MONTH(EDATE(DATE(2000,OFFSET(Cashflows[#This Row],-1,0),1),1)))</f>
        <v>1</v>
      </c>
      <c r="C131" t="str">
        <f ca="1">IF(IFERROR(INDEX('Target Tracking'!$19:$19,,MATCH(Cashflows[[#This Row],[Fiscal Year]],'Target Tracking'!$17:$17,0)),0)&gt;0,TEXT(DATE(IF(Cashflows[[#This Row],[Month Num]]&gt;=4,LEFT(Cashflows[[#This Row],[Fiscal Year]],4),"20" &amp; RIGHT(Cashflows[[#This Row],[Fiscal Year]],2)),Cashflows[[#This Row],[Month Num]],1),"mmm yyyy"),"")</f>
        <v/>
      </c>
      <c r="D131">
        <f ca="1">IF(Cashflows[[#This Row],[Month Num]]=4,-12,OFFSET(Cashflows[#This Row],-1,0)+1)</f>
        <v>-3</v>
      </c>
      <c r="E131" t="str">
        <f ca="1">IF(Cashflows[[#This Row],[Month]]="","",IFERROR(OFFSET(INDEX(OFFSET(Cashflow!$U$7,0,0,,CELL("col",CWS_Total) - CELL("col",Cashflow!$U$7)),MATCH(Cashflows[[#This Row],[MonthDate]],OFFSET(Cashflow!$U$7,0,0,,CELL("col",CWS_Total) - CELL("col",Cashflow!$U$7)),0)),MATCH("Total",Cashflow!$B:$B,0)-7,0),0))</f>
        <v/>
      </c>
      <c r="F131" s="228" t="str">
        <f ca="1">IFERROR(Cashflows[[#This Row],[Cashflow]]+IF(OFFSET(Cashflows[#This Row],-1,0)=Cashflows[[#Headers],[Cumulative]],0,IF(OFFSET(Cashflows[#This Row],-1,0)="",0,OFFSET(Cashflows[#This Row],-1,0))),"")</f>
        <v/>
      </c>
      <c r="G131" s="228" t="str">
        <f ca="1">IF(Cashflows[[#This Row],[MonthDate]]&lt;&gt;"",INDEX(Cashflow!$U$142:$FQ$142,MATCH(Cashflows[[#This Row],[MonthDate]],Cashflow!$U$7:$FQ$7,0)),"")</f>
        <v/>
      </c>
      <c r="H131" s="228" t="str">
        <f ca="1">IF(Cashflows[[#This Row],[MonthDate]]&lt;&gt;"",INDEX(Cashflow!$U$143:$FQ$143,MATCH(Cashflows[[#This Row],[MonthDate]],Cashflow!$U$7:$FQ$7,0)),"")</f>
        <v/>
      </c>
      <c r="I131" s="226" t="str">
        <f ca="1">IFERROR(DATEVALUE(Cashflows[[#This Row],[Month]]),"")</f>
        <v/>
      </c>
      <c r="J131" s="228" t="str">
        <f ca="1">IF(EOMONTH(TODAY(),-1)+1=Cashflows[[#This Row],[MonthDate]],MAX(Cashflows[Cumulative]),"")</f>
        <v/>
      </c>
    </row>
    <row r="132" spans="1:10">
      <c r="A132" t="str">
        <f ca="1">IF(OFFSET(Cashflows[#This Row],-1,0)=Cashflows[[#Headers],[Fiscal Year]],'Target Tracking'!$E$17,IF(Cashflows[[#This Row],[Month Num]]&lt;&gt;4,OFFSET(Cashflows[#This Row],-1,0),CONCATENATE(LEFT(OFFSET(Cashflows[#This Row],-1,0),4)+1,"-",RIGHT(OFFSET(Cashflows[#This Row],-1,0),2)+1)))</f>
        <v>2027-28</v>
      </c>
      <c r="B132">
        <f ca="1">IF(OFFSET(Cashflows[#This Row],-1,0)=Cashflows[[#Headers],[Month Num]],4,MONTH(EDATE(DATE(2000,OFFSET(Cashflows[#This Row],-1,0),1),1)))</f>
        <v>2</v>
      </c>
      <c r="C132" t="str">
        <f ca="1">IF(IFERROR(INDEX('Target Tracking'!$19:$19,,MATCH(Cashflows[[#This Row],[Fiscal Year]],'Target Tracking'!$17:$17,0)),0)&gt;0,TEXT(DATE(IF(Cashflows[[#This Row],[Month Num]]&gt;=4,LEFT(Cashflows[[#This Row],[Fiscal Year]],4),"20" &amp; RIGHT(Cashflows[[#This Row],[Fiscal Year]],2)),Cashflows[[#This Row],[Month Num]],1),"mmm yyyy"),"")</f>
        <v/>
      </c>
      <c r="D132">
        <f ca="1">IF(Cashflows[[#This Row],[Month Num]]=4,-12,OFFSET(Cashflows[#This Row],-1,0)+1)</f>
        <v>-2</v>
      </c>
      <c r="E132" t="str">
        <f ca="1">IF(Cashflows[[#This Row],[Month]]="","",IFERROR(OFFSET(INDEX(OFFSET(Cashflow!$U$7,0,0,,CELL("col",CWS_Total) - CELL("col",Cashflow!$U$7)),MATCH(Cashflows[[#This Row],[MonthDate]],OFFSET(Cashflow!$U$7,0,0,,CELL("col",CWS_Total) - CELL("col",Cashflow!$U$7)),0)),MATCH("Total",Cashflow!$B:$B,0)-7,0),0))</f>
        <v/>
      </c>
      <c r="F132" s="228" t="str">
        <f ca="1">IFERROR(Cashflows[[#This Row],[Cashflow]]+IF(OFFSET(Cashflows[#This Row],-1,0)=Cashflows[[#Headers],[Cumulative]],0,IF(OFFSET(Cashflows[#This Row],-1,0)="",0,OFFSET(Cashflows[#This Row],-1,0))),"")</f>
        <v/>
      </c>
      <c r="G132" s="228" t="str">
        <f ca="1">IF(Cashflows[[#This Row],[MonthDate]]&lt;&gt;"",INDEX(Cashflow!$U$142:$FQ$142,MATCH(Cashflows[[#This Row],[MonthDate]],Cashflow!$U$7:$FQ$7,0)),"")</f>
        <v/>
      </c>
      <c r="H132" s="228" t="str">
        <f ca="1">IF(Cashflows[[#This Row],[MonthDate]]&lt;&gt;"",INDEX(Cashflow!$U$143:$FQ$143,MATCH(Cashflows[[#This Row],[MonthDate]],Cashflow!$U$7:$FQ$7,0)),"")</f>
        <v/>
      </c>
      <c r="I132" s="226" t="str">
        <f ca="1">IFERROR(DATEVALUE(Cashflows[[#This Row],[Month]]),"")</f>
        <v/>
      </c>
      <c r="J132" s="228" t="str">
        <f ca="1">IF(EOMONTH(TODAY(),-1)+1=Cashflows[[#This Row],[MonthDate]],MAX(Cashflows[Cumulative]),"")</f>
        <v/>
      </c>
    </row>
    <row r="133" spans="1:10">
      <c r="A133" t="str">
        <f ca="1">IF(OFFSET(Cashflows[#This Row],-1,0)=Cashflows[[#Headers],[Fiscal Year]],'Target Tracking'!$E$17,IF(Cashflows[[#This Row],[Month Num]]&lt;&gt;4,OFFSET(Cashflows[#This Row],-1,0),CONCATENATE(LEFT(OFFSET(Cashflows[#This Row],-1,0),4)+1,"-",RIGHT(OFFSET(Cashflows[#This Row],-1,0),2)+1)))</f>
        <v>2027-28</v>
      </c>
      <c r="B133">
        <f ca="1">IF(OFFSET(Cashflows[#This Row],-1,0)=Cashflows[[#Headers],[Month Num]],4,MONTH(EDATE(DATE(2000,OFFSET(Cashflows[#This Row],-1,0),1),1)))</f>
        <v>3</v>
      </c>
      <c r="C133" t="str">
        <f ca="1">IF(IFERROR(INDEX('Target Tracking'!$19:$19,,MATCH(Cashflows[[#This Row],[Fiscal Year]],'Target Tracking'!$17:$17,0)),0)&gt;0,TEXT(DATE(IF(Cashflows[[#This Row],[Month Num]]&gt;=4,LEFT(Cashflows[[#This Row],[Fiscal Year]],4),"20" &amp; RIGHT(Cashflows[[#This Row],[Fiscal Year]],2)),Cashflows[[#This Row],[Month Num]],1),"mmm yyyy"),"")</f>
        <v/>
      </c>
      <c r="D133">
        <f ca="1">IF(Cashflows[[#This Row],[Month Num]]=4,-12,OFFSET(Cashflows[#This Row],-1,0)+1)</f>
        <v>-1</v>
      </c>
      <c r="E133" t="str">
        <f ca="1">IF(Cashflows[[#This Row],[Month]]="","",IFERROR(OFFSET(INDEX(OFFSET(Cashflow!$U$7,0,0,,CELL("col",CWS_Total) - CELL("col",Cashflow!$U$7)),MATCH(Cashflows[[#This Row],[MonthDate]],OFFSET(Cashflow!$U$7,0,0,,CELL("col",CWS_Total) - CELL("col",Cashflow!$U$7)),0)),MATCH("Total",Cashflow!$B:$B,0)-7,0),0))</f>
        <v/>
      </c>
      <c r="F133" s="228" t="str">
        <f ca="1">IFERROR(Cashflows[[#This Row],[Cashflow]]+IF(OFFSET(Cashflows[#This Row],-1,0)=Cashflows[[#Headers],[Cumulative]],0,IF(OFFSET(Cashflows[#This Row],-1,0)="",0,OFFSET(Cashflows[#This Row],-1,0))),"")</f>
        <v/>
      </c>
      <c r="G133" s="228" t="str">
        <f ca="1">IF(Cashflows[[#This Row],[MonthDate]]&lt;&gt;"",INDEX(Cashflow!$U$142:$FQ$142,MATCH(Cashflows[[#This Row],[MonthDate]],Cashflow!$U$7:$FQ$7,0)),"")</f>
        <v/>
      </c>
      <c r="H133" s="228" t="str">
        <f ca="1">IF(Cashflows[[#This Row],[MonthDate]]&lt;&gt;"",INDEX(Cashflow!$U$143:$FQ$143,MATCH(Cashflows[[#This Row],[MonthDate]],Cashflow!$U$7:$FQ$7,0)),"")</f>
        <v/>
      </c>
      <c r="I133" s="226" t="str">
        <f ca="1">IFERROR(DATEVALUE(Cashflows[[#This Row],[Month]]),"")</f>
        <v/>
      </c>
      <c r="J133" s="228" t="str">
        <f ca="1">IF(EOMONTH(TODAY(),-1)+1=Cashflows[[#This Row],[MonthDate]],MAX(Cashflows[Cumulative]),"")</f>
        <v/>
      </c>
    </row>
    <row r="134" spans="1:10">
      <c r="A134" t="str">
        <f ca="1">IF(OFFSET(Cashflows[#This Row],-1,0)=Cashflows[[#Headers],[Fiscal Year]],'Target Tracking'!$E$17,IF(Cashflows[[#This Row],[Month Num]]&lt;&gt;4,OFFSET(Cashflows[#This Row],-1,0),CONCATENATE(LEFT(OFFSET(Cashflows[#This Row],-1,0),4)+1,"-",RIGHT(OFFSET(Cashflows[#This Row],-1,0),2)+1)))</f>
        <v>2028-29</v>
      </c>
      <c r="B134">
        <f ca="1">IF(OFFSET(Cashflows[#This Row],-1,0)=Cashflows[[#Headers],[Month Num]],4,MONTH(EDATE(DATE(2000,OFFSET(Cashflows[#This Row],-1,0),1),1)))</f>
        <v>4</v>
      </c>
      <c r="C134" t="str">
        <f ca="1">IF(IFERROR(INDEX('Target Tracking'!$19:$19,,MATCH(Cashflows[[#This Row],[Fiscal Year]],'Target Tracking'!$17:$17,0)),0)&gt;0,TEXT(DATE(IF(Cashflows[[#This Row],[Month Num]]&gt;=4,LEFT(Cashflows[[#This Row],[Fiscal Year]],4),"20" &amp; RIGHT(Cashflows[[#This Row],[Fiscal Year]],2)),Cashflows[[#This Row],[Month Num]],1),"mmm yyyy"),"")</f>
        <v/>
      </c>
      <c r="D134">
        <f ca="1">IF(Cashflows[[#This Row],[Month Num]]=4,-12,OFFSET(Cashflows[#This Row],-1,0)+1)</f>
        <v>-12</v>
      </c>
      <c r="E134" t="str">
        <f ca="1">IF(Cashflows[[#This Row],[Month]]="","",IFERROR(OFFSET(INDEX(OFFSET(Cashflow!$U$7,0,0,,CELL("col",CWS_Total) - CELL("col",Cashflow!$U$7)),MATCH(Cashflows[[#This Row],[MonthDate]],OFFSET(Cashflow!$U$7,0,0,,CELL("col",CWS_Total) - CELL("col",Cashflow!$U$7)),0)),MATCH("Total",Cashflow!$B:$B,0)-7,0),0))</f>
        <v/>
      </c>
      <c r="F134" s="228" t="str">
        <f ca="1">IFERROR(Cashflows[[#This Row],[Cashflow]]+IF(OFFSET(Cashflows[#This Row],-1,0)=Cashflows[[#Headers],[Cumulative]],0,IF(OFFSET(Cashflows[#This Row],-1,0)="",0,OFFSET(Cashflows[#This Row],-1,0))),"")</f>
        <v/>
      </c>
      <c r="G134" s="228" t="str">
        <f ca="1">IF(Cashflows[[#This Row],[MonthDate]]&lt;&gt;"",INDEX(Cashflow!$U$142:$FQ$142,MATCH(Cashflows[[#This Row],[MonthDate]],Cashflow!$U$7:$FQ$7,0)),"")</f>
        <v/>
      </c>
      <c r="H134" s="228" t="str">
        <f ca="1">IF(Cashflows[[#This Row],[MonthDate]]&lt;&gt;"",INDEX(Cashflow!$U$143:$FQ$143,MATCH(Cashflows[[#This Row],[MonthDate]],Cashflow!$U$7:$FQ$7,0)),"")</f>
        <v/>
      </c>
      <c r="I134" s="226" t="str">
        <f ca="1">IFERROR(DATEVALUE(Cashflows[[#This Row],[Month]]),"")</f>
        <v/>
      </c>
      <c r="J134" s="228" t="str">
        <f ca="1">IF(EOMONTH(TODAY(),-1)+1=Cashflows[[#This Row],[MonthDate]],MAX(Cashflows[Cumulative]),"")</f>
        <v/>
      </c>
    </row>
    <row r="135" spans="1:10">
      <c r="A135" t="str">
        <f ca="1">IF(OFFSET(Cashflows[#This Row],-1,0)=Cashflows[[#Headers],[Fiscal Year]],'Target Tracking'!$E$17,IF(Cashflows[[#This Row],[Month Num]]&lt;&gt;4,OFFSET(Cashflows[#This Row],-1,0),CONCATENATE(LEFT(OFFSET(Cashflows[#This Row],-1,0),4)+1,"-",RIGHT(OFFSET(Cashflows[#This Row],-1,0),2)+1)))</f>
        <v>2028-29</v>
      </c>
      <c r="B135">
        <f ca="1">IF(OFFSET(Cashflows[#This Row],-1,0)=Cashflows[[#Headers],[Month Num]],4,MONTH(EDATE(DATE(2000,OFFSET(Cashflows[#This Row],-1,0),1),1)))</f>
        <v>5</v>
      </c>
      <c r="C135" t="str">
        <f ca="1">IF(IFERROR(INDEX('Target Tracking'!$19:$19,,MATCH(Cashflows[[#This Row],[Fiscal Year]],'Target Tracking'!$17:$17,0)),0)&gt;0,TEXT(DATE(IF(Cashflows[[#This Row],[Month Num]]&gt;=4,LEFT(Cashflows[[#This Row],[Fiscal Year]],4),"20" &amp; RIGHT(Cashflows[[#This Row],[Fiscal Year]],2)),Cashflows[[#This Row],[Month Num]],1),"mmm yyyy"),"")</f>
        <v/>
      </c>
      <c r="D135">
        <f ca="1">IF(Cashflows[[#This Row],[Month Num]]=4,-12,OFFSET(Cashflows[#This Row],-1,0)+1)</f>
        <v>-11</v>
      </c>
      <c r="E135" t="str">
        <f ca="1">IF(Cashflows[[#This Row],[Month]]="","",IFERROR(OFFSET(INDEX(OFFSET(Cashflow!$U$7,0,0,,CELL("col",CWS_Total) - CELL("col",Cashflow!$U$7)),MATCH(Cashflows[[#This Row],[MonthDate]],OFFSET(Cashflow!$U$7,0,0,,CELL("col",CWS_Total) - CELL("col",Cashflow!$U$7)),0)),MATCH("Total",Cashflow!$B:$B,0)-7,0),0))</f>
        <v/>
      </c>
      <c r="F135" s="228" t="str">
        <f ca="1">IFERROR(Cashflows[[#This Row],[Cashflow]]+IF(OFFSET(Cashflows[#This Row],-1,0)=Cashflows[[#Headers],[Cumulative]],0,IF(OFFSET(Cashflows[#This Row],-1,0)="",0,OFFSET(Cashflows[#This Row],-1,0))),"")</f>
        <v/>
      </c>
      <c r="G135" s="228" t="str">
        <f ca="1">IF(Cashflows[[#This Row],[MonthDate]]&lt;&gt;"",INDEX(Cashflow!$U$142:$FQ$142,MATCH(Cashflows[[#This Row],[MonthDate]],Cashflow!$U$7:$FQ$7,0)),"")</f>
        <v/>
      </c>
      <c r="H135" s="228" t="str">
        <f ca="1">IF(Cashflows[[#This Row],[MonthDate]]&lt;&gt;"",INDEX(Cashflow!$U$143:$FQ$143,MATCH(Cashflows[[#This Row],[MonthDate]],Cashflow!$U$7:$FQ$7,0)),"")</f>
        <v/>
      </c>
      <c r="I135" s="226" t="str">
        <f ca="1">IFERROR(DATEVALUE(Cashflows[[#This Row],[Month]]),"")</f>
        <v/>
      </c>
      <c r="J135" s="228" t="str">
        <f ca="1">IF(EOMONTH(TODAY(),-1)+1=Cashflows[[#This Row],[MonthDate]],MAX(Cashflows[Cumulative]),"")</f>
        <v/>
      </c>
    </row>
    <row r="136" spans="1:10">
      <c r="A136" t="str">
        <f ca="1">IF(OFFSET(Cashflows[#This Row],-1,0)=Cashflows[[#Headers],[Fiscal Year]],'Target Tracking'!$E$17,IF(Cashflows[[#This Row],[Month Num]]&lt;&gt;4,OFFSET(Cashflows[#This Row],-1,0),CONCATENATE(LEFT(OFFSET(Cashflows[#This Row],-1,0),4)+1,"-",RIGHT(OFFSET(Cashflows[#This Row],-1,0),2)+1)))</f>
        <v>2028-29</v>
      </c>
      <c r="B136">
        <f ca="1">IF(OFFSET(Cashflows[#This Row],-1,0)=Cashflows[[#Headers],[Month Num]],4,MONTH(EDATE(DATE(2000,OFFSET(Cashflows[#This Row],-1,0),1),1)))</f>
        <v>6</v>
      </c>
      <c r="C136" t="str">
        <f ca="1">IF(IFERROR(INDEX('Target Tracking'!$19:$19,,MATCH(Cashflows[[#This Row],[Fiscal Year]],'Target Tracking'!$17:$17,0)),0)&gt;0,TEXT(DATE(IF(Cashflows[[#This Row],[Month Num]]&gt;=4,LEFT(Cashflows[[#This Row],[Fiscal Year]],4),"20" &amp; RIGHT(Cashflows[[#This Row],[Fiscal Year]],2)),Cashflows[[#This Row],[Month Num]],1),"mmm yyyy"),"")</f>
        <v/>
      </c>
      <c r="D136">
        <f ca="1">IF(Cashflows[[#This Row],[Month Num]]=4,-12,OFFSET(Cashflows[#This Row],-1,0)+1)</f>
        <v>-10</v>
      </c>
      <c r="E136" t="str">
        <f ca="1">IF(Cashflows[[#This Row],[Month]]="","",IFERROR(OFFSET(INDEX(OFFSET(Cashflow!$U$7,0,0,,CELL("col",CWS_Total) - CELL("col",Cashflow!$U$7)),MATCH(Cashflows[[#This Row],[MonthDate]],OFFSET(Cashflow!$U$7,0,0,,CELL("col",CWS_Total) - CELL("col",Cashflow!$U$7)),0)),MATCH("Total",Cashflow!$B:$B,0)-7,0),0))</f>
        <v/>
      </c>
      <c r="F136" s="228" t="str">
        <f ca="1">IFERROR(Cashflows[[#This Row],[Cashflow]]+IF(OFFSET(Cashflows[#This Row],-1,0)=Cashflows[[#Headers],[Cumulative]],0,IF(OFFSET(Cashflows[#This Row],-1,0)="",0,OFFSET(Cashflows[#This Row],-1,0))),"")</f>
        <v/>
      </c>
      <c r="G136" s="228" t="str">
        <f ca="1">IF(Cashflows[[#This Row],[MonthDate]]&lt;&gt;"",INDEX(Cashflow!$U$142:$FQ$142,MATCH(Cashflows[[#This Row],[MonthDate]],Cashflow!$U$7:$FQ$7,0)),"")</f>
        <v/>
      </c>
      <c r="H136" s="228" t="str">
        <f ca="1">IF(Cashflows[[#This Row],[MonthDate]]&lt;&gt;"",INDEX(Cashflow!$U$143:$FQ$143,MATCH(Cashflows[[#This Row],[MonthDate]],Cashflow!$U$7:$FQ$7,0)),"")</f>
        <v/>
      </c>
      <c r="I136" s="226" t="str">
        <f ca="1">IFERROR(DATEVALUE(Cashflows[[#This Row],[Month]]),"")</f>
        <v/>
      </c>
      <c r="J136" s="228" t="str">
        <f ca="1">IF(EOMONTH(TODAY(),-1)+1=Cashflows[[#This Row],[MonthDate]],MAX(Cashflows[Cumulative]),"")</f>
        <v/>
      </c>
    </row>
    <row r="137" spans="1:10">
      <c r="A137" t="str">
        <f ca="1">IF(OFFSET(Cashflows[#This Row],-1,0)=Cashflows[[#Headers],[Fiscal Year]],'Target Tracking'!$E$17,IF(Cashflows[[#This Row],[Month Num]]&lt;&gt;4,OFFSET(Cashflows[#This Row],-1,0),CONCATENATE(LEFT(OFFSET(Cashflows[#This Row],-1,0),4)+1,"-",RIGHT(OFFSET(Cashflows[#This Row],-1,0),2)+1)))</f>
        <v>2028-29</v>
      </c>
      <c r="B137">
        <f ca="1">IF(OFFSET(Cashflows[#This Row],-1,0)=Cashflows[[#Headers],[Month Num]],4,MONTH(EDATE(DATE(2000,OFFSET(Cashflows[#This Row],-1,0),1),1)))</f>
        <v>7</v>
      </c>
      <c r="C137" t="str">
        <f ca="1">IF(IFERROR(INDEX('Target Tracking'!$19:$19,,MATCH(Cashflows[[#This Row],[Fiscal Year]],'Target Tracking'!$17:$17,0)),0)&gt;0,TEXT(DATE(IF(Cashflows[[#This Row],[Month Num]]&gt;=4,LEFT(Cashflows[[#This Row],[Fiscal Year]],4),"20" &amp; RIGHT(Cashflows[[#This Row],[Fiscal Year]],2)),Cashflows[[#This Row],[Month Num]],1),"mmm yyyy"),"")</f>
        <v/>
      </c>
      <c r="D137">
        <f ca="1">IF(Cashflows[[#This Row],[Month Num]]=4,-12,OFFSET(Cashflows[#This Row],-1,0)+1)</f>
        <v>-9</v>
      </c>
      <c r="E137" t="str">
        <f ca="1">IF(Cashflows[[#This Row],[Month]]="","",IFERROR(OFFSET(INDEX(OFFSET(Cashflow!$U$7,0,0,,CELL("col",CWS_Total) - CELL("col",Cashflow!$U$7)),MATCH(Cashflows[[#This Row],[MonthDate]],OFFSET(Cashflow!$U$7,0,0,,CELL("col",CWS_Total) - CELL("col",Cashflow!$U$7)),0)),MATCH("Total",Cashflow!$B:$B,0)-7,0),0))</f>
        <v/>
      </c>
      <c r="F137" s="228" t="str">
        <f ca="1">IFERROR(Cashflows[[#This Row],[Cashflow]]+IF(OFFSET(Cashflows[#This Row],-1,0)=Cashflows[[#Headers],[Cumulative]],0,IF(OFFSET(Cashflows[#This Row],-1,0)="",0,OFFSET(Cashflows[#This Row],-1,0))),"")</f>
        <v/>
      </c>
      <c r="G137" s="228" t="str">
        <f ca="1">IF(Cashflows[[#This Row],[MonthDate]]&lt;&gt;"",INDEX(Cashflow!$U$142:$FQ$142,MATCH(Cashflows[[#This Row],[MonthDate]],Cashflow!$U$7:$FQ$7,0)),"")</f>
        <v/>
      </c>
      <c r="H137" s="228" t="str">
        <f ca="1">IF(Cashflows[[#This Row],[MonthDate]]&lt;&gt;"",INDEX(Cashflow!$U$143:$FQ$143,MATCH(Cashflows[[#This Row],[MonthDate]],Cashflow!$U$7:$FQ$7,0)),"")</f>
        <v/>
      </c>
      <c r="I137" s="226" t="str">
        <f ca="1">IFERROR(DATEVALUE(Cashflows[[#This Row],[Month]]),"")</f>
        <v/>
      </c>
      <c r="J137" s="228" t="str">
        <f ca="1">IF(EOMONTH(TODAY(),-1)+1=Cashflows[[#This Row],[MonthDate]],MAX(Cashflows[Cumulative]),"")</f>
        <v/>
      </c>
    </row>
    <row r="138" spans="1:10">
      <c r="A138" t="str">
        <f ca="1">IF(OFFSET(Cashflows[#This Row],-1,0)=Cashflows[[#Headers],[Fiscal Year]],'Target Tracking'!$E$17,IF(Cashflows[[#This Row],[Month Num]]&lt;&gt;4,OFFSET(Cashflows[#This Row],-1,0),CONCATENATE(LEFT(OFFSET(Cashflows[#This Row],-1,0),4)+1,"-",RIGHT(OFFSET(Cashflows[#This Row],-1,0),2)+1)))</f>
        <v>2028-29</v>
      </c>
      <c r="B138">
        <f ca="1">IF(OFFSET(Cashflows[#This Row],-1,0)=Cashflows[[#Headers],[Month Num]],4,MONTH(EDATE(DATE(2000,OFFSET(Cashflows[#This Row],-1,0),1),1)))</f>
        <v>8</v>
      </c>
      <c r="C138" t="str">
        <f ca="1">IF(IFERROR(INDEX('Target Tracking'!$19:$19,,MATCH(Cashflows[[#This Row],[Fiscal Year]],'Target Tracking'!$17:$17,0)),0)&gt;0,TEXT(DATE(IF(Cashflows[[#This Row],[Month Num]]&gt;=4,LEFT(Cashflows[[#This Row],[Fiscal Year]],4),"20" &amp; RIGHT(Cashflows[[#This Row],[Fiscal Year]],2)),Cashflows[[#This Row],[Month Num]],1),"mmm yyyy"),"")</f>
        <v/>
      </c>
      <c r="D138">
        <f ca="1">IF(Cashflows[[#This Row],[Month Num]]=4,-12,OFFSET(Cashflows[#This Row],-1,0)+1)</f>
        <v>-8</v>
      </c>
      <c r="E138" t="str">
        <f ca="1">IF(Cashflows[[#This Row],[Month]]="","",IFERROR(OFFSET(INDEX(OFFSET(Cashflow!$U$7,0,0,,CELL("col",CWS_Total) - CELL("col",Cashflow!$U$7)),MATCH(Cashflows[[#This Row],[MonthDate]],OFFSET(Cashflow!$U$7,0,0,,CELL("col",CWS_Total) - CELL("col",Cashflow!$U$7)),0)),MATCH("Total",Cashflow!$B:$B,0)-7,0),0))</f>
        <v/>
      </c>
      <c r="F138" s="228" t="str">
        <f ca="1">IFERROR(Cashflows[[#This Row],[Cashflow]]+IF(OFFSET(Cashflows[#This Row],-1,0)=Cashflows[[#Headers],[Cumulative]],0,IF(OFFSET(Cashflows[#This Row],-1,0)="",0,OFFSET(Cashflows[#This Row],-1,0))),"")</f>
        <v/>
      </c>
      <c r="G138" s="228" t="str">
        <f ca="1">IF(Cashflows[[#This Row],[MonthDate]]&lt;&gt;"",INDEX(Cashflow!$U$142:$FQ$142,MATCH(Cashflows[[#This Row],[MonthDate]],Cashflow!$U$7:$FQ$7,0)),"")</f>
        <v/>
      </c>
      <c r="H138" s="228" t="str">
        <f ca="1">IF(Cashflows[[#This Row],[MonthDate]]&lt;&gt;"",INDEX(Cashflow!$U$143:$FQ$143,MATCH(Cashflows[[#This Row],[MonthDate]],Cashflow!$U$7:$FQ$7,0)),"")</f>
        <v/>
      </c>
      <c r="I138" s="226" t="str">
        <f ca="1">IFERROR(DATEVALUE(Cashflows[[#This Row],[Month]]),"")</f>
        <v/>
      </c>
      <c r="J138" s="228" t="str">
        <f ca="1">IF(EOMONTH(TODAY(),-1)+1=Cashflows[[#This Row],[MonthDate]],MAX(Cashflows[Cumulative]),"")</f>
        <v/>
      </c>
    </row>
    <row r="139" spans="1:10">
      <c r="A139" t="str">
        <f ca="1">IF(OFFSET(Cashflows[#This Row],-1,0)=Cashflows[[#Headers],[Fiscal Year]],'Target Tracking'!$E$17,IF(Cashflows[[#This Row],[Month Num]]&lt;&gt;4,OFFSET(Cashflows[#This Row],-1,0),CONCATENATE(LEFT(OFFSET(Cashflows[#This Row],-1,0),4)+1,"-",RIGHT(OFFSET(Cashflows[#This Row],-1,0),2)+1)))</f>
        <v>2028-29</v>
      </c>
      <c r="B139">
        <f ca="1">IF(OFFSET(Cashflows[#This Row],-1,0)=Cashflows[[#Headers],[Month Num]],4,MONTH(EDATE(DATE(2000,OFFSET(Cashflows[#This Row],-1,0),1),1)))</f>
        <v>9</v>
      </c>
      <c r="C139" t="str">
        <f ca="1">IF(IFERROR(INDEX('Target Tracking'!$19:$19,,MATCH(Cashflows[[#This Row],[Fiscal Year]],'Target Tracking'!$17:$17,0)),0)&gt;0,TEXT(DATE(IF(Cashflows[[#This Row],[Month Num]]&gt;=4,LEFT(Cashflows[[#This Row],[Fiscal Year]],4),"20" &amp; RIGHT(Cashflows[[#This Row],[Fiscal Year]],2)),Cashflows[[#This Row],[Month Num]],1),"mmm yyyy"),"")</f>
        <v/>
      </c>
      <c r="D139">
        <f ca="1">IF(Cashflows[[#This Row],[Month Num]]=4,-12,OFFSET(Cashflows[#This Row],-1,0)+1)</f>
        <v>-7</v>
      </c>
      <c r="E139" t="str">
        <f ca="1">IF(Cashflows[[#This Row],[Month]]="","",IFERROR(OFFSET(INDEX(OFFSET(Cashflow!$U$7,0,0,,CELL("col",CWS_Total) - CELL("col",Cashflow!$U$7)),MATCH(Cashflows[[#This Row],[MonthDate]],OFFSET(Cashflow!$U$7,0,0,,CELL("col",CWS_Total) - CELL("col",Cashflow!$U$7)),0)),MATCH("Total",Cashflow!$B:$B,0)-7,0),0))</f>
        <v/>
      </c>
      <c r="F139" s="228" t="str">
        <f ca="1">IFERROR(Cashflows[[#This Row],[Cashflow]]+IF(OFFSET(Cashflows[#This Row],-1,0)=Cashflows[[#Headers],[Cumulative]],0,IF(OFFSET(Cashflows[#This Row],-1,0)="",0,OFFSET(Cashflows[#This Row],-1,0))),"")</f>
        <v/>
      </c>
      <c r="G139" s="228" t="str">
        <f ca="1">IF(Cashflows[[#This Row],[MonthDate]]&lt;&gt;"",INDEX(Cashflow!$U$142:$FQ$142,MATCH(Cashflows[[#This Row],[MonthDate]],Cashflow!$U$7:$FQ$7,0)),"")</f>
        <v/>
      </c>
      <c r="H139" s="228" t="str">
        <f ca="1">IF(Cashflows[[#This Row],[MonthDate]]&lt;&gt;"",INDEX(Cashflow!$U$143:$FQ$143,MATCH(Cashflows[[#This Row],[MonthDate]],Cashflow!$U$7:$FQ$7,0)),"")</f>
        <v/>
      </c>
      <c r="I139" s="226" t="str">
        <f ca="1">IFERROR(DATEVALUE(Cashflows[[#This Row],[Month]]),"")</f>
        <v/>
      </c>
      <c r="J139" s="228" t="str">
        <f ca="1">IF(EOMONTH(TODAY(),-1)+1=Cashflows[[#This Row],[MonthDate]],MAX(Cashflows[Cumulative]),"")</f>
        <v/>
      </c>
    </row>
    <row r="140" spans="1:10">
      <c r="A140" t="str">
        <f ca="1">IF(OFFSET(Cashflows[#This Row],-1,0)=Cashflows[[#Headers],[Fiscal Year]],'Target Tracking'!$E$17,IF(Cashflows[[#This Row],[Month Num]]&lt;&gt;4,OFFSET(Cashflows[#This Row],-1,0),CONCATENATE(LEFT(OFFSET(Cashflows[#This Row],-1,0),4)+1,"-",RIGHT(OFFSET(Cashflows[#This Row],-1,0),2)+1)))</f>
        <v>2028-29</v>
      </c>
      <c r="B140">
        <f ca="1">IF(OFFSET(Cashflows[#This Row],-1,0)=Cashflows[[#Headers],[Month Num]],4,MONTH(EDATE(DATE(2000,OFFSET(Cashflows[#This Row],-1,0),1),1)))</f>
        <v>10</v>
      </c>
      <c r="C140" t="str">
        <f ca="1">IF(IFERROR(INDEX('Target Tracking'!$19:$19,,MATCH(Cashflows[[#This Row],[Fiscal Year]],'Target Tracking'!$17:$17,0)),0)&gt;0,TEXT(DATE(IF(Cashflows[[#This Row],[Month Num]]&gt;=4,LEFT(Cashflows[[#This Row],[Fiscal Year]],4),"20" &amp; RIGHT(Cashflows[[#This Row],[Fiscal Year]],2)),Cashflows[[#This Row],[Month Num]],1),"mmm yyyy"),"")</f>
        <v/>
      </c>
      <c r="D140">
        <f ca="1">IF(Cashflows[[#This Row],[Month Num]]=4,-12,OFFSET(Cashflows[#This Row],-1,0)+1)</f>
        <v>-6</v>
      </c>
      <c r="E140" t="str">
        <f ca="1">IF(Cashflows[[#This Row],[Month]]="","",IFERROR(OFFSET(INDEX(OFFSET(Cashflow!$U$7,0,0,,CELL("col",CWS_Total) - CELL("col",Cashflow!$U$7)),MATCH(Cashflows[[#This Row],[MonthDate]],OFFSET(Cashflow!$U$7,0,0,,CELL("col",CWS_Total) - CELL("col",Cashflow!$U$7)),0)),MATCH("Total",Cashflow!$B:$B,0)-7,0),0))</f>
        <v/>
      </c>
      <c r="F140" s="228" t="str">
        <f ca="1">IFERROR(Cashflows[[#This Row],[Cashflow]]+IF(OFFSET(Cashflows[#This Row],-1,0)=Cashflows[[#Headers],[Cumulative]],0,IF(OFFSET(Cashflows[#This Row],-1,0)="",0,OFFSET(Cashflows[#This Row],-1,0))),"")</f>
        <v/>
      </c>
      <c r="G140" s="228" t="str">
        <f ca="1">IF(Cashflows[[#This Row],[MonthDate]]&lt;&gt;"",INDEX(Cashflow!$U$142:$FQ$142,MATCH(Cashflows[[#This Row],[MonthDate]],Cashflow!$U$7:$FQ$7,0)),"")</f>
        <v/>
      </c>
      <c r="H140" s="228" t="str">
        <f ca="1">IF(Cashflows[[#This Row],[MonthDate]]&lt;&gt;"",INDEX(Cashflow!$U$143:$FQ$143,MATCH(Cashflows[[#This Row],[MonthDate]],Cashflow!$U$7:$FQ$7,0)),"")</f>
        <v/>
      </c>
      <c r="I140" s="226" t="str">
        <f ca="1">IFERROR(DATEVALUE(Cashflows[[#This Row],[Month]]),"")</f>
        <v/>
      </c>
      <c r="J140" s="228" t="str">
        <f ca="1">IF(EOMONTH(TODAY(),-1)+1=Cashflows[[#This Row],[MonthDate]],MAX(Cashflows[Cumulative]),"")</f>
        <v/>
      </c>
    </row>
    <row r="141" spans="1:10">
      <c r="A141" t="str">
        <f ca="1">IF(OFFSET(Cashflows[#This Row],-1,0)=Cashflows[[#Headers],[Fiscal Year]],'Target Tracking'!$E$17,IF(Cashflows[[#This Row],[Month Num]]&lt;&gt;4,OFFSET(Cashflows[#This Row],-1,0),CONCATENATE(LEFT(OFFSET(Cashflows[#This Row],-1,0),4)+1,"-",RIGHT(OFFSET(Cashflows[#This Row],-1,0),2)+1)))</f>
        <v>2028-29</v>
      </c>
      <c r="B141">
        <f ca="1">IF(OFFSET(Cashflows[#This Row],-1,0)=Cashflows[[#Headers],[Month Num]],4,MONTH(EDATE(DATE(2000,OFFSET(Cashflows[#This Row],-1,0),1),1)))</f>
        <v>11</v>
      </c>
      <c r="C141" t="str">
        <f ca="1">IF(IFERROR(INDEX('Target Tracking'!$19:$19,,MATCH(Cashflows[[#This Row],[Fiscal Year]],'Target Tracking'!$17:$17,0)),0)&gt;0,TEXT(DATE(IF(Cashflows[[#This Row],[Month Num]]&gt;=4,LEFT(Cashflows[[#This Row],[Fiscal Year]],4),"20" &amp; RIGHT(Cashflows[[#This Row],[Fiscal Year]],2)),Cashflows[[#This Row],[Month Num]],1),"mmm yyyy"),"")</f>
        <v/>
      </c>
      <c r="D141">
        <f ca="1">IF(Cashflows[[#This Row],[Month Num]]=4,-12,OFFSET(Cashflows[#This Row],-1,0)+1)</f>
        <v>-5</v>
      </c>
      <c r="E141" t="str">
        <f ca="1">IF(Cashflows[[#This Row],[Month]]="","",IFERROR(OFFSET(INDEX(OFFSET(Cashflow!$U$7,0,0,,CELL("col",CWS_Total) - CELL("col",Cashflow!$U$7)),MATCH(Cashflows[[#This Row],[MonthDate]],OFFSET(Cashflow!$U$7,0,0,,CELL("col",CWS_Total) - CELL("col",Cashflow!$U$7)),0)),MATCH("Total",Cashflow!$B:$B,0)-7,0),0))</f>
        <v/>
      </c>
      <c r="F141" s="228" t="str">
        <f ca="1">IFERROR(Cashflows[[#This Row],[Cashflow]]+IF(OFFSET(Cashflows[#This Row],-1,0)=Cashflows[[#Headers],[Cumulative]],0,IF(OFFSET(Cashflows[#This Row],-1,0)="",0,OFFSET(Cashflows[#This Row],-1,0))),"")</f>
        <v/>
      </c>
      <c r="G141" s="228" t="str">
        <f ca="1">IF(Cashflows[[#This Row],[MonthDate]]&lt;&gt;"",INDEX(Cashflow!$U$142:$FQ$142,MATCH(Cashflows[[#This Row],[MonthDate]],Cashflow!$U$7:$FQ$7,0)),"")</f>
        <v/>
      </c>
      <c r="H141" s="228" t="str">
        <f ca="1">IF(Cashflows[[#This Row],[MonthDate]]&lt;&gt;"",INDEX(Cashflow!$U$143:$FQ$143,MATCH(Cashflows[[#This Row],[MonthDate]],Cashflow!$U$7:$FQ$7,0)),"")</f>
        <v/>
      </c>
      <c r="I141" s="226" t="str">
        <f ca="1">IFERROR(DATEVALUE(Cashflows[[#This Row],[Month]]),"")</f>
        <v/>
      </c>
      <c r="J141" s="228" t="str">
        <f ca="1">IF(EOMONTH(TODAY(),-1)+1=Cashflows[[#This Row],[MonthDate]],MAX(Cashflows[Cumulative]),"")</f>
        <v/>
      </c>
    </row>
    <row r="142" spans="1:10">
      <c r="A142" t="str">
        <f ca="1">IF(OFFSET(Cashflows[#This Row],-1,0)=Cashflows[[#Headers],[Fiscal Year]],'Target Tracking'!$E$17,IF(Cashflows[[#This Row],[Month Num]]&lt;&gt;4,OFFSET(Cashflows[#This Row],-1,0),CONCATENATE(LEFT(OFFSET(Cashflows[#This Row],-1,0),4)+1,"-",RIGHT(OFFSET(Cashflows[#This Row],-1,0),2)+1)))</f>
        <v>2028-29</v>
      </c>
      <c r="B142">
        <f ca="1">IF(OFFSET(Cashflows[#This Row],-1,0)=Cashflows[[#Headers],[Month Num]],4,MONTH(EDATE(DATE(2000,OFFSET(Cashflows[#This Row],-1,0),1),1)))</f>
        <v>12</v>
      </c>
      <c r="C142" t="str">
        <f ca="1">IF(IFERROR(INDEX('Target Tracking'!$19:$19,,MATCH(Cashflows[[#This Row],[Fiscal Year]],'Target Tracking'!$17:$17,0)),0)&gt;0,TEXT(DATE(IF(Cashflows[[#This Row],[Month Num]]&gt;=4,LEFT(Cashflows[[#This Row],[Fiscal Year]],4),"20" &amp; RIGHT(Cashflows[[#This Row],[Fiscal Year]],2)),Cashflows[[#This Row],[Month Num]],1),"mmm yyyy"),"")</f>
        <v/>
      </c>
      <c r="D142">
        <f ca="1">IF(Cashflows[[#This Row],[Month Num]]=4,-12,OFFSET(Cashflows[#This Row],-1,0)+1)</f>
        <v>-4</v>
      </c>
      <c r="E142" t="str">
        <f ca="1">IF(Cashflows[[#This Row],[Month]]="","",IFERROR(OFFSET(INDEX(OFFSET(Cashflow!$U$7,0,0,,CELL("col",CWS_Total) - CELL("col",Cashflow!$U$7)),MATCH(Cashflows[[#This Row],[MonthDate]],OFFSET(Cashflow!$U$7,0,0,,CELL("col",CWS_Total) - CELL("col",Cashflow!$U$7)),0)),MATCH("Total",Cashflow!$B:$B,0)-7,0),0))</f>
        <v/>
      </c>
      <c r="F142" s="228" t="str">
        <f ca="1">IFERROR(Cashflows[[#This Row],[Cashflow]]+IF(OFFSET(Cashflows[#This Row],-1,0)=Cashflows[[#Headers],[Cumulative]],0,IF(OFFSET(Cashflows[#This Row],-1,0)="",0,OFFSET(Cashflows[#This Row],-1,0))),"")</f>
        <v/>
      </c>
      <c r="G142" s="228" t="str">
        <f ca="1">IF(Cashflows[[#This Row],[MonthDate]]&lt;&gt;"",INDEX(Cashflow!$U$142:$FQ$142,MATCH(Cashflows[[#This Row],[MonthDate]],Cashflow!$U$7:$FQ$7,0)),"")</f>
        <v/>
      </c>
      <c r="H142" s="228" t="str">
        <f ca="1">IF(Cashflows[[#This Row],[MonthDate]]&lt;&gt;"",INDEX(Cashflow!$U$143:$FQ$143,MATCH(Cashflows[[#This Row],[MonthDate]],Cashflow!$U$7:$FQ$7,0)),"")</f>
        <v/>
      </c>
      <c r="I142" s="226" t="str">
        <f ca="1">IFERROR(DATEVALUE(Cashflows[[#This Row],[Month]]),"")</f>
        <v/>
      </c>
      <c r="J142" s="228" t="str">
        <f ca="1">IF(EOMONTH(TODAY(),-1)+1=Cashflows[[#This Row],[MonthDate]],MAX(Cashflows[Cumulative]),"")</f>
        <v/>
      </c>
    </row>
    <row r="143" spans="1:10">
      <c r="A143" t="str">
        <f ca="1">IF(OFFSET(Cashflows[#This Row],-1,0)=Cashflows[[#Headers],[Fiscal Year]],'Target Tracking'!$E$17,IF(Cashflows[[#This Row],[Month Num]]&lt;&gt;4,OFFSET(Cashflows[#This Row],-1,0),CONCATENATE(LEFT(OFFSET(Cashflows[#This Row],-1,0),4)+1,"-",RIGHT(OFFSET(Cashflows[#This Row],-1,0),2)+1)))</f>
        <v>2028-29</v>
      </c>
      <c r="B143">
        <f ca="1">IF(OFFSET(Cashflows[#This Row],-1,0)=Cashflows[[#Headers],[Month Num]],4,MONTH(EDATE(DATE(2000,OFFSET(Cashflows[#This Row],-1,0),1),1)))</f>
        <v>1</v>
      </c>
      <c r="C143" t="str">
        <f ca="1">IF(IFERROR(INDEX('Target Tracking'!$19:$19,,MATCH(Cashflows[[#This Row],[Fiscal Year]],'Target Tracking'!$17:$17,0)),0)&gt;0,TEXT(DATE(IF(Cashflows[[#This Row],[Month Num]]&gt;=4,LEFT(Cashflows[[#This Row],[Fiscal Year]],4),"20" &amp; RIGHT(Cashflows[[#This Row],[Fiscal Year]],2)),Cashflows[[#This Row],[Month Num]],1),"mmm yyyy"),"")</f>
        <v/>
      </c>
      <c r="D143">
        <f ca="1">IF(Cashflows[[#This Row],[Month Num]]=4,-12,OFFSET(Cashflows[#This Row],-1,0)+1)</f>
        <v>-3</v>
      </c>
      <c r="E143" t="str">
        <f ca="1">IF(Cashflows[[#This Row],[Month]]="","",IFERROR(OFFSET(INDEX(OFFSET(Cashflow!$U$7,0,0,,CELL("col",CWS_Total) - CELL("col",Cashflow!$U$7)),MATCH(Cashflows[[#This Row],[MonthDate]],OFFSET(Cashflow!$U$7,0,0,,CELL("col",CWS_Total) - CELL("col",Cashflow!$U$7)),0)),MATCH("Total",Cashflow!$B:$B,0)-7,0),0))</f>
        <v/>
      </c>
      <c r="F143" s="228" t="str">
        <f ca="1">IFERROR(Cashflows[[#This Row],[Cashflow]]+IF(OFFSET(Cashflows[#This Row],-1,0)=Cashflows[[#Headers],[Cumulative]],0,IF(OFFSET(Cashflows[#This Row],-1,0)="",0,OFFSET(Cashflows[#This Row],-1,0))),"")</f>
        <v/>
      </c>
      <c r="G143" s="228" t="str">
        <f ca="1">IF(Cashflows[[#This Row],[MonthDate]]&lt;&gt;"",INDEX(Cashflow!$U$142:$FQ$142,MATCH(Cashflows[[#This Row],[MonthDate]],Cashflow!$U$7:$FQ$7,0)),"")</f>
        <v/>
      </c>
      <c r="H143" s="228" t="str">
        <f ca="1">IF(Cashflows[[#This Row],[MonthDate]]&lt;&gt;"",INDEX(Cashflow!$U$143:$FQ$143,MATCH(Cashflows[[#This Row],[MonthDate]],Cashflow!$U$7:$FQ$7,0)),"")</f>
        <v/>
      </c>
      <c r="I143" s="226" t="str">
        <f ca="1">IFERROR(DATEVALUE(Cashflows[[#This Row],[Month]]),"")</f>
        <v/>
      </c>
      <c r="J143" s="228" t="str">
        <f ca="1">IF(EOMONTH(TODAY(),-1)+1=Cashflows[[#This Row],[MonthDate]],MAX(Cashflows[Cumulative]),"")</f>
        <v/>
      </c>
    </row>
    <row r="144" spans="1:10">
      <c r="A144" t="str">
        <f ca="1">IF(OFFSET(Cashflows[#This Row],-1,0)=Cashflows[[#Headers],[Fiscal Year]],'Target Tracking'!$E$17,IF(Cashflows[[#This Row],[Month Num]]&lt;&gt;4,OFFSET(Cashflows[#This Row],-1,0),CONCATENATE(LEFT(OFFSET(Cashflows[#This Row],-1,0),4)+1,"-",RIGHT(OFFSET(Cashflows[#This Row],-1,0),2)+1)))</f>
        <v>2028-29</v>
      </c>
      <c r="B144">
        <f ca="1">IF(OFFSET(Cashflows[#This Row],-1,0)=Cashflows[[#Headers],[Month Num]],4,MONTH(EDATE(DATE(2000,OFFSET(Cashflows[#This Row],-1,0),1),1)))</f>
        <v>2</v>
      </c>
      <c r="C144" t="str">
        <f ca="1">IF(IFERROR(INDEX('Target Tracking'!$19:$19,,MATCH(Cashflows[[#This Row],[Fiscal Year]],'Target Tracking'!$17:$17,0)),0)&gt;0,TEXT(DATE(IF(Cashflows[[#This Row],[Month Num]]&gt;=4,LEFT(Cashflows[[#This Row],[Fiscal Year]],4),"20" &amp; RIGHT(Cashflows[[#This Row],[Fiscal Year]],2)),Cashflows[[#This Row],[Month Num]],1),"mmm yyyy"),"")</f>
        <v/>
      </c>
      <c r="D144">
        <f ca="1">IF(Cashflows[[#This Row],[Month Num]]=4,-12,OFFSET(Cashflows[#This Row],-1,0)+1)</f>
        <v>-2</v>
      </c>
      <c r="E144" t="str">
        <f ca="1">IF(Cashflows[[#This Row],[Month]]="","",IFERROR(OFFSET(INDEX(OFFSET(Cashflow!$U$7,0,0,,CELL("col",CWS_Total) - CELL("col",Cashflow!$U$7)),MATCH(Cashflows[[#This Row],[MonthDate]],OFFSET(Cashflow!$U$7,0,0,,CELL("col",CWS_Total) - CELL("col",Cashflow!$U$7)),0)),MATCH("Total",Cashflow!$B:$B,0)-7,0),0))</f>
        <v/>
      </c>
      <c r="F144" s="228" t="str">
        <f ca="1">IFERROR(Cashflows[[#This Row],[Cashflow]]+IF(OFFSET(Cashflows[#This Row],-1,0)=Cashflows[[#Headers],[Cumulative]],0,IF(OFFSET(Cashflows[#This Row],-1,0)="",0,OFFSET(Cashflows[#This Row],-1,0))),"")</f>
        <v/>
      </c>
      <c r="G144" s="228" t="str">
        <f ca="1">IF(Cashflows[[#This Row],[MonthDate]]&lt;&gt;"",INDEX(Cashflow!$U$142:$FQ$142,MATCH(Cashflows[[#This Row],[MonthDate]],Cashflow!$U$7:$FQ$7,0)),"")</f>
        <v/>
      </c>
      <c r="H144" s="228" t="str">
        <f ca="1">IF(Cashflows[[#This Row],[MonthDate]]&lt;&gt;"",INDEX(Cashflow!$U$143:$FQ$143,MATCH(Cashflows[[#This Row],[MonthDate]],Cashflow!$U$7:$FQ$7,0)),"")</f>
        <v/>
      </c>
      <c r="I144" s="226" t="str">
        <f ca="1">IFERROR(DATEVALUE(Cashflows[[#This Row],[Month]]),"")</f>
        <v/>
      </c>
      <c r="J144" s="228" t="str">
        <f ca="1">IF(EOMONTH(TODAY(),-1)+1=Cashflows[[#This Row],[MonthDate]],MAX(Cashflows[Cumulative]),"")</f>
        <v/>
      </c>
    </row>
    <row r="145" spans="1:10">
      <c r="A145" t="str">
        <f ca="1">IF(OFFSET(Cashflows[#This Row],-1,0)=Cashflows[[#Headers],[Fiscal Year]],'Target Tracking'!$E$17,IF(Cashflows[[#This Row],[Month Num]]&lt;&gt;4,OFFSET(Cashflows[#This Row],-1,0),CONCATENATE(LEFT(OFFSET(Cashflows[#This Row],-1,0),4)+1,"-",RIGHT(OFFSET(Cashflows[#This Row],-1,0),2)+1)))</f>
        <v>2028-29</v>
      </c>
      <c r="B145">
        <f ca="1">IF(OFFSET(Cashflows[#This Row],-1,0)=Cashflows[[#Headers],[Month Num]],4,MONTH(EDATE(DATE(2000,OFFSET(Cashflows[#This Row],-1,0),1),1)))</f>
        <v>3</v>
      </c>
      <c r="C145" t="str">
        <f ca="1">IF(IFERROR(INDEX('Target Tracking'!$19:$19,,MATCH(Cashflows[[#This Row],[Fiscal Year]],'Target Tracking'!$17:$17,0)),0)&gt;0,TEXT(DATE(IF(Cashflows[[#This Row],[Month Num]]&gt;=4,LEFT(Cashflows[[#This Row],[Fiscal Year]],4),"20" &amp; RIGHT(Cashflows[[#This Row],[Fiscal Year]],2)),Cashflows[[#This Row],[Month Num]],1),"mmm yyyy"),"")</f>
        <v/>
      </c>
      <c r="D145">
        <f ca="1">IF(Cashflows[[#This Row],[Month Num]]=4,-12,OFFSET(Cashflows[#This Row],-1,0)+1)</f>
        <v>-1</v>
      </c>
      <c r="E145" t="str">
        <f ca="1">IF(Cashflows[[#This Row],[Month]]="","",IFERROR(OFFSET(INDEX(OFFSET(Cashflow!$U$7,0,0,,CELL("col",CWS_Total) - CELL("col",Cashflow!$U$7)),MATCH(Cashflows[[#This Row],[MonthDate]],OFFSET(Cashflow!$U$7,0,0,,CELL("col",CWS_Total) - CELL("col",Cashflow!$U$7)),0)),MATCH("Total",Cashflow!$B:$B,0)-7,0),0))</f>
        <v/>
      </c>
      <c r="F145" s="228" t="str">
        <f ca="1">IFERROR(Cashflows[[#This Row],[Cashflow]]+IF(OFFSET(Cashflows[#This Row],-1,0)=Cashflows[[#Headers],[Cumulative]],0,IF(OFFSET(Cashflows[#This Row],-1,0)="",0,OFFSET(Cashflows[#This Row],-1,0))),"")</f>
        <v/>
      </c>
      <c r="G145" s="228" t="str">
        <f ca="1">IF(Cashflows[[#This Row],[MonthDate]]&lt;&gt;"",INDEX(Cashflow!$U$142:$FQ$142,MATCH(Cashflows[[#This Row],[MonthDate]],Cashflow!$U$7:$FQ$7,0)),"")</f>
        <v/>
      </c>
      <c r="H145" s="228" t="str">
        <f ca="1">IF(Cashflows[[#This Row],[MonthDate]]&lt;&gt;"",INDEX(Cashflow!$U$143:$FQ$143,MATCH(Cashflows[[#This Row],[MonthDate]],Cashflow!$U$7:$FQ$7,0)),"")</f>
        <v/>
      </c>
      <c r="I145" s="226" t="str">
        <f ca="1">IFERROR(DATEVALUE(Cashflows[[#This Row],[Month]]),"")</f>
        <v/>
      </c>
      <c r="J145" s="228" t="str">
        <f ca="1">IF(EOMONTH(TODAY(),-1)+1=Cashflows[[#This Row],[MonthDate]],MAX(Cashflows[Cumulative]),"")</f>
        <v/>
      </c>
    </row>
    <row r="146" spans="1:10">
      <c r="A146" t="str">
        <f ca="1">IF(OFFSET(Cashflows[#This Row],-1,0)=Cashflows[[#Headers],[Fiscal Year]],'Target Tracking'!$E$17,IF(Cashflows[[#This Row],[Month Num]]&lt;&gt;4,OFFSET(Cashflows[#This Row],-1,0),CONCATENATE(LEFT(OFFSET(Cashflows[#This Row],-1,0),4)+1,"-",RIGHT(OFFSET(Cashflows[#This Row],-1,0),2)+1)))</f>
        <v>2029-30</v>
      </c>
      <c r="B146">
        <f ca="1">IF(OFFSET(Cashflows[#This Row],-1,0)=Cashflows[[#Headers],[Month Num]],4,MONTH(EDATE(DATE(2000,OFFSET(Cashflows[#This Row],-1,0),1),1)))</f>
        <v>4</v>
      </c>
      <c r="C146" t="str">
        <f ca="1">IF(IFERROR(INDEX('Target Tracking'!$19:$19,,MATCH(Cashflows[[#This Row],[Fiscal Year]],'Target Tracking'!$17:$17,0)),0)&gt;0,TEXT(DATE(IF(Cashflows[[#This Row],[Month Num]]&gt;=4,LEFT(Cashflows[[#This Row],[Fiscal Year]],4),"20" &amp; RIGHT(Cashflows[[#This Row],[Fiscal Year]],2)),Cashflows[[#This Row],[Month Num]],1),"mmm yyyy"),"")</f>
        <v/>
      </c>
      <c r="D146">
        <f ca="1">IF(Cashflows[[#This Row],[Month Num]]=4,-12,OFFSET(Cashflows[#This Row],-1,0)+1)</f>
        <v>-12</v>
      </c>
      <c r="E146" t="str">
        <f ca="1">IF(Cashflows[[#This Row],[Month]]="","",IFERROR(OFFSET(INDEX(OFFSET(Cashflow!$U$7,0,0,,CELL("col",CWS_Total) - CELL("col",Cashflow!$U$7)),MATCH(Cashflows[[#This Row],[MonthDate]],OFFSET(Cashflow!$U$7,0,0,,CELL("col",CWS_Total) - CELL("col",Cashflow!$U$7)),0)),MATCH("Total",Cashflow!$B:$B,0)-7,0),0))</f>
        <v/>
      </c>
      <c r="F146" s="228" t="str">
        <f ca="1">IFERROR(Cashflows[[#This Row],[Cashflow]]+IF(OFFSET(Cashflows[#This Row],-1,0)=Cashflows[[#Headers],[Cumulative]],0,IF(OFFSET(Cashflows[#This Row],-1,0)="",0,OFFSET(Cashflows[#This Row],-1,0))),"")</f>
        <v/>
      </c>
      <c r="G146" s="228" t="str">
        <f ca="1">IF(Cashflows[[#This Row],[MonthDate]]&lt;&gt;"",INDEX(Cashflow!$U$142:$FQ$142,MATCH(Cashflows[[#This Row],[MonthDate]],Cashflow!$U$7:$FQ$7,0)),"")</f>
        <v/>
      </c>
      <c r="H146" s="228" t="str">
        <f ca="1">IF(Cashflows[[#This Row],[MonthDate]]&lt;&gt;"",INDEX(Cashflow!$U$143:$FQ$143,MATCH(Cashflows[[#This Row],[MonthDate]],Cashflow!$U$7:$FQ$7,0)),"")</f>
        <v/>
      </c>
      <c r="I146" s="226" t="str">
        <f ca="1">IFERROR(DATEVALUE(Cashflows[[#This Row],[Month]]),"")</f>
        <v/>
      </c>
      <c r="J146" s="228" t="str">
        <f ca="1">IF(EOMONTH(TODAY(),-1)+1=Cashflows[[#This Row],[MonthDate]],MAX(Cashflows[Cumulative]),"")</f>
        <v/>
      </c>
    </row>
    <row r="147" spans="1:10">
      <c r="A147" t="str">
        <f ca="1">IF(OFFSET(Cashflows[#This Row],-1,0)=Cashflows[[#Headers],[Fiscal Year]],'Target Tracking'!$E$17,IF(Cashflows[[#This Row],[Month Num]]&lt;&gt;4,OFFSET(Cashflows[#This Row],-1,0),CONCATENATE(LEFT(OFFSET(Cashflows[#This Row],-1,0),4)+1,"-",RIGHT(OFFSET(Cashflows[#This Row],-1,0),2)+1)))</f>
        <v>2029-30</v>
      </c>
      <c r="B147">
        <f ca="1">IF(OFFSET(Cashflows[#This Row],-1,0)=Cashflows[[#Headers],[Month Num]],4,MONTH(EDATE(DATE(2000,OFFSET(Cashflows[#This Row],-1,0),1),1)))</f>
        <v>5</v>
      </c>
      <c r="C147" t="str">
        <f ca="1">IF(IFERROR(INDEX('Target Tracking'!$19:$19,,MATCH(Cashflows[[#This Row],[Fiscal Year]],'Target Tracking'!$17:$17,0)),0)&gt;0,TEXT(DATE(IF(Cashflows[[#This Row],[Month Num]]&gt;=4,LEFT(Cashflows[[#This Row],[Fiscal Year]],4),"20" &amp; RIGHT(Cashflows[[#This Row],[Fiscal Year]],2)),Cashflows[[#This Row],[Month Num]],1),"mmm yyyy"),"")</f>
        <v/>
      </c>
      <c r="D147">
        <f ca="1">IF(Cashflows[[#This Row],[Month Num]]=4,-12,OFFSET(Cashflows[#This Row],-1,0)+1)</f>
        <v>-11</v>
      </c>
      <c r="E147" t="str">
        <f ca="1">IF(Cashflows[[#This Row],[Month]]="","",IFERROR(OFFSET(INDEX(OFFSET(Cashflow!$U$7,0,0,,CELL("col",CWS_Total) - CELL("col",Cashflow!$U$7)),MATCH(Cashflows[[#This Row],[MonthDate]],OFFSET(Cashflow!$U$7,0,0,,CELL("col",CWS_Total) - CELL("col",Cashflow!$U$7)),0)),MATCH("Total",Cashflow!$B:$B,0)-7,0),0))</f>
        <v/>
      </c>
      <c r="F147" s="228" t="str">
        <f ca="1">IFERROR(Cashflows[[#This Row],[Cashflow]]+IF(OFFSET(Cashflows[#This Row],-1,0)=Cashflows[[#Headers],[Cumulative]],0,IF(OFFSET(Cashflows[#This Row],-1,0)="",0,OFFSET(Cashflows[#This Row],-1,0))),"")</f>
        <v/>
      </c>
      <c r="G147" s="228" t="str">
        <f ca="1">IF(Cashflows[[#This Row],[MonthDate]]&lt;&gt;"",INDEX(Cashflow!$U$142:$FQ$142,MATCH(Cashflows[[#This Row],[MonthDate]],Cashflow!$U$7:$FQ$7,0)),"")</f>
        <v/>
      </c>
      <c r="H147" s="228" t="str">
        <f ca="1">IF(Cashflows[[#This Row],[MonthDate]]&lt;&gt;"",INDEX(Cashflow!$U$143:$FQ$143,MATCH(Cashflows[[#This Row],[MonthDate]],Cashflow!$U$7:$FQ$7,0)),"")</f>
        <v/>
      </c>
      <c r="I147" s="226" t="str">
        <f ca="1">IFERROR(DATEVALUE(Cashflows[[#This Row],[Month]]),"")</f>
        <v/>
      </c>
      <c r="J147" s="228" t="str">
        <f ca="1">IF(EOMONTH(TODAY(),-1)+1=Cashflows[[#This Row],[MonthDate]],MAX(Cashflows[Cumulative]),"")</f>
        <v/>
      </c>
    </row>
    <row r="148" spans="1:10">
      <c r="A148" t="str">
        <f ca="1">IF(OFFSET(Cashflows[#This Row],-1,0)=Cashflows[[#Headers],[Fiscal Year]],'Target Tracking'!$E$17,IF(Cashflows[[#This Row],[Month Num]]&lt;&gt;4,OFFSET(Cashflows[#This Row],-1,0),CONCATENATE(LEFT(OFFSET(Cashflows[#This Row],-1,0),4)+1,"-",RIGHT(OFFSET(Cashflows[#This Row],-1,0),2)+1)))</f>
        <v>2029-30</v>
      </c>
      <c r="B148">
        <f ca="1">IF(OFFSET(Cashflows[#This Row],-1,0)=Cashflows[[#Headers],[Month Num]],4,MONTH(EDATE(DATE(2000,OFFSET(Cashflows[#This Row],-1,0),1),1)))</f>
        <v>6</v>
      </c>
      <c r="C148" t="str">
        <f ca="1">IF(IFERROR(INDEX('Target Tracking'!$19:$19,,MATCH(Cashflows[[#This Row],[Fiscal Year]],'Target Tracking'!$17:$17,0)),0)&gt;0,TEXT(DATE(IF(Cashflows[[#This Row],[Month Num]]&gt;=4,LEFT(Cashflows[[#This Row],[Fiscal Year]],4),"20" &amp; RIGHT(Cashflows[[#This Row],[Fiscal Year]],2)),Cashflows[[#This Row],[Month Num]],1),"mmm yyyy"),"")</f>
        <v/>
      </c>
      <c r="D148">
        <f ca="1">IF(Cashflows[[#This Row],[Month Num]]=4,-12,OFFSET(Cashflows[#This Row],-1,0)+1)</f>
        <v>-10</v>
      </c>
      <c r="E148" t="str">
        <f ca="1">IF(Cashflows[[#This Row],[Month]]="","",IFERROR(OFFSET(INDEX(OFFSET(Cashflow!$U$7,0,0,,CELL("col",CWS_Total) - CELL("col",Cashflow!$U$7)),MATCH(Cashflows[[#This Row],[MonthDate]],OFFSET(Cashflow!$U$7,0,0,,CELL("col",CWS_Total) - CELL("col",Cashflow!$U$7)),0)),MATCH("Total",Cashflow!$B:$B,0)-7,0),0))</f>
        <v/>
      </c>
      <c r="F148" s="228" t="str">
        <f ca="1">IFERROR(Cashflows[[#This Row],[Cashflow]]+IF(OFFSET(Cashflows[#This Row],-1,0)=Cashflows[[#Headers],[Cumulative]],0,IF(OFFSET(Cashflows[#This Row],-1,0)="",0,OFFSET(Cashflows[#This Row],-1,0))),"")</f>
        <v/>
      </c>
      <c r="G148" s="228" t="str">
        <f ca="1">IF(Cashflows[[#This Row],[MonthDate]]&lt;&gt;"",INDEX(Cashflow!$U$142:$FQ$142,MATCH(Cashflows[[#This Row],[MonthDate]],Cashflow!$U$7:$FQ$7,0)),"")</f>
        <v/>
      </c>
      <c r="H148" s="228" t="str">
        <f ca="1">IF(Cashflows[[#This Row],[MonthDate]]&lt;&gt;"",INDEX(Cashflow!$U$143:$FQ$143,MATCH(Cashflows[[#This Row],[MonthDate]],Cashflow!$U$7:$FQ$7,0)),"")</f>
        <v/>
      </c>
      <c r="I148" s="226" t="str">
        <f ca="1">IFERROR(DATEVALUE(Cashflows[[#This Row],[Month]]),"")</f>
        <v/>
      </c>
      <c r="J148" s="228" t="str">
        <f ca="1">IF(EOMONTH(TODAY(),-1)+1=Cashflows[[#This Row],[MonthDate]],MAX(Cashflows[Cumulative]),"")</f>
        <v/>
      </c>
    </row>
    <row r="149" spans="1:10">
      <c r="A149" t="str">
        <f ca="1">IF(OFFSET(Cashflows[#This Row],-1,0)=Cashflows[[#Headers],[Fiscal Year]],'Target Tracking'!$E$17,IF(Cashflows[[#This Row],[Month Num]]&lt;&gt;4,OFFSET(Cashflows[#This Row],-1,0),CONCATENATE(LEFT(OFFSET(Cashflows[#This Row],-1,0),4)+1,"-",RIGHT(OFFSET(Cashflows[#This Row],-1,0),2)+1)))</f>
        <v>2029-30</v>
      </c>
      <c r="B149">
        <f ca="1">IF(OFFSET(Cashflows[#This Row],-1,0)=Cashflows[[#Headers],[Month Num]],4,MONTH(EDATE(DATE(2000,OFFSET(Cashflows[#This Row],-1,0),1),1)))</f>
        <v>7</v>
      </c>
      <c r="C149" t="str">
        <f ca="1">IF(IFERROR(INDEX('Target Tracking'!$19:$19,,MATCH(Cashflows[[#This Row],[Fiscal Year]],'Target Tracking'!$17:$17,0)),0)&gt;0,TEXT(DATE(IF(Cashflows[[#This Row],[Month Num]]&gt;=4,LEFT(Cashflows[[#This Row],[Fiscal Year]],4),"20" &amp; RIGHT(Cashflows[[#This Row],[Fiscal Year]],2)),Cashflows[[#This Row],[Month Num]],1),"mmm yyyy"),"")</f>
        <v/>
      </c>
      <c r="D149">
        <f ca="1">IF(Cashflows[[#This Row],[Month Num]]=4,-12,OFFSET(Cashflows[#This Row],-1,0)+1)</f>
        <v>-9</v>
      </c>
      <c r="E149" t="str">
        <f ca="1">IF(Cashflows[[#This Row],[Month]]="","",IFERROR(OFFSET(INDEX(OFFSET(Cashflow!$U$7,0,0,,CELL("col",CWS_Total) - CELL("col",Cashflow!$U$7)),MATCH(Cashflows[[#This Row],[MonthDate]],OFFSET(Cashflow!$U$7,0,0,,CELL("col",CWS_Total) - CELL("col",Cashflow!$U$7)),0)),MATCH("Total",Cashflow!$B:$B,0)-7,0),0))</f>
        <v/>
      </c>
      <c r="F149" s="228" t="str">
        <f ca="1">IFERROR(Cashflows[[#This Row],[Cashflow]]+IF(OFFSET(Cashflows[#This Row],-1,0)=Cashflows[[#Headers],[Cumulative]],0,IF(OFFSET(Cashflows[#This Row],-1,0)="",0,OFFSET(Cashflows[#This Row],-1,0))),"")</f>
        <v/>
      </c>
      <c r="G149" s="228" t="str">
        <f ca="1">IF(Cashflows[[#This Row],[MonthDate]]&lt;&gt;"",INDEX(Cashflow!$U$142:$FQ$142,MATCH(Cashflows[[#This Row],[MonthDate]],Cashflow!$U$7:$FQ$7,0)),"")</f>
        <v/>
      </c>
      <c r="H149" s="228" t="str">
        <f ca="1">IF(Cashflows[[#This Row],[MonthDate]]&lt;&gt;"",INDEX(Cashflow!$U$143:$FQ$143,MATCH(Cashflows[[#This Row],[MonthDate]],Cashflow!$U$7:$FQ$7,0)),"")</f>
        <v/>
      </c>
      <c r="I149" s="226" t="str">
        <f ca="1">IFERROR(DATEVALUE(Cashflows[[#This Row],[Month]]),"")</f>
        <v/>
      </c>
      <c r="J149" s="228" t="str">
        <f ca="1">IF(EOMONTH(TODAY(),-1)+1=Cashflows[[#This Row],[MonthDate]],MAX(Cashflows[Cumulative]),"")</f>
        <v/>
      </c>
    </row>
    <row r="150" spans="1:10">
      <c r="A150" t="str">
        <f ca="1">IF(OFFSET(Cashflows[#This Row],-1,0)=Cashflows[[#Headers],[Fiscal Year]],'Target Tracking'!$E$17,IF(Cashflows[[#This Row],[Month Num]]&lt;&gt;4,OFFSET(Cashflows[#This Row],-1,0),CONCATENATE(LEFT(OFFSET(Cashflows[#This Row],-1,0),4)+1,"-",RIGHT(OFFSET(Cashflows[#This Row],-1,0),2)+1)))</f>
        <v>2029-30</v>
      </c>
      <c r="B150">
        <f ca="1">IF(OFFSET(Cashflows[#This Row],-1,0)=Cashflows[[#Headers],[Month Num]],4,MONTH(EDATE(DATE(2000,OFFSET(Cashflows[#This Row],-1,0),1),1)))</f>
        <v>8</v>
      </c>
      <c r="C150" t="str">
        <f ca="1">IF(IFERROR(INDEX('Target Tracking'!$19:$19,,MATCH(Cashflows[[#This Row],[Fiscal Year]],'Target Tracking'!$17:$17,0)),0)&gt;0,TEXT(DATE(IF(Cashflows[[#This Row],[Month Num]]&gt;=4,LEFT(Cashflows[[#This Row],[Fiscal Year]],4),"20" &amp; RIGHT(Cashflows[[#This Row],[Fiscal Year]],2)),Cashflows[[#This Row],[Month Num]],1),"mmm yyyy"),"")</f>
        <v/>
      </c>
      <c r="D150">
        <f ca="1">IF(Cashflows[[#This Row],[Month Num]]=4,-12,OFFSET(Cashflows[#This Row],-1,0)+1)</f>
        <v>-8</v>
      </c>
      <c r="E150" t="str">
        <f ca="1">IF(Cashflows[[#This Row],[Month]]="","",IFERROR(OFFSET(INDEX(OFFSET(Cashflow!$U$7,0,0,,CELL("col",CWS_Total) - CELL("col",Cashflow!$U$7)),MATCH(Cashflows[[#This Row],[MonthDate]],OFFSET(Cashflow!$U$7,0,0,,CELL("col",CWS_Total) - CELL("col",Cashflow!$U$7)),0)),MATCH("Total",Cashflow!$B:$B,0)-7,0),0))</f>
        <v/>
      </c>
      <c r="F150" s="228" t="str">
        <f ca="1">IFERROR(Cashflows[[#This Row],[Cashflow]]+IF(OFFSET(Cashflows[#This Row],-1,0)=Cashflows[[#Headers],[Cumulative]],0,IF(OFFSET(Cashflows[#This Row],-1,0)="",0,OFFSET(Cashflows[#This Row],-1,0))),"")</f>
        <v/>
      </c>
      <c r="G150" s="228" t="str">
        <f ca="1">IF(Cashflows[[#This Row],[MonthDate]]&lt;&gt;"",INDEX(Cashflow!$U$142:$FQ$142,MATCH(Cashflows[[#This Row],[MonthDate]],Cashflow!$U$7:$FQ$7,0)),"")</f>
        <v/>
      </c>
      <c r="H150" s="228" t="str">
        <f ca="1">IF(Cashflows[[#This Row],[MonthDate]]&lt;&gt;"",INDEX(Cashflow!$U$143:$FQ$143,MATCH(Cashflows[[#This Row],[MonthDate]],Cashflow!$U$7:$FQ$7,0)),"")</f>
        <v/>
      </c>
      <c r="I150" s="226" t="str">
        <f ca="1">IFERROR(DATEVALUE(Cashflows[[#This Row],[Month]]),"")</f>
        <v/>
      </c>
      <c r="J150" s="228" t="str">
        <f ca="1">IF(EOMONTH(TODAY(),-1)+1=Cashflows[[#This Row],[MonthDate]],MAX(Cashflows[Cumulative]),"")</f>
        <v/>
      </c>
    </row>
    <row r="151" spans="1:10">
      <c r="A151" t="str">
        <f ca="1">IF(OFFSET(Cashflows[#This Row],-1,0)=Cashflows[[#Headers],[Fiscal Year]],'Target Tracking'!$E$17,IF(Cashflows[[#This Row],[Month Num]]&lt;&gt;4,OFFSET(Cashflows[#This Row],-1,0),CONCATENATE(LEFT(OFFSET(Cashflows[#This Row],-1,0),4)+1,"-",RIGHT(OFFSET(Cashflows[#This Row],-1,0),2)+1)))</f>
        <v>2029-30</v>
      </c>
      <c r="B151">
        <f ca="1">IF(OFFSET(Cashflows[#This Row],-1,0)=Cashflows[[#Headers],[Month Num]],4,MONTH(EDATE(DATE(2000,OFFSET(Cashflows[#This Row],-1,0),1),1)))</f>
        <v>9</v>
      </c>
      <c r="C151" t="str">
        <f ca="1">IF(IFERROR(INDEX('Target Tracking'!$19:$19,,MATCH(Cashflows[[#This Row],[Fiscal Year]],'Target Tracking'!$17:$17,0)),0)&gt;0,TEXT(DATE(IF(Cashflows[[#This Row],[Month Num]]&gt;=4,LEFT(Cashflows[[#This Row],[Fiscal Year]],4),"20" &amp; RIGHT(Cashflows[[#This Row],[Fiscal Year]],2)),Cashflows[[#This Row],[Month Num]],1),"mmm yyyy"),"")</f>
        <v/>
      </c>
      <c r="D151">
        <f ca="1">IF(Cashflows[[#This Row],[Month Num]]=4,-12,OFFSET(Cashflows[#This Row],-1,0)+1)</f>
        <v>-7</v>
      </c>
      <c r="E151" t="str">
        <f ca="1">IF(Cashflows[[#This Row],[Month]]="","",IFERROR(OFFSET(INDEX(OFFSET(Cashflow!$U$7,0,0,,CELL("col",CWS_Total) - CELL("col",Cashflow!$U$7)),MATCH(Cashflows[[#This Row],[MonthDate]],OFFSET(Cashflow!$U$7,0,0,,CELL("col",CWS_Total) - CELL("col",Cashflow!$U$7)),0)),MATCH("Total",Cashflow!$B:$B,0)-7,0),0))</f>
        <v/>
      </c>
      <c r="F151" s="228" t="str">
        <f ca="1">IFERROR(Cashflows[[#This Row],[Cashflow]]+IF(OFFSET(Cashflows[#This Row],-1,0)=Cashflows[[#Headers],[Cumulative]],0,IF(OFFSET(Cashflows[#This Row],-1,0)="",0,OFFSET(Cashflows[#This Row],-1,0))),"")</f>
        <v/>
      </c>
      <c r="G151" s="228" t="str">
        <f ca="1">IF(Cashflows[[#This Row],[MonthDate]]&lt;&gt;"",INDEX(Cashflow!$U$142:$FQ$142,MATCH(Cashflows[[#This Row],[MonthDate]],Cashflow!$U$7:$FQ$7,0)),"")</f>
        <v/>
      </c>
      <c r="H151" s="228" t="str">
        <f ca="1">IF(Cashflows[[#This Row],[MonthDate]]&lt;&gt;"",INDEX(Cashflow!$U$143:$FQ$143,MATCH(Cashflows[[#This Row],[MonthDate]],Cashflow!$U$7:$FQ$7,0)),"")</f>
        <v/>
      </c>
      <c r="I151" s="226" t="str">
        <f ca="1">IFERROR(DATEVALUE(Cashflows[[#This Row],[Month]]),"")</f>
        <v/>
      </c>
      <c r="J151" s="228" t="str">
        <f ca="1">IF(EOMONTH(TODAY(),-1)+1=Cashflows[[#This Row],[MonthDate]],MAX(Cashflows[Cumulative]),"")</f>
        <v/>
      </c>
    </row>
    <row r="152" spans="1:10">
      <c r="A152" t="str">
        <f ca="1">IF(OFFSET(Cashflows[#This Row],-1,0)=Cashflows[[#Headers],[Fiscal Year]],'Target Tracking'!$E$17,IF(Cashflows[[#This Row],[Month Num]]&lt;&gt;4,OFFSET(Cashflows[#This Row],-1,0),CONCATENATE(LEFT(OFFSET(Cashflows[#This Row],-1,0),4)+1,"-",RIGHT(OFFSET(Cashflows[#This Row],-1,0),2)+1)))</f>
        <v>2029-30</v>
      </c>
      <c r="B152">
        <f ca="1">IF(OFFSET(Cashflows[#This Row],-1,0)=Cashflows[[#Headers],[Month Num]],4,MONTH(EDATE(DATE(2000,OFFSET(Cashflows[#This Row],-1,0),1),1)))</f>
        <v>10</v>
      </c>
      <c r="C152" t="str">
        <f ca="1">IF(IFERROR(INDEX('Target Tracking'!$19:$19,,MATCH(Cashflows[[#This Row],[Fiscal Year]],'Target Tracking'!$17:$17,0)),0)&gt;0,TEXT(DATE(IF(Cashflows[[#This Row],[Month Num]]&gt;=4,LEFT(Cashflows[[#This Row],[Fiscal Year]],4),"20" &amp; RIGHT(Cashflows[[#This Row],[Fiscal Year]],2)),Cashflows[[#This Row],[Month Num]],1),"mmm yyyy"),"")</f>
        <v/>
      </c>
      <c r="D152">
        <f ca="1">IF(Cashflows[[#This Row],[Month Num]]=4,-12,OFFSET(Cashflows[#This Row],-1,0)+1)</f>
        <v>-6</v>
      </c>
      <c r="E152" t="str">
        <f ca="1">IF(Cashflows[[#This Row],[Month]]="","",IFERROR(OFFSET(INDEX(OFFSET(Cashflow!$U$7,0,0,,CELL("col",CWS_Total) - CELL("col",Cashflow!$U$7)),MATCH(Cashflows[[#This Row],[MonthDate]],OFFSET(Cashflow!$U$7,0,0,,CELL("col",CWS_Total) - CELL("col",Cashflow!$U$7)),0)),MATCH("Total",Cashflow!$B:$B,0)-7,0),0))</f>
        <v/>
      </c>
      <c r="F152" s="228" t="str">
        <f ca="1">IFERROR(Cashflows[[#This Row],[Cashflow]]+IF(OFFSET(Cashflows[#This Row],-1,0)=Cashflows[[#Headers],[Cumulative]],0,IF(OFFSET(Cashflows[#This Row],-1,0)="",0,OFFSET(Cashflows[#This Row],-1,0))),"")</f>
        <v/>
      </c>
      <c r="G152" s="228" t="str">
        <f ca="1">IF(Cashflows[[#This Row],[MonthDate]]&lt;&gt;"",INDEX(Cashflow!$U$142:$FQ$142,MATCH(Cashflows[[#This Row],[MonthDate]],Cashflow!$U$7:$FQ$7,0)),"")</f>
        <v/>
      </c>
      <c r="H152" s="228" t="str">
        <f ca="1">IF(Cashflows[[#This Row],[MonthDate]]&lt;&gt;"",INDEX(Cashflow!$U$143:$FQ$143,MATCH(Cashflows[[#This Row],[MonthDate]],Cashflow!$U$7:$FQ$7,0)),"")</f>
        <v/>
      </c>
      <c r="I152" s="226" t="str">
        <f ca="1">IFERROR(DATEVALUE(Cashflows[[#This Row],[Month]]),"")</f>
        <v/>
      </c>
      <c r="J152" s="228" t="str">
        <f ca="1">IF(EOMONTH(TODAY(),-1)+1=Cashflows[[#This Row],[MonthDate]],MAX(Cashflows[Cumulative]),"")</f>
        <v/>
      </c>
    </row>
    <row r="153" spans="1:10">
      <c r="A153" t="str">
        <f ca="1">IF(OFFSET(Cashflows[#This Row],-1,0)=Cashflows[[#Headers],[Fiscal Year]],'Target Tracking'!$E$17,IF(Cashflows[[#This Row],[Month Num]]&lt;&gt;4,OFFSET(Cashflows[#This Row],-1,0),CONCATENATE(LEFT(OFFSET(Cashflows[#This Row],-1,0),4)+1,"-",RIGHT(OFFSET(Cashflows[#This Row],-1,0),2)+1)))</f>
        <v>2029-30</v>
      </c>
      <c r="B153">
        <f ca="1">IF(OFFSET(Cashflows[#This Row],-1,0)=Cashflows[[#Headers],[Month Num]],4,MONTH(EDATE(DATE(2000,OFFSET(Cashflows[#This Row],-1,0),1),1)))</f>
        <v>11</v>
      </c>
      <c r="C153" t="str">
        <f ca="1">IF(IFERROR(INDEX('Target Tracking'!$19:$19,,MATCH(Cashflows[[#This Row],[Fiscal Year]],'Target Tracking'!$17:$17,0)),0)&gt;0,TEXT(DATE(IF(Cashflows[[#This Row],[Month Num]]&gt;=4,LEFT(Cashflows[[#This Row],[Fiscal Year]],4),"20" &amp; RIGHT(Cashflows[[#This Row],[Fiscal Year]],2)),Cashflows[[#This Row],[Month Num]],1),"mmm yyyy"),"")</f>
        <v/>
      </c>
      <c r="D153">
        <f ca="1">IF(Cashflows[[#This Row],[Month Num]]=4,-12,OFFSET(Cashflows[#This Row],-1,0)+1)</f>
        <v>-5</v>
      </c>
      <c r="E153" t="str">
        <f ca="1">IF(Cashflows[[#This Row],[Month]]="","",IFERROR(OFFSET(INDEX(OFFSET(Cashflow!$U$7,0,0,,CELL("col",CWS_Total) - CELL("col",Cashflow!$U$7)),MATCH(Cashflows[[#This Row],[MonthDate]],OFFSET(Cashflow!$U$7,0,0,,CELL("col",CWS_Total) - CELL("col",Cashflow!$U$7)),0)),MATCH("Total",Cashflow!$B:$B,0)-7,0),0))</f>
        <v/>
      </c>
      <c r="F153" s="228" t="str">
        <f ca="1">IFERROR(Cashflows[[#This Row],[Cashflow]]+IF(OFFSET(Cashflows[#This Row],-1,0)=Cashflows[[#Headers],[Cumulative]],0,IF(OFFSET(Cashflows[#This Row],-1,0)="",0,OFFSET(Cashflows[#This Row],-1,0))),"")</f>
        <v/>
      </c>
      <c r="G153" s="228" t="str">
        <f ca="1">IF(Cashflows[[#This Row],[MonthDate]]&lt;&gt;"",INDEX(Cashflow!$U$142:$FQ$142,MATCH(Cashflows[[#This Row],[MonthDate]],Cashflow!$U$7:$FQ$7,0)),"")</f>
        <v/>
      </c>
      <c r="H153" s="228" t="str">
        <f ca="1">IF(Cashflows[[#This Row],[MonthDate]]&lt;&gt;"",INDEX(Cashflow!$U$143:$FQ$143,MATCH(Cashflows[[#This Row],[MonthDate]],Cashflow!$U$7:$FQ$7,0)),"")</f>
        <v/>
      </c>
      <c r="I153" s="226" t="str">
        <f ca="1">IFERROR(DATEVALUE(Cashflows[[#This Row],[Month]]),"")</f>
        <v/>
      </c>
      <c r="J153" s="228" t="str">
        <f ca="1">IF(EOMONTH(TODAY(),-1)+1=Cashflows[[#This Row],[MonthDate]],MAX(Cashflows[Cumulative]),"")</f>
        <v/>
      </c>
    </row>
    <row r="154" spans="1:10">
      <c r="A154" t="str">
        <f ca="1">IF(OFFSET(Cashflows[#This Row],-1,0)=Cashflows[[#Headers],[Fiscal Year]],'Target Tracking'!$E$17,IF(Cashflows[[#This Row],[Month Num]]&lt;&gt;4,OFFSET(Cashflows[#This Row],-1,0),CONCATENATE(LEFT(OFFSET(Cashflows[#This Row],-1,0),4)+1,"-",RIGHT(OFFSET(Cashflows[#This Row],-1,0),2)+1)))</f>
        <v>2029-30</v>
      </c>
      <c r="B154">
        <f ca="1">IF(OFFSET(Cashflows[#This Row],-1,0)=Cashflows[[#Headers],[Month Num]],4,MONTH(EDATE(DATE(2000,OFFSET(Cashflows[#This Row],-1,0),1),1)))</f>
        <v>12</v>
      </c>
      <c r="C154" t="str">
        <f ca="1">IF(IFERROR(INDEX('Target Tracking'!$19:$19,,MATCH(Cashflows[[#This Row],[Fiscal Year]],'Target Tracking'!$17:$17,0)),0)&gt;0,TEXT(DATE(IF(Cashflows[[#This Row],[Month Num]]&gt;=4,LEFT(Cashflows[[#This Row],[Fiscal Year]],4),"20" &amp; RIGHT(Cashflows[[#This Row],[Fiscal Year]],2)),Cashflows[[#This Row],[Month Num]],1),"mmm yyyy"),"")</f>
        <v/>
      </c>
      <c r="D154">
        <f ca="1">IF(Cashflows[[#This Row],[Month Num]]=4,-12,OFFSET(Cashflows[#This Row],-1,0)+1)</f>
        <v>-4</v>
      </c>
      <c r="E154" t="str">
        <f ca="1">IF(Cashflows[[#This Row],[Month]]="","",IFERROR(OFFSET(INDEX(OFFSET(Cashflow!$U$7,0,0,,CELL("col",CWS_Total) - CELL("col",Cashflow!$U$7)),MATCH(Cashflows[[#This Row],[MonthDate]],OFFSET(Cashflow!$U$7,0,0,,CELL("col",CWS_Total) - CELL("col",Cashflow!$U$7)),0)),MATCH("Total",Cashflow!$B:$B,0)-7,0),0))</f>
        <v/>
      </c>
      <c r="F154" s="228" t="str">
        <f ca="1">IFERROR(Cashflows[[#This Row],[Cashflow]]+IF(OFFSET(Cashflows[#This Row],-1,0)=Cashflows[[#Headers],[Cumulative]],0,IF(OFFSET(Cashflows[#This Row],-1,0)="",0,OFFSET(Cashflows[#This Row],-1,0))),"")</f>
        <v/>
      </c>
      <c r="G154" s="228" t="str">
        <f ca="1">IF(Cashflows[[#This Row],[MonthDate]]&lt;&gt;"",INDEX(Cashflow!$U$142:$FQ$142,MATCH(Cashflows[[#This Row],[MonthDate]],Cashflow!$U$7:$FQ$7,0)),"")</f>
        <v/>
      </c>
      <c r="H154" s="228" t="str">
        <f ca="1">IF(Cashflows[[#This Row],[MonthDate]]&lt;&gt;"",INDEX(Cashflow!$U$143:$FQ$143,MATCH(Cashflows[[#This Row],[MonthDate]],Cashflow!$U$7:$FQ$7,0)),"")</f>
        <v/>
      </c>
      <c r="I154" s="226" t="str">
        <f ca="1">IFERROR(DATEVALUE(Cashflows[[#This Row],[Month]]),"")</f>
        <v/>
      </c>
      <c r="J154" s="228" t="str">
        <f ca="1">IF(EOMONTH(TODAY(),-1)+1=Cashflows[[#This Row],[MonthDate]],MAX(Cashflows[Cumulative]),"")</f>
        <v/>
      </c>
    </row>
    <row r="155" spans="1:10">
      <c r="A155" t="str">
        <f ca="1">IF(OFFSET(Cashflows[#This Row],-1,0)=Cashflows[[#Headers],[Fiscal Year]],'Target Tracking'!$E$17,IF(Cashflows[[#This Row],[Month Num]]&lt;&gt;4,OFFSET(Cashflows[#This Row],-1,0),CONCATENATE(LEFT(OFFSET(Cashflows[#This Row],-1,0),4)+1,"-",RIGHT(OFFSET(Cashflows[#This Row],-1,0),2)+1)))</f>
        <v>2029-30</v>
      </c>
      <c r="B155">
        <f ca="1">IF(OFFSET(Cashflows[#This Row],-1,0)=Cashflows[[#Headers],[Month Num]],4,MONTH(EDATE(DATE(2000,OFFSET(Cashflows[#This Row],-1,0),1),1)))</f>
        <v>1</v>
      </c>
      <c r="C155" t="str">
        <f ca="1">IF(IFERROR(INDEX('Target Tracking'!$19:$19,,MATCH(Cashflows[[#This Row],[Fiscal Year]],'Target Tracking'!$17:$17,0)),0)&gt;0,TEXT(DATE(IF(Cashflows[[#This Row],[Month Num]]&gt;=4,LEFT(Cashflows[[#This Row],[Fiscal Year]],4),"20" &amp; RIGHT(Cashflows[[#This Row],[Fiscal Year]],2)),Cashflows[[#This Row],[Month Num]],1),"mmm yyyy"),"")</f>
        <v/>
      </c>
      <c r="D155">
        <f ca="1">IF(Cashflows[[#This Row],[Month Num]]=4,-12,OFFSET(Cashflows[#This Row],-1,0)+1)</f>
        <v>-3</v>
      </c>
      <c r="E155" t="str">
        <f ca="1">IF(Cashflows[[#This Row],[Month]]="","",IFERROR(OFFSET(INDEX(OFFSET(Cashflow!$U$7,0,0,,CELL("col",CWS_Total) - CELL("col",Cashflow!$U$7)),MATCH(Cashflows[[#This Row],[MonthDate]],OFFSET(Cashflow!$U$7,0,0,,CELL("col",CWS_Total) - CELL("col",Cashflow!$U$7)),0)),MATCH("Total",Cashflow!$B:$B,0)-7,0),0))</f>
        <v/>
      </c>
      <c r="F155" s="228" t="str">
        <f ca="1">IFERROR(Cashflows[[#This Row],[Cashflow]]+IF(OFFSET(Cashflows[#This Row],-1,0)=Cashflows[[#Headers],[Cumulative]],0,IF(OFFSET(Cashflows[#This Row],-1,0)="",0,OFFSET(Cashflows[#This Row],-1,0))),"")</f>
        <v/>
      </c>
      <c r="G155" s="228" t="str">
        <f ca="1">IF(Cashflows[[#This Row],[MonthDate]]&lt;&gt;"",INDEX(Cashflow!$U$142:$FQ$142,MATCH(Cashflows[[#This Row],[MonthDate]],Cashflow!$U$7:$FQ$7,0)),"")</f>
        <v/>
      </c>
      <c r="H155" s="228" t="str">
        <f ca="1">IF(Cashflows[[#This Row],[MonthDate]]&lt;&gt;"",INDEX(Cashflow!$U$143:$FQ$143,MATCH(Cashflows[[#This Row],[MonthDate]],Cashflow!$U$7:$FQ$7,0)),"")</f>
        <v/>
      </c>
      <c r="I155" s="226" t="str">
        <f ca="1">IFERROR(DATEVALUE(Cashflows[[#This Row],[Month]]),"")</f>
        <v/>
      </c>
      <c r="J155" s="228" t="str">
        <f ca="1">IF(EOMONTH(TODAY(),-1)+1=Cashflows[[#This Row],[MonthDate]],MAX(Cashflows[Cumulative]),"")</f>
        <v/>
      </c>
    </row>
    <row r="156" spans="1:10">
      <c r="A156" t="str">
        <f ca="1">IF(OFFSET(Cashflows[#This Row],-1,0)=Cashflows[[#Headers],[Fiscal Year]],'Target Tracking'!$E$17,IF(Cashflows[[#This Row],[Month Num]]&lt;&gt;4,OFFSET(Cashflows[#This Row],-1,0),CONCATENATE(LEFT(OFFSET(Cashflows[#This Row],-1,0),4)+1,"-",RIGHT(OFFSET(Cashflows[#This Row],-1,0),2)+1)))</f>
        <v>2029-30</v>
      </c>
      <c r="B156">
        <f ca="1">IF(OFFSET(Cashflows[#This Row],-1,0)=Cashflows[[#Headers],[Month Num]],4,MONTH(EDATE(DATE(2000,OFFSET(Cashflows[#This Row],-1,0),1),1)))</f>
        <v>2</v>
      </c>
      <c r="C156" t="str">
        <f ca="1">IF(IFERROR(INDEX('Target Tracking'!$19:$19,,MATCH(Cashflows[[#This Row],[Fiscal Year]],'Target Tracking'!$17:$17,0)),0)&gt;0,TEXT(DATE(IF(Cashflows[[#This Row],[Month Num]]&gt;=4,LEFT(Cashflows[[#This Row],[Fiscal Year]],4),"20" &amp; RIGHT(Cashflows[[#This Row],[Fiscal Year]],2)),Cashflows[[#This Row],[Month Num]],1),"mmm yyyy"),"")</f>
        <v/>
      </c>
      <c r="D156">
        <f ca="1">IF(Cashflows[[#This Row],[Month Num]]=4,-12,OFFSET(Cashflows[#This Row],-1,0)+1)</f>
        <v>-2</v>
      </c>
      <c r="E156" t="str">
        <f ca="1">IF(Cashflows[[#This Row],[Month]]="","",IFERROR(OFFSET(INDEX(OFFSET(Cashflow!$U$7,0,0,,CELL("col",CWS_Total) - CELL("col",Cashflow!$U$7)),MATCH(Cashflows[[#This Row],[MonthDate]],OFFSET(Cashflow!$U$7,0,0,,CELL("col",CWS_Total) - CELL("col",Cashflow!$U$7)),0)),MATCH("Total",Cashflow!$B:$B,0)-7,0),0))</f>
        <v/>
      </c>
      <c r="F156" s="228" t="str">
        <f ca="1">IFERROR(Cashflows[[#This Row],[Cashflow]]+IF(OFFSET(Cashflows[#This Row],-1,0)=Cashflows[[#Headers],[Cumulative]],0,IF(OFFSET(Cashflows[#This Row],-1,0)="",0,OFFSET(Cashflows[#This Row],-1,0))),"")</f>
        <v/>
      </c>
      <c r="G156" s="228" t="str">
        <f ca="1">IF(Cashflows[[#This Row],[MonthDate]]&lt;&gt;"",INDEX(Cashflow!$U$142:$FQ$142,MATCH(Cashflows[[#This Row],[MonthDate]],Cashflow!$U$7:$FQ$7,0)),"")</f>
        <v/>
      </c>
      <c r="H156" s="228" t="str">
        <f ca="1">IF(Cashflows[[#This Row],[MonthDate]]&lt;&gt;"",INDEX(Cashflow!$U$143:$FQ$143,MATCH(Cashflows[[#This Row],[MonthDate]],Cashflow!$U$7:$FQ$7,0)),"")</f>
        <v/>
      </c>
      <c r="I156" s="226" t="str">
        <f ca="1">IFERROR(DATEVALUE(Cashflows[[#This Row],[Month]]),"")</f>
        <v/>
      </c>
      <c r="J156" s="228" t="str">
        <f ca="1">IF(EOMONTH(TODAY(),-1)+1=Cashflows[[#This Row],[MonthDate]],MAX(Cashflows[Cumulative]),"")</f>
        <v/>
      </c>
    </row>
    <row r="157" spans="1:10">
      <c r="A157" t="str">
        <f ca="1">IF(OFFSET(Cashflows[#This Row],-1,0)=Cashflows[[#Headers],[Fiscal Year]],'Target Tracking'!$E$17,IF(Cashflows[[#This Row],[Month Num]]&lt;&gt;4,OFFSET(Cashflows[#This Row],-1,0),CONCATENATE(LEFT(OFFSET(Cashflows[#This Row],-1,0),4)+1,"-",RIGHT(OFFSET(Cashflows[#This Row],-1,0),2)+1)))</f>
        <v>2029-30</v>
      </c>
      <c r="B157">
        <f ca="1">IF(OFFSET(Cashflows[#This Row],-1,0)=Cashflows[[#Headers],[Month Num]],4,MONTH(EDATE(DATE(2000,OFFSET(Cashflows[#This Row],-1,0),1),1)))</f>
        <v>3</v>
      </c>
      <c r="C157" t="str">
        <f ca="1">IF(IFERROR(INDEX('Target Tracking'!$19:$19,,MATCH(Cashflows[[#This Row],[Fiscal Year]],'Target Tracking'!$17:$17,0)),0)&gt;0,TEXT(DATE(IF(Cashflows[[#This Row],[Month Num]]&gt;=4,LEFT(Cashflows[[#This Row],[Fiscal Year]],4),"20" &amp; RIGHT(Cashflows[[#This Row],[Fiscal Year]],2)),Cashflows[[#This Row],[Month Num]],1),"mmm yyyy"),"")</f>
        <v/>
      </c>
      <c r="D157">
        <f ca="1">IF(Cashflows[[#This Row],[Month Num]]=4,-12,OFFSET(Cashflows[#This Row],-1,0)+1)</f>
        <v>-1</v>
      </c>
      <c r="E157" t="str">
        <f ca="1">IF(Cashflows[[#This Row],[Month]]="","",IFERROR(OFFSET(INDEX(OFFSET(Cashflow!$U$7,0,0,,CELL("col",CWS_Total) - CELL("col",Cashflow!$U$7)),MATCH(Cashflows[[#This Row],[MonthDate]],OFFSET(Cashflow!$U$7,0,0,,CELL("col",CWS_Total) - CELL("col",Cashflow!$U$7)),0)),MATCH("Total",Cashflow!$B:$B,0)-7,0),0))</f>
        <v/>
      </c>
      <c r="F157" s="228" t="str">
        <f ca="1">IFERROR(Cashflows[[#This Row],[Cashflow]]+IF(OFFSET(Cashflows[#This Row],-1,0)=Cashflows[[#Headers],[Cumulative]],0,IF(OFFSET(Cashflows[#This Row],-1,0)="",0,OFFSET(Cashflows[#This Row],-1,0))),"")</f>
        <v/>
      </c>
      <c r="G157" s="228" t="str">
        <f ca="1">IF(Cashflows[[#This Row],[MonthDate]]&lt;&gt;"",INDEX(Cashflow!$U$142:$FQ$142,MATCH(Cashflows[[#This Row],[MonthDate]],Cashflow!$U$7:$FQ$7,0)),"")</f>
        <v/>
      </c>
      <c r="H157" s="228" t="str">
        <f ca="1">IF(Cashflows[[#This Row],[MonthDate]]&lt;&gt;"",INDEX(Cashflow!$U$143:$FQ$143,MATCH(Cashflows[[#This Row],[MonthDate]],Cashflow!$U$7:$FQ$7,0)),"")</f>
        <v/>
      </c>
      <c r="I157" s="226" t="str">
        <f ca="1">IFERROR(DATEVALUE(Cashflows[[#This Row],[Month]]),"")</f>
        <v/>
      </c>
      <c r="J157" s="228" t="str">
        <f ca="1">IF(EOMONTH(TODAY(),-1)+1=Cashflows[[#This Row],[MonthDate]],MAX(Cashflows[Cumulative]),"")</f>
        <v/>
      </c>
    </row>
    <row r="158" spans="1:10">
      <c r="A158" t="str">
        <f ca="1">IF(OFFSET(Cashflows[#This Row],-1,0)=Cashflows[[#Headers],[Fiscal Year]],'Target Tracking'!$E$17,IF(Cashflows[[#This Row],[Month Num]]&lt;&gt;4,OFFSET(Cashflows[#This Row],-1,0),CONCATENATE(LEFT(OFFSET(Cashflows[#This Row],-1,0),4)+1,"-",RIGHT(OFFSET(Cashflows[#This Row],-1,0),2)+1)))</f>
        <v>2030-31</v>
      </c>
      <c r="B158">
        <f ca="1">IF(OFFSET(Cashflows[#This Row],-1,0)=Cashflows[[#Headers],[Month Num]],4,MONTH(EDATE(DATE(2000,OFFSET(Cashflows[#This Row],-1,0),1),1)))</f>
        <v>4</v>
      </c>
      <c r="C158" t="str">
        <f ca="1">IF(IFERROR(INDEX('Target Tracking'!$19:$19,,MATCH(Cashflows[[#This Row],[Fiscal Year]],'Target Tracking'!$17:$17,0)),0)&gt;0,TEXT(DATE(IF(Cashflows[[#This Row],[Month Num]]&gt;=4,LEFT(Cashflows[[#This Row],[Fiscal Year]],4),"20" &amp; RIGHT(Cashflows[[#This Row],[Fiscal Year]],2)),Cashflows[[#This Row],[Month Num]],1),"mmm yyyy"),"")</f>
        <v/>
      </c>
      <c r="D158">
        <f ca="1">IF(Cashflows[[#This Row],[Month Num]]=4,-12,OFFSET(Cashflows[#This Row],-1,0)+1)</f>
        <v>-12</v>
      </c>
      <c r="E158" t="str">
        <f ca="1">IF(Cashflows[[#This Row],[Month]]="","",IFERROR(OFFSET(INDEX(OFFSET(Cashflow!$U$7,0,0,,CELL("col",CWS_Total) - CELL("col",Cashflow!$U$7)),MATCH(Cashflows[[#This Row],[MonthDate]],OFFSET(Cashflow!$U$7,0,0,,CELL("col",CWS_Total) - CELL("col",Cashflow!$U$7)),0)),MATCH("Total",Cashflow!$B:$B,0)-7,0),0))</f>
        <v/>
      </c>
      <c r="F158" s="228" t="str">
        <f ca="1">IFERROR(Cashflows[[#This Row],[Cashflow]]+IF(OFFSET(Cashflows[#This Row],-1,0)=Cashflows[[#Headers],[Cumulative]],0,IF(OFFSET(Cashflows[#This Row],-1,0)="",0,OFFSET(Cashflows[#This Row],-1,0))),"")</f>
        <v/>
      </c>
      <c r="G158" s="228" t="str">
        <f ca="1">IF(Cashflows[[#This Row],[MonthDate]]&lt;&gt;"",INDEX(Cashflow!$U$142:$FQ$142,MATCH(Cashflows[[#This Row],[MonthDate]],Cashflow!$U$7:$FQ$7,0)),"")</f>
        <v/>
      </c>
      <c r="H158" s="228" t="str">
        <f ca="1">IF(Cashflows[[#This Row],[MonthDate]]&lt;&gt;"",INDEX(Cashflow!$U$143:$FQ$143,MATCH(Cashflows[[#This Row],[MonthDate]],Cashflow!$U$7:$FQ$7,0)),"")</f>
        <v/>
      </c>
      <c r="I158" s="226" t="str">
        <f ca="1">IFERROR(DATEVALUE(Cashflows[[#This Row],[Month]]),"")</f>
        <v/>
      </c>
      <c r="J158" s="228" t="str">
        <f ca="1">IF(EOMONTH(TODAY(),-1)+1=Cashflows[[#This Row],[MonthDate]],MAX(Cashflows[Cumulative]),"")</f>
        <v/>
      </c>
    </row>
    <row r="159" spans="1:10">
      <c r="A159" t="str">
        <f ca="1">IF(OFFSET(Cashflows[#This Row],-1,0)=Cashflows[[#Headers],[Fiscal Year]],'Target Tracking'!$E$17,IF(Cashflows[[#This Row],[Month Num]]&lt;&gt;4,OFFSET(Cashflows[#This Row],-1,0),CONCATENATE(LEFT(OFFSET(Cashflows[#This Row],-1,0),4)+1,"-",RIGHT(OFFSET(Cashflows[#This Row],-1,0),2)+1)))</f>
        <v>2030-31</v>
      </c>
      <c r="B159">
        <f ca="1">IF(OFFSET(Cashflows[#This Row],-1,0)=Cashflows[[#Headers],[Month Num]],4,MONTH(EDATE(DATE(2000,OFFSET(Cashflows[#This Row],-1,0),1),1)))</f>
        <v>5</v>
      </c>
      <c r="C159" t="str">
        <f ca="1">IF(IFERROR(INDEX('Target Tracking'!$19:$19,,MATCH(Cashflows[[#This Row],[Fiscal Year]],'Target Tracking'!$17:$17,0)),0)&gt;0,TEXT(DATE(IF(Cashflows[[#This Row],[Month Num]]&gt;=4,LEFT(Cashflows[[#This Row],[Fiscal Year]],4),"20" &amp; RIGHT(Cashflows[[#This Row],[Fiscal Year]],2)),Cashflows[[#This Row],[Month Num]],1),"mmm yyyy"),"")</f>
        <v/>
      </c>
      <c r="D159">
        <f ca="1">IF(Cashflows[[#This Row],[Month Num]]=4,-12,OFFSET(Cashflows[#This Row],-1,0)+1)</f>
        <v>-11</v>
      </c>
      <c r="E159" t="str">
        <f ca="1">IF(Cashflows[[#This Row],[Month]]="","",IFERROR(OFFSET(INDEX(OFFSET(Cashflow!$U$7,0,0,,CELL("col",CWS_Total) - CELL("col",Cashflow!$U$7)),MATCH(Cashflows[[#This Row],[MonthDate]],OFFSET(Cashflow!$U$7,0,0,,CELL("col",CWS_Total) - CELL("col",Cashflow!$U$7)),0)),MATCH("Total",Cashflow!$B:$B,0)-7,0),0))</f>
        <v/>
      </c>
      <c r="F159" s="228" t="str">
        <f ca="1">IFERROR(Cashflows[[#This Row],[Cashflow]]+IF(OFFSET(Cashflows[#This Row],-1,0)=Cashflows[[#Headers],[Cumulative]],0,IF(OFFSET(Cashflows[#This Row],-1,0)="",0,OFFSET(Cashflows[#This Row],-1,0))),"")</f>
        <v/>
      </c>
      <c r="G159" s="228" t="str">
        <f ca="1">IF(Cashflows[[#This Row],[MonthDate]]&lt;&gt;"",INDEX(Cashflow!$U$142:$FQ$142,MATCH(Cashflows[[#This Row],[MonthDate]],Cashflow!$U$7:$FQ$7,0)),"")</f>
        <v/>
      </c>
      <c r="H159" s="228" t="str">
        <f ca="1">IF(Cashflows[[#This Row],[MonthDate]]&lt;&gt;"",INDEX(Cashflow!$U$143:$FQ$143,MATCH(Cashflows[[#This Row],[MonthDate]],Cashflow!$U$7:$FQ$7,0)),"")</f>
        <v/>
      </c>
      <c r="I159" s="226" t="str">
        <f ca="1">IFERROR(DATEVALUE(Cashflows[[#This Row],[Month]]),"")</f>
        <v/>
      </c>
      <c r="J159" s="228" t="str">
        <f ca="1">IF(EOMONTH(TODAY(),-1)+1=Cashflows[[#This Row],[MonthDate]],MAX(Cashflows[Cumulative]),"")</f>
        <v/>
      </c>
    </row>
    <row r="160" spans="1:10">
      <c r="A160" t="str">
        <f ca="1">IF(OFFSET(Cashflows[#This Row],-1,0)=Cashflows[[#Headers],[Fiscal Year]],'Target Tracking'!$E$17,IF(Cashflows[[#This Row],[Month Num]]&lt;&gt;4,OFFSET(Cashflows[#This Row],-1,0),CONCATENATE(LEFT(OFFSET(Cashflows[#This Row],-1,0),4)+1,"-",RIGHT(OFFSET(Cashflows[#This Row],-1,0),2)+1)))</f>
        <v>2030-31</v>
      </c>
      <c r="B160">
        <f ca="1">IF(OFFSET(Cashflows[#This Row],-1,0)=Cashflows[[#Headers],[Month Num]],4,MONTH(EDATE(DATE(2000,OFFSET(Cashflows[#This Row],-1,0),1),1)))</f>
        <v>6</v>
      </c>
      <c r="C160" t="str">
        <f ca="1">IF(IFERROR(INDEX('Target Tracking'!$19:$19,,MATCH(Cashflows[[#This Row],[Fiscal Year]],'Target Tracking'!$17:$17,0)),0)&gt;0,TEXT(DATE(IF(Cashflows[[#This Row],[Month Num]]&gt;=4,LEFT(Cashflows[[#This Row],[Fiscal Year]],4),"20" &amp; RIGHT(Cashflows[[#This Row],[Fiscal Year]],2)),Cashflows[[#This Row],[Month Num]],1),"mmm yyyy"),"")</f>
        <v/>
      </c>
      <c r="D160">
        <f ca="1">IF(Cashflows[[#This Row],[Month Num]]=4,-12,OFFSET(Cashflows[#This Row],-1,0)+1)</f>
        <v>-10</v>
      </c>
      <c r="E160" t="str">
        <f ca="1">IF(Cashflows[[#This Row],[Month]]="","",IFERROR(OFFSET(INDEX(OFFSET(Cashflow!$U$7,0,0,,CELL("col",CWS_Total) - CELL("col",Cashflow!$U$7)),MATCH(Cashflows[[#This Row],[MonthDate]],OFFSET(Cashflow!$U$7,0,0,,CELL("col",CWS_Total) - CELL("col",Cashflow!$U$7)),0)),MATCH("Total",Cashflow!$B:$B,0)-7,0),0))</f>
        <v/>
      </c>
      <c r="F160" s="228" t="str">
        <f ca="1">IFERROR(Cashflows[[#This Row],[Cashflow]]+IF(OFFSET(Cashflows[#This Row],-1,0)=Cashflows[[#Headers],[Cumulative]],0,IF(OFFSET(Cashflows[#This Row],-1,0)="",0,OFFSET(Cashflows[#This Row],-1,0))),"")</f>
        <v/>
      </c>
      <c r="G160" s="228" t="str">
        <f ca="1">IF(Cashflows[[#This Row],[MonthDate]]&lt;&gt;"",INDEX(Cashflow!$U$142:$FQ$142,MATCH(Cashflows[[#This Row],[MonthDate]],Cashflow!$U$7:$FQ$7,0)),"")</f>
        <v/>
      </c>
      <c r="H160" s="228" t="str">
        <f ca="1">IF(Cashflows[[#This Row],[MonthDate]]&lt;&gt;"",INDEX(Cashflow!$U$143:$FQ$143,MATCH(Cashflows[[#This Row],[MonthDate]],Cashflow!$U$7:$FQ$7,0)),"")</f>
        <v/>
      </c>
      <c r="I160" s="226" t="str">
        <f ca="1">IFERROR(DATEVALUE(Cashflows[[#This Row],[Month]]),"")</f>
        <v/>
      </c>
      <c r="J160" s="228" t="str">
        <f ca="1">IF(EOMONTH(TODAY(),-1)+1=Cashflows[[#This Row],[MonthDate]],MAX(Cashflows[Cumulative]),"")</f>
        <v/>
      </c>
    </row>
    <row r="161" spans="1:10">
      <c r="A161" t="str">
        <f ca="1">IF(OFFSET(Cashflows[#This Row],-1,0)=Cashflows[[#Headers],[Fiscal Year]],'Target Tracking'!$E$17,IF(Cashflows[[#This Row],[Month Num]]&lt;&gt;4,OFFSET(Cashflows[#This Row],-1,0),CONCATENATE(LEFT(OFFSET(Cashflows[#This Row],-1,0),4)+1,"-",RIGHT(OFFSET(Cashflows[#This Row],-1,0),2)+1)))</f>
        <v>2030-31</v>
      </c>
      <c r="B161">
        <f ca="1">IF(OFFSET(Cashflows[#This Row],-1,0)=Cashflows[[#Headers],[Month Num]],4,MONTH(EDATE(DATE(2000,OFFSET(Cashflows[#This Row],-1,0),1),1)))</f>
        <v>7</v>
      </c>
      <c r="C161" t="str">
        <f ca="1">IF(IFERROR(INDEX('Target Tracking'!$19:$19,,MATCH(Cashflows[[#This Row],[Fiscal Year]],'Target Tracking'!$17:$17,0)),0)&gt;0,TEXT(DATE(IF(Cashflows[[#This Row],[Month Num]]&gt;=4,LEFT(Cashflows[[#This Row],[Fiscal Year]],4),"20" &amp; RIGHT(Cashflows[[#This Row],[Fiscal Year]],2)),Cashflows[[#This Row],[Month Num]],1),"mmm yyyy"),"")</f>
        <v/>
      </c>
      <c r="D161">
        <f ca="1">IF(Cashflows[[#This Row],[Month Num]]=4,-12,OFFSET(Cashflows[#This Row],-1,0)+1)</f>
        <v>-9</v>
      </c>
      <c r="E161" t="str">
        <f ca="1">IF(Cashflows[[#This Row],[Month]]="","",IFERROR(OFFSET(INDEX(OFFSET(Cashflow!$U$7,0,0,,CELL("col",CWS_Total) - CELL("col",Cashflow!$U$7)),MATCH(Cashflows[[#This Row],[MonthDate]],OFFSET(Cashflow!$U$7,0,0,,CELL("col",CWS_Total) - CELL("col",Cashflow!$U$7)),0)),MATCH("Total",Cashflow!$B:$B,0)-7,0),0))</f>
        <v/>
      </c>
      <c r="F161" s="228" t="str">
        <f ca="1">IFERROR(Cashflows[[#This Row],[Cashflow]]+IF(OFFSET(Cashflows[#This Row],-1,0)=Cashflows[[#Headers],[Cumulative]],0,IF(OFFSET(Cashflows[#This Row],-1,0)="",0,OFFSET(Cashflows[#This Row],-1,0))),"")</f>
        <v/>
      </c>
      <c r="G161" s="228" t="str">
        <f ca="1">IF(Cashflows[[#This Row],[MonthDate]]&lt;&gt;"",INDEX(Cashflow!$U$142:$FQ$142,MATCH(Cashflows[[#This Row],[MonthDate]],Cashflow!$U$7:$FQ$7,0)),"")</f>
        <v/>
      </c>
      <c r="H161" s="228" t="str">
        <f ca="1">IF(Cashflows[[#This Row],[MonthDate]]&lt;&gt;"",INDEX(Cashflow!$U$143:$FQ$143,MATCH(Cashflows[[#This Row],[MonthDate]],Cashflow!$U$7:$FQ$7,0)),"")</f>
        <v/>
      </c>
      <c r="I161" s="226" t="str">
        <f ca="1">IFERROR(DATEVALUE(Cashflows[[#This Row],[Month]]),"")</f>
        <v/>
      </c>
      <c r="J161" s="228" t="str">
        <f ca="1">IF(EOMONTH(TODAY(),-1)+1=Cashflows[[#This Row],[MonthDate]],MAX(Cashflows[Cumulative]),"")</f>
        <v/>
      </c>
    </row>
    <row r="162" spans="1:10">
      <c r="A162" t="str">
        <f ca="1">IF(OFFSET(Cashflows[#This Row],-1,0)=Cashflows[[#Headers],[Fiscal Year]],'Target Tracking'!$E$17,IF(Cashflows[[#This Row],[Month Num]]&lt;&gt;4,OFFSET(Cashflows[#This Row],-1,0),CONCATENATE(LEFT(OFFSET(Cashflows[#This Row],-1,0),4)+1,"-",RIGHT(OFFSET(Cashflows[#This Row],-1,0),2)+1)))</f>
        <v>2030-31</v>
      </c>
      <c r="B162">
        <f ca="1">IF(OFFSET(Cashflows[#This Row],-1,0)=Cashflows[[#Headers],[Month Num]],4,MONTH(EDATE(DATE(2000,OFFSET(Cashflows[#This Row],-1,0),1),1)))</f>
        <v>8</v>
      </c>
      <c r="C162" t="str">
        <f ca="1">IF(IFERROR(INDEX('Target Tracking'!$19:$19,,MATCH(Cashflows[[#This Row],[Fiscal Year]],'Target Tracking'!$17:$17,0)),0)&gt;0,TEXT(DATE(IF(Cashflows[[#This Row],[Month Num]]&gt;=4,LEFT(Cashflows[[#This Row],[Fiscal Year]],4),"20" &amp; RIGHT(Cashflows[[#This Row],[Fiscal Year]],2)),Cashflows[[#This Row],[Month Num]],1),"mmm yyyy"),"")</f>
        <v/>
      </c>
      <c r="D162">
        <f ca="1">IF(Cashflows[[#This Row],[Month Num]]=4,-12,OFFSET(Cashflows[#This Row],-1,0)+1)</f>
        <v>-8</v>
      </c>
      <c r="E162" t="str">
        <f ca="1">IF(Cashflows[[#This Row],[Month]]="","",IFERROR(OFFSET(INDEX(OFFSET(Cashflow!$U$7,0,0,,CELL("col",CWS_Total) - CELL("col",Cashflow!$U$7)),MATCH(Cashflows[[#This Row],[MonthDate]],OFFSET(Cashflow!$U$7,0,0,,CELL("col",CWS_Total) - CELL("col",Cashflow!$U$7)),0)),MATCH("Total",Cashflow!$B:$B,0)-7,0),0))</f>
        <v/>
      </c>
      <c r="F162" s="228" t="str">
        <f ca="1">IFERROR(Cashflows[[#This Row],[Cashflow]]+IF(OFFSET(Cashflows[#This Row],-1,0)=Cashflows[[#Headers],[Cumulative]],0,IF(OFFSET(Cashflows[#This Row],-1,0)="",0,OFFSET(Cashflows[#This Row],-1,0))),"")</f>
        <v/>
      </c>
      <c r="G162" s="228" t="str">
        <f ca="1">IF(Cashflows[[#This Row],[MonthDate]]&lt;&gt;"",INDEX(Cashflow!$U$142:$FQ$142,MATCH(Cashflows[[#This Row],[MonthDate]],Cashflow!$U$7:$FQ$7,0)),"")</f>
        <v/>
      </c>
      <c r="H162" s="228" t="str">
        <f ca="1">IF(Cashflows[[#This Row],[MonthDate]]&lt;&gt;"",INDEX(Cashflow!$U$143:$FQ$143,MATCH(Cashflows[[#This Row],[MonthDate]],Cashflow!$U$7:$FQ$7,0)),"")</f>
        <v/>
      </c>
      <c r="I162" s="226" t="str">
        <f ca="1">IFERROR(DATEVALUE(Cashflows[[#This Row],[Month]]),"")</f>
        <v/>
      </c>
      <c r="J162" s="228" t="str">
        <f ca="1">IF(EOMONTH(TODAY(),-1)+1=Cashflows[[#This Row],[MonthDate]],MAX(Cashflows[Cumulative]),"")</f>
        <v/>
      </c>
    </row>
    <row r="163" spans="1:10">
      <c r="A163" t="str">
        <f ca="1">IF(OFFSET(Cashflows[#This Row],-1,0)=Cashflows[[#Headers],[Fiscal Year]],'Target Tracking'!$E$17,IF(Cashflows[[#This Row],[Month Num]]&lt;&gt;4,OFFSET(Cashflows[#This Row],-1,0),CONCATENATE(LEFT(OFFSET(Cashflows[#This Row],-1,0),4)+1,"-",RIGHT(OFFSET(Cashflows[#This Row],-1,0),2)+1)))</f>
        <v>2030-31</v>
      </c>
      <c r="B163">
        <f ca="1">IF(OFFSET(Cashflows[#This Row],-1,0)=Cashflows[[#Headers],[Month Num]],4,MONTH(EDATE(DATE(2000,OFFSET(Cashflows[#This Row],-1,0),1),1)))</f>
        <v>9</v>
      </c>
      <c r="C163" t="str">
        <f ca="1">IF(IFERROR(INDEX('Target Tracking'!$19:$19,,MATCH(Cashflows[[#This Row],[Fiscal Year]],'Target Tracking'!$17:$17,0)),0)&gt;0,TEXT(DATE(IF(Cashflows[[#This Row],[Month Num]]&gt;=4,LEFT(Cashflows[[#This Row],[Fiscal Year]],4),"20" &amp; RIGHT(Cashflows[[#This Row],[Fiscal Year]],2)),Cashflows[[#This Row],[Month Num]],1),"mmm yyyy"),"")</f>
        <v/>
      </c>
      <c r="D163">
        <f ca="1">IF(Cashflows[[#This Row],[Month Num]]=4,-12,OFFSET(Cashflows[#This Row],-1,0)+1)</f>
        <v>-7</v>
      </c>
      <c r="E163" t="str">
        <f ca="1">IF(Cashflows[[#This Row],[Month]]="","",IFERROR(OFFSET(INDEX(OFFSET(Cashflow!$U$7,0,0,,CELL("col",CWS_Total) - CELL("col",Cashflow!$U$7)),MATCH(Cashflows[[#This Row],[MonthDate]],OFFSET(Cashflow!$U$7,0,0,,CELL("col",CWS_Total) - CELL("col",Cashflow!$U$7)),0)),MATCH("Total",Cashflow!$B:$B,0)-7,0),0))</f>
        <v/>
      </c>
      <c r="F163" s="228" t="str">
        <f ca="1">IFERROR(Cashflows[[#This Row],[Cashflow]]+IF(OFFSET(Cashflows[#This Row],-1,0)=Cashflows[[#Headers],[Cumulative]],0,IF(OFFSET(Cashflows[#This Row],-1,0)="",0,OFFSET(Cashflows[#This Row],-1,0))),"")</f>
        <v/>
      </c>
      <c r="G163" s="228" t="str">
        <f ca="1">IF(Cashflows[[#This Row],[MonthDate]]&lt;&gt;"",INDEX(Cashflow!$U$142:$FQ$142,MATCH(Cashflows[[#This Row],[MonthDate]],Cashflow!$U$7:$FQ$7,0)),"")</f>
        <v/>
      </c>
      <c r="H163" s="228" t="str">
        <f ca="1">IF(Cashflows[[#This Row],[MonthDate]]&lt;&gt;"",INDEX(Cashflow!$U$143:$FQ$143,MATCH(Cashflows[[#This Row],[MonthDate]],Cashflow!$U$7:$FQ$7,0)),"")</f>
        <v/>
      </c>
      <c r="I163" s="226" t="str">
        <f ca="1">IFERROR(DATEVALUE(Cashflows[[#This Row],[Month]]),"")</f>
        <v/>
      </c>
      <c r="J163" s="228" t="str">
        <f ca="1">IF(EOMONTH(TODAY(),-1)+1=Cashflows[[#This Row],[MonthDate]],MAX(Cashflows[Cumulative]),"")</f>
        <v/>
      </c>
    </row>
    <row r="164" spans="1:10">
      <c r="A164" t="str">
        <f ca="1">IF(OFFSET(Cashflows[#This Row],-1,0)=Cashflows[[#Headers],[Fiscal Year]],'Target Tracking'!$E$17,IF(Cashflows[[#This Row],[Month Num]]&lt;&gt;4,OFFSET(Cashflows[#This Row],-1,0),CONCATENATE(LEFT(OFFSET(Cashflows[#This Row],-1,0),4)+1,"-",RIGHT(OFFSET(Cashflows[#This Row],-1,0),2)+1)))</f>
        <v>2030-31</v>
      </c>
      <c r="B164">
        <f ca="1">IF(OFFSET(Cashflows[#This Row],-1,0)=Cashflows[[#Headers],[Month Num]],4,MONTH(EDATE(DATE(2000,OFFSET(Cashflows[#This Row],-1,0),1),1)))</f>
        <v>10</v>
      </c>
      <c r="C164" t="str">
        <f ca="1">IF(IFERROR(INDEX('Target Tracking'!$19:$19,,MATCH(Cashflows[[#This Row],[Fiscal Year]],'Target Tracking'!$17:$17,0)),0)&gt;0,TEXT(DATE(IF(Cashflows[[#This Row],[Month Num]]&gt;=4,LEFT(Cashflows[[#This Row],[Fiscal Year]],4),"20" &amp; RIGHT(Cashflows[[#This Row],[Fiscal Year]],2)),Cashflows[[#This Row],[Month Num]],1),"mmm yyyy"),"")</f>
        <v/>
      </c>
      <c r="D164">
        <f ca="1">IF(Cashflows[[#This Row],[Month Num]]=4,-12,OFFSET(Cashflows[#This Row],-1,0)+1)</f>
        <v>-6</v>
      </c>
      <c r="E164" t="str">
        <f ca="1">IF(Cashflows[[#This Row],[Month]]="","",IFERROR(OFFSET(INDEX(OFFSET(Cashflow!$U$7,0,0,,CELL("col",CWS_Total) - CELL("col",Cashflow!$U$7)),MATCH(Cashflows[[#This Row],[MonthDate]],OFFSET(Cashflow!$U$7,0,0,,CELL("col",CWS_Total) - CELL("col",Cashflow!$U$7)),0)),MATCH("Total",Cashflow!$B:$B,0)-7,0),0))</f>
        <v/>
      </c>
      <c r="F164" s="228" t="str">
        <f ca="1">IFERROR(Cashflows[[#This Row],[Cashflow]]+IF(OFFSET(Cashflows[#This Row],-1,0)=Cashflows[[#Headers],[Cumulative]],0,IF(OFFSET(Cashflows[#This Row],-1,0)="",0,OFFSET(Cashflows[#This Row],-1,0))),"")</f>
        <v/>
      </c>
      <c r="G164" s="228" t="str">
        <f ca="1">IF(Cashflows[[#This Row],[MonthDate]]&lt;&gt;"",INDEX(Cashflow!$U$142:$FQ$142,MATCH(Cashflows[[#This Row],[MonthDate]],Cashflow!$U$7:$FQ$7,0)),"")</f>
        <v/>
      </c>
      <c r="H164" s="228" t="str">
        <f ca="1">IF(Cashflows[[#This Row],[MonthDate]]&lt;&gt;"",INDEX(Cashflow!$U$143:$FQ$143,MATCH(Cashflows[[#This Row],[MonthDate]],Cashflow!$U$7:$FQ$7,0)),"")</f>
        <v/>
      </c>
      <c r="I164" s="226" t="str">
        <f ca="1">IFERROR(DATEVALUE(Cashflows[[#This Row],[Month]]),"")</f>
        <v/>
      </c>
      <c r="J164" s="228" t="str">
        <f ca="1">IF(EOMONTH(TODAY(),-1)+1=Cashflows[[#This Row],[MonthDate]],MAX(Cashflows[Cumulative]),"")</f>
        <v/>
      </c>
    </row>
    <row r="165" spans="1:10">
      <c r="A165" t="str">
        <f ca="1">IF(OFFSET(Cashflows[#This Row],-1,0)=Cashflows[[#Headers],[Fiscal Year]],'Target Tracking'!$E$17,IF(Cashflows[[#This Row],[Month Num]]&lt;&gt;4,OFFSET(Cashflows[#This Row],-1,0),CONCATENATE(LEFT(OFFSET(Cashflows[#This Row],-1,0),4)+1,"-",RIGHT(OFFSET(Cashflows[#This Row],-1,0),2)+1)))</f>
        <v>2030-31</v>
      </c>
      <c r="B165">
        <f ca="1">IF(OFFSET(Cashflows[#This Row],-1,0)=Cashflows[[#Headers],[Month Num]],4,MONTH(EDATE(DATE(2000,OFFSET(Cashflows[#This Row],-1,0),1),1)))</f>
        <v>11</v>
      </c>
      <c r="C165" t="str">
        <f ca="1">IF(IFERROR(INDEX('Target Tracking'!$19:$19,,MATCH(Cashflows[[#This Row],[Fiscal Year]],'Target Tracking'!$17:$17,0)),0)&gt;0,TEXT(DATE(IF(Cashflows[[#This Row],[Month Num]]&gt;=4,LEFT(Cashflows[[#This Row],[Fiscal Year]],4),"20" &amp; RIGHT(Cashflows[[#This Row],[Fiscal Year]],2)),Cashflows[[#This Row],[Month Num]],1),"mmm yyyy"),"")</f>
        <v/>
      </c>
      <c r="D165">
        <f ca="1">IF(Cashflows[[#This Row],[Month Num]]=4,-12,OFFSET(Cashflows[#This Row],-1,0)+1)</f>
        <v>-5</v>
      </c>
      <c r="E165" t="str">
        <f ca="1">IF(Cashflows[[#This Row],[Month]]="","",IFERROR(OFFSET(INDEX(OFFSET(Cashflow!$U$7,0,0,,CELL("col",CWS_Total) - CELL("col",Cashflow!$U$7)),MATCH(Cashflows[[#This Row],[MonthDate]],OFFSET(Cashflow!$U$7,0,0,,CELL("col",CWS_Total) - CELL("col",Cashflow!$U$7)),0)),MATCH("Total",Cashflow!$B:$B,0)-7,0),0))</f>
        <v/>
      </c>
      <c r="F165" s="228" t="str">
        <f ca="1">IFERROR(Cashflows[[#This Row],[Cashflow]]+IF(OFFSET(Cashflows[#This Row],-1,0)=Cashflows[[#Headers],[Cumulative]],0,IF(OFFSET(Cashflows[#This Row],-1,0)="",0,OFFSET(Cashflows[#This Row],-1,0))),"")</f>
        <v/>
      </c>
      <c r="G165" s="228" t="str">
        <f ca="1">IF(Cashflows[[#This Row],[MonthDate]]&lt;&gt;"",INDEX(Cashflow!$U$142:$FQ$142,MATCH(Cashflows[[#This Row],[MonthDate]],Cashflow!$U$7:$FQ$7,0)),"")</f>
        <v/>
      </c>
      <c r="H165" s="228" t="str">
        <f ca="1">IF(Cashflows[[#This Row],[MonthDate]]&lt;&gt;"",INDEX(Cashflow!$U$143:$FQ$143,MATCH(Cashflows[[#This Row],[MonthDate]],Cashflow!$U$7:$FQ$7,0)),"")</f>
        <v/>
      </c>
      <c r="I165" s="226" t="str">
        <f ca="1">IFERROR(DATEVALUE(Cashflows[[#This Row],[Month]]),"")</f>
        <v/>
      </c>
      <c r="J165" s="228" t="str">
        <f ca="1">IF(EOMONTH(TODAY(),-1)+1=Cashflows[[#This Row],[MonthDate]],MAX(Cashflows[Cumulative]),"")</f>
        <v/>
      </c>
    </row>
    <row r="166" spans="1:10">
      <c r="A166" t="str">
        <f ca="1">IF(OFFSET(Cashflows[#This Row],-1,0)=Cashflows[[#Headers],[Fiscal Year]],'Target Tracking'!$E$17,IF(Cashflows[[#This Row],[Month Num]]&lt;&gt;4,OFFSET(Cashflows[#This Row],-1,0),CONCATENATE(LEFT(OFFSET(Cashflows[#This Row],-1,0),4)+1,"-",RIGHT(OFFSET(Cashflows[#This Row],-1,0),2)+1)))</f>
        <v>2030-31</v>
      </c>
      <c r="B166">
        <f ca="1">IF(OFFSET(Cashflows[#This Row],-1,0)=Cashflows[[#Headers],[Month Num]],4,MONTH(EDATE(DATE(2000,OFFSET(Cashflows[#This Row],-1,0),1),1)))</f>
        <v>12</v>
      </c>
      <c r="C166" t="str">
        <f ca="1">IF(IFERROR(INDEX('Target Tracking'!$19:$19,,MATCH(Cashflows[[#This Row],[Fiscal Year]],'Target Tracking'!$17:$17,0)),0)&gt;0,TEXT(DATE(IF(Cashflows[[#This Row],[Month Num]]&gt;=4,LEFT(Cashflows[[#This Row],[Fiscal Year]],4),"20" &amp; RIGHT(Cashflows[[#This Row],[Fiscal Year]],2)),Cashflows[[#This Row],[Month Num]],1),"mmm yyyy"),"")</f>
        <v/>
      </c>
      <c r="D166">
        <f ca="1">IF(Cashflows[[#This Row],[Month Num]]=4,-12,OFFSET(Cashflows[#This Row],-1,0)+1)</f>
        <v>-4</v>
      </c>
      <c r="E166" t="str">
        <f ca="1">IF(Cashflows[[#This Row],[Month]]="","",IFERROR(OFFSET(INDEX(OFFSET(Cashflow!$U$7,0,0,,CELL("col",CWS_Total) - CELL("col",Cashflow!$U$7)),MATCH(Cashflows[[#This Row],[MonthDate]],OFFSET(Cashflow!$U$7,0,0,,CELL("col",CWS_Total) - CELL("col",Cashflow!$U$7)),0)),MATCH("Total",Cashflow!$B:$B,0)-7,0),0))</f>
        <v/>
      </c>
      <c r="F166" s="228" t="str">
        <f ca="1">IFERROR(Cashflows[[#This Row],[Cashflow]]+IF(OFFSET(Cashflows[#This Row],-1,0)=Cashflows[[#Headers],[Cumulative]],0,IF(OFFSET(Cashflows[#This Row],-1,0)="",0,OFFSET(Cashflows[#This Row],-1,0))),"")</f>
        <v/>
      </c>
      <c r="G166" s="228" t="str">
        <f ca="1">IF(Cashflows[[#This Row],[MonthDate]]&lt;&gt;"",INDEX(Cashflow!$U$142:$FQ$142,MATCH(Cashflows[[#This Row],[MonthDate]],Cashflow!$U$7:$FQ$7,0)),"")</f>
        <v/>
      </c>
      <c r="H166" s="228" t="str">
        <f ca="1">IF(Cashflows[[#This Row],[MonthDate]]&lt;&gt;"",INDEX(Cashflow!$U$143:$FQ$143,MATCH(Cashflows[[#This Row],[MonthDate]],Cashflow!$U$7:$FQ$7,0)),"")</f>
        <v/>
      </c>
      <c r="I166" s="226" t="str">
        <f ca="1">IFERROR(DATEVALUE(Cashflows[[#This Row],[Month]]),"")</f>
        <v/>
      </c>
      <c r="J166" s="228" t="str">
        <f ca="1">IF(EOMONTH(TODAY(),-1)+1=Cashflows[[#This Row],[MonthDate]],MAX(Cashflows[Cumulative]),"")</f>
        <v/>
      </c>
    </row>
    <row r="167" spans="1:10">
      <c r="A167" t="str">
        <f ca="1">IF(OFFSET(Cashflows[#This Row],-1,0)=Cashflows[[#Headers],[Fiscal Year]],'Target Tracking'!$E$17,IF(Cashflows[[#This Row],[Month Num]]&lt;&gt;4,OFFSET(Cashflows[#This Row],-1,0),CONCATENATE(LEFT(OFFSET(Cashflows[#This Row],-1,0),4)+1,"-",RIGHT(OFFSET(Cashflows[#This Row],-1,0),2)+1)))</f>
        <v>2030-31</v>
      </c>
      <c r="B167">
        <f ca="1">IF(OFFSET(Cashflows[#This Row],-1,0)=Cashflows[[#Headers],[Month Num]],4,MONTH(EDATE(DATE(2000,OFFSET(Cashflows[#This Row],-1,0),1),1)))</f>
        <v>1</v>
      </c>
      <c r="C167" t="str">
        <f ca="1">IF(IFERROR(INDEX('Target Tracking'!$19:$19,,MATCH(Cashflows[[#This Row],[Fiscal Year]],'Target Tracking'!$17:$17,0)),0)&gt;0,TEXT(DATE(IF(Cashflows[[#This Row],[Month Num]]&gt;=4,LEFT(Cashflows[[#This Row],[Fiscal Year]],4),"20" &amp; RIGHT(Cashflows[[#This Row],[Fiscal Year]],2)),Cashflows[[#This Row],[Month Num]],1),"mmm yyyy"),"")</f>
        <v/>
      </c>
      <c r="D167">
        <f ca="1">IF(Cashflows[[#This Row],[Month Num]]=4,-12,OFFSET(Cashflows[#This Row],-1,0)+1)</f>
        <v>-3</v>
      </c>
      <c r="E167" t="str">
        <f ca="1">IF(Cashflows[[#This Row],[Month]]="","",IFERROR(OFFSET(INDEX(OFFSET(Cashflow!$U$7,0,0,,CELL("col",CWS_Total) - CELL("col",Cashflow!$U$7)),MATCH(Cashflows[[#This Row],[MonthDate]],OFFSET(Cashflow!$U$7,0,0,,CELL("col",CWS_Total) - CELL("col",Cashflow!$U$7)),0)),MATCH("Total",Cashflow!$B:$B,0)-7,0),0))</f>
        <v/>
      </c>
      <c r="F167" s="228" t="str">
        <f ca="1">IFERROR(Cashflows[[#This Row],[Cashflow]]+IF(OFFSET(Cashflows[#This Row],-1,0)=Cashflows[[#Headers],[Cumulative]],0,IF(OFFSET(Cashflows[#This Row],-1,0)="",0,OFFSET(Cashflows[#This Row],-1,0))),"")</f>
        <v/>
      </c>
      <c r="G167" s="228" t="str">
        <f ca="1">IF(Cashflows[[#This Row],[MonthDate]]&lt;&gt;"",INDEX(Cashflow!$U$142:$FQ$142,MATCH(Cashflows[[#This Row],[MonthDate]],Cashflow!$U$7:$FQ$7,0)),"")</f>
        <v/>
      </c>
      <c r="H167" s="228" t="str">
        <f ca="1">IF(Cashflows[[#This Row],[MonthDate]]&lt;&gt;"",INDEX(Cashflow!$U$143:$FQ$143,MATCH(Cashflows[[#This Row],[MonthDate]],Cashflow!$U$7:$FQ$7,0)),"")</f>
        <v/>
      </c>
      <c r="I167" s="226" t="str">
        <f ca="1">IFERROR(DATEVALUE(Cashflows[[#This Row],[Month]]),"")</f>
        <v/>
      </c>
      <c r="J167" s="228" t="str">
        <f ca="1">IF(EOMONTH(TODAY(),-1)+1=Cashflows[[#This Row],[MonthDate]],MAX(Cashflows[Cumulative]),"")</f>
        <v/>
      </c>
    </row>
    <row r="168" spans="1:10">
      <c r="A168" t="str">
        <f ca="1">IF(OFFSET(Cashflows[#This Row],-1,0)=Cashflows[[#Headers],[Fiscal Year]],'Target Tracking'!$E$17,IF(Cashflows[[#This Row],[Month Num]]&lt;&gt;4,OFFSET(Cashflows[#This Row],-1,0),CONCATENATE(LEFT(OFFSET(Cashflows[#This Row],-1,0),4)+1,"-",RIGHT(OFFSET(Cashflows[#This Row],-1,0),2)+1)))</f>
        <v>2030-31</v>
      </c>
      <c r="B168">
        <f ca="1">IF(OFFSET(Cashflows[#This Row],-1,0)=Cashflows[[#Headers],[Month Num]],4,MONTH(EDATE(DATE(2000,OFFSET(Cashflows[#This Row],-1,0),1),1)))</f>
        <v>2</v>
      </c>
      <c r="C168" t="str">
        <f ca="1">IF(IFERROR(INDEX('Target Tracking'!$19:$19,,MATCH(Cashflows[[#This Row],[Fiscal Year]],'Target Tracking'!$17:$17,0)),0)&gt;0,TEXT(DATE(IF(Cashflows[[#This Row],[Month Num]]&gt;=4,LEFT(Cashflows[[#This Row],[Fiscal Year]],4),"20" &amp; RIGHT(Cashflows[[#This Row],[Fiscal Year]],2)),Cashflows[[#This Row],[Month Num]],1),"mmm yyyy"),"")</f>
        <v/>
      </c>
      <c r="D168">
        <f ca="1">IF(Cashflows[[#This Row],[Month Num]]=4,-12,OFFSET(Cashflows[#This Row],-1,0)+1)</f>
        <v>-2</v>
      </c>
      <c r="E168" t="str">
        <f ca="1">IF(Cashflows[[#This Row],[Month]]="","",IFERROR(OFFSET(INDEX(OFFSET(Cashflow!$U$7,0,0,,CELL("col",CWS_Total) - CELL("col",Cashflow!$U$7)),MATCH(Cashflows[[#This Row],[MonthDate]],OFFSET(Cashflow!$U$7,0,0,,CELL("col",CWS_Total) - CELL("col",Cashflow!$U$7)),0)),MATCH("Total",Cashflow!$B:$B,0)-7,0),0))</f>
        <v/>
      </c>
      <c r="F168" s="228" t="str">
        <f ca="1">IFERROR(Cashflows[[#This Row],[Cashflow]]+IF(OFFSET(Cashflows[#This Row],-1,0)=Cashflows[[#Headers],[Cumulative]],0,IF(OFFSET(Cashflows[#This Row],-1,0)="",0,OFFSET(Cashflows[#This Row],-1,0))),"")</f>
        <v/>
      </c>
      <c r="G168" s="228" t="str">
        <f ca="1">IF(Cashflows[[#This Row],[MonthDate]]&lt;&gt;"",INDEX(Cashflow!$U$142:$FQ$142,MATCH(Cashflows[[#This Row],[MonthDate]],Cashflow!$U$7:$FQ$7,0)),"")</f>
        <v/>
      </c>
      <c r="H168" s="228" t="str">
        <f ca="1">IF(Cashflows[[#This Row],[MonthDate]]&lt;&gt;"",INDEX(Cashflow!$U$143:$FQ$143,MATCH(Cashflows[[#This Row],[MonthDate]],Cashflow!$U$7:$FQ$7,0)),"")</f>
        <v/>
      </c>
      <c r="I168" s="226" t="str">
        <f ca="1">IFERROR(DATEVALUE(Cashflows[[#This Row],[Month]]),"")</f>
        <v/>
      </c>
      <c r="J168" s="228" t="str">
        <f ca="1">IF(EOMONTH(TODAY(),-1)+1=Cashflows[[#This Row],[MonthDate]],MAX(Cashflows[Cumulative]),"")</f>
        <v/>
      </c>
    </row>
    <row r="169" spans="1:10">
      <c r="A169" t="str">
        <f ca="1">IF(OFFSET(Cashflows[#This Row],-1,0)=Cashflows[[#Headers],[Fiscal Year]],'Target Tracking'!$E$17,IF(Cashflows[[#This Row],[Month Num]]&lt;&gt;4,OFFSET(Cashflows[#This Row],-1,0),CONCATENATE(LEFT(OFFSET(Cashflows[#This Row],-1,0),4)+1,"-",RIGHT(OFFSET(Cashflows[#This Row],-1,0),2)+1)))</f>
        <v>2030-31</v>
      </c>
      <c r="B169">
        <f ca="1">IF(OFFSET(Cashflows[#This Row],-1,0)=Cashflows[[#Headers],[Month Num]],4,MONTH(EDATE(DATE(2000,OFFSET(Cashflows[#This Row],-1,0),1),1)))</f>
        <v>3</v>
      </c>
      <c r="C169" t="str">
        <f ca="1">IF(IFERROR(INDEX('Target Tracking'!$19:$19,,MATCH(Cashflows[[#This Row],[Fiscal Year]],'Target Tracking'!$17:$17,0)),0)&gt;0,TEXT(DATE(IF(Cashflows[[#This Row],[Month Num]]&gt;=4,LEFT(Cashflows[[#This Row],[Fiscal Year]],4),"20" &amp; RIGHT(Cashflows[[#This Row],[Fiscal Year]],2)),Cashflows[[#This Row],[Month Num]],1),"mmm yyyy"),"")</f>
        <v/>
      </c>
      <c r="D169">
        <f ca="1">IF(Cashflows[[#This Row],[Month Num]]=4,-12,OFFSET(Cashflows[#This Row],-1,0)+1)</f>
        <v>-1</v>
      </c>
      <c r="E169" t="str">
        <f ca="1">IF(Cashflows[[#This Row],[Month]]="","",IFERROR(OFFSET(INDEX(OFFSET(Cashflow!$U$7,0,0,,CELL("col",CWS_Total) - CELL("col",Cashflow!$U$7)),MATCH(Cashflows[[#This Row],[MonthDate]],OFFSET(Cashflow!$U$7,0,0,,CELL("col",CWS_Total) - CELL("col",Cashflow!$U$7)),0)),MATCH("Total",Cashflow!$B:$B,0)-7,0),0))</f>
        <v/>
      </c>
      <c r="F169" s="228" t="str">
        <f ca="1">IFERROR(Cashflows[[#This Row],[Cashflow]]+IF(OFFSET(Cashflows[#This Row],-1,0)=Cashflows[[#Headers],[Cumulative]],0,IF(OFFSET(Cashflows[#This Row],-1,0)="",0,OFFSET(Cashflows[#This Row],-1,0))),"")</f>
        <v/>
      </c>
      <c r="G169" s="228" t="str">
        <f ca="1">IF(Cashflows[[#This Row],[MonthDate]]&lt;&gt;"",INDEX(Cashflow!$U$142:$FQ$142,MATCH(Cashflows[[#This Row],[MonthDate]],Cashflow!$U$7:$FQ$7,0)),"")</f>
        <v/>
      </c>
      <c r="H169" s="228" t="str">
        <f ca="1">IF(Cashflows[[#This Row],[MonthDate]]&lt;&gt;"",INDEX(Cashflow!$U$143:$FQ$143,MATCH(Cashflows[[#This Row],[MonthDate]],Cashflow!$U$7:$FQ$7,0)),"")</f>
        <v/>
      </c>
      <c r="I169" s="226" t="str">
        <f ca="1">IFERROR(DATEVALUE(Cashflows[[#This Row],[Month]]),"")</f>
        <v/>
      </c>
      <c r="J169" s="228" t="str">
        <f ca="1">IF(EOMONTH(TODAY(),-1)+1=Cashflows[[#This Row],[MonthDate]],MAX(Cashflows[Cumulative]),"")</f>
        <v/>
      </c>
    </row>
  </sheetData>
  <pageMargins left="0.7" right="0.7" top="0.75" bottom="0.75" header="0.3" footer="0.3"/>
  <pageSetup orientation="portrait" r:id="rId1"/>
  <headerFooter>
    <oddFooter>&amp;L&amp;1#&amp;"Calibri"&amp;11&amp;K000000Classification: Protected A</oddFooter>
  </headerFooter>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3" tint="0.59999389629810485"/>
    <pageSetUpPr fitToPage="1"/>
  </sheetPr>
  <dimension ref="A2:U67"/>
  <sheetViews>
    <sheetView topLeftCell="A3" zoomScale="85" zoomScaleNormal="85" workbookViewId="0">
      <selection activeCell="S74" sqref="S74"/>
    </sheetView>
  </sheetViews>
  <sheetFormatPr defaultColWidth="9.42578125" defaultRowHeight="14.1" outlineLevelCol="1"/>
  <cols>
    <col min="1" max="1" width="3.42578125" style="71" customWidth="1"/>
    <col min="2" max="2" width="15.42578125" style="2" hidden="1" customWidth="1"/>
    <col min="3" max="3" width="20.42578125" style="3" bestFit="1" customWidth="1"/>
    <col min="4" max="4" width="29.42578125" style="3" bestFit="1" customWidth="1"/>
    <col min="5" max="6" width="16" style="1" hidden="1" customWidth="1" outlineLevel="1"/>
    <col min="7" max="7" width="14.42578125" style="1" hidden="1" customWidth="1" outlineLevel="1"/>
    <col min="8" max="8" width="18.42578125" style="2" customWidth="1" collapsed="1"/>
    <col min="9" max="9" width="17.28515625" style="2" hidden="1" customWidth="1"/>
    <col min="10" max="10" width="16.42578125" style="2" customWidth="1"/>
    <col min="11" max="11" width="3.42578125" style="1" customWidth="1"/>
    <col min="12" max="12" width="23.42578125" style="1" customWidth="1"/>
    <col min="13" max="13" width="13.42578125" style="1" customWidth="1"/>
    <col min="14" max="14" width="3.42578125" style="1" customWidth="1"/>
    <col min="15" max="15" width="17.28515625" style="1" bestFit="1" customWidth="1"/>
    <col min="16" max="16" width="16.7109375" style="1" customWidth="1"/>
    <col min="17" max="17" width="3.42578125" style="1" customWidth="1"/>
    <col min="18" max="18" width="18.42578125" style="1" customWidth="1"/>
    <col min="19" max="19" width="15.7109375" style="1" bestFit="1" customWidth="1"/>
    <col min="20" max="20" width="2.42578125" style="1" customWidth="1"/>
    <col min="21" max="21" width="15.42578125" style="1" bestFit="1" customWidth="1"/>
    <col min="22" max="16384" width="9.42578125" style="1"/>
  </cols>
  <sheetData>
    <row r="2" spans="1:19" ht="23.65">
      <c r="B2" s="16" t="s">
        <v>1565</v>
      </c>
      <c r="H2" s="19" t="str">
        <f>Validations!$C$6</f>
        <v>Justice Centre</v>
      </c>
    </row>
    <row r="3" spans="1:19" s="41" customFormat="1" ht="10.7">
      <c r="A3" s="71"/>
      <c r="B3" s="43"/>
      <c r="C3" s="50"/>
      <c r="D3" s="50"/>
      <c r="H3" s="6" t="s">
        <v>321</v>
      </c>
      <c r="I3" s="6" t="s">
        <v>377</v>
      </c>
      <c r="J3" s="6" t="s">
        <v>378</v>
      </c>
      <c r="L3" s="6" t="s">
        <v>333</v>
      </c>
      <c r="M3" s="6" t="s">
        <v>334</v>
      </c>
      <c r="O3" s="6" t="s">
        <v>335</v>
      </c>
      <c r="P3" s="6" t="s">
        <v>1566</v>
      </c>
      <c r="R3" s="6" t="s">
        <v>1567</v>
      </c>
      <c r="S3" s="6" t="s">
        <v>1568</v>
      </c>
    </row>
    <row r="4" spans="1:19" s="2" customFormat="1" ht="30" customHeight="1">
      <c r="A4" s="467" t="s">
        <v>337</v>
      </c>
      <c r="B4" s="144" t="s">
        <v>338</v>
      </c>
      <c r="C4" s="51" t="s">
        <v>7</v>
      </c>
      <c r="D4" s="17" t="s">
        <v>339</v>
      </c>
      <c r="E4" s="147" t="s">
        <v>340</v>
      </c>
      <c r="F4" s="417" t="s">
        <v>341</v>
      </c>
      <c r="G4" s="417" t="s">
        <v>13</v>
      </c>
      <c r="H4" s="20" t="s">
        <v>1569</v>
      </c>
      <c r="I4" s="20" t="s">
        <v>1570</v>
      </c>
      <c r="J4" s="20" t="s">
        <v>354</v>
      </c>
      <c r="K4" s="458" t="s">
        <v>535</v>
      </c>
      <c r="L4" s="20" t="s">
        <v>1571</v>
      </c>
      <c r="M4" s="20" t="s">
        <v>357</v>
      </c>
      <c r="N4" s="458" t="s">
        <v>353</v>
      </c>
      <c r="O4" s="20" t="s">
        <v>1572</v>
      </c>
      <c r="P4" s="20" t="s">
        <v>1573</v>
      </c>
      <c r="Q4" s="458" t="s">
        <v>355</v>
      </c>
      <c r="R4" s="20" t="s">
        <v>389</v>
      </c>
      <c r="S4" s="230" t="s">
        <v>1574</v>
      </c>
    </row>
    <row r="5" spans="1:19">
      <c r="A5" s="71">
        <v>1</v>
      </c>
      <c r="B5" s="96" t="str">
        <f ca="1">INDEX(BudgetTrack[PA ID],MATCH(BudgetDetails[[#This Row],[Row]],BudgetTrack[Row],0))</f>
        <v>100.010.F1</v>
      </c>
      <c r="C5" s="119" t="str">
        <f ca="1">INDEX(BudgetTrack[Primary Category],MATCH(BudgetDetails[[#This Row],[PA ID]],BudgetTrack[PA ID],0))</f>
        <v>Administration</v>
      </c>
      <c r="D5" s="119" t="str">
        <f ca="1">INDEX(BudgetTrack[Secondary Category],MATCH(BudgetDetails[[#This Row],[PA ID]],BudgetTrack[PA ID],0))</f>
        <v>Staff Capitalization - INFRA</v>
      </c>
      <c r="E5" s="96" t="str">
        <f ca="1">INDEX(BudgetTrack[Phase / Subproject],MATCH(BudgetDetails[[#This Row],[PA ID]],BudgetTrack[PA ID],0))</f>
        <v>--</v>
      </c>
      <c r="F5" s="96" t="str">
        <f ca="1">INDEX(BudgetTrack[Phase / Subproject 2],MATCH(BudgetDetails[[#This Row],[PA ID]],BudgetTrack[PA ID],0))</f>
        <v>--</v>
      </c>
      <c r="G5" s="96" t="str">
        <f ca="1">INDEX(BudgetTrack[Funding Source],MATCH(BudgetDetails[[#This Row],[PA ID]],BudgetTrack[PA ID],0))</f>
        <v>P-002360</v>
      </c>
      <c r="H5" s="46">
        <f ca="1">IFERROR(INDEX(BudgetTrack[Baseline Budget],MATCH(BudgetDetails[[#This Row],[PA ID]],BudgetTrack[PA ID],0)),0)</f>
        <v>2975000</v>
      </c>
      <c r="I5" s="52">
        <f ca="1">BudgetDetails[[#This Row],[Current Budget]]-BudgetDetails[[#This Row],[Base Budget]]</f>
        <v>602739</v>
      </c>
      <c r="J5" s="755">
        <f ca="1">IFERROR(INDEX(BudgetTrack[Current Budget],MATCH(BudgetDetails[[#This Row],[PA ID]],BudgetTrack[PA ID],0)),0)</f>
        <v>3577739</v>
      </c>
      <c r="L5" s="292">
        <f ca="1">SUMIF(EAC[PA ID],BudgetDetails[[#This Row],[PA ID]],EAC[Estimate At Completion])</f>
        <v>3577739</v>
      </c>
      <c r="M5" s="292">
        <f ca="1">BudgetDetails[[#This Row],[Current Budget]]-BudgetDetails[[#This Row],[Estimate at Completion]]</f>
        <v>0</v>
      </c>
      <c r="O5" s="53">
        <f ca="1">SUMIF(EAC[PA ID],BudgetDetails[[#This Row],[PA ID]],EAC[Current Commitment])</f>
        <v>3577739</v>
      </c>
      <c r="P5" s="53">
        <f ca="1">BudgetDetails[[#This Row],[Current Budget]]-BudgetDetails[[#This Row],[Commitments to Date]]</f>
        <v>0</v>
      </c>
      <c r="R5" s="53">
        <f ca="1">SUMIFS(CostTrack[Value],CostTrack[PA ID],BudgetDetails[[#This Row],[PA ID]],CostTrack[Flag],"",CostTrack[Holdback (Y/N/R)],"&lt;&gt;Release",CostTrack[Status],"Approved")</f>
        <v>3303972.9300000006</v>
      </c>
      <c r="S5" s="466">
        <f ca="1">BudgetDetails[[#This Row],[Current Budget]]-BudgetDetails[[#This Row],[Expenditures to Date]]</f>
        <v>273766.06999999937</v>
      </c>
    </row>
    <row r="6" spans="1:19">
      <c r="A6" s="71">
        <f>A5+1</f>
        <v>2</v>
      </c>
      <c r="B6" s="96" t="str">
        <f ca="1">INDEX(BudgetTrack[PA ID],MATCH(BudgetDetails[[#This Row],[Row]],BudgetTrack[Row],0))</f>
        <v>100.050.F1</v>
      </c>
      <c r="C6" s="119" t="str">
        <f ca="1">INDEX(BudgetTrack[Primary Category],MATCH(BudgetDetails[[#This Row],[PA ID]],BudgetTrack[PA ID],0))</f>
        <v>Administration</v>
      </c>
      <c r="D6" s="119" t="str">
        <f ca="1">INDEX(BudgetTrack[Secondary Category],MATCH(BudgetDetails[[#This Row],[PA ID]],BudgetTrack[PA ID],0))</f>
        <v>Other Administration</v>
      </c>
      <c r="E6" s="96" t="str">
        <f ca="1">INDEX(BudgetTrack[Phase / Subproject],MATCH(BudgetDetails[[#This Row],[PA ID]],BudgetTrack[PA ID],0))</f>
        <v>--</v>
      </c>
      <c r="F6" s="96" t="str">
        <f ca="1">INDEX(BudgetTrack[Phase / Subproject 2],MATCH(BudgetDetails[[#This Row],[PA ID]],BudgetTrack[PA ID],0))</f>
        <v>--</v>
      </c>
      <c r="G6" s="96" t="str">
        <f ca="1">INDEX(BudgetTrack[Funding Source],MATCH(BudgetDetails[[#This Row],[PA ID]],BudgetTrack[PA ID],0))</f>
        <v>P-002360</v>
      </c>
      <c r="H6" s="46">
        <f ca="1">IFERROR(INDEX(BudgetTrack[Baseline Budget],MATCH(BudgetDetails[[#This Row],[PA ID]],BudgetTrack[PA ID],0)),0)</f>
        <v>25167</v>
      </c>
      <c r="I6" s="52">
        <f ca="1">BudgetDetails[[#This Row],[Current Budget]]-BudgetDetails[[#This Row],[Base Budget]]</f>
        <v>7862.739999999998</v>
      </c>
      <c r="J6" s="755">
        <f ca="1">IFERROR(INDEX(BudgetTrack[Current Budget],MATCH(BudgetDetails[[#This Row],[PA ID]],BudgetTrack[PA ID],0)),0)</f>
        <v>33029.74</v>
      </c>
      <c r="L6" s="292">
        <f ca="1">SUMIF(EAC[PA ID],BudgetDetails[[#This Row],[PA ID]],EAC[Estimate At Completion])</f>
        <v>33015.730000000003</v>
      </c>
      <c r="M6" s="292">
        <f ca="1">BudgetDetails[[#This Row],[Current Budget]]-BudgetDetails[[#This Row],[Estimate at Completion]]</f>
        <v>14.009999999994761</v>
      </c>
      <c r="O6" s="53">
        <f ca="1">SUMIF(EAC[PA ID],BudgetDetails[[#This Row],[PA ID]],EAC[Current Commitment])</f>
        <v>33015.730000000003</v>
      </c>
      <c r="P6" s="53">
        <f ca="1">BudgetDetails[[#This Row],[Current Budget]]-BudgetDetails[[#This Row],[Commitments to Date]]</f>
        <v>14.009999999994761</v>
      </c>
      <c r="R6" s="53">
        <f ca="1">SUMIFS(CostTrack[Value],CostTrack[PA ID],BudgetDetails[[#This Row],[PA ID]],CostTrack[Flag],"",CostTrack[Holdback (Y/N/R)],"&lt;&gt;Release",CostTrack[Status],"Approved")</f>
        <v>32959.769999999982</v>
      </c>
      <c r="S6" s="466">
        <f ca="1">BudgetDetails[[#This Row],[Current Budget]]-BudgetDetails[[#This Row],[Expenditures to Date]]</f>
        <v>69.970000000015716</v>
      </c>
    </row>
    <row r="7" spans="1:19">
      <c r="A7" s="71">
        <f t="shared" ref="A7:A64" si="0">A6+1</f>
        <v>3</v>
      </c>
      <c r="B7" s="96" t="str">
        <f ca="1">INDEX(BudgetTrack[PA ID],MATCH(BudgetDetails[[#This Row],[Row]],BudgetTrack[Row],0))</f>
        <v>200.010.F1</v>
      </c>
      <c r="C7" s="119" t="str">
        <f ca="1">INDEX(BudgetTrack[Primary Category],MATCH(BudgetDetails[[#This Row],[PA ID]],BudgetTrack[PA ID],0))</f>
        <v>Professional Services</v>
      </c>
      <c r="D7" s="119" t="str">
        <f ca="1">INDEX(BudgetTrack[Secondary Category],MATCH(BudgetDetails[[#This Row],[PA ID]],BudgetTrack[PA ID],0))</f>
        <v>Prime Consultant</v>
      </c>
      <c r="E7" s="96" t="str">
        <f ca="1">INDEX(BudgetTrack[Phase / Subproject],MATCH(BudgetDetails[[#This Row],[PA ID]],BudgetTrack[PA ID],0))</f>
        <v>--</v>
      </c>
      <c r="F7" s="96" t="str">
        <f ca="1">INDEX(BudgetTrack[Phase / Subproject 2],MATCH(BudgetDetails[[#This Row],[PA ID]],BudgetTrack[PA ID],0))</f>
        <v>--</v>
      </c>
      <c r="G7" s="96" t="str">
        <f ca="1">INDEX(BudgetTrack[Funding Source],MATCH(BudgetDetails[[#This Row],[PA ID]],BudgetTrack[PA ID],0))</f>
        <v>P-002360</v>
      </c>
      <c r="H7" s="46">
        <f ca="1">IFERROR(INDEX(BudgetTrack[Baseline Budget],MATCH(BudgetDetails[[#This Row],[PA ID]],BudgetTrack[PA ID],0)),0)</f>
        <v>11000000</v>
      </c>
      <c r="I7" s="52">
        <f ca="1">BudgetDetails[[#This Row],[Current Budget]]-BudgetDetails[[#This Row],[Base Budget]]</f>
        <v>-1256334.1799999997</v>
      </c>
      <c r="J7" s="755">
        <f ca="1">IFERROR(INDEX(BudgetTrack[Current Budget],MATCH(BudgetDetails[[#This Row],[PA ID]],BudgetTrack[PA ID],0)),0)</f>
        <v>9743665.8200000003</v>
      </c>
      <c r="L7" s="292">
        <f ca="1">SUMIF(EAC[PA ID],BudgetDetails[[#This Row],[PA ID]],EAC[Estimate At Completion])</f>
        <v>9743665.8200000003</v>
      </c>
      <c r="M7" s="292">
        <f ca="1">BudgetDetails[[#This Row],[Current Budget]]-BudgetDetails[[#This Row],[Estimate at Completion]]</f>
        <v>0</v>
      </c>
      <c r="O7" s="53">
        <f ca="1">SUMIF(EAC[PA ID],BudgetDetails[[#This Row],[PA ID]],EAC[Current Commitment])</f>
        <v>9743665.8200000003</v>
      </c>
      <c r="P7" s="53">
        <f ca="1">BudgetDetails[[#This Row],[Current Budget]]-BudgetDetails[[#This Row],[Commitments to Date]]</f>
        <v>0</v>
      </c>
      <c r="R7" s="53">
        <f ca="1">SUMIFS(CostTrack[Value],CostTrack[PA ID],BudgetDetails[[#This Row],[PA ID]],CostTrack[Flag],"",CostTrack[Holdback (Y/N/R)],"&lt;&gt;Release",CostTrack[Status],"Approved")</f>
        <v>9659288.0199999921</v>
      </c>
      <c r="S7" s="466">
        <f ca="1">BudgetDetails[[#This Row],[Current Budget]]-BudgetDetails[[#This Row],[Expenditures to Date]]</f>
        <v>84377.800000008196</v>
      </c>
    </row>
    <row r="8" spans="1:19">
      <c r="A8" s="71">
        <f t="shared" si="0"/>
        <v>4</v>
      </c>
      <c r="B8" s="96" t="str">
        <f ca="1">INDEX(BudgetTrack[PA ID],MATCH(BudgetDetails[[#This Row],[Row]],BudgetTrack[Row],0))</f>
        <v>200.050.F1</v>
      </c>
      <c r="C8" s="119" t="str">
        <f ca="1">INDEX(BudgetTrack[Primary Category],MATCH(BudgetDetails[[#This Row],[PA ID]],BudgetTrack[PA ID],0))</f>
        <v>Professional Services</v>
      </c>
      <c r="D8" s="119" t="str">
        <f ca="1">INDEX(BudgetTrack[Secondary Category],MATCH(BudgetDetails[[#This Row],[PA ID]],BudgetTrack[PA ID],0))</f>
        <v>Other Professional Services</v>
      </c>
      <c r="E8" s="96" t="str">
        <f ca="1">INDEX(BudgetTrack[Phase / Subproject],MATCH(BudgetDetails[[#This Row],[PA ID]],BudgetTrack[PA ID],0))</f>
        <v>--</v>
      </c>
      <c r="F8" s="96" t="str">
        <f ca="1">INDEX(BudgetTrack[Phase / Subproject 2],MATCH(BudgetDetails[[#This Row],[PA ID]],BudgetTrack[PA ID],0))</f>
        <v>--</v>
      </c>
      <c r="G8" s="96" t="str">
        <f ca="1">INDEX(BudgetTrack[Funding Source],MATCH(BudgetDetails[[#This Row],[PA ID]],BudgetTrack[PA ID],0))</f>
        <v>P-002360</v>
      </c>
      <c r="H8" s="46">
        <f ca="1">IFERROR(INDEX(BudgetTrack[Baseline Budget],MATCH(BudgetDetails[[#This Row],[PA ID]],BudgetTrack[PA ID],0)),0)</f>
        <v>850000</v>
      </c>
      <c r="I8" s="52">
        <f ca="1">BudgetDetails[[#This Row],[Current Budget]]-BudgetDetails[[#This Row],[Base Budget]]</f>
        <v>733594.56999999983</v>
      </c>
      <c r="J8" s="755">
        <f ca="1">IFERROR(INDEX(BudgetTrack[Current Budget],MATCH(BudgetDetails[[#This Row],[PA ID]],BudgetTrack[PA ID],0)),0)</f>
        <v>1583594.5699999998</v>
      </c>
      <c r="L8" s="292">
        <f ca="1">SUMIF(EAC[PA ID],BudgetDetails[[#This Row],[PA ID]],EAC[Estimate At Completion])</f>
        <v>1583594.5699999998</v>
      </c>
      <c r="M8" s="292">
        <f ca="1">BudgetDetails[[#This Row],[Current Budget]]-BudgetDetails[[#This Row],[Estimate at Completion]]</f>
        <v>0</v>
      </c>
      <c r="O8" s="53">
        <f ca="1">SUMIF(EAC[PA ID],BudgetDetails[[#This Row],[PA ID]],EAC[Current Commitment])</f>
        <v>1403719.5699999998</v>
      </c>
      <c r="P8" s="53">
        <f ca="1">BudgetDetails[[#This Row],[Current Budget]]-BudgetDetails[[#This Row],[Commitments to Date]]</f>
        <v>179875</v>
      </c>
      <c r="R8" s="53">
        <f ca="1">SUMIFS(CostTrack[Value],CostTrack[PA ID],BudgetDetails[[#This Row],[PA ID]],CostTrack[Flag],"",CostTrack[Holdback (Y/N/R)],"&lt;&gt;Release",CostTrack[Status],"Approved")</f>
        <v>1119144.45</v>
      </c>
      <c r="S8" s="466">
        <f ca="1">BudgetDetails[[#This Row],[Current Budget]]-BudgetDetails[[#This Row],[Expenditures to Date]]</f>
        <v>464450.11999999988</v>
      </c>
    </row>
    <row r="9" spans="1:19">
      <c r="A9" s="71">
        <f t="shared" si="0"/>
        <v>5</v>
      </c>
      <c r="B9" s="96" t="str">
        <f ca="1">INDEX(BudgetTrack[PA ID],MATCH(BudgetDetails[[#This Row],[Row]],BudgetTrack[Row],0))</f>
        <v>200.040.F1</v>
      </c>
      <c r="C9" s="119" t="str">
        <f ca="1">INDEX(BudgetTrack[Primary Category],MATCH(BudgetDetails[[#This Row],[PA ID]],BudgetTrack[PA ID],0))</f>
        <v>Professional Services</v>
      </c>
      <c r="D9" s="119" t="str">
        <f ca="1">INDEX(BudgetTrack[Secondary Category],MATCH(BudgetDetails[[#This Row],[PA ID]],BudgetTrack[PA ID],0))</f>
        <v>Commissioning</v>
      </c>
      <c r="E9" s="96" t="str">
        <f ca="1">INDEX(BudgetTrack[Phase / Subproject],MATCH(BudgetDetails[[#This Row],[PA ID]],BudgetTrack[PA ID],0))</f>
        <v>--</v>
      </c>
      <c r="F9" s="96" t="str">
        <f ca="1">INDEX(BudgetTrack[Phase / Subproject 2],MATCH(BudgetDetails[[#This Row],[PA ID]],BudgetTrack[PA ID],0))</f>
        <v>--</v>
      </c>
      <c r="G9" s="96" t="str">
        <f ca="1">INDEX(BudgetTrack[Funding Source],MATCH(BudgetDetails[[#This Row],[PA ID]],BudgetTrack[PA ID],0))</f>
        <v>P-002360</v>
      </c>
      <c r="H9" s="46">
        <f ca="1">IFERROR(INDEX(BudgetTrack[Baseline Budget],MATCH(BudgetDetails[[#This Row],[PA ID]],BudgetTrack[PA ID],0)),0)</f>
        <v>360000</v>
      </c>
      <c r="I9" s="52">
        <f ca="1">BudgetDetails[[#This Row],[Current Budget]]-BudgetDetails[[#This Row],[Base Budget]]</f>
        <v>192455.79000000004</v>
      </c>
      <c r="J9" s="755">
        <f ca="1">IFERROR(INDEX(BudgetTrack[Current Budget],MATCH(BudgetDetails[[#This Row],[PA ID]],BudgetTrack[PA ID],0)),0)</f>
        <v>552455.79</v>
      </c>
      <c r="L9" s="292">
        <f ca="1">SUMIF(EAC[PA ID],BudgetDetails[[#This Row],[PA ID]],EAC[Estimate At Completion])</f>
        <v>518581.79</v>
      </c>
      <c r="M9" s="292">
        <f ca="1">BudgetDetails[[#This Row],[Current Budget]]-BudgetDetails[[#This Row],[Estimate at Completion]]</f>
        <v>33874.000000000058</v>
      </c>
      <c r="O9" s="53">
        <f ca="1">SUMIF(EAC[PA ID],BudgetDetails[[#This Row],[PA ID]],EAC[Current Commitment])</f>
        <v>518581.79</v>
      </c>
      <c r="P9" s="53">
        <f ca="1">BudgetDetails[[#This Row],[Current Budget]]-BudgetDetails[[#This Row],[Commitments to Date]]</f>
        <v>33874.000000000058</v>
      </c>
      <c r="R9" s="53">
        <f ca="1">SUMIFS(CostTrack[Value],CostTrack[PA ID],BudgetDetails[[#This Row],[PA ID]],CostTrack[Flag],"",CostTrack[Holdback (Y/N/R)],"&lt;&gt;Release",CostTrack[Status],"Approved")</f>
        <v>517954.04</v>
      </c>
      <c r="S9" s="466">
        <f ca="1">BudgetDetails[[#This Row],[Current Budget]]-BudgetDetails[[#This Row],[Expenditures to Date]]</f>
        <v>34501.750000000058</v>
      </c>
    </row>
    <row r="10" spans="1:19">
      <c r="A10" s="71">
        <f t="shared" si="0"/>
        <v>6</v>
      </c>
      <c r="B10" s="748" t="str">
        <f ca="1">INDEX(BudgetTrack[PA ID],MATCH(BudgetDetails[[#This Row],[Row]],BudgetTrack[Row],0))</f>
        <v>200.060.F1</v>
      </c>
      <c r="C10" s="749" t="str">
        <f ca="1">INDEX(BudgetTrack[Primary Category],MATCH(BudgetDetails[[#This Row],[PA ID]],BudgetTrack[PA ID],0))</f>
        <v>Professional Services</v>
      </c>
      <c r="D10" s="749" t="str">
        <f ca="1">INDEX(BudgetTrack[Secondary Category],MATCH(BudgetDetails[[#This Row],[PA ID]],BudgetTrack[PA ID],0))</f>
        <v>Contingency - Professional</v>
      </c>
      <c r="E10" s="748" t="str">
        <f ca="1">INDEX(BudgetTrack[Phase / Subproject],MATCH(BudgetDetails[[#This Row],[PA ID]],BudgetTrack[PA ID],0))</f>
        <v>--</v>
      </c>
      <c r="F10" s="748" t="str">
        <f ca="1">INDEX(BudgetTrack[Phase / Subproject 2],MATCH(BudgetDetails[[#This Row],[PA ID]],BudgetTrack[PA ID],0))</f>
        <v>--</v>
      </c>
      <c r="G10" s="748" t="str">
        <f ca="1">INDEX(BudgetTrack[Funding Source],MATCH(BudgetDetails[[#This Row],[PA ID]],BudgetTrack[PA ID],0))</f>
        <v>P-002360</v>
      </c>
      <c r="H10" s="750">
        <f ca="1">IFERROR(INDEX(BudgetTrack[Baseline Budget],MATCH(BudgetDetails[[#This Row],[PA ID]],BudgetTrack[PA ID],0)),0)</f>
        <v>1000000</v>
      </c>
      <c r="I10" s="751">
        <f ca="1">BudgetDetails[[#This Row],[Current Budget]]-BudgetDetails[[#This Row],[Base Budget]]</f>
        <v>1700000</v>
      </c>
      <c r="J10" s="756">
        <f ca="1">IFERROR(INDEX(BudgetTrack[Current Budget],MATCH(BudgetDetails[[#This Row],[PA ID]],BudgetTrack[PA ID],0)),0)</f>
        <v>2700000</v>
      </c>
      <c r="L10" s="753">
        <f ca="1">SUMIF(EAC[PA ID],BudgetDetails[[#This Row],[PA ID]],EAC[Estimate At Completion])</f>
        <v>2700000</v>
      </c>
      <c r="M10" s="753">
        <f ca="1">BudgetDetails[[#This Row],[Current Budget]]-BudgetDetails[[#This Row],[Estimate at Completion]]</f>
        <v>0</v>
      </c>
      <c r="O10" s="752">
        <f ca="1">SUMIF(EAC[PA ID],BudgetDetails[[#This Row],[PA ID]],EAC[Current Commitment])</f>
        <v>0</v>
      </c>
      <c r="P10" s="752">
        <f ca="1">BudgetDetails[[#This Row],[Current Budget]]-BudgetDetails[[#This Row],[Commitments to Date]]</f>
        <v>2700000</v>
      </c>
      <c r="R10" s="752">
        <f ca="1">SUMIFS(CostTrack[Value],CostTrack[PA ID],BudgetDetails[[#This Row],[PA ID]],CostTrack[Flag],"",CostTrack[Holdback (Y/N/R)],"&lt;&gt;Release",CostTrack[Status],"Approved")</f>
        <v>0</v>
      </c>
      <c r="S10" s="754">
        <f ca="1">BudgetDetails[[#This Row],[Current Budget]]-BudgetDetails[[#This Row],[Expenditures to Date]]</f>
        <v>2700000</v>
      </c>
    </row>
    <row r="11" spans="1:19">
      <c r="A11" s="71">
        <f t="shared" si="0"/>
        <v>7</v>
      </c>
      <c r="B11" s="96" t="str">
        <f ca="1">INDEX(BudgetTrack[PA ID],MATCH(BudgetDetails[[#This Row],[Row]],BudgetTrack[Row],0))</f>
        <v>300.010.F1</v>
      </c>
      <c r="C11" s="119" t="str">
        <f ca="1">INDEX(BudgetTrack[Primary Category],MATCH(BudgetDetails[[#This Row],[PA ID]],BudgetTrack[PA ID],0))</f>
        <v>Construction</v>
      </c>
      <c r="D11" s="119" t="str">
        <f ca="1">INDEX(BudgetTrack[Secondary Category],MATCH(BudgetDetails[[#This Row],[PA ID]],BudgetTrack[PA ID],0))</f>
        <v>Permits &amp; Fees</v>
      </c>
      <c r="E11" s="96" t="str">
        <f ca="1">INDEX(BudgetTrack[Phase / Subproject],MATCH(BudgetDetails[[#This Row],[PA ID]],BudgetTrack[PA ID],0))</f>
        <v>--</v>
      </c>
      <c r="F11" s="96" t="str">
        <f ca="1">INDEX(BudgetTrack[Phase / Subproject 2],MATCH(BudgetDetails[[#This Row],[PA ID]],BudgetTrack[PA ID],0))</f>
        <v>--</v>
      </c>
      <c r="G11" s="96" t="str">
        <f ca="1">INDEX(BudgetTrack[Funding Source],MATCH(BudgetDetails[[#This Row],[PA ID]],BudgetTrack[PA ID],0))</f>
        <v>P-002360</v>
      </c>
      <c r="H11" s="46">
        <f ca="1">IFERROR(INDEX(BudgetTrack[Baseline Budget],MATCH(BudgetDetails[[#This Row],[PA ID]],BudgetTrack[PA ID],0)),0)</f>
        <v>250000</v>
      </c>
      <c r="I11" s="52">
        <f ca="1">BudgetDetails[[#This Row],[Current Budget]]-BudgetDetails[[#This Row],[Base Budget]]</f>
        <v>907776.7</v>
      </c>
      <c r="J11" s="755">
        <f ca="1">IFERROR(INDEX(BudgetTrack[Current Budget],MATCH(BudgetDetails[[#This Row],[PA ID]],BudgetTrack[PA ID],0)),0)</f>
        <v>1157776.7</v>
      </c>
      <c r="L11" s="292">
        <f ca="1">SUMIF(EAC[PA ID],BudgetDetails[[#This Row],[PA ID]],EAC[Estimate At Completion])</f>
        <v>1157776.7</v>
      </c>
      <c r="M11" s="292">
        <f ca="1">BudgetDetails[[#This Row],[Current Budget]]-BudgetDetails[[#This Row],[Estimate at Completion]]</f>
        <v>0</v>
      </c>
      <c r="O11" s="53">
        <f ca="1">SUMIF(EAC[PA ID],BudgetDetails[[#This Row],[PA ID]],EAC[Current Commitment])</f>
        <v>1157776.7</v>
      </c>
      <c r="P11" s="53">
        <f ca="1">BudgetDetails[[#This Row],[Current Budget]]-BudgetDetails[[#This Row],[Commitments to Date]]</f>
        <v>0</v>
      </c>
      <c r="R11" s="53">
        <f ca="1">SUMIFS(CostTrack[Value],CostTrack[PA ID],BudgetDetails[[#This Row],[PA ID]],CostTrack[Flag],"",CostTrack[Holdback (Y/N/R)],"&lt;&gt;Release",CostTrack[Status],"Approved")</f>
        <v>1157776.7</v>
      </c>
      <c r="S11" s="466">
        <f ca="1">BudgetDetails[[#This Row],[Current Budget]]-BudgetDetails[[#This Row],[Expenditures to Date]]</f>
        <v>0</v>
      </c>
    </row>
    <row r="12" spans="1:19">
      <c r="A12" s="71">
        <f t="shared" si="0"/>
        <v>8</v>
      </c>
      <c r="B12" s="96" t="str">
        <f ca="1">INDEX(BudgetTrack[PA ID],MATCH(BudgetDetails[[#This Row],[Row]],BudgetTrack[Row],0))</f>
        <v>300.020.F1</v>
      </c>
      <c r="C12" s="119" t="str">
        <f ca="1">INDEX(BudgetTrack[Primary Category],MATCH(BudgetDetails[[#This Row],[PA ID]],BudgetTrack[PA ID],0))</f>
        <v>Construction</v>
      </c>
      <c r="D12" s="119" t="str">
        <f ca="1">INDEX(BudgetTrack[Secondary Category],MATCH(BudgetDetails[[#This Row],[PA ID]],BudgetTrack[PA ID],0))</f>
        <v>Utilities</v>
      </c>
      <c r="E12" s="96" t="str">
        <f ca="1">INDEX(BudgetTrack[Phase / Subproject],MATCH(BudgetDetails[[#This Row],[PA ID]],BudgetTrack[PA ID],0))</f>
        <v>--</v>
      </c>
      <c r="F12" s="96" t="str">
        <f ca="1">INDEX(BudgetTrack[Phase / Subproject 2],MATCH(BudgetDetails[[#This Row],[PA ID]],BudgetTrack[PA ID],0))</f>
        <v>--</v>
      </c>
      <c r="G12" s="96" t="str">
        <f ca="1">INDEX(BudgetTrack[Funding Source],MATCH(BudgetDetails[[#This Row],[PA ID]],BudgetTrack[PA ID],0))</f>
        <v>P-002360</v>
      </c>
      <c r="H12" s="46">
        <f ca="1">IFERROR(INDEX(BudgetTrack[Baseline Budget],MATCH(BudgetDetails[[#This Row],[PA ID]],BudgetTrack[PA ID],0)),0)</f>
        <v>500000</v>
      </c>
      <c r="I12" s="52">
        <f ca="1">BudgetDetails[[#This Row],[Current Budget]]-BudgetDetails[[#This Row],[Base Budget]]</f>
        <v>-353113.68000000005</v>
      </c>
      <c r="J12" s="755">
        <f ca="1">IFERROR(INDEX(BudgetTrack[Current Budget],MATCH(BudgetDetails[[#This Row],[PA ID]],BudgetTrack[PA ID],0)),0)</f>
        <v>146886.31999999998</v>
      </c>
      <c r="L12" s="292">
        <f ca="1">SUMIF(EAC[PA ID],BudgetDetails[[#This Row],[PA ID]],EAC[Estimate At Completion])</f>
        <v>146886.31999999998</v>
      </c>
      <c r="M12" s="292">
        <f ca="1">BudgetDetails[[#This Row],[Current Budget]]-BudgetDetails[[#This Row],[Estimate at Completion]]</f>
        <v>0</v>
      </c>
      <c r="O12" s="53">
        <f ca="1">SUMIF(EAC[PA ID],BudgetDetails[[#This Row],[PA ID]],EAC[Current Commitment])</f>
        <v>146886.31999999998</v>
      </c>
      <c r="P12" s="53">
        <f ca="1">BudgetDetails[[#This Row],[Current Budget]]-BudgetDetails[[#This Row],[Commitments to Date]]</f>
        <v>0</v>
      </c>
      <c r="R12" s="53">
        <f ca="1">SUMIFS(CostTrack[Value],CostTrack[PA ID],BudgetDetails[[#This Row],[PA ID]],CostTrack[Flag],"",CostTrack[Holdback (Y/N/R)],"&lt;&gt;Release",CostTrack[Status],"Approved")</f>
        <v>146886.31999999998</v>
      </c>
      <c r="S12" s="466">
        <f ca="1">BudgetDetails[[#This Row],[Current Budget]]-BudgetDetails[[#This Row],[Expenditures to Date]]</f>
        <v>0</v>
      </c>
    </row>
    <row r="13" spans="1:19">
      <c r="A13" s="71">
        <f t="shared" si="0"/>
        <v>9</v>
      </c>
      <c r="B13" s="96" t="str">
        <f ca="1">INDEX(BudgetTrack[PA ID],MATCH(BudgetDetails[[#This Row],[Row]],BudgetTrack[Row],0))</f>
        <v>300.030.F1</v>
      </c>
      <c r="C13" s="119" t="str">
        <f ca="1">INDEX(BudgetTrack[Primary Category],MATCH(BudgetDetails[[#This Row],[PA ID]],BudgetTrack[PA ID],0))</f>
        <v>Construction</v>
      </c>
      <c r="D13" s="119" t="str">
        <f ca="1">INDEX(BudgetTrack[Secondary Category],MATCH(BudgetDetails[[#This Row],[PA ID]],BudgetTrack[PA ID],0))</f>
        <v>Prime Contractor</v>
      </c>
      <c r="E13" s="96" t="str">
        <f ca="1">INDEX(BudgetTrack[Phase / Subproject],MATCH(BudgetDetails[[#This Row],[PA ID]],BudgetTrack[PA ID],0))</f>
        <v>--</v>
      </c>
      <c r="F13" s="96" t="str">
        <f ca="1">INDEX(BudgetTrack[Phase / Subproject 2],MATCH(BudgetDetails[[#This Row],[PA ID]],BudgetTrack[PA ID],0))</f>
        <v>--</v>
      </c>
      <c r="G13" s="96" t="str">
        <f ca="1">INDEX(BudgetTrack[Funding Source],MATCH(BudgetDetails[[#This Row],[PA ID]],BudgetTrack[PA ID],0))</f>
        <v>P-002360</v>
      </c>
      <c r="H13" s="46">
        <f ca="1">IFERROR(INDEX(BudgetTrack[Baseline Budget],MATCH(BudgetDetails[[#This Row],[PA ID]],BudgetTrack[PA ID],0)),0)</f>
        <v>138000000</v>
      </c>
      <c r="I13" s="52">
        <f ca="1">BudgetDetails[[#This Row],[Current Budget]]-BudgetDetails[[#This Row],[Base Budget]]</f>
        <v>16314591.419999987</v>
      </c>
      <c r="J13" s="755">
        <f ca="1">IFERROR(INDEX(BudgetTrack[Current Budget],MATCH(BudgetDetails[[#This Row],[PA ID]],BudgetTrack[PA ID],0)),0)</f>
        <v>154314591.41999999</v>
      </c>
      <c r="L13" s="292">
        <f ca="1">SUMIF(EAC[PA ID],BudgetDetails[[#This Row],[PA ID]],EAC[Estimate At Completion])</f>
        <v>154314591.42000002</v>
      </c>
      <c r="M13" s="292">
        <f ca="1">BudgetDetails[[#This Row],[Current Budget]]-BudgetDetails[[#This Row],[Estimate at Completion]]</f>
        <v>0</v>
      </c>
      <c r="O13" s="53">
        <f ca="1">SUMIF(EAC[PA ID],BudgetDetails[[#This Row],[PA ID]],EAC[Current Commitment])</f>
        <v>154314591.42000002</v>
      </c>
      <c r="P13" s="53">
        <f ca="1">BudgetDetails[[#This Row],[Current Budget]]-BudgetDetails[[#This Row],[Commitments to Date]]</f>
        <v>0</v>
      </c>
      <c r="R13" s="53">
        <f ca="1">SUMIFS(CostTrack[Value],CostTrack[PA ID],BudgetDetails[[#This Row],[PA ID]],CostTrack[Flag],"",CostTrack[Holdback (Y/N/R)],"&lt;&gt;Release",CostTrack[Status],"Approved")</f>
        <v>153062832.02000001</v>
      </c>
      <c r="S13" s="466">
        <f ca="1">BudgetDetails[[#This Row],[Current Budget]]-BudgetDetails[[#This Row],[Expenditures to Date]]</f>
        <v>1251759.3999999762</v>
      </c>
    </row>
    <row r="14" spans="1:19">
      <c r="A14" s="71">
        <f t="shared" si="0"/>
        <v>10</v>
      </c>
      <c r="B14" s="96" t="str">
        <f ca="1">INDEX(BudgetTrack[PA ID],MATCH(BudgetDetails[[#This Row],[Row]],BudgetTrack[Row],0))</f>
        <v>300.040.F1</v>
      </c>
      <c r="C14" s="119" t="str">
        <f ca="1">INDEX(BudgetTrack[Primary Category],MATCH(BudgetDetails[[#This Row],[PA ID]],BudgetTrack[PA ID],0))</f>
        <v>Construction</v>
      </c>
      <c r="D14" s="119" t="str">
        <f ca="1">INDEX(BudgetTrack[Secondary Category],MATCH(BudgetDetails[[#This Row],[PA ID]],BudgetTrack[PA ID],0))</f>
        <v>Other Contractor</v>
      </c>
      <c r="E14" s="96" t="str">
        <f ca="1">INDEX(BudgetTrack[Phase / Subproject],MATCH(BudgetDetails[[#This Row],[PA ID]],BudgetTrack[PA ID],0))</f>
        <v>--</v>
      </c>
      <c r="F14" s="96" t="str">
        <f ca="1">INDEX(BudgetTrack[Phase / Subproject 2],MATCH(BudgetDetails[[#This Row],[PA ID]],BudgetTrack[PA ID],0))</f>
        <v>--</v>
      </c>
      <c r="G14" s="96" t="str">
        <f ca="1">INDEX(BudgetTrack[Funding Source],MATCH(BudgetDetails[[#This Row],[PA ID]],BudgetTrack[PA ID],0))</f>
        <v>P-002360</v>
      </c>
      <c r="H14" s="46">
        <f ca="1">IFERROR(INDEX(BudgetTrack[Baseline Budget],MATCH(BudgetDetails[[#This Row],[PA ID]],BudgetTrack[PA ID],0)),0)</f>
        <v>3000000</v>
      </c>
      <c r="I14" s="52">
        <f ca="1">BudgetDetails[[#This Row],[Current Budget]]-BudgetDetails[[#This Row],[Base Budget]]</f>
        <v>-1583287.8800000004</v>
      </c>
      <c r="J14" s="755">
        <f ca="1">IFERROR(INDEX(BudgetTrack[Current Budget],MATCH(BudgetDetails[[#This Row],[PA ID]],BudgetTrack[PA ID],0)),0)</f>
        <v>1416712.1199999996</v>
      </c>
      <c r="L14" s="292">
        <f ca="1">SUMIF(EAC[PA ID],BudgetDetails[[#This Row],[PA ID]],EAC[Estimate At Completion])</f>
        <v>1416712.12</v>
      </c>
      <c r="M14" s="292">
        <f ca="1">BudgetDetails[[#This Row],[Current Budget]]-BudgetDetails[[#This Row],[Estimate at Completion]]</f>
        <v>0</v>
      </c>
      <c r="O14" s="53">
        <f ca="1">SUMIF(EAC[PA ID],BudgetDetails[[#This Row],[PA ID]],EAC[Current Commitment])</f>
        <v>1416712.12</v>
      </c>
      <c r="P14" s="53">
        <f ca="1">BudgetDetails[[#This Row],[Current Budget]]-BudgetDetails[[#This Row],[Commitments to Date]]</f>
        <v>0</v>
      </c>
      <c r="R14" s="53">
        <f ca="1">SUMIFS(CostTrack[Value],CostTrack[PA ID],BudgetDetails[[#This Row],[PA ID]],CostTrack[Flag],"",CostTrack[Holdback (Y/N/R)],"&lt;&gt;Release",CostTrack[Status],"Approved")</f>
        <v>916712.12000000011</v>
      </c>
      <c r="S14" s="466">
        <f ca="1">BudgetDetails[[#This Row],[Current Budget]]-BudgetDetails[[#This Row],[Expenditures to Date]]</f>
        <v>499999.99999999953</v>
      </c>
    </row>
    <row r="15" spans="1:19">
      <c r="A15" s="71">
        <f t="shared" si="0"/>
        <v>11</v>
      </c>
      <c r="B15" s="748" t="str">
        <f ca="1">INDEX(BudgetTrack[PA ID],MATCH(BudgetDetails[[#This Row],[Row]],BudgetTrack[Row],0))</f>
        <v>300.060.F1</v>
      </c>
      <c r="C15" s="749" t="str">
        <f ca="1">INDEX(BudgetTrack[Primary Category],MATCH(BudgetDetails[[#This Row],[PA ID]],BudgetTrack[PA ID],0))</f>
        <v>Construction</v>
      </c>
      <c r="D15" s="749" t="str">
        <f ca="1">INDEX(BudgetTrack[Secondary Category],MATCH(BudgetDetails[[#This Row],[PA ID]],BudgetTrack[PA ID],0))</f>
        <v>Contingency - Const. Phase</v>
      </c>
      <c r="E15" s="748" t="str">
        <f ca="1">INDEX(BudgetTrack[Phase / Subproject],MATCH(BudgetDetails[[#This Row],[PA ID]],BudgetTrack[PA ID],0))</f>
        <v>--</v>
      </c>
      <c r="F15" s="748" t="str">
        <f ca="1">INDEX(BudgetTrack[Phase / Subproject 2],MATCH(BudgetDetails[[#This Row],[PA ID]],BudgetTrack[PA ID],0))</f>
        <v>--</v>
      </c>
      <c r="G15" s="748" t="str">
        <f ca="1">INDEX(BudgetTrack[Funding Source],MATCH(BudgetDetails[[#This Row],[PA ID]],BudgetTrack[PA ID],0))</f>
        <v>P-002360</v>
      </c>
      <c r="H15" s="750">
        <f ca="1">IFERROR(INDEX(BudgetTrack[Baseline Budget],MATCH(BudgetDetails[[#This Row],[PA ID]],BudgetTrack[PA ID],0)),0)</f>
        <v>13900000</v>
      </c>
      <c r="I15" s="751">
        <f ca="1">BudgetDetails[[#This Row],[Current Budget]]-BudgetDetails[[#This Row],[Base Budget]]</f>
        <v>-11183523</v>
      </c>
      <c r="J15" s="756">
        <f ca="1">IFERROR(INDEX(BudgetTrack[Current Budget],MATCH(BudgetDetails[[#This Row],[PA ID]],BudgetTrack[PA ID],0)),0)</f>
        <v>2716476.9999999995</v>
      </c>
      <c r="L15" s="753">
        <f ca="1">SUMIF(EAC[PA ID],BudgetDetails[[#This Row],[PA ID]],EAC[Estimate At Completion])</f>
        <v>2629223</v>
      </c>
      <c r="M15" s="753">
        <f ca="1">BudgetDetails[[#This Row],[Current Budget]]-BudgetDetails[[#This Row],[Estimate at Completion]]</f>
        <v>87253.999999999534</v>
      </c>
      <c r="O15" s="752">
        <f ca="1">SUMIF(EAC[PA ID],BudgetDetails[[#This Row],[PA ID]],EAC[Current Commitment])</f>
        <v>0</v>
      </c>
      <c r="P15" s="752">
        <f ca="1">BudgetDetails[[#This Row],[Current Budget]]-BudgetDetails[[#This Row],[Commitments to Date]]</f>
        <v>2716476.9999999995</v>
      </c>
      <c r="R15" s="752">
        <f ca="1">SUMIFS(CostTrack[Value],CostTrack[PA ID],BudgetDetails[[#This Row],[PA ID]],CostTrack[Flag],"",CostTrack[Holdback (Y/N/R)],"&lt;&gt;Release",CostTrack[Status],"Approved")</f>
        <v>0</v>
      </c>
      <c r="S15" s="754">
        <f ca="1">BudgetDetails[[#This Row],[Current Budget]]-BudgetDetails[[#This Row],[Expenditures to Date]]</f>
        <v>2716476.9999999995</v>
      </c>
    </row>
    <row r="16" spans="1:19">
      <c r="A16" s="71">
        <f t="shared" si="0"/>
        <v>12</v>
      </c>
      <c r="B16" s="96" t="str">
        <f ca="1">INDEX(BudgetTrack[PA ID],MATCH(BudgetDetails[[#This Row],[Row]],BudgetTrack[Row],0))</f>
        <v>300.070.F1</v>
      </c>
      <c r="C16" s="119" t="str">
        <f ca="1">INDEX(BudgetTrack[Primary Category],MATCH(BudgetDetails[[#This Row],[PA ID]],BudgetTrack[PA ID],0))</f>
        <v>Construction</v>
      </c>
      <c r="D16" s="119" t="str">
        <f ca="1">INDEX(BudgetTrack[Secondary Category],MATCH(BudgetDetails[[#This Row],[PA ID]],BudgetTrack[PA ID],0))</f>
        <v>Allowance - Escalation</v>
      </c>
      <c r="E16" s="96" t="str">
        <f ca="1">INDEX(BudgetTrack[Phase / Subproject],MATCH(BudgetDetails[[#This Row],[PA ID]],BudgetTrack[PA ID],0))</f>
        <v>--</v>
      </c>
      <c r="F16" s="96" t="str">
        <f ca="1">INDEX(BudgetTrack[Phase / Subproject 2],MATCH(BudgetDetails[[#This Row],[PA ID]],BudgetTrack[PA ID],0))</f>
        <v>--</v>
      </c>
      <c r="G16" s="96" t="str">
        <f ca="1">INDEX(BudgetTrack[Funding Source],MATCH(BudgetDetails[[#This Row],[PA ID]],BudgetTrack[PA ID],0))</f>
        <v>P-002360</v>
      </c>
      <c r="H16" s="46">
        <f ca="1">IFERROR(INDEX(BudgetTrack[Baseline Budget],MATCH(BudgetDetails[[#This Row],[PA ID]],BudgetTrack[PA ID],0)),0)</f>
        <v>7000000</v>
      </c>
      <c r="I16" s="52">
        <f ca="1">BudgetDetails[[#This Row],[Current Budget]]-BudgetDetails[[#This Row],[Base Budget]]</f>
        <v>-7000000</v>
      </c>
      <c r="J16" s="755">
        <f ca="1">IFERROR(INDEX(BudgetTrack[Current Budget],MATCH(BudgetDetails[[#This Row],[PA ID]],BudgetTrack[PA ID],0)),0)</f>
        <v>0</v>
      </c>
      <c r="L16" s="292">
        <f ca="1">SUMIF(EAC[PA ID],BudgetDetails[[#This Row],[PA ID]],EAC[Estimate At Completion])</f>
        <v>0</v>
      </c>
      <c r="M16" s="292">
        <f ca="1">BudgetDetails[[#This Row],[Current Budget]]-BudgetDetails[[#This Row],[Estimate at Completion]]</f>
        <v>0</v>
      </c>
      <c r="O16" s="53">
        <f ca="1">SUMIF(EAC[PA ID],BudgetDetails[[#This Row],[PA ID]],EAC[Current Commitment])</f>
        <v>0</v>
      </c>
      <c r="P16" s="53">
        <f ca="1">BudgetDetails[[#This Row],[Current Budget]]-BudgetDetails[[#This Row],[Commitments to Date]]</f>
        <v>0</v>
      </c>
      <c r="R16" s="53">
        <f ca="1">SUMIFS(CostTrack[Value],CostTrack[PA ID],BudgetDetails[[#This Row],[PA ID]],CostTrack[Flag],"",CostTrack[Holdback (Y/N/R)],"&lt;&gt;Release",CostTrack[Status],"Approved")</f>
        <v>0</v>
      </c>
      <c r="S16" s="466">
        <f ca="1">BudgetDetails[[#This Row],[Current Budget]]-BudgetDetails[[#This Row],[Expenditures to Date]]</f>
        <v>0</v>
      </c>
    </row>
    <row r="17" spans="1:19">
      <c r="A17" s="71">
        <f t="shared" si="0"/>
        <v>13</v>
      </c>
      <c r="B17" s="96" t="str">
        <f ca="1">INDEX(BudgetTrack[PA ID],MATCH(BudgetDetails[[#This Row],[Row]],BudgetTrack[Row],0))</f>
        <v>400.010.F1</v>
      </c>
      <c r="C17" s="119" t="str">
        <f ca="1">INDEX(BudgetTrack[Primary Category],MATCH(BudgetDetails[[#This Row],[PA ID]],BudgetTrack[PA ID],0))</f>
        <v>FE_IT</v>
      </c>
      <c r="D17" s="119" t="str">
        <f ca="1">INDEX(BudgetTrack[Secondary Category],MATCH(BudgetDetails[[#This Row],[PA ID]],BudgetTrack[PA ID],0))</f>
        <v>Furniture &amp; Equipment</v>
      </c>
      <c r="E17" s="96" t="str">
        <f ca="1">INDEX(BudgetTrack[Phase / Subproject],MATCH(BudgetDetails[[#This Row],[PA ID]],BudgetTrack[PA ID],0))</f>
        <v>--</v>
      </c>
      <c r="F17" s="96" t="str">
        <f ca="1">INDEX(BudgetTrack[Phase / Subproject 2],MATCH(BudgetDetails[[#This Row],[PA ID]],BudgetTrack[PA ID],0))</f>
        <v>--</v>
      </c>
      <c r="G17" s="96" t="str">
        <f ca="1">INDEX(BudgetTrack[Funding Source],MATCH(BudgetDetails[[#This Row],[PA ID]],BudgetTrack[PA ID],0))</f>
        <v>P-002360</v>
      </c>
      <c r="H17" s="46">
        <f ca="1">IFERROR(INDEX(BudgetTrack[Baseline Budget],MATCH(BudgetDetails[[#This Row],[PA ID]],BudgetTrack[PA ID],0)),0)</f>
        <v>13000000</v>
      </c>
      <c r="I17" s="52">
        <f ca="1">BudgetDetails[[#This Row],[Current Budget]]-BudgetDetails[[#This Row],[Base Budget]]</f>
        <v>-9963780.0099999998</v>
      </c>
      <c r="J17" s="755">
        <f ca="1">IFERROR(INDEX(BudgetTrack[Current Budget],MATCH(BudgetDetails[[#This Row],[PA ID]],BudgetTrack[PA ID],0)),0)</f>
        <v>3036219.99</v>
      </c>
      <c r="L17" s="292">
        <f ca="1">SUMIF(EAC[PA ID],BudgetDetails[[#This Row],[PA ID]],EAC[Estimate At Completion])</f>
        <v>3036219.9900000007</v>
      </c>
      <c r="M17" s="292">
        <f ca="1">BudgetDetails[[#This Row],[Current Budget]]-BudgetDetails[[#This Row],[Estimate at Completion]]</f>
        <v>0</v>
      </c>
      <c r="O17" s="53">
        <f ca="1">SUMIF(EAC[PA ID],BudgetDetails[[#This Row],[PA ID]],EAC[Current Commitment])</f>
        <v>3036219.9900000007</v>
      </c>
      <c r="P17" s="53">
        <f ca="1">BudgetDetails[[#This Row],[Current Budget]]-BudgetDetails[[#This Row],[Commitments to Date]]</f>
        <v>0</v>
      </c>
      <c r="R17" s="53">
        <f ca="1">SUMIFS(CostTrack[Value],CostTrack[PA ID],BudgetDetails[[#This Row],[PA ID]],CostTrack[Flag],"",CostTrack[Holdback (Y/N/R)],"&lt;&gt;Release",CostTrack[Status],"Approved")</f>
        <v>3036219.9900000012</v>
      </c>
      <c r="S17" s="466">
        <f ca="1">BudgetDetails[[#This Row],[Current Budget]]-BudgetDetails[[#This Row],[Expenditures to Date]]</f>
        <v>0</v>
      </c>
    </row>
    <row r="18" spans="1:19">
      <c r="A18" s="71">
        <f t="shared" si="0"/>
        <v>14</v>
      </c>
      <c r="B18" s="96" t="str">
        <f ca="1">INDEX(BudgetTrack[PA ID],MATCH(BudgetDetails[[#This Row],[Row]],BudgetTrack[Row],0))</f>
        <v>400.020.F1</v>
      </c>
      <c r="C18" s="119" t="str">
        <f ca="1">INDEX(BudgetTrack[Primary Category],MATCH(BudgetDetails[[#This Row],[PA ID]],BudgetTrack[PA ID],0))</f>
        <v>FE_IT</v>
      </c>
      <c r="D18" s="119" t="str">
        <f ca="1">INDEX(BudgetTrack[Secondary Category],MATCH(BudgetDetails[[#This Row],[PA ID]],BudgetTrack[PA ID],0))</f>
        <v>Information Technology</v>
      </c>
      <c r="E18" s="96" t="str">
        <f ca="1">INDEX(BudgetTrack[Phase / Subproject],MATCH(BudgetDetails[[#This Row],[PA ID]],BudgetTrack[PA ID],0))</f>
        <v>--</v>
      </c>
      <c r="F18" s="96" t="str">
        <f ca="1">INDEX(BudgetTrack[Phase / Subproject 2],MATCH(BudgetDetails[[#This Row],[PA ID]],BudgetTrack[PA ID],0))</f>
        <v>--</v>
      </c>
      <c r="G18" s="96" t="str">
        <f ca="1">INDEX(BudgetTrack[Funding Source],MATCH(BudgetDetails[[#This Row],[PA ID]],BudgetTrack[PA ID],0))</f>
        <v>P-002360</v>
      </c>
      <c r="H18" s="46">
        <f ca="1">IFERROR(INDEX(BudgetTrack[Baseline Budget],MATCH(BudgetDetails[[#This Row],[PA ID]],BudgetTrack[PA ID],0)),0)</f>
        <v>2000000</v>
      </c>
      <c r="I18" s="52">
        <f ca="1">BudgetDetails[[#This Row],[Current Budget]]-BudgetDetails[[#This Row],[Base Budget]]</f>
        <v>2680218.9500000002</v>
      </c>
      <c r="J18" s="755">
        <f ca="1">IFERROR(INDEX(BudgetTrack[Current Budget],MATCH(BudgetDetails[[#This Row],[PA ID]],BudgetTrack[PA ID],0)),0)</f>
        <v>4680218.95</v>
      </c>
      <c r="L18" s="292">
        <f ca="1">SUMIF(EAC[PA ID],BudgetDetails[[#This Row],[PA ID]],EAC[Estimate At Completion])</f>
        <v>4680218.95</v>
      </c>
      <c r="M18" s="292">
        <f ca="1">BudgetDetails[[#This Row],[Current Budget]]-BudgetDetails[[#This Row],[Estimate at Completion]]</f>
        <v>0</v>
      </c>
      <c r="O18" s="53">
        <f ca="1">SUMIF(EAC[PA ID],BudgetDetails[[#This Row],[PA ID]],EAC[Current Commitment])</f>
        <v>4680218.95</v>
      </c>
      <c r="P18" s="53">
        <f ca="1">BudgetDetails[[#This Row],[Current Budget]]-BudgetDetails[[#This Row],[Commitments to Date]]</f>
        <v>0</v>
      </c>
      <c r="R18" s="53">
        <f ca="1">SUMIFS(CostTrack[Value],CostTrack[PA ID],BudgetDetails[[#This Row],[PA ID]],CostTrack[Flag],"",CostTrack[Holdback (Y/N/R)],"&lt;&gt;Release",CostTrack[Status],"Approved")</f>
        <v>4211824.57</v>
      </c>
      <c r="S18" s="466">
        <f ca="1">BudgetDetails[[#This Row],[Current Budget]]-BudgetDetails[[#This Row],[Expenditures to Date]]</f>
        <v>468394.37999999989</v>
      </c>
    </row>
    <row r="19" spans="1:19">
      <c r="A19" s="71">
        <f t="shared" si="0"/>
        <v>15</v>
      </c>
      <c r="B19" s="96" t="str">
        <f ca="1">INDEX(BudgetTrack[PA ID],MATCH(BudgetDetails[[#This Row],[Row]],BudgetTrack[Row],0))</f>
        <v>400.030.F1</v>
      </c>
      <c r="C19" s="119" t="str">
        <f ca="1">INDEX(BudgetTrack[Primary Category],MATCH(BudgetDetails[[#This Row],[PA ID]],BudgetTrack[PA ID],0))</f>
        <v>FE_IT</v>
      </c>
      <c r="D19" s="119" t="str">
        <f ca="1">INDEX(BudgetTrack[Secondary Category],MATCH(BudgetDetails[[#This Row],[PA ID]],BudgetTrack[PA ID],0))</f>
        <v>Movers</v>
      </c>
      <c r="E19" s="96" t="str">
        <f ca="1">INDEX(BudgetTrack[Phase / Subproject],MATCH(BudgetDetails[[#This Row],[PA ID]],BudgetTrack[PA ID],0))</f>
        <v>--</v>
      </c>
      <c r="F19" s="96" t="str">
        <f ca="1">INDEX(BudgetTrack[Phase / Subproject 2],MATCH(BudgetDetails[[#This Row],[PA ID]],BudgetTrack[PA ID],0))</f>
        <v>--</v>
      </c>
      <c r="G19" s="96" t="str">
        <f ca="1">INDEX(BudgetTrack[Funding Source],MATCH(BudgetDetails[[#This Row],[PA ID]],BudgetTrack[PA ID],0))</f>
        <v>P-002360</v>
      </c>
      <c r="H19" s="46">
        <f ca="1">IFERROR(INDEX(BudgetTrack[Baseline Budget],MATCH(BudgetDetails[[#This Row],[PA ID]],BudgetTrack[PA ID],0)),0)</f>
        <v>200000</v>
      </c>
      <c r="I19" s="52">
        <f ca="1">BudgetDetails[[#This Row],[Current Budget]]-BudgetDetails[[#This Row],[Base Budget]]</f>
        <v>-23521.229999999981</v>
      </c>
      <c r="J19" s="755">
        <f ca="1">IFERROR(INDEX(BudgetTrack[Current Budget],MATCH(BudgetDetails[[#This Row],[PA ID]],BudgetTrack[PA ID],0)),0)</f>
        <v>176478.77000000002</v>
      </c>
      <c r="L19" s="292">
        <f ca="1">SUMIF(EAC[PA ID],BudgetDetails[[#This Row],[PA ID]],EAC[Estimate At Completion])</f>
        <v>176478.77</v>
      </c>
      <c r="M19" s="292">
        <f ca="1">BudgetDetails[[#This Row],[Current Budget]]-BudgetDetails[[#This Row],[Estimate at Completion]]</f>
        <v>0</v>
      </c>
      <c r="O19" s="53">
        <f ca="1">SUMIF(EAC[PA ID],BudgetDetails[[#This Row],[PA ID]],EAC[Current Commitment])</f>
        <v>176478.77</v>
      </c>
      <c r="P19" s="53">
        <f ca="1">BudgetDetails[[#This Row],[Current Budget]]-BudgetDetails[[#This Row],[Commitments to Date]]</f>
        <v>0</v>
      </c>
      <c r="R19" s="53">
        <f ca="1">SUMIFS(CostTrack[Value],CostTrack[PA ID],BudgetDetails[[#This Row],[PA ID]],CostTrack[Flag],"",CostTrack[Holdback (Y/N/R)],"&lt;&gt;Release",CostTrack[Status],"Approved")</f>
        <v>176478.77</v>
      </c>
      <c r="S19" s="466">
        <f ca="1">BudgetDetails[[#This Row],[Current Budget]]-BudgetDetails[[#This Row],[Expenditures to Date]]</f>
        <v>0</v>
      </c>
    </row>
    <row r="20" spans="1:19">
      <c r="A20" s="71">
        <f t="shared" si="0"/>
        <v>16</v>
      </c>
      <c r="B20" s="96" t="str">
        <f ca="1">INDEX(BudgetTrack[PA ID],MATCH(BudgetDetails[[#This Row],[Row]],BudgetTrack[Row],0))</f>
        <v>500.010.F1</v>
      </c>
      <c r="C20" s="119" t="str">
        <f ca="1">INDEX(BudgetTrack[Primary Category],MATCH(BudgetDetails[[#This Row],[PA ID]],BudgetTrack[PA ID],0))</f>
        <v>Land</v>
      </c>
      <c r="D20" s="119" t="str">
        <f ca="1">INDEX(BudgetTrack[Secondary Category],MATCH(BudgetDetails[[#This Row],[PA ID]],BudgetTrack[PA ID],0))</f>
        <v>Land Purchase</v>
      </c>
      <c r="E20" s="96" t="str">
        <f ca="1">INDEX(BudgetTrack[Phase / Subproject],MATCH(BudgetDetails[[#This Row],[PA ID]],BudgetTrack[PA ID],0))</f>
        <v>--</v>
      </c>
      <c r="F20" s="96" t="str">
        <f ca="1">INDEX(BudgetTrack[Phase / Subproject 2],MATCH(BudgetDetails[[#This Row],[PA ID]],BudgetTrack[PA ID],0))</f>
        <v>--</v>
      </c>
      <c r="G20" s="96" t="str">
        <f ca="1">INDEX(BudgetTrack[Funding Source],MATCH(BudgetDetails[[#This Row],[PA ID]],BudgetTrack[PA ID],0))</f>
        <v>P-002360</v>
      </c>
      <c r="H20" s="46">
        <f ca="1">IFERROR(INDEX(BudgetTrack[Baseline Budget],MATCH(BudgetDetails[[#This Row],[PA ID]],BudgetTrack[PA ID],0)),0)</f>
        <v>5000000</v>
      </c>
      <c r="I20" s="52">
        <f ca="1">BudgetDetails[[#This Row],[Current Budget]]-BudgetDetails[[#This Row],[Base Budget]]</f>
        <v>-311388.03000000026</v>
      </c>
      <c r="J20" s="755">
        <f ca="1">IFERROR(INDEX(BudgetTrack[Current Budget],MATCH(BudgetDetails[[#This Row],[PA ID]],BudgetTrack[PA ID],0)),0)</f>
        <v>4688611.97</v>
      </c>
      <c r="L20" s="292">
        <f ca="1">SUMIF(EAC[PA ID],BudgetDetails[[#This Row],[PA ID]],EAC[Estimate At Completion])</f>
        <v>4688611.97</v>
      </c>
      <c r="M20" s="292">
        <f ca="1">BudgetDetails[[#This Row],[Current Budget]]-BudgetDetails[[#This Row],[Estimate at Completion]]</f>
        <v>0</v>
      </c>
      <c r="O20" s="53">
        <f ca="1">SUMIF(EAC[PA ID],BudgetDetails[[#This Row],[PA ID]],EAC[Current Commitment])</f>
        <v>4688611.97</v>
      </c>
      <c r="P20" s="53">
        <f ca="1">BudgetDetails[[#This Row],[Current Budget]]-BudgetDetails[[#This Row],[Commitments to Date]]</f>
        <v>0</v>
      </c>
      <c r="R20" s="53">
        <f ca="1">SUMIFS(CostTrack[Value],CostTrack[PA ID],BudgetDetails[[#This Row],[PA ID]],CostTrack[Flag],"",CostTrack[Holdback (Y/N/R)],"&lt;&gt;Release",CostTrack[Status],"Approved")</f>
        <v>4688611.97</v>
      </c>
      <c r="S20" s="466">
        <f ca="1">BudgetDetails[[#This Row],[Current Budget]]-BudgetDetails[[#This Row],[Expenditures to Date]]</f>
        <v>0</v>
      </c>
    </row>
    <row r="21" spans="1:19">
      <c r="A21" s="71">
        <f t="shared" si="0"/>
        <v>17</v>
      </c>
      <c r="B21" s="748" t="str">
        <f ca="1">INDEX(BudgetTrack[PA ID],MATCH(BudgetDetails[[#This Row],[Row]],BudgetTrack[Row],0))</f>
        <v>600.010.F1</v>
      </c>
      <c r="C21" s="749" t="str">
        <f ca="1">INDEX(BudgetTrack[Primary Category],MATCH(BudgetDetails[[#This Row],[PA ID]],BudgetTrack[PA ID],0))</f>
        <v>Management Reserve</v>
      </c>
      <c r="D21" s="749" t="str">
        <f ca="1">INDEX(BudgetTrack[Secondary Category],MATCH(BudgetDetails[[#This Row],[PA ID]],BudgetTrack[PA ID],0))</f>
        <v>Management Reserve</v>
      </c>
      <c r="E21" s="748" t="str">
        <f ca="1">INDEX(BudgetTrack[Phase / Subproject],MATCH(BudgetDetails[[#This Row],[PA ID]],BudgetTrack[PA ID],0))</f>
        <v>--</v>
      </c>
      <c r="F21" s="748" t="str">
        <f ca="1">INDEX(BudgetTrack[Phase / Subproject 2],MATCH(BudgetDetails[[#This Row],[PA ID]],BudgetTrack[PA ID],0))</f>
        <v>--</v>
      </c>
      <c r="G21" s="748" t="str">
        <f ca="1">INDEX(BudgetTrack[Funding Source],MATCH(BudgetDetails[[#This Row],[PA ID]],BudgetTrack[PA ID],0))</f>
        <v>P-002360</v>
      </c>
      <c r="H21" s="750">
        <f ca="1">IFERROR(INDEX(BudgetTrack[Baseline Budget],MATCH(BudgetDetails[[#This Row],[PA ID]],BudgetTrack[PA ID],0)),0)</f>
        <v>7000000</v>
      </c>
      <c r="I21" s="751">
        <f ca="1">BudgetDetails[[#This Row],[Current Budget]]-BudgetDetails[[#This Row],[Base Budget]]</f>
        <v>-7000000</v>
      </c>
      <c r="J21" s="756">
        <f ca="1">IFERROR(INDEX(BudgetTrack[Current Budget],MATCH(BudgetDetails[[#This Row],[PA ID]],BudgetTrack[PA ID],0)),0)</f>
        <v>0</v>
      </c>
      <c r="L21" s="753">
        <f ca="1">SUMIF(EAC[PA ID],BudgetDetails[[#This Row],[PA ID]],EAC[Estimate At Completion])</f>
        <v>0</v>
      </c>
      <c r="M21" s="753">
        <f ca="1">BudgetDetails[[#This Row],[Current Budget]]-BudgetDetails[[#This Row],[Estimate at Completion]]</f>
        <v>0</v>
      </c>
      <c r="O21" s="752">
        <f ca="1">SUMIF(EAC[PA ID],BudgetDetails[[#This Row],[PA ID]],EAC[Current Commitment])</f>
        <v>0</v>
      </c>
      <c r="P21" s="752">
        <f ca="1">BudgetDetails[[#This Row],[Current Budget]]-BudgetDetails[[#This Row],[Commitments to Date]]</f>
        <v>0</v>
      </c>
      <c r="R21" s="752">
        <f ca="1">SUMIFS(CostTrack[Value],CostTrack[PA ID],BudgetDetails[[#This Row],[PA ID]],CostTrack[Flag],"",CostTrack[Holdback (Y/N/R)],"&lt;&gt;Release",CostTrack[Status],"Approved")</f>
        <v>0</v>
      </c>
      <c r="S21" s="754">
        <f ca="1">BudgetDetails[[#This Row],[Current Budget]]-BudgetDetails[[#This Row],[Expenditures to Date]]</f>
        <v>0</v>
      </c>
    </row>
    <row r="22" spans="1:19">
      <c r="A22" s="71">
        <f t="shared" si="0"/>
        <v>18</v>
      </c>
      <c r="B22" s="96" t="str">
        <f ca="1">INDEX(BudgetTrack[PA ID],MATCH(BudgetDetails[[#This Row],[Row]],BudgetTrack[Row],0))</f>
        <v>100.040.F1</v>
      </c>
      <c r="C22" s="119" t="str">
        <f ca="1">INDEX(BudgetTrack[Primary Category],MATCH(BudgetDetails[[#This Row],[PA ID]],BudgetTrack[PA ID],0))</f>
        <v>Administration</v>
      </c>
      <c r="D22" s="119" t="str">
        <f ca="1">INDEX(BudgetTrack[Secondary Category],MATCH(BudgetDetails[[#This Row],[PA ID]],BudgetTrack[PA ID],0))</f>
        <v>Accrual Write Off</v>
      </c>
      <c r="E22" s="96" t="str">
        <f ca="1">INDEX(BudgetTrack[Phase / Subproject],MATCH(BudgetDetails[[#This Row],[PA ID]],BudgetTrack[PA ID],0))</f>
        <v>--</v>
      </c>
      <c r="F22" s="96" t="str">
        <f ca="1">INDEX(BudgetTrack[Phase / Subproject 2],MATCH(BudgetDetails[[#This Row],[PA ID]],BudgetTrack[PA ID],0))</f>
        <v>--</v>
      </c>
      <c r="G22" s="96" t="str">
        <f ca="1">INDEX(BudgetTrack[Funding Source],MATCH(BudgetDetails[[#This Row],[PA ID]],BudgetTrack[PA ID],0))</f>
        <v>P-002360</v>
      </c>
      <c r="H22" s="46">
        <f ca="1">IFERROR(INDEX(BudgetTrack[Baseline Budget],MATCH(BudgetDetails[[#This Row],[PA ID]],BudgetTrack[PA ID],0)),0)</f>
        <v>0</v>
      </c>
      <c r="I22" s="52">
        <f ca="1">BudgetDetails[[#This Row],[Current Budget]]-BudgetDetails[[#This Row],[Base Budget]]</f>
        <v>6488</v>
      </c>
      <c r="J22" s="755">
        <f ca="1">IFERROR(INDEX(BudgetTrack[Current Budget],MATCH(BudgetDetails[[#This Row],[PA ID]],BudgetTrack[PA ID],0)),0)</f>
        <v>6488</v>
      </c>
      <c r="L22" s="292">
        <f ca="1">SUMIF(EAC[PA ID],BudgetDetails[[#This Row],[PA ID]],EAC[Estimate At Completion])</f>
        <v>127630.05</v>
      </c>
      <c r="M22" s="292">
        <f ca="1">BudgetDetails[[#This Row],[Current Budget]]-BudgetDetails[[#This Row],[Estimate at Completion]]</f>
        <v>-121142.05</v>
      </c>
      <c r="O22" s="53">
        <f ca="1">SUMIF(EAC[PA ID],BudgetDetails[[#This Row],[PA ID]],EAC[Current Commitment])</f>
        <v>127630.05</v>
      </c>
      <c r="P22" s="53">
        <f ca="1">BudgetDetails[[#This Row],[Current Budget]]-BudgetDetails[[#This Row],[Commitments to Date]]</f>
        <v>-121142.05</v>
      </c>
      <c r="R22" s="53">
        <f ca="1">SUMIFS(CostTrack[Value],CostTrack[PA ID],BudgetDetails[[#This Row],[PA ID]],CostTrack[Flag],"",CostTrack[Holdback (Y/N/R)],"&lt;&gt;Release",CostTrack[Status],"Approved")</f>
        <v>127630.05</v>
      </c>
      <c r="S22" s="466">
        <f ca="1">BudgetDetails[[#This Row],[Current Budget]]-BudgetDetails[[#This Row],[Expenditures to Date]]</f>
        <v>-121142.05</v>
      </c>
    </row>
    <row r="23" spans="1:19">
      <c r="A23" s="71">
        <f t="shared" si="0"/>
        <v>19</v>
      </c>
      <c r="B23" s="96" t="str">
        <f ca="1">INDEX(BudgetTrack[PA ID],MATCH(BudgetDetails[[#This Row],[Row]],BudgetTrack[Row],0))</f>
        <v>300.090.F1</v>
      </c>
      <c r="C23" s="119" t="str">
        <f ca="1">INDEX(BudgetTrack[Primary Category],MATCH(BudgetDetails[[#This Row],[PA ID]],BudgetTrack[PA ID],0))</f>
        <v>Construction</v>
      </c>
      <c r="D23" s="119" t="str">
        <f ca="1">INDEX(BudgetTrack[Secondary Category],MATCH(BudgetDetails[[#This Row],[PA ID]],BudgetTrack[PA ID],0))</f>
        <v>Hazmat - Contractor</v>
      </c>
      <c r="E23" s="96" t="str">
        <f ca="1">INDEX(BudgetTrack[Phase / Subproject],MATCH(BudgetDetails[[#This Row],[PA ID]],BudgetTrack[PA ID],0))</f>
        <v>--</v>
      </c>
      <c r="F23" s="96" t="str">
        <f ca="1">INDEX(BudgetTrack[Phase / Subproject 2],MATCH(BudgetDetails[[#This Row],[PA ID]],BudgetTrack[PA ID],0))</f>
        <v>--</v>
      </c>
      <c r="G23" s="96" t="str">
        <f ca="1">INDEX(BudgetTrack[Funding Source],MATCH(BudgetDetails[[#This Row],[PA ID]],BudgetTrack[PA ID],0))</f>
        <v>P-002360</v>
      </c>
      <c r="H23" s="46">
        <f ca="1">IFERROR(INDEX(BudgetTrack[Baseline Budget],MATCH(BudgetDetails[[#This Row],[PA ID]],BudgetTrack[PA ID],0)),0)</f>
        <v>96165</v>
      </c>
      <c r="I23" s="52">
        <f ca="1">BudgetDetails[[#This Row],[Current Budget]]-BudgetDetails[[#This Row],[Base Budget]]</f>
        <v>0.30000000000291038</v>
      </c>
      <c r="J23" s="755">
        <f ca="1">IFERROR(INDEX(BudgetTrack[Current Budget],MATCH(BudgetDetails[[#This Row],[PA ID]],BudgetTrack[PA ID],0)),0)</f>
        <v>96165.3</v>
      </c>
      <c r="L23" s="292">
        <f ca="1">SUMIF(EAC[PA ID],BudgetDetails[[#This Row],[PA ID]],EAC[Estimate At Completion])</f>
        <v>96165.3</v>
      </c>
      <c r="M23" s="292">
        <f ca="1">BudgetDetails[[#This Row],[Current Budget]]-BudgetDetails[[#This Row],[Estimate at Completion]]</f>
        <v>0</v>
      </c>
      <c r="O23" s="53">
        <f ca="1">SUMIF(EAC[PA ID],BudgetDetails[[#This Row],[PA ID]],EAC[Current Commitment])</f>
        <v>96165.3</v>
      </c>
      <c r="P23" s="53">
        <f ca="1">BudgetDetails[[#This Row],[Current Budget]]-BudgetDetails[[#This Row],[Commitments to Date]]</f>
        <v>0</v>
      </c>
      <c r="R23" s="53">
        <f ca="1">SUMIFS(CostTrack[Value],CostTrack[PA ID],BudgetDetails[[#This Row],[PA ID]],CostTrack[Flag],"",CostTrack[Holdback (Y/N/R)],"&lt;&gt;Release",CostTrack[Status],"Approved")</f>
        <v>96165.3</v>
      </c>
      <c r="S23" s="466">
        <f ca="1">BudgetDetails[[#This Row],[Current Budget]]-BudgetDetails[[#This Row],[Expenditures to Date]]</f>
        <v>0</v>
      </c>
    </row>
    <row r="24" spans="1:19">
      <c r="A24" s="71">
        <f t="shared" si="0"/>
        <v>20</v>
      </c>
      <c r="B24" s="96" t="str">
        <f ca="1">INDEX(BudgetTrack[PA ID],MATCH(BudgetDetails[[#This Row],[Row]],BudgetTrack[Row],0))</f>
        <v>300.100.F1</v>
      </c>
      <c r="C24" s="119" t="str">
        <f ca="1">INDEX(BudgetTrack[Primary Category],MATCH(BudgetDetails[[#This Row],[PA ID]],BudgetTrack[PA ID],0))</f>
        <v>Construction</v>
      </c>
      <c r="D24" s="119" t="str">
        <f ca="1">INDEX(BudgetTrack[Secondary Category],MATCH(BudgetDetails[[#This Row],[PA ID]],BudgetTrack[PA ID],0))</f>
        <v>Demolition</v>
      </c>
      <c r="E24" s="96" t="str">
        <f ca="1">INDEX(BudgetTrack[Phase / Subproject],MATCH(BudgetDetails[[#This Row],[PA ID]],BudgetTrack[PA ID],0))</f>
        <v>--</v>
      </c>
      <c r="F24" s="96" t="str">
        <f ca="1">INDEX(BudgetTrack[Phase / Subproject 2],MATCH(BudgetDetails[[#This Row],[PA ID]],BudgetTrack[PA ID],0))</f>
        <v>--</v>
      </c>
      <c r="G24" s="96" t="str">
        <f ca="1">INDEX(BudgetTrack[Funding Source],MATCH(BudgetDetails[[#This Row],[PA ID]],BudgetTrack[PA ID],0))</f>
        <v>P-002360</v>
      </c>
      <c r="H24" s="46">
        <f ca="1">IFERROR(INDEX(BudgetTrack[Baseline Budget],MATCH(BudgetDetails[[#This Row],[PA ID]],BudgetTrack[PA ID],0)),0)</f>
        <v>472888.38</v>
      </c>
      <c r="I24" s="52">
        <f ca="1">BudgetDetails[[#This Row],[Current Budget]]-BudgetDetails[[#This Row],[Base Budget]]</f>
        <v>0</v>
      </c>
      <c r="J24" s="755">
        <f ca="1">IFERROR(INDEX(BudgetTrack[Current Budget],MATCH(BudgetDetails[[#This Row],[PA ID]],BudgetTrack[PA ID],0)),0)</f>
        <v>472888.38</v>
      </c>
      <c r="L24" s="292">
        <f ca="1">SUMIF(EAC[PA ID],BudgetDetails[[#This Row],[PA ID]],EAC[Estimate At Completion])</f>
        <v>472888.38</v>
      </c>
      <c r="M24" s="292">
        <f ca="1">BudgetDetails[[#This Row],[Current Budget]]-BudgetDetails[[#This Row],[Estimate at Completion]]</f>
        <v>0</v>
      </c>
      <c r="O24" s="53">
        <f ca="1">SUMIF(EAC[PA ID],BudgetDetails[[#This Row],[PA ID]],EAC[Current Commitment])</f>
        <v>472888.38</v>
      </c>
      <c r="P24" s="53">
        <f ca="1">BudgetDetails[[#This Row],[Current Budget]]-BudgetDetails[[#This Row],[Commitments to Date]]</f>
        <v>0</v>
      </c>
      <c r="R24" s="53">
        <f ca="1">SUMIFS(CostTrack[Value],CostTrack[PA ID],BudgetDetails[[#This Row],[PA ID]],CostTrack[Flag],"",CostTrack[Holdback (Y/N/R)],"&lt;&gt;Release",CostTrack[Status],"Approved")</f>
        <v>472888.38</v>
      </c>
      <c r="S24" s="466">
        <f ca="1">BudgetDetails[[#This Row],[Current Budget]]-BudgetDetails[[#This Row],[Expenditures to Date]]</f>
        <v>0</v>
      </c>
    </row>
    <row r="25" spans="1:19">
      <c r="A25" s="71">
        <f t="shared" si="0"/>
        <v>21</v>
      </c>
      <c r="B25" s="96" t="str">
        <f ca="1">INDEX(BudgetTrack[PA ID],MATCH(BudgetDetails[[#This Row],[Row]],BudgetTrack[Row],0))</f>
        <v/>
      </c>
      <c r="C25" s="119">
        <f ca="1">INDEX(BudgetTrack[Primary Category],MATCH(BudgetDetails[[#This Row],[PA ID]],BudgetTrack[PA ID],0))</f>
        <v>0</v>
      </c>
      <c r="D25" s="119">
        <f ca="1">INDEX(BudgetTrack[Secondary Category],MATCH(BudgetDetails[[#This Row],[PA ID]],BudgetTrack[PA ID],0))</f>
        <v>0</v>
      </c>
      <c r="E25" s="96">
        <f ca="1">INDEX(BudgetTrack[Phase / Subproject],MATCH(BudgetDetails[[#This Row],[PA ID]],BudgetTrack[PA ID],0))</f>
        <v>0</v>
      </c>
      <c r="F25" s="96">
        <f ca="1">INDEX(BudgetTrack[Phase / Subproject 2],MATCH(BudgetDetails[[#This Row],[PA ID]],BudgetTrack[PA ID],0))</f>
        <v>0</v>
      </c>
      <c r="G25" s="96">
        <f ca="1">INDEX(BudgetTrack[Funding Source],MATCH(BudgetDetails[[#This Row],[PA ID]],BudgetTrack[PA ID],0))</f>
        <v>0</v>
      </c>
      <c r="H25" s="46">
        <f ca="1">IFERROR(INDEX(BudgetTrack[Baseline Budget],MATCH(BudgetDetails[[#This Row],[PA ID]],BudgetTrack[PA ID],0)),0)</f>
        <v>0</v>
      </c>
      <c r="I25" s="52">
        <f ca="1">BudgetDetails[[#This Row],[Current Budget]]-BudgetDetails[[#This Row],[Base Budget]]</f>
        <v>0</v>
      </c>
      <c r="J25" s="755">
        <f ca="1">IFERROR(INDEX(BudgetTrack[Current Budget],MATCH(BudgetDetails[[#This Row],[PA ID]],BudgetTrack[PA ID],0)),0)</f>
        <v>0</v>
      </c>
      <c r="L25" s="292">
        <f ca="1">SUMIF(EAC[PA ID],BudgetDetails[[#This Row],[PA ID]],EAC[Estimate At Completion])</f>
        <v>0</v>
      </c>
      <c r="M25" s="292">
        <f ca="1">BudgetDetails[[#This Row],[Current Budget]]-BudgetDetails[[#This Row],[Estimate at Completion]]</f>
        <v>0</v>
      </c>
      <c r="O25" s="53">
        <f ca="1">SUMIF(EAC[PA ID],BudgetDetails[[#This Row],[PA ID]],EAC[Current Commitment])</f>
        <v>0</v>
      </c>
      <c r="P25" s="53">
        <f ca="1">BudgetDetails[[#This Row],[Current Budget]]-BudgetDetails[[#This Row],[Commitments to Date]]</f>
        <v>0</v>
      </c>
      <c r="R25" s="53">
        <f ca="1">SUMIFS(CostTrack[Value],CostTrack[PA ID],BudgetDetails[[#This Row],[PA ID]],CostTrack[Flag],"",CostTrack[Holdback (Y/N/R)],"&lt;&gt;Release",CostTrack[Status],"Approved")</f>
        <v>0</v>
      </c>
      <c r="S25" s="466">
        <f ca="1">BudgetDetails[[#This Row],[Current Budget]]-BudgetDetails[[#This Row],[Expenditures to Date]]</f>
        <v>0</v>
      </c>
    </row>
    <row r="26" spans="1:19" hidden="1">
      <c r="A26" s="71">
        <f t="shared" si="0"/>
        <v>22</v>
      </c>
      <c r="B26" s="96" t="str">
        <f ca="1">INDEX(BudgetTrack[PA ID],MATCH(BudgetDetails[[#This Row],[Row]],BudgetTrack[Row],0))</f>
        <v/>
      </c>
      <c r="C26" s="119">
        <f ca="1">INDEX(BudgetTrack[Primary Category],MATCH(BudgetDetails[[#This Row],[PA ID]],BudgetTrack[PA ID],0))</f>
        <v>0</v>
      </c>
      <c r="D26" s="119">
        <f ca="1">INDEX(BudgetTrack[Secondary Category],MATCH(BudgetDetails[[#This Row],[PA ID]],BudgetTrack[PA ID],0))</f>
        <v>0</v>
      </c>
      <c r="E26" s="96">
        <f ca="1">INDEX(BudgetTrack[Phase / Subproject],MATCH(BudgetDetails[[#This Row],[PA ID]],BudgetTrack[PA ID],0))</f>
        <v>0</v>
      </c>
      <c r="F26" s="96">
        <f ca="1">INDEX(BudgetTrack[Phase / Subproject 2],MATCH(BudgetDetails[[#This Row],[PA ID]],BudgetTrack[PA ID],0))</f>
        <v>0</v>
      </c>
      <c r="G26" s="96">
        <f ca="1">INDEX(BudgetTrack[Funding Source],MATCH(BudgetDetails[[#This Row],[PA ID]],BudgetTrack[PA ID],0))</f>
        <v>0</v>
      </c>
      <c r="H26" s="46">
        <f ca="1">IFERROR(INDEX(BudgetTrack[Baseline Budget],MATCH(BudgetDetails[[#This Row],[PA ID]],BudgetTrack[PA ID],0)),0)</f>
        <v>0</v>
      </c>
      <c r="I26" s="52">
        <f ca="1">BudgetDetails[[#This Row],[Current Budget]]-BudgetDetails[[#This Row],[Base Budget]]</f>
        <v>0</v>
      </c>
      <c r="J26" s="755">
        <f ca="1">IFERROR(INDEX(BudgetTrack[Current Budget],MATCH(BudgetDetails[[#This Row],[PA ID]],BudgetTrack[PA ID],0)),0)</f>
        <v>0</v>
      </c>
      <c r="L26" s="292">
        <f ca="1">SUMIF(EAC[PA ID],BudgetDetails[[#This Row],[PA ID]],EAC[Estimate At Completion])</f>
        <v>0</v>
      </c>
      <c r="M26" s="292">
        <f ca="1">BudgetDetails[[#This Row],[Current Budget]]-BudgetDetails[[#This Row],[Estimate at Completion]]</f>
        <v>0</v>
      </c>
      <c r="O26" s="53">
        <f ca="1">SUMIF(EAC[PA ID],BudgetDetails[[#This Row],[PA ID]],EAC[Current Commitment])</f>
        <v>0</v>
      </c>
      <c r="P26" s="53">
        <f ca="1">BudgetDetails[[#This Row],[Current Budget]]-BudgetDetails[[#This Row],[Commitments to Date]]</f>
        <v>0</v>
      </c>
      <c r="R26" s="53">
        <f ca="1">SUMIFS(CostTrack[Value],CostTrack[PA ID],BudgetDetails[[#This Row],[PA ID]],CostTrack[Flag],"",CostTrack[Holdback (Y/N/R)],"&lt;&gt;Release",CostTrack[Status],"Approved")</f>
        <v>0</v>
      </c>
      <c r="S26" s="466">
        <f ca="1">BudgetDetails[[#This Row],[Current Budget]]-BudgetDetails[[#This Row],[Expenditures to Date]]</f>
        <v>0</v>
      </c>
    </row>
    <row r="27" spans="1:19" hidden="1">
      <c r="A27" s="71">
        <f t="shared" si="0"/>
        <v>23</v>
      </c>
      <c r="B27" s="96" t="str">
        <f ca="1">INDEX(BudgetTrack[PA ID],MATCH(BudgetDetails[[#This Row],[Row]],BudgetTrack[Row],0))</f>
        <v/>
      </c>
      <c r="C27" s="119">
        <f ca="1">INDEX(BudgetTrack[Primary Category],MATCH(BudgetDetails[[#This Row],[PA ID]],BudgetTrack[PA ID],0))</f>
        <v>0</v>
      </c>
      <c r="D27" s="119">
        <f ca="1">INDEX(BudgetTrack[Secondary Category],MATCH(BudgetDetails[[#This Row],[PA ID]],BudgetTrack[PA ID],0))</f>
        <v>0</v>
      </c>
      <c r="E27" s="96">
        <f ca="1">INDEX(BudgetTrack[Phase / Subproject],MATCH(BudgetDetails[[#This Row],[PA ID]],BudgetTrack[PA ID],0))</f>
        <v>0</v>
      </c>
      <c r="F27" s="96">
        <f ca="1">INDEX(BudgetTrack[Phase / Subproject 2],MATCH(BudgetDetails[[#This Row],[PA ID]],BudgetTrack[PA ID],0))</f>
        <v>0</v>
      </c>
      <c r="G27" s="96">
        <f ca="1">INDEX(BudgetTrack[Funding Source],MATCH(BudgetDetails[[#This Row],[PA ID]],BudgetTrack[PA ID],0))</f>
        <v>0</v>
      </c>
      <c r="H27" s="46">
        <f ca="1">IFERROR(INDEX(BudgetTrack[Baseline Budget],MATCH(BudgetDetails[[#This Row],[PA ID]],BudgetTrack[PA ID],0)),0)</f>
        <v>0</v>
      </c>
      <c r="I27" s="52">
        <f ca="1">BudgetDetails[[#This Row],[Current Budget]]-BudgetDetails[[#This Row],[Base Budget]]</f>
        <v>0</v>
      </c>
      <c r="J27" s="755">
        <f ca="1">IFERROR(INDEX(BudgetTrack[Current Budget],MATCH(BudgetDetails[[#This Row],[PA ID]],BudgetTrack[PA ID],0)),0)</f>
        <v>0</v>
      </c>
      <c r="L27" s="292">
        <f ca="1">SUMIF(EAC[PA ID],BudgetDetails[[#This Row],[PA ID]],EAC[Estimate At Completion])</f>
        <v>0</v>
      </c>
      <c r="M27" s="292">
        <f ca="1">BudgetDetails[[#This Row],[Current Budget]]-BudgetDetails[[#This Row],[Estimate at Completion]]</f>
        <v>0</v>
      </c>
      <c r="O27" s="53">
        <f ca="1">SUMIF(EAC[PA ID],BudgetDetails[[#This Row],[PA ID]],EAC[Current Commitment])</f>
        <v>0</v>
      </c>
      <c r="P27" s="53">
        <f ca="1">BudgetDetails[[#This Row],[Current Budget]]-BudgetDetails[[#This Row],[Commitments to Date]]</f>
        <v>0</v>
      </c>
      <c r="R27" s="53">
        <f ca="1">SUMIFS(CostTrack[Value],CostTrack[PA ID],BudgetDetails[[#This Row],[PA ID]],CostTrack[Flag],"",CostTrack[Holdback (Y/N/R)],"&lt;&gt;Release",CostTrack[Status],"Approved")</f>
        <v>0</v>
      </c>
      <c r="S27" s="466">
        <f ca="1">BudgetDetails[[#This Row],[Current Budget]]-BudgetDetails[[#This Row],[Expenditures to Date]]</f>
        <v>0</v>
      </c>
    </row>
    <row r="28" spans="1:19" hidden="1">
      <c r="A28" s="71">
        <f t="shared" si="0"/>
        <v>24</v>
      </c>
      <c r="B28" s="96" t="str">
        <f ca="1">INDEX(BudgetTrack[PA ID],MATCH(BudgetDetails[[#This Row],[Row]],BudgetTrack[Row],0))</f>
        <v/>
      </c>
      <c r="C28" s="119">
        <f ca="1">INDEX(BudgetTrack[Primary Category],MATCH(BudgetDetails[[#This Row],[PA ID]],BudgetTrack[PA ID],0))</f>
        <v>0</v>
      </c>
      <c r="D28" s="119">
        <f ca="1">INDEX(BudgetTrack[Secondary Category],MATCH(BudgetDetails[[#This Row],[PA ID]],BudgetTrack[PA ID],0))</f>
        <v>0</v>
      </c>
      <c r="E28" s="96">
        <f ca="1">INDEX(BudgetTrack[Phase / Subproject],MATCH(BudgetDetails[[#This Row],[PA ID]],BudgetTrack[PA ID],0))</f>
        <v>0</v>
      </c>
      <c r="F28" s="96">
        <f ca="1">INDEX(BudgetTrack[Phase / Subproject 2],MATCH(BudgetDetails[[#This Row],[PA ID]],BudgetTrack[PA ID],0))</f>
        <v>0</v>
      </c>
      <c r="G28" s="96">
        <f ca="1">INDEX(BudgetTrack[Funding Source],MATCH(BudgetDetails[[#This Row],[PA ID]],BudgetTrack[PA ID],0))</f>
        <v>0</v>
      </c>
      <c r="H28" s="46">
        <f ca="1">IFERROR(INDEX(BudgetTrack[Baseline Budget],MATCH(BudgetDetails[[#This Row],[PA ID]],BudgetTrack[PA ID],0)),0)</f>
        <v>0</v>
      </c>
      <c r="I28" s="52">
        <f ca="1">BudgetDetails[[#This Row],[Current Budget]]-BudgetDetails[[#This Row],[Base Budget]]</f>
        <v>0</v>
      </c>
      <c r="J28" s="755">
        <f ca="1">IFERROR(INDEX(BudgetTrack[Current Budget],MATCH(BudgetDetails[[#This Row],[PA ID]],BudgetTrack[PA ID],0)),0)</f>
        <v>0</v>
      </c>
      <c r="L28" s="292">
        <f ca="1">SUMIF(EAC[PA ID],BudgetDetails[[#This Row],[PA ID]],EAC[Estimate At Completion])</f>
        <v>0</v>
      </c>
      <c r="M28" s="292">
        <f ca="1">BudgetDetails[[#This Row],[Current Budget]]-BudgetDetails[[#This Row],[Estimate at Completion]]</f>
        <v>0</v>
      </c>
      <c r="O28" s="53">
        <f ca="1">SUMIF(EAC[PA ID],BudgetDetails[[#This Row],[PA ID]],EAC[Current Commitment])</f>
        <v>0</v>
      </c>
      <c r="P28" s="53">
        <f ca="1">BudgetDetails[[#This Row],[Current Budget]]-BudgetDetails[[#This Row],[Commitments to Date]]</f>
        <v>0</v>
      </c>
      <c r="R28" s="53">
        <f ca="1">SUMIFS(CostTrack[Value],CostTrack[PA ID],BudgetDetails[[#This Row],[PA ID]],CostTrack[Flag],"",CostTrack[Holdback (Y/N/R)],"&lt;&gt;Release",CostTrack[Status],"Approved")</f>
        <v>0</v>
      </c>
      <c r="S28" s="466">
        <f ca="1">BudgetDetails[[#This Row],[Current Budget]]-BudgetDetails[[#This Row],[Expenditures to Date]]</f>
        <v>0</v>
      </c>
    </row>
    <row r="29" spans="1:19" hidden="1">
      <c r="A29" s="71">
        <f t="shared" si="0"/>
        <v>25</v>
      </c>
      <c r="B29" s="96" t="str">
        <f ca="1">INDEX(BudgetTrack[PA ID],MATCH(BudgetDetails[[#This Row],[Row]],BudgetTrack[Row],0))</f>
        <v/>
      </c>
      <c r="C29" s="119">
        <f ca="1">INDEX(BudgetTrack[Primary Category],MATCH(BudgetDetails[[#This Row],[PA ID]],BudgetTrack[PA ID],0))</f>
        <v>0</v>
      </c>
      <c r="D29" s="119">
        <f ca="1">INDEX(BudgetTrack[Secondary Category],MATCH(BudgetDetails[[#This Row],[PA ID]],BudgetTrack[PA ID],0))</f>
        <v>0</v>
      </c>
      <c r="E29" s="96">
        <f ca="1">INDEX(BudgetTrack[Phase / Subproject],MATCH(BudgetDetails[[#This Row],[PA ID]],BudgetTrack[PA ID],0))</f>
        <v>0</v>
      </c>
      <c r="F29" s="96">
        <f ca="1">INDEX(BudgetTrack[Phase / Subproject 2],MATCH(BudgetDetails[[#This Row],[PA ID]],BudgetTrack[PA ID],0))</f>
        <v>0</v>
      </c>
      <c r="G29" s="96">
        <f ca="1">INDEX(BudgetTrack[Funding Source],MATCH(BudgetDetails[[#This Row],[PA ID]],BudgetTrack[PA ID],0))</f>
        <v>0</v>
      </c>
      <c r="H29" s="46">
        <f ca="1">IFERROR(INDEX(BudgetTrack[Baseline Budget],MATCH(BudgetDetails[[#This Row],[PA ID]],BudgetTrack[PA ID],0)),0)</f>
        <v>0</v>
      </c>
      <c r="I29" s="52">
        <f ca="1">BudgetDetails[[#This Row],[Current Budget]]-BudgetDetails[[#This Row],[Base Budget]]</f>
        <v>0</v>
      </c>
      <c r="J29" s="755">
        <f ca="1">IFERROR(INDEX(BudgetTrack[Current Budget],MATCH(BudgetDetails[[#This Row],[PA ID]],BudgetTrack[PA ID],0)),0)</f>
        <v>0</v>
      </c>
      <c r="L29" s="292">
        <f ca="1">SUMIF(EAC[PA ID],BudgetDetails[[#This Row],[PA ID]],EAC[Estimate At Completion])</f>
        <v>0</v>
      </c>
      <c r="M29" s="292">
        <f ca="1">BudgetDetails[[#This Row],[Current Budget]]-BudgetDetails[[#This Row],[Estimate at Completion]]</f>
        <v>0</v>
      </c>
      <c r="O29" s="53">
        <f ca="1">SUMIF(EAC[PA ID],BudgetDetails[[#This Row],[PA ID]],EAC[Current Commitment])</f>
        <v>0</v>
      </c>
      <c r="P29" s="53">
        <f ca="1">BudgetDetails[[#This Row],[Current Budget]]-BudgetDetails[[#This Row],[Commitments to Date]]</f>
        <v>0</v>
      </c>
      <c r="R29" s="53">
        <f ca="1">SUMIFS(CostTrack[Value],CostTrack[PA ID],BudgetDetails[[#This Row],[PA ID]],CostTrack[Flag],"",CostTrack[Holdback (Y/N/R)],"&lt;&gt;Release",CostTrack[Status],"Approved")</f>
        <v>0</v>
      </c>
      <c r="S29" s="466">
        <f ca="1">BudgetDetails[[#This Row],[Current Budget]]-BudgetDetails[[#This Row],[Expenditures to Date]]</f>
        <v>0</v>
      </c>
    </row>
    <row r="30" spans="1:19" hidden="1">
      <c r="A30" s="71">
        <f t="shared" si="0"/>
        <v>26</v>
      </c>
      <c r="B30" s="96" t="str">
        <f ca="1">INDEX(BudgetTrack[PA ID],MATCH(BudgetDetails[[#This Row],[Row]],BudgetTrack[Row],0))</f>
        <v/>
      </c>
      <c r="C30" s="119">
        <f ca="1">INDEX(BudgetTrack[Primary Category],MATCH(BudgetDetails[[#This Row],[PA ID]],BudgetTrack[PA ID],0))</f>
        <v>0</v>
      </c>
      <c r="D30" s="119">
        <f ca="1">INDEX(BudgetTrack[Secondary Category],MATCH(BudgetDetails[[#This Row],[PA ID]],BudgetTrack[PA ID],0))</f>
        <v>0</v>
      </c>
      <c r="E30" s="96">
        <f ca="1">INDEX(BudgetTrack[Phase / Subproject],MATCH(BudgetDetails[[#This Row],[PA ID]],BudgetTrack[PA ID],0))</f>
        <v>0</v>
      </c>
      <c r="F30" s="96">
        <f ca="1">INDEX(BudgetTrack[Phase / Subproject 2],MATCH(BudgetDetails[[#This Row],[PA ID]],BudgetTrack[PA ID],0))</f>
        <v>0</v>
      </c>
      <c r="G30" s="96">
        <f ca="1">INDEX(BudgetTrack[Funding Source],MATCH(BudgetDetails[[#This Row],[PA ID]],BudgetTrack[PA ID],0))</f>
        <v>0</v>
      </c>
      <c r="H30" s="46">
        <f ca="1">IFERROR(INDEX(BudgetTrack[Baseline Budget],MATCH(BudgetDetails[[#This Row],[PA ID]],BudgetTrack[PA ID],0)),0)</f>
        <v>0</v>
      </c>
      <c r="I30" s="52">
        <f ca="1">BudgetDetails[[#This Row],[Current Budget]]-BudgetDetails[[#This Row],[Base Budget]]</f>
        <v>0</v>
      </c>
      <c r="J30" s="755">
        <f ca="1">IFERROR(INDEX(BudgetTrack[Current Budget],MATCH(BudgetDetails[[#This Row],[PA ID]],BudgetTrack[PA ID],0)),0)</f>
        <v>0</v>
      </c>
      <c r="L30" s="292">
        <f ca="1">SUMIF(EAC[PA ID],BudgetDetails[[#This Row],[PA ID]],EAC[Estimate At Completion])</f>
        <v>0</v>
      </c>
      <c r="M30" s="292">
        <f ca="1">BudgetDetails[[#This Row],[Current Budget]]-BudgetDetails[[#This Row],[Estimate at Completion]]</f>
        <v>0</v>
      </c>
      <c r="O30" s="53">
        <f ca="1">SUMIF(EAC[PA ID],BudgetDetails[[#This Row],[PA ID]],EAC[Current Commitment])</f>
        <v>0</v>
      </c>
      <c r="P30" s="53">
        <f ca="1">BudgetDetails[[#This Row],[Current Budget]]-BudgetDetails[[#This Row],[Commitments to Date]]</f>
        <v>0</v>
      </c>
      <c r="R30" s="53">
        <f ca="1">SUMIFS(CostTrack[Value],CostTrack[PA ID],BudgetDetails[[#This Row],[PA ID]],CostTrack[Flag],"",CostTrack[Holdback (Y/N/R)],"&lt;&gt;Release",CostTrack[Status],"Approved")</f>
        <v>0</v>
      </c>
      <c r="S30" s="466">
        <f ca="1">BudgetDetails[[#This Row],[Current Budget]]-BudgetDetails[[#This Row],[Expenditures to Date]]</f>
        <v>0</v>
      </c>
    </row>
    <row r="31" spans="1:19" hidden="1">
      <c r="A31" s="71">
        <f t="shared" si="0"/>
        <v>27</v>
      </c>
      <c r="B31" s="96" t="str">
        <f ca="1">INDEX(BudgetTrack[PA ID],MATCH(BudgetDetails[[#This Row],[Row]],BudgetTrack[Row],0))</f>
        <v/>
      </c>
      <c r="C31" s="119">
        <f ca="1">INDEX(BudgetTrack[Primary Category],MATCH(BudgetDetails[[#This Row],[PA ID]],BudgetTrack[PA ID],0))</f>
        <v>0</v>
      </c>
      <c r="D31" s="119">
        <f ca="1">INDEX(BudgetTrack[Secondary Category],MATCH(BudgetDetails[[#This Row],[PA ID]],BudgetTrack[PA ID],0))</f>
        <v>0</v>
      </c>
      <c r="E31" s="96">
        <f ca="1">INDEX(BudgetTrack[Phase / Subproject],MATCH(BudgetDetails[[#This Row],[PA ID]],BudgetTrack[PA ID],0))</f>
        <v>0</v>
      </c>
      <c r="F31" s="96">
        <f ca="1">INDEX(BudgetTrack[Phase / Subproject 2],MATCH(BudgetDetails[[#This Row],[PA ID]],BudgetTrack[PA ID],0))</f>
        <v>0</v>
      </c>
      <c r="G31" s="96">
        <f ca="1">INDEX(BudgetTrack[Funding Source],MATCH(BudgetDetails[[#This Row],[PA ID]],BudgetTrack[PA ID],0))</f>
        <v>0</v>
      </c>
      <c r="H31" s="46">
        <f ca="1">IFERROR(INDEX(BudgetTrack[Baseline Budget],MATCH(BudgetDetails[[#This Row],[PA ID]],BudgetTrack[PA ID],0)),0)</f>
        <v>0</v>
      </c>
      <c r="I31" s="52">
        <f ca="1">BudgetDetails[[#This Row],[Current Budget]]-BudgetDetails[[#This Row],[Base Budget]]</f>
        <v>0</v>
      </c>
      <c r="J31" s="755">
        <f ca="1">IFERROR(INDEX(BudgetTrack[Current Budget],MATCH(BudgetDetails[[#This Row],[PA ID]],BudgetTrack[PA ID],0)),0)</f>
        <v>0</v>
      </c>
      <c r="L31" s="292">
        <f ca="1">SUMIF(EAC[PA ID],BudgetDetails[[#This Row],[PA ID]],EAC[Estimate At Completion])</f>
        <v>0</v>
      </c>
      <c r="M31" s="292">
        <f ca="1">BudgetDetails[[#This Row],[Current Budget]]-BudgetDetails[[#This Row],[Estimate at Completion]]</f>
        <v>0</v>
      </c>
      <c r="O31" s="53">
        <f ca="1">SUMIF(EAC[PA ID],BudgetDetails[[#This Row],[PA ID]],EAC[Current Commitment])</f>
        <v>0</v>
      </c>
      <c r="P31" s="53">
        <f ca="1">BudgetDetails[[#This Row],[Current Budget]]-BudgetDetails[[#This Row],[Commitments to Date]]</f>
        <v>0</v>
      </c>
      <c r="R31" s="53">
        <f ca="1">SUMIFS(CostTrack[Value],CostTrack[PA ID],BudgetDetails[[#This Row],[PA ID]],CostTrack[Flag],"",CostTrack[Holdback (Y/N/R)],"&lt;&gt;Release",CostTrack[Status],"Approved")</f>
        <v>0</v>
      </c>
      <c r="S31" s="466">
        <f ca="1">BudgetDetails[[#This Row],[Current Budget]]-BudgetDetails[[#This Row],[Expenditures to Date]]</f>
        <v>0</v>
      </c>
    </row>
    <row r="32" spans="1:19" hidden="1">
      <c r="A32" s="71">
        <f t="shared" si="0"/>
        <v>28</v>
      </c>
      <c r="B32" s="96" t="str">
        <f ca="1">INDEX(BudgetTrack[PA ID],MATCH(BudgetDetails[[#This Row],[Row]],BudgetTrack[Row],0))</f>
        <v/>
      </c>
      <c r="C32" s="119">
        <f ca="1">INDEX(BudgetTrack[Primary Category],MATCH(BudgetDetails[[#This Row],[PA ID]],BudgetTrack[PA ID],0))</f>
        <v>0</v>
      </c>
      <c r="D32" s="119">
        <f ca="1">INDEX(BudgetTrack[Secondary Category],MATCH(BudgetDetails[[#This Row],[PA ID]],BudgetTrack[PA ID],0))</f>
        <v>0</v>
      </c>
      <c r="E32" s="96">
        <f ca="1">INDEX(BudgetTrack[Phase / Subproject],MATCH(BudgetDetails[[#This Row],[PA ID]],BudgetTrack[PA ID],0))</f>
        <v>0</v>
      </c>
      <c r="F32" s="96">
        <f ca="1">INDEX(BudgetTrack[Phase / Subproject 2],MATCH(BudgetDetails[[#This Row],[PA ID]],BudgetTrack[PA ID],0))</f>
        <v>0</v>
      </c>
      <c r="G32" s="96">
        <f ca="1">INDEX(BudgetTrack[Funding Source],MATCH(BudgetDetails[[#This Row],[PA ID]],BudgetTrack[PA ID],0))</f>
        <v>0</v>
      </c>
      <c r="H32" s="46">
        <f ca="1">IFERROR(INDEX(BudgetTrack[Baseline Budget],MATCH(BudgetDetails[[#This Row],[PA ID]],BudgetTrack[PA ID],0)),0)</f>
        <v>0</v>
      </c>
      <c r="I32" s="52">
        <f ca="1">BudgetDetails[[#This Row],[Current Budget]]-BudgetDetails[[#This Row],[Base Budget]]</f>
        <v>0</v>
      </c>
      <c r="J32" s="755">
        <f ca="1">IFERROR(INDEX(BudgetTrack[Current Budget],MATCH(BudgetDetails[[#This Row],[PA ID]],BudgetTrack[PA ID],0)),0)</f>
        <v>0</v>
      </c>
      <c r="L32" s="292">
        <f ca="1">SUMIF(EAC[PA ID],BudgetDetails[[#This Row],[PA ID]],EAC[Estimate At Completion])</f>
        <v>0</v>
      </c>
      <c r="M32" s="292">
        <f ca="1">BudgetDetails[[#This Row],[Current Budget]]-BudgetDetails[[#This Row],[Estimate at Completion]]</f>
        <v>0</v>
      </c>
      <c r="O32" s="53">
        <f ca="1">SUMIF(EAC[PA ID],BudgetDetails[[#This Row],[PA ID]],EAC[Current Commitment])</f>
        <v>0</v>
      </c>
      <c r="P32" s="53">
        <f ca="1">BudgetDetails[[#This Row],[Current Budget]]-BudgetDetails[[#This Row],[Commitments to Date]]</f>
        <v>0</v>
      </c>
      <c r="R32" s="53">
        <f ca="1">SUMIFS(CostTrack[Value],CostTrack[PA ID],BudgetDetails[[#This Row],[PA ID]],CostTrack[Flag],"",CostTrack[Holdback (Y/N/R)],"&lt;&gt;Release",CostTrack[Status],"Approved")</f>
        <v>0</v>
      </c>
      <c r="S32" s="466">
        <f ca="1">BudgetDetails[[#This Row],[Current Budget]]-BudgetDetails[[#This Row],[Expenditures to Date]]</f>
        <v>0</v>
      </c>
    </row>
    <row r="33" spans="1:19" hidden="1">
      <c r="A33" s="71">
        <f t="shared" si="0"/>
        <v>29</v>
      </c>
      <c r="B33" s="96" t="str">
        <f ca="1">INDEX(BudgetTrack[PA ID],MATCH(BudgetDetails[[#This Row],[Row]],BudgetTrack[Row],0))</f>
        <v/>
      </c>
      <c r="C33" s="119">
        <f ca="1">INDEX(BudgetTrack[Primary Category],MATCH(BudgetDetails[[#This Row],[PA ID]],BudgetTrack[PA ID],0))</f>
        <v>0</v>
      </c>
      <c r="D33" s="119">
        <f ca="1">INDEX(BudgetTrack[Secondary Category],MATCH(BudgetDetails[[#This Row],[PA ID]],BudgetTrack[PA ID],0))</f>
        <v>0</v>
      </c>
      <c r="E33" s="96">
        <f ca="1">INDEX(BudgetTrack[Phase / Subproject],MATCH(BudgetDetails[[#This Row],[PA ID]],BudgetTrack[PA ID],0))</f>
        <v>0</v>
      </c>
      <c r="F33" s="96">
        <f ca="1">INDEX(BudgetTrack[Phase / Subproject 2],MATCH(BudgetDetails[[#This Row],[PA ID]],BudgetTrack[PA ID],0))</f>
        <v>0</v>
      </c>
      <c r="G33" s="96">
        <f ca="1">INDEX(BudgetTrack[Funding Source],MATCH(BudgetDetails[[#This Row],[PA ID]],BudgetTrack[PA ID],0))</f>
        <v>0</v>
      </c>
      <c r="H33" s="46">
        <f ca="1">IFERROR(INDEX(BudgetTrack[Baseline Budget],MATCH(BudgetDetails[[#This Row],[PA ID]],BudgetTrack[PA ID],0)),0)</f>
        <v>0</v>
      </c>
      <c r="I33" s="52">
        <f ca="1">BudgetDetails[[#This Row],[Current Budget]]-BudgetDetails[[#This Row],[Base Budget]]</f>
        <v>0</v>
      </c>
      <c r="J33" s="755">
        <f ca="1">IFERROR(INDEX(BudgetTrack[Current Budget],MATCH(BudgetDetails[[#This Row],[PA ID]],BudgetTrack[PA ID],0)),0)</f>
        <v>0</v>
      </c>
      <c r="L33" s="292">
        <f ca="1">SUMIF(EAC[PA ID],BudgetDetails[[#This Row],[PA ID]],EAC[Estimate At Completion])</f>
        <v>0</v>
      </c>
      <c r="M33" s="292">
        <f ca="1">BudgetDetails[[#This Row],[Current Budget]]-BudgetDetails[[#This Row],[Estimate at Completion]]</f>
        <v>0</v>
      </c>
      <c r="O33" s="53">
        <f ca="1">SUMIF(EAC[PA ID],BudgetDetails[[#This Row],[PA ID]],EAC[Current Commitment])</f>
        <v>0</v>
      </c>
      <c r="P33" s="53">
        <f ca="1">BudgetDetails[[#This Row],[Current Budget]]-BudgetDetails[[#This Row],[Commitments to Date]]</f>
        <v>0</v>
      </c>
      <c r="R33" s="53">
        <f ca="1">SUMIFS(CostTrack[Value],CostTrack[PA ID],BudgetDetails[[#This Row],[PA ID]],CostTrack[Flag],"",CostTrack[Holdback (Y/N/R)],"&lt;&gt;Release",CostTrack[Status],"Approved")</f>
        <v>0</v>
      </c>
      <c r="S33" s="466">
        <f ca="1">BudgetDetails[[#This Row],[Current Budget]]-BudgetDetails[[#This Row],[Expenditures to Date]]</f>
        <v>0</v>
      </c>
    </row>
    <row r="34" spans="1:19" hidden="1">
      <c r="A34" s="71">
        <f t="shared" si="0"/>
        <v>30</v>
      </c>
      <c r="B34" s="96" t="str">
        <f ca="1">INDEX(BudgetTrack[PA ID],MATCH(BudgetDetails[[#This Row],[Row]],BudgetTrack[Row],0))</f>
        <v/>
      </c>
      <c r="C34" s="119">
        <f ca="1">INDEX(BudgetTrack[Primary Category],MATCH(BudgetDetails[[#This Row],[PA ID]],BudgetTrack[PA ID],0))</f>
        <v>0</v>
      </c>
      <c r="D34" s="119">
        <f ca="1">INDEX(BudgetTrack[Secondary Category],MATCH(BudgetDetails[[#This Row],[PA ID]],BudgetTrack[PA ID],0))</f>
        <v>0</v>
      </c>
      <c r="E34" s="96">
        <f ca="1">INDEX(BudgetTrack[Phase / Subproject],MATCH(BudgetDetails[[#This Row],[PA ID]],BudgetTrack[PA ID],0))</f>
        <v>0</v>
      </c>
      <c r="F34" s="96">
        <f ca="1">INDEX(BudgetTrack[Phase / Subproject 2],MATCH(BudgetDetails[[#This Row],[PA ID]],BudgetTrack[PA ID],0))</f>
        <v>0</v>
      </c>
      <c r="G34" s="96">
        <f ca="1">INDEX(BudgetTrack[Funding Source],MATCH(BudgetDetails[[#This Row],[PA ID]],BudgetTrack[PA ID],0))</f>
        <v>0</v>
      </c>
      <c r="H34" s="46">
        <f ca="1">IFERROR(INDEX(BudgetTrack[Baseline Budget],MATCH(BudgetDetails[[#This Row],[PA ID]],BudgetTrack[PA ID],0)),0)</f>
        <v>0</v>
      </c>
      <c r="I34" s="52">
        <f ca="1">BudgetDetails[[#This Row],[Current Budget]]-BudgetDetails[[#This Row],[Base Budget]]</f>
        <v>0</v>
      </c>
      <c r="J34" s="755">
        <f ca="1">IFERROR(INDEX(BudgetTrack[Current Budget],MATCH(BudgetDetails[[#This Row],[PA ID]],BudgetTrack[PA ID],0)),0)</f>
        <v>0</v>
      </c>
      <c r="L34" s="292">
        <f ca="1">SUMIF(EAC[PA ID],BudgetDetails[[#This Row],[PA ID]],EAC[Estimate At Completion])</f>
        <v>0</v>
      </c>
      <c r="M34" s="292">
        <f ca="1">BudgetDetails[[#This Row],[Current Budget]]-BudgetDetails[[#This Row],[Estimate at Completion]]</f>
        <v>0</v>
      </c>
      <c r="O34" s="53">
        <f ca="1">SUMIF(EAC[PA ID],BudgetDetails[[#This Row],[PA ID]],EAC[Current Commitment])</f>
        <v>0</v>
      </c>
      <c r="P34" s="53">
        <f ca="1">BudgetDetails[[#This Row],[Current Budget]]-BudgetDetails[[#This Row],[Commitments to Date]]</f>
        <v>0</v>
      </c>
      <c r="R34" s="53">
        <f ca="1">SUMIFS(CostTrack[Value],CostTrack[PA ID],BudgetDetails[[#This Row],[PA ID]],CostTrack[Flag],"",CostTrack[Holdback (Y/N/R)],"&lt;&gt;Release",CostTrack[Status],"Approved")</f>
        <v>0</v>
      </c>
      <c r="S34" s="466">
        <f ca="1">BudgetDetails[[#This Row],[Current Budget]]-BudgetDetails[[#This Row],[Expenditures to Date]]</f>
        <v>0</v>
      </c>
    </row>
    <row r="35" spans="1:19" hidden="1">
      <c r="A35" s="71">
        <f t="shared" si="0"/>
        <v>31</v>
      </c>
      <c r="B35" s="96" t="str">
        <f ca="1">INDEX(BudgetTrack[PA ID],MATCH(BudgetDetails[[#This Row],[Row]],BudgetTrack[Row],0))</f>
        <v/>
      </c>
      <c r="C35" s="119">
        <f ca="1">INDEX(BudgetTrack[Primary Category],MATCH(BudgetDetails[[#This Row],[PA ID]],BudgetTrack[PA ID],0))</f>
        <v>0</v>
      </c>
      <c r="D35" s="119">
        <f ca="1">INDEX(BudgetTrack[Secondary Category],MATCH(BudgetDetails[[#This Row],[PA ID]],BudgetTrack[PA ID],0))</f>
        <v>0</v>
      </c>
      <c r="E35" s="96">
        <f ca="1">INDEX(BudgetTrack[Phase / Subproject],MATCH(BudgetDetails[[#This Row],[PA ID]],BudgetTrack[PA ID],0))</f>
        <v>0</v>
      </c>
      <c r="F35" s="96">
        <f ca="1">INDEX(BudgetTrack[Phase / Subproject 2],MATCH(BudgetDetails[[#This Row],[PA ID]],BudgetTrack[PA ID],0))</f>
        <v>0</v>
      </c>
      <c r="G35" s="96">
        <f ca="1">INDEX(BudgetTrack[Funding Source],MATCH(BudgetDetails[[#This Row],[PA ID]],BudgetTrack[PA ID],0))</f>
        <v>0</v>
      </c>
      <c r="H35" s="46">
        <f ca="1">IFERROR(INDEX(BudgetTrack[Baseline Budget],MATCH(BudgetDetails[[#This Row],[PA ID]],BudgetTrack[PA ID],0)),0)</f>
        <v>0</v>
      </c>
      <c r="I35" s="52">
        <f ca="1">BudgetDetails[[#This Row],[Current Budget]]-BudgetDetails[[#This Row],[Base Budget]]</f>
        <v>0</v>
      </c>
      <c r="J35" s="755">
        <f ca="1">IFERROR(INDEX(BudgetTrack[Current Budget],MATCH(BudgetDetails[[#This Row],[PA ID]],BudgetTrack[PA ID],0)),0)</f>
        <v>0</v>
      </c>
      <c r="L35" s="292">
        <f ca="1">SUMIF(EAC[PA ID],BudgetDetails[[#This Row],[PA ID]],EAC[Estimate At Completion])</f>
        <v>0</v>
      </c>
      <c r="M35" s="292">
        <f ca="1">BudgetDetails[[#This Row],[Current Budget]]-BudgetDetails[[#This Row],[Estimate at Completion]]</f>
        <v>0</v>
      </c>
      <c r="O35" s="53">
        <f ca="1">SUMIF(EAC[PA ID],BudgetDetails[[#This Row],[PA ID]],EAC[Current Commitment])</f>
        <v>0</v>
      </c>
      <c r="P35" s="53">
        <f ca="1">BudgetDetails[[#This Row],[Current Budget]]-BudgetDetails[[#This Row],[Commitments to Date]]</f>
        <v>0</v>
      </c>
      <c r="R35" s="53">
        <f ca="1">SUMIFS(CostTrack[Value],CostTrack[PA ID],BudgetDetails[[#This Row],[PA ID]],CostTrack[Flag],"",CostTrack[Holdback (Y/N/R)],"&lt;&gt;Release",CostTrack[Status],"Approved")</f>
        <v>0</v>
      </c>
      <c r="S35" s="466">
        <f ca="1">BudgetDetails[[#This Row],[Current Budget]]-BudgetDetails[[#This Row],[Expenditures to Date]]</f>
        <v>0</v>
      </c>
    </row>
    <row r="36" spans="1:19" hidden="1">
      <c r="A36" s="71">
        <f t="shared" si="0"/>
        <v>32</v>
      </c>
      <c r="B36" s="96" t="str">
        <f ca="1">INDEX(BudgetTrack[PA ID],MATCH(BudgetDetails[[#This Row],[Row]],BudgetTrack[Row],0))</f>
        <v/>
      </c>
      <c r="C36" s="119">
        <f ca="1">INDEX(BudgetTrack[Primary Category],MATCH(BudgetDetails[[#This Row],[PA ID]],BudgetTrack[PA ID],0))</f>
        <v>0</v>
      </c>
      <c r="D36" s="119">
        <f ca="1">INDEX(BudgetTrack[Secondary Category],MATCH(BudgetDetails[[#This Row],[PA ID]],BudgetTrack[PA ID],0))</f>
        <v>0</v>
      </c>
      <c r="E36" s="96">
        <f ca="1">INDEX(BudgetTrack[Phase / Subproject],MATCH(BudgetDetails[[#This Row],[PA ID]],BudgetTrack[PA ID],0))</f>
        <v>0</v>
      </c>
      <c r="F36" s="96">
        <f ca="1">INDEX(BudgetTrack[Phase / Subproject 2],MATCH(BudgetDetails[[#This Row],[PA ID]],BudgetTrack[PA ID],0))</f>
        <v>0</v>
      </c>
      <c r="G36" s="96">
        <f ca="1">INDEX(BudgetTrack[Funding Source],MATCH(BudgetDetails[[#This Row],[PA ID]],BudgetTrack[PA ID],0))</f>
        <v>0</v>
      </c>
      <c r="H36" s="46">
        <f ca="1">IFERROR(INDEX(BudgetTrack[Baseline Budget],MATCH(BudgetDetails[[#This Row],[PA ID]],BudgetTrack[PA ID],0)),0)</f>
        <v>0</v>
      </c>
      <c r="I36" s="52">
        <f ca="1">BudgetDetails[[#This Row],[Current Budget]]-BudgetDetails[[#This Row],[Base Budget]]</f>
        <v>0</v>
      </c>
      <c r="J36" s="755">
        <f ca="1">IFERROR(INDEX(BudgetTrack[Current Budget],MATCH(BudgetDetails[[#This Row],[PA ID]],BudgetTrack[PA ID],0)),0)</f>
        <v>0</v>
      </c>
      <c r="L36" s="292">
        <f ca="1">SUMIF(EAC[PA ID],BudgetDetails[[#This Row],[PA ID]],EAC[Estimate At Completion])</f>
        <v>0</v>
      </c>
      <c r="M36" s="292">
        <f ca="1">BudgetDetails[[#This Row],[Current Budget]]-BudgetDetails[[#This Row],[Estimate at Completion]]</f>
        <v>0</v>
      </c>
      <c r="O36" s="53">
        <f ca="1">SUMIF(EAC[PA ID],BudgetDetails[[#This Row],[PA ID]],EAC[Current Commitment])</f>
        <v>0</v>
      </c>
      <c r="P36" s="53">
        <f ca="1">BudgetDetails[[#This Row],[Current Budget]]-BudgetDetails[[#This Row],[Commitments to Date]]</f>
        <v>0</v>
      </c>
      <c r="R36" s="53">
        <f ca="1">SUMIFS(CostTrack[Value],CostTrack[PA ID],BudgetDetails[[#This Row],[PA ID]],CostTrack[Flag],"",CostTrack[Holdback (Y/N/R)],"&lt;&gt;Release",CostTrack[Status],"Approved")</f>
        <v>0</v>
      </c>
      <c r="S36" s="466">
        <f ca="1">BudgetDetails[[#This Row],[Current Budget]]-BudgetDetails[[#This Row],[Expenditures to Date]]</f>
        <v>0</v>
      </c>
    </row>
    <row r="37" spans="1:19" hidden="1">
      <c r="A37" s="71">
        <f t="shared" si="0"/>
        <v>33</v>
      </c>
      <c r="B37" s="96" t="str">
        <f ca="1">INDEX(BudgetTrack[PA ID],MATCH(BudgetDetails[[#This Row],[Row]],BudgetTrack[Row],0))</f>
        <v/>
      </c>
      <c r="C37" s="119">
        <f ca="1">INDEX(BudgetTrack[Primary Category],MATCH(BudgetDetails[[#This Row],[PA ID]],BudgetTrack[PA ID],0))</f>
        <v>0</v>
      </c>
      <c r="D37" s="119">
        <f ca="1">INDEX(BudgetTrack[Secondary Category],MATCH(BudgetDetails[[#This Row],[PA ID]],BudgetTrack[PA ID],0))</f>
        <v>0</v>
      </c>
      <c r="E37" s="96">
        <f ca="1">INDEX(BudgetTrack[Phase / Subproject],MATCH(BudgetDetails[[#This Row],[PA ID]],BudgetTrack[PA ID],0))</f>
        <v>0</v>
      </c>
      <c r="F37" s="96">
        <f ca="1">INDEX(BudgetTrack[Phase / Subproject 2],MATCH(BudgetDetails[[#This Row],[PA ID]],BudgetTrack[PA ID],0))</f>
        <v>0</v>
      </c>
      <c r="G37" s="96">
        <f ca="1">INDEX(BudgetTrack[Funding Source],MATCH(BudgetDetails[[#This Row],[PA ID]],BudgetTrack[PA ID],0))</f>
        <v>0</v>
      </c>
      <c r="H37" s="46">
        <f ca="1">IFERROR(INDEX(BudgetTrack[Baseline Budget],MATCH(BudgetDetails[[#This Row],[PA ID]],BudgetTrack[PA ID],0)),0)</f>
        <v>0</v>
      </c>
      <c r="I37" s="52">
        <f ca="1">BudgetDetails[[#This Row],[Current Budget]]-BudgetDetails[[#This Row],[Base Budget]]</f>
        <v>0</v>
      </c>
      <c r="J37" s="755">
        <f ca="1">IFERROR(INDEX(BudgetTrack[Current Budget],MATCH(BudgetDetails[[#This Row],[PA ID]],BudgetTrack[PA ID],0)),0)</f>
        <v>0</v>
      </c>
      <c r="L37" s="292">
        <f ca="1">SUMIF(EAC[PA ID],BudgetDetails[[#This Row],[PA ID]],EAC[Estimate At Completion])</f>
        <v>0</v>
      </c>
      <c r="M37" s="292">
        <f ca="1">BudgetDetails[[#This Row],[Current Budget]]-BudgetDetails[[#This Row],[Estimate at Completion]]</f>
        <v>0</v>
      </c>
      <c r="O37" s="53">
        <f ca="1">SUMIF(EAC[PA ID],BudgetDetails[[#This Row],[PA ID]],EAC[Current Commitment])</f>
        <v>0</v>
      </c>
      <c r="P37" s="53">
        <f ca="1">BudgetDetails[[#This Row],[Current Budget]]-BudgetDetails[[#This Row],[Commitments to Date]]</f>
        <v>0</v>
      </c>
      <c r="R37" s="53">
        <f ca="1">SUMIFS(CostTrack[Value],CostTrack[PA ID],BudgetDetails[[#This Row],[PA ID]],CostTrack[Flag],"",CostTrack[Holdback (Y/N/R)],"&lt;&gt;Release",CostTrack[Status],"Approved")</f>
        <v>0</v>
      </c>
      <c r="S37" s="466">
        <f ca="1">BudgetDetails[[#This Row],[Current Budget]]-BudgetDetails[[#This Row],[Expenditures to Date]]</f>
        <v>0</v>
      </c>
    </row>
    <row r="38" spans="1:19" hidden="1">
      <c r="A38" s="71">
        <f t="shared" si="0"/>
        <v>34</v>
      </c>
      <c r="B38" s="96" t="str">
        <f ca="1">INDEX(BudgetTrack[PA ID],MATCH(BudgetDetails[[#This Row],[Row]],BudgetTrack[Row],0))</f>
        <v/>
      </c>
      <c r="C38" s="119">
        <f ca="1">INDEX(BudgetTrack[Primary Category],MATCH(BudgetDetails[[#This Row],[PA ID]],BudgetTrack[PA ID],0))</f>
        <v>0</v>
      </c>
      <c r="D38" s="119">
        <f ca="1">INDEX(BudgetTrack[Secondary Category],MATCH(BudgetDetails[[#This Row],[PA ID]],BudgetTrack[PA ID],0))</f>
        <v>0</v>
      </c>
      <c r="E38" s="96">
        <f ca="1">INDEX(BudgetTrack[Phase / Subproject],MATCH(BudgetDetails[[#This Row],[PA ID]],BudgetTrack[PA ID],0))</f>
        <v>0</v>
      </c>
      <c r="F38" s="96">
        <f ca="1">INDEX(BudgetTrack[Phase / Subproject 2],MATCH(BudgetDetails[[#This Row],[PA ID]],BudgetTrack[PA ID],0))</f>
        <v>0</v>
      </c>
      <c r="G38" s="96">
        <f ca="1">INDEX(BudgetTrack[Funding Source],MATCH(BudgetDetails[[#This Row],[PA ID]],BudgetTrack[PA ID],0))</f>
        <v>0</v>
      </c>
      <c r="H38" s="46">
        <f ca="1">IFERROR(INDEX(BudgetTrack[Baseline Budget],MATCH(BudgetDetails[[#This Row],[PA ID]],BudgetTrack[PA ID],0)),0)</f>
        <v>0</v>
      </c>
      <c r="I38" s="52">
        <f ca="1">BudgetDetails[[#This Row],[Current Budget]]-BudgetDetails[[#This Row],[Base Budget]]</f>
        <v>0</v>
      </c>
      <c r="J38" s="755">
        <f ca="1">IFERROR(INDEX(BudgetTrack[Current Budget],MATCH(BudgetDetails[[#This Row],[PA ID]],BudgetTrack[PA ID],0)),0)</f>
        <v>0</v>
      </c>
      <c r="L38" s="292">
        <f ca="1">SUMIF(EAC[PA ID],BudgetDetails[[#This Row],[PA ID]],EAC[Estimate At Completion])</f>
        <v>0</v>
      </c>
      <c r="M38" s="292">
        <f ca="1">BudgetDetails[[#This Row],[Current Budget]]-BudgetDetails[[#This Row],[Estimate at Completion]]</f>
        <v>0</v>
      </c>
      <c r="O38" s="53">
        <f ca="1">SUMIF(EAC[PA ID],BudgetDetails[[#This Row],[PA ID]],EAC[Current Commitment])</f>
        <v>0</v>
      </c>
      <c r="P38" s="53">
        <f ca="1">BudgetDetails[[#This Row],[Current Budget]]-BudgetDetails[[#This Row],[Commitments to Date]]</f>
        <v>0</v>
      </c>
      <c r="R38" s="53">
        <f ca="1">SUMIFS(CostTrack[Value],CostTrack[PA ID],BudgetDetails[[#This Row],[PA ID]],CostTrack[Flag],"",CostTrack[Holdback (Y/N/R)],"&lt;&gt;Release",CostTrack[Status],"Approved")</f>
        <v>0</v>
      </c>
      <c r="S38" s="466">
        <f ca="1">BudgetDetails[[#This Row],[Current Budget]]-BudgetDetails[[#This Row],[Expenditures to Date]]</f>
        <v>0</v>
      </c>
    </row>
    <row r="39" spans="1:19" hidden="1">
      <c r="A39" s="71">
        <f>A38+1</f>
        <v>35</v>
      </c>
      <c r="B39" s="96" t="str">
        <f ca="1">INDEX(BudgetTrack[PA ID],MATCH(BudgetDetails[[#This Row],[Row]],BudgetTrack[Row],0))</f>
        <v/>
      </c>
      <c r="C39" s="119">
        <f ca="1">INDEX(BudgetTrack[Primary Category],MATCH(BudgetDetails[[#This Row],[PA ID]],BudgetTrack[PA ID],0))</f>
        <v>0</v>
      </c>
      <c r="D39" s="119">
        <f ca="1">INDEX(BudgetTrack[Secondary Category],MATCH(BudgetDetails[[#This Row],[PA ID]],BudgetTrack[PA ID],0))</f>
        <v>0</v>
      </c>
      <c r="E39" s="96">
        <f ca="1">INDEX(BudgetTrack[Phase / Subproject],MATCH(BudgetDetails[[#This Row],[PA ID]],BudgetTrack[PA ID],0))</f>
        <v>0</v>
      </c>
      <c r="F39" s="96">
        <f ca="1">INDEX(BudgetTrack[Phase / Subproject 2],MATCH(BudgetDetails[[#This Row],[PA ID]],BudgetTrack[PA ID],0))</f>
        <v>0</v>
      </c>
      <c r="G39" s="96">
        <f ca="1">INDEX(BudgetTrack[Funding Source],MATCH(BudgetDetails[[#This Row],[PA ID]],BudgetTrack[PA ID],0))</f>
        <v>0</v>
      </c>
      <c r="H39" s="46">
        <f ca="1">IFERROR(INDEX(BudgetTrack[Baseline Budget],MATCH(BudgetDetails[[#This Row],[PA ID]],BudgetTrack[PA ID],0)),0)</f>
        <v>0</v>
      </c>
      <c r="I39" s="52">
        <f ca="1">BudgetDetails[[#This Row],[Current Budget]]-BudgetDetails[[#This Row],[Base Budget]]</f>
        <v>0</v>
      </c>
      <c r="J39" s="755">
        <f ca="1">IFERROR(INDEX(BudgetTrack[Current Budget],MATCH(BudgetDetails[[#This Row],[PA ID]],BudgetTrack[PA ID],0)),0)</f>
        <v>0</v>
      </c>
      <c r="L39" s="292">
        <f ca="1">SUMIF(EAC[PA ID],BudgetDetails[[#This Row],[PA ID]],EAC[Estimate At Completion])</f>
        <v>0</v>
      </c>
      <c r="M39" s="292">
        <f ca="1">BudgetDetails[[#This Row],[Current Budget]]-BudgetDetails[[#This Row],[Estimate at Completion]]</f>
        <v>0</v>
      </c>
      <c r="O39" s="53">
        <f ca="1">SUMIF(EAC[PA ID],BudgetDetails[[#This Row],[PA ID]],EAC[Current Commitment])</f>
        <v>0</v>
      </c>
      <c r="P39" s="53">
        <f ca="1">BudgetDetails[[#This Row],[Current Budget]]-BudgetDetails[[#This Row],[Commitments to Date]]</f>
        <v>0</v>
      </c>
      <c r="R39" s="53">
        <f ca="1">SUMIFS(CostTrack[Value],CostTrack[PA ID],BudgetDetails[[#This Row],[PA ID]],CostTrack[Flag],"",CostTrack[Holdback (Y/N/R)],"&lt;&gt;Release",CostTrack[Status],"Approved")</f>
        <v>0</v>
      </c>
      <c r="S39" s="466">
        <f ca="1">BudgetDetails[[#This Row],[Current Budget]]-BudgetDetails[[#This Row],[Expenditures to Date]]</f>
        <v>0</v>
      </c>
    </row>
    <row r="40" spans="1:19" hidden="1">
      <c r="A40" s="71">
        <f t="shared" si="0"/>
        <v>36</v>
      </c>
      <c r="B40" s="96" t="str">
        <f ca="1">INDEX(BudgetTrack[PA ID],MATCH(BudgetDetails[[#This Row],[Row]],BudgetTrack[Row],0))</f>
        <v/>
      </c>
      <c r="C40" s="119">
        <f ca="1">INDEX(BudgetTrack[Primary Category],MATCH(BudgetDetails[[#This Row],[PA ID]],BudgetTrack[PA ID],0))</f>
        <v>0</v>
      </c>
      <c r="D40" s="119">
        <f ca="1">INDEX(BudgetTrack[Secondary Category],MATCH(BudgetDetails[[#This Row],[PA ID]],BudgetTrack[PA ID],0))</f>
        <v>0</v>
      </c>
      <c r="E40" s="96">
        <f ca="1">INDEX(BudgetTrack[Phase / Subproject],MATCH(BudgetDetails[[#This Row],[PA ID]],BudgetTrack[PA ID],0))</f>
        <v>0</v>
      </c>
      <c r="F40" s="96">
        <f ca="1">INDEX(BudgetTrack[Phase / Subproject 2],MATCH(BudgetDetails[[#This Row],[PA ID]],BudgetTrack[PA ID],0))</f>
        <v>0</v>
      </c>
      <c r="G40" s="96">
        <f ca="1">INDEX(BudgetTrack[Funding Source],MATCH(BudgetDetails[[#This Row],[PA ID]],BudgetTrack[PA ID],0))</f>
        <v>0</v>
      </c>
      <c r="H40" s="46">
        <f ca="1">IFERROR(INDEX(BudgetTrack[Baseline Budget],MATCH(BudgetDetails[[#This Row],[PA ID]],BudgetTrack[PA ID],0)),0)</f>
        <v>0</v>
      </c>
      <c r="I40" s="52">
        <f ca="1">BudgetDetails[[#This Row],[Current Budget]]-BudgetDetails[[#This Row],[Base Budget]]</f>
        <v>0</v>
      </c>
      <c r="J40" s="755">
        <f ca="1">IFERROR(INDEX(BudgetTrack[Current Budget],MATCH(BudgetDetails[[#This Row],[PA ID]],BudgetTrack[PA ID],0)),0)</f>
        <v>0</v>
      </c>
      <c r="L40" s="292">
        <f ca="1">SUMIF(EAC[PA ID],BudgetDetails[[#This Row],[PA ID]],EAC[Estimate At Completion])</f>
        <v>0</v>
      </c>
      <c r="M40" s="292">
        <f ca="1">BudgetDetails[[#This Row],[Current Budget]]-BudgetDetails[[#This Row],[Estimate at Completion]]</f>
        <v>0</v>
      </c>
      <c r="O40" s="53">
        <f ca="1">SUMIF(EAC[PA ID],BudgetDetails[[#This Row],[PA ID]],EAC[Current Commitment])</f>
        <v>0</v>
      </c>
      <c r="P40" s="53">
        <f ca="1">BudgetDetails[[#This Row],[Current Budget]]-BudgetDetails[[#This Row],[Commitments to Date]]</f>
        <v>0</v>
      </c>
      <c r="R40" s="53">
        <f ca="1">SUMIFS(CostTrack[Value],CostTrack[PA ID],BudgetDetails[[#This Row],[PA ID]],CostTrack[Flag],"",CostTrack[Holdback (Y/N/R)],"&lt;&gt;Release",CostTrack[Status],"Approved")</f>
        <v>0</v>
      </c>
      <c r="S40" s="466">
        <f ca="1">BudgetDetails[[#This Row],[Current Budget]]-BudgetDetails[[#This Row],[Expenditures to Date]]</f>
        <v>0</v>
      </c>
    </row>
    <row r="41" spans="1:19" hidden="1">
      <c r="A41" s="71">
        <f t="shared" si="0"/>
        <v>37</v>
      </c>
      <c r="B41" s="96" t="str">
        <f ca="1">INDEX(BudgetTrack[PA ID],MATCH(BudgetDetails[[#This Row],[Row]],BudgetTrack[Row],0))</f>
        <v/>
      </c>
      <c r="C41" s="119">
        <f ca="1">INDEX(BudgetTrack[Primary Category],MATCH(BudgetDetails[[#This Row],[PA ID]],BudgetTrack[PA ID],0))</f>
        <v>0</v>
      </c>
      <c r="D41" s="119">
        <f ca="1">INDEX(BudgetTrack[Secondary Category],MATCH(BudgetDetails[[#This Row],[PA ID]],BudgetTrack[PA ID],0))</f>
        <v>0</v>
      </c>
      <c r="E41" s="96">
        <f ca="1">INDEX(BudgetTrack[Phase / Subproject],MATCH(BudgetDetails[[#This Row],[PA ID]],BudgetTrack[PA ID],0))</f>
        <v>0</v>
      </c>
      <c r="F41" s="96">
        <f ca="1">INDEX(BudgetTrack[Phase / Subproject 2],MATCH(BudgetDetails[[#This Row],[PA ID]],BudgetTrack[PA ID],0))</f>
        <v>0</v>
      </c>
      <c r="G41" s="96">
        <f ca="1">INDEX(BudgetTrack[Funding Source],MATCH(BudgetDetails[[#This Row],[PA ID]],BudgetTrack[PA ID],0))</f>
        <v>0</v>
      </c>
      <c r="H41" s="46">
        <f ca="1">IFERROR(INDEX(BudgetTrack[Baseline Budget],MATCH(BudgetDetails[[#This Row],[PA ID]],BudgetTrack[PA ID],0)),0)</f>
        <v>0</v>
      </c>
      <c r="I41" s="52">
        <f ca="1">BudgetDetails[[#This Row],[Current Budget]]-BudgetDetails[[#This Row],[Base Budget]]</f>
        <v>0</v>
      </c>
      <c r="J41" s="755">
        <f ca="1">IFERROR(INDEX(BudgetTrack[Current Budget],MATCH(BudgetDetails[[#This Row],[PA ID]],BudgetTrack[PA ID],0)),0)</f>
        <v>0</v>
      </c>
      <c r="L41" s="292">
        <f ca="1">SUMIF(EAC[PA ID],BudgetDetails[[#This Row],[PA ID]],EAC[Estimate At Completion])</f>
        <v>0</v>
      </c>
      <c r="M41" s="292">
        <f ca="1">BudgetDetails[[#This Row],[Current Budget]]-BudgetDetails[[#This Row],[Estimate at Completion]]</f>
        <v>0</v>
      </c>
      <c r="O41" s="53">
        <f ca="1">SUMIF(EAC[PA ID],BudgetDetails[[#This Row],[PA ID]],EAC[Current Commitment])</f>
        <v>0</v>
      </c>
      <c r="P41" s="53">
        <f ca="1">BudgetDetails[[#This Row],[Current Budget]]-BudgetDetails[[#This Row],[Commitments to Date]]</f>
        <v>0</v>
      </c>
      <c r="R41" s="53">
        <f ca="1">SUMIFS(CostTrack[Value],CostTrack[PA ID],BudgetDetails[[#This Row],[PA ID]],CostTrack[Flag],"",CostTrack[Holdback (Y/N/R)],"&lt;&gt;Release",CostTrack[Status],"Approved")</f>
        <v>0</v>
      </c>
      <c r="S41" s="466">
        <f ca="1">BudgetDetails[[#This Row],[Current Budget]]-BudgetDetails[[#This Row],[Expenditures to Date]]</f>
        <v>0</v>
      </c>
    </row>
    <row r="42" spans="1:19" hidden="1">
      <c r="A42" s="71">
        <f t="shared" si="0"/>
        <v>38</v>
      </c>
      <c r="B42" s="96" t="str">
        <f ca="1">INDEX(BudgetTrack[PA ID],MATCH(BudgetDetails[[#This Row],[Row]],BudgetTrack[Row],0))</f>
        <v/>
      </c>
      <c r="C42" s="119">
        <f ca="1">INDEX(BudgetTrack[Primary Category],MATCH(BudgetDetails[[#This Row],[PA ID]],BudgetTrack[PA ID],0))</f>
        <v>0</v>
      </c>
      <c r="D42" s="119">
        <f ca="1">INDEX(BudgetTrack[Secondary Category],MATCH(BudgetDetails[[#This Row],[PA ID]],BudgetTrack[PA ID],0))</f>
        <v>0</v>
      </c>
      <c r="E42" s="96">
        <f ca="1">INDEX(BudgetTrack[Phase / Subproject],MATCH(BudgetDetails[[#This Row],[PA ID]],BudgetTrack[PA ID],0))</f>
        <v>0</v>
      </c>
      <c r="F42" s="96">
        <f ca="1">INDEX(BudgetTrack[Phase / Subproject 2],MATCH(BudgetDetails[[#This Row],[PA ID]],BudgetTrack[PA ID],0))</f>
        <v>0</v>
      </c>
      <c r="G42" s="96">
        <f ca="1">INDEX(BudgetTrack[Funding Source],MATCH(BudgetDetails[[#This Row],[PA ID]],BudgetTrack[PA ID],0))</f>
        <v>0</v>
      </c>
      <c r="H42" s="46">
        <f ca="1">IFERROR(INDEX(BudgetTrack[Baseline Budget],MATCH(BudgetDetails[[#This Row],[PA ID]],BudgetTrack[PA ID],0)),0)</f>
        <v>0</v>
      </c>
      <c r="I42" s="52">
        <f ca="1">BudgetDetails[[#This Row],[Current Budget]]-BudgetDetails[[#This Row],[Base Budget]]</f>
        <v>0</v>
      </c>
      <c r="J42" s="755">
        <f ca="1">IFERROR(INDEX(BudgetTrack[Current Budget],MATCH(BudgetDetails[[#This Row],[PA ID]],BudgetTrack[PA ID],0)),0)</f>
        <v>0</v>
      </c>
      <c r="L42" s="292">
        <f ca="1">SUMIF(EAC[PA ID],BudgetDetails[[#This Row],[PA ID]],EAC[Estimate At Completion])</f>
        <v>0</v>
      </c>
      <c r="M42" s="292">
        <f ca="1">BudgetDetails[[#This Row],[Current Budget]]-BudgetDetails[[#This Row],[Estimate at Completion]]</f>
        <v>0</v>
      </c>
      <c r="O42" s="53">
        <f ca="1">SUMIF(EAC[PA ID],BudgetDetails[[#This Row],[PA ID]],EAC[Current Commitment])</f>
        <v>0</v>
      </c>
      <c r="P42" s="53">
        <f ca="1">BudgetDetails[[#This Row],[Current Budget]]-BudgetDetails[[#This Row],[Commitments to Date]]</f>
        <v>0</v>
      </c>
      <c r="R42" s="53">
        <f ca="1">SUMIFS(CostTrack[Value],CostTrack[PA ID],BudgetDetails[[#This Row],[PA ID]],CostTrack[Flag],"",CostTrack[Holdback (Y/N/R)],"&lt;&gt;Release",CostTrack[Status],"Approved")</f>
        <v>0</v>
      </c>
      <c r="S42" s="466">
        <f ca="1">BudgetDetails[[#This Row],[Current Budget]]-BudgetDetails[[#This Row],[Expenditures to Date]]</f>
        <v>0</v>
      </c>
    </row>
    <row r="43" spans="1:19" hidden="1">
      <c r="A43" s="71">
        <f>A42+1</f>
        <v>39</v>
      </c>
      <c r="B43" s="96" t="str">
        <f ca="1">INDEX(BudgetTrack[PA ID],MATCH(BudgetDetails[[#This Row],[Row]],BudgetTrack[Row],0))</f>
        <v/>
      </c>
      <c r="C43" s="119">
        <f ca="1">INDEX(BudgetTrack[Primary Category],MATCH(BudgetDetails[[#This Row],[PA ID]],BudgetTrack[PA ID],0))</f>
        <v>0</v>
      </c>
      <c r="D43" s="119">
        <f ca="1">INDEX(BudgetTrack[Secondary Category],MATCH(BudgetDetails[[#This Row],[PA ID]],BudgetTrack[PA ID],0))</f>
        <v>0</v>
      </c>
      <c r="E43" s="96">
        <f ca="1">INDEX(BudgetTrack[Phase / Subproject],MATCH(BudgetDetails[[#This Row],[PA ID]],BudgetTrack[PA ID],0))</f>
        <v>0</v>
      </c>
      <c r="F43" s="96">
        <f ca="1">INDEX(BudgetTrack[Phase / Subproject 2],MATCH(BudgetDetails[[#This Row],[PA ID]],BudgetTrack[PA ID],0))</f>
        <v>0</v>
      </c>
      <c r="G43" s="96">
        <f ca="1">INDEX(BudgetTrack[Funding Source],MATCH(BudgetDetails[[#This Row],[PA ID]],BudgetTrack[PA ID],0))</f>
        <v>0</v>
      </c>
      <c r="H43" s="46">
        <f ca="1">IFERROR(INDEX(BudgetTrack[Baseline Budget],MATCH(BudgetDetails[[#This Row],[PA ID]],BudgetTrack[PA ID],0)),0)</f>
        <v>0</v>
      </c>
      <c r="I43" s="52">
        <f ca="1">BudgetDetails[[#This Row],[Current Budget]]-BudgetDetails[[#This Row],[Base Budget]]</f>
        <v>0</v>
      </c>
      <c r="J43" s="755">
        <f ca="1">IFERROR(INDEX(BudgetTrack[Current Budget],MATCH(BudgetDetails[[#This Row],[PA ID]],BudgetTrack[PA ID],0)),0)</f>
        <v>0</v>
      </c>
      <c r="L43" s="292">
        <f ca="1">SUMIF(EAC[PA ID],BudgetDetails[[#This Row],[PA ID]],EAC[Estimate At Completion])</f>
        <v>0</v>
      </c>
      <c r="M43" s="292">
        <f ca="1">BudgetDetails[[#This Row],[Current Budget]]-BudgetDetails[[#This Row],[Estimate at Completion]]</f>
        <v>0</v>
      </c>
      <c r="O43" s="53">
        <f ca="1">SUMIF(EAC[PA ID],BudgetDetails[[#This Row],[PA ID]],EAC[Current Commitment])</f>
        <v>0</v>
      </c>
      <c r="P43" s="53">
        <f ca="1">BudgetDetails[[#This Row],[Current Budget]]-BudgetDetails[[#This Row],[Commitments to Date]]</f>
        <v>0</v>
      </c>
      <c r="R43" s="53">
        <f ca="1">SUMIFS(CostTrack[Value],CostTrack[PA ID],BudgetDetails[[#This Row],[PA ID]],CostTrack[Flag],"",CostTrack[Holdback (Y/N/R)],"&lt;&gt;Release",CostTrack[Status],"Approved")</f>
        <v>0</v>
      </c>
      <c r="S43" s="466">
        <f ca="1">BudgetDetails[[#This Row],[Current Budget]]-BudgetDetails[[#This Row],[Expenditures to Date]]</f>
        <v>0</v>
      </c>
    </row>
    <row r="44" spans="1:19" hidden="1">
      <c r="A44" s="71">
        <f t="shared" si="0"/>
        <v>40</v>
      </c>
      <c r="B44" s="96" t="str">
        <f ca="1">INDEX(BudgetTrack[PA ID],MATCH(BudgetDetails[[#This Row],[Row]],BudgetTrack[Row],0))</f>
        <v/>
      </c>
      <c r="C44" s="119">
        <f ca="1">INDEX(BudgetTrack[Primary Category],MATCH(BudgetDetails[[#This Row],[PA ID]],BudgetTrack[PA ID],0))</f>
        <v>0</v>
      </c>
      <c r="D44" s="119">
        <f ca="1">INDEX(BudgetTrack[Secondary Category],MATCH(BudgetDetails[[#This Row],[PA ID]],BudgetTrack[PA ID],0))</f>
        <v>0</v>
      </c>
      <c r="E44" s="96">
        <f ca="1">INDEX(BudgetTrack[Phase / Subproject],MATCH(BudgetDetails[[#This Row],[PA ID]],BudgetTrack[PA ID],0))</f>
        <v>0</v>
      </c>
      <c r="F44" s="96">
        <f ca="1">INDEX(BudgetTrack[Phase / Subproject 2],MATCH(BudgetDetails[[#This Row],[PA ID]],BudgetTrack[PA ID],0))</f>
        <v>0</v>
      </c>
      <c r="G44" s="96">
        <f ca="1">INDEX(BudgetTrack[Funding Source],MATCH(BudgetDetails[[#This Row],[PA ID]],BudgetTrack[PA ID],0))</f>
        <v>0</v>
      </c>
      <c r="H44" s="46">
        <f ca="1">IFERROR(INDEX(BudgetTrack[Baseline Budget],MATCH(BudgetDetails[[#This Row],[PA ID]],BudgetTrack[PA ID],0)),0)</f>
        <v>0</v>
      </c>
      <c r="I44" s="52">
        <f ca="1">BudgetDetails[[#This Row],[Current Budget]]-BudgetDetails[[#This Row],[Base Budget]]</f>
        <v>0</v>
      </c>
      <c r="J44" s="755">
        <f ca="1">IFERROR(INDEX(BudgetTrack[Current Budget],MATCH(BudgetDetails[[#This Row],[PA ID]],BudgetTrack[PA ID],0)),0)</f>
        <v>0</v>
      </c>
      <c r="L44" s="292">
        <f ca="1">SUMIF(EAC[PA ID],BudgetDetails[[#This Row],[PA ID]],EAC[Estimate At Completion])</f>
        <v>0</v>
      </c>
      <c r="M44" s="292">
        <f ca="1">BudgetDetails[[#This Row],[Current Budget]]-BudgetDetails[[#This Row],[Estimate at Completion]]</f>
        <v>0</v>
      </c>
      <c r="O44" s="53">
        <f ca="1">SUMIF(EAC[PA ID],BudgetDetails[[#This Row],[PA ID]],EAC[Current Commitment])</f>
        <v>0</v>
      </c>
      <c r="P44" s="53">
        <f ca="1">BudgetDetails[[#This Row],[Current Budget]]-BudgetDetails[[#This Row],[Commitments to Date]]</f>
        <v>0</v>
      </c>
      <c r="R44" s="53">
        <f ca="1">SUMIFS(CostTrack[Value],CostTrack[PA ID],BudgetDetails[[#This Row],[PA ID]],CostTrack[Flag],"",CostTrack[Holdback (Y/N/R)],"&lt;&gt;Release",CostTrack[Status],"Approved")</f>
        <v>0</v>
      </c>
      <c r="S44" s="466">
        <f ca="1">BudgetDetails[[#This Row],[Current Budget]]-BudgetDetails[[#This Row],[Expenditures to Date]]</f>
        <v>0</v>
      </c>
    </row>
    <row r="45" spans="1:19" ht="15" hidden="1" customHeight="1">
      <c r="A45" s="71">
        <f t="shared" si="0"/>
        <v>41</v>
      </c>
      <c r="B45" s="96" t="str">
        <f ca="1">INDEX(BudgetTrack[PA ID],MATCH(BudgetDetails[[#This Row],[Row]],BudgetTrack[Row],0))</f>
        <v/>
      </c>
      <c r="C45" s="119">
        <f ca="1">INDEX(BudgetTrack[Primary Category],MATCH(BudgetDetails[[#This Row],[PA ID]],BudgetTrack[PA ID],0))</f>
        <v>0</v>
      </c>
      <c r="D45" s="119">
        <f ca="1">INDEX(BudgetTrack[Secondary Category],MATCH(BudgetDetails[[#This Row],[PA ID]],BudgetTrack[PA ID],0))</f>
        <v>0</v>
      </c>
      <c r="E45" s="96">
        <f ca="1">INDEX(BudgetTrack[Phase / Subproject],MATCH(BudgetDetails[[#This Row],[PA ID]],BudgetTrack[PA ID],0))</f>
        <v>0</v>
      </c>
      <c r="F45" s="96">
        <f ca="1">INDEX(BudgetTrack[Phase / Subproject 2],MATCH(BudgetDetails[[#This Row],[PA ID]],BudgetTrack[PA ID],0))</f>
        <v>0</v>
      </c>
      <c r="G45" s="96">
        <f ca="1">INDEX(BudgetTrack[Funding Source],MATCH(BudgetDetails[[#This Row],[PA ID]],BudgetTrack[PA ID],0))</f>
        <v>0</v>
      </c>
      <c r="H45" s="46">
        <f ca="1">IFERROR(INDEX(BudgetTrack[Baseline Budget],MATCH(BudgetDetails[[#This Row],[PA ID]],BudgetTrack[PA ID],0)),0)</f>
        <v>0</v>
      </c>
      <c r="I45" s="52">
        <f ca="1">BudgetDetails[[#This Row],[Current Budget]]-BudgetDetails[[#This Row],[Base Budget]]</f>
        <v>0</v>
      </c>
      <c r="J45" s="755">
        <f ca="1">IFERROR(INDEX(BudgetTrack[Current Budget],MATCH(BudgetDetails[[#This Row],[PA ID]],BudgetTrack[PA ID],0)),0)</f>
        <v>0</v>
      </c>
      <c r="L45" s="292">
        <f ca="1">SUMIF(EAC[PA ID],BudgetDetails[[#This Row],[PA ID]],EAC[Estimate At Completion])</f>
        <v>0</v>
      </c>
      <c r="M45" s="292">
        <f ca="1">BudgetDetails[[#This Row],[Current Budget]]-BudgetDetails[[#This Row],[Estimate at Completion]]</f>
        <v>0</v>
      </c>
      <c r="O45" s="53">
        <f ca="1">SUMIF(EAC[PA ID],BudgetDetails[[#This Row],[PA ID]],EAC[Current Commitment])</f>
        <v>0</v>
      </c>
      <c r="P45" s="53">
        <f ca="1">BudgetDetails[[#This Row],[Current Budget]]-BudgetDetails[[#This Row],[Commitments to Date]]</f>
        <v>0</v>
      </c>
      <c r="R45" s="53">
        <f ca="1">SUMIFS(CostTrack[Value],CostTrack[PA ID],BudgetDetails[[#This Row],[PA ID]],CostTrack[Flag],"",CostTrack[Holdback (Y/N/R)],"&lt;&gt;Release",CostTrack[Status],"Approved")</f>
        <v>0</v>
      </c>
      <c r="S45" s="466">
        <f ca="1">BudgetDetails[[#This Row],[Current Budget]]-BudgetDetails[[#This Row],[Expenditures to Date]]</f>
        <v>0</v>
      </c>
    </row>
    <row r="46" spans="1:19" ht="15" hidden="1" customHeight="1">
      <c r="A46" s="71">
        <f t="shared" si="0"/>
        <v>42</v>
      </c>
      <c r="B46" s="96" t="str">
        <f ca="1">INDEX(BudgetTrack[PA ID],MATCH(BudgetDetails[[#This Row],[Row]],BudgetTrack[Row],0))</f>
        <v/>
      </c>
      <c r="C46" s="119">
        <f ca="1">INDEX(BudgetTrack[Primary Category],MATCH(BudgetDetails[[#This Row],[PA ID]],BudgetTrack[PA ID],0))</f>
        <v>0</v>
      </c>
      <c r="D46" s="119">
        <f ca="1">INDEX(BudgetTrack[Secondary Category],MATCH(BudgetDetails[[#This Row],[PA ID]],BudgetTrack[PA ID],0))</f>
        <v>0</v>
      </c>
      <c r="E46" s="96">
        <f ca="1">INDEX(BudgetTrack[Phase / Subproject],MATCH(BudgetDetails[[#This Row],[PA ID]],BudgetTrack[PA ID],0))</f>
        <v>0</v>
      </c>
      <c r="F46" s="96">
        <f ca="1">INDEX(BudgetTrack[Phase / Subproject 2],MATCH(BudgetDetails[[#This Row],[PA ID]],BudgetTrack[PA ID],0))</f>
        <v>0</v>
      </c>
      <c r="G46" s="96">
        <f ca="1">INDEX(BudgetTrack[Funding Source],MATCH(BudgetDetails[[#This Row],[PA ID]],BudgetTrack[PA ID],0))</f>
        <v>0</v>
      </c>
      <c r="H46" s="46">
        <f ca="1">IFERROR(INDEX(BudgetTrack[Baseline Budget],MATCH(BudgetDetails[[#This Row],[PA ID]],BudgetTrack[PA ID],0)),0)</f>
        <v>0</v>
      </c>
      <c r="I46" s="52">
        <f ca="1">BudgetDetails[[#This Row],[Current Budget]]-BudgetDetails[[#This Row],[Base Budget]]</f>
        <v>0</v>
      </c>
      <c r="J46" s="755">
        <f ca="1">IFERROR(INDEX(BudgetTrack[Current Budget],MATCH(BudgetDetails[[#This Row],[PA ID]],BudgetTrack[PA ID],0)),0)</f>
        <v>0</v>
      </c>
      <c r="L46" s="292">
        <f ca="1">SUMIF(EAC[PA ID],BudgetDetails[[#This Row],[PA ID]],EAC[Estimate At Completion])</f>
        <v>0</v>
      </c>
      <c r="M46" s="292">
        <f ca="1">BudgetDetails[[#This Row],[Current Budget]]-BudgetDetails[[#This Row],[Estimate at Completion]]</f>
        <v>0</v>
      </c>
      <c r="O46" s="53">
        <f ca="1">SUMIF(EAC[PA ID],BudgetDetails[[#This Row],[PA ID]],EAC[Current Commitment])</f>
        <v>0</v>
      </c>
      <c r="P46" s="53">
        <f ca="1">BudgetDetails[[#This Row],[Current Budget]]-BudgetDetails[[#This Row],[Commitments to Date]]</f>
        <v>0</v>
      </c>
      <c r="R46" s="53">
        <f ca="1">SUMIFS(CostTrack[Value],CostTrack[PA ID],BudgetDetails[[#This Row],[PA ID]],CostTrack[Flag],"",CostTrack[Holdback (Y/N/R)],"&lt;&gt;Release",CostTrack[Status],"Approved")</f>
        <v>0</v>
      </c>
      <c r="S46" s="466">
        <f ca="1">BudgetDetails[[#This Row],[Current Budget]]-BudgetDetails[[#This Row],[Expenditures to Date]]</f>
        <v>0</v>
      </c>
    </row>
    <row r="47" spans="1:19" ht="15" hidden="1" customHeight="1">
      <c r="A47" s="71">
        <f t="shared" si="0"/>
        <v>43</v>
      </c>
      <c r="B47" s="96" t="str">
        <f ca="1">INDEX(BudgetTrack[PA ID],MATCH(BudgetDetails[[#This Row],[Row]],BudgetTrack[Row],0))</f>
        <v/>
      </c>
      <c r="C47" s="119">
        <f ca="1">INDEX(BudgetTrack[Primary Category],MATCH(BudgetDetails[[#This Row],[PA ID]],BudgetTrack[PA ID],0))</f>
        <v>0</v>
      </c>
      <c r="D47" s="119">
        <f ca="1">INDEX(BudgetTrack[Secondary Category],MATCH(BudgetDetails[[#This Row],[PA ID]],BudgetTrack[PA ID],0))</f>
        <v>0</v>
      </c>
      <c r="E47" s="96">
        <f ca="1">INDEX(BudgetTrack[Phase / Subproject],MATCH(BudgetDetails[[#This Row],[PA ID]],BudgetTrack[PA ID],0))</f>
        <v>0</v>
      </c>
      <c r="F47" s="96">
        <f ca="1">INDEX(BudgetTrack[Phase / Subproject 2],MATCH(BudgetDetails[[#This Row],[PA ID]],BudgetTrack[PA ID],0))</f>
        <v>0</v>
      </c>
      <c r="G47" s="96">
        <f ca="1">INDEX(BudgetTrack[Funding Source],MATCH(BudgetDetails[[#This Row],[PA ID]],BudgetTrack[PA ID],0))</f>
        <v>0</v>
      </c>
      <c r="H47" s="46">
        <f ca="1">IFERROR(INDEX(BudgetTrack[Baseline Budget],MATCH(BudgetDetails[[#This Row],[PA ID]],BudgetTrack[PA ID],0)),0)</f>
        <v>0</v>
      </c>
      <c r="I47" s="52">
        <f ca="1">BudgetDetails[[#This Row],[Current Budget]]-BudgetDetails[[#This Row],[Base Budget]]</f>
        <v>0</v>
      </c>
      <c r="J47" s="755">
        <f ca="1">IFERROR(INDEX(BudgetTrack[Current Budget],MATCH(BudgetDetails[[#This Row],[PA ID]],BudgetTrack[PA ID],0)),0)</f>
        <v>0</v>
      </c>
      <c r="L47" s="292">
        <f ca="1">SUMIF(EAC[PA ID],BudgetDetails[[#This Row],[PA ID]],EAC[Estimate At Completion])</f>
        <v>0</v>
      </c>
      <c r="M47" s="292">
        <f ca="1">BudgetDetails[[#This Row],[Current Budget]]-BudgetDetails[[#This Row],[Estimate at Completion]]</f>
        <v>0</v>
      </c>
      <c r="O47" s="53">
        <f ca="1">SUMIF(EAC[PA ID],BudgetDetails[[#This Row],[PA ID]],EAC[Current Commitment])</f>
        <v>0</v>
      </c>
      <c r="P47" s="53">
        <f ca="1">BudgetDetails[[#This Row],[Current Budget]]-BudgetDetails[[#This Row],[Commitments to Date]]</f>
        <v>0</v>
      </c>
      <c r="R47" s="53">
        <f ca="1">SUMIFS(CostTrack[Value],CostTrack[PA ID],BudgetDetails[[#This Row],[PA ID]],CostTrack[Flag],"",CostTrack[Holdback (Y/N/R)],"&lt;&gt;Release",CostTrack[Status],"Approved")</f>
        <v>0</v>
      </c>
      <c r="S47" s="466">
        <f ca="1">BudgetDetails[[#This Row],[Current Budget]]-BudgetDetails[[#This Row],[Expenditures to Date]]</f>
        <v>0</v>
      </c>
    </row>
    <row r="48" spans="1:19" ht="15" hidden="1" customHeight="1">
      <c r="A48" s="71">
        <f t="shared" si="0"/>
        <v>44</v>
      </c>
      <c r="B48" s="96" t="str">
        <f ca="1">INDEX(BudgetTrack[PA ID],MATCH(BudgetDetails[[#This Row],[Row]],BudgetTrack[Row],0))</f>
        <v/>
      </c>
      <c r="C48" s="119">
        <f ca="1">INDEX(BudgetTrack[Primary Category],MATCH(BudgetDetails[[#This Row],[PA ID]],BudgetTrack[PA ID],0))</f>
        <v>0</v>
      </c>
      <c r="D48" s="119">
        <f ca="1">INDEX(BudgetTrack[Secondary Category],MATCH(BudgetDetails[[#This Row],[PA ID]],BudgetTrack[PA ID],0))</f>
        <v>0</v>
      </c>
      <c r="E48" s="96">
        <f ca="1">INDEX(BudgetTrack[Phase / Subproject],MATCH(BudgetDetails[[#This Row],[PA ID]],BudgetTrack[PA ID],0))</f>
        <v>0</v>
      </c>
      <c r="F48" s="96">
        <f ca="1">INDEX(BudgetTrack[Phase / Subproject 2],MATCH(BudgetDetails[[#This Row],[PA ID]],BudgetTrack[PA ID],0))</f>
        <v>0</v>
      </c>
      <c r="G48" s="96">
        <f ca="1">INDEX(BudgetTrack[Funding Source],MATCH(BudgetDetails[[#This Row],[PA ID]],BudgetTrack[PA ID],0))</f>
        <v>0</v>
      </c>
      <c r="H48" s="46">
        <f ca="1">IFERROR(INDEX(BudgetTrack[Baseline Budget],MATCH(BudgetDetails[[#This Row],[PA ID]],BudgetTrack[PA ID],0)),0)</f>
        <v>0</v>
      </c>
      <c r="I48" s="52">
        <f ca="1">BudgetDetails[[#This Row],[Current Budget]]-BudgetDetails[[#This Row],[Base Budget]]</f>
        <v>0</v>
      </c>
      <c r="J48" s="755">
        <f ca="1">IFERROR(INDEX(BudgetTrack[Current Budget],MATCH(BudgetDetails[[#This Row],[PA ID]],BudgetTrack[PA ID],0)),0)</f>
        <v>0</v>
      </c>
      <c r="L48" s="292">
        <f ca="1">SUMIF(EAC[PA ID],BudgetDetails[[#This Row],[PA ID]],EAC[Estimate At Completion])</f>
        <v>0</v>
      </c>
      <c r="M48" s="292">
        <f ca="1">BudgetDetails[[#This Row],[Current Budget]]-BudgetDetails[[#This Row],[Estimate at Completion]]</f>
        <v>0</v>
      </c>
      <c r="O48" s="53">
        <f ca="1">SUMIF(EAC[PA ID],BudgetDetails[[#This Row],[PA ID]],EAC[Current Commitment])</f>
        <v>0</v>
      </c>
      <c r="P48" s="53">
        <f ca="1">BudgetDetails[[#This Row],[Current Budget]]-BudgetDetails[[#This Row],[Commitments to Date]]</f>
        <v>0</v>
      </c>
      <c r="R48" s="53">
        <f ca="1">SUMIFS(CostTrack[Value],CostTrack[PA ID],BudgetDetails[[#This Row],[PA ID]],CostTrack[Flag],"",CostTrack[Holdback (Y/N/R)],"&lt;&gt;Release",CostTrack[Status],"Approved")</f>
        <v>0</v>
      </c>
      <c r="S48" s="466">
        <f ca="1">BudgetDetails[[#This Row],[Current Budget]]-BudgetDetails[[#This Row],[Expenditures to Date]]</f>
        <v>0</v>
      </c>
    </row>
    <row r="49" spans="1:19" ht="15" hidden="1" customHeight="1">
      <c r="A49" s="71">
        <f t="shared" si="0"/>
        <v>45</v>
      </c>
      <c r="B49" s="96" t="str">
        <f ca="1">INDEX(BudgetTrack[PA ID],MATCH(BudgetDetails[[#This Row],[Row]],BudgetTrack[Row],0))</f>
        <v/>
      </c>
      <c r="C49" s="119">
        <f ca="1">INDEX(BudgetTrack[Primary Category],MATCH(BudgetDetails[[#This Row],[PA ID]],BudgetTrack[PA ID],0))</f>
        <v>0</v>
      </c>
      <c r="D49" s="119">
        <f ca="1">INDEX(BudgetTrack[Secondary Category],MATCH(BudgetDetails[[#This Row],[PA ID]],BudgetTrack[PA ID],0))</f>
        <v>0</v>
      </c>
      <c r="E49" s="96">
        <f ca="1">INDEX(BudgetTrack[Phase / Subproject],MATCH(BudgetDetails[[#This Row],[PA ID]],BudgetTrack[PA ID],0))</f>
        <v>0</v>
      </c>
      <c r="F49" s="96">
        <f ca="1">INDEX(BudgetTrack[Phase / Subproject 2],MATCH(BudgetDetails[[#This Row],[PA ID]],BudgetTrack[PA ID],0))</f>
        <v>0</v>
      </c>
      <c r="G49" s="96">
        <f ca="1">INDEX(BudgetTrack[Funding Source],MATCH(BudgetDetails[[#This Row],[PA ID]],BudgetTrack[PA ID],0))</f>
        <v>0</v>
      </c>
      <c r="H49" s="46">
        <f ca="1">IFERROR(INDEX(BudgetTrack[Baseline Budget],MATCH(BudgetDetails[[#This Row],[PA ID]],BudgetTrack[PA ID],0)),0)</f>
        <v>0</v>
      </c>
      <c r="I49" s="52">
        <f ca="1">BudgetDetails[[#This Row],[Current Budget]]-BudgetDetails[[#This Row],[Base Budget]]</f>
        <v>0</v>
      </c>
      <c r="J49" s="755">
        <f ca="1">IFERROR(INDEX(BudgetTrack[Current Budget],MATCH(BudgetDetails[[#This Row],[PA ID]],BudgetTrack[PA ID],0)),0)</f>
        <v>0</v>
      </c>
      <c r="L49" s="292">
        <f ca="1">SUMIF(EAC[PA ID],BudgetDetails[[#This Row],[PA ID]],EAC[Estimate At Completion])</f>
        <v>0</v>
      </c>
      <c r="M49" s="292">
        <f ca="1">BudgetDetails[[#This Row],[Current Budget]]-BudgetDetails[[#This Row],[Estimate at Completion]]</f>
        <v>0</v>
      </c>
      <c r="O49" s="53">
        <f ca="1">SUMIF(EAC[PA ID],BudgetDetails[[#This Row],[PA ID]],EAC[Current Commitment])</f>
        <v>0</v>
      </c>
      <c r="P49" s="53">
        <f ca="1">BudgetDetails[[#This Row],[Current Budget]]-BudgetDetails[[#This Row],[Commitments to Date]]</f>
        <v>0</v>
      </c>
      <c r="R49" s="53">
        <f ca="1">SUMIFS(CostTrack[Value],CostTrack[PA ID],BudgetDetails[[#This Row],[PA ID]],CostTrack[Flag],"",CostTrack[Holdback (Y/N/R)],"&lt;&gt;Release",CostTrack[Status],"Approved")</f>
        <v>0</v>
      </c>
      <c r="S49" s="466">
        <f ca="1">BudgetDetails[[#This Row],[Current Budget]]-BudgetDetails[[#This Row],[Expenditures to Date]]</f>
        <v>0</v>
      </c>
    </row>
    <row r="50" spans="1:19" ht="15" hidden="1" customHeight="1">
      <c r="A50" s="71">
        <f t="shared" si="0"/>
        <v>46</v>
      </c>
      <c r="B50" s="96" t="str">
        <f ca="1">INDEX(BudgetTrack[PA ID],MATCH(BudgetDetails[[#This Row],[Row]],BudgetTrack[Row],0))</f>
        <v/>
      </c>
      <c r="C50" s="119">
        <f ca="1">INDEX(BudgetTrack[Primary Category],MATCH(BudgetDetails[[#This Row],[PA ID]],BudgetTrack[PA ID],0))</f>
        <v>0</v>
      </c>
      <c r="D50" s="119">
        <f ca="1">INDEX(BudgetTrack[Secondary Category],MATCH(BudgetDetails[[#This Row],[PA ID]],BudgetTrack[PA ID],0))</f>
        <v>0</v>
      </c>
      <c r="E50" s="96">
        <f ca="1">INDEX(BudgetTrack[Phase / Subproject],MATCH(BudgetDetails[[#This Row],[PA ID]],BudgetTrack[PA ID],0))</f>
        <v>0</v>
      </c>
      <c r="F50" s="96">
        <f ca="1">INDEX(BudgetTrack[Phase / Subproject 2],MATCH(BudgetDetails[[#This Row],[PA ID]],BudgetTrack[PA ID],0))</f>
        <v>0</v>
      </c>
      <c r="G50" s="96">
        <f ca="1">INDEX(BudgetTrack[Funding Source],MATCH(BudgetDetails[[#This Row],[PA ID]],BudgetTrack[PA ID],0))</f>
        <v>0</v>
      </c>
      <c r="H50" s="46">
        <f ca="1">IFERROR(INDEX(BudgetTrack[Baseline Budget],MATCH(BudgetDetails[[#This Row],[PA ID]],BudgetTrack[PA ID],0)),0)</f>
        <v>0</v>
      </c>
      <c r="I50" s="52">
        <f ca="1">BudgetDetails[[#This Row],[Current Budget]]-BudgetDetails[[#This Row],[Base Budget]]</f>
        <v>0</v>
      </c>
      <c r="J50" s="755">
        <f ca="1">IFERROR(INDEX(BudgetTrack[Current Budget],MATCH(BudgetDetails[[#This Row],[PA ID]],BudgetTrack[PA ID],0)),0)</f>
        <v>0</v>
      </c>
      <c r="L50" s="292">
        <f ca="1">SUMIF(EAC[PA ID],BudgetDetails[[#This Row],[PA ID]],EAC[Estimate At Completion])</f>
        <v>0</v>
      </c>
      <c r="M50" s="292">
        <f ca="1">BudgetDetails[[#This Row],[Current Budget]]-BudgetDetails[[#This Row],[Estimate at Completion]]</f>
        <v>0</v>
      </c>
      <c r="O50" s="53">
        <f ca="1">SUMIF(EAC[PA ID],BudgetDetails[[#This Row],[PA ID]],EAC[Current Commitment])</f>
        <v>0</v>
      </c>
      <c r="P50" s="53">
        <f ca="1">BudgetDetails[[#This Row],[Current Budget]]-BudgetDetails[[#This Row],[Commitments to Date]]</f>
        <v>0</v>
      </c>
      <c r="R50" s="53">
        <f ca="1">SUMIFS(CostTrack[Value],CostTrack[PA ID],BudgetDetails[[#This Row],[PA ID]],CostTrack[Flag],"",CostTrack[Holdback (Y/N/R)],"&lt;&gt;Release",CostTrack[Status],"Approved")</f>
        <v>0</v>
      </c>
      <c r="S50" s="466">
        <f ca="1">BudgetDetails[[#This Row],[Current Budget]]-BudgetDetails[[#This Row],[Expenditures to Date]]</f>
        <v>0</v>
      </c>
    </row>
    <row r="51" spans="1:19" ht="15" hidden="1" customHeight="1">
      <c r="A51" s="71">
        <f t="shared" si="0"/>
        <v>47</v>
      </c>
      <c r="B51" s="96" t="str">
        <f ca="1">INDEX(BudgetTrack[PA ID],MATCH(BudgetDetails[[#This Row],[Row]],BudgetTrack[Row],0))</f>
        <v/>
      </c>
      <c r="C51" s="119">
        <f ca="1">INDEX(BudgetTrack[Primary Category],MATCH(BudgetDetails[[#This Row],[PA ID]],BudgetTrack[PA ID],0))</f>
        <v>0</v>
      </c>
      <c r="D51" s="119">
        <f ca="1">INDEX(BudgetTrack[Secondary Category],MATCH(BudgetDetails[[#This Row],[PA ID]],BudgetTrack[PA ID],0))</f>
        <v>0</v>
      </c>
      <c r="E51" s="96">
        <f ca="1">INDEX(BudgetTrack[Phase / Subproject],MATCH(BudgetDetails[[#This Row],[PA ID]],BudgetTrack[PA ID],0))</f>
        <v>0</v>
      </c>
      <c r="F51" s="96">
        <f ca="1">INDEX(BudgetTrack[Phase / Subproject 2],MATCH(BudgetDetails[[#This Row],[PA ID]],BudgetTrack[PA ID],0))</f>
        <v>0</v>
      </c>
      <c r="G51" s="96">
        <f ca="1">INDEX(BudgetTrack[Funding Source],MATCH(BudgetDetails[[#This Row],[PA ID]],BudgetTrack[PA ID],0))</f>
        <v>0</v>
      </c>
      <c r="H51" s="46">
        <f ca="1">IFERROR(INDEX(BudgetTrack[Baseline Budget],MATCH(BudgetDetails[[#This Row],[PA ID]],BudgetTrack[PA ID],0)),0)</f>
        <v>0</v>
      </c>
      <c r="I51" s="52">
        <f ca="1">BudgetDetails[[#This Row],[Current Budget]]-BudgetDetails[[#This Row],[Base Budget]]</f>
        <v>0</v>
      </c>
      <c r="J51" s="755">
        <f ca="1">IFERROR(INDEX(BudgetTrack[Current Budget],MATCH(BudgetDetails[[#This Row],[PA ID]],BudgetTrack[PA ID],0)),0)</f>
        <v>0</v>
      </c>
      <c r="L51" s="292">
        <f ca="1">SUMIF(EAC[PA ID],BudgetDetails[[#This Row],[PA ID]],EAC[Estimate At Completion])</f>
        <v>0</v>
      </c>
      <c r="M51" s="292">
        <f ca="1">BudgetDetails[[#This Row],[Current Budget]]-BudgetDetails[[#This Row],[Estimate at Completion]]</f>
        <v>0</v>
      </c>
      <c r="O51" s="53">
        <f ca="1">SUMIF(EAC[PA ID],BudgetDetails[[#This Row],[PA ID]],EAC[Current Commitment])</f>
        <v>0</v>
      </c>
      <c r="P51" s="53">
        <f ca="1">BudgetDetails[[#This Row],[Current Budget]]-BudgetDetails[[#This Row],[Commitments to Date]]</f>
        <v>0</v>
      </c>
      <c r="R51" s="53">
        <f ca="1">SUMIFS(CostTrack[Value],CostTrack[PA ID],BudgetDetails[[#This Row],[PA ID]],CostTrack[Flag],"",CostTrack[Holdback (Y/N/R)],"&lt;&gt;Release",CostTrack[Status],"Approved")</f>
        <v>0</v>
      </c>
      <c r="S51" s="466">
        <f ca="1">BudgetDetails[[#This Row],[Current Budget]]-BudgetDetails[[#This Row],[Expenditures to Date]]</f>
        <v>0</v>
      </c>
    </row>
    <row r="52" spans="1:19" ht="15" hidden="1" customHeight="1">
      <c r="A52" s="71">
        <f t="shared" si="0"/>
        <v>48</v>
      </c>
      <c r="B52" s="96" t="str">
        <f ca="1">INDEX(BudgetTrack[PA ID],MATCH(BudgetDetails[[#This Row],[Row]],BudgetTrack[Row],0))</f>
        <v/>
      </c>
      <c r="C52" s="119">
        <f ca="1">INDEX(BudgetTrack[Primary Category],MATCH(BudgetDetails[[#This Row],[PA ID]],BudgetTrack[PA ID],0))</f>
        <v>0</v>
      </c>
      <c r="D52" s="119">
        <f ca="1">INDEX(BudgetTrack[Secondary Category],MATCH(BudgetDetails[[#This Row],[PA ID]],BudgetTrack[PA ID],0))</f>
        <v>0</v>
      </c>
      <c r="E52" s="96">
        <f ca="1">INDEX(BudgetTrack[Phase / Subproject],MATCH(BudgetDetails[[#This Row],[PA ID]],BudgetTrack[PA ID],0))</f>
        <v>0</v>
      </c>
      <c r="F52" s="96">
        <f ca="1">INDEX(BudgetTrack[Phase / Subproject 2],MATCH(BudgetDetails[[#This Row],[PA ID]],BudgetTrack[PA ID],0))</f>
        <v>0</v>
      </c>
      <c r="G52" s="96">
        <f ca="1">INDEX(BudgetTrack[Funding Source],MATCH(BudgetDetails[[#This Row],[PA ID]],BudgetTrack[PA ID],0))</f>
        <v>0</v>
      </c>
      <c r="H52" s="46">
        <f ca="1">IFERROR(INDEX(BudgetTrack[Baseline Budget],MATCH(BudgetDetails[[#This Row],[PA ID]],BudgetTrack[PA ID],0)),0)</f>
        <v>0</v>
      </c>
      <c r="I52" s="52">
        <f ca="1">BudgetDetails[[#This Row],[Current Budget]]-BudgetDetails[[#This Row],[Base Budget]]</f>
        <v>0</v>
      </c>
      <c r="J52" s="755">
        <f ca="1">IFERROR(INDEX(BudgetTrack[Current Budget],MATCH(BudgetDetails[[#This Row],[PA ID]],BudgetTrack[PA ID],0)),0)</f>
        <v>0</v>
      </c>
      <c r="L52" s="292">
        <f ca="1">SUMIF(EAC[PA ID],BudgetDetails[[#This Row],[PA ID]],EAC[Estimate At Completion])</f>
        <v>0</v>
      </c>
      <c r="M52" s="292">
        <f ca="1">BudgetDetails[[#This Row],[Current Budget]]-BudgetDetails[[#This Row],[Estimate at Completion]]</f>
        <v>0</v>
      </c>
      <c r="O52" s="53">
        <f ca="1">SUMIF(EAC[PA ID],BudgetDetails[[#This Row],[PA ID]],EAC[Current Commitment])</f>
        <v>0</v>
      </c>
      <c r="P52" s="53">
        <f ca="1">BudgetDetails[[#This Row],[Current Budget]]-BudgetDetails[[#This Row],[Commitments to Date]]</f>
        <v>0</v>
      </c>
      <c r="R52" s="53">
        <f ca="1">SUMIFS(CostTrack[Value],CostTrack[PA ID],BudgetDetails[[#This Row],[PA ID]],CostTrack[Flag],"",CostTrack[Holdback (Y/N/R)],"&lt;&gt;Release",CostTrack[Status],"Approved")</f>
        <v>0</v>
      </c>
      <c r="S52" s="466">
        <f ca="1">BudgetDetails[[#This Row],[Current Budget]]-BudgetDetails[[#This Row],[Expenditures to Date]]</f>
        <v>0</v>
      </c>
    </row>
    <row r="53" spans="1:19" ht="15" hidden="1" customHeight="1">
      <c r="A53" s="71">
        <f t="shared" si="0"/>
        <v>49</v>
      </c>
      <c r="B53" s="96" t="str">
        <f ca="1">INDEX(BudgetTrack[PA ID],MATCH(BudgetDetails[[#This Row],[Row]],BudgetTrack[Row],0))</f>
        <v/>
      </c>
      <c r="C53" s="119">
        <f ca="1">INDEX(BudgetTrack[Primary Category],MATCH(BudgetDetails[[#This Row],[PA ID]],BudgetTrack[PA ID],0))</f>
        <v>0</v>
      </c>
      <c r="D53" s="119">
        <f ca="1">INDEX(BudgetTrack[Secondary Category],MATCH(BudgetDetails[[#This Row],[PA ID]],BudgetTrack[PA ID],0))</f>
        <v>0</v>
      </c>
      <c r="E53" s="96">
        <f ca="1">INDEX(BudgetTrack[Phase / Subproject],MATCH(BudgetDetails[[#This Row],[PA ID]],BudgetTrack[PA ID],0))</f>
        <v>0</v>
      </c>
      <c r="F53" s="96">
        <f ca="1">INDEX(BudgetTrack[Phase / Subproject 2],MATCH(BudgetDetails[[#This Row],[PA ID]],BudgetTrack[PA ID],0))</f>
        <v>0</v>
      </c>
      <c r="G53" s="96">
        <f ca="1">INDEX(BudgetTrack[Funding Source],MATCH(BudgetDetails[[#This Row],[PA ID]],BudgetTrack[PA ID],0))</f>
        <v>0</v>
      </c>
      <c r="H53" s="46">
        <f ca="1">IFERROR(INDEX(BudgetTrack[Baseline Budget],MATCH(BudgetDetails[[#This Row],[PA ID]],BudgetTrack[PA ID],0)),0)</f>
        <v>0</v>
      </c>
      <c r="I53" s="52">
        <f ca="1">BudgetDetails[[#This Row],[Current Budget]]-BudgetDetails[[#This Row],[Base Budget]]</f>
        <v>0</v>
      </c>
      <c r="J53" s="755">
        <f ca="1">IFERROR(INDEX(BudgetTrack[Current Budget],MATCH(BudgetDetails[[#This Row],[PA ID]],BudgetTrack[PA ID],0)),0)</f>
        <v>0</v>
      </c>
      <c r="L53" s="292">
        <f ca="1">SUMIF(EAC[PA ID],BudgetDetails[[#This Row],[PA ID]],EAC[Estimate At Completion])</f>
        <v>0</v>
      </c>
      <c r="M53" s="292">
        <f ca="1">BudgetDetails[[#This Row],[Current Budget]]-BudgetDetails[[#This Row],[Estimate at Completion]]</f>
        <v>0</v>
      </c>
      <c r="O53" s="53">
        <f ca="1">SUMIF(EAC[PA ID],BudgetDetails[[#This Row],[PA ID]],EAC[Current Commitment])</f>
        <v>0</v>
      </c>
      <c r="P53" s="53">
        <f ca="1">BudgetDetails[[#This Row],[Current Budget]]-BudgetDetails[[#This Row],[Commitments to Date]]</f>
        <v>0</v>
      </c>
      <c r="R53" s="53">
        <f ca="1">SUMIFS(CostTrack[Value],CostTrack[PA ID],BudgetDetails[[#This Row],[PA ID]],CostTrack[Flag],"",CostTrack[Holdback (Y/N/R)],"&lt;&gt;Release",CostTrack[Status],"Approved")</f>
        <v>0</v>
      </c>
      <c r="S53" s="466">
        <f ca="1">BudgetDetails[[#This Row],[Current Budget]]-BudgetDetails[[#This Row],[Expenditures to Date]]</f>
        <v>0</v>
      </c>
    </row>
    <row r="54" spans="1:19" ht="15" hidden="1" customHeight="1">
      <c r="A54" s="71">
        <f t="shared" si="0"/>
        <v>50</v>
      </c>
      <c r="B54" s="96" t="str">
        <f ca="1">INDEX(BudgetTrack[PA ID],MATCH(BudgetDetails[[#This Row],[Row]],BudgetTrack[Row],0))</f>
        <v/>
      </c>
      <c r="C54" s="119">
        <f ca="1">INDEX(BudgetTrack[Primary Category],MATCH(BudgetDetails[[#This Row],[PA ID]],BudgetTrack[PA ID],0))</f>
        <v>0</v>
      </c>
      <c r="D54" s="119">
        <f ca="1">INDEX(BudgetTrack[Secondary Category],MATCH(BudgetDetails[[#This Row],[PA ID]],BudgetTrack[PA ID],0))</f>
        <v>0</v>
      </c>
      <c r="E54" s="96">
        <f ca="1">INDEX(BudgetTrack[Phase / Subproject],MATCH(BudgetDetails[[#This Row],[PA ID]],BudgetTrack[PA ID],0))</f>
        <v>0</v>
      </c>
      <c r="F54" s="96">
        <f ca="1">INDEX(BudgetTrack[Phase / Subproject 2],MATCH(BudgetDetails[[#This Row],[PA ID]],BudgetTrack[PA ID],0))</f>
        <v>0</v>
      </c>
      <c r="G54" s="96">
        <f ca="1">INDEX(BudgetTrack[Funding Source],MATCH(BudgetDetails[[#This Row],[PA ID]],BudgetTrack[PA ID],0))</f>
        <v>0</v>
      </c>
      <c r="H54" s="46">
        <f ca="1">IFERROR(INDEX(BudgetTrack[Baseline Budget],MATCH(BudgetDetails[[#This Row],[PA ID]],BudgetTrack[PA ID],0)),0)</f>
        <v>0</v>
      </c>
      <c r="I54" s="52">
        <f ca="1">BudgetDetails[[#This Row],[Current Budget]]-BudgetDetails[[#This Row],[Base Budget]]</f>
        <v>0</v>
      </c>
      <c r="J54" s="755">
        <f ca="1">IFERROR(INDEX(BudgetTrack[Current Budget],MATCH(BudgetDetails[[#This Row],[PA ID]],BudgetTrack[PA ID],0)),0)</f>
        <v>0</v>
      </c>
      <c r="L54" s="292">
        <f ca="1">SUMIF(EAC[PA ID],BudgetDetails[[#This Row],[PA ID]],EAC[Estimate At Completion])</f>
        <v>0</v>
      </c>
      <c r="M54" s="292">
        <f ca="1">BudgetDetails[[#This Row],[Current Budget]]-BudgetDetails[[#This Row],[Estimate at Completion]]</f>
        <v>0</v>
      </c>
      <c r="O54" s="53">
        <f ca="1">SUMIF(EAC[PA ID],BudgetDetails[[#This Row],[PA ID]],EAC[Current Commitment])</f>
        <v>0</v>
      </c>
      <c r="P54" s="53">
        <f ca="1">BudgetDetails[[#This Row],[Current Budget]]-BudgetDetails[[#This Row],[Commitments to Date]]</f>
        <v>0</v>
      </c>
      <c r="R54" s="53">
        <f ca="1">SUMIFS(CostTrack[Value],CostTrack[PA ID],BudgetDetails[[#This Row],[PA ID]],CostTrack[Flag],"",CostTrack[Holdback (Y/N/R)],"&lt;&gt;Release",CostTrack[Status],"Approved")</f>
        <v>0</v>
      </c>
      <c r="S54" s="466">
        <f ca="1">BudgetDetails[[#This Row],[Current Budget]]-BudgetDetails[[#This Row],[Expenditures to Date]]</f>
        <v>0</v>
      </c>
    </row>
    <row r="55" spans="1:19" ht="15" hidden="1" customHeight="1">
      <c r="A55" s="71">
        <f t="shared" si="0"/>
        <v>51</v>
      </c>
      <c r="B55" s="96" t="str">
        <f ca="1">INDEX(BudgetTrack[PA ID],MATCH(BudgetDetails[[#This Row],[Row]],BudgetTrack[Row],0))</f>
        <v/>
      </c>
      <c r="C55" s="119">
        <f ca="1">INDEX(BudgetTrack[Primary Category],MATCH(BudgetDetails[[#This Row],[PA ID]],BudgetTrack[PA ID],0))</f>
        <v>0</v>
      </c>
      <c r="D55" s="119">
        <f ca="1">INDEX(BudgetTrack[Secondary Category],MATCH(BudgetDetails[[#This Row],[PA ID]],BudgetTrack[PA ID],0))</f>
        <v>0</v>
      </c>
      <c r="E55" s="96">
        <f ca="1">INDEX(BudgetTrack[Phase / Subproject],MATCH(BudgetDetails[[#This Row],[PA ID]],BudgetTrack[PA ID],0))</f>
        <v>0</v>
      </c>
      <c r="F55" s="96">
        <f ca="1">INDEX(BudgetTrack[Phase / Subproject 2],MATCH(BudgetDetails[[#This Row],[PA ID]],BudgetTrack[PA ID],0))</f>
        <v>0</v>
      </c>
      <c r="G55" s="96">
        <f ca="1">INDEX(BudgetTrack[Funding Source],MATCH(BudgetDetails[[#This Row],[PA ID]],BudgetTrack[PA ID],0))</f>
        <v>0</v>
      </c>
      <c r="H55" s="46">
        <f ca="1">IFERROR(INDEX(BudgetTrack[Baseline Budget],MATCH(BudgetDetails[[#This Row],[PA ID]],BudgetTrack[PA ID],0)),0)</f>
        <v>0</v>
      </c>
      <c r="I55" s="52">
        <f ca="1">BudgetDetails[[#This Row],[Current Budget]]-BudgetDetails[[#This Row],[Base Budget]]</f>
        <v>0</v>
      </c>
      <c r="J55" s="755">
        <f ca="1">IFERROR(INDEX(BudgetTrack[Current Budget],MATCH(BudgetDetails[[#This Row],[PA ID]],BudgetTrack[PA ID],0)),0)</f>
        <v>0</v>
      </c>
      <c r="L55" s="292">
        <f ca="1">SUMIF(EAC[PA ID],BudgetDetails[[#This Row],[PA ID]],EAC[Estimate At Completion])</f>
        <v>0</v>
      </c>
      <c r="M55" s="292">
        <f ca="1">BudgetDetails[[#This Row],[Current Budget]]-BudgetDetails[[#This Row],[Estimate at Completion]]</f>
        <v>0</v>
      </c>
      <c r="O55" s="53">
        <f ca="1">SUMIF(EAC[PA ID],BudgetDetails[[#This Row],[PA ID]],EAC[Current Commitment])</f>
        <v>0</v>
      </c>
      <c r="P55" s="53">
        <f ca="1">BudgetDetails[[#This Row],[Current Budget]]-BudgetDetails[[#This Row],[Commitments to Date]]</f>
        <v>0</v>
      </c>
      <c r="R55" s="53">
        <f ca="1">SUMIFS(CostTrack[Value],CostTrack[PA ID],BudgetDetails[[#This Row],[PA ID]],CostTrack[Flag],"",CostTrack[Holdback (Y/N/R)],"&lt;&gt;Release",CostTrack[Status],"Approved")</f>
        <v>0</v>
      </c>
      <c r="S55" s="466">
        <f ca="1">BudgetDetails[[#This Row],[Current Budget]]-BudgetDetails[[#This Row],[Expenditures to Date]]</f>
        <v>0</v>
      </c>
    </row>
    <row r="56" spans="1:19" ht="15" hidden="1" customHeight="1">
      <c r="A56" s="71">
        <f t="shared" si="0"/>
        <v>52</v>
      </c>
      <c r="B56" s="96" t="str">
        <f ca="1">INDEX(BudgetTrack[PA ID],MATCH(BudgetDetails[[#This Row],[Row]],BudgetTrack[Row],0))</f>
        <v/>
      </c>
      <c r="C56" s="119">
        <f ca="1">INDEX(BudgetTrack[Primary Category],MATCH(BudgetDetails[[#This Row],[PA ID]],BudgetTrack[PA ID],0))</f>
        <v>0</v>
      </c>
      <c r="D56" s="119">
        <f ca="1">INDEX(BudgetTrack[Secondary Category],MATCH(BudgetDetails[[#This Row],[PA ID]],BudgetTrack[PA ID],0))</f>
        <v>0</v>
      </c>
      <c r="E56" s="96">
        <f ca="1">INDEX(BudgetTrack[Phase / Subproject],MATCH(BudgetDetails[[#This Row],[PA ID]],BudgetTrack[PA ID],0))</f>
        <v>0</v>
      </c>
      <c r="F56" s="96">
        <f ca="1">INDEX(BudgetTrack[Phase / Subproject 2],MATCH(BudgetDetails[[#This Row],[PA ID]],BudgetTrack[PA ID],0))</f>
        <v>0</v>
      </c>
      <c r="G56" s="96">
        <f ca="1">INDEX(BudgetTrack[Funding Source],MATCH(BudgetDetails[[#This Row],[PA ID]],BudgetTrack[PA ID],0))</f>
        <v>0</v>
      </c>
      <c r="H56" s="46">
        <f ca="1">IFERROR(INDEX(BudgetTrack[Baseline Budget],MATCH(BudgetDetails[[#This Row],[PA ID]],BudgetTrack[PA ID],0)),0)</f>
        <v>0</v>
      </c>
      <c r="I56" s="52">
        <f ca="1">BudgetDetails[[#This Row],[Current Budget]]-BudgetDetails[[#This Row],[Base Budget]]</f>
        <v>0</v>
      </c>
      <c r="J56" s="755">
        <f ca="1">IFERROR(INDEX(BudgetTrack[Current Budget],MATCH(BudgetDetails[[#This Row],[PA ID]],BudgetTrack[PA ID],0)),0)</f>
        <v>0</v>
      </c>
      <c r="L56" s="292">
        <f ca="1">SUMIF(EAC[PA ID],BudgetDetails[[#This Row],[PA ID]],EAC[Estimate At Completion])</f>
        <v>0</v>
      </c>
      <c r="M56" s="292">
        <f ca="1">BudgetDetails[[#This Row],[Current Budget]]-BudgetDetails[[#This Row],[Estimate at Completion]]</f>
        <v>0</v>
      </c>
      <c r="O56" s="53">
        <f ca="1">SUMIF(EAC[PA ID],BudgetDetails[[#This Row],[PA ID]],EAC[Current Commitment])</f>
        <v>0</v>
      </c>
      <c r="P56" s="53">
        <f ca="1">BudgetDetails[[#This Row],[Current Budget]]-BudgetDetails[[#This Row],[Commitments to Date]]</f>
        <v>0</v>
      </c>
      <c r="R56" s="53">
        <f ca="1">SUMIFS(CostTrack[Value],CostTrack[PA ID],BudgetDetails[[#This Row],[PA ID]],CostTrack[Flag],"",CostTrack[Holdback (Y/N/R)],"&lt;&gt;Release",CostTrack[Status],"Approved")</f>
        <v>0</v>
      </c>
      <c r="S56" s="466">
        <f ca="1">BudgetDetails[[#This Row],[Current Budget]]-BudgetDetails[[#This Row],[Expenditures to Date]]</f>
        <v>0</v>
      </c>
    </row>
    <row r="57" spans="1:19" ht="15" hidden="1" customHeight="1">
      <c r="A57" s="71">
        <f t="shared" si="0"/>
        <v>53</v>
      </c>
      <c r="B57" s="96" t="str">
        <f ca="1">INDEX(BudgetTrack[PA ID],MATCH(BudgetDetails[[#This Row],[Row]],BudgetTrack[Row],0))</f>
        <v/>
      </c>
      <c r="C57" s="119">
        <f ca="1">INDEX(BudgetTrack[Primary Category],MATCH(BudgetDetails[[#This Row],[PA ID]],BudgetTrack[PA ID],0))</f>
        <v>0</v>
      </c>
      <c r="D57" s="119">
        <f ca="1">INDEX(BudgetTrack[Secondary Category],MATCH(BudgetDetails[[#This Row],[PA ID]],BudgetTrack[PA ID],0))</f>
        <v>0</v>
      </c>
      <c r="E57" s="96">
        <f ca="1">INDEX(BudgetTrack[Phase / Subproject],MATCH(BudgetDetails[[#This Row],[PA ID]],BudgetTrack[PA ID],0))</f>
        <v>0</v>
      </c>
      <c r="F57" s="96">
        <f ca="1">INDEX(BudgetTrack[Phase / Subproject 2],MATCH(BudgetDetails[[#This Row],[PA ID]],BudgetTrack[PA ID],0))</f>
        <v>0</v>
      </c>
      <c r="G57" s="96">
        <f ca="1">INDEX(BudgetTrack[Funding Source],MATCH(BudgetDetails[[#This Row],[PA ID]],BudgetTrack[PA ID],0))</f>
        <v>0</v>
      </c>
      <c r="H57" s="46">
        <f ca="1">IFERROR(INDEX(BudgetTrack[Baseline Budget],MATCH(BudgetDetails[[#This Row],[PA ID]],BudgetTrack[PA ID],0)),0)</f>
        <v>0</v>
      </c>
      <c r="I57" s="52">
        <f ca="1">BudgetDetails[[#This Row],[Current Budget]]-BudgetDetails[[#This Row],[Base Budget]]</f>
        <v>0</v>
      </c>
      <c r="J57" s="755">
        <f ca="1">IFERROR(INDEX(BudgetTrack[Current Budget],MATCH(BudgetDetails[[#This Row],[PA ID]],BudgetTrack[PA ID],0)),0)</f>
        <v>0</v>
      </c>
      <c r="L57" s="292">
        <f ca="1">SUMIF(EAC[PA ID],BudgetDetails[[#This Row],[PA ID]],EAC[Estimate At Completion])</f>
        <v>0</v>
      </c>
      <c r="M57" s="292">
        <f ca="1">BudgetDetails[[#This Row],[Current Budget]]-BudgetDetails[[#This Row],[Estimate at Completion]]</f>
        <v>0</v>
      </c>
      <c r="O57" s="53">
        <f ca="1">SUMIF(EAC[PA ID],BudgetDetails[[#This Row],[PA ID]],EAC[Current Commitment])</f>
        <v>0</v>
      </c>
      <c r="P57" s="53">
        <f ca="1">BudgetDetails[[#This Row],[Current Budget]]-BudgetDetails[[#This Row],[Commitments to Date]]</f>
        <v>0</v>
      </c>
      <c r="R57" s="53">
        <f ca="1">SUMIFS(CostTrack[Value],CostTrack[PA ID],BudgetDetails[[#This Row],[PA ID]],CostTrack[Flag],"",CostTrack[Holdback (Y/N/R)],"&lt;&gt;Release",CostTrack[Status],"Approved")</f>
        <v>0</v>
      </c>
      <c r="S57" s="466">
        <f ca="1">BudgetDetails[[#This Row],[Current Budget]]-BudgetDetails[[#This Row],[Expenditures to Date]]</f>
        <v>0</v>
      </c>
    </row>
    <row r="58" spans="1:19" ht="15" hidden="1" customHeight="1">
      <c r="A58" s="71">
        <f t="shared" si="0"/>
        <v>54</v>
      </c>
      <c r="B58" s="96" t="str">
        <f ca="1">INDEX(BudgetTrack[PA ID],MATCH(BudgetDetails[[#This Row],[Row]],BudgetTrack[Row],0))</f>
        <v/>
      </c>
      <c r="C58" s="119">
        <f ca="1">INDEX(BudgetTrack[Primary Category],MATCH(BudgetDetails[[#This Row],[PA ID]],BudgetTrack[PA ID],0))</f>
        <v>0</v>
      </c>
      <c r="D58" s="119">
        <f ca="1">INDEX(BudgetTrack[Secondary Category],MATCH(BudgetDetails[[#This Row],[PA ID]],BudgetTrack[PA ID],0))</f>
        <v>0</v>
      </c>
      <c r="E58" s="96">
        <f ca="1">INDEX(BudgetTrack[Phase / Subproject],MATCH(BudgetDetails[[#This Row],[PA ID]],BudgetTrack[PA ID],0))</f>
        <v>0</v>
      </c>
      <c r="F58" s="96">
        <f ca="1">INDEX(BudgetTrack[Phase / Subproject 2],MATCH(BudgetDetails[[#This Row],[PA ID]],BudgetTrack[PA ID],0))</f>
        <v>0</v>
      </c>
      <c r="G58" s="96">
        <f ca="1">INDEX(BudgetTrack[Funding Source],MATCH(BudgetDetails[[#This Row],[PA ID]],BudgetTrack[PA ID],0))</f>
        <v>0</v>
      </c>
      <c r="H58" s="46">
        <f ca="1">IFERROR(INDEX(BudgetTrack[Baseline Budget],MATCH(BudgetDetails[[#This Row],[PA ID]],BudgetTrack[PA ID],0)),0)</f>
        <v>0</v>
      </c>
      <c r="I58" s="52">
        <f ca="1">BudgetDetails[[#This Row],[Current Budget]]-BudgetDetails[[#This Row],[Base Budget]]</f>
        <v>0</v>
      </c>
      <c r="J58" s="755">
        <f ca="1">IFERROR(INDEX(BudgetTrack[Current Budget],MATCH(BudgetDetails[[#This Row],[PA ID]],BudgetTrack[PA ID],0)),0)</f>
        <v>0</v>
      </c>
      <c r="L58" s="292">
        <f ca="1">SUMIF(EAC[PA ID],BudgetDetails[[#This Row],[PA ID]],EAC[Estimate At Completion])</f>
        <v>0</v>
      </c>
      <c r="M58" s="292">
        <f ca="1">BudgetDetails[[#This Row],[Current Budget]]-BudgetDetails[[#This Row],[Estimate at Completion]]</f>
        <v>0</v>
      </c>
      <c r="O58" s="53">
        <f ca="1">SUMIF(EAC[PA ID],BudgetDetails[[#This Row],[PA ID]],EAC[Current Commitment])</f>
        <v>0</v>
      </c>
      <c r="P58" s="53">
        <f ca="1">BudgetDetails[[#This Row],[Current Budget]]-BudgetDetails[[#This Row],[Commitments to Date]]</f>
        <v>0</v>
      </c>
      <c r="R58" s="53">
        <f ca="1">SUMIFS(CostTrack[Value],CostTrack[PA ID],BudgetDetails[[#This Row],[PA ID]],CostTrack[Flag],"",CostTrack[Holdback (Y/N/R)],"&lt;&gt;Release",CostTrack[Status],"Approved")</f>
        <v>0</v>
      </c>
      <c r="S58" s="466">
        <f ca="1">BudgetDetails[[#This Row],[Current Budget]]-BudgetDetails[[#This Row],[Expenditures to Date]]</f>
        <v>0</v>
      </c>
    </row>
    <row r="59" spans="1:19" ht="15" hidden="1" customHeight="1">
      <c r="A59" s="71">
        <f t="shared" si="0"/>
        <v>55</v>
      </c>
      <c r="B59" s="96" t="str">
        <f ca="1">INDEX(BudgetTrack[PA ID],MATCH(BudgetDetails[[#This Row],[Row]],BudgetTrack[Row],0))</f>
        <v/>
      </c>
      <c r="C59" s="119">
        <f ca="1">INDEX(BudgetTrack[Primary Category],MATCH(BudgetDetails[[#This Row],[PA ID]],BudgetTrack[PA ID],0))</f>
        <v>0</v>
      </c>
      <c r="D59" s="119">
        <f ca="1">INDEX(BudgetTrack[Secondary Category],MATCH(BudgetDetails[[#This Row],[PA ID]],BudgetTrack[PA ID],0))</f>
        <v>0</v>
      </c>
      <c r="E59" s="96">
        <f ca="1">INDEX(BudgetTrack[Phase / Subproject],MATCH(BudgetDetails[[#This Row],[PA ID]],BudgetTrack[PA ID],0))</f>
        <v>0</v>
      </c>
      <c r="F59" s="96">
        <f ca="1">INDEX(BudgetTrack[Phase / Subproject 2],MATCH(BudgetDetails[[#This Row],[PA ID]],BudgetTrack[PA ID],0))</f>
        <v>0</v>
      </c>
      <c r="G59" s="96">
        <f ca="1">INDEX(BudgetTrack[Funding Source],MATCH(BudgetDetails[[#This Row],[PA ID]],BudgetTrack[PA ID],0))</f>
        <v>0</v>
      </c>
      <c r="H59" s="46">
        <f ca="1">IFERROR(INDEX(BudgetTrack[Baseline Budget],MATCH(BudgetDetails[[#This Row],[PA ID]],BudgetTrack[PA ID],0)),0)</f>
        <v>0</v>
      </c>
      <c r="I59" s="52">
        <f ca="1">BudgetDetails[[#This Row],[Current Budget]]-BudgetDetails[[#This Row],[Base Budget]]</f>
        <v>0</v>
      </c>
      <c r="J59" s="755">
        <f ca="1">IFERROR(INDEX(BudgetTrack[Current Budget],MATCH(BudgetDetails[[#This Row],[PA ID]],BudgetTrack[PA ID],0)),0)</f>
        <v>0</v>
      </c>
      <c r="L59" s="292">
        <f ca="1">SUMIF(EAC[PA ID],BudgetDetails[[#This Row],[PA ID]],EAC[Estimate At Completion])</f>
        <v>0</v>
      </c>
      <c r="M59" s="292">
        <f ca="1">BudgetDetails[[#This Row],[Current Budget]]-BudgetDetails[[#This Row],[Estimate at Completion]]</f>
        <v>0</v>
      </c>
      <c r="O59" s="53">
        <f ca="1">SUMIF(EAC[PA ID],BudgetDetails[[#This Row],[PA ID]],EAC[Current Commitment])</f>
        <v>0</v>
      </c>
      <c r="P59" s="53">
        <f ca="1">BudgetDetails[[#This Row],[Current Budget]]-BudgetDetails[[#This Row],[Commitments to Date]]</f>
        <v>0</v>
      </c>
      <c r="R59" s="53">
        <f ca="1">SUMIFS(CostTrack[Value],CostTrack[PA ID],BudgetDetails[[#This Row],[PA ID]],CostTrack[Flag],"",CostTrack[Holdback (Y/N/R)],"&lt;&gt;Release",CostTrack[Status],"Approved")</f>
        <v>0</v>
      </c>
      <c r="S59" s="466">
        <f ca="1">BudgetDetails[[#This Row],[Current Budget]]-BudgetDetails[[#This Row],[Expenditures to Date]]</f>
        <v>0</v>
      </c>
    </row>
    <row r="60" spans="1:19" ht="15" hidden="1" customHeight="1">
      <c r="A60" s="71">
        <f t="shared" si="0"/>
        <v>56</v>
      </c>
      <c r="B60" s="96" t="str">
        <f ca="1">INDEX(BudgetTrack[PA ID],MATCH(BudgetDetails[[#This Row],[Row]],BudgetTrack[Row],0))</f>
        <v/>
      </c>
      <c r="C60" s="119">
        <f ca="1">INDEX(BudgetTrack[Primary Category],MATCH(BudgetDetails[[#This Row],[PA ID]],BudgetTrack[PA ID],0))</f>
        <v>0</v>
      </c>
      <c r="D60" s="119">
        <f ca="1">INDEX(BudgetTrack[Secondary Category],MATCH(BudgetDetails[[#This Row],[PA ID]],BudgetTrack[PA ID],0))</f>
        <v>0</v>
      </c>
      <c r="E60" s="96">
        <f ca="1">INDEX(BudgetTrack[Phase / Subproject],MATCH(BudgetDetails[[#This Row],[PA ID]],BudgetTrack[PA ID],0))</f>
        <v>0</v>
      </c>
      <c r="F60" s="96">
        <f ca="1">INDEX(BudgetTrack[Phase / Subproject 2],MATCH(BudgetDetails[[#This Row],[PA ID]],BudgetTrack[PA ID],0))</f>
        <v>0</v>
      </c>
      <c r="G60" s="96">
        <f ca="1">INDEX(BudgetTrack[Funding Source],MATCH(BudgetDetails[[#This Row],[PA ID]],BudgetTrack[PA ID],0))</f>
        <v>0</v>
      </c>
      <c r="H60" s="46">
        <f ca="1">IFERROR(INDEX(BudgetTrack[Baseline Budget],MATCH(BudgetDetails[[#This Row],[PA ID]],BudgetTrack[PA ID],0)),0)</f>
        <v>0</v>
      </c>
      <c r="I60" s="52">
        <f ca="1">BudgetDetails[[#This Row],[Current Budget]]-BudgetDetails[[#This Row],[Base Budget]]</f>
        <v>0</v>
      </c>
      <c r="J60" s="755">
        <f ca="1">IFERROR(INDEX(BudgetTrack[Current Budget],MATCH(BudgetDetails[[#This Row],[PA ID]],BudgetTrack[PA ID],0)),0)</f>
        <v>0</v>
      </c>
      <c r="L60" s="292">
        <f ca="1">SUMIF(EAC[PA ID],BudgetDetails[[#This Row],[PA ID]],EAC[Estimate At Completion])</f>
        <v>0</v>
      </c>
      <c r="M60" s="292">
        <f ca="1">BudgetDetails[[#This Row],[Current Budget]]-BudgetDetails[[#This Row],[Estimate at Completion]]</f>
        <v>0</v>
      </c>
      <c r="O60" s="53">
        <f ca="1">SUMIF(EAC[PA ID],BudgetDetails[[#This Row],[PA ID]],EAC[Current Commitment])</f>
        <v>0</v>
      </c>
      <c r="P60" s="53">
        <f ca="1">BudgetDetails[[#This Row],[Current Budget]]-BudgetDetails[[#This Row],[Commitments to Date]]</f>
        <v>0</v>
      </c>
      <c r="R60" s="53">
        <f ca="1">SUMIFS(CostTrack[Value],CostTrack[PA ID],BudgetDetails[[#This Row],[PA ID]],CostTrack[Flag],"",CostTrack[Holdback (Y/N/R)],"&lt;&gt;Release",CostTrack[Status],"Approved")</f>
        <v>0</v>
      </c>
      <c r="S60" s="466">
        <f ca="1">BudgetDetails[[#This Row],[Current Budget]]-BudgetDetails[[#This Row],[Expenditures to Date]]</f>
        <v>0</v>
      </c>
    </row>
    <row r="61" spans="1:19" ht="15" hidden="1" customHeight="1">
      <c r="A61" s="71">
        <f t="shared" si="0"/>
        <v>57</v>
      </c>
      <c r="B61" s="96" t="str">
        <f ca="1">INDEX(BudgetTrack[PA ID],MATCH(BudgetDetails[[#This Row],[Row]],BudgetTrack[Row],0))</f>
        <v/>
      </c>
      <c r="C61" s="119">
        <f ca="1">INDEX(BudgetTrack[Primary Category],MATCH(BudgetDetails[[#This Row],[PA ID]],BudgetTrack[PA ID],0))</f>
        <v>0</v>
      </c>
      <c r="D61" s="119">
        <f ca="1">INDEX(BudgetTrack[Secondary Category],MATCH(BudgetDetails[[#This Row],[PA ID]],BudgetTrack[PA ID],0))</f>
        <v>0</v>
      </c>
      <c r="E61" s="96">
        <f ca="1">INDEX(BudgetTrack[Phase / Subproject],MATCH(BudgetDetails[[#This Row],[PA ID]],BudgetTrack[PA ID],0))</f>
        <v>0</v>
      </c>
      <c r="F61" s="96">
        <f ca="1">INDEX(BudgetTrack[Phase / Subproject 2],MATCH(BudgetDetails[[#This Row],[PA ID]],BudgetTrack[PA ID],0))</f>
        <v>0</v>
      </c>
      <c r="G61" s="96">
        <f ca="1">INDEX(BudgetTrack[Funding Source],MATCH(BudgetDetails[[#This Row],[PA ID]],BudgetTrack[PA ID],0))</f>
        <v>0</v>
      </c>
      <c r="H61" s="46">
        <f ca="1">IFERROR(INDEX(BudgetTrack[Baseline Budget],MATCH(BudgetDetails[[#This Row],[PA ID]],BudgetTrack[PA ID],0)),0)</f>
        <v>0</v>
      </c>
      <c r="I61" s="52">
        <f ca="1">BudgetDetails[[#This Row],[Current Budget]]-BudgetDetails[[#This Row],[Base Budget]]</f>
        <v>0</v>
      </c>
      <c r="J61" s="755">
        <f ca="1">IFERROR(INDEX(BudgetTrack[Current Budget],MATCH(BudgetDetails[[#This Row],[PA ID]],BudgetTrack[PA ID],0)),0)</f>
        <v>0</v>
      </c>
      <c r="L61" s="292">
        <f ca="1">SUMIF(EAC[PA ID],BudgetDetails[[#This Row],[PA ID]],EAC[Estimate At Completion])</f>
        <v>0</v>
      </c>
      <c r="M61" s="292">
        <f ca="1">BudgetDetails[[#This Row],[Current Budget]]-BudgetDetails[[#This Row],[Estimate at Completion]]</f>
        <v>0</v>
      </c>
      <c r="O61" s="53">
        <f ca="1">SUMIF(EAC[PA ID],BudgetDetails[[#This Row],[PA ID]],EAC[Current Commitment])</f>
        <v>0</v>
      </c>
      <c r="P61" s="53">
        <f ca="1">BudgetDetails[[#This Row],[Current Budget]]-BudgetDetails[[#This Row],[Commitments to Date]]</f>
        <v>0</v>
      </c>
      <c r="R61" s="53">
        <f ca="1">SUMIFS(CostTrack[Value],CostTrack[PA ID],BudgetDetails[[#This Row],[PA ID]],CostTrack[Flag],"",CostTrack[Holdback (Y/N/R)],"&lt;&gt;Release",CostTrack[Status],"Approved")</f>
        <v>0</v>
      </c>
      <c r="S61" s="466">
        <f ca="1">BudgetDetails[[#This Row],[Current Budget]]-BudgetDetails[[#This Row],[Expenditures to Date]]</f>
        <v>0</v>
      </c>
    </row>
    <row r="62" spans="1:19" ht="15" hidden="1" customHeight="1">
      <c r="A62" s="71">
        <f t="shared" si="0"/>
        <v>58</v>
      </c>
      <c r="B62" s="96" t="str">
        <f ca="1">INDEX(BudgetTrack[PA ID],MATCH(BudgetDetails[[#This Row],[Row]],BudgetTrack[Row],0))</f>
        <v/>
      </c>
      <c r="C62" s="119">
        <f ca="1">INDEX(BudgetTrack[Primary Category],MATCH(BudgetDetails[[#This Row],[PA ID]],BudgetTrack[PA ID],0))</f>
        <v>0</v>
      </c>
      <c r="D62" s="119">
        <f ca="1">INDEX(BudgetTrack[Secondary Category],MATCH(BudgetDetails[[#This Row],[PA ID]],BudgetTrack[PA ID],0))</f>
        <v>0</v>
      </c>
      <c r="E62" s="96">
        <f ca="1">INDEX(BudgetTrack[Phase / Subproject],MATCH(BudgetDetails[[#This Row],[PA ID]],BudgetTrack[PA ID],0))</f>
        <v>0</v>
      </c>
      <c r="F62" s="96">
        <f ca="1">INDEX(BudgetTrack[Phase / Subproject 2],MATCH(BudgetDetails[[#This Row],[PA ID]],BudgetTrack[PA ID],0))</f>
        <v>0</v>
      </c>
      <c r="G62" s="96">
        <f ca="1">INDEX(BudgetTrack[Funding Source],MATCH(BudgetDetails[[#This Row],[PA ID]],BudgetTrack[PA ID],0))</f>
        <v>0</v>
      </c>
      <c r="H62" s="46">
        <f ca="1">IFERROR(INDEX(BudgetTrack[Baseline Budget],MATCH(BudgetDetails[[#This Row],[PA ID]],BudgetTrack[PA ID],0)),0)</f>
        <v>0</v>
      </c>
      <c r="I62" s="52">
        <f ca="1">BudgetDetails[[#This Row],[Current Budget]]-BudgetDetails[[#This Row],[Base Budget]]</f>
        <v>0</v>
      </c>
      <c r="J62" s="755">
        <f ca="1">IFERROR(INDEX(BudgetTrack[Current Budget],MATCH(BudgetDetails[[#This Row],[PA ID]],BudgetTrack[PA ID],0)),0)</f>
        <v>0</v>
      </c>
      <c r="L62" s="292">
        <f ca="1">SUMIF(EAC[PA ID],BudgetDetails[[#This Row],[PA ID]],EAC[Estimate At Completion])</f>
        <v>0</v>
      </c>
      <c r="M62" s="292">
        <f ca="1">BudgetDetails[[#This Row],[Current Budget]]-BudgetDetails[[#This Row],[Estimate at Completion]]</f>
        <v>0</v>
      </c>
      <c r="O62" s="53">
        <f ca="1">SUMIF(EAC[PA ID],BudgetDetails[[#This Row],[PA ID]],EAC[Current Commitment])</f>
        <v>0</v>
      </c>
      <c r="P62" s="53">
        <f ca="1">BudgetDetails[[#This Row],[Current Budget]]-BudgetDetails[[#This Row],[Commitments to Date]]</f>
        <v>0</v>
      </c>
      <c r="R62" s="53">
        <f ca="1">SUMIFS(CostTrack[Value],CostTrack[PA ID],BudgetDetails[[#This Row],[PA ID]],CostTrack[Flag],"",CostTrack[Holdback (Y/N/R)],"&lt;&gt;Release",CostTrack[Status],"Approved")</f>
        <v>0</v>
      </c>
      <c r="S62" s="466">
        <f ca="1">BudgetDetails[[#This Row],[Current Budget]]-BudgetDetails[[#This Row],[Expenditures to Date]]</f>
        <v>0</v>
      </c>
    </row>
    <row r="63" spans="1:19" ht="15" hidden="1" customHeight="1">
      <c r="A63" s="71">
        <f t="shared" si="0"/>
        <v>59</v>
      </c>
      <c r="B63" s="96" t="str">
        <f ca="1">INDEX(BudgetTrack[PA ID],MATCH(BudgetDetails[[#This Row],[Row]],BudgetTrack[Row],0))</f>
        <v/>
      </c>
      <c r="C63" s="119">
        <f ca="1">INDEX(BudgetTrack[Primary Category],MATCH(BudgetDetails[[#This Row],[PA ID]],BudgetTrack[PA ID],0))</f>
        <v>0</v>
      </c>
      <c r="D63" s="119">
        <f ca="1">INDEX(BudgetTrack[Secondary Category],MATCH(BudgetDetails[[#This Row],[PA ID]],BudgetTrack[PA ID],0))</f>
        <v>0</v>
      </c>
      <c r="E63" s="96">
        <f ca="1">INDEX(BudgetTrack[Phase / Subproject],MATCH(BudgetDetails[[#This Row],[PA ID]],BudgetTrack[PA ID],0))</f>
        <v>0</v>
      </c>
      <c r="F63" s="96">
        <f ca="1">INDEX(BudgetTrack[Phase / Subproject 2],MATCH(BudgetDetails[[#This Row],[PA ID]],BudgetTrack[PA ID],0))</f>
        <v>0</v>
      </c>
      <c r="G63" s="96">
        <f ca="1">INDEX(BudgetTrack[Funding Source],MATCH(BudgetDetails[[#This Row],[PA ID]],BudgetTrack[PA ID],0))</f>
        <v>0</v>
      </c>
      <c r="H63" s="46">
        <f ca="1">IFERROR(INDEX(BudgetTrack[Baseline Budget],MATCH(BudgetDetails[[#This Row],[PA ID]],BudgetTrack[PA ID],0)),0)</f>
        <v>0</v>
      </c>
      <c r="I63" s="52">
        <f ca="1">BudgetDetails[[#This Row],[Current Budget]]-BudgetDetails[[#This Row],[Base Budget]]</f>
        <v>0</v>
      </c>
      <c r="J63" s="755">
        <f ca="1">IFERROR(INDEX(BudgetTrack[Current Budget],MATCH(BudgetDetails[[#This Row],[PA ID]],BudgetTrack[PA ID],0)),0)</f>
        <v>0</v>
      </c>
      <c r="L63" s="292">
        <f ca="1">SUMIF(EAC[PA ID],BudgetDetails[[#This Row],[PA ID]],EAC[Estimate At Completion])</f>
        <v>0</v>
      </c>
      <c r="M63" s="292">
        <f ca="1">BudgetDetails[[#This Row],[Current Budget]]-BudgetDetails[[#This Row],[Estimate at Completion]]</f>
        <v>0</v>
      </c>
      <c r="O63" s="53">
        <f ca="1">SUMIF(EAC[PA ID],BudgetDetails[[#This Row],[PA ID]],EAC[Current Commitment])</f>
        <v>0</v>
      </c>
      <c r="P63" s="53">
        <f ca="1">BudgetDetails[[#This Row],[Current Budget]]-BudgetDetails[[#This Row],[Commitments to Date]]</f>
        <v>0</v>
      </c>
      <c r="R63" s="53">
        <f ca="1">SUMIFS(CostTrack[Value],CostTrack[PA ID],BudgetDetails[[#This Row],[PA ID]],CostTrack[Flag],"",CostTrack[Holdback (Y/N/R)],"&lt;&gt;Release",CostTrack[Status],"Approved")</f>
        <v>0</v>
      </c>
      <c r="S63" s="466">
        <f ca="1">BudgetDetails[[#This Row],[Current Budget]]-BudgetDetails[[#This Row],[Expenditures to Date]]</f>
        <v>0</v>
      </c>
    </row>
    <row r="64" spans="1:19" ht="15" hidden="1" customHeight="1">
      <c r="A64" s="71">
        <f t="shared" si="0"/>
        <v>60</v>
      </c>
      <c r="B64" s="96">
        <f ca="1">INDEX(BudgetTrack[PA ID],MATCH(BudgetDetails[[#This Row],[Row]],BudgetTrack[Row],0))</f>
        <v>0</v>
      </c>
      <c r="C64" s="119" t="e">
        <f ca="1">INDEX(BudgetTrack[Primary Category],MATCH(BudgetDetails[[#This Row],[PA ID]],BudgetTrack[PA ID],0))</f>
        <v>#N/A</v>
      </c>
      <c r="D64" s="119" t="e">
        <f ca="1">INDEX(BudgetTrack[Secondary Category],MATCH(BudgetDetails[[#This Row],[PA ID]],BudgetTrack[PA ID],0))</f>
        <v>#N/A</v>
      </c>
      <c r="E64" s="96" t="e">
        <f ca="1">INDEX(BudgetTrack[Phase / Subproject],MATCH(BudgetDetails[[#This Row],[PA ID]],BudgetTrack[PA ID],0))</f>
        <v>#N/A</v>
      </c>
      <c r="F64" s="96" t="e">
        <f ca="1">INDEX(BudgetTrack[Phase / Subproject 2],MATCH(BudgetDetails[[#This Row],[PA ID]],BudgetTrack[PA ID],0))</f>
        <v>#N/A</v>
      </c>
      <c r="G64" s="96" t="e">
        <f ca="1">INDEX(BudgetTrack[Funding Source],MATCH(BudgetDetails[[#This Row],[PA ID]],BudgetTrack[PA ID],0))</f>
        <v>#N/A</v>
      </c>
      <c r="H64" s="46">
        <f ca="1">IFERROR(INDEX(BudgetTrack[Baseline Budget],MATCH(BudgetDetails[[#This Row],[PA ID]],BudgetTrack[PA ID],0)),0)</f>
        <v>0</v>
      </c>
      <c r="I64" s="52">
        <f ca="1">BudgetDetails[[#This Row],[Current Budget]]-BudgetDetails[[#This Row],[Base Budget]]</f>
        <v>0</v>
      </c>
      <c r="J64" s="755">
        <f ca="1">IFERROR(INDEX(BudgetTrack[Current Budget],MATCH(BudgetDetails[[#This Row],[PA ID]],BudgetTrack[PA ID],0)),0)</f>
        <v>0</v>
      </c>
      <c r="L64" s="292">
        <f ca="1">SUMIF(EAC[PA ID],BudgetDetails[[#This Row],[PA ID]],EAC[Estimate At Completion])</f>
        <v>0</v>
      </c>
      <c r="M64" s="292">
        <f ca="1">BudgetDetails[[#This Row],[Current Budget]]-BudgetDetails[[#This Row],[Estimate at Completion]]</f>
        <v>0</v>
      </c>
      <c r="O64" s="53">
        <f ca="1">SUMIF(EAC[PA ID],BudgetDetails[[#This Row],[PA ID]],EAC[Current Commitment])</f>
        <v>0</v>
      </c>
      <c r="P64" s="53">
        <f ca="1">BudgetDetails[[#This Row],[Current Budget]]-BudgetDetails[[#This Row],[Commitments to Date]]</f>
        <v>0</v>
      </c>
      <c r="R64" s="53">
        <f ca="1">SUMIFS(CostTrack[Value],CostTrack[PA ID],BudgetDetails[[#This Row],[PA ID]],CostTrack[Flag],"",CostTrack[Holdback (Y/N/R)],"&lt;&gt;Release",CostTrack[Status],"Approved")</f>
        <v>0</v>
      </c>
      <c r="S64" s="466">
        <f ca="1">BudgetDetails[[#This Row],[Current Budget]]-BudgetDetails[[#This Row],[Expenditures to Date]]</f>
        <v>0</v>
      </c>
    </row>
    <row r="65" spans="1:21">
      <c r="B65" s="114"/>
      <c r="C65" s="115"/>
      <c r="D65" s="464" t="s">
        <v>362</v>
      </c>
      <c r="E65" s="115"/>
      <c r="F65" s="115"/>
      <c r="G65" s="222"/>
      <c r="H65" s="280">
        <f ca="1">SUBTOTAL(109,BudgetDetails[Base Budget])</f>
        <v>206629220.38</v>
      </c>
      <c r="I65" s="280">
        <f ca="1">SUBTOTAL(109,BudgetDetails[Budget Updates])</f>
        <v>-15529220.54000001</v>
      </c>
      <c r="J65" s="280">
        <f ca="1">SUBTOTAL(109,BudgetDetails[Current Budget])</f>
        <v>191099999.84</v>
      </c>
      <c r="L65" s="280">
        <f ca="1">SUBTOTAL(109,BudgetDetails[Estimate at Completion])</f>
        <v>191099999.88000005</v>
      </c>
      <c r="M65" s="280">
        <f ca="1">SUBTOTAL(109,BudgetDetails[Budget Variance])</f>
        <v>-4.0000000415602699E-2</v>
      </c>
      <c r="O65" s="280">
        <f ca="1">SUBTOTAL(109,BudgetDetails[Commitments to Date])</f>
        <v>185590901.88000005</v>
      </c>
      <c r="P65" s="280">
        <f ca="1">SUBTOTAL(109,BudgetDetails[Available Funds])</f>
        <v>5509097.96</v>
      </c>
      <c r="R65" s="280">
        <f ca="1">SUBTOTAL(109,BudgetDetails[Expenditures to Date])</f>
        <v>182727345.40000004</v>
      </c>
      <c r="S65" s="280">
        <f ca="1">SUBTOTAL(109,BudgetDetails[Unspent])</f>
        <v>8372654.4399999836</v>
      </c>
    </row>
    <row r="66" spans="1:21" s="54" customFormat="1">
      <c r="A66" s="71"/>
      <c r="B66" s="114"/>
      <c r="C66" s="115"/>
      <c r="D66" s="464" t="s">
        <v>274</v>
      </c>
      <c r="E66" s="115"/>
      <c r="F66" s="115"/>
      <c r="G66" s="222"/>
      <c r="H66" s="465">
        <f ca="1">SUM(BudgetDetails[Base Budget])</f>
        <v>206629220.38</v>
      </c>
      <c r="I66" s="465">
        <f ca="1">SUM(BudgetDetails[Budget Updates])</f>
        <v>-15529220.54000001</v>
      </c>
      <c r="J66" s="465">
        <f ca="1">SUM(BudgetDetails[Current Budget])</f>
        <v>191099999.84</v>
      </c>
      <c r="K66" s="1"/>
      <c r="L66" s="465">
        <f ca="1">SUM(BudgetDetails[Estimate at Completion])</f>
        <v>191099999.88000005</v>
      </c>
      <c r="M66" s="465">
        <f ca="1">SUM(BudgetDetails[Budget Variance])</f>
        <v>-4.0000000415602699E-2</v>
      </c>
      <c r="N66" s="1"/>
      <c r="O66" s="465">
        <f ca="1">SUM(BudgetDetails[Commitments to Date])</f>
        <v>185590901.88000005</v>
      </c>
      <c r="P66" s="465">
        <f ca="1">SUM(BudgetDetails[Available Funds])</f>
        <v>5509097.96</v>
      </c>
      <c r="Q66" s="1"/>
      <c r="R66" s="465">
        <f ca="1">SUM(BudgetDetails[Expenditures to Date])</f>
        <v>182727345.40000004</v>
      </c>
      <c r="S66" s="465">
        <f ca="1">SUM(BudgetDetails[Unspent])</f>
        <v>8372654.4399999836</v>
      </c>
    </row>
    <row r="67" spans="1:21">
      <c r="A67" s="72"/>
      <c r="B67" s="48"/>
      <c r="C67" s="55"/>
      <c r="D67" s="55"/>
      <c r="E67" s="54"/>
      <c r="F67" s="54"/>
      <c r="G67" s="54"/>
      <c r="H67" s="48"/>
      <c r="I67" s="13"/>
      <c r="S67" s="54"/>
      <c r="U67"/>
    </row>
  </sheetData>
  <conditionalFormatting sqref="M5:M64 P5:P64 S5:S64">
    <cfRule type="cellIs" dxfId="397" priority="9" operator="notBetween">
      <formula>1</formula>
      <formula>-1</formula>
    </cfRule>
  </conditionalFormatting>
  <pageMargins left="0.23622047244094491" right="0.23622047244094491" top="0.35433070866141736" bottom="0.35433070866141736" header="0.31496062992125984" footer="0.31496062992125984"/>
  <pageSetup paperSize="17" fitToHeight="4" orientation="landscape" r:id="rId1"/>
  <headerFooter>
    <oddFooter>&amp;L&amp;1#&amp;"Calibri"&amp;11&amp;K000000Classification: Protected A</oddFooter>
  </headerFooter>
  <drawing r:id="rId2"/>
  <tableParts count="1">
    <tablePart r:id="rId3"/>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theme="2" tint="-0.499984740745262"/>
    <pageSetUpPr fitToPage="1"/>
  </sheetPr>
  <dimension ref="A1:FT193"/>
  <sheetViews>
    <sheetView showGridLines="0" zoomScale="85" zoomScaleNormal="85" workbookViewId="0">
      <pane xSplit="13" topLeftCell="ES1" activePane="topRight" state="frozen"/>
      <selection pane="topRight" activeCell="ET130" sqref="ET130"/>
      <selection activeCell="A111" sqref="A111"/>
    </sheetView>
  </sheetViews>
  <sheetFormatPr defaultColWidth="9.42578125" defaultRowHeight="14.1" outlineLevelCol="1"/>
  <cols>
    <col min="1" max="1" width="2.42578125" style="1" bestFit="1" customWidth="1"/>
    <col min="2" max="2" width="20.7109375" style="2" customWidth="1"/>
    <col min="3" max="3" width="20.42578125" style="2" hidden="1" customWidth="1"/>
    <col min="4" max="4" width="25.42578125" style="2" hidden="1" customWidth="1"/>
    <col min="5" max="5" width="7.28515625" style="2" hidden="1" customWidth="1"/>
    <col min="6" max="6" width="12.42578125" style="2" hidden="1" customWidth="1"/>
    <col min="7" max="7" width="18.42578125" style="2" hidden="1" customWidth="1"/>
    <col min="8" max="8" width="48.28515625" style="2" customWidth="1"/>
    <col min="9" max="10" width="24.42578125" style="2" customWidth="1"/>
    <col min="11" max="11" width="23.7109375" style="2" customWidth="1"/>
    <col min="12" max="12" width="2.42578125" style="1" customWidth="1"/>
    <col min="13" max="13" width="32.42578125" style="1" bestFit="1" customWidth="1"/>
    <col min="14" max="14" width="2.42578125" style="1" customWidth="1"/>
    <col min="15" max="15" width="21.7109375" style="1" bestFit="1" customWidth="1"/>
    <col min="16" max="16" width="43.7109375" style="1" bestFit="1" customWidth="1"/>
    <col min="17" max="18" width="20.7109375" style="1" bestFit="1" customWidth="1"/>
    <col min="19" max="19" width="25.42578125" style="1" bestFit="1" customWidth="1"/>
    <col min="20" max="20" width="2.42578125" style="1" customWidth="1"/>
    <col min="21" max="21" width="10.28515625" style="1" hidden="1" customWidth="1" outlineLevel="1"/>
    <col min="22" max="23" width="9.7109375" style="1" hidden="1" customWidth="1" outlineLevel="1"/>
    <col min="24" max="24" width="9.42578125" style="1" hidden="1" customWidth="1" outlineLevel="1"/>
    <col min="25" max="25" width="11.7109375" style="1" hidden="1" customWidth="1" outlineLevel="1"/>
    <col min="26" max="26" width="15" style="1" hidden="1" customWidth="1" outlineLevel="1"/>
    <col min="27" max="27" width="12.42578125" style="1" hidden="1" customWidth="1" outlineLevel="1"/>
    <col min="28" max="29" width="14.42578125" style="1" hidden="1" customWidth="1" outlineLevel="1"/>
    <col min="30" max="30" width="21" style="1" hidden="1" customWidth="1" outlineLevel="1"/>
    <col min="31" max="32" width="13.7109375" style="1" hidden="1" customWidth="1" outlineLevel="1"/>
    <col min="33" max="33" width="16.28515625" style="1" customWidth="1" collapsed="1"/>
    <col min="34" max="34" width="2.42578125" style="1" customWidth="1"/>
    <col min="35" max="36" width="13.7109375" style="1" hidden="1" customWidth="1" outlineLevel="1"/>
    <col min="37" max="37" width="18.42578125" style="1" hidden="1" customWidth="1" outlineLevel="1"/>
    <col min="38" max="39" width="13.7109375" style="1" hidden="1" customWidth="1" outlineLevel="1"/>
    <col min="40" max="40" width="15" style="1" hidden="1" customWidth="1" outlineLevel="1"/>
    <col min="41" max="41" width="13.7109375" style="1" hidden="1" customWidth="1" outlineLevel="1"/>
    <col min="42" max="43" width="14.42578125" style="1" hidden="1" customWidth="1" outlineLevel="1"/>
    <col min="44" max="46" width="13.7109375" style="1" hidden="1" customWidth="1" outlineLevel="1"/>
    <col min="47" max="47" width="15.42578125" style="1" customWidth="1" collapsed="1"/>
    <col min="48" max="48" width="2.42578125" style="1" customWidth="1"/>
    <col min="49" max="51" width="13.7109375" style="1" hidden="1" customWidth="1" outlineLevel="1"/>
    <col min="52" max="53" width="14.7109375" style="1" hidden="1" customWidth="1" outlineLevel="1"/>
    <col min="54" max="54" width="15" style="1" hidden="1" customWidth="1" outlineLevel="1"/>
    <col min="55" max="60" width="14.7109375" style="1" hidden="1" customWidth="1" outlineLevel="1"/>
    <col min="61" max="61" width="15" style="1" customWidth="1" collapsed="1"/>
    <col min="62" max="62" width="2.42578125" style="1" customWidth="1"/>
    <col min="63" max="67" width="14.7109375" style="1" hidden="1" customWidth="1" outlineLevel="1"/>
    <col min="68" max="68" width="15" style="1" hidden="1" customWidth="1" outlineLevel="1"/>
    <col min="69" max="74" width="14.7109375" style="1" hidden="1" customWidth="1" outlineLevel="1"/>
    <col min="75" max="75" width="16.7109375" style="1" customWidth="1" collapsed="1"/>
    <col min="76" max="76" width="2.42578125" style="1" customWidth="1"/>
    <col min="77" max="81" width="14.7109375" style="1" hidden="1" customWidth="1" outlineLevel="1"/>
    <col min="82" max="82" width="15" style="1" hidden="1" customWidth="1" outlineLevel="1"/>
    <col min="83" max="88" width="14.7109375" style="1" hidden="1" customWidth="1" outlineLevel="1"/>
    <col min="89" max="89" width="18.42578125" style="1" customWidth="1" collapsed="1"/>
    <col min="90" max="90" width="5.7109375" style="1" bestFit="1" customWidth="1"/>
    <col min="91" max="95" width="14.7109375" style="1" hidden="1" customWidth="1" outlineLevel="1"/>
    <col min="96" max="96" width="15" style="1" hidden="1" customWidth="1" outlineLevel="1"/>
    <col min="97" max="97" width="14.7109375" style="1" hidden="1" customWidth="1" outlineLevel="1"/>
    <col min="98" max="102" width="15.7109375" style="1" hidden="1" customWidth="1" outlineLevel="1"/>
    <col min="103" max="103" width="14.7109375" style="1" bestFit="1" customWidth="1" collapsed="1"/>
    <col min="104" max="104" width="4.28515625" style="1" customWidth="1"/>
    <col min="105" max="116" width="15.7109375" style="1" hidden="1" customWidth="1" outlineLevel="1"/>
    <col min="117" max="117" width="14.7109375" style="1" bestFit="1" customWidth="1" collapsed="1"/>
    <col min="118" max="118" width="3.28515625" style="1" customWidth="1"/>
    <col min="119" max="127" width="15.7109375" style="1" customWidth="1" outlineLevel="1"/>
    <col min="128" max="128" width="16.42578125" style="1" customWidth="1" outlineLevel="1"/>
    <col min="129" max="130" width="15.7109375" style="1" customWidth="1" outlineLevel="1"/>
    <col min="131" max="131" width="17.28515625" style="1" customWidth="1"/>
    <col min="132" max="132" width="5.7109375" style="1" bestFit="1" customWidth="1"/>
    <col min="133" max="144" width="15.7109375" style="1" customWidth="1" outlineLevel="1"/>
    <col min="145" max="145" width="18.7109375" style="1" customWidth="1"/>
    <col min="146" max="146" width="5.7109375" style="1" bestFit="1" customWidth="1"/>
    <col min="147" max="158" width="15.7109375" style="1" customWidth="1" outlineLevel="1"/>
    <col min="159" max="159" width="16.7109375" style="1" customWidth="1"/>
    <col min="160" max="160" width="5.7109375" style="1" bestFit="1" customWidth="1"/>
    <col min="161" max="172" width="15.7109375" style="1" hidden="1" customWidth="1" outlineLevel="1"/>
    <col min="173" max="173" width="17.28515625" style="1" customWidth="1" collapsed="1"/>
    <col min="174" max="174" width="5.7109375" style="1" bestFit="1" customWidth="1"/>
    <col min="175" max="175" width="19.28515625" style="1" customWidth="1"/>
    <col min="176" max="176" width="50.42578125" style="1" bestFit="1" customWidth="1"/>
    <col min="177" max="16384" width="9.42578125" style="1"/>
  </cols>
  <sheetData>
    <row r="1" spans="1:175" ht="9" customHeight="1"/>
    <row r="2" spans="1:175" ht="23.65">
      <c r="B2" s="16" t="s">
        <v>1575</v>
      </c>
      <c r="C2" s="16"/>
      <c r="D2" s="16"/>
      <c r="E2" s="16"/>
      <c r="F2" s="16"/>
      <c r="G2" s="16"/>
      <c r="H2" s="16"/>
      <c r="K2" s="19" t="str">
        <f>Validations!$C$6</f>
        <v>Justice Centre</v>
      </c>
      <c r="U2" s="224"/>
      <c r="BK2" s="225"/>
      <c r="CB2" s="1" t="s">
        <v>1576</v>
      </c>
      <c r="CE2" s="1">
        <v>2548522.5299999998</v>
      </c>
      <c r="CF2" s="1">
        <v>2203516.19</v>
      </c>
      <c r="CG2" s="1">
        <v>2368369.44</v>
      </c>
      <c r="CH2" s="1">
        <v>2580247.54</v>
      </c>
      <c r="CI2" s="1">
        <v>3889328.86</v>
      </c>
      <c r="CJ2" s="1">
        <v>4040376.78</v>
      </c>
      <c r="CK2" s="1">
        <v>7451522.1900000004</v>
      </c>
      <c r="CO2" s="747">
        <v>6830307.4500000002</v>
      </c>
      <c r="CP2" s="747">
        <v>7173547.4699999997</v>
      </c>
      <c r="CQ2" s="747">
        <v>9935049.7100000009</v>
      </c>
      <c r="CR2" s="747">
        <v>11725083.24</v>
      </c>
      <c r="CS2" s="747">
        <v>12435280.01</v>
      </c>
      <c r="CT2" s="747">
        <v>8541246.0700000003</v>
      </c>
      <c r="CU2" s="747">
        <v>6611126.3499999996</v>
      </c>
      <c r="CV2" s="747">
        <v>4858932.47</v>
      </c>
      <c r="CW2" s="747">
        <v>4895241.58</v>
      </c>
      <c r="CX2" s="1">
        <v>4064235.08</v>
      </c>
      <c r="CY2" s="747">
        <v>3231665.35</v>
      </c>
      <c r="CZ2" s="747"/>
      <c r="DB2" s="1">
        <v>2006854.51</v>
      </c>
      <c r="DC2" s="1">
        <v>8766261.1099999994</v>
      </c>
    </row>
    <row r="3" spans="1:175">
      <c r="B3" s="189"/>
      <c r="C3" s="189"/>
      <c r="D3" s="189"/>
      <c r="E3" s="189"/>
      <c r="F3" s="189"/>
      <c r="G3" s="189"/>
      <c r="H3" s="189">
        <v>68000</v>
      </c>
      <c r="CC3" s="505"/>
      <c r="CD3" s="505"/>
      <c r="CE3" s="505"/>
      <c r="CF3" s="505"/>
      <c r="CG3" s="505"/>
      <c r="CH3" s="505"/>
      <c r="CI3" s="505"/>
      <c r="CJ3" s="505"/>
      <c r="CN3" s="1">
        <v>6555196.3899999997</v>
      </c>
      <c r="CO3" s="1">
        <v>7400977.0700000003</v>
      </c>
      <c r="CP3" s="1">
        <v>7968378.1699999999</v>
      </c>
      <c r="CQ3" s="1">
        <v>9153478</v>
      </c>
      <c r="CR3" s="1">
        <v>9269914</v>
      </c>
      <c r="CS3" s="1">
        <v>11549095</v>
      </c>
      <c r="CT3" s="1">
        <v>11348675</v>
      </c>
      <c r="CU3" s="1">
        <v>7584856.2800000003</v>
      </c>
      <c r="CV3" s="1">
        <v>5266948.46</v>
      </c>
      <c r="CW3" s="1">
        <v>4073475.11</v>
      </c>
      <c r="CX3" s="1">
        <v>4194109.98</v>
      </c>
      <c r="CY3" s="1">
        <v>3033059.52</v>
      </c>
      <c r="DB3" s="1">
        <v>1623008.14</v>
      </c>
      <c r="DC3" s="1">
        <v>1127017.6299999999</v>
      </c>
      <c r="DD3" s="1">
        <v>868382.81</v>
      </c>
      <c r="ED3" s="1089"/>
      <c r="EE3" s="1089"/>
      <c r="EF3" s="1089"/>
      <c r="EG3" s="1089"/>
      <c r="EH3" s="1089"/>
      <c r="EI3" s="1089"/>
      <c r="EJ3" s="1089"/>
    </row>
    <row r="4" spans="1:175" ht="9" customHeight="1">
      <c r="B4" s="189"/>
      <c r="C4" s="189"/>
      <c r="D4" s="189"/>
      <c r="E4" s="189"/>
      <c r="F4" s="189"/>
      <c r="G4" s="189"/>
      <c r="H4" s="189"/>
    </row>
    <row r="5" spans="1:175" s="41" customFormat="1" ht="10.7">
      <c r="B5" s="43"/>
      <c r="C5" s="43"/>
      <c r="D5" s="43"/>
      <c r="E5" s="43"/>
      <c r="F5" s="43"/>
      <c r="G5" s="43"/>
      <c r="H5" s="43"/>
      <c r="I5" s="6"/>
      <c r="J5" s="6"/>
      <c r="K5" s="6"/>
      <c r="M5" s="6"/>
      <c r="O5" s="6"/>
      <c r="P5" s="6"/>
      <c r="Q5" s="6"/>
      <c r="R5" s="6"/>
      <c r="S5" s="6"/>
      <c r="U5" s="6"/>
      <c r="V5" s="6"/>
      <c r="W5" s="6"/>
      <c r="X5" s="6"/>
      <c r="Y5" s="6"/>
      <c r="Z5" s="6"/>
      <c r="AA5" s="6"/>
      <c r="AB5" s="6"/>
      <c r="AC5" s="6"/>
      <c r="AD5" s="6"/>
      <c r="AE5" s="6"/>
      <c r="AF5" s="6"/>
      <c r="AG5" s="6"/>
      <c r="AI5" s="6"/>
      <c r="AJ5" s="6"/>
      <c r="AK5" s="6"/>
      <c r="AL5" s="6"/>
      <c r="AM5" s="6"/>
      <c r="AN5" s="6"/>
      <c r="AO5" s="6"/>
      <c r="AP5" s="6"/>
      <c r="AQ5" s="6"/>
      <c r="AR5" s="6"/>
      <c r="AS5" s="6"/>
      <c r="AT5" s="6"/>
      <c r="AU5" s="6"/>
      <c r="AW5" s="6"/>
      <c r="AX5" s="6"/>
      <c r="AY5" s="6"/>
      <c r="AZ5" s="6"/>
      <c r="BA5" s="6"/>
      <c r="BB5" s="6"/>
      <c r="BC5" s="6"/>
      <c r="BD5" s="6"/>
      <c r="BE5" s="6"/>
      <c r="BF5" s="6"/>
      <c r="BG5" s="6"/>
      <c r="BH5" s="6"/>
      <c r="BI5" s="6"/>
      <c r="BK5" s="6"/>
      <c r="BL5" s="6"/>
      <c r="BM5" s="6"/>
      <c r="BN5" s="6"/>
      <c r="BO5" s="6"/>
      <c r="BP5" s="6"/>
      <c r="BQ5" s="6"/>
      <c r="BR5" s="6"/>
      <c r="BS5" s="6"/>
      <c r="BT5" s="6"/>
      <c r="BU5" s="6"/>
      <c r="BV5" s="6"/>
      <c r="BW5" s="6"/>
      <c r="BY5" s="6"/>
      <c r="BZ5" s="6"/>
      <c r="CA5" s="6"/>
      <c r="CB5" s="6"/>
      <c r="CC5" s="6"/>
      <c r="CD5" s="6"/>
      <c r="CE5" s="6"/>
      <c r="CF5" s="6"/>
      <c r="CG5" s="6"/>
      <c r="CH5" s="6"/>
      <c r="CI5" s="6"/>
      <c r="CJ5" s="6"/>
      <c r="CK5" s="6"/>
      <c r="CM5" s="6"/>
      <c r="CN5" s="6"/>
      <c r="CO5" s="6"/>
      <c r="CP5" s="6"/>
      <c r="CQ5" s="6"/>
      <c r="CR5" s="6"/>
      <c r="CS5" s="6"/>
      <c r="CT5" s="6"/>
      <c r="CU5" s="6"/>
      <c r="CV5" s="6"/>
      <c r="CW5" s="6"/>
      <c r="CX5" s="6"/>
      <c r="CY5" s="6"/>
      <c r="DA5" s="6"/>
      <c r="DB5" s="6"/>
      <c r="DC5" s="6"/>
      <c r="DD5" s="6"/>
      <c r="DE5" s="6"/>
      <c r="DF5" s="6"/>
      <c r="DG5" s="6"/>
      <c r="DH5" s="6"/>
      <c r="DI5" s="6"/>
      <c r="DJ5" s="6"/>
      <c r="DK5" s="6"/>
      <c r="DL5" s="6"/>
      <c r="DM5" s="6"/>
      <c r="DO5" s="6"/>
      <c r="DP5" s="6"/>
      <c r="DQ5" s="6"/>
      <c r="DR5" s="6"/>
      <c r="DS5" s="6"/>
      <c r="DT5" s="6"/>
      <c r="DU5" s="6"/>
      <c r="DV5" s="6"/>
      <c r="DW5" s="6"/>
      <c r="DX5" s="6"/>
      <c r="DY5" s="6"/>
      <c r="DZ5" s="6"/>
      <c r="EA5" s="6"/>
      <c r="EC5" s="6"/>
      <c r="ED5" s="6"/>
      <c r="EE5" s="6"/>
      <c r="EF5" s="6"/>
      <c r="EG5" s="6"/>
      <c r="EH5" s="6"/>
      <c r="EI5" s="6"/>
      <c r="EJ5" s="6"/>
      <c r="EK5" s="6"/>
      <c r="EL5" s="6"/>
      <c r="EM5" s="6"/>
      <c r="EN5" s="6"/>
      <c r="EO5" s="6"/>
      <c r="EQ5" s="6"/>
      <c r="ER5" s="6"/>
      <c r="ES5" s="6"/>
      <c r="ET5" s="6"/>
      <c r="EU5" s="6"/>
      <c r="EV5" s="6"/>
      <c r="EW5" s="6"/>
      <c r="EX5" s="6"/>
      <c r="EY5" s="6"/>
      <c r="EZ5" s="6"/>
      <c r="FA5" s="6"/>
      <c r="FB5" s="6"/>
      <c r="FC5" s="6"/>
      <c r="FE5" s="6"/>
      <c r="FF5" s="6"/>
      <c r="FG5" s="6"/>
      <c r="FH5" s="6"/>
      <c r="FI5" s="6"/>
      <c r="FJ5" s="6"/>
      <c r="FK5" s="6"/>
      <c r="FL5" s="6"/>
      <c r="FM5" s="6"/>
      <c r="FN5" s="6"/>
      <c r="FO5" s="6"/>
      <c r="FP5" s="6"/>
      <c r="FQ5" s="6"/>
      <c r="FS5" s="6"/>
    </row>
    <row r="6" spans="1:175" s="2" customFormat="1" ht="15" customHeight="1">
      <c r="B6" s="104"/>
      <c r="C6" s="104"/>
      <c r="D6" s="104"/>
      <c r="E6" s="104"/>
      <c r="F6" s="104"/>
      <c r="G6" s="104"/>
      <c r="H6" s="104"/>
      <c r="I6" s="6" t="s">
        <v>321</v>
      </c>
      <c r="J6" s="6" t="s">
        <v>377</v>
      </c>
      <c r="K6" s="6" t="s">
        <v>790</v>
      </c>
      <c r="M6" s="6"/>
      <c r="O6" s="231" t="s">
        <v>145</v>
      </c>
      <c r="P6" s="1153" t="s">
        <v>148</v>
      </c>
      <c r="Q6" s="1153"/>
      <c r="R6" s="1153"/>
      <c r="S6" s="20" t="s">
        <v>151</v>
      </c>
      <c r="U6" s="1146" t="s">
        <v>145</v>
      </c>
      <c r="V6" s="1147"/>
      <c r="W6" s="1147"/>
      <c r="X6" s="1147"/>
      <c r="Y6" s="1147"/>
      <c r="Z6" s="1147"/>
      <c r="AA6" s="1147"/>
      <c r="AB6" s="1147"/>
      <c r="AC6" s="1147"/>
      <c r="AD6" s="1147"/>
      <c r="AE6" s="1147"/>
      <c r="AF6" s="1147"/>
      <c r="AG6" s="1148"/>
      <c r="AI6" s="1146" t="s">
        <v>145</v>
      </c>
      <c r="AJ6" s="1147"/>
      <c r="AK6" s="1147"/>
      <c r="AL6" s="1147"/>
      <c r="AM6" s="1147"/>
      <c r="AN6" s="1147"/>
      <c r="AO6" s="1147"/>
      <c r="AP6" s="1147"/>
      <c r="AQ6" s="1147"/>
      <c r="AR6" s="1147"/>
      <c r="AS6" s="1147"/>
      <c r="AT6" s="1147"/>
      <c r="AU6" s="1148"/>
      <c r="AW6" s="1146" t="s">
        <v>145</v>
      </c>
      <c r="AX6" s="1147"/>
      <c r="AY6" s="1147"/>
      <c r="AZ6" s="1147"/>
      <c r="BA6" s="1147"/>
      <c r="BB6" s="1147"/>
      <c r="BC6" s="1147"/>
      <c r="BD6" s="1147"/>
      <c r="BE6" s="1147"/>
      <c r="BF6" s="1147"/>
      <c r="BG6" s="1147"/>
      <c r="BH6" s="1147"/>
      <c r="BI6" s="1148"/>
      <c r="BK6" s="1146" t="s">
        <v>145</v>
      </c>
      <c r="BL6" s="1147"/>
      <c r="BM6" s="1147"/>
      <c r="BN6" s="1147"/>
      <c r="BO6" s="1147"/>
      <c r="BP6" s="1147"/>
      <c r="BQ6" s="1147"/>
      <c r="BR6" s="1147"/>
      <c r="BS6" s="1147"/>
      <c r="BT6" s="1147"/>
      <c r="BU6" s="1147"/>
      <c r="BV6" s="1147"/>
      <c r="BW6" s="1148"/>
      <c r="BY6" s="1146" t="s">
        <v>145</v>
      </c>
      <c r="BZ6" s="1147"/>
      <c r="CA6" s="1147"/>
      <c r="CB6" s="1147"/>
      <c r="CC6" s="1147"/>
      <c r="CD6" s="1147"/>
      <c r="CE6" s="1147"/>
      <c r="CF6" s="1147"/>
      <c r="CG6" s="1147"/>
      <c r="CH6" s="1147"/>
      <c r="CI6" s="1147"/>
      <c r="CJ6" s="1147"/>
      <c r="CK6" s="1148"/>
      <c r="CM6" s="1146" t="s">
        <v>145</v>
      </c>
      <c r="CN6" s="1147"/>
      <c r="CO6" s="1147"/>
      <c r="CP6" s="1147"/>
      <c r="CQ6" s="1147"/>
      <c r="CR6" s="1147"/>
      <c r="CS6" s="1147"/>
      <c r="CT6" s="1147"/>
      <c r="CU6" s="1147"/>
      <c r="CV6" s="1147"/>
      <c r="CW6" s="1147"/>
      <c r="CX6" s="1147"/>
      <c r="CY6" s="1148"/>
      <c r="DA6" s="1146" t="s">
        <v>145</v>
      </c>
      <c r="DB6" s="1147"/>
      <c r="DC6" s="1147"/>
      <c r="DD6" s="1147"/>
      <c r="DE6" s="1147"/>
      <c r="DF6" s="1147"/>
      <c r="DG6" s="1147"/>
      <c r="DH6" s="1147"/>
      <c r="DI6" s="1147"/>
      <c r="DJ6" s="1147"/>
      <c r="DK6" s="1147"/>
      <c r="DL6" s="1147"/>
      <c r="DM6" s="1148"/>
      <c r="DO6" s="1146" t="s">
        <v>145</v>
      </c>
      <c r="DP6" s="1147"/>
      <c r="DQ6" s="1147"/>
      <c r="DR6" s="1147"/>
      <c r="DS6" s="1147"/>
      <c r="DT6" s="1147"/>
      <c r="DU6" s="1147"/>
      <c r="DV6" s="1147"/>
      <c r="DW6" s="1147"/>
      <c r="DX6" s="1147"/>
      <c r="DY6" s="1147"/>
      <c r="DZ6" s="1147"/>
      <c r="EA6" s="1148"/>
      <c r="EC6" s="1146" t="s">
        <v>148</v>
      </c>
      <c r="ED6" s="1147"/>
      <c r="EE6" s="1147"/>
      <c r="EF6" s="1147"/>
      <c r="EG6" s="1147"/>
      <c r="EH6" s="1147"/>
      <c r="EI6" s="1147"/>
      <c r="EJ6" s="1147"/>
      <c r="EK6" s="1147"/>
      <c r="EL6" s="1147"/>
      <c r="EM6" s="1147"/>
      <c r="EN6" s="1147"/>
      <c r="EO6" s="1148"/>
      <c r="EQ6" s="1146" t="s">
        <v>151</v>
      </c>
      <c r="ER6" s="1147"/>
      <c r="ES6" s="1147"/>
      <c r="ET6" s="1147"/>
      <c r="EU6" s="1147"/>
      <c r="EV6" s="1147"/>
      <c r="EW6" s="1147"/>
      <c r="EX6" s="1147"/>
      <c r="EY6" s="1147"/>
      <c r="EZ6" s="1147"/>
      <c r="FA6" s="1147"/>
      <c r="FB6" s="1147"/>
      <c r="FC6" s="1148"/>
      <c r="FE6" s="1146" t="s">
        <v>151</v>
      </c>
      <c r="FF6" s="1147"/>
      <c r="FG6" s="1147"/>
      <c r="FH6" s="1147"/>
      <c r="FI6" s="1147"/>
      <c r="FJ6" s="1147"/>
      <c r="FK6" s="1147"/>
      <c r="FL6" s="1147"/>
      <c r="FM6" s="1147"/>
      <c r="FN6" s="1147"/>
      <c r="FO6" s="1147"/>
      <c r="FP6" s="1147"/>
      <c r="FQ6" s="1148"/>
      <c r="FS6" s="164"/>
    </row>
    <row r="7" spans="1:175" s="2" customFormat="1" ht="27.95">
      <c r="B7" s="223" t="s">
        <v>338</v>
      </c>
      <c r="C7" s="223" t="s">
        <v>7</v>
      </c>
      <c r="D7" s="221" t="s">
        <v>339</v>
      </c>
      <c r="E7" s="186" t="s">
        <v>1577</v>
      </c>
      <c r="F7" s="187" t="s">
        <v>1578</v>
      </c>
      <c r="G7" s="220" t="s">
        <v>13</v>
      </c>
      <c r="H7" s="20" t="s">
        <v>1579</v>
      </c>
      <c r="I7" s="20" t="s">
        <v>396</v>
      </c>
      <c r="J7" s="20" t="s">
        <v>358</v>
      </c>
      <c r="K7" s="20" t="s">
        <v>1574</v>
      </c>
      <c r="M7" s="145" t="s">
        <v>1580</v>
      </c>
      <c r="O7" s="20" t="s">
        <v>1581</v>
      </c>
      <c r="P7" s="20" t="s">
        <v>1582</v>
      </c>
      <c r="Q7" s="20" t="s">
        <v>1583</v>
      </c>
      <c r="R7" s="20" t="s">
        <v>1584</v>
      </c>
      <c r="S7" s="20" t="s">
        <v>1585</v>
      </c>
      <c r="U7" s="242">
        <f>IF($AG$7&lt;&gt;0,EDATE(DATE(REPLACE($AG$7,3,3,""),3,1),COLUMN(U7)-COLUMN($AG$7)+1),"")</f>
        <v>42826</v>
      </c>
      <c r="V7" s="242">
        <f t="shared" ref="V7:AF7" si="0">IF($AG$7&lt;&gt;0,EDATE(DATE(REPLACE($AG$7,3,3,""),3,1),COLUMN(V7)-COLUMN($AG$7)+1),"")</f>
        <v>42856</v>
      </c>
      <c r="W7" s="242">
        <f t="shared" si="0"/>
        <v>42887</v>
      </c>
      <c r="X7" s="242">
        <f t="shared" si="0"/>
        <v>42917</v>
      </c>
      <c r="Y7" s="242">
        <f t="shared" si="0"/>
        <v>42948</v>
      </c>
      <c r="Z7" s="242">
        <f t="shared" si="0"/>
        <v>42979</v>
      </c>
      <c r="AA7" s="242">
        <f t="shared" si="0"/>
        <v>43009</v>
      </c>
      <c r="AB7" s="242">
        <f t="shared" si="0"/>
        <v>43040</v>
      </c>
      <c r="AC7" s="242">
        <f t="shared" si="0"/>
        <v>43070</v>
      </c>
      <c r="AD7" s="242">
        <f t="shared" si="0"/>
        <v>43101</v>
      </c>
      <c r="AE7" s="242">
        <f t="shared" si="0"/>
        <v>43132</v>
      </c>
      <c r="AF7" s="242">
        <f t="shared" si="0"/>
        <v>43160</v>
      </c>
      <c r="AG7" s="145" t="str">
        <f>+'Target Tracking'!E17</f>
        <v>2017-18</v>
      </c>
      <c r="AI7" s="242">
        <f>IF($AU$7&lt;&gt;0,EDATE(DATE(REPLACE($AU$7,3,3,""),3,1),COLUMN(AI7)-COLUMN($AU$7)+1),"")</f>
        <v>43191</v>
      </c>
      <c r="AJ7" s="242">
        <f t="shared" ref="AJ7:AT7" si="1">IF($AU$7&lt;&gt;0,EDATE(DATE(REPLACE($AU$7,3,3,""),3,1),COLUMN(AJ7)-COLUMN($AU$7)+1),"")</f>
        <v>43221</v>
      </c>
      <c r="AK7" s="242">
        <f t="shared" si="1"/>
        <v>43252</v>
      </c>
      <c r="AL7" s="242">
        <f t="shared" si="1"/>
        <v>43282</v>
      </c>
      <c r="AM7" s="242">
        <f t="shared" si="1"/>
        <v>43313</v>
      </c>
      <c r="AN7" s="242">
        <f t="shared" si="1"/>
        <v>43344</v>
      </c>
      <c r="AO7" s="242">
        <f t="shared" si="1"/>
        <v>43374</v>
      </c>
      <c r="AP7" s="242">
        <f t="shared" si="1"/>
        <v>43405</v>
      </c>
      <c r="AQ7" s="242">
        <f t="shared" si="1"/>
        <v>43435</v>
      </c>
      <c r="AR7" s="242">
        <f t="shared" si="1"/>
        <v>43466</v>
      </c>
      <c r="AS7" s="242">
        <f t="shared" si="1"/>
        <v>43497</v>
      </c>
      <c r="AT7" s="242">
        <f t="shared" si="1"/>
        <v>43525</v>
      </c>
      <c r="AU7" s="145" t="str">
        <f>+'Target Tracking'!F17</f>
        <v>2018-19</v>
      </c>
      <c r="AW7" s="242">
        <f>IF($BI$7&lt;&gt;0,EDATE(DATE(REPLACE($BI$7,3,3,""),3,1),COLUMN(AW7)-COLUMN($BI$7)+1),"")</f>
        <v>43556</v>
      </c>
      <c r="AX7" s="242">
        <f t="shared" ref="AX7:BH7" si="2">IF($BI$7&lt;&gt;0,EDATE(DATE(REPLACE($BI$7,3,3,""),3,1),COLUMN(AX7)-COLUMN($BI$7)+1),"")</f>
        <v>43586</v>
      </c>
      <c r="AY7" s="242">
        <f t="shared" si="2"/>
        <v>43617</v>
      </c>
      <c r="AZ7" s="242">
        <f t="shared" si="2"/>
        <v>43647</v>
      </c>
      <c r="BA7" s="242">
        <f t="shared" si="2"/>
        <v>43678</v>
      </c>
      <c r="BB7" s="242">
        <f t="shared" si="2"/>
        <v>43709</v>
      </c>
      <c r="BC7" s="242">
        <f t="shared" si="2"/>
        <v>43739</v>
      </c>
      <c r="BD7" s="242">
        <f t="shared" si="2"/>
        <v>43770</v>
      </c>
      <c r="BE7" s="242">
        <f t="shared" si="2"/>
        <v>43800</v>
      </c>
      <c r="BF7" s="242">
        <f t="shared" si="2"/>
        <v>43831</v>
      </c>
      <c r="BG7" s="242">
        <f t="shared" si="2"/>
        <v>43862</v>
      </c>
      <c r="BH7" s="242">
        <f t="shared" si="2"/>
        <v>43891</v>
      </c>
      <c r="BI7" s="145" t="str">
        <f>+'Target Tracking'!G17</f>
        <v>2019-20</v>
      </c>
      <c r="BK7" s="242">
        <f>IF($BW$7&lt;&gt;0,EDATE(DATE(REPLACE($BW$7,3,3,""),3,1),COLUMN(BK7)-COLUMN($BW$7)+1),"")</f>
        <v>43922</v>
      </c>
      <c r="BL7" s="242">
        <f t="shared" ref="BL7:BV7" si="3">IF($BW$7&lt;&gt;0,EDATE(DATE(REPLACE($BW$7,3,3,""),3,1),COLUMN(BL7)-COLUMN($BW$7)+1),"")</f>
        <v>43952</v>
      </c>
      <c r="BM7" s="242">
        <f t="shared" si="3"/>
        <v>43983</v>
      </c>
      <c r="BN7" s="242">
        <f t="shared" si="3"/>
        <v>44013</v>
      </c>
      <c r="BO7" s="242">
        <f t="shared" si="3"/>
        <v>44044</v>
      </c>
      <c r="BP7" s="242">
        <f t="shared" si="3"/>
        <v>44075</v>
      </c>
      <c r="BQ7" s="242">
        <f t="shared" si="3"/>
        <v>44105</v>
      </c>
      <c r="BR7" s="242">
        <f t="shared" si="3"/>
        <v>44136</v>
      </c>
      <c r="BS7" s="242">
        <f t="shared" si="3"/>
        <v>44166</v>
      </c>
      <c r="BT7" s="242">
        <f t="shared" si="3"/>
        <v>44197</v>
      </c>
      <c r="BU7" s="242">
        <f t="shared" si="3"/>
        <v>44228</v>
      </c>
      <c r="BV7" s="242">
        <f t="shared" si="3"/>
        <v>44256</v>
      </c>
      <c r="BW7" s="145" t="str">
        <f>+'Target Tracking'!H17</f>
        <v>2020-21</v>
      </c>
      <c r="BY7" s="242">
        <f>IF($CK$7&lt;&gt;0,EDATE(DATE(REPLACE($CK$7,3,3,""),3,1),COLUMN(BY7)-COLUMN($CK$7)+1),"")</f>
        <v>44287</v>
      </c>
      <c r="BZ7" s="242">
        <f t="shared" ref="BZ7:CJ7" si="4">IF($CK$7&lt;&gt;0,EDATE(DATE(REPLACE($CK$7,3,3,""),3,1),COLUMN(BZ7)-COLUMN($CK$7)+1),"")</f>
        <v>44317</v>
      </c>
      <c r="CA7" s="242">
        <f t="shared" si="4"/>
        <v>44348</v>
      </c>
      <c r="CB7" s="242">
        <f t="shared" si="4"/>
        <v>44378</v>
      </c>
      <c r="CC7" s="242">
        <f t="shared" si="4"/>
        <v>44409</v>
      </c>
      <c r="CD7" s="242">
        <f t="shared" si="4"/>
        <v>44440</v>
      </c>
      <c r="CE7" s="242">
        <f t="shared" si="4"/>
        <v>44470</v>
      </c>
      <c r="CF7" s="242">
        <f t="shared" si="4"/>
        <v>44501</v>
      </c>
      <c r="CG7" s="242">
        <f t="shared" si="4"/>
        <v>44531</v>
      </c>
      <c r="CH7" s="242">
        <f t="shared" si="4"/>
        <v>44562</v>
      </c>
      <c r="CI7" s="242">
        <f t="shared" si="4"/>
        <v>44593</v>
      </c>
      <c r="CJ7" s="242">
        <f t="shared" si="4"/>
        <v>44621</v>
      </c>
      <c r="CK7" s="145" t="str">
        <f>+'Target Tracking'!I17</f>
        <v>2021-22</v>
      </c>
      <c r="CM7" s="242">
        <f>IF($CY$7&lt;&gt;0,EDATE(DATE(REPLACE($CY$7,3,3,""),3,1),COLUMN(CM7)-COLUMN($CY$7)+1),"")</f>
        <v>44652</v>
      </c>
      <c r="CN7" s="242">
        <f t="shared" ref="CN7:CX7" si="5">IF($CY$7&lt;&gt;0,EDATE(DATE(REPLACE($CY$7,3,3,""),3,1),COLUMN(CN7)-COLUMN($CY$7)+1),"")</f>
        <v>44682</v>
      </c>
      <c r="CO7" s="242">
        <f t="shared" si="5"/>
        <v>44713</v>
      </c>
      <c r="CP7" s="242">
        <f t="shared" si="5"/>
        <v>44743</v>
      </c>
      <c r="CQ7" s="242">
        <f t="shared" si="5"/>
        <v>44774</v>
      </c>
      <c r="CR7" s="242">
        <f t="shared" si="5"/>
        <v>44805</v>
      </c>
      <c r="CS7" s="242">
        <f t="shared" si="5"/>
        <v>44835</v>
      </c>
      <c r="CT7" s="242">
        <f t="shared" si="5"/>
        <v>44866</v>
      </c>
      <c r="CU7" s="242">
        <f t="shared" si="5"/>
        <v>44896</v>
      </c>
      <c r="CV7" s="242">
        <f t="shared" si="5"/>
        <v>44927</v>
      </c>
      <c r="CW7" s="242">
        <f t="shared" si="5"/>
        <v>44958</v>
      </c>
      <c r="CX7" s="242">
        <f t="shared" si="5"/>
        <v>44986</v>
      </c>
      <c r="CY7" s="145" t="str">
        <f>+'Target Tracking'!J17</f>
        <v>2022-23</v>
      </c>
      <c r="DA7" s="242">
        <f>IF($DM$7&lt;&gt;0,EDATE(DATE(REPLACE($DM$7,3,3,""),3,1),COLUMN(DA7)-COLUMN($DM$7)+1),"")</f>
        <v>45017</v>
      </c>
      <c r="DB7" s="242">
        <f t="shared" ref="DB7:DL7" si="6">IF($DM$7&lt;&gt;0,EDATE(DATE(REPLACE($DM$7,3,3,""),3,1),COLUMN(DB7)-COLUMN($DM$7)+1),"")</f>
        <v>45047</v>
      </c>
      <c r="DC7" s="242">
        <f t="shared" si="6"/>
        <v>45078</v>
      </c>
      <c r="DD7" s="242">
        <f t="shared" si="6"/>
        <v>45108</v>
      </c>
      <c r="DE7" s="242">
        <f t="shared" si="6"/>
        <v>45139</v>
      </c>
      <c r="DF7" s="242">
        <f t="shared" si="6"/>
        <v>45170</v>
      </c>
      <c r="DG7" s="242">
        <f t="shared" si="6"/>
        <v>45200</v>
      </c>
      <c r="DH7" s="242">
        <f t="shared" si="6"/>
        <v>45231</v>
      </c>
      <c r="DI7" s="242">
        <f t="shared" si="6"/>
        <v>45261</v>
      </c>
      <c r="DJ7" s="242">
        <f t="shared" si="6"/>
        <v>45292</v>
      </c>
      <c r="DK7" s="242">
        <f t="shared" si="6"/>
        <v>45323</v>
      </c>
      <c r="DL7" s="242">
        <f t="shared" si="6"/>
        <v>45352</v>
      </c>
      <c r="DM7" s="145" t="str">
        <f>+'Target Tracking'!K17</f>
        <v>2023-24</v>
      </c>
      <c r="DO7" s="242">
        <f>IF($EA$7&lt;&gt;0,EDATE(DATE(REPLACE($EA$7,3,3,""),3,1),COLUMN(DO7)-COLUMN($EA$7)+1),"")</f>
        <v>45383</v>
      </c>
      <c r="DP7" s="242">
        <f t="shared" ref="DP7:DZ7" si="7">IF($EA$7&lt;&gt;0,EDATE(DATE(REPLACE($EA$7,3,3,""),3,1),COLUMN(DP7)-COLUMN($EA$7)+1),"")</f>
        <v>45413</v>
      </c>
      <c r="DQ7" s="242">
        <f t="shared" si="7"/>
        <v>45444</v>
      </c>
      <c r="DR7" s="242">
        <f t="shared" si="7"/>
        <v>45474</v>
      </c>
      <c r="DS7" s="242">
        <f t="shared" si="7"/>
        <v>45505</v>
      </c>
      <c r="DT7" s="242">
        <f t="shared" si="7"/>
        <v>45536</v>
      </c>
      <c r="DU7" s="242">
        <f t="shared" si="7"/>
        <v>45566</v>
      </c>
      <c r="DV7" s="242">
        <f t="shared" si="7"/>
        <v>45597</v>
      </c>
      <c r="DW7" s="242">
        <f t="shared" si="7"/>
        <v>45627</v>
      </c>
      <c r="DX7" s="242">
        <f t="shared" si="7"/>
        <v>45658</v>
      </c>
      <c r="DY7" s="242">
        <f t="shared" si="7"/>
        <v>45689</v>
      </c>
      <c r="DZ7" s="242">
        <f t="shared" si="7"/>
        <v>45717</v>
      </c>
      <c r="EA7" s="145" t="str">
        <f>+'Target Tracking'!L17</f>
        <v>2024-25</v>
      </c>
      <c r="EC7" s="242">
        <f>IF($EO$7&lt;&gt;0,EDATE(DATE(REPLACE($EO$7,3,3,""),3,1),COLUMN(EC7)-COLUMN($EO$7)+1),"")</f>
        <v>45748</v>
      </c>
      <c r="ED7" s="242">
        <f t="shared" ref="ED7:EN7" si="8">IF($EO$7&lt;&gt;0,EDATE(DATE(REPLACE($EO$7,3,3,""),3,1),COLUMN(ED7)-COLUMN($EO$7)+1),"")</f>
        <v>45778</v>
      </c>
      <c r="EE7" s="242">
        <f t="shared" si="8"/>
        <v>45809</v>
      </c>
      <c r="EF7" s="242">
        <f t="shared" si="8"/>
        <v>45839</v>
      </c>
      <c r="EG7" s="242">
        <f t="shared" si="8"/>
        <v>45870</v>
      </c>
      <c r="EH7" s="242">
        <f t="shared" si="8"/>
        <v>45901</v>
      </c>
      <c r="EI7" s="242">
        <f t="shared" si="8"/>
        <v>45931</v>
      </c>
      <c r="EJ7" s="242">
        <f t="shared" si="8"/>
        <v>45962</v>
      </c>
      <c r="EK7" s="242">
        <f t="shared" si="8"/>
        <v>45992</v>
      </c>
      <c r="EL7" s="242">
        <f t="shared" si="8"/>
        <v>46023</v>
      </c>
      <c r="EM7" s="242">
        <f t="shared" si="8"/>
        <v>46054</v>
      </c>
      <c r="EN7" s="242">
        <f t="shared" si="8"/>
        <v>46082</v>
      </c>
      <c r="EO7" s="145" t="str">
        <f>+'Target Tracking'!M17</f>
        <v>2025-26</v>
      </c>
      <c r="EQ7" s="242">
        <f>IF($FC$7&lt;&gt;0,EDATE(DATE(REPLACE($FC$7,3,3,""),3,1),COLUMN(EQ7)-COLUMN($FC$7)+1),"")</f>
        <v>46113</v>
      </c>
      <c r="ER7" s="242">
        <f t="shared" ref="ER7:FB7" si="9">IF($FC$7&lt;&gt;0,EDATE(DATE(REPLACE($FC$7,3,3,""),3,1),COLUMN(ER7)-COLUMN($FC$7)+1),"")</f>
        <v>46143</v>
      </c>
      <c r="ES7" s="242">
        <f t="shared" si="9"/>
        <v>46174</v>
      </c>
      <c r="ET7" s="242">
        <f t="shared" si="9"/>
        <v>46204</v>
      </c>
      <c r="EU7" s="242">
        <f t="shared" si="9"/>
        <v>46235</v>
      </c>
      <c r="EV7" s="242">
        <f t="shared" si="9"/>
        <v>46266</v>
      </c>
      <c r="EW7" s="242">
        <f t="shared" si="9"/>
        <v>46296</v>
      </c>
      <c r="EX7" s="242">
        <f t="shared" si="9"/>
        <v>46327</v>
      </c>
      <c r="EY7" s="242">
        <f t="shared" si="9"/>
        <v>46357</v>
      </c>
      <c r="EZ7" s="242">
        <f t="shared" si="9"/>
        <v>46388</v>
      </c>
      <c r="FA7" s="242">
        <f t="shared" si="9"/>
        <v>46419</v>
      </c>
      <c r="FB7" s="242">
        <f t="shared" si="9"/>
        <v>46447</v>
      </c>
      <c r="FC7" s="145" t="str">
        <f>+'Target Tracking'!N17</f>
        <v>2026-27</v>
      </c>
      <c r="FE7" s="242">
        <f>IF($FQ$7&lt;&gt;0,EDATE(DATE(REPLACE($FQ$7,3,3,""),3,1),COLUMN(FE7)-COLUMN($FQ$7)+1),"")</f>
        <v>46478</v>
      </c>
      <c r="FF7" s="242">
        <f t="shared" ref="FF7:FP7" si="10">IF($FQ$7&lt;&gt;0,EDATE(DATE(REPLACE($FQ$7,3,3,""),3,1),COLUMN(FF7)-COLUMN($FQ$7)+1),"")</f>
        <v>46508</v>
      </c>
      <c r="FG7" s="242">
        <f t="shared" si="10"/>
        <v>46539</v>
      </c>
      <c r="FH7" s="242">
        <f t="shared" si="10"/>
        <v>46569</v>
      </c>
      <c r="FI7" s="242">
        <f t="shared" si="10"/>
        <v>46600</v>
      </c>
      <c r="FJ7" s="242">
        <f t="shared" si="10"/>
        <v>46631</v>
      </c>
      <c r="FK7" s="242">
        <f t="shared" si="10"/>
        <v>46661</v>
      </c>
      <c r="FL7" s="242">
        <f t="shared" si="10"/>
        <v>46692</v>
      </c>
      <c r="FM7" s="242">
        <f t="shared" si="10"/>
        <v>46722</v>
      </c>
      <c r="FN7" s="242">
        <f t="shared" si="10"/>
        <v>46753</v>
      </c>
      <c r="FO7" s="242">
        <f t="shared" si="10"/>
        <v>46784</v>
      </c>
      <c r="FP7" s="242">
        <f t="shared" si="10"/>
        <v>46813</v>
      </c>
      <c r="FQ7" s="145" t="str">
        <f>+'Target Tracking'!O17</f>
        <v>2027-28</v>
      </c>
      <c r="FS7" s="233" t="s">
        <v>1586</v>
      </c>
    </row>
    <row r="8" spans="1:175">
      <c r="A8" s="216">
        <v>1</v>
      </c>
      <c r="B8" s="219" t="str">
        <f ca="1">INDEX(EAC[PA ID],MATCH($A8,EAC[Row],0))</f>
        <v>100.010.F1</v>
      </c>
      <c r="C8" s="218" t="str">
        <f ca="1">INDEX(EAC[Primary Category],MATCH($A8,EAC[Row],0))</f>
        <v>Administration</v>
      </c>
      <c r="D8" s="218" t="str">
        <f ca="1">INDEX(EAC[Secondary Category],MATCH($A8,EAC[Row],0))</f>
        <v>Staff Capitalization - INFRA</v>
      </c>
      <c r="E8" s="109" t="str">
        <f ca="1">INDEX(EAC[Phase / Subproject],MATCH($A8,EAC[Row],0))</f>
        <v>--</v>
      </c>
      <c r="F8" s="109" t="str">
        <f ca="1">INDEX(EAC[Phase / Subproject 2],MATCH($A8,EAC[Row],0))</f>
        <v>--</v>
      </c>
      <c r="G8" s="109" t="str">
        <f ca="1">INDEX(EAC[Funding Source],MATCH($A8,EAC[Row],0))</f>
        <v>P-002360</v>
      </c>
      <c r="H8" s="146" t="str">
        <f ca="1">INDEX(EAC[Vendor / Org. with Contract ID],MATCH($A8,EAC[Row],0))</f>
        <v>Staff Capitalization-34830</v>
      </c>
      <c r="I8" s="502">
        <f ca="1">INDEX(EAC[Estimate At Completion],MATCH($A8,EAC[Row],0))</f>
        <v>3577739</v>
      </c>
      <c r="J8" s="502">
        <f ca="1">SUMIFS(CostTrack[Value],CostTrack[Vendor - Contract],$H8,CostTrack[PA ID],$B8,CostTrack[Holdback (Y/N/R)],"&lt;&gt;Release",CostTrack[Status],"Approved")</f>
        <v>3303972.9300000006</v>
      </c>
      <c r="K8" s="503">
        <f ca="1">IFERROR(I8-J8,"")</f>
        <v>273766.06999999937</v>
      </c>
      <c r="M8" s="504">
        <f ca="1">I8-FS8</f>
        <v>0</v>
      </c>
      <c r="O8" s="504">
        <f t="shared" ref="O8:O34" ca="1" si="11">SUMIF($U$6:$FQ$6,"Previous Fiscal",AG8:FQ8)</f>
        <v>3303972.9299999997</v>
      </c>
      <c r="P8" s="504">
        <f t="array" aca="1" ref="P8" ca="1">SUM($U8:$FQ8*_xlfn.ISFORMULA($U8:$FQ8)*ISNUMBER($U$7:$FQ$7)*--(INDEX($U$6:$FQ$6,N(IF({1},COLUMN($U$6:$FQ$6)-COLUMN($T$6)))-MOD(N(IF({1},COLUMN($U$6:$FQ$6)-COLUMN($U$6))),14))="Current Fiscal"))</f>
        <v>0</v>
      </c>
      <c r="Q8" s="504">
        <f t="array" aca="1" ref="Q8" ca="1">SUM($U8:$FQ8*NOT(_xlfn.ISFORMULA($U8:$FQ8))*ISNUMBER($U$7:$FQ$7)*--(INDEX($U$6:$FQ$6,N(IF({1},COLUMN($U$6:$FQ$6)-COLUMN($T$6)))-MOD(N(IF({1},COLUMN($U$6:$FQ$6)-COLUMN($U$6))),14))="Current Fiscal"))</f>
        <v>130000</v>
      </c>
      <c r="R8" s="504">
        <f t="shared" ref="R8:R34" ca="1" si="12">SUMIF($U$6:$FQ$6,"Current Fiscal",AG8:FQ8)</f>
        <v>130000</v>
      </c>
      <c r="S8" s="504">
        <f t="shared" ref="S8:S34" ca="1" si="13">SUMIF($U$6:$FQ$6,"Future Fiscal",AG8:FQ8)</f>
        <v>143766.07</v>
      </c>
      <c r="U8" s="504">
        <f ca="1">SUMIFS(CostTrack[[Value]:[Value]],CostTrack[[PA ID]:[PA ID]],$B8,CostTrack[[Vendor - Contract]:[Vendor - Contract]],$H8,CostTrack[[Holdback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8" s="504">
        <f ca="1">SUMIFS(CostTrack[[Value]:[Value]],CostTrack[[PA ID]:[PA ID]],$B8,CostTrack[[Vendor - Contract]:[Vendor - Contract]],$H8,CostTrack[[Holdback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8" s="504">
        <f ca="1">SUMIFS(CostTrack[[Value]:[Value]],CostTrack[[PA ID]:[PA ID]],$B8,CostTrack[[Vendor - Contract]:[Vendor - Contract]],$H8,CostTrack[[Holdback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8" s="504">
        <f ca="1">SUMIFS(CostTrack[[Value]:[Value]],CostTrack[[PA ID]:[PA ID]],$B8,CostTrack[[Vendor - Contract]:[Vendor - Contract]],$H8,CostTrack[[Holdback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8" s="504">
        <f ca="1">SUMIFS(CostTrack[[Value]:[Value]],CostTrack[[PA ID]:[PA ID]],$B8,CostTrack[[Vendor - Contract]:[Vendor - Contract]],$H8,CostTrack[[Holdback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70549.600000000006</v>
      </c>
      <c r="Z8" s="504">
        <f ca="1">SUMIFS(CostTrack[[Value]:[Value]],CostTrack[[PA ID]:[PA ID]],$B8,CostTrack[[Vendor - Contract]:[Vendor - Contract]],$H8,CostTrack[[Holdback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13692.26</v>
      </c>
      <c r="AA8" s="504">
        <f ca="1">SUMIFS(CostTrack[[Value]:[Value]],CostTrack[[PA ID]:[PA ID]],$B8,CostTrack[[Vendor - Contract]:[Vendor - Contract]],$H8,CostTrack[[Holdback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14270.92</v>
      </c>
      <c r="AB8" s="504">
        <f ca="1">SUMIFS(CostTrack[[Value]:[Value]],CostTrack[[PA ID]:[PA ID]],$B8,CostTrack[[Vendor - Contract]:[Vendor - Contract]],$H8,CostTrack[[Holdback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14601.48</v>
      </c>
      <c r="AC8" s="504">
        <f ca="1">SUMIFS(CostTrack[[Value]:[Value]],CostTrack[[PA ID]:[PA ID]],$B8,CostTrack[[Vendor - Contract]:[Vendor - Contract]],$H8,CostTrack[[Holdback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15130.36</v>
      </c>
      <c r="AD8" s="504">
        <f ca="1">SUMIFS(CostTrack[[Value]:[Value]],CostTrack[[PA ID]:[PA ID]],$B8,CostTrack[[Vendor - Contract]:[Vendor - Contract]],$H8,CostTrack[[Holdback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16327.18</v>
      </c>
      <c r="AE8" s="504">
        <f ca="1">SUMIFS(CostTrack[[Value]:[Value]],CostTrack[[PA ID]:[PA ID]],$B8,CostTrack[[Vendor - Contract]:[Vendor - Contract]],$H8,CostTrack[[Holdback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13569.18</v>
      </c>
      <c r="AF8" s="504">
        <f ca="1">SUMIFS(CostTrack[[Value]:[Value]],CostTrack[[PA ID]:[PA ID]],$B8,CostTrack[[Vendor - Contract]:[Vendor - Contract]],$H8,CostTrack[[Holdback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14624.86</v>
      </c>
      <c r="AG8" s="506">
        <f ca="1">SUM(U8:AF8)</f>
        <v>172765.83999999997</v>
      </c>
      <c r="AI8" s="504">
        <f ca="1">SUMIFS(CostTrack[[Value]:[Value]],CostTrack[[PA ID]:[PA ID]],$B8,CostTrack[[Vendor - Contract]:[Vendor - Contract]],$H8,CostTrack[[Holdback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8" s="504">
        <f ca="1">SUMIFS(CostTrack[[Value]:[Value]],CostTrack[[PA ID]:[PA ID]],$B8,CostTrack[[Vendor - Contract]:[Vendor - Contract]],$H8,CostTrack[[Holdback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8" s="504">
        <f ca="1">SUMIFS(CostTrack[[Value]:[Value]],CostTrack[[PA ID]:[PA ID]],$B8,CostTrack[[Vendor - Contract]:[Vendor - Contract]],$H8,CostTrack[[Holdback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68749.25</v>
      </c>
      <c r="AL8" s="504">
        <f ca="1">SUMIFS(CostTrack[[Value]:[Value]],CostTrack[[PA ID]:[PA ID]],$B8,CostTrack[[Vendor - Contract]:[Vendor - Contract]],$H8,CostTrack[[Holdback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18686.34</v>
      </c>
      <c r="AM8" s="504">
        <f ca="1">SUMIFS(CostTrack[[Value]:[Value]],CostTrack[[PA ID]:[PA ID]],$B8,CostTrack[[Vendor - Contract]:[Vendor - Contract]],$H8,CostTrack[[Holdback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24758.05</v>
      </c>
      <c r="AN8" s="504">
        <f ca="1">SUMIFS(CostTrack[[Value]:[Value]],CostTrack[[PA ID]:[PA ID]],$B8,CostTrack[[Vendor - Contract]:[Vendor - Contract]],$H8,CostTrack[[Holdback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21378.97</v>
      </c>
      <c r="AO8" s="504">
        <f ca="1">SUMIFS(CostTrack[[Value]:[Value]],CostTrack[[PA ID]:[PA ID]],$B8,CostTrack[[Vendor - Contract]:[Vendor - Contract]],$H8,CostTrack[[Holdback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24704.03</v>
      </c>
      <c r="AP8" s="504">
        <f ca="1">SUMIFS(CostTrack[[Value]:[Value]],CostTrack[[PA ID]:[PA ID]],$B8,CostTrack[[Vendor - Contract]:[Vendor - Contract]],$H8,CostTrack[[Holdback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23424.46</v>
      </c>
      <c r="AQ8" s="504">
        <f ca="1">SUMIFS(CostTrack[[Value]:[Value]],CostTrack[[PA ID]:[PA ID]],$B8,CostTrack[[Vendor - Contract]:[Vendor - Contract]],$H8,CostTrack[[Holdback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22471.37</v>
      </c>
      <c r="AR8" s="504">
        <f ca="1">SUMIFS(CostTrack[[Value]:[Value]],CostTrack[[PA ID]:[PA ID]],$B8,CostTrack[[Vendor - Contract]:[Vendor - Contract]],$H8,CostTrack[[Holdback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26487.82</v>
      </c>
      <c r="AS8" s="504">
        <f ca="1">SUMIFS(CostTrack[[Value]:[Value]],CostTrack[[PA ID]:[PA ID]],$B8,CostTrack[[Vendor - Contract]:[Vendor - Contract]],$H8,CostTrack[[Holdback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22896.28</v>
      </c>
      <c r="AT8" s="504">
        <f ca="1">SUMIFS(CostTrack[[Value]:[Value]],CostTrack[[PA ID]:[PA ID]],$B8,CostTrack[[Vendor - Contract]:[Vendor - Contract]],$H8,CostTrack[[Holdback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23060.5</v>
      </c>
      <c r="AU8" s="512">
        <f ca="1">SUM(AI8:AT8)</f>
        <v>276617.06999999995</v>
      </c>
      <c r="AW8" s="504">
        <f ca="1">SUMIFS(CostTrack[[Value]:[Value]],CostTrack[[PA ID]:[PA ID]],$B8,CostTrack[[Vendor - Contract]:[Vendor - Contract]],$H8,CostTrack[[Holdback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32988.79</v>
      </c>
      <c r="AX8" s="504">
        <f ca="1">SUMIFS(CostTrack[[Value]:[Value]],CostTrack[[PA ID]:[PA ID]],$B8,CostTrack[[Vendor - Contract]:[Vendor - Contract]],$H8,CostTrack[[Holdback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8" s="504">
        <f ca="1">SUMIFS(CostTrack[[Value]:[Value]],CostTrack[[PA ID]:[PA ID]],$B8,CostTrack[[Vendor - Contract]:[Vendor - Contract]],$H8,CostTrack[[Holdback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63621.7</v>
      </c>
      <c r="AZ8" s="504">
        <f ca="1">SUMIFS(CostTrack[[Value]:[Value]],CostTrack[[PA ID]:[PA ID]],$B8,CostTrack[[Vendor - Contract]:[Vendor - Contract]],$H8,CostTrack[[Holdback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34269.4</v>
      </c>
      <c r="BA8" s="504">
        <f ca="1">SUMIFS(CostTrack[[Value]:[Value]],CostTrack[[PA ID]:[PA ID]],$B8,CostTrack[[Vendor - Contract]:[Vendor - Contract]],$H8,CostTrack[[Holdback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30896.43</v>
      </c>
      <c r="BB8" s="504">
        <f ca="1">SUMIFS(CostTrack[[Value]:[Value]],CostTrack[[PA ID]:[PA ID]],$B8,CostTrack[[Vendor - Contract]:[Vendor - Contract]],$H8,CostTrack[[Holdback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28487.23</v>
      </c>
      <c r="BC8" s="504">
        <f ca="1">SUMIFS(CostTrack[[Value]:[Value]],CostTrack[[PA ID]:[PA ID]],$B8,CostTrack[[Vendor - Contract]:[Vendor - Contract]],$H8,CostTrack[[Holdback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30882.14</v>
      </c>
      <c r="BD8" s="504">
        <f ca="1">SUMIFS(CostTrack[[Value]:[Value]],CostTrack[[PA ID]:[PA ID]],$B8,CostTrack[[Vendor - Contract]:[Vendor - Contract]],$H8,CostTrack[[Holdback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26512.36</v>
      </c>
      <c r="BE8" s="504">
        <f ca="1">SUMIFS(CostTrack[[Value]:[Value]],CostTrack[[PA ID]:[PA ID]],$B8,CostTrack[[Vendor - Contract]:[Vendor - Contract]],$H8,CostTrack[[Holdback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52665.55</v>
      </c>
      <c r="BF8" s="504">
        <f ca="1">SUMIFS(CostTrack[[Value]:[Value]],CostTrack[[PA ID]:[PA ID]],$B8,CostTrack[[Vendor - Contract]:[Vendor - Contract]],$H8,CostTrack[[Holdback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37646.410000000003</v>
      </c>
      <c r="BG8" s="504">
        <f ca="1">SUMIFS(CostTrack[[Value]:[Value]],CostTrack[[PA ID]:[PA ID]],$B8,CostTrack[[Vendor - Contract]:[Vendor - Contract]],$H8,CostTrack[[Holdback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31976.48</v>
      </c>
      <c r="BH8" s="504">
        <f ca="1">SUMIFS(CostTrack[[Value]:[Value]],CostTrack[[PA ID]:[PA ID]],$B8,CostTrack[[Vendor - Contract]:[Vendor - Contract]],$H8,CostTrack[[Holdback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37361.53</v>
      </c>
      <c r="BI8" s="512">
        <f ca="1">SUM(AW8:BH8)</f>
        <v>407308.02</v>
      </c>
      <c r="BK8" s="504">
        <f ca="1">SUMIFS(CostTrack[[Value]:[Value]],CostTrack[[PA ID]:[PA ID]],$B8,CostTrack[[Vendor - Contract]:[Vendor - Contract]],$H8,CostTrack[[Holdback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31368.48</v>
      </c>
      <c r="BL8" s="504">
        <f ca="1">SUMIFS(CostTrack[[Value]:[Value]],CostTrack[[PA ID]:[PA ID]],$B8,CostTrack[[Vendor - Contract]:[Vendor - Contract]],$H8,CostTrack[[Holdback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30031.55</v>
      </c>
      <c r="BM8" s="504">
        <f ca="1">SUMIFS(CostTrack[[Value]:[Value]],CostTrack[[PA ID]:[PA ID]],$B8,CostTrack[[Vendor - Contract]:[Vendor - Contract]],$H8,CostTrack[[Holdback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31822.99</v>
      </c>
      <c r="BN8" s="504">
        <f ca="1">SUMIFS(CostTrack[[Value]:[Value]],CostTrack[[PA ID]:[PA ID]],$B8,CostTrack[[Vendor - Contract]:[Vendor - Contract]],$H8,CostTrack[[Holdback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31297.200000000001</v>
      </c>
      <c r="BO8" s="504">
        <f ca="1">SUMIFS(CostTrack[[Value]:[Value]],CostTrack[[PA ID]:[PA ID]],$B8,CostTrack[[Vendor - Contract]:[Vendor - Contract]],$H8,CostTrack[[Holdback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28122.240000000002</v>
      </c>
      <c r="BP8" s="504">
        <f ca="1">SUMIFS(CostTrack[[Value]:[Value]],CostTrack[[PA ID]:[PA ID]],$B8,CostTrack[[Vendor - Contract]:[Vendor - Contract]],$H8,CostTrack[[Holdback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30501.61</v>
      </c>
      <c r="BQ8" s="504">
        <f ca="1">SUMIFS(CostTrack[[Value]:[Value]],CostTrack[[PA ID]:[PA ID]],$B8,CostTrack[[Vendor - Contract]:[Vendor - Contract]],$H8,CostTrack[[Holdback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29407.63</v>
      </c>
      <c r="BR8" s="504">
        <f ca="1">SUMIFS(CostTrack[[Value]:[Value]],CostTrack[[PA ID]:[PA ID]],$B8,CostTrack[[Vendor - Contract]:[Vendor - Contract]],$H8,CostTrack[[Holdback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28498.43</v>
      </c>
      <c r="BS8" s="504">
        <f ca="1">SUMIFS(CostTrack[[Value]:[Value]],CostTrack[[PA ID]:[PA ID]],$B8,CostTrack[[Vendor - Contract]:[Vendor - Contract]],$H8,CostTrack[[Holdback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29752.560000000001</v>
      </c>
      <c r="BT8" s="504">
        <f ca="1">SUMIFS(CostTrack[[Value]:[Value]],CostTrack[[PA ID]:[PA ID]],$B8,CostTrack[[Vendor - Contract]:[Vendor - Contract]],$H8,CostTrack[[Holdback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31273.360000000001</v>
      </c>
      <c r="BU8" s="504">
        <f ca="1">SUMIFS(CostTrack[[Value]:[Value]],CostTrack[[PA ID]:[PA ID]],$B8,CostTrack[[Vendor - Contract]:[Vendor - Contract]],$H8,CostTrack[[Holdback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24903.73</v>
      </c>
      <c r="BV8" s="504">
        <f ca="1">SUMIFS(CostTrack[[Value]:[Value]],CostTrack[[PA ID]:[PA ID]],$B8,CostTrack[[Vendor - Contract]:[Vendor - Contract]],$H8,CostTrack[[Holdback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26281.35</v>
      </c>
      <c r="BW8" s="512">
        <f ca="1">SUM(BK8:BV8)</f>
        <v>353261.12999999995</v>
      </c>
      <c r="BY8" s="504">
        <f ca="1">SUMIFS(CostTrack[[Value]:[Value]],CostTrack[[PA ID]:[PA ID]],$B8,CostTrack[[Vendor - Contract]:[Vendor - Contract]],$H8,CostTrack[[Holdback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8" s="504">
        <f ca="1">SUMIFS(CostTrack[[Value]:[Value]],CostTrack[[PA ID]:[PA ID]],$B8,CostTrack[[Vendor - Contract]:[Vendor - Contract]],$H8,CostTrack[[Holdback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78221.649999999994</v>
      </c>
      <c r="CA8" s="504">
        <f ca="1">SUMIFS(CostTrack[[Value]:[Value]],CostTrack[[PA ID]:[PA ID]],$B8,CostTrack[[Vendor - Contract]:[Vendor - Contract]],$H8,CostTrack[[Holdback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39290.89</v>
      </c>
      <c r="CB8" s="504">
        <f ca="1">SUMIFS(CostTrack[[Value]:[Value]],CostTrack[[PA ID]:[PA ID]],$B8,CostTrack[[Vendor - Contract]:[Vendor - Contract]],$H8,CostTrack[[Holdback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46997.86</v>
      </c>
      <c r="CC8" s="504">
        <f ca="1">SUMIFS(CostTrack[[Value]:[Value]],CostTrack[[PA ID]:[PA ID]],$B8,CostTrack[[Vendor - Contract]:[Vendor - Contract]],$H8,CostTrack[[Holdback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37878.870000000003</v>
      </c>
      <c r="CD8" s="504">
        <f ca="1">SUMIFS(CostTrack[[Value]:[Value]],CostTrack[[PA ID]:[PA ID]],$B8,CostTrack[[Vendor - Contract]:[Vendor - Contract]],$H8,CostTrack[[Holdback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36325.57</v>
      </c>
      <c r="CE8" s="504">
        <f ca="1">SUMIFS(CostTrack[[Value]:[Value]],CostTrack[[PA ID]:[PA ID]],$B8,CostTrack[[Vendor - Contract]:[Vendor - Contract]],$H8,CostTrack[[Holdback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46806.44</v>
      </c>
      <c r="CF8" s="504">
        <f ca="1">SUMIFS(CostTrack[[Value]:[Value]],CostTrack[[PA ID]:[PA ID]],$B8,CostTrack[[Vendor - Contract]:[Vendor - Contract]],$H8,CostTrack[[Holdback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46532.39</v>
      </c>
      <c r="CG8" s="504">
        <f ca="1">SUMIFS(CostTrack[[Value]:[Value]],CostTrack[[PA ID]:[PA ID]],$B8,CostTrack[[Vendor - Contract]:[Vendor - Contract]],$H8,CostTrack[[Holdback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47410.23</v>
      </c>
      <c r="CH8" s="504">
        <f ca="1">SUMIFS(CostTrack[[Value]:[Value]],CostTrack[[PA ID]:[PA ID]],$B8,CostTrack[[Vendor - Contract]:[Vendor - Contract]],$H8,CostTrack[[Holdback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44906.96</v>
      </c>
      <c r="CI8" s="504">
        <f ca="1">SUMIFS(CostTrack[[Value]:[Value]],CostTrack[[PA ID]:[PA ID]],$B8,CostTrack[[Vendor - Contract]:[Vendor - Contract]],$H8,CostTrack[[Holdback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43494.16</v>
      </c>
      <c r="CJ8" s="504">
        <f ca="1">SUMIFS(CostTrack[[Value]:[Value]],CostTrack[[PA ID]:[PA ID]],$B8,CostTrack[[Vendor - Contract]:[Vendor - Contract]],$H8,CostTrack[[Holdback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49628.31</v>
      </c>
      <c r="CK8" s="512">
        <f ca="1">SUM(BY8:CJ8)</f>
        <v>517493.33</v>
      </c>
      <c r="CM8" s="504">
        <f ca="1">SUMIFS(CostTrack[[Value]:[Value]],CostTrack[[PA ID]:[PA ID]],$B8,CostTrack[[Vendor - Contract]:[Vendor - Contract]],$H8,CostTrack[[Holdback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8" s="504">
        <f ca="1">SUMIFS(CostTrack[[Value]:[Value]],CostTrack[[PA ID]:[PA ID]],$B8,CostTrack[[Vendor - Contract]:[Vendor - Contract]],$H8,CostTrack[[Holdback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114783.4</v>
      </c>
      <c r="CO8" s="504">
        <f ca="1">SUMIFS(CostTrack[[Value]:[Value]],CostTrack[[PA ID]:[PA ID]],$B8,CostTrack[[Vendor - Contract]:[Vendor - Contract]],$H8,CostTrack[[Holdback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52791.82</v>
      </c>
      <c r="CP8" s="504">
        <f ca="1">SUMIFS(CostTrack[[Value]:[Value]],CostTrack[[PA ID]:[PA ID]],$B8,CostTrack[[Vendor - Contract]:[Vendor - Contract]],$H8,CostTrack[[Holdback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54810.87</v>
      </c>
      <c r="CQ8" s="504">
        <f ca="1">SUMIFS(CostTrack[[Value]:[Value]],CostTrack[[PA ID]:[PA ID]],$B8,CostTrack[[Vendor - Contract]:[Vendor - Contract]],$H8,CostTrack[[Holdback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60358.6</v>
      </c>
      <c r="CR8" s="504">
        <f ca="1">SUMIFS(CostTrack[[Value]:[Value]],CostTrack[[PA ID]:[PA ID]],$B8,CostTrack[[Vendor - Contract]:[Vendor - Contract]],$H8,CostTrack[[Holdback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34921.089999999997</v>
      </c>
      <c r="CS8" s="504">
        <f ca="1">SUMIFS(CostTrack[[Value]:[Value]],CostTrack[[PA ID]:[PA ID]],$B8,CostTrack[[Vendor - Contract]:[Vendor - Contract]],$H8,CostTrack[[Holdback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57057.95</v>
      </c>
      <c r="CT8" s="504">
        <f ca="1">SUMIFS(CostTrack[[Value]:[Value]],CostTrack[[PA ID]:[PA ID]],$B8,CostTrack[[Vendor - Contract]:[Vendor - Contract]],$H8,CostTrack[[Holdback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59935.08</v>
      </c>
      <c r="CU8" s="504">
        <f ca="1">SUMIFS(CostTrack[[Value]:[Value]],CostTrack[[PA ID]:[PA ID]],$B8,CostTrack[[Vendor - Contract]:[Vendor - Contract]],$H8,CostTrack[[Holdback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61242.86</v>
      </c>
      <c r="CV8" s="504">
        <f ca="1">SUMIFS(CostTrack[[Value]:[Value]],CostTrack[[PA ID]:[PA ID]],$B8,CostTrack[[Vendor - Contract]:[Vendor - Contract]],$H8,CostTrack[[Holdback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64950.27</v>
      </c>
      <c r="CW8" s="504">
        <f ca="1">SUMIFS(CostTrack[[Value]:[Value]],CostTrack[[PA ID]:[PA ID]],$B8,CostTrack[[Vendor - Contract]:[Vendor - Contract]],$H8,CostTrack[[Holdback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61380.94</v>
      </c>
      <c r="CX8" s="504">
        <f ca="1">SUMIFS(CostTrack[[Value]:[Value]],CostTrack[[PA ID]:[PA ID]],$B8,CostTrack[[Vendor - Contract]:[Vendor - Contract]],$H8,CostTrack[[Holdback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66427.240000000005</v>
      </c>
      <c r="CY8" s="512">
        <f ca="1">SUM(CM8:CX8)</f>
        <v>688660.12000000011</v>
      </c>
      <c r="DA8" s="504">
        <f ca="1">SUMIFS(CostTrack[[Value]:[Value]],CostTrack[[PA ID]:[PA ID]],$B8,CostTrack[[Vendor - Contract]:[Vendor - Contract]],$H8,CostTrack[[Holdback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8" s="504">
        <f ca="1">SUMIFS(CostTrack[[Value]:[Value]],CostTrack[[PA ID]:[PA ID]],$B8,CostTrack[[Vendor - Contract]:[Vendor - Contract]],$H8,CostTrack[[Holdback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74117.5</v>
      </c>
      <c r="DC8" s="504">
        <f ca="1">SUMIFS(CostTrack[[Value]:[Value]],CostTrack[[PA ID]:[PA ID]],$B8,CostTrack[[Vendor - Contract]:[Vendor - Contract]],$H8,CostTrack[[Holdback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37745.589999999997</v>
      </c>
      <c r="DD8" s="504">
        <f ca="1">SUMIFS(CostTrack[[Value]:[Value]],CostTrack[[PA ID]:[PA ID]],$B8,CostTrack[[Vendor - Contract]:[Vendor - Contract]],$H8,CostTrack[[Holdback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34201.870000000003</v>
      </c>
      <c r="DE8" s="504">
        <f ca="1">SUMIFS(CostTrack[[Value]:[Value]],CostTrack[[PA ID]:[PA ID]],$B8,CostTrack[[Vendor - Contract]:[Vendor - Contract]],$H8,CostTrack[[Holdback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32573.06</v>
      </c>
      <c r="DF8" s="504">
        <f ca="1">SUMIFS(CostTrack[[Value]:[Value]],CostTrack[[PA ID]:[PA ID]],$B8,CostTrack[[Vendor - Contract]:[Vendor - Contract]],$H8,CostTrack[[Holdback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30323.759999999998</v>
      </c>
      <c r="DG8" s="504">
        <f ca="1">SUMIFS(CostTrack[[Value]:[Value]],CostTrack[[PA ID]:[PA ID]],$B8,CostTrack[[Vendor - Contract]:[Vendor - Contract]],$H8,CostTrack[[Holdback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32452.22</v>
      </c>
      <c r="DH8" s="504">
        <f ca="1">SUMIFS(CostTrack[[Value]:[Value]],CostTrack[[PA ID]:[PA ID]],$B8,CostTrack[[Vendor - Contract]:[Vendor - Contract]],$H8,CostTrack[[Holdback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34605.129999999997</v>
      </c>
      <c r="DI8" s="504">
        <f ca="1">SUMIFS(CostTrack[[Value]:[Value]],CostTrack[[PA ID]:[PA ID]],$B8,CostTrack[[Vendor - Contract]:[Vendor - Contract]],$H8,CostTrack[[Holdback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32398.77</v>
      </c>
      <c r="DJ8" s="504">
        <f ca="1">SUMIFS(CostTrack[[Value]:[Value]],CostTrack[[PA ID]:[PA ID]],$B8,CostTrack[[Vendor - Contract]:[Vendor - Contract]],$H8,CostTrack[[Holdback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37837.660000000003</v>
      </c>
      <c r="DK8" s="504">
        <f ca="1">SUMIFS(CostTrack[[Value]:[Value]],CostTrack[[PA ID]:[PA ID]],$B8,CostTrack[[Vendor - Contract]:[Vendor - Contract]],$H8,CostTrack[[Holdback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34241.82</v>
      </c>
      <c r="DL8" s="504">
        <f ca="1">SUMIFS(CostTrack[[Value]:[Value]],CostTrack[[PA ID]:[PA ID]],$B8,CostTrack[[Vendor - Contract]:[Vendor - Contract]],$H8,CostTrack[[Holdback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37952.370000000003</v>
      </c>
      <c r="DM8" s="512">
        <f ca="1">SUM(DA8:DL8)</f>
        <v>418449.75000000006</v>
      </c>
      <c r="DO8" s="504">
        <f ca="1">SUMIFS(CostTrack[[Value]:[Value]],CostTrack[[PA ID]:[PA ID]],$B8,CostTrack[[Vendor - Contract]:[Vendor - Contract]],$H8,CostTrack[[Holdback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8" s="504">
        <f ca="1">SUMIFS(CostTrack[[Value]:[Value]],CostTrack[[PA ID]:[PA ID]],$B8,CostTrack[[Vendor - Contract]:[Vendor - Contract]],$H8,CostTrack[[Holdback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8" s="504">
        <f ca="1">SUMIFS(CostTrack[[Value]:[Value]],CostTrack[[PA ID]:[PA ID]],$B8,CostTrack[[Vendor - Contract]:[Vendor - Contract]],$H8,CostTrack[[Holdback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141015.75</v>
      </c>
      <c r="DR8" s="504">
        <f ca="1">SUMIFS(CostTrack[[Value]:[Value]],CostTrack[[PA ID]:[PA ID]],$B8,CostTrack[[Vendor - Contract]:[Vendor - Contract]],$H8,CostTrack[[Holdback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50482.78</v>
      </c>
      <c r="DS8" s="504">
        <f ca="1">SUMIFS(CostTrack[[Value]:[Value]],CostTrack[[PA ID]:[PA ID]],$B8,CostTrack[[Vendor - Contract]:[Vendor - Contract]],$H8,CostTrack[[Holdback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43559.76</v>
      </c>
      <c r="DT8" s="504">
        <f ca="1">SUMIFS(CostTrack[[Value]:[Value]],CostTrack[[PA ID]:[PA ID]],$B8,CostTrack[[Vendor - Contract]:[Vendor - Contract]],$H8,CostTrack[[Holdback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40692.300000000003</v>
      </c>
      <c r="DU8" s="504">
        <f ca="1">SUMIFS(CostTrack[[Value]:[Value]],CostTrack[[PA ID]:[PA ID]],$B8,CostTrack[[Vendor - Contract]:[Vendor - Contract]],$H8,CostTrack[[Holdback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44192.46</v>
      </c>
      <c r="DV8" s="504">
        <f ca="1">SUMIFS(CostTrack[[Value]:[Value]],CostTrack[[PA ID]:[PA ID]],$B8,CostTrack[[Vendor - Contract]:[Vendor - Contract]],$H8,CostTrack[[Holdback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34946.839999999997</v>
      </c>
      <c r="DW8" s="504">
        <f ca="1">SUMIFS(CostTrack[[Value]:[Value]],CostTrack[[PA ID]:[PA ID]],$B8,CostTrack[[Vendor - Contract]:[Vendor - Contract]],$H8,CostTrack[[Holdback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37191.47</v>
      </c>
      <c r="DX8" s="504">
        <f ca="1">SUMIFS(CostTrack[[Value]:[Value]],CostTrack[[PA ID]:[PA ID]],$B8,CostTrack[[Vendor - Contract]:[Vendor - Contract]],$H8,CostTrack[[Holdback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-7499.01</v>
      </c>
      <c r="DY8" s="504">
        <f ca="1">SUMIFS(CostTrack[[Value]:[Value]],CostTrack[[PA ID]:[PA ID]],$B8,CostTrack[[Vendor - Contract]:[Vendor - Contract]],$H8,CostTrack[[Holdback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26951.91</v>
      </c>
      <c r="DZ8" s="504">
        <f ca="1">SUMIFS(CostTrack[[Value]:[Value]],CostTrack[[PA ID]:[PA ID]],$B8,CostTrack[[Vendor - Contract]:[Vendor - Contract]],$H8,CostTrack[[Holdback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57883.41</v>
      </c>
      <c r="EA8" s="512">
        <f ca="1">SUM(DO8:DZ8)</f>
        <v>469417.66999999993</v>
      </c>
      <c r="EC8" s="504">
        <f ca="1">SUMIFS(CostTrack[[Value]:[Value]],CostTrack[[PA ID]:[PA ID]],$B8,CostTrack[[Vendor - Contract]:[Vendor - Contract]],$H8,CostTrack[[Holdback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8" s="505">
        <v>26000</v>
      </c>
      <c r="EE8" s="505">
        <v>26000</v>
      </c>
      <c r="EF8" s="505">
        <v>26000</v>
      </c>
      <c r="EG8" s="505">
        <v>26000</v>
      </c>
      <c r="EH8" s="505">
        <v>26000</v>
      </c>
      <c r="EI8" s="505"/>
      <c r="EJ8" s="505"/>
      <c r="EK8" s="505"/>
      <c r="EL8" s="505"/>
      <c r="EM8" s="505"/>
      <c r="EN8" s="505"/>
      <c r="EO8" s="512">
        <f ca="1">SUM(EC8:EN8)</f>
        <v>130000</v>
      </c>
      <c r="EQ8" s="505">
        <v>14111.53</v>
      </c>
      <c r="ER8" s="505"/>
      <c r="ES8" s="505"/>
      <c r="ET8" s="505"/>
      <c r="EU8" s="505"/>
      <c r="EV8" s="505"/>
      <c r="EW8" s="505"/>
      <c r="EX8" s="505"/>
      <c r="EY8" s="505"/>
      <c r="EZ8" s="505"/>
      <c r="FA8" s="505"/>
      <c r="FB8" s="505">
        <v>129654.54</v>
      </c>
      <c r="FC8" s="512">
        <f>SUM(EQ8:FB8)</f>
        <v>143766.07</v>
      </c>
      <c r="FE8" s="505"/>
      <c r="FF8" s="505"/>
      <c r="FG8" s="505"/>
      <c r="FH8" s="505"/>
      <c r="FI8" s="505"/>
      <c r="FJ8" s="505"/>
      <c r="FK8" s="505"/>
      <c r="FL8" s="505"/>
      <c r="FM8" s="505"/>
      <c r="FN8" s="505"/>
      <c r="FO8" s="505"/>
      <c r="FP8" s="505"/>
      <c r="FQ8" s="512">
        <f>SUM(FE8:FP8)</f>
        <v>0</v>
      </c>
      <c r="FS8" s="504">
        <f ca="1">AG8+AU8+BI8+BW8+CK8+CY8+DM8+EA8+EO8+FC8+FQ8</f>
        <v>3577738.9999999995</v>
      </c>
    </row>
    <row r="9" spans="1:175">
      <c r="A9" s="216">
        <v>2</v>
      </c>
      <c r="B9" s="219" t="str">
        <f ca="1">INDEX(EAC[PA ID],MATCH($A9,EAC[Row],0))</f>
        <v>100.050.F1</v>
      </c>
      <c r="C9" s="218" t="str">
        <f ca="1">INDEX(EAC[Primary Category],MATCH($A9,EAC[Row],0))</f>
        <v>Administration</v>
      </c>
      <c r="D9" s="218" t="str">
        <f ca="1">INDEX(EAC[Secondary Category],MATCH($A9,EAC[Row],0))</f>
        <v>Other Administration</v>
      </c>
      <c r="E9" s="109" t="str">
        <f ca="1">INDEX(EAC[Phase / Subproject],MATCH($A9,EAC[Row],0))</f>
        <v>--</v>
      </c>
      <c r="F9" s="109" t="str">
        <f ca="1">INDEX(EAC[Phase / Subproject 2],MATCH($A9,EAC[Row],0))</f>
        <v>--</v>
      </c>
      <c r="G9" s="109" t="str">
        <f ca="1">INDEX(EAC[Funding Source],MATCH($A9,EAC[Row],0))</f>
        <v>P-002360</v>
      </c>
      <c r="H9" s="146" t="str">
        <f ca="1">INDEX(EAC[Vendor / Org. with Contract ID],MATCH($A9,EAC[Row],0))</f>
        <v>Travel Expenses-Sommer-Direct Pay</v>
      </c>
      <c r="I9" s="502">
        <f ca="1">INDEX(EAC[Estimate At Completion],MATCH($A9,EAC[Row],0))</f>
        <v>8565.33</v>
      </c>
      <c r="J9" s="502">
        <f ca="1">SUMIFS(CostTrack[Value],CostTrack[Vendor - Contract],$H9,CostTrack[PA ID],$B9,CostTrack[Holdback (Y/N/R)],"&lt;&gt;Release",CostTrack[Status],"Approved")</f>
        <v>8565.3299999999981</v>
      </c>
      <c r="K9" s="503">
        <f t="shared" ref="K9:K72" ca="1" si="14">IFERROR(I9-J9,"")</f>
        <v>1.8189894035458565E-12</v>
      </c>
      <c r="M9" s="504">
        <f t="shared" ref="M9:M71" ca="1" si="15">I9-FS9</f>
        <v>0</v>
      </c>
      <c r="O9" s="504">
        <f t="shared" ca="1" si="11"/>
        <v>8479.34</v>
      </c>
      <c r="P9" s="504">
        <f t="array" aca="1" ref="P9" ca="1">SUM($U9:$FQ9*_xlfn.ISFORMULA($U9:$FQ9)*ISNUMBER($U$7:$FQ$7)*--(INDEX($U$6:$FQ$6,N(IF({1},COLUMN($U$6:$FQ$6)-COLUMN($T$6)))-MOD(N(IF({1},COLUMN($U$6:$FQ$6)-COLUMN($U$6))),14))="Current Fiscal"))</f>
        <v>85.99</v>
      </c>
      <c r="Q9" s="504">
        <f t="array" aca="1" ref="Q9" ca="1">SUM($U9:$FQ9*NOT(_xlfn.ISFORMULA($U9:$FQ9))*ISNUMBER($U$7:$FQ$7)*--(INDEX($U$6:$FQ$6,N(IF({1},COLUMN($U$6:$FQ$6)-COLUMN($T$6)))-MOD(N(IF({1},COLUMN($U$6:$FQ$6)-COLUMN($U$6))),14))="Current Fiscal"))</f>
        <v>0</v>
      </c>
      <c r="R9" s="504">
        <f t="shared" ca="1" si="12"/>
        <v>85.99</v>
      </c>
      <c r="S9" s="504">
        <f t="shared" ca="1" si="13"/>
        <v>0</v>
      </c>
      <c r="U9" s="504">
        <f ca="1">SUMIFS(CostTrack[[Value]:[Value]],CostTrack[[PA ID]:[PA ID]],$B9,CostTrack[[Vendor - Contract]:[Vendor - Contract]],$H9,CostTrack[[Holdback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9" s="504">
        <f ca="1">SUMIFS(CostTrack[[Value]:[Value]],CostTrack[[PA ID]:[PA ID]],$B9,CostTrack[[Vendor - Contract]:[Vendor - Contract]],$H9,CostTrack[[Holdback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9" s="504">
        <f ca="1">SUMIFS(CostTrack[[Value]:[Value]],CostTrack[[PA ID]:[PA ID]],$B9,CostTrack[[Vendor - Contract]:[Vendor - Contract]],$H9,CostTrack[[Holdback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9" s="504">
        <f ca="1">SUMIFS(CostTrack[[Value]:[Value]],CostTrack[[PA ID]:[PA ID]],$B9,CostTrack[[Vendor - Contract]:[Vendor - Contract]],$H9,CostTrack[[Holdback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9" s="504">
        <f ca="1">SUMIFS(CostTrack[[Value]:[Value]],CostTrack[[PA ID]:[PA ID]],$B9,CostTrack[[Vendor - Contract]:[Vendor - Contract]],$H9,CostTrack[[Holdback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9" s="504">
        <f ca="1">SUMIFS(CostTrack[[Value]:[Value]],CostTrack[[PA ID]:[PA ID]],$B9,CostTrack[[Vendor - Contract]:[Vendor - Contract]],$H9,CostTrack[[Holdback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9" s="504">
        <f ca="1">SUMIFS(CostTrack[[Value]:[Value]],CostTrack[[PA ID]:[PA ID]],$B9,CostTrack[[Vendor - Contract]:[Vendor - Contract]],$H9,CostTrack[[Holdback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9" s="504">
        <f ca="1">SUMIFS(CostTrack[[Value]:[Value]],CostTrack[[PA ID]:[PA ID]],$B9,CostTrack[[Vendor - Contract]:[Vendor - Contract]],$H9,CostTrack[[Holdback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9" s="504">
        <f ca="1">SUMIFS(CostTrack[[Value]:[Value]],CostTrack[[PA ID]:[PA ID]],$B9,CostTrack[[Vendor - Contract]:[Vendor - Contract]],$H9,CostTrack[[Holdback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9" s="504">
        <f ca="1">SUMIFS(CostTrack[[Value]:[Value]],CostTrack[[PA ID]:[PA ID]],$B9,CostTrack[[Vendor - Contract]:[Vendor - Contract]],$H9,CostTrack[[Holdback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9" s="504">
        <f ca="1">SUMIFS(CostTrack[[Value]:[Value]],CostTrack[[PA ID]:[PA ID]],$B9,CostTrack[[Vendor - Contract]:[Vendor - Contract]],$H9,CostTrack[[Holdback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9" s="504">
        <f ca="1">SUMIFS(CostTrack[[Value]:[Value]],CostTrack[[PA ID]:[PA ID]],$B9,CostTrack[[Vendor - Contract]:[Vendor - Contract]],$H9,CostTrack[[Holdback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9" s="506">
        <f t="shared" ref="AG9:AG35" ca="1" si="16">SUM(U9:AF9)</f>
        <v>0</v>
      </c>
      <c r="AI9" s="504">
        <f ca="1">SUMIFS(CostTrack[[Value]:[Value]],CostTrack[[PA ID]:[PA ID]],$B9,CostTrack[[Vendor - Contract]:[Vendor - Contract]],$H9,CostTrack[[Holdback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9" s="504">
        <f ca="1">SUMIFS(CostTrack[[Value]:[Value]],CostTrack[[PA ID]:[PA ID]],$B9,CostTrack[[Vendor - Contract]:[Vendor - Contract]],$H9,CostTrack[[Holdback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9" s="504">
        <f ca="1">SUMIFS(CostTrack[[Value]:[Value]],CostTrack[[PA ID]:[PA ID]],$B9,CostTrack[[Vendor - Contract]:[Vendor - Contract]],$H9,CostTrack[[Holdback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9" s="504">
        <f ca="1">SUMIFS(CostTrack[[Value]:[Value]],CostTrack[[PA ID]:[PA ID]],$B9,CostTrack[[Vendor - Contract]:[Vendor - Contract]],$H9,CostTrack[[Holdback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9" s="504">
        <f ca="1">SUMIFS(CostTrack[[Value]:[Value]],CostTrack[[PA ID]:[PA ID]],$B9,CostTrack[[Vendor - Contract]:[Vendor - Contract]],$H9,CostTrack[[Holdback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9" s="504">
        <f ca="1">SUMIFS(CostTrack[[Value]:[Value]],CostTrack[[PA ID]:[PA ID]],$B9,CostTrack[[Vendor - Contract]:[Vendor - Contract]],$H9,CostTrack[[Holdback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9" s="504">
        <f ca="1">SUMIFS(CostTrack[[Value]:[Value]],CostTrack[[PA ID]:[PA ID]],$B9,CostTrack[[Vendor - Contract]:[Vendor - Contract]],$H9,CostTrack[[Holdback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9" s="504">
        <f ca="1">SUMIFS(CostTrack[[Value]:[Value]],CostTrack[[PA ID]:[PA ID]],$B9,CostTrack[[Vendor - Contract]:[Vendor - Contract]],$H9,CostTrack[[Holdback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9" s="504">
        <f ca="1">SUMIFS(CostTrack[[Value]:[Value]],CostTrack[[PA ID]:[PA ID]],$B9,CostTrack[[Vendor - Contract]:[Vendor - Contract]],$H9,CostTrack[[Holdback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9" s="504">
        <f ca="1">SUMIFS(CostTrack[[Value]:[Value]],CostTrack[[PA ID]:[PA ID]],$B9,CostTrack[[Vendor - Contract]:[Vendor - Contract]],$H9,CostTrack[[Holdback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9" s="504">
        <f ca="1">SUMIFS(CostTrack[[Value]:[Value]],CostTrack[[PA ID]:[PA ID]],$B9,CostTrack[[Vendor - Contract]:[Vendor - Contract]],$H9,CostTrack[[Holdback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9" s="504">
        <f ca="1">SUMIFS(CostTrack[[Value]:[Value]],CostTrack[[PA ID]:[PA ID]],$B9,CostTrack[[Vendor - Contract]:[Vendor - Contract]],$H9,CostTrack[[Holdback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9" s="512">
        <f t="shared" ref="AU9:AU35" ca="1" si="17">SUM(AI9:AT9)</f>
        <v>0</v>
      </c>
      <c r="AW9" s="504">
        <f ca="1">SUMIFS(CostTrack[[Value]:[Value]],CostTrack[[PA ID]:[PA ID]],$B9,CostTrack[[Vendor - Contract]:[Vendor - Contract]],$H9,CostTrack[[Holdback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507.65999999999997</v>
      </c>
      <c r="AX9" s="504">
        <f ca="1">SUMIFS(CostTrack[[Value]:[Value]],CostTrack[[PA ID]:[PA ID]],$B9,CostTrack[[Vendor - Contract]:[Vendor - Contract]],$H9,CostTrack[[Holdback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158.97</v>
      </c>
      <c r="AY9" s="504">
        <f ca="1">SUMIFS(CostTrack[[Value]:[Value]],CostTrack[[PA ID]:[PA ID]],$B9,CostTrack[[Vendor - Contract]:[Vendor - Contract]],$H9,CostTrack[[Holdback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210.26</v>
      </c>
      <c r="AZ9" s="504">
        <f ca="1">SUMIFS(CostTrack[[Value]:[Value]],CostTrack[[PA ID]:[PA ID]],$B9,CostTrack[[Vendor - Contract]:[Vendor - Contract]],$H9,CostTrack[[Holdback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9" s="504">
        <f ca="1">SUMIFS(CostTrack[[Value]:[Value]],CostTrack[[PA ID]:[PA ID]],$B9,CostTrack[[Vendor - Contract]:[Vendor - Contract]],$H9,CostTrack[[Holdback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398.31</v>
      </c>
      <c r="BB9" s="504">
        <f ca="1">SUMIFS(CostTrack[[Value]:[Value]],CostTrack[[PA ID]:[PA ID]],$B9,CostTrack[[Vendor - Contract]:[Vendor - Contract]],$H9,CostTrack[[Holdback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9" s="504">
        <f ca="1">SUMIFS(CostTrack[[Value]:[Value]],CostTrack[[PA ID]:[PA ID]],$B9,CostTrack[[Vendor - Contract]:[Vendor - Contract]],$H9,CostTrack[[Holdback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418.36</v>
      </c>
      <c r="BD9" s="504">
        <f ca="1">SUMIFS(CostTrack[[Value]:[Value]],CostTrack[[PA ID]:[PA ID]],$B9,CostTrack[[Vendor - Contract]:[Vendor - Contract]],$H9,CostTrack[[Holdback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66.069999999999993</v>
      </c>
      <c r="BE9" s="504">
        <f ca="1">SUMIFS(CostTrack[[Value]:[Value]],CostTrack[[PA ID]:[PA ID]],$B9,CostTrack[[Vendor - Contract]:[Vendor - Contract]],$H9,CostTrack[[Holdback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9" s="504">
        <f ca="1">SUMIFS(CostTrack[[Value]:[Value]],CostTrack[[PA ID]:[PA ID]],$B9,CostTrack[[Vendor - Contract]:[Vendor - Contract]],$H9,CostTrack[[Holdback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9" s="504">
        <f ca="1">SUMIFS(CostTrack[[Value]:[Value]],CostTrack[[PA ID]:[PA ID]],$B9,CostTrack[[Vendor - Contract]:[Vendor - Contract]],$H9,CostTrack[[Holdback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9" s="504">
        <f ca="1">SUMIFS(CostTrack[[Value]:[Value]],CostTrack[[PA ID]:[PA ID]],$B9,CostTrack[[Vendor - Contract]:[Vendor - Contract]],$H9,CostTrack[[Holdback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219.11</v>
      </c>
      <c r="BI9" s="512">
        <f t="shared" ref="BI9:BI35" ca="1" si="18">SUM(AW9:BH9)</f>
        <v>1978.7399999999998</v>
      </c>
      <c r="BK9" s="504">
        <f ca="1">SUMIFS(CostTrack[[Value]:[Value]],CostTrack[[PA ID]:[PA ID]],$B9,CostTrack[[Vendor - Contract]:[Vendor - Contract]],$H9,CostTrack[[Holdback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9" s="504">
        <f ca="1">SUMIFS(CostTrack[[Value]:[Value]],CostTrack[[PA ID]:[PA ID]],$B9,CostTrack[[Vendor - Contract]:[Vendor - Contract]],$H9,CostTrack[[Holdback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9" s="504">
        <f ca="1">SUMIFS(CostTrack[[Value]:[Value]],CostTrack[[PA ID]:[PA ID]],$B9,CostTrack[[Vendor - Contract]:[Vendor - Contract]],$H9,CostTrack[[Holdback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9" s="504">
        <f ca="1">SUMIFS(CostTrack[[Value]:[Value]],CostTrack[[PA ID]:[PA ID]],$B9,CostTrack[[Vendor - Contract]:[Vendor - Contract]],$H9,CostTrack[[Holdback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175.04</v>
      </c>
      <c r="BO9" s="504">
        <f ca="1">SUMIFS(CostTrack[[Value]:[Value]],CostTrack[[PA ID]:[PA ID]],$B9,CostTrack[[Vendor - Contract]:[Vendor - Contract]],$H9,CostTrack[[Holdback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9" s="504">
        <f ca="1">SUMIFS(CostTrack[[Value]:[Value]],CostTrack[[PA ID]:[PA ID]],$B9,CostTrack[[Vendor - Contract]:[Vendor - Contract]],$H9,CostTrack[[Holdback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133.32</v>
      </c>
      <c r="BQ9" s="504">
        <f ca="1">SUMIFS(CostTrack[[Value]:[Value]],CostTrack[[PA ID]:[PA ID]],$B9,CostTrack[[Vendor - Contract]:[Vendor - Contract]],$H9,CostTrack[[Holdback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252.57</v>
      </c>
      <c r="BR9" s="504">
        <f ca="1">SUMIFS(CostTrack[[Value]:[Value]],CostTrack[[PA ID]:[PA ID]],$B9,CostTrack[[Vendor - Contract]:[Vendor - Contract]],$H9,CostTrack[[Holdback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176.95</v>
      </c>
      <c r="BS9" s="504">
        <f ca="1">SUMIFS(CostTrack[[Value]:[Value]],CostTrack[[PA ID]:[PA ID]],$B9,CostTrack[[Vendor - Contract]:[Vendor - Contract]],$H9,CostTrack[[Holdback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9" s="504">
        <f ca="1">SUMIFS(CostTrack[[Value]:[Value]],CostTrack[[PA ID]:[PA ID]],$B9,CostTrack[[Vendor - Contract]:[Vendor - Contract]],$H9,CostTrack[[Holdback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9" s="504">
        <f ca="1">SUMIFS(CostTrack[[Value]:[Value]],CostTrack[[PA ID]:[PA ID]],$B9,CostTrack[[Vendor - Contract]:[Vendor - Contract]],$H9,CostTrack[[Holdback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9" s="504">
        <f ca="1">SUMIFS(CostTrack[[Value]:[Value]],CostTrack[[PA ID]:[PA ID]],$B9,CostTrack[[Vendor - Contract]:[Vendor - Contract]],$H9,CostTrack[[Holdback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9" s="512">
        <f t="shared" ref="BW9:BW35" ca="1" si="19">SUM(BK9:BV9)</f>
        <v>737.88000000000011</v>
      </c>
      <c r="BY9" s="504">
        <f ca="1">SUMIFS(CostTrack[[Value]:[Value]],CostTrack[[PA ID]:[PA ID]],$B9,CostTrack[[Vendor - Contract]:[Vendor - Contract]],$H9,CostTrack[[Holdback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9" s="504">
        <f ca="1">SUMIFS(CostTrack[[Value]:[Value]],CostTrack[[PA ID]:[PA ID]],$B9,CostTrack[[Vendor - Contract]:[Vendor - Contract]],$H9,CostTrack[[Holdback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9" s="504">
        <f ca="1">SUMIFS(CostTrack[[Value]:[Value]],CostTrack[[PA ID]:[PA ID]],$B9,CostTrack[[Vendor - Contract]:[Vendor - Contract]],$H9,CostTrack[[Holdback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103.58</v>
      </c>
      <c r="CB9" s="504">
        <f ca="1">SUMIFS(CostTrack[[Value]:[Value]],CostTrack[[PA ID]:[PA ID]],$B9,CostTrack[[Vendor - Contract]:[Vendor - Contract]],$H9,CostTrack[[Holdback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9" s="504">
        <f ca="1">SUMIFS(CostTrack[[Value]:[Value]],CostTrack[[PA ID]:[PA ID]],$B9,CostTrack[[Vendor - Contract]:[Vendor - Contract]],$H9,CostTrack[[Holdback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9" s="504">
        <f ca="1">SUMIFS(CostTrack[[Value]:[Value]],CostTrack[[PA ID]:[PA ID]],$B9,CostTrack[[Vendor - Contract]:[Vendor - Contract]],$H9,CostTrack[[Holdback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9" s="504">
        <f ca="1">SUMIFS(CostTrack[[Value]:[Value]],CostTrack[[PA ID]:[PA ID]],$B9,CostTrack[[Vendor - Contract]:[Vendor - Contract]],$H9,CostTrack[[Holdback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169.38</v>
      </c>
      <c r="CF9" s="504">
        <f ca="1">SUMIFS(CostTrack[[Value]:[Value]],CostTrack[[PA ID]:[PA ID]],$B9,CostTrack[[Vendor - Contract]:[Vendor - Contract]],$H9,CostTrack[[Holdback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9" s="504">
        <f ca="1">SUMIFS(CostTrack[[Value]:[Value]],CostTrack[[PA ID]:[PA ID]],$B9,CostTrack[[Vendor - Contract]:[Vendor - Contract]],$H9,CostTrack[[Holdback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178.67</v>
      </c>
      <c r="CH9" s="504">
        <f ca="1">SUMIFS(CostTrack[[Value]:[Value]],CostTrack[[PA ID]:[PA ID]],$B9,CostTrack[[Vendor - Contract]:[Vendor - Contract]],$H9,CostTrack[[Holdback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9" s="504">
        <f ca="1">SUMIFS(CostTrack[[Value]:[Value]],CostTrack[[PA ID]:[PA ID]],$B9,CostTrack[[Vendor - Contract]:[Vendor - Contract]],$H9,CostTrack[[Holdback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250.88</v>
      </c>
      <c r="CJ9" s="504">
        <f ca="1">SUMIFS(CostTrack[[Value]:[Value]],CostTrack[[PA ID]:[PA ID]],$B9,CostTrack[[Vendor - Contract]:[Vendor - Contract]],$H9,CostTrack[[Holdback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192.06</v>
      </c>
      <c r="CK9" s="512">
        <f t="shared" ref="CK9:CK35" ca="1" si="20">SUM(BY9:CJ9)</f>
        <v>894.56999999999994</v>
      </c>
      <c r="CM9" s="504">
        <f ca="1">SUMIFS(CostTrack[[Value]:[Value]],CostTrack[[PA ID]:[PA ID]],$B9,CostTrack[[Vendor - Contract]:[Vendor - Contract]],$H9,CostTrack[[Holdback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9" s="504">
        <f ca="1">SUMIFS(CostTrack[[Value]:[Value]],CostTrack[[PA ID]:[PA ID]],$B9,CostTrack[[Vendor - Contract]:[Vendor - Contract]],$H9,CostTrack[[Holdback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187.78</v>
      </c>
      <c r="CO9" s="504">
        <f ca="1">SUMIFS(CostTrack[[Value]:[Value]],CostTrack[[PA ID]:[PA ID]],$B9,CostTrack[[Vendor - Contract]:[Vendor - Contract]],$H9,CostTrack[[Holdback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441.05999999999995</v>
      </c>
      <c r="CP9" s="504">
        <f ca="1">SUMIFS(CostTrack[[Value]:[Value]],CostTrack[[PA ID]:[PA ID]],$B9,CostTrack[[Vendor - Contract]:[Vendor - Contract]],$H9,CostTrack[[Holdback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9" s="504">
        <f ca="1">SUMIFS(CostTrack[[Value]:[Value]],CostTrack[[PA ID]:[PA ID]],$B9,CostTrack[[Vendor - Contract]:[Vendor - Contract]],$H9,CostTrack[[Holdback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70.48</v>
      </c>
      <c r="CR9" s="504">
        <f ca="1">SUMIFS(CostTrack[[Value]:[Value]],CostTrack[[PA ID]:[PA ID]],$B9,CostTrack[[Vendor - Contract]:[Vendor - Contract]],$H9,CostTrack[[Holdback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51.76</v>
      </c>
      <c r="CS9" s="504">
        <f ca="1">SUMIFS(CostTrack[[Value]:[Value]],CostTrack[[PA ID]:[PA ID]],$B9,CostTrack[[Vendor - Contract]:[Vendor - Contract]],$H9,CostTrack[[Holdback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301.08000000000004</v>
      </c>
      <c r="CT9" s="504">
        <f ca="1">SUMIFS(CostTrack[[Value]:[Value]],CostTrack[[PA ID]:[PA ID]],$B9,CostTrack[[Vendor - Contract]:[Vendor - Contract]],$H9,CostTrack[[Holdback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9" s="504">
        <f ca="1">SUMIFS(CostTrack[[Value]:[Value]],CostTrack[[PA ID]:[PA ID]],$B9,CostTrack[[Vendor - Contract]:[Vendor - Contract]],$H9,CostTrack[[Holdback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45.33</v>
      </c>
      <c r="CV9" s="504">
        <f ca="1">SUMIFS(CostTrack[[Value]:[Value]],CostTrack[[PA ID]:[PA ID]],$B9,CostTrack[[Vendor - Contract]:[Vendor - Contract]],$H9,CostTrack[[Holdback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9" s="504">
        <f ca="1">SUMIFS(CostTrack[[Value]:[Value]],CostTrack[[PA ID]:[PA ID]],$B9,CostTrack[[Vendor - Contract]:[Vendor - Contract]],$H9,CostTrack[[Holdback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158.28</v>
      </c>
      <c r="CX9" s="504">
        <f ca="1">SUMIFS(CostTrack[[Value]:[Value]],CostTrack[[PA ID]:[PA ID]],$B9,CostTrack[[Vendor - Contract]:[Vendor - Contract]],$H9,CostTrack[[Holdback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228.72</v>
      </c>
      <c r="CY9" s="512">
        <f t="shared" ref="CY9:CY35" ca="1" si="21">SUM(CM9:CX9)</f>
        <v>1484.4899999999998</v>
      </c>
      <c r="DA9" s="504">
        <f ca="1">SUMIFS(CostTrack[[Value]:[Value]],CostTrack[[PA ID]:[PA ID]],$B9,CostTrack[[Vendor - Contract]:[Vendor - Contract]],$H9,CostTrack[[Holdback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141.44999999999999</v>
      </c>
      <c r="DB9" s="504">
        <f ca="1">SUMIFS(CostTrack[[Value]:[Value]],CostTrack[[PA ID]:[PA ID]],$B9,CostTrack[[Vendor - Contract]:[Vendor - Contract]],$H9,CostTrack[[Holdback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79.239999999999995</v>
      </c>
      <c r="DC9" s="504">
        <f ca="1">SUMIFS(CostTrack[[Value]:[Value]],CostTrack[[PA ID]:[PA ID]],$B9,CostTrack[[Vendor - Contract]:[Vendor - Contract]],$H9,CostTrack[[Holdback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39.619999999999997</v>
      </c>
      <c r="DD9" s="504">
        <f ca="1">SUMIFS(CostTrack[[Value]:[Value]],CostTrack[[PA ID]:[PA ID]],$B9,CostTrack[[Vendor - Contract]:[Vendor - Contract]],$H9,CostTrack[[Holdback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9" s="504">
        <f ca="1">SUMIFS(CostTrack[[Value]:[Value]],CostTrack[[PA ID]:[PA ID]],$B9,CostTrack[[Vendor - Contract]:[Vendor - Contract]],$H9,CostTrack[[Holdback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119.78</v>
      </c>
      <c r="DF9" s="504">
        <f ca="1">SUMIFS(CostTrack[[Value]:[Value]],CostTrack[[PA ID]:[PA ID]],$B9,CostTrack[[Vendor - Contract]:[Vendor - Contract]],$H9,CostTrack[[Holdback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9" s="504">
        <f ca="1">SUMIFS(CostTrack[[Value]:[Value]],CostTrack[[PA ID]:[PA ID]],$B9,CostTrack[[Vendor - Contract]:[Vendor - Contract]],$H9,CostTrack[[Holdback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255.55</v>
      </c>
      <c r="DH9" s="504">
        <f ca="1">SUMIFS(CostTrack[[Value]:[Value]],CostTrack[[PA ID]:[PA ID]],$B9,CostTrack[[Vendor - Contract]:[Vendor - Contract]],$H9,CostTrack[[Holdback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376.46000000000004</v>
      </c>
      <c r="DI9" s="504">
        <f ca="1">SUMIFS(CostTrack[[Value]:[Value]],CostTrack[[PA ID]:[PA ID]],$B9,CostTrack[[Vendor - Contract]:[Vendor - Contract]],$H9,CostTrack[[Holdback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9" s="504">
        <f ca="1">SUMIFS(CostTrack[[Value]:[Value]],CostTrack[[PA ID]:[PA ID]],$B9,CostTrack[[Vendor - Contract]:[Vendor - Contract]],$H9,CostTrack[[Holdback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9" s="504">
        <f ca="1">SUMIFS(CostTrack[[Value]:[Value]],CostTrack[[PA ID]:[PA ID]],$B9,CostTrack[[Vendor - Contract]:[Vendor - Contract]],$H9,CostTrack[[Holdback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706.11</v>
      </c>
      <c r="DL9" s="504">
        <f ca="1">SUMIFS(CostTrack[[Value]:[Value]],CostTrack[[PA ID]:[PA ID]],$B9,CostTrack[[Vendor - Contract]:[Vendor - Contract]],$H9,CostTrack[[Holdback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541.83000000000004</v>
      </c>
      <c r="DM9" s="512">
        <f t="shared" ref="DM9:DM35" ca="1" si="22">SUM(DA9:DL9)</f>
        <v>2260.04</v>
      </c>
      <c r="DO9" s="504">
        <f ca="1">SUMIFS(CostTrack[[Value]:[Value]],CostTrack[[PA ID]:[PA ID]],$B9,CostTrack[[Vendor - Contract]:[Vendor - Contract]],$H9,CostTrack[[Holdback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9" s="504">
        <f ca="1">SUMIFS(CostTrack[[Value]:[Value]],CostTrack[[PA ID]:[PA ID]],$B9,CostTrack[[Vendor - Contract]:[Vendor - Contract]],$H9,CostTrack[[Holdback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370.82</v>
      </c>
      <c r="DQ9" s="504">
        <f ca="1">SUMIFS(CostTrack[[Value]:[Value]],CostTrack[[PA ID]:[PA ID]],$B9,CostTrack[[Vendor - Contract]:[Vendor - Contract]],$H9,CostTrack[[Holdback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194.37</v>
      </c>
      <c r="DR9" s="504">
        <f ca="1">SUMIFS(CostTrack[[Value]:[Value]],CostTrack[[PA ID]:[PA ID]],$B9,CostTrack[[Vendor - Contract]:[Vendor - Contract]],$H9,CostTrack[[Holdback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9" s="504">
        <f ca="1">SUMIFS(CostTrack[[Value]:[Value]],CostTrack[[PA ID]:[PA ID]],$B9,CostTrack[[Vendor - Contract]:[Vendor - Contract]],$H9,CostTrack[[Holdback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9" s="504">
        <f ca="1">SUMIFS(CostTrack[[Value]:[Value]],CostTrack[[PA ID]:[PA ID]],$B9,CostTrack[[Vendor - Contract]:[Vendor - Contract]],$H9,CostTrack[[Holdback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93.43</v>
      </c>
      <c r="DU9" s="504">
        <f ca="1">SUMIFS(CostTrack[[Value]:[Value]],CostTrack[[PA ID]:[PA ID]],$B9,CostTrack[[Vendor - Contract]:[Vendor - Contract]],$H9,CostTrack[[Holdback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9" s="504">
        <f ca="1">SUMIFS(CostTrack[[Value]:[Value]],CostTrack[[PA ID]:[PA ID]],$B9,CostTrack[[Vendor - Contract]:[Vendor - Contract]],$H9,CostTrack[[Holdback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160.01</v>
      </c>
      <c r="DW9" s="504">
        <f ca="1">SUMIFS(CostTrack[[Value]:[Value]],CostTrack[[PA ID]:[PA ID]],$B9,CostTrack[[Vendor - Contract]:[Vendor - Contract]],$H9,CostTrack[[Holdback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123.52000000000001</v>
      </c>
      <c r="DX9" s="504">
        <f ca="1">SUMIFS(CostTrack[[Value]:[Value]],CostTrack[[PA ID]:[PA ID]],$B9,CostTrack[[Vendor - Contract]:[Vendor - Contract]],$H9,CostTrack[[Holdback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9" s="504">
        <f ca="1">SUMIFS(CostTrack[[Value]:[Value]],CostTrack[[PA ID]:[PA ID]],$B9,CostTrack[[Vendor - Contract]:[Vendor - Contract]],$H9,CostTrack[[Holdback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181.47</v>
      </c>
      <c r="DZ9" s="504">
        <f ca="1">SUMIFS(CostTrack[[Value]:[Value]],CostTrack[[PA ID]:[PA ID]],$B9,CostTrack[[Vendor - Contract]:[Vendor - Contract]],$H9,CostTrack[[Holdback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9" s="512">
        <f t="shared" ref="EA9:EA35" ca="1" si="23">SUM(DO9:DZ9)</f>
        <v>1123.6200000000001</v>
      </c>
      <c r="EC9" s="504">
        <f ca="1">SUMIFS(CostTrack[[Value]:[Value]],CostTrack[[PA ID]:[PA ID]],$B9,CostTrack[[Vendor - Contract]:[Vendor - Contract]],$H9,CostTrack[[Holdback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85.99</v>
      </c>
      <c r="ED9" s="505"/>
      <c r="EE9" s="505"/>
      <c r="EF9" s="505"/>
      <c r="EG9" s="505"/>
      <c r="EH9" s="505"/>
      <c r="EI9" s="505"/>
      <c r="EJ9" s="505"/>
      <c r="EK9" s="505"/>
      <c r="EL9" s="505"/>
      <c r="EM9" s="505"/>
      <c r="EN9" s="505"/>
      <c r="EO9" s="512">
        <f t="shared" ref="EO9:EO35" ca="1" si="24">SUM(EC9:EN9)</f>
        <v>85.99</v>
      </c>
      <c r="EQ9" s="505"/>
      <c r="ER9" s="505"/>
      <c r="ES9" s="505"/>
      <c r="ET9" s="505"/>
      <c r="EU9" s="505"/>
      <c r="EV9" s="505"/>
      <c r="EW9" s="505"/>
      <c r="EX9" s="505"/>
      <c r="EY9" s="505"/>
      <c r="EZ9" s="505"/>
      <c r="FA9" s="505"/>
      <c r="FB9" s="505"/>
      <c r="FC9" s="512">
        <f t="shared" ref="FC9:FC35" si="25">SUM(EQ9:FB9)</f>
        <v>0</v>
      </c>
      <c r="FE9" s="505"/>
      <c r="FF9" s="505"/>
      <c r="FG9" s="505"/>
      <c r="FH9" s="505"/>
      <c r="FI9" s="505"/>
      <c r="FJ9" s="505"/>
      <c r="FK9" s="505"/>
      <c r="FL9" s="505"/>
      <c r="FM9" s="505"/>
      <c r="FN9" s="505"/>
      <c r="FO9" s="505"/>
      <c r="FP9" s="505"/>
      <c r="FQ9" s="512">
        <f t="shared" ref="FQ9:FQ35" si="26">SUM(FE9:FP9)</f>
        <v>0</v>
      </c>
      <c r="FS9" s="504">
        <f t="shared" ref="FS9:FS35" ca="1" si="27">AG9+AU9+BI9+BW9+CK9+CY9+DM9+EA9+EO9+FC9+FQ9</f>
        <v>8565.33</v>
      </c>
    </row>
    <row r="10" spans="1:175">
      <c r="A10" s="216">
        <v>3</v>
      </c>
      <c r="B10" s="219" t="str">
        <f ca="1">INDEX(EAC[PA ID],MATCH($A10,EAC[Row],0))</f>
        <v>200.010.F1</v>
      </c>
      <c r="C10" s="218" t="str">
        <f ca="1">INDEX(EAC[Primary Category],MATCH($A10,EAC[Row],0))</f>
        <v>Professional Services</v>
      </c>
      <c r="D10" s="218" t="str">
        <f ca="1">INDEX(EAC[Secondary Category],MATCH($A10,EAC[Row],0))</f>
        <v>Prime Consultant</v>
      </c>
      <c r="E10" s="109" t="str">
        <f ca="1">INDEX(EAC[Phase / Subproject],MATCH($A10,EAC[Row],0))</f>
        <v>--</v>
      </c>
      <c r="F10" s="109" t="str">
        <f ca="1">INDEX(EAC[Phase / Subproject 2],MATCH($A10,EAC[Row],0))</f>
        <v>--</v>
      </c>
      <c r="G10" s="109" t="str">
        <f ca="1">INDEX(EAC[Funding Source],MATCH($A10,EAC[Row],0))</f>
        <v>P-002360</v>
      </c>
      <c r="H10" s="146" t="str">
        <f ca="1">INDEX(EAC[Vendor / Org. with Contract ID],MATCH($A10,EAC[Row],0))</f>
        <v>Group2 Architecture Interior Design Ltd. -34413</v>
      </c>
      <c r="I10" s="502">
        <f ca="1">INDEX(EAC[Estimate At Completion],MATCH($A10,EAC[Row],0))</f>
        <v>9743665.8200000003</v>
      </c>
      <c r="J10" s="502">
        <f ca="1">SUMIFS(CostTrack[Value],CostTrack[Vendor - Contract],$H10,CostTrack[PA ID],$B10,CostTrack[Holdback (Y/N/R)],"&lt;&gt;Release",CostTrack[Status],"Approved")</f>
        <v>9659288.0199999921</v>
      </c>
      <c r="K10" s="503">
        <f t="shared" ca="1" si="14"/>
        <v>84377.800000008196</v>
      </c>
      <c r="M10" s="504">
        <f ca="1">I10-FS10</f>
        <v>0</v>
      </c>
      <c r="O10" s="504">
        <f t="shared" ca="1" si="11"/>
        <v>9606108.2699999996</v>
      </c>
      <c r="P10" s="504">
        <f t="array" aca="1" ref="P10" ca="1">SUM($U10:$FQ10*_xlfn.ISFORMULA($U10:$FQ10)*ISNUMBER($U$7:$FQ$7)*--(INDEX($U$6:$FQ$6,N(IF({1},COLUMN($U$6:$FQ$6)-COLUMN($T$6)))-MOD(N(IF({1},COLUMN($U$6:$FQ$6)-COLUMN($U$6))),14))="Current Fiscal"))</f>
        <v>22375</v>
      </c>
      <c r="Q10" s="504">
        <f t="array" aca="1" ref="Q10" ca="1">SUM($U10:$FQ10*NOT(_xlfn.ISFORMULA($U10:$FQ10))*ISNUMBER($U$7:$FQ$7)*--(INDEX($U$6:$FQ$6,N(IF({1},COLUMN($U$6:$FQ$6)-COLUMN($T$6)))-MOD(N(IF({1},COLUMN($U$6:$FQ$6)-COLUMN($U$6))),14))="Current Fiscal"))</f>
        <v>115182.55</v>
      </c>
      <c r="R10" s="504">
        <f t="shared" ca="1" si="12"/>
        <v>137557.54999999999</v>
      </c>
      <c r="S10" s="504">
        <f t="shared" ca="1" si="13"/>
        <v>0</v>
      </c>
      <c r="U10" s="504">
        <f ca="1">SUMIFS(CostTrack[[Value]:[Value]],CostTrack[[PA ID]:[PA ID]],$B10,CostTrack[[Vendor - Contract]:[Vendor - Contract]],$H10,CostTrack[[Holdback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0" s="504">
        <f ca="1">SUMIFS(CostTrack[[Value]:[Value]],CostTrack[[PA ID]:[PA ID]],$B10,CostTrack[[Vendor - Contract]:[Vendor - Contract]],$H10,CostTrack[[Holdback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0" s="504">
        <f ca="1">SUMIFS(CostTrack[[Value]:[Value]],CostTrack[[PA ID]:[PA ID]],$B10,CostTrack[[Vendor - Contract]:[Vendor - Contract]],$H10,CostTrack[[Holdback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0" s="504">
        <f ca="1">SUMIFS(CostTrack[[Value]:[Value]],CostTrack[[PA ID]:[PA ID]],$B10,CostTrack[[Vendor - Contract]:[Vendor - Contract]],$H10,CostTrack[[Holdback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0" s="504">
        <f ca="1">SUMIFS(CostTrack[[Value]:[Value]],CostTrack[[PA ID]:[PA ID]],$B10,CostTrack[[Vendor - Contract]:[Vendor - Contract]],$H10,CostTrack[[Holdback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0" s="504">
        <f ca="1">SUMIFS(CostTrack[[Value]:[Value]],CostTrack[[PA ID]:[PA ID]],$B10,CostTrack[[Vendor - Contract]:[Vendor - Contract]],$H10,CostTrack[[Holdback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0" s="504">
        <f ca="1">SUMIFS(CostTrack[[Value]:[Value]],CostTrack[[PA ID]:[PA ID]],$B10,CostTrack[[Vendor - Contract]:[Vendor - Contract]],$H10,CostTrack[[Holdback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0" s="504">
        <f ca="1">SUMIFS(CostTrack[[Value]:[Value]],CostTrack[[PA ID]:[PA ID]],$B10,CostTrack[[Vendor - Contract]:[Vendor - Contract]],$H10,CostTrack[[Holdback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0" s="504">
        <f ca="1">SUMIFS(CostTrack[[Value]:[Value]],CostTrack[[PA ID]:[PA ID]],$B10,CostTrack[[Vendor - Contract]:[Vendor - Contract]],$H10,CostTrack[[Holdback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0" s="504">
        <f ca="1">SUMIFS(CostTrack[[Value]:[Value]],CostTrack[[PA ID]:[PA ID]],$B10,CostTrack[[Vendor - Contract]:[Vendor - Contract]],$H10,CostTrack[[Holdback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0" s="504">
        <f ca="1">SUMIFS(CostTrack[[Value]:[Value]],CostTrack[[PA ID]:[PA ID]],$B10,CostTrack[[Vendor - Contract]:[Vendor - Contract]],$H10,CostTrack[[Holdback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0" s="504">
        <f ca="1">SUMIFS(CostTrack[[Value]:[Value]],CostTrack[[PA ID]:[PA ID]],$B10,CostTrack[[Vendor - Contract]:[Vendor - Contract]],$H10,CostTrack[[Holdback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0" s="506">
        <f t="shared" ca="1" si="16"/>
        <v>0</v>
      </c>
      <c r="AI10" s="504">
        <f ca="1">SUMIFS(CostTrack[[Value]:[Value]],CostTrack[[PA ID]:[PA ID]],$B10,CostTrack[[Vendor - Contract]:[Vendor - Contract]],$H10,CostTrack[[Holdback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0" s="504">
        <f ca="1">SUMIFS(CostTrack[[Value]:[Value]],CostTrack[[PA ID]:[PA ID]],$B10,CostTrack[[Vendor - Contract]:[Vendor - Contract]],$H10,CostTrack[[Holdback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0" s="504">
        <f ca="1">SUMIFS(CostTrack[[Value]:[Value]],CostTrack[[PA ID]:[PA ID]],$B10,CostTrack[[Vendor - Contract]:[Vendor - Contract]],$H10,CostTrack[[Holdback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406894.95</v>
      </c>
      <c r="AL10" s="504">
        <f ca="1">SUMIFS(CostTrack[[Value]:[Value]],CostTrack[[PA ID]:[PA ID]],$B10,CostTrack[[Vendor - Contract]:[Vendor - Contract]],$H10,CostTrack[[Holdback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406894.95</v>
      </c>
      <c r="AM10" s="504">
        <f ca="1">SUMIFS(CostTrack[[Value]:[Value]],CostTrack[[PA ID]:[PA ID]],$B10,CostTrack[[Vendor - Contract]:[Vendor - Contract]],$H10,CostTrack[[Holdback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358447.1</v>
      </c>
      <c r="AN10" s="504">
        <f ca="1">SUMIFS(CostTrack[[Value]:[Value]],CostTrack[[PA ID]:[PA ID]],$B10,CostTrack[[Vendor - Contract]:[Vendor - Contract]],$H10,CostTrack[[Holdback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315823</v>
      </c>
      <c r="AO10" s="504">
        <f ca="1">SUMIFS(CostTrack[[Value]:[Value]],CostTrack[[PA ID]:[PA ID]],$B10,CostTrack[[Vendor - Contract]:[Vendor - Contract]],$H10,CostTrack[[Holdback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311951</v>
      </c>
      <c r="AP10" s="504">
        <f ca="1">SUMIFS(CostTrack[[Value]:[Value]],CostTrack[[PA ID]:[PA ID]],$B10,CostTrack[[Vendor - Contract]:[Vendor - Contract]],$H10,CostTrack[[Holdback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234447.25</v>
      </c>
      <c r="AQ10" s="504">
        <f ca="1">SUMIFS(CostTrack[[Value]:[Value]],CostTrack[[PA ID]:[PA ID]],$B10,CostTrack[[Vendor - Contract]:[Vendor - Contract]],$H10,CostTrack[[Holdback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232511.25</v>
      </c>
      <c r="AR10" s="504">
        <f ca="1">SUMIFS(CostTrack[[Value]:[Value]],CostTrack[[PA ID]:[PA ID]],$B10,CostTrack[[Vendor - Contract]:[Vendor - Contract]],$H10,CostTrack[[Holdback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239510.25</v>
      </c>
      <c r="AS10" s="504">
        <f ca="1">SUMIFS(CostTrack[[Value]:[Value]],CostTrack[[PA ID]:[PA ID]],$B10,CostTrack[[Vendor - Contract]:[Vendor - Contract]],$H10,CostTrack[[Holdback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175584.75</v>
      </c>
      <c r="AT10" s="504">
        <f ca="1">SUMIFS(CostTrack[[Value]:[Value]],CostTrack[[PA ID]:[PA ID]],$B10,CostTrack[[Vendor - Contract]:[Vendor - Contract]],$H10,CostTrack[[Holdback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564886.24</v>
      </c>
      <c r="AU10" s="512">
        <f t="shared" ca="1" si="17"/>
        <v>3246950.74</v>
      </c>
      <c r="AW10" s="504">
        <f ca="1">SUMIFS(CostTrack[[Value]:[Value]],CostTrack[[PA ID]:[PA ID]],$B10,CostTrack[[Vendor - Contract]:[Vendor - Contract]],$H10,CostTrack[[Holdback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0" s="504">
        <f ca="1">SUMIFS(CostTrack[[Value]:[Value]],CostTrack[[PA ID]:[PA ID]],$B10,CostTrack[[Vendor - Contract]:[Vendor - Contract]],$H10,CostTrack[[Holdback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463061.14</v>
      </c>
      <c r="AY10" s="504">
        <f ca="1">SUMIFS(CostTrack[[Value]:[Value]],CostTrack[[PA ID]:[PA ID]],$B10,CostTrack[[Vendor - Contract]:[Vendor - Contract]],$H10,CostTrack[[Holdback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312805.24</v>
      </c>
      <c r="AZ10" s="504">
        <f ca="1">SUMIFS(CostTrack[[Value]:[Value]],CostTrack[[PA ID]:[PA ID]],$B10,CostTrack[[Vendor - Contract]:[Vendor - Contract]],$H10,CostTrack[[Holdback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311410.17</v>
      </c>
      <c r="BA10" s="504">
        <f ca="1">SUMIFS(CostTrack[[Value]:[Value]],CostTrack[[PA ID]:[PA ID]],$B10,CostTrack[[Vendor - Contract]:[Vendor - Contract]],$H10,CostTrack[[Holdback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377598.39</v>
      </c>
      <c r="BB10" s="504">
        <f ca="1">SUMIFS(CostTrack[[Value]:[Value]],CostTrack[[PA ID]:[PA ID]],$B10,CostTrack[[Vendor - Contract]:[Vendor - Contract]],$H10,CostTrack[[Holdback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431945.77</v>
      </c>
      <c r="BC10" s="504">
        <f ca="1">SUMIFS(CostTrack[[Value]:[Value]],CostTrack[[PA ID]:[PA ID]],$B10,CostTrack[[Vendor - Contract]:[Vendor - Contract]],$H10,CostTrack[[Holdback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317619.71999999997</v>
      </c>
      <c r="BD10" s="504">
        <f ca="1">SUMIFS(CostTrack[[Value]:[Value]],CostTrack[[PA ID]:[PA ID]],$B10,CostTrack[[Vendor - Contract]:[Vendor - Contract]],$H10,CostTrack[[Holdback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199020.13</v>
      </c>
      <c r="BE10" s="504">
        <f ca="1">SUMIFS(CostTrack[[Value]:[Value]],CostTrack[[PA ID]:[PA ID]],$B10,CostTrack[[Vendor - Contract]:[Vendor - Contract]],$H10,CostTrack[[Holdback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174928.8</v>
      </c>
      <c r="BF10" s="504">
        <f ca="1">SUMIFS(CostTrack[[Value]:[Value]],CostTrack[[PA ID]:[PA ID]],$B10,CostTrack[[Vendor - Contract]:[Vendor - Contract]],$H10,CostTrack[[Holdback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120713.03</v>
      </c>
      <c r="BG10" s="504">
        <f ca="1">SUMIFS(CostTrack[[Value]:[Value]],CostTrack[[PA ID]:[PA ID]],$B10,CostTrack[[Vendor - Contract]:[Vendor - Contract]],$H10,CostTrack[[Holdback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21112.35</v>
      </c>
      <c r="BH10" s="504">
        <f ca="1">SUMIFS(CostTrack[[Value]:[Value]],CostTrack[[PA ID]:[PA ID]],$B10,CostTrack[[Vendor - Contract]:[Vendor - Contract]],$H10,CostTrack[[Holdback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75410.490000000005</v>
      </c>
      <c r="BI10" s="512">
        <f t="shared" ca="1" si="18"/>
        <v>2805625.2299999995</v>
      </c>
      <c r="BK10" s="504">
        <f ca="1">SUMIFS(CostTrack[[Value]:[Value]],CostTrack[[PA ID]:[PA ID]],$B10,CostTrack[[Vendor - Contract]:[Vendor - Contract]],$H10,CostTrack[[Holdback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0" s="504">
        <f ca="1">SUMIFS(CostTrack[[Value]:[Value]],CostTrack[[PA ID]:[PA ID]],$B10,CostTrack[[Vendor - Contract]:[Vendor - Contract]],$H10,CostTrack[[Holdback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50594.22</v>
      </c>
      <c r="BM10" s="504">
        <f ca="1">SUMIFS(CostTrack[[Value]:[Value]],CostTrack[[PA ID]:[PA ID]],$B10,CostTrack[[Vendor - Contract]:[Vendor - Contract]],$H10,CostTrack[[Holdback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105229.71</v>
      </c>
      <c r="BN10" s="504">
        <f ca="1">SUMIFS(CostTrack[[Value]:[Value]],CostTrack[[PA ID]:[PA ID]],$B10,CostTrack[[Vendor - Contract]:[Vendor - Contract]],$H10,CostTrack[[Holdback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127881.27</v>
      </c>
      <c r="BO10" s="504">
        <f ca="1">SUMIFS(CostTrack[[Value]:[Value]],CostTrack[[PA ID]:[PA ID]],$B10,CostTrack[[Vendor - Contract]:[Vendor - Contract]],$H10,CostTrack[[Holdback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205385.07</v>
      </c>
      <c r="BP10" s="504">
        <f ca="1">SUMIFS(CostTrack[[Value]:[Value]],CostTrack[[PA ID]:[PA ID]],$B10,CostTrack[[Vendor - Contract]:[Vendor - Contract]],$H10,CostTrack[[Holdback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46502.28</v>
      </c>
      <c r="BQ10" s="504">
        <f ca="1">SUMIFS(CostTrack[[Value]:[Value]],CostTrack[[PA ID]:[PA ID]],$B10,CostTrack[[Vendor - Contract]:[Vendor - Contract]],$H10,CostTrack[[Holdback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41852.04</v>
      </c>
      <c r="BR10" s="504">
        <f ca="1">SUMIFS(CostTrack[[Value]:[Value]],CostTrack[[PA ID]:[PA ID]],$B10,CostTrack[[Vendor - Contract]:[Vendor - Contract]],$H10,CostTrack[[Holdback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44832.04</v>
      </c>
      <c r="BS10" s="504">
        <f ca="1">SUMIFS(CostTrack[[Value]:[Value]],CostTrack[[PA ID]:[PA ID]],$B10,CostTrack[[Vendor - Contract]:[Vendor - Contract]],$H10,CostTrack[[Holdback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47209.54</v>
      </c>
      <c r="BT10" s="504">
        <f ca="1">SUMIFS(CostTrack[[Value]:[Value]],CostTrack[[PA ID]:[PA ID]],$B10,CostTrack[[Vendor - Contract]:[Vendor - Contract]],$H10,CostTrack[[Holdback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41852.04</v>
      </c>
      <c r="BU10" s="504">
        <f ca="1">SUMIFS(CostTrack[[Value]:[Value]],CostTrack[[PA ID]:[PA ID]],$B10,CostTrack[[Vendor - Contract]:[Vendor - Contract]],$H10,CostTrack[[Holdback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56391.040000000001</v>
      </c>
      <c r="BV10" s="504">
        <f ca="1">SUMIFS(CostTrack[[Value]:[Value]],CostTrack[[PA ID]:[PA ID]],$B10,CostTrack[[Vendor - Contract]:[Vendor - Contract]],$H10,CostTrack[[Holdback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94726.58</v>
      </c>
      <c r="BW10" s="512">
        <f t="shared" ca="1" si="19"/>
        <v>862455.83000000019</v>
      </c>
      <c r="BY10" s="504">
        <f ca="1">SUMIFS(CostTrack[[Value]:[Value]],CostTrack[[PA ID]:[PA ID]],$B10,CostTrack[[Vendor - Contract]:[Vendor - Contract]],$H10,CostTrack[[Holdback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0" s="504">
        <f ca="1">SUMIFS(CostTrack[[Value]:[Value]],CostTrack[[PA ID]:[PA ID]],$B10,CostTrack[[Vendor - Contract]:[Vendor - Contract]],$H10,CostTrack[[Holdback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79774.38</v>
      </c>
      <c r="CA10" s="504">
        <f ca="1">SUMIFS(CostTrack[[Value]:[Value]],CostTrack[[PA ID]:[PA ID]],$B10,CostTrack[[Vendor - Contract]:[Vendor - Contract]],$H10,CostTrack[[Holdback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117556.06</v>
      </c>
      <c r="CB10" s="504">
        <f ca="1">SUMIFS(CostTrack[[Value]:[Value]],CostTrack[[PA ID]:[PA ID]],$B10,CostTrack[[Vendor - Contract]:[Vendor - Contract]],$H10,CostTrack[[Holdback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114758.04</v>
      </c>
      <c r="CC10" s="504">
        <f ca="1">SUMIFS(CostTrack[[Value]:[Value]],CostTrack[[PA ID]:[PA ID]],$B10,CostTrack[[Vendor - Contract]:[Vendor - Contract]],$H10,CostTrack[[Holdback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74577.73</v>
      </c>
      <c r="CD10" s="504">
        <f ca="1">SUMIFS(CostTrack[[Value]:[Value]],CostTrack[[PA ID]:[PA ID]],$B10,CostTrack[[Vendor - Contract]:[Vendor - Contract]],$H10,CostTrack[[Holdback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85876.09</v>
      </c>
      <c r="CE10" s="504">
        <f ca="1">SUMIFS(CostTrack[[Value]:[Value]],CostTrack[[PA ID]:[PA ID]],$B10,CostTrack[[Vendor - Contract]:[Vendor - Contract]],$H10,CostTrack[[Holdback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64299.09</v>
      </c>
      <c r="CF10" s="504">
        <f ca="1">SUMIFS(CostTrack[[Value]:[Value]],CostTrack[[PA ID]:[PA ID]],$B10,CostTrack[[Vendor - Contract]:[Vendor - Contract]],$H10,CostTrack[[Holdback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67371.89</v>
      </c>
      <c r="CG10" s="504">
        <f ca="1">SUMIFS(CostTrack[[Value]:[Value]],CostTrack[[PA ID]:[PA ID]],$B10,CostTrack[[Vendor - Contract]:[Vendor - Contract]],$H10,CostTrack[[Holdback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51591.89</v>
      </c>
      <c r="CH10" s="504">
        <f ca="1">SUMIFS(CostTrack[[Value]:[Value]],CostTrack[[PA ID]:[PA ID]],$B10,CostTrack[[Vendor - Contract]:[Vendor - Contract]],$H10,CostTrack[[Holdback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59893.39</v>
      </c>
      <c r="CI10" s="504">
        <f ca="1">SUMIFS(CostTrack[[Value]:[Value]],CostTrack[[PA ID]:[PA ID]],$B10,CostTrack[[Vendor - Contract]:[Vendor - Contract]],$H10,CostTrack[[Holdback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88377.98</v>
      </c>
      <c r="CJ10" s="504">
        <f ca="1">SUMIFS(CostTrack[[Value]:[Value]],CostTrack[[PA ID]:[PA ID]],$B10,CostTrack[[Vendor - Contract]:[Vendor - Contract]],$H10,CostTrack[[Holdback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431036.89999999997</v>
      </c>
      <c r="CK10" s="512">
        <f t="shared" ca="1" si="20"/>
        <v>1235113.44</v>
      </c>
      <c r="CM10" s="504">
        <f ca="1">SUMIFS(CostTrack[[Value]:[Value]],CostTrack[[PA ID]:[PA ID]],$B10,CostTrack[[Vendor - Contract]:[Vendor - Contract]],$H10,CostTrack[[Holdback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0" s="504">
        <f ca="1">SUMIFS(CostTrack[[Value]:[Value]],CostTrack[[PA ID]:[PA ID]],$B10,CostTrack[[Vendor - Contract]:[Vendor - Contract]],$H10,CostTrack[[Holdback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76652.89</v>
      </c>
      <c r="CO10" s="504">
        <f ca="1">SUMIFS(CostTrack[[Value]:[Value]],CostTrack[[PA ID]:[PA ID]],$B10,CostTrack[[Vendor - Contract]:[Vendor - Contract]],$H10,CostTrack[[Holdback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68554.990000000005</v>
      </c>
      <c r="CP10" s="504">
        <f ca="1">SUMIFS(CostTrack[[Value]:[Value]],CostTrack[[PA ID]:[PA ID]],$B10,CostTrack[[Vendor - Contract]:[Vendor - Contract]],$H10,CostTrack[[Holdback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71854.94</v>
      </c>
      <c r="CQ10" s="504">
        <f ca="1">SUMIFS(CostTrack[[Value]:[Value]],CostTrack[[PA ID]:[PA ID]],$B10,CostTrack[[Vendor - Contract]:[Vendor - Contract]],$H10,CostTrack[[Holdback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50911.89</v>
      </c>
      <c r="CR10" s="504">
        <f ca="1">SUMIFS(CostTrack[[Value]:[Value]],CostTrack[[PA ID]:[PA ID]],$B10,CostTrack[[Vendor - Contract]:[Vendor - Contract]],$H10,CostTrack[[Holdback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51721.84</v>
      </c>
      <c r="CS10" s="504">
        <f ca="1">SUMIFS(CostTrack[[Value]:[Value]],CostTrack[[PA ID]:[PA ID]],$B10,CostTrack[[Vendor - Contract]:[Vendor - Contract]],$H10,CostTrack[[Holdback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67621.440000000002</v>
      </c>
      <c r="CT10" s="504">
        <f ca="1">SUMIFS(CostTrack[[Value]:[Value]],CostTrack[[PA ID]:[PA ID]],$B10,CostTrack[[Vendor - Contract]:[Vendor - Contract]],$H10,CostTrack[[Holdback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55790.23</v>
      </c>
      <c r="CU10" s="504">
        <f ca="1">SUMIFS(CostTrack[[Value]:[Value]],CostTrack[[PA ID]:[PA ID]],$B10,CostTrack[[Vendor - Contract]:[Vendor - Contract]],$H10,CostTrack[[Holdback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62231.56</v>
      </c>
      <c r="CV10" s="504">
        <f ca="1">SUMIFS(CostTrack[[Value]:[Value]],CostTrack[[PA ID]:[PA ID]],$B10,CostTrack[[Vendor - Contract]:[Vendor - Contract]],$H10,CostTrack[[Holdback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69991.039999999994</v>
      </c>
      <c r="CW10" s="504">
        <f ca="1">SUMIFS(CostTrack[[Value]:[Value]],CostTrack[[PA ID]:[PA ID]],$B10,CostTrack[[Vendor - Contract]:[Vendor - Contract]],$H10,CostTrack[[Holdback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36183.870000000003</v>
      </c>
      <c r="CX10" s="504">
        <f ca="1">SUMIFS(CostTrack[[Value]:[Value]],CostTrack[[PA ID]:[PA ID]],$B10,CostTrack[[Vendor - Contract]:[Vendor - Contract]],$H10,CostTrack[[Holdback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59837.99</v>
      </c>
      <c r="CY10" s="512">
        <f t="shared" ca="1" si="21"/>
        <v>671352.68</v>
      </c>
      <c r="DA10" s="504">
        <f ca="1">SUMIFS(CostTrack[[Value]:[Value]],CostTrack[[PA ID]:[PA ID]],$B10,CostTrack[[Vendor - Contract]:[Vendor - Contract]],$H10,CostTrack[[Holdback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0" s="504">
        <f ca="1">SUMIFS(CostTrack[[Value]:[Value]],CostTrack[[PA ID]:[PA ID]],$B10,CostTrack[[Vendor - Contract]:[Vendor - Contract]],$H10,CostTrack[[Holdback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38440.449999999997</v>
      </c>
      <c r="DC10" s="504">
        <f ca="1">SUMIFS(CostTrack[[Value]:[Value]],CostTrack[[PA ID]:[PA ID]],$B10,CostTrack[[Vendor - Contract]:[Vendor - Contract]],$H10,CostTrack[[Holdback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95401.49</v>
      </c>
      <c r="DD10" s="504">
        <f ca="1">SUMIFS(CostTrack[[Value]:[Value]],CostTrack[[PA ID]:[PA ID]],$B10,CostTrack[[Vendor - Contract]:[Vendor - Contract]],$H10,CostTrack[[Holdback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72741.02</v>
      </c>
      <c r="DE10" s="504">
        <f ca="1">SUMIFS(CostTrack[[Value]:[Value]],CostTrack[[PA ID]:[PA ID]],$B10,CostTrack[[Vendor - Contract]:[Vendor - Contract]],$H10,CostTrack[[Holdback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30797.16</v>
      </c>
      <c r="DF10" s="504">
        <f ca="1">SUMIFS(CostTrack[[Value]:[Value]],CostTrack[[PA ID]:[PA ID]],$B10,CostTrack[[Vendor - Contract]:[Vendor - Contract]],$H10,CostTrack[[Holdback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26181.87</v>
      </c>
      <c r="DG10" s="504">
        <f ca="1">SUMIFS(CostTrack[[Value]:[Value]],CostTrack[[PA ID]:[PA ID]],$B10,CostTrack[[Vendor - Contract]:[Vendor - Contract]],$H10,CostTrack[[Holdback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20572.8</v>
      </c>
      <c r="DH10" s="504">
        <f ca="1">SUMIFS(CostTrack[[Value]:[Value]],CostTrack[[PA ID]:[PA ID]],$B10,CostTrack[[Vendor - Contract]:[Vendor - Contract]],$H10,CostTrack[[Holdback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52662.97</v>
      </c>
      <c r="DI10" s="504">
        <f ca="1">SUMIFS(CostTrack[[Value]:[Value]],CostTrack[[PA ID]:[PA ID]],$B10,CostTrack[[Vendor - Contract]:[Vendor - Contract]],$H10,CostTrack[[Holdback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31851.01</v>
      </c>
      <c r="DJ10" s="504">
        <f ca="1">SUMIFS(CostTrack[[Value]:[Value]],CostTrack[[PA ID]:[PA ID]],$B10,CostTrack[[Vendor - Contract]:[Vendor - Contract]],$H10,CostTrack[[Holdback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27470.11</v>
      </c>
      <c r="DK10" s="504">
        <f ca="1">SUMIFS(CostTrack[[Value]:[Value]],CostTrack[[PA ID]:[PA ID]],$B10,CostTrack[[Vendor - Contract]:[Vendor - Contract]],$H10,CostTrack[[Holdback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59906.14</v>
      </c>
      <c r="DL10" s="504">
        <f ca="1">SUMIFS(CostTrack[[Value]:[Value]],CostTrack[[PA ID]:[PA ID]],$B10,CostTrack[[Vendor - Contract]:[Vendor - Contract]],$H10,CostTrack[[Holdback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45499.63</v>
      </c>
      <c r="DM10" s="512">
        <f t="shared" ca="1" si="22"/>
        <v>501524.65</v>
      </c>
      <c r="DO10" s="504">
        <f ca="1">SUMIFS(CostTrack[[Value]:[Value]],CostTrack[[PA ID]:[PA ID]],$B10,CostTrack[[Vendor - Contract]:[Vendor - Contract]],$H10,CostTrack[[Holdback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0" s="504">
        <f ca="1">SUMIFS(CostTrack[[Value]:[Value]],CostTrack[[PA ID]:[PA ID]],$B10,CostTrack[[Vendor - Contract]:[Vendor - Contract]],$H10,CostTrack[[Holdback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14765.84</v>
      </c>
      <c r="DQ10" s="504">
        <f ca="1">SUMIFS(CostTrack[[Value]:[Value]],CostTrack[[PA ID]:[PA ID]],$B10,CostTrack[[Vendor - Contract]:[Vendor - Contract]],$H10,CostTrack[[Holdback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8991.39</v>
      </c>
      <c r="DR10" s="504">
        <f ca="1">SUMIFS(CostTrack[[Value]:[Value]],CostTrack[[PA ID]:[PA ID]],$B10,CostTrack[[Vendor - Contract]:[Vendor - Contract]],$H10,CostTrack[[Holdback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5873.76</v>
      </c>
      <c r="DS10" s="504">
        <f ca="1">SUMIFS(CostTrack[[Value]:[Value]],CostTrack[[PA ID]:[PA ID]],$B10,CostTrack[[Vendor - Contract]:[Vendor - Contract]],$H10,CostTrack[[Holdback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7622.35</v>
      </c>
      <c r="DT10" s="504">
        <f ca="1">SUMIFS(CostTrack[[Value]:[Value]],CostTrack[[PA ID]:[PA ID]],$B10,CostTrack[[Vendor - Contract]:[Vendor - Contract]],$H10,CostTrack[[Holdback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8407</v>
      </c>
      <c r="DU10" s="504">
        <f ca="1">SUMIFS(CostTrack[[Value]:[Value]],CostTrack[[PA ID]:[PA ID]],$B10,CostTrack[[Vendor - Contract]:[Vendor - Contract]],$H10,CostTrack[[Holdback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20300</v>
      </c>
      <c r="DV10" s="504">
        <f ca="1">SUMIFS(CostTrack[[Value]:[Value]],CostTrack[[PA ID]:[PA ID]],$B10,CostTrack[[Vendor - Contract]:[Vendor - Contract]],$H10,CostTrack[[Holdback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23823.5</v>
      </c>
      <c r="DW10" s="504">
        <f ca="1">SUMIFS(CostTrack[[Value]:[Value]],CostTrack[[PA ID]:[PA ID]],$B10,CostTrack[[Vendor - Contract]:[Vendor - Contract]],$H10,CostTrack[[Holdback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11967</v>
      </c>
      <c r="DX10" s="504">
        <f ca="1">SUMIFS(CostTrack[[Value]:[Value]],CostTrack[[PA ID]:[PA ID]],$B10,CostTrack[[Vendor - Contract]:[Vendor - Contract]],$H10,CostTrack[[Holdback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8233.5</v>
      </c>
      <c r="DY10" s="504">
        <f ca="1">SUMIFS(CostTrack[[Value]:[Value]],CostTrack[[PA ID]:[PA ID]],$B10,CostTrack[[Vendor - Contract]:[Vendor - Contract]],$H10,CostTrack[[Holdback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31484.55</v>
      </c>
      <c r="DZ10" s="504">
        <f ca="1">SUMIFS(CostTrack[[Value]:[Value]],CostTrack[[PA ID]:[PA ID]],$B10,CostTrack[[Vendor - Contract]:[Vendor - Contract]],$H10,CostTrack[[Holdback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141616.81</v>
      </c>
      <c r="EA10" s="512">
        <f ca="1">SUM(DO10:DZ10)</f>
        <v>283085.69999999995</v>
      </c>
      <c r="EC10" s="504">
        <f ca="1">SUMIFS(CostTrack[[Value]:[Value]],CostTrack[[PA ID]:[PA ID]],$B10,CostTrack[[Vendor - Contract]:[Vendor - Contract]],$H10,CostTrack[[Holdback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22375</v>
      </c>
      <c r="ED10" s="505">
        <v>15766.5</v>
      </c>
      <c r="EE10" s="505">
        <v>13000</v>
      </c>
      <c r="EF10" s="505">
        <v>13000</v>
      </c>
      <c r="EG10" s="505">
        <v>22210.91</v>
      </c>
      <c r="EH10" s="505">
        <v>32803</v>
      </c>
      <c r="EI10" s="505">
        <v>18402.14</v>
      </c>
      <c r="EJ10" s="505"/>
      <c r="EK10" s="505"/>
      <c r="EL10" s="505"/>
      <c r="EM10" s="505"/>
      <c r="EN10" s="505"/>
      <c r="EO10" s="512">
        <f ca="1">SUM(EC10:EN10)</f>
        <v>137557.54999999999</v>
      </c>
      <c r="EQ10" s="505"/>
      <c r="ER10" s="505"/>
      <c r="ES10" s="505"/>
      <c r="ET10" s="505"/>
      <c r="EU10" s="505"/>
      <c r="EV10" s="505"/>
      <c r="EW10" s="505"/>
      <c r="EX10" s="505"/>
      <c r="EY10" s="505"/>
      <c r="EZ10" s="505"/>
      <c r="FA10" s="505"/>
      <c r="FB10" s="505"/>
      <c r="FC10" s="512">
        <f t="shared" si="25"/>
        <v>0</v>
      </c>
      <c r="FE10" s="505"/>
      <c r="FF10" s="505"/>
      <c r="FG10" s="505"/>
      <c r="FH10" s="505"/>
      <c r="FI10" s="505"/>
      <c r="FJ10" s="505"/>
      <c r="FK10" s="505"/>
      <c r="FL10" s="505"/>
      <c r="FM10" s="505"/>
      <c r="FN10" s="505"/>
      <c r="FO10" s="505"/>
      <c r="FP10" s="505"/>
      <c r="FQ10" s="512">
        <f t="shared" si="26"/>
        <v>0</v>
      </c>
      <c r="FS10" s="504">
        <f t="shared" ca="1" si="27"/>
        <v>9743665.8200000003</v>
      </c>
    </row>
    <row r="11" spans="1:175">
      <c r="A11" s="216">
        <v>4</v>
      </c>
      <c r="B11" s="219" t="str">
        <f ca="1">INDEX(EAC[PA ID],MATCH($A11,EAC[Row],0))</f>
        <v>200.050.F1</v>
      </c>
      <c r="C11" s="218" t="str">
        <f ca="1">INDEX(EAC[Primary Category],MATCH($A11,EAC[Row],0))</f>
        <v>Professional Services</v>
      </c>
      <c r="D11" s="218" t="str">
        <f ca="1">INDEX(EAC[Secondary Category],MATCH($A11,EAC[Row],0))</f>
        <v>Other Professional Services</v>
      </c>
      <c r="E11" s="109" t="str">
        <f ca="1">INDEX(EAC[Phase / Subproject],MATCH($A11,EAC[Row],0))</f>
        <v>--</v>
      </c>
      <c r="F11" s="109" t="str">
        <f ca="1">INDEX(EAC[Phase / Subproject 2],MATCH($A11,EAC[Row],0))</f>
        <v>--</v>
      </c>
      <c r="G11" s="109" t="str">
        <f ca="1">INDEX(EAC[Funding Source],MATCH($A11,EAC[Row],0))</f>
        <v>P-002360</v>
      </c>
      <c r="H11" s="146" t="str">
        <f ca="1">INDEX(EAC[Vendor / Org. with Contract ID],MATCH($A11,EAC[Row],0))</f>
        <v>Pinchin Ltd. -33849</v>
      </c>
      <c r="I11" s="502">
        <f ca="1">INDEX(EAC[Estimate At Completion],MATCH($A11,EAC[Row],0))</f>
        <v>12085</v>
      </c>
      <c r="J11" s="502">
        <f ca="1">SUMIFS(CostTrack[Value],CostTrack[Vendor - Contract],$H11,CostTrack[PA ID],$B11,CostTrack[Holdback (Y/N/R)],"&lt;&gt;Release",CostTrack[Status],"Approved")</f>
        <v>12085</v>
      </c>
      <c r="K11" s="503">
        <f t="shared" ca="1" si="14"/>
        <v>0</v>
      </c>
      <c r="M11" s="504">
        <f t="shared" ca="1" si="15"/>
        <v>0</v>
      </c>
      <c r="O11" s="504">
        <f t="shared" ca="1" si="11"/>
        <v>12085</v>
      </c>
      <c r="P11" s="504">
        <f t="array" aca="1" ref="P11" ca="1">SUM($U11:$FQ11*_xlfn.ISFORMULA($U11:$FQ11)*ISNUMBER($U$7:$FQ$7)*--(INDEX($U$6:$FQ$6,N(IF({1},COLUMN($U$6:$FQ$6)-COLUMN($T$6)))-MOD(N(IF({1},COLUMN($U$6:$FQ$6)-COLUMN($U$6))),14))="Current Fiscal"))</f>
        <v>0</v>
      </c>
      <c r="Q11" s="504">
        <f t="array" aca="1" ref="Q11" ca="1">SUM($U11:$FQ11*NOT(_xlfn.ISFORMULA($U11:$FQ11))*ISNUMBER($U$7:$FQ$7)*--(INDEX($U$6:$FQ$6,N(IF({1},COLUMN($U$6:$FQ$6)-COLUMN($T$6)))-MOD(N(IF({1},COLUMN($U$6:$FQ$6)-COLUMN($U$6))),14))="Current Fiscal"))</f>
        <v>0</v>
      </c>
      <c r="R11" s="504">
        <f t="shared" ca="1" si="12"/>
        <v>0</v>
      </c>
      <c r="S11" s="504">
        <f t="shared" ca="1" si="13"/>
        <v>0</v>
      </c>
      <c r="U11" s="504">
        <f ca="1">SUMIFS(CostTrack[[Value]:[Value]],CostTrack[[PA ID]:[PA ID]],$B11,CostTrack[[Vendor - Contract]:[Vendor - Contract]],$H11,CostTrack[[Holdback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1" s="504">
        <f ca="1">SUMIFS(CostTrack[[Value]:[Value]],CostTrack[[PA ID]:[PA ID]],$B11,CostTrack[[Vendor - Contract]:[Vendor - Contract]],$H11,CostTrack[[Holdback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1" s="504">
        <f ca="1">SUMIFS(CostTrack[[Value]:[Value]],CostTrack[[PA ID]:[PA ID]],$B11,CostTrack[[Vendor - Contract]:[Vendor - Contract]],$H11,CostTrack[[Holdback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1" s="504">
        <f ca="1">SUMIFS(CostTrack[[Value]:[Value]],CostTrack[[PA ID]:[PA ID]],$B11,CostTrack[[Vendor - Contract]:[Vendor - Contract]],$H11,CostTrack[[Holdback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1" s="504">
        <f ca="1">SUMIFS(CostTrack[[Value]:[Value]],CostTrack[[PA ID]:[PA ID]],$B11,CostTrack[[Vendor - Contract]:[Vendor - Contract]],$H11,CostTrack[[Holdback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1" s="504">
        <f ca="1">SUMIFS(CostTrack[[Value]:[Value]],CostTrack[[PA ID]:[PA ID]],$B11,CostTrack[[Vendor - Contract]:[Vendor - Contract]],$H11,CostTrack[[Holdback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1" s="504">
        <f ca="1">SUMIFS(CostTrack[[Value]:[Value]],CostTrack[[PA ID]:[PA ID]],$B11,CostTrack[[Vendor - Contract]:[Vendor - Contract]],$H11,CostTrack[[Holdback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1" s="504">
        <f ca="1">SUMIFS(CostTrack[[Value]:[Value]],CostTrack[[PA ID]:[PA ID]],$B11,CostTrack[[Vendor - Contract]:[Vendor - Contract]],$H11,CostTrack[[Holdback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1" s="504">
        <f ca="1">SUMIFS(CostTrack[[Value]:[Value]],CostTrack[[PA ID]:[PA ID]],$B11,CostTrack[[Vendor - Contract]:[Vendor - Contract]],$H11,CostTrack[[Holdback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1" s="504">
        <f ca="1">SUMIFS(CostTrack[[Value]:[Value]],CostTrack[[PA ID]:[PA ID]],$B11,CostTrack[[Vendor - Contract]:[Vendor - Contract]],$H11,CostTrack[[Holdback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1" s="504">
        <f ca="1">SUMIFS(CostTrack[[Value]:[Value]],CostTrack[[PA ID]:[PA ID]],$B11,CostTrack[[Vendor - Contract]:[Vendor - Contract]],$H11,CostTrack[[Holdback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1" s="504">
        <f ca="1">SUMIFS(CostTrack[[Value]:[Value]],CostTrack[[PA ID]:[PA ID]],$B11,CostTrack[[Vendor - Contract]:[Vendor - Contract]],$H11,CostTrack[[Holdback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1050</v>
      </c>
      <c r="AG11" s="506">
        <f t="shared" ca="1" si="16"/>
        <v>1050</v>
      </c>
      <c r="AI11" s="504">
        <f ca="1">SUMIFS(CostTrack[[Value]:[Value]],CostTrack[[PA ID]:[PA ID]],$B11,CostTrack[[Vendor - Contract]:[Vendor - Contract]],$H11,CostTrack[[Holdback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1" s="504">
        <f ca="1">SUMIFS(CostTrack[[Value]:[Value]],CostTrack[[PA ID]:[PA ID]],$B11,CostTrack[[Vendor - Contract]:[Vendor - Contract]],$H11,CostTrack[[Holdback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1" s="504">
        <f ca="1">SUMIFS(CostTrack[[Value]:[Value]],CostTrack[[PA ID]:[PA ID]],$B11,CostTrack[[Vendor - Contract]:[Vendor - Contract]],$H11,CostTrack[[Holdback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1050</v>
      </c>
      <c r="AL11" s="504">
        <f ca="1">SUMIFS(CostTrack[[Value]:[Value]],CostTrack[[PA ID]:[PA ID]],$B11,CostTrack[[Vendor - Contract]:[Vendor - Contract]],$H11,CostTrack[[Holdback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1" s="504">
        <f ca="1">SUMIFS(CostTrack[[Value]:[Value]],CostTrack[[PA ID]:[PA ID]],$B11,CostTrack[[Vendor - Contract]:[Vendor - Contract]],$H11,CostTrack[[Holdback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1" s="504">
        <f ca="1">SUMIFS(CostTrack[[Value]:[Value]],CostTrack[[PA ID]:[PA ID]],$B11,CostTrack[[Vendor - Contract]:[Vendor - Contract]],$H11,CostTrack[[Holdback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2320</v>
      </c>
      <c r="AO11" s="504">
        <f ca="1">SUMIFS(CostTrack[[Value]:[Value]],CostTrack[[PA ID]:[PA ID]],$B11,CostTrack[[Vendor - Contract]:[Vendor - Contract]],$H11,CostTrack[[Holdback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8715</v>
      </c>
      <c r="AP11" s="504">
        <f ca="1">SUMIFS(CostTrack[[Value]:[Value]],CostTrack[[PA ID]:[PA ID]],$B11,CostTrack[[Vendor - Contract]:[Vendor - Contract]],$H11,CostTrack[[Holdback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1" s="504">
        <f ca="1">SUMIFS(CostTrack[[Value]:[Value]],CostTrack[[PA ID]:[PA ID]],$B11,CostTrack[[Vendor - Contract]:[Vendor - Contract]],$H11,CostTrack[[Holdback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1" s="504">
        <f ca="1">SUMIFS(CostTrack[[Value]:[Value]],CostTrack[[PA ID]:[PA ID]],$B11,CostTrack[[Vendor - Contract]:[Vendor - Contract]],$H11,CostTrack[[Holdback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1" s="504">
        <f ca="1">SUMIFS(CostTrack[[Value]:[Value]],CostTrack[[PA ID]:[PA ID]],$B11,CostTrack[[Vendor - Contract]:[Vendor - Contract]],$H11,CostTrack[[Holdback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1" s="504">
        <f ca="1">SUMIFS(CostTrack[[Value]:[Value]],CostTrack[[PA ID]:[PA ID]],$B11,CostTrack[[Vendor - Contract]:[Vendor - Contract]],$H11,CostTrack[[Holdback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-1050</v>
      </c>
      <c r="AU11" s="512">
        <f t="shared" ca="1" si="17"/>
        <v>11035</v>
      </c>
      <c r="AW11" s="504">
        <f ca="1">SUMIFS(CostTrack[[Value]:[Value]],CostTrack[[PA ID]:[PA ID]],$B11,CostTrack[[Vendor - Contract]:[Vendor - Contract]],$H11,CostTrack[[Holdback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1" s="504">
        <f ca="1">SUMIFS(CostTrack[[Value]:[Value]],CostTrack[[PA ID]:[PA ID]],$B11,CostTrack[[Vendor - Contract]:[Vendor - Contract]],$H11,CostTrack[[Holdback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1" s="504">
        <f ca="1">SUMIFS(CostTrack[[Value]:[Value]],CostTrack[[PA ID]:[PA ID]],$B11,CostTrack[[Vendor - Contract]:[Vendor - Contract]],$H11,CostTrack[[Holdback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1" s="504">
        <f ca="1">SUMIFS(CostTrack[[Value]:[Value]],CostTrack[[PA ID]:[PA ID]],$B11,CostTrack[[Vendor - Contract]:[Vendor - Contract]],$H11,CostTrack[[Holdback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1" s="504">
        <f ca="1">SUMIFS(CostTrack[[Value]:[Value]],CostTrack[[PA ID]:[PA ID]],$B11,CostTrack[[Vendor - Contract]:[Vendor - Contract]],$H11,CostTrack[[Holdback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1" s="504">
        <f ca="1">SUMIFS(CostTrack[[Value]:[Value]],CostTrack[[PA ID]:[PA ID]],$B11,CostTrack[[Vendor - Contract]:[Vendor - Contract]],$H11,CostTrack[[Holdback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1" s="504">
        <f ca="1">SUMIFS(CostTrack[[Value]:[Value]],CostTrack[[PA ID]:[PA ID]],$B11,CostTrack[[Vendor - Contract]:[Vendor - Contract]],$H11,CostTrack[[Holdback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1" s="504">
        <f ca="1">SUMIFS(CostTrack[[Value]:[Value]],CostTrack[[PA ID]:[PA ID]],$B11,CostTrack[[Vendor - Contract]:[Vendor - Contract]],$H11,CostTrack[[Holdback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1" s="504">
        <f ca="1">SUMIFS(CostTrack[[Value]:[Value]],CostTrack[[PA ID]:[PA ID]],$B11,CostTrack[[Vendor - Contract]:[Vendor - Contract]],$H11,CostTrack[[Holdback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1" s="504">
        <f ca="1">SUMIFS(CostTrack[[Value]:[Value]],CostTrack[[PA ID]:[PA ID]],$B11,CostTrack[[Vendor - Contract]:[Vendor - Contract]],$H11,CostTrack[[Holdback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1" s="504">
        <f ca="1">SUMIFS(CostTrack[[Value]:[Value]],CostTrack[[PA ID]:[PA ID]],$B11,CostTrack[[Vendor - Contract]:[Vendor - Contract]],$H11,CostTrack[[Holdback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1" s="504">
        <f ca="1">SUMIFS(CostTrack[[Value]:[Value]],CostTrack[[PA ID]:[PA ID]],$B11,CostTrack[[Vendor - Contract]:[Vendor - Contract]],$H11,CostTrack[[Holdback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1" s="512">
        <f t="shared" ca="1" si="18"/>
        <v>0</v>
      </c>
      <c r="BK11" s="504">
        <f ca="1">SUMIFS(CostTrack[[Value]:[Value]],CostTrack[[PA ID]:[PA ID]],$B11,CostTrack[[Vendor - Contract]:[Vendor - Contract]],$H11,CostTrack[[Holdback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1" s="504">
        <f ca="1">SUMIFS(CostTrack[[Value]:[Value]],CostTrack[[PA ID]:[PA ID]],$B11,CostTrack[[Vendor - Contract]:[Vendor - Contract]],$H11,CostTrack[[Holdback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1" s="504">
        <f ca="1">SUMIFS(CostTrack[[Value]:[Value]],CostTrack[[PA ID]:[PA ID]],$B11,CostTrack[[Vendor - Contract]:[Vendor - Contract]],$H11,CostTrack[[Holdback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1" s="504">
        <f ca="1">SUMIFS(CostTrack[[Value]:[Value]],CostTrack[[PA ID]:[PA ID]],$B11,CostTrack[[Vendor - Contract]:[Vendor - Contract]],$H11,CostTrack[[Holdback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1" s="504">
        <f ca="1">SUMIFS(CostTrack[[Value]:[Value]],CostTrack[[PA ID]:[PA ID]],$B11,CostTrack[[Vendor - Contract]:[Vendor - Contract]],$H11,CostTrack[[Holdback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1" s="504">
        <f ca="1">SUMIFS(CostTrack[[Value]:[Value]],CostTrack[[PA ID]:[PA ID]],$B11,CostTrack[[Vendor - Contract]:[Vendor - Contract]],$H11,CostTrack[[Holdback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1" s="504">
        <f ca="1">SUMIFS(CostTrack[[Value]:[Value]],CostTrack[[PA ID]:[PA ID]],$B11,CostTrack[[Vendor - Contract]:[Vendor - Contract]],$H11,CostTrack[[Holdback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1" s="504">
        <f ca="1">SUMIFS(CostTrack[[Value]:[Value]],CostTrack[[PA ID]:[PA ID]],$B11,CostTrack[[Vendor - Contract]:[Vendor - Contract]],$H11,CostTrack[[Holdback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1" s="504">
        <f ca="1">SUMIFS(CostTrack[[Value]:[Value]],CostTrack[[PA ID]:[PA ID]],$B11,CostTrack[[Vendor - Contract]:[Vendor - Contract]],$H11,CostTrack[[Holdback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1" s="504">
        <f ca="1">SUMIFS(CostTrack[[Value]:[Value]],CostTrack[[PA ID]:[PA ID]],$B11,CostTrack[[Vendor - Contract]:[Vendor - Contract]],$H11,CostTrack[[Holdback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1" s="504">
        <f ca="1">SUMIFS(CostTrack[[Value]:[Value]],CostTrack[[PA ID]:[PA ID]],$B11,CostTrack[[Vendor - Contract]:[Vendor - Contract]],$H11,CostTrack[[Holdback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1" s="504">
        <f ca="1">SUMIFS(CostTrack[[Value]:[Value]],CostTrack[[PA ID]:[PA ID]],$B11,CostTrack[[Vendor - Contract]:[Vendor - Contract]],$H11,CostTrack[[Holdback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1" s="512">
        <f t="shared" ca="1" si="19"/>
        <v>0</v>
      </c>
      <c r="BY11" s="504">
        <f ca="1">SUMIFS(CostTrack[[Value]:[Value]],CostTrack[[PA ID]:[PA ID]],$B11,CostTrack[[Vendor - Contract]:[Vendor - Contract]],$H11,CostTrack[[Holdback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1" s="504">
        <f ca="1">SUMIFS(CostTrack[[Value]:[Value]],CostTrack[[PA ID]:[PA ID]],$B11,CostTrack[[Vendor - Contract]:[Vendor - Contract]],$H11,CostTrack[[Holdback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1" s="504">
        <f ca="1">SUMIFS(CostTrack[[Value]:[Value]],CostTrack[[PA ID]:[PA ID]],$B11,CostTrack[[Vendor - Contract]:[Vendor - Contract]],$H11,CostTrack[[Holdback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1" s="504">
        <f ca="1">SUMIFS(CostTrack[[Value]:[Value]],CostTrack[[PA ID]:[PA ID]],$B11,CostTrack[[Vendor - Contract]:[Vendor - Contract]],$H11,CostTrack[[Holdback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1" s="504">
        <f ca="1">SUMIFS(CostTrack[[Value]:[Value]],CostTrack[[PA ID]:[PA ID]],$B11,CostTrack[[Vendor - Contract]:[Vendor - Contract]],$H11,CostTrack[[Holdback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1" s="504">
        <f ca="1">SUMIFS(CostTrack[[Value]:[Value]],CostTrack[[PA ID]:[PA ID]],$B11,CostTrack[[Vendor - Contract]:[Vendor - Contract]],$H11,CostTrack[[Holdback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1" s="504">
        <f ca="1">SUMIFS(CostTrack[[Value]:[Value]],CostTrack[[PA ID]:[PA ID]],$B11,CostTrack[[Vendor - Contract]:[Vendor - Contract]],$H11,CostTrack[[Holdback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1" s="504">
        <f ca="1">SUMIFS(CostTrack[[Value]:[Value]],CostTrack[[PA ID]:[PA ID]],$B11,CostTrack[[Vendor - Contract]:[Vendor - Contract]],$H11,CostTrack[[Holdback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1" s="504">
        <f ca="1">SUMIFS(CostTrack[[Value]:[Value]],CostTrack[[PA ID]:[PA ID]],$B11,CostTrack[[Vendor - Contract]:[Vendor - Contract]],$H11,CostTrack[[Holdback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1" s="504">
        <f ca="1">SUMIFS(CostTrack[[Value]:[Value]],CostTrack[[PA ID]:[PA ID]],$B11,CostTrack[[Vendor - Contract]:[Vendor - Contract]],$H11,CostTrack[[Holdback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1" s="504">
        <f ca="1">SUMIFS(CostTrack[[Value]:[Value]],CostTrack[[PA ID]:[PA ID]],$B11,CostTrack[[Vendor - Contract]:[Vendor - Contract]],$H11,CostTrack[[Holdback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1" s="504">
        <f ca="1">SUMIFS(CostTrack[[Value]:[Value]],CostTrack[[PA ID]:[PA ID]],$B11,CostTrack[[Vendor - Contract]:[Vendor - Contract]],$H11,CostTrack[[Holdback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1" s="512">
        <f t="shared" ca="1" si="20"/>
        <v>0</v>
      </c>
      <c r="CM11" s="504">
        <f ca="1">SUMIFS(CostTrack[[Value]:[Value]],CostTrack[[PA ID]:[PA ID]],$B11,CostTrack[[Vendor - Contract]:[Vendor - Contract]],$H11,CostTrack[[Holdback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1" s="504">
        <f ca="1">SUMIFS(CostTrack[[Value]:[Value]],CostTrack[[PA ID]:[PA ID]],$B11,CostTrack[[Vendor - Contract]:[Vendor - Contract]],$H11,CostTrack[[Holdback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1" s="504">
        <f ca="1">SUMIFS(CostTrack[[Value]:[Value]],CostTrack[[PA ID]:[PA ID]],$B11,CostTrack[[Vendor - Contract]:[Vendor - Contract]],$H11,CostTrack[[Holdback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1" s="504">
        <f ca="1">SUMIFS(CostTrack[[Value]:[Value]],CostTrack[[PA ID]:[PA ID]],$B11,CostTrack[[Vendor - Contract]:[Vendor - Contract]],$H11,CostTrack[[Holdback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1" s="504">
        <f ca="1">SUMIFS(CostTrack[[Value]:[Value]],CostTrack[[PA ID]:[PA ID]],$B11,CostTrack[[Vendor - Contract]:[Vendor - Contract]],$H11,CostTrack[[Holdback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1" s="504">
        <f ca="1">SUMIFS(CostTrack[[Value]:[Value]],CostTrack[[PA ID]:[PA ID]],$B11,CostTrack[[Vendor - Contract]:[Vendor - Contract]],$H11,CostTrack[[Holdback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1" s="504">
        <f ca="1">SUMIFS(CostTrack[[Value]:[Value]],CostTrack[[PA ID]:[PA ID]],$B11,CostTrack[[Vendor - Contract]:[Vendor - Contract]],$H11,CostTrack[[Holdback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1" s="504">
        <f ca="1">SUMIFS(CostTrack[[Value]:[Value]],CostTrack[[PA ID]:[PA ID]],$B11,CostTrack[[Vendor - Contract]:[Vendor - Contract]],$H11,CostTrack[[Holdback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1" s="504">
        <f ca="1">SUMIFS(CostTrack[[Value]:[Value]],CostTrack[[PA ID]:[PA ID]],$B11,CostTrack[[Vendor - Contract]:[Vendor - Contract]],$H11,CostTrack[[Holdback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1" s="504">
        <f ca="1">SUMIFS(CostTrack[[Value]:[Value]],CostTrack[[PA ID]:[PA ID]],$B11,CostTrack[[Vendor - Contract]:[Vendor - Contract]],$H11,CostTrack[[Holdback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1" s="504">
        <f ca="1">SUMIFS(CostTrack[[Value]:[Value]],CostTrack[[PA ID]:[PA ID]],$B11,CostTrack[[Vendor - Contract]:[Vendor - Contract]],$H11,CostTrack[[Holdback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1" s="504">
        <f ca="1">SUMIFS(CostTrack[[Value]:[Value]],CostTrack[[PA ID]:[PA ID]],$B11,CostTrack[[Vendor - Contract]:[Vendor - Contract]],$H11,CostTrack[[Holdback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1" s="512">
        <f t="shared" ca="1" si="21"/>
        <v>0</v>
      </c>
      <c r="DA11" s="504">
        <f ca="1">SUMIFS(CostTrack[[Value]:[Value]],CostTrack[[PA ID]:[PA ID]],$B11,CostTrack[[Vendor - Contract]:[Vendor - Contract]],$H11,CostTrack[[Holdback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1" s="504">
        <f ca="1">SUMIFS(CostTrack[[Value]:[Value]],CostTrack[[PA ID]:[PA ID]],$B11,CostTrack[[Vendor - Contract]:[Vendor - Contract]],$H11,CostTrack[[Holdback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1" s="504">
        <f ca="1">SUMIFS(CostTrack[[Value]:[Value]],CostTrack[[PA ID]:[PA ID]],$B11,CostTrack[[Vendor - Contract]:[Vendor - Contract]],$H11,CostTrack[[Holdback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1" s="504">
        <f ca="1">SUMIFS(CostTrack[[Value]:[Value]],CostTrack[[PA ID]:[PA ID]],$B11,CostTrack[[Vendor - Contract]:[Vendor - Contract]],$H11,CostTrack[[Holdback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1" s="504">
        <f ca="1">SUMIFS(CostTrack[[Value]:[Value]],CostTrack[[PA ID]:[PA ID]],$B11,CostTrack[[Vendor - Contract]:[Vendor - Contract]],$H11,CostTrack[[Holdback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1" s="504">
        <f ca="1">SUMIFS(CostTrack[[Value]:[Value]],CostTrack[[PA ID]:[PA ID]],$B11,CostTrack[[Vendor - Contract]:[Vendor - Contract]],$H11,CostTrack[[Holdback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1" s="504">
        <f ca="1">SUMIFS(CostTrack[[Value]:[Value]],CostTrack[[PA ID]:[PA ID]],$B11,CostTrack[[Vendor - Contract]:[Vendor - Contract]],$H11,CostTrack[[Holdback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1" s="504">
        <f ca="1">SUMIFS(CostTrack[[Value]:[Value]],CostTrack[[PA ID]:[PA ID]],$B11,CostTrack[[Vendor - Contract]:[Vendor - Contract]],$H11,CostTrack[[Holdback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1" s="504">
        <f ca="1">SUMIFS(CostTrack[[Value]:[Value]],CostTrack[[PA ID]:[PA ID]],$B11,CostTrack[[Vendor - Contract]:[Vendor - Contract]],$H11,CostTrack[[Holdback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1" s="504">
        <f ca="1">SUMIFS(CostTrack[[Value]:[Value]],CostTrack[[PA ID]:[PA ID]],$B11,CostTrack[[Vendor - Contract]:[Vendor - Contract]],$H11,CostTrack[[Holdback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1" s="504">
        <f ca="1">SUMIFS(CostTrack[[Value]:[Value]],CostTrack[[PA ID]:[PA ID]],$B11,CostTrack[[Vendor - Contract]:[Vendor - Contract]],$H11,CostTrack[[Holdback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1" s="504">
        <f ca="1">SUMIFS(CostTrack[[Value]:[Value]],CostTrack[[PA ID]:[PA ID]],$B11,CostTrack[[Vendor - Contract]:[Vendor - Contract]],$H11,CostTrack[[Holdback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1" s="512">
        <f t="shared" ca="1" si="22"/>
        <v>0</v>
      </c>
      <c r="DO11" s="504">
        <f ca="1">SUMIFS(CostTrack[[Value]:[Value]],CostTrack[[PA ID]:[PA ID]],$B11,CostTrack[[Vendor - Contract]:[Vendor - Contract]],$H11,CostTrack[[Holdback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1" s="504">
        <f ca="1">SUMIFS(CostTrack[[Value]:[Value]],CostTrack[[PA ID]:[PA ID]],$B11,CostTrack[[Vendor - Contract]:[Vendor - Contract]],$H11,CostTrack[[Holdback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1" s="504">
        <f ca="1">SUMIFS(CostTrack[[Value]:[Value]],CostTrack[[PA ID]:[PA ID]],$B11,CostTrack[[Vendor - Contract]:[Vendor - Contract]],$H11,CostTrack[[Holdback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1" s="504">
        <f ca="1">SUMIFS(CostTrack[[Value]:[Value]],CostTrack[[PA ID]:[PA ID]],$B11,CostTrack[[Vendor - Contract]:[Vendor - Contract]],$H11,CostTrack[[Holdback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1" s="504">
        <f ca="1">SUMIFS(CostTrack[[Value]:[Value]],CostTrack[[PA ID]:[PA ID]],$B11,CostTrack[[Vendor - Contract]:[Vendor - Contract]],$H11,CostTrack[[Holdback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1" s="504">
        <f ca="1">SUMIFS(CostTrack[[Value]:[Value]],CostTrack[[PA ID]:[PA ID]],$B11,CostTrack[[Vendor - Contract]:[Vendor - Contract]],$H11,CostTrack[[Holdback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1" s="504">
        <f ca="1">SUMIFS(CostTrack[[Value]:[Value]],CostTrack[[PA ID]:[PA ID]],$B11,CostTrack[[Vendor - Contract]:[Vendor - Contract]],$H11,CostTrack[[Holdback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1" s="504">
        <f ca="1">SUMIFS(CostTrack[[Value]:[Value]],CostTrack[[PA ID]:[PA ID]],$B11,CostTrack[[Vendor - Contract]:[Vendor - Contract]],$H11,CostTrack[[Holdback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1" s="504">
        <f ca="1">SUMIFS(CostTrack[[Value]:[Value]],CostTrack[[PA ID]:[PA ID]],$B11,CostTrack[[Vendor - Contract]:[Vendor - Contract]],$H11,CostTrack[[Holdback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1" s="504">
        <f ca="1">SUMIFS(CostTrack[[Value]:[Value]],CostTrack[[PA ID]:[PA ID]],$B11,CostTrack[[Vendor - Contract]:[Vendor - Contract]],$H11,CostTrack[[Holdback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1" s="504">
        <f ca="1">SUMIFS(CostTrack[[Value]:[Value]],CostTrack[[PA ID]:[PA ID]],$B11,CostTrack[[Vendor - Contract]:[Vendor - Contract]],$H11,CostTrack[[Holdback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1" s="504">
        <f ca="1">SUMIFS(CostTrack[[Value]:[Value]],CostTrack[[PA ID]:[PA ID]],$B11,CostTrack[[Vendor - Contract]:[Vendor - Contract]],$H11,CostTrack[[Holdback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1" s="512">
        <f t="shared" ca="1" si="23"/>
        <v>0</v>
      </c>
      <c r="EC11" s="504">
        <f ca="1">SUMIFS(CostTrack[[Value]:[Value]],CostTrack[[PA ID]:[PA ID]],$B11,CostTrack[[Vendor - Contract]:[Vendor - Contract]],$H11,CostTrack[[Holdback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1" s="505"/>
      <c r="EE11" s="505"/>
      <c r="EF11" s="505"/>
      <c r="EG11" s="505"/>
      <c r="EH11" s="505"/>
      <c r="EI11" s="505"/>
      <c r="EJ11" s="505"/>
      <c r="EK11" s="505"/>
      <c r="EL11" s="505"/>
      <c r="EM11" s="505"/>
      <c r="EN11" s="505"/>
      <c r="EO11" s="512">
        <f t="shared" ca="1" si="24"/>
        <v>0</v>
      </c>
      <c r="EQ11" s="505"/>
      <c r="ER11" s="505"/>
      <c r="ES11" s="505"/>
      <c r="ET11" s="505"/>
      <c r="EU11" s="505"/>
      <c r="EV11" s="505"/>
      <c r="EW11" s="505"/>
      <c r="EX11" s="505"/>
      <c r="EY11" s="505"/>
      <c r="EZ11" s="505"/>
      <c r="FA11" s="505"/>
      <c r="FB11" s="505"/>
      <c r="FC11" s="512">
        <f t="shared" si="25"/>
        <v>0</v>
      </c>
      <c r="FE11" s="505"/>
      <c r="FF11" s="505"/>
      <c r="FG11" s="505"/>
      <c r="FH11" s="505"/>
      <c r="FI11" s="505"/>
      <c r="FJ11" s="505"/>
      <c r="FK11" s="505"/>
      <c r="FL11" s="505"/>
      <c r="FM11" s="505"/>
      <c r="FN11" s="505"/>
      <c r="FO11" s="505"/>
      <c r="FP11" s="505"/>
      <c r="FQ11" s="512">
        <f t="shared" si="26"/>
        <v>0</v>
      </c>
      <c r="FS11" s="504">
        <f ca="1">AG11+AU11+BI11+BW11+CK11+CY11+DM11+EA11+EO11+FC11+FQ11</f>
        <v>12085</v>
      </c>
    </row>
    <row r="12" spans="1:175">
      <c r="A12" s="216">
        <v>5</v>
      </c>
      <c r="B12" s="219" t="str">
        <f ca="1">INDEX(EAC[PA ID],MATCH($A12,EAC[Row],0))</f>
        <v>200.050.F1</v>
      </c>
      <c r="C12" s="218" t="str">
        <f ca="1">INDEX(EAC[Primary Category],MATCH($A12,EAC[Row],0))</f>
        <v>Professional Services</v>
      </c>
      <c r="D12" s="218" t="str">
        <f ca="1">INDEX(EAC[Secondary Category],MATCH($A12,EAC[Row],0))</f>
        <v>Other Professional Services</v>
      </c>
      <c r="E12" s="109" t="str">
        <f ca="1">INDEX(EAC[Phase / Subproject],MATCH($A12,EAC[Row],0))</f>
        <v>--</v>
      </c>
      <c r="F12" s="109" t="str">
        <f ca="1">INDEX(EAC[Phase / Subproject 2],MATCH($A12,EAC[Row],0))</f>
        <v>--</v>
      </c>
      <c r="G12" s="109" t="str">
        <f ca="1">INDEX(EAC[Funding Source],MATCH($A12,EAC[Row],0))</f>
        <v>P-002360</v>
      </c>
      <c r="H12" s="146" t="str">
        <f ca="1">INDEX(EAC[Vendor / Org. with Contract ID],MATCH($A12,EAC[Row],0))</f>
        <v>Englobe Corp. -33079</v>
      </c>
      <c r="I12" s="502">
        <f ca="1">INDEX(EAC[Estimate At Completion],MATCH($A12,EAC[Row],0))</f>
        <v>75260</v>
      </c>
      <c r="J12" s="502">
        <f ca="1">SUMIFS(CostTrack[Value],CostTrack[Vendor - Contract],$H12,CostTrack[PA ID],$B12,CostTrack[Holdback (Y/N/R)],"&lt;&gt;Release",CostTrack[Status],"Approved")</f>
        <v>75260</v>
      </c>
      <c r="K12" s="503">
        <f t="shared" ca="1" si="14"/>
        <v>0</v>
      </c>
      <c r="M12" s="504">
        <f t="shared" ca="1" si="15"/>
        <v>0</v>
      </c>
      <c r="O12" s="504">
        <f t="shared" ca="1" si="11"/>
        <v>75260</v>
      </c>
      <c r="P12" s="504">
        <f t="array" aca="1" ref="P12" ca="1">SUM($U12:$FQ12*_xlfn.ISFORMULA($U12:$FQ12)*ISNUMBER($U$7:$FQ$7)*--(INDEX($U$6:$FQ$6,N(IF({1},COLUMN($U$6:$FQ$6)-COLUMN($T$6)))-MOD(N(IF({1},COLUMN($U$6:$FQ$6)-COLUMN($U$6))),14))="Current Fiscal"))</f>
        <v>0</v>
      </c>
      <c r="Q12" s="504">
        <f t="array" aca="1" ref="Q12" ca="1">SUM($U12:$FQ12*NOT(_xlfn.ISFORMULA($U12:$FQ12))*ISNUMBER($U$7:$FQ$7)*--(INDEX($U$6:$FQ$6,N(IF({1},COLUMN($U$6:$FQ$6)-COLUMN($T$6)))-MOD(N(IF({1},COLUMN($U$6:$FQ$6)-COLUMN($U$6))),14))="Current Fiscal"))</f>
        <v>0</v>
      </c>
      <c r="R12" s="504">
        <f t="shared" ca="1" si="12"/>
        <v>0</v>
      </c>
      <c r="S12" s="504">
        <f t="shared" ca="1" si="13"/>
        <v>0</v>
      </c>
      <c r="U12" s="504">
        <f ca="1">SUMIFS(CostTrack[[Value]:[Value]],CostTrack[[PA ID]:[PA ID]],$B12,CostTrack[[Vendor - Contract]:[Vendor - Contract]],$H12,CostTrack[[Holdback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2" s="504">
        <f ca="1">SUMIFS(CostTrack[[Value]:[Value]],CostTrack[[PA ID]:[PA ID]],$B12,CostTrack[[Vendor - Contract]:[Vendor - Contract]],$H12,CostTrack[[Holdback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2" s="504">
        <f ca="1">SUMIFS(CostTrack[[Value]:[Value]],CostTrack[[PA ID]:[PA ID]],$B12,CostTrack[[Vendor - Contract]:[Vendor - Contract]],$H12,CostTrack[[Holdback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2" s="504">
        <f ca="1">SUMIFS(CostTrack[[Value]:[Value]],CostTrack[[PA ID]:[PA ID]],$B12,CostTrack[[Vendor - Contract]:[Vendor - Contract]],$H12,CostTrack[[Holdback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2" s="504">
        <f ca="1">SUMIFS(CostTrack[[Value]:[Value]],CostTrack[[PA ID]:[PA ID]],$B12,CostTrack[[Vendor - Contract]:[Vendor - Contract]],$H12,CostTrack[[Holdback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2" s="504">
        <f ca="1">SUMIFS(CostTrack[[Value]:[Value]],CostTrack[[PA ID]:[PA ID]],$B12,CostTrack[[Vendor - Contract]:[Vendor - Contract]],$H12,CostTrack[[Holdback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2" s="504">
        <f ca="1">SUMIFS(CostTrack[[Value]:[Value]],CostTrack[[PA ID]:[PA ID]],$B12,CostTrack[[Vendor - Contract]:[Vendor - Contract]],$H12,CostTrack[[Holdback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2" s="504">
        <f ca="1">SUMIFS(CostTrack[[Value]:[Value]],CostTrack[[PA ID]:[PA ID]],$B12,CostTrack[[Vendor - Contract]:[Vendor - Contract]],$H12,CostTrack[[Holdback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2" s="504">
        <f ca="1">SUMIFS(CostTrack[[Value]:[Value]],CostTrack[[PA ID]:[PA ID]],$B12,CostTrack[[Vendor - Contract]:[Vendor - Contract]],$H12,CostTrack[[Holdback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44804</v>
      </c>
      <c r="AD12" s="504">
        <f ca="1">SUMIFS(CostTrack[[Value]:[Value]],CostTrack[[PA ID]:[PA ID]],$B12,CostTrack[[Vendor - Contract]:[Vendor - Contract]],$H12,CostTrack[[Holdback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9596</v>
      </c>
      <c r="AE12" s="504">
        <f ca="1">SUMIFS(CostTrack[[Value]:[Value]],CostTrack[[PA ID]:[PA ID]],$B12,CostTrack[[Vendor - Contract]:[Vendor - Contract]],$H12,CostTrack[[Holdback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2" s="504">
        <f ca="1">SUMIFS(CostTrack[[Value]:[Value]],CostTrack[[PA ID]:[PA ID]],$B12,CostTrack[[Vendor - Contract]:[Vendor - Contract]],$H12,CostTrack[[Holdback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19000</v>
      </c>
      <c r="AG12" s="506">
        <f t="shared" ca="1" si="16"/>
        <v>73400</v>
      </c>
      <c r="AI12" s="504">
        <f ca="1">SUMIFS(CostTrack[[Value]:[Value]],CostTrack[[PA ID]:[PA ID]],$B12,CostTrack[[Vendor - Contract]:[Vendor - Contract]],$H12,CostTrack[[Holdback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2" s="504">
        <f ca="1">SUMIFS(CostTrack[[Value]:[Value]],CostTrack[[PA ID]:[PA ID]],$B12,CostTrack[[Vendor - Contract]:[Vendor - Contract]],$H12,CostTrack[[Holdback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1860</v>
      </c>
      <c r="AK12" s="504">
        <f ca="1">SUMIFS(CostTrack[[Value]:[Value]],CostTrack[[PA ID]:[PA ID]],$B12,CostTrack[[Vendor - Contract]:[Vendor - Contract]],$H12,CostTrack[[Holdback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2" s="504">
        <f ca="1">SUMIFS(CostTrack[[Value]:[Value]],CostTrack[[PA ID]:[PA ID]],$B12,CostTrack[[Vendor - Contract]:[Vendor - Contract]],$H12,CostTrack[[Holdback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2" s="504">
        <f ca="1">SUMIFS(CostTrack[[Value]:[Value]],CostTrack[[PA ID]:[PA ID]],$B12,CostTrack[[Vendor - Contract]:[Vendor - Contract]],$H12,CostTrack[[Holdback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2" s="504">
        <f ca="1">SUMIFS(CostTrack[[Value]:[Value]],CostTrack[[PA ID]:[PA ID]],$B12,CostTrack[[Vendor - Contract]:[Vendor - Contract]],$H12,CostTrack[[Holdback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2" s="504">
        <f ca="1">SUMIFS(CostTrack[[Value]:[Value]],CostTrack[[PA ID]:[PA ID]],$B12,CostTrack[[Vendor - Contract]:[Vendor - Contract]],$H12,CostTrack[[Holdback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2" s="504">
        <f ca="1">SUMIFS(CostTrack[[Value]:[Value]],CostTrack[[PA ID]:[PA ID]],$B12,CostTrack[[Vendor - Contract]:[Vendor - Contract]],$H12,CostTrack[[Holdback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2" s="504">
        <f ca="1">SUMIFS(CostTrack[[Value]:[Value]],CostTrack[[PA ID]:[PA ID]],$B12,CostTrack[[Vendor - Contract]:[Vendor - Contract]],$H12,CostTrack[[Holdback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2" s="504">
        <f ca="1">SUMIFS(CostTrack[[Value]:[Value]],CostTrack[[PA ID]:[PA ID]],$B12,CostTrack[[Vendor - Contract]:[Vendor - Contract]],$H12,CostTrack[[Holdback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2" s="504">
        <f ca="1">SUMIFS(CostTrack[[Value]:[Value]],CostTrack[[PA ID]:[PA ID]],$B12,CostTrack[[Vendor - Contract]:[Vendor - Contract]],$H12,CostTrack[[Holdback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2" s="504">
        <f ca="1">SUMIFS(CostTrack[[Value]:[Value]],CostTrack[[PA ID]:[PA ID]],$B12,CostTrack[[Vendor - Contract]:[Vendor - Contract]],$H12,CostTrack[[Holdback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2" s="512">
        <f t="shared" ca="1" si="17"/>
        <v>1860</v>
      </c>
      <c r="AW12" s="504">
        <f ca="1">SUMIFS(CostTrack[[Value]:[Value]],CostTrack[[PA ID]:[PA ID]],$B12,CostTrack[[Vendor - Contract]:[Vendor - Contract]],$H12,CostTrack[[Holdback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2" s="504">
        <f ca="1">SUMIFS(CostTrack[[Value]:[Value]],CostTrack[[PA ID]:[PA ID]],$B12,CostTrack[[Vendor - Contract]:[Vendor - Contract]],$H12,CostTrack[[Holdback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2" s="504">
        <f ca="1">SUMIFS(CostTrack[[Value]:[Value]],CostTrack[[PA ID]:[PA ID]],$B12,CostTrack[[Vendor - Contract]:[Vendor - Contract]],$H12,CostTrack[[Holdback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2" s="504">
        <f ca="1">SUMIFS(CostTrack[[Value]:[Value]],CostTrack[[PA ID]:[PA ID]],$B12,CostTrack[[Vendor - Contract]:[Vendor - Contract]],$H12,CostTrack[[Holdback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2" s="504">
        <f ca="1">SUMIFS(CostTrack[[Value]:[Value]],CostTrack[[PA ID]:[PA ID]],$B12,CostTrack[[Vendor - Contract]:[Vendor - Contract]],$H12,CostTrack[[Holdback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2" s="504">
        <f ca="1">SUMIFS(CostTrack[[Value]:[Value]],CostTrack[[PA ID]:[PA ID]],$B12,CostTrack[[Vendor - Contract]:[Vendor - Contract]],$H12,CostTrack[[Holdback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2" s="504">
        <f ca="1">SUMIFS(CostTrack[[Value]:[Value]],CostTrack[[PA ID]:[PA ID]],$B12,CostTrack[[Vendor - Contract]:[Vendor - Contract]],$H12,CostTrack[[Holdback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2" s="504">
        <f ca="1">SUMIFS(CostTrack[[Value]:[Value]],CostTrack[[PA ID]:[PA ID]],$B12,CostTrack[[Vendor - Contract]:[Vendor - Contract]],$H12,CostTrack[[Holdback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2" s="504">
        <f ca="1">SUMIFS(CostTrack[[Value]:[Value]],CostTrack[[PA ID]:[PA ID]],$B12,CostTrack[[Vendor - Contract]:[Vendor - Contract]],$H12,CostTrack[[Holdback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2" s="504">
        <f ca="1">SUMIFS(CostTrack[[Value]:[Value]],CostTrack[[PA ID]:[PA ID]],$B12,CostTrack[[Vendor - Contract]:[Vendor - Contract]],$H12,CostTrack[[Holdback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2" s="504">
        <f ca="1">SUMIFS(CostTrack[[Value]:[Value]],CostTrack[[PA ID]:[PA ID]],$B12,CostTrack[[Vendor - Contract]:[Vendor - Contract]],$H12,CostTrack[[Holdback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2" s="504">
        <f ca="1">SUMIFS(CostTrack[[Value]:[Value]],CostTrack[[PA ID]:[PA ID]],$B12,CostTrack[[Vendor - Contract]:[Vendor - Contract]],$H12,CostTrack[[Holdback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2" s="512">
        <f t="shared" ca="1" si="18"/>
        <v>0</v>
      </c>
      <c r="BK12" s="504">
        <f ca="1">SUMIFS(CostTrack[[Value]:[Value]],CostTrack[[PA ID]:[PA ID]],$B12,CostTrack[[Vendor - Contract]:[Vendor - Contract]],$H12,CostTrack[[Holdback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2" s="504">
        <f ca="1">SUMIFS(CostTrack[[Value]:[Value]],CostTrack[[PA ID]:[PA ID]],$B12,CostTrack[[Vendor - Contract]:[Vendor - Contract]],$H12,CostTrack[[Holdback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2" s="504">
        <f ca="1">SUMIFS(CostTrack[[Value]:[Value]],CostTrack[[PA ID]:[PA ID]],$B12,CostTrack[[Vendor - Contract]:[Vendor - Contract]],$H12,CostTrack[[Holdback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2" s="504">
        <f ca="1">SUMIFS(CostTrack[[Value]:[Value]],CostTrack[[PA ID]:[PA ID]],$B12,CostTrack[[Vendor - Contract]:[Vendor - Contract]],$H12,CostTrack[[Holdback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2" s="504">
        <f ca="1">SUMIFS(CostTrack[[Value]:[Value]],CostTrack[[PA ID]:[PA ID]],$B12,CostTrack[[Vendor - Contract]:[Vendor - Contract]],$H12,CostTrack[[Holdback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2" s="504">
        <f ca="1">SUMIFS(CostTrack[[Value]:[Value]],CostTrack[[PA ID]:[PA ID]],$B12,CostTrack[[Vendor - Contract]:[Vendor - Contract]],$H12,CostTrack[[Holdback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2" s="504">
        <f ca="1">SUMIFS(CostTrack[[Value]:[Value]],CostTrack[[PA ID]:[PA ID]],$B12,CostTrack[[Vendor - Contract]:[Vendor - Contract]],$H12,CostTrack[[Holdback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2" s="504">
        <f ca="1">SUMIFS(CostTrack[[Value]:[Value]],CostTrack[[PA ID]:[PA ID]],$B12,CostTrack[[Vendor - Contract]:[Vendor - Contract]],$H12,CostTrack[[Holdback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2" s="504">
        <f ca="1">SUMIFS(CostTrack[[Value]:[Value]],CostTrack[[PA ID]:[PA ID]],$B12,CostTrack[[Vendor - Contract]:[Vendor - Contract]],$H12,CostTrack[[Holdback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2" s="504">
        <f ca="1">SUMIFS(CostTrack[[Value]:[Value]],CostTrack[[PA ID]:[PA ID]],$B12,CostTrack[[Vendor - Contract]:[Vendor - Contract]],$H12,CostTrack[[Holdback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2" s="504">
        <f ca="1">SUMIFS(CostTrack[[Value]:[Value]],CostTrack[[PA ID]:[PA ID]],$B12,CostTrack[[Vendor - Contract]:[Vendor - Contract]],$H12,CostTrack[[Holdback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2" s="504">
        <f ca="1">SUMIFS(CostTrack[[Value]:[Value]],CostTrack[[PA ID]:[PA ID]],$B12,CostTrack[[Vendor - Contract]:[Vendor - Contract]],$H12,CostTrack[[Holdback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2" s="512">
        <f t="shared" ca="1" si="19"/>
        <v>0</v>
      </c>
      <c r="BY12" s="504">
        <f ca="1">SUMIFS(CostTrack[[Value]:[Value]],CostTrack[[PA ID]:[PA ID]],$B12,CostTrack[[Vendor - Contract]:[Vendor - Contract]],$H12,CostTrack[[Holdback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2" s="504">
        <f ca="1">SUMIFS(CostTrack[[Value]:[Value]],CostTrack[[PA ID]:[PA ID]],$B12,CostTrack[[Vendor - Contract]:[Vendor - Contract]],$H12,CostTrack[[Holdback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2" s="504">
        <f ca="1">SUMIFS(CostTrack[[Value]:[Value]],CostTrack[[PA ID]:[PA ID]],$B12,CostTrack[[Vendor - Contract]:[Vendor - Contract]],$H12,CostTrack[[Holdback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2" s="504">
        <f ca="1">SUMIFS(CostTrack[[Value]:[Value]],CostTrack[[PA ID]:[PA ID]],$B12,CostTrack[[Vendor - Contract]:[Vendor - Contract]],$H12,CostTrack[[Holdback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2" s="504">
        <f ca="1">SUMIFS(CostTrack[[Value]:[Value]],CostTrack[[PA ID]:[PA ID]],$B12,CostTrack[[Vendor - Contract]:[Vendor - Contract]],$H12,CostTrack[[Holdback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2" s="504">
        <f ca="1">SUMIFS(CostTrack[[Value]:[Value]],CostTrack[[PA ID]:[PA ID]],$B12,CostTrack[[Vendor - Contract]:[Vendor - Contract]],$H12,CostTrack[[Holdback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2" s="504">
        <f ca="1">SUMIFS(CostTrack[[Value]:[Value]],CostTrack[[PA ID]:[PA ID]],$B12,CostTrack[[Vendor - Contract]:[Vendor - Contract]],$H12,CostTrack[[Holdback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2" s="504">
        <f ca="1">SUMIFS(CostTrack[[Value]:[Value]],CostTrack[[PA ID]:[PA ID]],$B12,CostTrack[[Vendor - Contract]:[Vendor - Contract]],$H12,CostTrack[[Holdback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2" s="504">
        <f ca="1">SUMIFS(CostTrack[[Value]:[Value]],CostTrack[[PA ID]:[PA ID]],$B12,CostTrack[[Vendor - Contract]:[Vendor - Contract]],$H12,CostTrack[[Holdback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2" s="504">
        <f ca="1">SUMIFS(CostTrack[[Value]:[Value]],CostTrack[[PA ID]:[PA ID]],$B12,CostTrack[[Vendor - Contract]:[Vendor - Contract]],$H12,CostTrack[[Holdback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2" s="504">
        <f ca="1">SUMIFS(CostTrack[[Value]:[Value]],CostTrack[[PA ID]:[PA ID]],$B12,CostTrack[[Vendor - Contract]:[Vendor - Contract]],$H12,CostTrack[[Holdback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2" s="504">
        <f ca="1">SUMIFS(CostTrack[[Value]:[Value]],CostTrack[[PA ID]:[PA ID]],$B12,CostTrack[[Vendor - Contract]:[Vendor - Contract]],$H12,CostTrack[[Holdback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2" s="512">
        <f t="shared" ca="1" si="20"/>
        <v>0</v>
      </c>
      <c r="CM12" s="504">
        <f ca="1">SUMIFS(CostTrack[[Value]:[Value]],CostTrack[[PA ID]:[PA ID]],$B12,CostTrack[[Vendor - Contract]:[Vendor - Contract]],$H12,CostTrack[[Holdback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2" s="504">
        <f ca="1">SUMIFS(CostTrack[[Value]:[Value]],CostTrack[[PA ID]:[PA ID]],$B12,CostTrack[[Vendor - Contract]:[Vendor - Contract]],$H12,CostTrack[[Holdback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2" s="504">
        <f ca="1">SUMIFS(CostTrack[[Value]:[Value]],CostTrack[[PA ID]:[PA ID]],$B12,CostTrack[[Vendor - Contract]:[Vendor - Contract]],$H12,CostTrack[[Holdback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2" s="504">
        <f ca="1">SUMIFS(CostTrack[[Value]:[Value]],CostTrack[[PA ID]:[PA ID]],$B12,CostTrack[[Vendor - Contract]:[Vendor - Contract]],$H12,CostTrack[[Holdback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2" s="504">
        <f ca="1">SUMIFS(CostTrack[[Value]:[Value]],CostTrack[[PA ID]:[PA ID]],$B12,CostTrack[[Vendor - Contract]:[Vendor - Contract]],$H12,CostTrack[[Holdback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2" s="504">
        <f ca="1">SUMIFS(CostTrack[[Value]:[Value]],CostTrack[[PA ID]:[PA ID]],$B12,CostTrack[[Vendor - Contract]:[Vendor - Contract]],$H12,CostTrack[[Holdback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2" s="504">
        <f ca="1">SUMIFS(CostTrack[[Value]:[Value]],CostTrack[[PA ID]:[PA ID]],$B12,CostTrack[[Vendor - Contract]:[Vendor - Contract]],$H12,CostTrack[[Holdback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2" s="504">
        <f ca="1">SUMIFS(CostTrack[[Value]:[Value]],CostTrack[[PA ID]:[PA ID]],$B12,CostTrack[[Vendor - Contract]:[Vendor - Contract]],$H12,CostTrack[[Holdback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2" s="504">
        <f ca="1">SUMIFS(CostTrack[[Value]:[Value]],CostTrack[[PA ID]:[PA ID]],$B12,CostTrack[[Vendor - Contract]:[Vendor - Contract]],$H12,CostTrack[[Holdback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2" s="504">
        <f ca="1">SUMIFS(CostTrack[[Value]:[Value]],CostTrack[[PA ID]:[PA ID]],$B12,CostTrack[[Vendor - Contract]:[Vendor - Contract]],$H12,CostTrack[[Holdback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2" s="504">
        <f ca="1">SUMIFS(CostTrack[[Value]:[Value]],CostTrack[[PA ID]:[PA ID]],$B12,CostTrack[[Vendor - Contract]:[Vendor - Contract]],$H12,CostTrack[[Holdback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2" s="504">
        <f ca="1">SUMIFS(CostTrack[[Value]:[Value]],CostTrack[[PA ID]:[PA ID]],$B12,CostTrack[[Vendor - Contract]:[Vendor - Contract]],$H12,CostTrack[[Holdback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2" s="512">
        <f t="shared" ca="1" si="21"/>
        <v>0</v>
      </c>
      <c r="DA12" s="504">
        <f ca="1">SUMIFS(CostTrack[[Value]:[Value]],CostTrack[[PA ID]:[PA ID]],$B12,CostTrack[[Vendor - Contract]:[Vendor - Contract]],$H12,CostTrack[[Holdback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2" s="504">
        <f ca="1">SUMIFS(CostTrack[[Value]:[Value]],CostTrack[[PA ID]:[PA ID]],$B12,CostTrack[[Vendor - Contract]:[Vendor - Contract]],$H12,CostTrack[[Holdback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2" s="504">
        <f ca="1">SUMIFS(CostTrack[[Value]:[Value]],CostTrack[[PA ID]:[PA ID]],$B12,CostTrack[[Vendor - Contract]:[Vendor - Contract]],$H12,CostTrack[[Holdback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2" s="504">
        <f ca="1">SUMIFS(CostTrack[[Value]:[Value]],CostTrack[[PA ID]:[PA ID]],$B12,CostTrack[[Vendor - Contract]:[Vendor - Contract]],$H12,CostTrack[[Holdback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2" s="504">
        <f ca="1">SUMIFS(CostTrack[[Value]:[Value]],CostTrack[[PA ID]:[PA ID]],$B12,CostTrack[[Vendor - Contract]:[Vendor - Contract]],$H12,CostTrack[[Holdback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2" s="504">
        <f ca="1">SUMIFS(CostTrack[[Value]:[Value]],CostTrack[[PA ID]:[PA ID]],$B12,CostTrack[[Vendor - Contract]:[Vendor - Contract]],$H12,CostTrack[[Holdback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2" s="504">
        <f ca="1">SUMIFS(CostTrack[[Value]:[Value]],CostTrack[[PA ID]:[PA ID]],$B12,CostTrack[[Vendor - Contract]:[Vendor - Contract]],$H12,CostTrack[[Holdback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2" s="504">
        <f ca="1">SUMIFS(CostTrack[[Value]:[Value]],CostTrack[[PA ID]:[PA ID]],$B12,CostTrack[[Vendor - Contract]:[Vendor - Contract]],$H12,CostTrack[[Holdback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2" s="504">
        <f ca="1">SUMIFS(CostTrack[[Value]:[Value]],CostTrack[[PA ID]:[PA ID]],$B12,CostTrack[[Vendor - Contract]:[Vendor - Contract]],$H12,CostTrack[[Holdback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2" s="504">
        <f ca="1">SUMIFS(CostTrack[[Value]:[Value]],CostTrack[[PA ID]:[PA ID]],$B12,CostTrack[[Vendor - Contract]:[Vendor - Contract]],$H12,CostTrack[[Holdback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2" s="504">
        <f ca="1">SUMIFS(CostTrack[[Value]:[Value]],CostTrack[[PA ID]:[PA ID]],$B12,CostTrack[[Vendor - Contract]:[Vendor - Contract]],$H12,CostTrack[[Holdback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2" s="504">
        <f ca="1">SUMIFS(CostTrack[[Value]:[Value]],CostTrack[[PA ID]:[PA ID]],$B12,CostTrack[[Vendor - Contract]:[Vendor - Contract]],$H12,CostTrack[[Holdback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2" s="512">
        <f t="shared" ca="1" si="22"/>
        <v>0</v>
      </c>
      <c r="DO12" s="504">
        <f ca="1">SUMIFS(CostTrack[[Value]:[Value]],CostTrack[[PA ID]:[PA ID]],$B12,CostTrack[[Vendor - Contract]:[Vendor - Contract]],$H12,CostTrack[[Holdback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2" s="504">
        <f ca="1">SUMIFS(CostTrack[[Value]:[Value]],CostTrack[[PA ID]:[PA ID]],$B12,CostTrack[[Vendor - Contract]:[Vendor - Contract]],$H12,CostTrack[[Holdback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2" s="504">
        <f ca="1">SUMIFS(CostTrack[[Value]:[Value]],CostTrack[[PA ID]:[PA ID]],$B12,CostTrack[[Vendor - Contract]:[Vendor - Contract]],$H12,CostTrack[[Holdback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2" s="504">
        <f ca="1">SUMIFS(CostTrack[[Value]:[Value]],CostTrack[[PA ID]:[PA ID]],$B12,CostTrack[[Vendor - Contract]:[Vendor - Contract]],$H12,CostTrack[[Holdback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2" s="504">
        <f ca="1">SUMIFS(CostTrack[[Value]:[Value]],CostTrack[[PA ID]:[PA ID]],$B12,CostTrack[[Vendor - Contract]:[Vendor - Contract]],$H12,CostTrack[[Holdback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2" s="504">
        <f ca="1">SUMIFS(CostTrack[[Value]:[Value]],CostTrack[[PA ID]:[PA ID]],$B12,CostTrack[[Vendor - Contract]:[Vendor - Contract]],$H12,CostTrack[[Holdback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2" s="504">
        <f ca="1">SUMIFS(CostTrack[[Value]:[Value]],CostTrack[[PA ID]:[PA ID]],$B12,CostTrack[[Vendor - Contract]:[Vendor - Contract]],$H12,CostTrack[[Holdback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2" s="504">
        <f ca="1">SUMIFS(CostTrack[[Value]:[Value]],CostTrack[[PA ID]:[PA ID]],$B12,CostTrack[[Vendor - Contract]:[Vendor - Contract]],$H12,CostTrack[[Holdback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2" s="504">
        <f ca="1">SUMIFS(CostTrack[[Value]:[Value]],CostTrack[[PA ID]:[PA ID]],$B12,CostTrack[[Vendor - Contract]:[Vendor - Contract]],$H12,CostTrack[[Holdback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2" s="504">
        <f ca="1">SUMIFS(CostTrack[[Value]:[Value]],CostTrack[[PA ID]:[PA ID]],$B12,CostTrack[[Vendor - Contract]:[Vendor - Contract]],$H12,CostTrack[[Holdback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2" s="504">
        <f ca="1">SUMIFS(CostTrack[[Value]:[Value]],CostTrack[[PA ID]:[PA ID]],$B12,CostTrack[[Vendor - Contract]:[Vendor - Contract]],$H12,CostTrack[[Holdback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2" s="504">
        <f ca="1">SUMIFS(CostTrack[[Value]:[Value]],CostTrack[[PA ID]:[PA ID]],$B12,CostTrack[[Vendor - Contract]:[Vendor - Contract]],$H12,CostTrack[[Holdback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2" s="512">
        <f t="shared" ca="1" si="23"/>
        <v>0</v>
      </c>
      <c r="EC12" s="504">
        <f ca="1">SUMIFS(CostTrack[[Value]:[Value]],CostTrack[[PA ID]:[PA ID]],$B12,CostTrack[[Vendor - Contract]:[Vendor - Contract]],$H12,CostTrack[[Holdback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2" s="505"/>
      <c r="EE12" s="505"/>
      <c r="EF12" s="505"/>
      <c r="EG12" s="505"/>
      <c r="EH12" s="505"/>
      <c r="EI12" s="505"/>
      <c r="EJ12" s="505"/>
      <c r="EK12" s="505"/>
      <c r="EL12" s="505"/>
      <c r="EM12" s="505"/>
      <c r="EN12" s="505"/>
      <c r="EO12" s="512">
        <f t="shared" ca="1" si="24"/>
        <v>0</v>
      </c>
      <c r="EQ12" s="505"/>
      <c r="ER12" s="505"/>
      <c r="ES12" s="505"/>
      <c r="ET12" s="505"/>
      <c r="EU12" s="505"/>
      <c r="EV12" s="505"/>
      <c r="EW12" s="505"/>
      <c r="EX12" s="505"/>
      <c r="EY12" s="505"/>
      <c r="EZ12" s="505"/>
      <c r="FA12" s="505"/>
      <c r="FB12" s="505"/>
      <c r="FC12" s="512">
        <f t="shared" si="25"/>
        <v>0</v>
      </c>
      <c r="FE12" s="505"/>
      <c r="FF12" s="505"/>
      <c r="FG12" s="505"/>
      <c r="FH12" s="505"/>
      <c r="FI12" s="505"/>
      <c r="FJ12" s="505"/>
      <c r="FK12" s="505"/>
      <c r="FL12" s="505"/>
      <c r="FM12" s="505"/>
      <c r="FN12" s="505"/>
      <c r="FO12" s="505"/>
      <c r="FP12" s="505"/>
      <c r="FQ12" s="512">
        <f t="shared" si="26"/>
        <v>0</v>
      </c>
      <c r="FS12" s="504">
        <f t="shared" ca="1" si="27"/>
        <v>75260</v>
      </c>
    </row>
    <row r="13" spans="1:175">
      <c r="A13" s="216">
        <v>6</v>
      </c>
      <c r="B13" s="219" t="str">
        <f ca="1">INDEX(EAC[PA ID],MATCH($A13,EAC[Row],0))</f>
        <v>200.050.F1</v>
      </c>
      <c r="C13" s="218" t="str">
        <f ca="1">INDEX(EAC[Primary Category],MATCH($A13,EAC[Row],0))</f>
        <v>Professional Services</v>
      </c>
      <c r="D13" s="218" t="str">
        <f ca="1">INDEX(EAC[Secondary Category],MATCH($A13,EAC[Row],0))</f>
        <v>Other Professional Services</v>
      </c>
      <c r="E13" s="109" t="str">
        <f ca="1">INDEX(EAC[Phase / Subproject],MATCH($A13,EAC[Row],0))</f>
        <v>--</v>
      </c>
      <c r="F13" s="109" t="str">
        <f ca="1">INDEX(EAC[Phase / Subproject 2],MATCH($A13,EAC[Row],0))</f>
        <v>--</v>
      </c>
      <c r="G13" s="109" t="str">
        <f ca="1">INDEX(EAC[Funding Source],MATCH($A13,EAC[Row],0))</f>
        <v>P-002360</v>
      </c>
      <c r="H13" s="146" t="str">
        <f ca="1">INDEX(EAC[Vendor / Org. with Contract ID],MATCH($A13,EAC[Row],0))</f>
        <v>Pinchin Ltd. -33133</v>
      </c>
      <c r="I13" s="502">
        <f ca="1">INDEX(EAC[Estimate At Completion],MATCH($A13,EAC[Row],0))</f>
        <v>2080</v>
      </c>
      <c r="J13" s="502">
        <f ca="1">SUMIFS(CostTrack[Value],CostTrack[Vendor - Contract],$H13,CostTrack[PA ID],$B13,CostTrack[Holdback (Y/N/R)],"&lt;&gt;Release",CostTrack[Status],"Approved")</f>
        <v>2080</v>
      </c>
      <c r="K13" s="503">
        <f t="shared" ca="1" si="14"/>
        <v>0</v>
      </c>
      <c r="M13" s="504">
        <f t="shared" ca="1" si="15"/>
        <v>0</v>
      </c>
      <c r="O13" s="504">
        <f t="shared" ca="1" si="11"/>
        <v>2080</v>
      </c>
      <c r="P13" s="504">
        <f t="array" aca="1" ref="P13" ca="1">SUM($U13:$FQ13*_xlfn.ISFORMULA($U13:$FQ13)*ISNUMBER($U$7:$FQ$7)*--(INDEX($U$6:$FQ$6,N(IF({1},COLUMN($U$6:$FQ$6)-COLUMN($T$6)))-MOD(N(IF({1},COLUMN($U$6:$FQ$6)-COLUMN($U$6))),14))="Current Fiscal"))</f>
        <v>0</v>
      </c>
      <c r="Q13" s="504">
        <f t="array" aca="1" ref="Q13" ca="1">SUM($U13:$FQ13*NOT(_xlfn.ISFORMULA($U13:$FQ13))*ISNUMBER($U$7:$FQ$7)*--(INDEX($U$6:$FQ$6,N(IF({1},COLUMN($U$6:$FQ$6)-COLUMN($T$6)))-MOD(N(IF({1},COLUMN($U$6:$FQ$6)-COLUMN($U$6))),14))="Current Fiscal"))</f>
        <v>0</v>
      </c>
      <c r="R13" s="504">
        <f t="shared" ca="1" si="12"/>
        <v>0</v>
      </c>
      <c r="S13" s="504">
        <f t="shared" ca="1" si="13"/>
        <v>0</v>
      </c>
      <c r="U13" s="504">
        <f ca="1">SUMIFS(CostTrack[[Value]:[Value]],CostTrack[[PA ID]:[PA ID]],$B13,CostTrack[[Vendor - Contract]:[Vendor - Contract]],$H13,CostTrack[[Holdback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3" s="504">
        <f ca="1">SUMIFS(CostTrack[[Value]:[Value]],CostTrack[[PA ID]:[PA ID]],$B13,CostTrack[[Vendor - Contract]:[Vendor - Contract]],$H13,CostTrack[[Holdback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3" s="504">
        <f ca="1">SUMIFS(CostTrack[[Value]:[Value]],CostTrack[[PA ID]:[PA ID]],$B13,CostTrack[[Vendor - Contract]:[Vendor - Contract]],$H13,CostTrack[[Holdback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3" s="504">
        <f ca="1">SUMIFS(CostTrack[[Value]:[Value]],CostTrack[[PA ID]:[PA ID]],$B13,CostTrack[[Vendor - Contract]:[Vendor - Contract]],$H13,CostTrack[[Holdback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3" s="504">
        <f ca="1">SUMIFS(CostTrack[[Value]:[Value]],CostTrack[[PA ID]:[PA ID]],$B13,CostTrack[[Vendor - Contract]:[Vendor - Contract]],$H13,CostTrack[[Holdback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3" s="504">
        <f ca="1">SUMIFS(CostTrack[[Value]:[Value]],CostTrack[[PA ID]:[PA ID]],$B13,CostTrack[[Vendor - Contract]:[Vendor - Contract]],$H13,CostTrack[[Holdback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3" s="504">
        <f ca="1">SUMIFS(CostTrack[[Value]:[Value]],CostTrack[[PA ID]:[PA ID]],$B13,CostTrack[[Vendor - Contract]:[Vendor - Contract]],$H13,CostTrack[[Holdback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3" s="504">
        <f ca="1">SUMIFS(CostTrack[[Value]:[Value]],CostTrack[[PA ID]:[PA ID]],$B13,CostTrack[[Vendor - Contract]:[Vendor - Contract]],$H13,CostTrack[[Holdback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2080</v>
      </c>
      <c r="AC13" s="504">
        <f ca="1">SUMIFS(CostTrack[[Value]:[Value]],CostTrack[[PA ID]:[PA ID]],$B13,CostTrack[[Vendor - Contract]:[Vendor - Contract]],$H13,CostTrack[[Holdback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3" s="504">
        <f ca="1">SUMIFS(CostTrack[[Value]:[Value]],CostTrack[[PA ID]:[PA ID]],$B13,CostTrack[[Vendor - Contract]:[Vendor - Contract]],$H13,CostTrack[[Holdback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3" s="504">
        <f ca="1">SUMIFS(CostTrack[[Value]:[Value]],CostTrack[[PA ID]:[PA ID]],$B13,CostTrack[[Vendor - Contract]:[Vendor - Contract]],$H13,CostTrack[[Holdback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3" s="504">
        <f ca="1">SUMIFS(CostTrack[[Value]:[Value]],CostTrack[[PA ID]:[PA ID]],$B13,CostTrack[[Vendor - Contract]:[Vendor - Contract]],$H13,CostTrack[[Holdback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3" s="506">
        <f t="shared" ca="1" si="16"/>
        <v>2080</v>
      </c>
      <c r="AI13" s="504">
        <f ca="1">SUMIFS(CostTrack[[Value]:[Value]],CostTrack[[PA ID]:[PA ID]],$B13,CostTrack[[Vendor - Contract]:[Vendor - Contract]],$H13,CostTrack[[Holdback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3" s="504">
        <f ca="1">SUMIFS(CostTrack[[Value]:[Value]],CostTrack[[PA ID]:[PA ID]],$B13,CostTrack[[Vendor - Contract]:[Vendor - Contract]],$H13,CostTrack[[Holdback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3" s="504">
        <f ca="1">SUMIFS(CostTrack[[Value]:[Value]],CostTrack[[PA ID]:[PA ID]],$B13,CostTrack[[Vendor - Contract]:[Vendor - Contract]],$H13,CostTrack[[Holdback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3" s="504">
        <f ca="1">SUMIFS(CostTrack[[Value]:[Value]],CostTrack[[PA ID]:[PA ID]],$B13,CostTrack[[Vendor - Contract]:[Vendor - Contract]],$H13,CostTrack[[Holdback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3" s="504">
        <f ca="1">SUMIFS(CostTrack[[Value]:[Value]],CostTrack[[PA ID]:[PA ID]],$B13,CostTrack[[Vendor - Contract]:[Vendor - Contract]],$H13,CostTrack[[Holdback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3" s="504">
        <f ca="1">SUMIFS(CostTrack[[Value]:[Value]],CostTrack[[PA ID]:[PA ID]],$B13,CostTrack[[Vendor - Contract]:[Vendor - Contract]],$H13,CostTrack[[Holdback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3" s="504">
        <f ca="1">SUMIFS(CostTrack[[Value]:[Value]],CostTrack[[PA ID]:[PA ID]],$B13,CostTrack[[Vendor - Contract]:[Vendor - Contract]],$H13,CostTrack[[Holdback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3" s="504">
        <f ca="1">SUMIFS(CostTrack[[Value]:[Value]],CostTrack[[PA ID]:[PA ID]],$B13,CostTrack[[Vendor - Contract]:[Vendor - Contract]],$H13,CostTrack[[Holdback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3" s="504">
        <f ca="1">SUMIFS(CostTrack[[Value]:[Value]],CostTrack[[PA ID]:[PA ID]],$B13,CostTrack[[Vendor - Contract]:[Vendor - Contract]],$H13,CostTrack[[Holdback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3" s="504">
        <f ca="1">SUMIFS(CostTrack[[Value]:[Value]],CostTrack[[PA ID]:[PA ID]],$B13,CostTrack[[Vendor - Contract]:[Vendor - Contract]],$H13,CostTrack[[Holdback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3" s="504">
        <f ca="1">SUMIFS(CostTrack[[Value]:[Value]],CostTrack[[PA ID]:[PA ID]],$B13,CostTrack[[Vendor - Contract]:[Vendor - Contract]],$H13,CostTrack[[Holdback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3" s="504">
        <f ca="1">SUMIFS(CostTrack[[Value]:[Value]],CostTrack[[PA ID]:[PA ID]],$B13,CostTrack[[Vendor - Contract]:[Vendor - Contract]],$H13,CostTrack[[Holdback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3" s="512">
        <f t="shared" ca="1" si="17"/>
        <v>0</v>
      </c>
      <c r="AW13" s="504">
        <f ca="1">SUMIFS(CostTrack[[Value]:[Value]],CostTrack[[PA ID]:[PA ID]],$B13,CostTrack[[Vendor - Contract]:[Vendor - Contract]],$H13,CostTrack[[Holdback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3" s="504">
        <f ca="1">SUMIFS(CostTrack[[Value]:[Value]],CostTrack[[PA ID]:[PA ID]],$B13,CostTrack[[Vendor - Contract]:[Vendor - Contract]],$H13,CostTrack[[Holdback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3" s="504">
        <f ca="1">SUMIFS(CostTrack[[Value]:[Value]],CostTrack[[PA ID]:[PA ID]],$B13,CostTrack[[Vendor - Contract]:[Vendor - Contract]],$H13,CostTrack[[Holdback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3" s="504">
        <f ca="1">SUMIFS(CostTrack[[Value]:[Value]],CostTrack[[PA ID]:[PA ID]],$B13,CostTrack[[Vendor - Contract]:[Vendor - Contract]],$H13,CostTrack[[Holdback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3" s="504">
        <f ca="1">SUMIFS(CostTrack[[Value]:[Value]],CostTrack[[PA ID]:[PA ID]],$B13,CostTrack[[Vendor - Contract]:[Vendor - Contract]],$H13,CostTrack[[Holdback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3" s="504">
        <f ca="1">SUMIFS(CostTrack[[Value]:[Value]],CostTrack[[PA ID]:[PA ID]],$B13,CostTrack[[Vendor - Contract]:[Vendor - Contract]],$H13,CostTrack[[Holdback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3" s="504">
        <f ca="1">SUMIFS(CostTrack[[Value]:[Value]],CostTrack[[PA ID]:[PA ID]],$B13,CostTrack[[Vendor - Contract]:[Vendor - Contract]],$H13,CostTrack[[Holdback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3" s="504">
        <f ca="1">SUMIFS(CostTrack[[Value]:[Value]],CostTrack[[PA ID]:[PA ID]],$B13,CostTrack[[Vendor - Contract]:[Vendor - Contract]],$H13,CostTrack[[Holdback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3" s="504">
        <f ca="1">SUMIFS(CostTrack[[Value]:[Value]],CostTrack[[PA ID]:[PA ID]],$B13,CostTrack[[Vendor - Contract]:[Vendor - Contract]],$H13,CostTrack[[Holdback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3" s="504">
        <f ca="1">SUMIFS(CostTrack[[Value]:[Value]],CostTrack[[PA ID]:[PA ID]],$B13,CostTrack[[Vendor - Contract]:[Vendor - Contract]],$H13,CostTrack[[Holdback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3" s="504">
        <f ca="1">SUMIFS(CostTrack[[Value]:[Value]],CostTrack[[PA ID]:[PA ID]],$B13,CostTrack[[Vendor - Contract]:[Vendor - Contract]],$H13,CostTrack[[Holdback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3" s="504">
        <f ca="1">SUMIFS(CostTrack[[Value]:[Value]],CostTrack[[PA ID]:[PA ID]],$B13,CostTrack[[Vendor - Contract]:[Vendor - Contract]],$H13,CostTrack[[Holdback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3" s="512">
        <f t="shared" ca="1" si="18"/>
        <v>0</v>
      </c>
      <c r="BK13" s="504">
        <f ca="1">SUMIFS(CostTrack[[Value]:[Value]],CostTrack[[PA ID]:[PA ID]],$B13,CostTrack[[Vendor - Contract]:[Vendor - Contract]],$H13,CostTrack[[Holdback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3" s="504">
        <f ca="1">SUMIFS(CostTrack[[Value]:[Value]],CostTrack[[PA ID]:[PA ID]],$B13,CostTrack[[Vendor - Contract]:[Vendor - Contract]],$H13,CostTrack[[Holdback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3" s="504">
        <f ca="1">SUMIFS(CostTrack[[Value]:[Value]],CostTrack[[PA ID]:[PA ID]],$B13,CostTrack[[Vendor - Contract]:[Vendor - Contract]],$H13,CostTrack[[Holdback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3" s="504">
        <f ca="1">SUMIFS(CostTrack[[Value]:[Value]],CostTrack[[PA ID]:[PA ID]],$B13,CostTrack[[Vendor - Contract]:[Vendor - Contract]],$H13,CostTrack[[Holdback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3" s="504">
        <f ca="1">SUMIFS(CostTrack[[Value]:[Value]],CostTrack[[PA ID]:[PA ID]],$B13,CostTrack[[Vendor - Contract]:[Vendor - Contract]],$H13,CostTrack[[Holdback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3" s="504">
        <f ca="1">SUMIFS(CostTrack[[Value]:[Value]],CostTrack[[PA ID]:[PA ID]],$B13,CostTrack[[Vendor - Contract]:[Vendor - Contract]],$H13,CostTrack[[Holdback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3" s="504">
        <f ca="1">SUMIFS(CostTrack[[Value]:[Value]],CostTrack[[PA ID]:[PA ID]],$B13,CostTrack[[Vendor - Contract]:[Vendor - Contract]],$H13,CostTrack[[Holdback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3" s="504">
        <f ca="1">SUMIFS(CostTrack[[Value]:[Value]],CostTrack[[PA ID]:[PA ID]],$B13,CostTrack[[Vendor - Contract]:[Vendor - Contract]],$H13,CostTrack[[Holdback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3" s="504">
        <f ca="1">SUMIFS(CostTrack[[Value]:[Value]],CostTrack[[PA ID]:[PA ID]],$B13,CostTrack[[Vendor - Contract]:[Vendor - Contract]],$H13,CostTrack[[Holdback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3" s="504">
        <f ca="1">SUMIFS(CostTrack[[Value]:[Value]],CostTrack[[PA ID]:[PA ID]],$B13,CostTrack[[Vendor - Contract]:[Vendor - Contract]],$H13,CostTrack[[Holdback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3" s="504">
        <f ca="1">SUMIFS(CostTrack[[Value]:[Value]],CostTrack[[PA ID]:[PA ID]],$B13,CostTrack[[Vendor - Contract]:[Vendor - Contract]],$H13,CostTrack[[Holdback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3" s="504">
        <f ca="1">SUMIFS(CostTrack[[Value]:[Value]],CostTrack[[PA ID]:[PA ID]],$B13,CostTrack[[Vendor - Contract]:[Vendor - Contract]],$H13,CostTrack[[Holdback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3" s="512">
        <f t="shared" ca="1" si="19"/>
        <v>0</v>
      </c>
      <c r="BY13" s="504">
        <f ca="1">SUMIFS(CostTrack[[Value]:[Value]],CostTrack[[PA ID]:[PA ID]],$B13,CostTrack[[Vendor - Contract]:[Vendor - Contract]],$H13,CostTrack[[Holdback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3" s="504">
        <f ca="1">SUMIFS(CostTrack[[Value]:[Value]],CostTrack[[PA ID]:[PA ID]],$B13,CostTrack[[Vendor - Contract]:[Vendor - Contract]],$H13,CostTrack[[Holdback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3" s="504">
        <f ca="1">SUMIFS(CostTrack[[Value]:[Value]],CostTrack[[PA ID]:[PA ID]],$B13,CostTrack[[Vendor - Contract]:[Vendor - Contract]],$H13,CostTrack[[Holdback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3" s="504">
        <f ca="1">SUMIFS(CostTrack[[Value]:[Value]],CostTrack[[PA ID]:[PA ID]],$B13,CostTrack[[Vendor - Contract]:[Vendor - Contract]],$H13,CostTrack[[Holdback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3" s="504">
        <f ca="1">SUMIFS(CostTrack[[Value]:[Value]],CostTrack[[PA ID]:[PA ID]],$B13,CostTrack[[Vendor - Contract]:[Vendor - Contract]],$H13,CostTrack[[Holdback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3" s="504">
        <f ca="1">SUMIFS(CostTrack[[Value]:[Value]],CostTrack[[PA ID]:[PA ID]],$B13,CostTrack[[Vendor - Contract]:[Vendor - Contract]],$H13,CostTrack[[Holdback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3" s="504">
        <f ca="1">SUMIFS(CostTrack[[Value]:[Value]],CostTrack[[PA ID]:[PA ID]],$B13,CostTrack[[Vendor - Contract]:[Vendor - Contract]],$H13,CostTrack[[Holdback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3" s="504">
        <f ca="1">SUMIFS(CostTrack[[Value]:[Value]],CostTrack[[PA ID]:[PA ID]],$B13,CostTrack[[Vendor - Contract]:[Vendor - Contract]],$H13,CostTrack[[Holdback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3" s="504">
        <f ca="1">SUMIFS(CostTrack[[Value]:[Value]],CostTrack[[PA ID]:[PA ID]],$B13,CostTrack[[Vendor - Contract]:[Vendor - Contract]],$H13,CostTrack[[Holdback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3" s="504">
        <f ca="1">SUMIFS(CostTrack[[Value]:[Value]],CostTrack[[PA ID]:[PA ID]],$B13,CostTrack[[Vendor - Contract]:[Vendor - Contract]],$H13,CostTrack[[Holdback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3" s="504">
        <f ca="1">SUMIFS(CostTrack[[Value]:[Value]],CostTrack[[PA ID]:[PA ID]],$B13,CostTrack[[Vendor - Contract]:[Vendor - Contract]],$H13,CostTrack[[Holdback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3" s="504">
        <f ca="1">SUMIFS(CostTrack[[Value]:[Value]],CostTrack[[PA ID]:[PA ID]],$B13,CostTrack[[Vendor - Contract]:[Vendor - Contract]],$H13,CostTrack[[Holdback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3" s="512">
        <f t="shared" ca="1" si="20"/>
        <v>0</v>
      </c>
      <c r="CM13" s="504">
        <f ca="1">SUMIFS(CostTrack[[Value]:[Value]],CostTrack[[PA ID]:[PA ID]],$B13,CostTrack[[Vendor - Contract]:[Vendor - Contract]],$H13,CostTrack[[Holdback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3" s="504">
        <f ca="1">SUMIFS(CostTrack[[Value]:[Value]],CostTrack[[PA ID]:[PA ID]],$B13,CostTrack[[Vendor - Contract]:[Vendor - Contract]],$H13,CostTrack[[Holdback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3" s="504">
        <f ca="1">SUMIFS(CostTrack[[Value]:[Value]],CostTrack[[PA ID]:[PA ID]],$B13,CostTrack[[Vendor - Contract]:[Vendor - Contract]],$H13,CostTrack[[Holdback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3" s="504">
        <f ca="1">SUMIFS(CostTrack[[Value]:[Value]],CostTrack[[PA ID]:[PA ID]],$B13,CostTrack[[Vendor - Contract]:[Vendor - Contract]],$H13,CostTrack[[Holdback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3" s="504">
        <f ca="1">SUMIFS(CostTrack[[Value]:[Value]],CostTrack[[PA ID]:[PA ID]],$B13,CostTrack[[Vendor - Contract]:[Vendor - Contract]],$H13,CostTrack[[Holdback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3" s="504">
        <f ca="1">SUMIFS(CostTrack[[Value]:[Value]],CostTrack[[PA ID]:[PA ID]],$B13,CostTrack[[Vendor - Contract]:[Vendor - Contract]],$H13,CostTrack[[Holdback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3" s="504">
        <f ca="1">SUMIFS(CostTrack[[Value]:[Value]],CostTrack[[PA ID]:[PA ID]],$B13,CostTrack[[Vendor - Contract]:[Vendor - Contract]],$H13,CostTrack[[Holdback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3" s="504">
        <f ca="1">SUMIFS(CostTrack[[Value]:[Value]],CostTrack[[PA ID]:[PA ID]],$B13,CostTrack[[Vendor - Contract]:[Vendor - Contract]],$H13,CostTrack[[Holdback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3" s="504">
        <f ca="1">SUMIFS(CostTrack[[Value]:[Value]],CostTrack[[PA ID]:[PA ID]],$B13,CostTrack[[Vendor - Contract]:[Vendor - Contract]],$H13,CostTrack[[Holdback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3" s="504">
        <f ca="1">SUMIFS(CostTrack[[Value]:[Value]],CostTrack[[PA ID]:[PA ID]],$B13,CostTrack[[Vendor - Contract]:[Vendor - Contract]],$H13,CostTrack[[Holdback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3" s="504">
        <f ca="1">SUMIFS(CostTrack[[Value]:[Value]],CostTrack[[PA ID]:[PA ID]],$B13,CostTrack[[Vendor - Contract]:[Vendor - Contract]],$H13,CostTrack[[Holdback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3" s="504">
        <f ca="1">SUMIFS(CostTrack[[Value]:[Value]],CostTrack[[PA ID]:[PA ID]],$B13,CostTrack[[Vendor - Contract]:[Vendor - Contract]],$H13,CostTrack[[Holdback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3" s="512">
        <f t="shared" ca="1" si="21"/>
        <v>0</v>
      </c>
      <c r="DA13" s="504">
        <f ca="1">SUMIFS(CostTrack[[Value]:[Value]],CostTrack[[PA ID]:[PA ID]],$B13,CostTrack[[Vendor - Contract]:[Vendor - Contract]],$H13,CostTrack[[Holdback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3" s="504">
        <f ca="1">SUMIFS(CostTrack[[Value]:[Value]],CostTrack[[PA ID]:[PA ID]],$B13,CostTrack[[Vendor - Contract]:[Vendor - Contract]],$H13,CostTrack[[Holdback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3" s="504">
        <f ca="1">SUMIFS(CostTrack[[Value]:[Value]],CostTrack[[PA ID]:[PA ID]],$B13,CostTrack[[Vendor - Contract]:[Vendor - Contract]],$H13,CostTrack[[Holdback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3" s="504">
        <f ca="1">SUMIFS(CostTrack[[Value]:[Value]],CostTrack[[PA ID]:[PA ID]],$B13,CostTrack[[Vendor - Contract]:[Vendor - Contract]],$H13,CostTrack[[Holdback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3" s="504">
        <f ca="1">SUMIFS(CostTrack[[Value]:[Value]],CostTrack[[PA ID]:[PA ID]],$B13,CostTrack[[Vendor - Contract]:[Vendor - Contract]],$H13,CostTrack[[Holdback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3" s="504">
        <f ca="1">SUMIFS(CostTrack[[Value]:[Value]],CostTrack[[PA ID]:[PA ID]],$B13,CostTrack[[Vendor - Contract]:[Vendor - Contract]],$H13,CostTrack[[Holdback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3" s="504">
        <f ca="1">SUMIFS(CostTrack[[Value]:[Value]],CostTrack[[PA ID]:[PA ID]],$B13,CostTrack[[Vendor - Contract]:[Vendor - Contract]],$H13,CostTrack[[Holdback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3" s="504">
        <f ca="1">SUMIFS(CostTrack[[Value]:[Value]],CostTrack[[PA ID]:[PA ID]],$B13,CostTrack[[Vendor - Contract]:[Vendor - Contract]],$H13,CostTrack[[Holdback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3" s="504">
        <f ca="1">SUMIFS(CostTrack[[Value]:[Value]],CostTrack[[PA ID]:[PA ID]],$B13,CostTrack[[Vendor - Contract]:[Vendor - Contract]],$H13,CostTrack[[Holdback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3" s="504">
        <f ca="1">SUMIFS(CostTrack[[Value]:[Value]],CostTrack[[PA ID]:[PA ID]],$B13,CostTrack[[Vendor - Contract]:[Vendor - Contract]],$H13,CostTrack[[Holdback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3" s="504">
        <f ca="1">SUMIFS(CostTrack[[Value]:[Value]],CostTrack[[PA ID]:[PA ID]],$B13,CostTrack[[Vendor - Contract]:[Vendor - Contract]],$H13,CostTrack[[Holdback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3" s="504">
        <f ca="1">SUMIFS(CostTrack[[Value]:[Value]],CostTrack[[PA ID]:[PA ID]],$B13,CostTrack[[Vendor - Contract]:[Vendor - Contract]],$H13,CostTrack[[Holdback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3" s="512">
        <f t="shared" ca="1" si="22"/>
        <v>0</v>
      </c>
      <c r="DO13" s="504">
        <f ca="1">SUMIFS(CostTrack[[Value]:[Value]],CostTrack[[PA ID]:[PA ID]],$B13,CostTrack[[Vendor - Contract]:[Vendor - Contract]],$H13,CostTrack[[Holdback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3" s="504">
        <f ca="1">SUMIFS(CostTrack[[Value]:[Value]],CostTrack[[PA ID]:[PA ID]],$B13,CostTrack[[Vendor - Contract]:[Vendor - Contract]],$H13,CostTrack[[Holdback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3" s="504">
        <f ca="1">SUMIFS(CostTrack[[Value]:[Value]],CostTrack[[PA ID]:[PA ID]],$B13,CostTrack[[Vendor - Contract]:[Vendor - Contract]],$H13,CostTrack[[Holdback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3" s="504">
        <f ca="1">SUMIFS(CostTrack[[Value]:[Value]],CostTrack[[PA ID]:[PA ID]],$B13,CostTrack[[Vendor - Contract]:[Vendor - Contract]],$H13,CostTrack[[Holdback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3" s="504">
        <f ca="1">SUMIFS(CostTrack[[Value]:[Value]],CostTrack[[PA ID]:[PA ID]],$B13,CostTrack[[Vendor - Contract]:[Vendor - Contract]],$H13,CostTrack[[Holdback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3" s="504">
        <f ca="1">SUMIFS(CostTrack[[Value]:[Value]],CostTrack[[PA ID]:[PA ID]],$B13,CostTrack[[Vendor - Contract]:[Vendor - Contract]],$H13,CostTrack[[Holdback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3" s="504">
        <f ca="1">SUMIFS(CostTrack[[Value]:[Value]],CostTrack[[PA ID]:[PA ID]],$B13,CostTrack[[Vendor - Contract]:[Vendor - Contract]],$H13,CostTrack[[Holdback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3" s="504">
        <f ca="1">SUMIFS(CostTrack[[Value]:[Value]],CostTrack[[PA ID]:[PA ID]],$B13,CostTrack[[Vendor - Contract]:[Vendor - Contract]],$H13,CostTrack[[Holdback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3" s="504">
        <f ca="1">SUMIFS(CostTrack[[Value]:[Value]],CostTrack[[PA ID]:[PA ID]],$B13,CostTrack[[Vendor - Contract]:[Vendor - Contract]],$H13,CostTrack[[Holdback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3" s="504">
        <f ca="1">SUMIFS(CostTrack[[Value]:[Value]],CostTrack[[PA ID]:[PA ID]],$B13,CostTrack[[Vendor - Contract]:[Vendor - Contract]],$H13,CostTrack[[Holdback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3" s="504">
        <f ca="1">SUMIFS(CostTrack[[Value]:[Value]],CostTrack[[PA ID]:[PA ID]],$B13,CostTrack[[Vendor - Contract]:[Vendor - Contract]],$H13,CostTrack[[Holdback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3" s="504">
        <f ca="1">SUMIFS(CostTrack[[Value]:[Value]],CostTrack[[PA ID]:[PA ID]],$B13,CostTrack[[Vendor - Contract]:[Vendor - Contract]],$H13,CostTrack[[Holdback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3" s="512">
        <f t="shared" ca="1" si="23"/>
        <v>0</v>
      </c>
      <c r="EC13" s="504">
        <f ca="1">SUMIFS(CostTrack[[Value]:[Value]],CostTrack[[PA ID]:[PA ID]],$B13,CostTrack[[Vendor - Contract]:[Vendor - Contract]],$H13,CostTrack[[Holdback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3" s="505"/>
      <c r="EE13" s="505"/>
      <c r="EF13" s="505"/>
      <c r="EG13" s="505"/>
      <c r="EH13" s="505"/>
      <c r="EI13" s="505"/>
      <c r="EJ13" s="505"/>
      <c r="EK13" s="505"/>
      <c r="EL13" s="505"/>
      <c r="EM13" s="505"/>
      <c r="EN13" s="505"/>
      <c r="EO13" s="512">
        <f t="shared" ca="1" si="24"/>
        <v>0</v>
      </c>
      <c r="EQ13" s="505"/>
      <c r="ER13" s="505"/>
      <c r="ES13" s="505"/>
      <c r="ET13" s="505"/>
      <c r="EU13" s="505"/>
      <c r="EV13" s="505"/>
      <c r="EW13" s="505"/>
      <c r="EX13" s="505"/>
      <c r="EY13" s="505"/>
      <c r="EZ13" s="505"/>
      <c r="FA13" s="505"/>
      <c r="FB13" s="505"/>
      <c r="FC13" s="512">
        <f t="shared" si="25"/>
        <v>0</v>
      </c>
      <c r="FE13" s="505"/>
      <c r="FF13" s="505"/>
      <c r="FG13" s="505"/>
      <c r="FH13" s="505"/>
      <c r="FI13" s="505"/>
      <c r="FJ13" s="505"/>
      <c r="FK13" s="505"/>
      <c r="FL13" s="505"/>
      <c r="FM13" s="505"/>
      <c r="FN13" s="505"/>
      <c r="FO13" s="505"/>
      <c r="FP13" s="505"/>
      <c r="FQ13" s="512">
        <f t="shared" si="26"/>
        <v>0</v>
      </c>
      <c r="FS13" s="504">
        <f t="shared" ca="1" si="27"/>
        <v>2080</v>
      </c>
    </row>
    <row r="14" spans="1:175">
      <c r="A14" s="216">
        <v>7</v>
      </c>
      <c r="B14" s="219" t="str">
        <f ca="1">INDEX(EAC[PA ID],MATCH($A14,EAC[Row],0))</f>
        <v>200.050.F1</v>
      </c>
      <c r="C14" s="218" t="str">
        <f ca="1">INDEX(EAC[Primary Category],MATCH($A14,EAC[Row],0))</f>
        <v>Professional Services</v>
      </c>
      <c r="D14" s="218" t="str">
        <f ca="1">INDEX(EAC[Secondary Category],MATCH($A14,EAC[Row],0))</f>
        <v>Other Professional Services</v>
      </c>
      <c r="E14" s="109" t="str">
        <f ca="1">INDEX(EAC[Phase / Subproject],MATCH($A14,EAC[Row],0))</f>
        <v>--</v>
      </c>
      <c r="F14" s="109" t="str">
        <f ca="1">INDEX(EAC[Phase / Subproject 2],MATCH($A14,EAC[Row],0))</f>
        <v>--</v>
      </c>
      <c r="G14" s="109" t="str">
        <f ca="1">INDEX(EAC[Funding Source],MATCH($A14,EAC[Row],0))</f>
        <v>P-002360</v>
      </c>
      <c r="H14" s="146" t="str">
        <f ca="1">INDEX(EAC[Vendor / Org. with Contract ID],MATCH($A14,EAC[Row],0))</f>
        <v>Barb Shipmant Architects Ltd. -32924</v>
      </c>
      <c r="I14" s="502">
        <f ca="1">INDEX(EAC[Estimate At Completion],MATCH($A14,EAC[Row],0))</f>
        <v>229270</v>
      </c>
      <c r="J14" s="502">
        <f ca="1">SUMIFS(CostTrack[Value],CostTrack[Vendor - Contract],$H14,CostTrack[PA ID],$B14,CostTrack[Holdback (Y/N/R)],"&lt;&gt;Release",CostTrack[Status],"Approved")</f>
        <v>229270</v>
      </c>
      <c r="K14" s="503">
        <f t="shared" ca="1" si="14"/>
        <v>0</v>
      </c>
      <c r="M14" s="504">
        <f t="shared" ca="1" si="15"/>
        <v>0</v>
      </c>
      <c r="O14" s="504">
        <f t="shared" ca="1" si="11"/>
        <v>229270</v>
      </c>
      <c r="P14" s="504">
        <f t="array" aca="1" ref="P14" ca="1">SUM($U14:$FQ14*_xlfn.ISFORMULA($U14:$FQ14)*ISNUMBER($U$7:$FQ$7)*--(INDEX($U$6:$FQ$6,N(IF({1},COLUMN($U$6:$FQ$6)-COLUMN($T$6)))-MOD(N(IF({1},COLUMN($U$6:$FQ$6)-COLUMN($U$6))),14))="Current Fiscal"))</f>
        <v>0</v>
      </c>
      <c r="Q14" s="504">
        <f t="array" aca="1" ref="Q14" ca="1">SUM($U14:$FQ14*NOT(_xlfn.ISFORMULA($U14:$FQ14))*ISNUMBER($U$7:$FQ$7)*--(INDEX($U$6:$FQ$6,N(IF({1},COLUMN($U$6:$FQ$6)-COLUMN($T$6)))-MOD(N(IF({1},COLUMN($U$6:$FQ$6)-COLUMN($U$6))),14))="Current Fiscal"))</f>
        <v>0</v>
      </c>
      <c r="R14" s="504">
        <f t="shared" ca="1" si="12"/>
        <v>0</v>
      </c>
      <c r="S14" s="504">
        <f t="shared" ca="1" si="13"/>
        <v>0</v>
      </c>
      <c r="U14" s="504">
        <f ca="1">SUMIFS(CostTrack[[Value]:[Value]],CostTrack[[PA ID]:[PA ID]],$B14,CostTrack[[Vendor - Contract]:[Vendor - Contract]],$H14,CostTrack[[Holdback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4" s="504">
        <f ca="1">SUMIFS(CostTrack[[Value]:[Value]],CostTrack[[PA ID]:[PA ID]],$B14,CostTrack[[Vendor - Contract]:[Vendor - Contract]],$H14,CostTrack[[Holdback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4" s="504">
        <f ca="1">SUMIFS(CostTrack[[Value]:[Value]],CostTrack[[PA ID]:[PA ID]],$B14,CostTrack[[Vendor - Contract]:[Vendor - Contract]],$H14,CostTrack[[Holdback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4" s="504">
        <f ca="1">SUMIFS(CostTrack[[Value]:[Value]],CostTrack[[PA ID]:[PA ID]],$B14,CostTrack[[Vendor - Contract]:[Vendor - Contract]],$H14,CostTrack[[Holdback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4" s="504">
        <f ca="1">SUMIFS(CostTrack[[Value]:[Value]],CostTrack[[PA ID]:[PA ID]],$B14,CostTrack[[Vendor - Contract]:[Vendor - Contract]],$H14,CostTrack[[Holdback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4" s="504">
        <f ca="1">SUMIFS(CostTrack[[Value]:[Value]],CostTrack[[PA ID]:[PA ID]],$B14,CostTrack[[Vendor - Contract]:[Vendor - Contract]],$H14,CostTrack[[Holdback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30500</v>
      </c>
      <c r="AA14" s="504">
        <f ca="1">SUMIFS(CostTrack[[Value]:[Value]],CostTrack[[PA ID]:[PA ID]],$B14,CostTrack[[Vendor - Contract]:[Vendor - Contract]],$H14,CostTrack[[Holdback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50000</v>
      </c>
      <c r="AB14" s="504">
        <f ca="1">SUMIFS(CostTrack[[Value]:[Value]],CostTrack[[PA ID]:[PA ID]],$B14,CostTrack[[Vendor - Contract]:[Vendor - Contract]],$H14,CostTrack[[Holdback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53610</v>
      </c>
      <c r="AC14" s="504">
        <f ca="1">SUMIFS(CostTrack[[Value]:[Value]],CostTrack[[PA ID]:[PA ID]],$B14,CostTrack[[Vendor - Contract]:[Vendor - Contract]],$H14,CostTrack[[Holdback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53820</v>
      </c>
      <c r="AD14" s="504">
        <f ca="1">SUMIFS(CostTrack[[Value]:[Value]],CostTrack[[PA ID]:[PA ID]],$B14,CostTrack[[Vendor - Contract]:[Vendor - Contract]],$H14,CostTrack[[Holdback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21283</v>
      </c>
      <c r="AE14" s="504">
        <f ca="1">SUMIFS(CostTrack[[Value]:[Value]],CostTrack[[PA ID]:[PA ID]],$B14,CostTrack[[Vendor - Contract]:[Vendor - Contract]],$H14,CostTrack[[Holdback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20057</v>
      </c>
      <c r="AF14" s="504">
        <f ca="1">SUMIFS(CostTrack[[Value]:[Value]],CostTrack[[PA ID]:[PA ID]],$B14,CostTrack[[Vendor - Contract]:[Vendor - Contract]],$H14,CostTrack[[Holdback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4" s="506">
        <f t="shared" ca="1" si="16"/>
        <v>229270</v>
      </c>
      <c r="AI14" s="504">
        <f ca="1">SUMIFS(CostTrack[[Value]:[Value]],CostTrack[[PA ID]:[PA ID]],$B14,CostTrack[[Vendor - Contract]:[Vendor - Contract]],$H14,CostTrack[[Holdback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4" s="504">
        <f ca="1">SUMIFS(CostTrack[[Value]:[Value]],CostTrack[[PA ID]:[PA ID]],$B14,CostTrack[[Vendor - Contract]:[Vendor - Contract]],$H14,CostTrack[[Holdback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4" s="504">
        <f ca="1">SUMIFS(CostTrack[[Value]:[Value]],CostTrack[[PA ID]:[PA ID]],$B14,CostTrack[[Vendor - Contract]:[Vendor - Contract]],$H14,CostTrack[[Holdback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4" s="504">
        <f ca="1">SUMIFS(CostTrack[[Value]:[Value]],CostTrack[[PA ID]:[PA ID]],$B14,CostTrack[[Vendor - Contract]:[Vendor - Contract]],$H14,CostTrack[[Holdback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4" s="504">
        <f ca="1">SUMIFS(CostTrack[[Value]:[Value]],CostTrack[[PA ID]:[PA ID]],$B14,CostTrack[[Vendor - Contract]:[Vendor - Contract]],$H14,CostTrack[[Holdback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4" s="504">
        <f ca="1">SUMIFS(CostTrack[[Value]:[Value]],CostTrack[[PA ID]:[PA ID]],$B14,CostTrack[[Vendor - Contract]:[Vendor - Contract]],$H14,CostTrack[[Holdback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4" s="504">
        <f ca="1">SUMIFS(CostTrack[[Value]:[Value]],CostTrack[[PA ID]:[PA ID]],$B14,CostTrack[[Vendor - Contract]:[Vendor - Contract]],$H14,CostTrack[[Holdback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4" s="504">
        <f ca="1">SUMIFS(CostTrack[[Value]:[Value]],CostTrack[[PA ID]:[PA ID]],$B14,CostTrack[[Vendor - Contract]:[Vendor - Contract]],$H14,CostTrack[[Holdback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4" s="504">
        <f ca="1">SUMIFS(CostTrack[[Value]:[Value]],CostTrack[[PA ID]:[PA ID]],$B14,CostTrack[[Vendor - Contract]:[Vendor - Contract]],$H14,CostTrack[[Holdback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4" s="504">
        <f ca="1">SUMIFS(CostTrack[[Value]:[Value]],CostTrack[[PA ID]:[PA ID]],$B14,CostTrack[[Vendor - Contract]:[Vendor - Contract]],$H14,CostTrack[[Holdback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4" s="504">
        <f ca="1">SUMIFS(CostTrack[[Value]:[Value]],CostTrack[[PA ID]:[PA ID]],$B14,CostTrack[[Vendor - Contract]:[Vendor - Contract]],$H14,CostTrack[[Holdback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4" s="504">
        <f ca="1">SUMIFS(CostTrack[[Value]:[Value]],CostTrack[[PA ID]:[PA ID]],$B14,CostTrack[[Vendor - Contract]:[Vendor - Contract]],$H14,CostTrack[[Holdback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4" s="512">
        <f t="shared" ca="1" si="17"/>
        <v>0</v>
      </c>
      <c r="AW14" s="504">
        <f ca="1">SUMIFS(CostTrack[[Value]:[Value]],CostTrack[[PA ID]:[PA ID]],$B14,CostTrack[[Vendor - Contract]:[Vendor - Contract]],$H14,CostTrack[[Holdback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4" s="504">
        <f ca="1">SUMIFS(CostTrack[[Value]:[Value]],CostTrack[[PA ID]:[PA ID]],$B14,CostTrack[[Vendor - Contract]:[Vendor - Contract]],$H14,CostTrack[[Holdback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4" s="504">
        <f ca="1">SUMIFS(CostTrack[[Value]:[Value]],CostTrack[[PA ID]:[PA ID]],$B14,CostTrack[[Vendor - Contract]:[Vendor - Contract]],$H14,CostTrack[[Holdback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4" s="504">
        <f ca="1">SUMIFS(CostTrack[[Value]:[Value]],CostTrack[[PA ID]:[PA ID]],$B14,CostTrack[[Vendor - Contract]:[Vendor - Contract]],$H14,CostTrack[[Holdback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4" s="504">
        <f ca="1">SUMIFS(CostTrack[[Value]:[Value]],CostTrack[[PA ID]:[PA ID]],$B14,CostTrack[[Vendor - Contract]:[Vendor - Contract]],$H14,CostTrack[[Holdback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4" s="504">
        <f ca="1">SUMIFS(CostTrack[[Value]:[Value]],CostTrack[[PA ID]:[PA ID]],$B14,CostTrack[[Vendor - Contract]:[Vendor - Contract]],$H14,CostTrack[[Holdback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4" s="504">
        <f ca="1">SUMIFS(CostTrack[[Value]:[Value]],CostTrack[[PA ID]:[PA ID]],$B14,CostTrack[[Vendor - Contract]:[Vendor - Contract]],$H14,CostTrack[[Holdback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4" s="504">
        <f ca="1">SUMIFS(CostTrack[[Value]:[Value]],CostTrack[[PA ID]:[PA ID]],$B14,CostTrack[[Vendor - Contract]:[Vendor - Contract]],$H14,CostTrack[[Holdback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4" s="504">
        <f ca="1">SUMIFS(CostTrack[[Value]:[Value]],CostTrack[[PA ID]:[PA ID]],$B14,CostTrack[[Vendor - Contract]:[Vendor - Contract]],$H14,CostTrack[[Holdback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4" s="504">
        <f ca="1">SUMIFS(CostTrack[[Value]:[Value]],CostTrack[[PA ID]:[PA ID]],$B14,CostTrack[[Vendor - Contract]:[Vendor - Contract]],$H14,CostTrack[[Holdback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4" s="504">
        <f ca="1">SUMIFS(CostTrack[[Value]:[Value]],CostTrack[[PA ID]:[PA ID]],$B14,CostTrack[[Vendor - Contract]:[Vendor - Contract]],$H14,CostTrack[[Holdback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4" s="504">
        <f ca="1">SUMIFS(CostTrack[[Value]:[Value]],CostTrack[[PA ID]:[PA ID]],$B14,CostTrack[[Vendor - Contract]:[Vendor - Contract]],$H14,CostTrack[[Holdback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4" s="512">
        <f t="shared" ca="1" si="18"/>
        <v>0</v>
      </c>
      <c r="BK14" s="504">
        <f ca="1">SUMIFS(CostTrack[[Value]:[Value]],CostTrack[[PA ID]:[PA ID]],$B14,CostTrack[[Vendor - Contract]:[Vendor - Contract]],$H14,CostTrack[[Holdback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4" s="504">
        <f ca="1">SUMIFS(CostTrack[[Value]:[Value]],CostTrack[[PA ID]:[PA ID]],$B14,CostTrack[[Vendor - Contract]:[Vendor - Contract]],$H14,CostTrack[[Holdback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4" s="504">
        <f ca="1">SUMIFS(CostTrack[[Value]:[Value]],CostTrack[[PA ID]:[PA ID]],$B14,CostTrack[[Vendor - Contract]:[Vendor - Contract]],$H14,CostTrack[[Holdback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4" s="504">
        <f ca="1">SUMIFS(CostTrack[[Value]:[Value]],CostTrack[[PA ID]:[PA ID]],$B14,CostTrack[[Vendor - Contract]:[Vendor - Contract]],$H14,CostTrack[[Holdback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4" s="504">
        <f ca="1">SUMIFS(CostTrack[[Value]:[Value]],CostTrack[[PA ID]:[PA ID]],$B14,CostTrack[[Vendor - Contract]:[Vendor - Contract]],$H14,CostTrack[[Holdback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4" s="504">
        <f ca="1">SUMIFS(CostTrack[[Value]:[Value]],CostTrack[[PA ID]:[PA ID]],$B14,CostTrack[[Vendor - Contract]:[Vendor - Contract]],$H14,CostTrack[[Holdback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4" s="504">
        <f ca="1">SUMIFS(CostTrack[[Value]:[Value]],CostTrack[[PA ID]:[PA ID]],$B14,CostTrack[[Vendor - Contract]:[Vendor - Contract]],$H14,CostTrack[[Holdback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4" s="504">
        <f ca="1">SUMIFS(CostTrack[[Value]:[Value]],CostTrack[[PA ID]:[PA ID]],$B14,CostTrack[[Vendor - Contract]:[Vendor - Contract]],$H14,CostTrack[[Holdback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4" s="504">
        <f ca="1">SUMIFS(CostTrack[[Value]:[Value]],CostTrack[[PA ID]:[PA ID]],$B14,CostTrack[[Vendor - Contract]:[Vendor - Contract]],$H14,CostTrack[[Holdback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4" s="504">
        <f ca="1">SUMIFS(CostTrack[[Value]:[Value]],CostTrack[[PA ID]:[PA ID]],$B14,CostTrack[[Vendor - Contract]:[Vendor - Contract]],$H14,CostTrack[[Holdback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4" s="504">
        <f ca="1">SUMIFS(CostTrack[[Value]:[Value]],CostTrack[[PA ID]:[PA ID]],$B14,CostTrack[[Vendor - Contract]:[Vendor - Contract]],$H14,CostTrack[[Holdback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4" s="504">
        <f ca="1">SUMIFS(CostTrack[[Value]:[Value]],CostTrack[[PA ID]:[PA ID]],$B14,CostTrack[[Vendor - Contract]:[Vendor - Contract]],$H14,CostTrack[[Holdback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4" s="512">
        <f t="shared" ca="1" si="19"/>
        <v>0</v>
      </c>
      <c r="BY14" s="504">
        <f ca="1">SUMIFS(CostTrack[[Value]:[Value]],CostTrack[[PA ID]:[PA ID]],$B14,CostTrack[[Vendor - Contract]:[Vendor - Contract]],$H14,CostTrack[[Holdback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4" s="504">
        <f ca="1">SUMIFS(CostTrack[[Value]:[Value]],CostTrack[[PA ID]:[PA ID]],$B14,CostTrack[[Vendor - Contract]:[Vendor - Contract]],$H14,CostTrack[[Holdback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4" s="504">
        <f ca="1">SUMIFS(CostTrack[[Value]:[Value]],CostTrack[[PA ID]:[PA ID]],$B14,CostTrack[[Vendor - Contract]:[Vendor - Contract]],$H14,CostTrack[[Holdback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4" s="504">
        <f ca="1">SUMIFS(CostTrack[[Value]:[Value]],CostTrack[[PA ID]:[PA ID]],$B14,CostTrack[[Vendor - Contract]:[Vendor - Contract]],$H14,CostTrack[[Holdback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4" s="504">
        <f ca="1">SUMIFS(CostTrack[[Value]:[Value]],CostTrack[[PA ID]:[PA ID]],$B14,CostTrack[[Vendor - Contract]:[Vendor - Contract]],$H14,CostTrack[[Holdback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4" s="504">
        <f ca="1">SUMIFS(CostTrack[[Value]:[Value]],CostTrack[[PA ID]:[PA ID]],$B14,CostTrack[[Vendor - Contract]:[Vendor - Contract]],$H14,CostTrack[[Holdback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4" s="504">
        <f ca="1">SUMIFS(CostTrack[[Value]:[Value]],CostTrack[[PA ID]:[PA ID]],$B14,CostTrack[[Vendor - Contract]:[Vendor - Contract]],$H14,CostTrack[[Holdback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4" s="504">
        <f ca="1">SUMIFS(CostTrack[[Value]:[Value]],CostTrack[[PA ID]:[PA ID]],$B14,CostTrack[[Vendor - Contract]:[Vendor - Contract]],$H14,CostTrack[[Holdback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4" s="504">
        <f ca="1">SUMIFS(CostTrack[[Value]:[Value]],CostTrack[[PA ID]:[PA ID]],$B14,CostTrack[[Vendor - Contract]:[Vendor - Contract]],$H14,CostTrack[[Holdback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4" s="504">
        <f ca="1">SUMIFS(CostTrack[[Value]:[Value]],CostTrack[[PA ID]:[PA ID]],$B14,CostTrack[[Vendor - Contract]:[Vendor - Contract]],$H14,CostTrack[[Holdback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4" s="504">
        <f ca="1">SUMIFS(CostTrack[[Value]:[Value]],CostTrack[[PA ID]:[PA ID]],$B14,CostTrack[[Vendor - Contract]:[Vendor - Contract]],$H14,CostTrack[[Holdback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4" s="504">
        <f ca="1">SUMIFS(CostTrack[[Value]:[Value]],CostTrack[[PA ID]:[PA ID]],$B14,CostTrack[[Vendor - Contract]:[Vendor - Contract]],$H14,CostTrack[[Holdback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4" s="512">
        <f t="shared" ca="1" si="20"/>
        <v>0</v>
      </c>
      <c r="CM14" s="504">
        <f ca="1">SUMIFS(CostTrack[[Value]:[Value]],CostTrack[[PA ID]:[PA ID]],$B14,CostTrack[[Vendor - Contract]:[Vendor - Contract]],$H14,CostTrack[[Holdback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4" s="504">
        <f ca="1">SUMIFS(CostTrack[[Value]:[Value]],CostTrack[[PA ID]:[PA ID]],$B14,CostTrack[[Vendor - Contract]:[Vendor - Contract]],$H14,CostTrack[[Holdback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4" s="504">
        <f ca="1">SUMIFS(CostTrack[[Value]:[Value]],CostTrack[[PA ID]:[PA ID]],$B14,CostTrack[[Vendor - Contract]:[Vendor - Contract]],$H14,CostTrack[[Holdback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4" s="504">
        <f ca="1">SUMIFS(CostTrack[[Value]:[Value]],CostTrack[[PA ID]:[PA ID]],$B14,CostTrack[[Vendor - Contract]:[Vendor - Contract]],$H14,CostTrack[[Holdback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4" s="504">
        <f ca="1">SUMIFS(CostTrack[[Value]:[Value]],CostTrack[[PA ID]:[PA ID]],$B14,CostTrack[[Vendor - Contract]:[Vendor - Contract]],$H14,CostTrack[[Holdback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4" s="504">
        <f ca="1">SUMIFS(CostTrack[[Value]:[Value]],CostTrack[[PA ID]:[PA ID]],$B14,CostTrack[[Vendor - Contract]:[Vendor - Contract]],$H14,CostTrack[[Holdback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4" s="504">
        <f ca="1">SUMIFS(CostTrack[[Value]:[Value]],CostTrack[[PA ID]:[PA ID]],$B14,CostTrack[[Vendor - Contract]:[Vendor - Contract]],$H14,CostTrack[[Holdback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4" s="504">
        <f ca="1">SUMIFS(CostTrack[[Value]:[Value]],CostTrack[[PA ID]:[PA ID]],$B14,CostTrack[[Vendor - Contract]:[Vendor - Contract]],$H14,CostTrack[[Holdback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4" s="504">
        <f ca="1">SUMIFS(CostTrack[[Value]:[Value]],CostTrack[[PA ID]:[PA ID]],$B14,CostTrack[[Vendor - Contract]:[Vendor - Contract]],$H14,CostTrack[[Holdback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4" s="504">
        <f ca="1">SUMIFS(CostTrack[[Value]:[Value]],CostTrack[[PA ID]:[PA ID]],$B14,CostTrack[[Vendor - Contract]:[Vendor - Contract]],$H14,CostTrack[[Holdback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4" s="504">
        <f ca="1">SUMIFS(CostTrack[[Value]:[Value]],CostTrack[[PA ID]:[PA ID]],$B14,CostTrack[[Vendor - Contract]:[Vendor - Contract]],$H14,CostTrack[[Holdback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4" s="504">
        <f ca="1">SUMIFS(CostTrack[[Value]:[Value]],CostTrack[[PA ID]:[PA ID]],$B14,CostTrack[[Vendor - Contract]:[Vendor - Contract]],$H14,CostTrack[[Holdback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4" s="512">
        <f t="shared" ca="1" si="21"/>
        <v>0</v>
      </c>
      <c r="DA14" s="504">
        <f ca="1">SUMIFS(CostTrack[[Value]:[Value]],CostTrack[[PA ID]:[PA ID]],$B14,CostTrack[[Vendor - Contract]:[Vendor - Contract]],$H14,CostTrack[[Holdback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4" s="504">
        <f ca="1">SUMIFS(CostTrack[[Value]:[Value]],CostTrack[[PA ID]:[PA ID]],$B14,CostTrack[[Vendor - Contract]:[Vendor - Contract]],$H14,CostTrack[[Holdback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4" s="504">
        <f ca="1">SUMIFS(CostTrack[[Value]:[Value]],CostTrack[[PA ID]:[PA ID]],$B14,CostTrack[[Vendor - Contract]:[Vendor - Contract]],$H14,CostTrack[[Holdback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4" s="504">
        <f ca="1">SUMIFS(CostTrack[[Value]:[Value]],CostTrack[[PA ID]:[PA ID]],$B14,CostTrack[[Vendor - Contract]:[Vendor - Contract]],$H14,CostTrack[[Holdback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4" s="504">
        <f ca="1">SUMIFS(CostTrack[[Value]:[Value]],CostTrack[[PA ID]:[PA ID]],$B14,CostTrack[[Vendor - Contract]:[Vendor - Contract]],$H14,CostTrack[[Holdback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4" s="504">
        <f ca="1">SUMIFS(CostTrack[[Value]:[Value]],CostTrack[[PA ID]:[PA ID]],$B14,CostTrack[[Vendor - Contract]:[Vendor - Contract]],$H14,CostTrack[[Holdback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4" s="504">
        <f ca="1">SUMIFS(CostTrack[[Value]:[Value]],CostTrack[[PA ID]:[PA ID]],$B14,CostTrack[[Vendor - Contract]:[Vendor - Contract]],$H14,CostTrack[[Holdback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4" s="504">
        <f ca="1">SUMIFS(CostTrack[[Value]:[Value]],CostTrack[[PA ID]:[PA ID]],$B14,CostTrack[[Vendor - Contract]:[Vendor - Contract]],$H14,CostTrack[[Holdback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4" s="504">
        <f ca="1">SUMIFS(CostTrack[[Value]:[Value]],CostTrack[[PA ID]:[PA ID]],$B14,CostTrack[[Vendor - Contract]:[Vendor - Contract]],$H14,CostTrack[[Holdback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4" s="504">
        <f ca="1">SUMIFS(CostTrack[[Value]:[Value]],CostTrack[[PA ID]:[PA ID]],$B14,CostTrack[[Vendor - Contract]:[Vendor - Contract]],$H14,CostTrack[[Holdback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4" s="504">
        <f ca="1">SUMIFS(CostTrack[[Value]:[Value]],CostTrack[[PA ID]:[PA ID]],$B14,CostTrack[[Vendor - Contract]:[Vendor - Contract]],$H14,CostTrack[[Holdback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4" s="504">
        <f ca="1">SUMIFS(CostTrack[[Value]:[Value]],CostTrack[[PA ID]:[PA ID]],$B14,CostTrack[[Vendor - Contract]:[Vendor - Contract]],$H14,CostTrack[[Holdback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4" s="512">
        <f t="shared" ca="1" si="22"/>
        <v>0</v>
      </c>
      <c r="DO14" s="504">
        <f ca="1">SUMIFS(CostTrack[[Value]:[Value]],CostTrack[[PA ID]:[PA ID]],$B14,CostTrack[[Vendor - Contract]:[Vendor - Contract]],$H14,CostTrack[[Holdback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4" s="504">
        <f ca="1">SUMIFS(CostTrack[[Value]:[Value]],CostTrack[[PA ID]:[PA ID]],$B14,CostTrack[[Vendor - Contract]:[Vendor - Contract]],$H14,CostTrack[[Holdback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4" s="504">
        <f ca="1">SUMIFS(CostTrack[[Value]:[Value]],CostTrack[[PA ID]:[PA ID]],$B14,CostTrack[[Vendor - Contract]:[Vendor - Contract]],$H14,CostTrack[[Holdback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4" s="504">
        <f ca="1">SUMIFS(CostTrack[[Value]:[Value]],CostTrack[[PA ID]:[PA ID]],$B14,CostTrack[[Vendor - Contract]:[Vendor - Contract]],$H14,CostTrack[[Holdback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4" s="504">
        <f ca="1">SUMIFS(CostTrack[[Value]:[Value]],CostTrack[[PA ID]:[PA ID]],$B14,CostTrack[[Vendor - Contract]:[Vendor - Contract]],$H14,CostTrack[[Holdback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4" s="504">
        <f ca="1">SUMIFS(CostTrack[[Value]:[Value]],CostTrack[[PA ID]:[PA ID]],$B14,CostTrack[[Vendor - Contract]:[Vendor - Contract]],$H14,CostTrack[[Holdback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4" s="504">
        <f ca="1">SUMIFS(CostTrack[[Value]:[Value]],CostTrack[[PA ID]:[PA ID]],$B14,CostTrack[[Vendor - Contract]:[Vendor - Contract]],$H14,CostTrack[[Holdback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4" s="504">
        <f ca="1">SUMIFS(CostTrack[[Value]:[Value]],CostTrack[[PA ID]:[PA ID]],$B14,CostTrack[[Vendor - Contract]:[Vendor - Contract]],$H14,CostTrack[[Holdback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4" s="504">
        <f ca="1">SUMIFS(CostTrack[[Value]:[Value]],CostTrack[[PA ID]:[PA ID]],$B14,CostTrack[[Vendor - Contract]:[Vendor - Contract]],$H14,CostTrack[[Holdback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4" s="504">
        <f ca="1">SUMIFS(CostTrack[[Value]:[Value]],CostTrack[[PA ID]:[PA ID]],$B14,CostTrack[[Vendor - Contract]:[Vendor - Contract]],$H14,CostTrack[[Holdback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4" s="504">
        <f ca="1">SUMIFS(CostTrack[[Value]:[Value]],CostTrack[[PA ID]:[PA ID]],$B14,CostTrack[[Vendor - Contract]:[Vendor - Contract]],$H14,CostTrack[[Holdback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4" s="504">
        <f ca="1">SUMIFS(CostTrack[[Value]:[Value]],CostTrack[[PA ID]:[PA ID]],$B14,CostTrack[[Vendor - Contract]:[Vendor - Contract]],$H14,CostTrack[[Holdback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4" s="512">
        <f t="shared" ca="1" si="23"/>
        <v>0</v>
      </c>
      <c r="EC14" s="504">
        <f ca="1">SUMIFS(CostTrack[[Value]:[Value]],CostTrack[[PA ID]:[PA ID]],$B14,CostTrack[[Vendor - Contract]:[Vendor - Contract]],$H14,CostTrack[[Holdback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4" s="505"/>
      <c r="EE14" s="505"/>
      <c r="EF14" s="505"/>
      <c r="EG14" s="505"/>
      <c r="EH14" s="505"/>
      <c r="EI14" s="505"/>
      <c r="EJ14" s="505"/>
      <c r="EK14" s="505"/>
      <c r="EL14" s="505"/>
      <c r="EM14" s="505"/>
      <c r="EN14" s="505"/>
      <c r="EO14" s="512">
        <f t="shared" ca="1" si="24"/>
        <v>0</v>
      </c>
      <c r="EQ14" s="505"/>
      <c r="ER14" s="505"/>
      <c r="ES14" s="505"/>
      <c r="ET14" s="505"/>
      <c r="EU14" s="505"/>
      <c r="EV14" s="505"/>
      <c r="EW14" s="505"/>
      <c r="EX14" s="505"/>
      <c r="EY14" s="505"/>
      <c r="EZ14" s="505"/>
      <c r="FA14" s="505"/>
      <c r="FB14" s="505"/>
      <c r="FC14" s="512">
        <f t="shared" si="25"/>
        <v>0</v>
      </c>
      <c r="FE14" s="505"/>
      <c r="FF14" s="505"/>
      <c r="FG14" s="505"/>
      <c r="FH14" s="505"/>
      <c r="FI14" s="505"/>
      <c r="FJ14" s="505"/>
      <c r="FK14" s="505"/>
      <c r="FL14" s="505"/>
      <c r="FM14" s="505"/>
      <c r="FN14" s="505"/>
      <c r="FO14" s="505"/>
      <c r="FP14" s="505"/>
      <c r="FQ14" s="512">
        <f t="shared" si="26"/>
        <v>0</v>
      </c>
      <c r="FS14" s="504">
        <f t="shared" ca="1" si="27"/>
        <v>229270</v>
      </c>
    </row>
    <row r="15" spans="1:175">
      <c r="A15" s="216">
        <v>8</v>
      </c>
      <c r="B15" s="219" t="str">
        <f ca="1">INDEX(EAC[PA ID],MATCH($A15,EAC[Row],0))</f>
        <v>200.050.F1</v>
      </c>
      <c r="C15" s="218" t="str">
        <f ca="1">INDEX(EAC[Primary Category],MATCH($A15,EAC[Row],0))</f>
        <v>Professional Services</v>
      </c>
      <c r="D15" s="218" t="str">
        <f ca="1">INDEX(EAC[Secondary Category],MATCH($A15,EAC[Row],0))</f>
        <v>Other Professional Services</v>
      </c>
      <c r="E15" s="109" t="str">
        <f ca="1">INDEX(EAC[Phase / Subproject],MATCH($A15,EAC[Row],0))</f>
        <v>--</v>
      </c>
      <c r="F15" s="109" t="str">
        <f ca="1">INDEX(EAC[Phase / Subproject 2],MATCH($A15,EAC[Row],0))</f>
        <v>--</v>
      </c>
      <c r="G15" s="109" t="str">
        <f ca="1">INDEX(EAC[Funding Source],MATCH($A15,EAC[Row],0))</f>
        <v>P-002360</v>
      </c>
      <c r="H15" s="146" t="str">
        <f ca="1">INDEX(EAC[Vendor / Org. with Contract ID],MATCH($A15,EAC[Row],0))</f>
        <v>Enviro-Works Inc. -Direct Pay</v>
      </c>
      <c r="I15" s="502">
        <f ca="1">INDEX(EAC[Estimate At Completion],MATCH($A15,EAC[Row],0))</f>
        <v>1267.73</v>
      </c>
      <c r="J15" s="502">
        <f ca="1">SUMIFS(CostTrack[Value],CostTrack[Vendor - Contract],$H15,CostTrack[PA ID],$B15,CostTrack[Holdback (Y/N/R)],"&lt;&gt;Release",CostTrack[Status],"Approved")</f>
        <v>1267.73</v>
      </c>
      <c r="K15" s="503">
        <f t="shared" ca="1" si="14"/>
        <v>0</v>
      </c>
      <c r="M15" s="504">
        <f t="shared" ca="1" si="15"/>
        <v>0</v>
      </c>
      <c r="O15" s="504">
        <f t="shared" ca="1" si="11"/>
        <v>1267.73</v>
      </c>
      <c r="P15" s="504">
        <f t="array" aca="1" ref="P15" ca="1">SUM($U15:$FQ15*_xlfn.ISFORMULA($U15:$FQ15)*ISNUMBER($U$7:$FQ$7)*--(INDEX($U$6:$FQ$6,N(IF({1},COLUMN($U$6:$FQ$6)-COLUMN($T$6)))-MOD(N(IF({1},COLUMN($U$6:$FQ$6)-COLUMN($U$6))),14))="Current Fiscal"))</f>
        <v>0</v>
      </c>
      <c r="Q15" s="504">
        <f t="array" aca="1" ref="Q15" ca="1">SUM($U15:$FQ15*NOT(_xlfn.ISFORMULA($U15:$FQ15))*ISNUMBER($U$7:$FQ$7)*--(INDEX($U$6:$FQ$6,N(IF({1},COLUMN($U$6:$FQ$6)-COLUMN($T$6)))-MOD(N(IF({1},COLUMN($U$6:$FQ$6)-COLUMN($U$6))),14))="Current Fiscal"))</f>
        <v>0</v>
      </c>
      <c r="R15" s="504">
        <f t="shared" ca="1" si="12"/>
        <v>0</v>
      </c>
      <c r="S15" s="504">
        <f t="shared" ca="1" si="13"/>
        <v>0</v>
      </c>
      <c r="U15" s="504">
        <f ca="1">SUMIFS(CostTrack[[Value]:[Value]],CostTrack[[PA ID]:[PA ID]],$B15,CostTrack[[Vendor - Contract]:[Vendor - Contract]],$H15,CostTrack[[Holdback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5" s="504">
        <f ca="1">SUMIFS(CostTrack[[Value]:[Value]],CostTrack[[PA ID]:[PA ID]],$B15,CostTrack[[Vendor - Contract]:[Vendor - Contract]],$H15,CostTrack[[Holdback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5" s="504">
        <f ca="1">SUMIFS(CostTrack[[Value]:[Value]],CostTrack[[PA ID]:[PA ID]],$B15,CostTrack[[Vendor - Contract]:[Vendor - Contract]],$H15,CostTrack[[Holdback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5" s="504">
        <f ca="1">SUMIFS(CostTrack[[Value]:[Value]],CostTrack[[PA ID]:[PA ID]],$B15,CostTrack[[Vendor - Contract]:[Vendor - Contract]],$H15,CostTrack[[Holdback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5" s="504">
        <f ca="1">SUMIFS(CostTrack[[Value]:[Value]],CostTrack[[PA ID]:[PA ID]],$B15,CostTrack[[Vendor - Contract]:[Vendor - Contract]],$H15,CostTrack[[Holdback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5" s="504">
        <f ca="1">SUMIFS(CostTrack[[Value]:[Value]],CostTrack[[PA ID]:[PA ID]],$B15,CostTrack[[Vendor - Contract]:[Vendor - Contract]],$H15,CostTrack[[Holdback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1267.73</v>
      </c>
      <c r="AA15" s="504">
        <f ca="1">SUMIFS(CostTrack[[Value]:[Value]],CostTrack[[PA ID]:[PA ID]],$B15,CostTrack[[Vendor - Contract]:[Vendor - Contract]],$H15,CostTrack[[Holdback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5" s="504">
        <f ca="1">SUMIFS(CostTrack[[Value]:[Value]],CostTrack[[PA ID]:[PA ID]],$B15,CostTrack[[Vendor - Contract]:[Vendor - Contract]],$H15,CostTrack[[Holdback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5" s="504">
        <f ca="1">SUMIFS(CostTrack[[Value]:[Value]],CostTrack[[PA ID]:[PA ID]],$B15,CostTrack[[Vendor - Contract]:[Vendor - Contract]],$H15,CostTrack[[Holdback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5" s="504">
        <f ca="1">SUMIFS(CostTrack[[Value]:[Value]],CostTrack[[PA ID]:[PA ID]],$B15,CostTrack[[Vendor - Contract]:[Vendor - Contract]],$H15,CostTrack[[Holdback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5" s="504">
        <f ca="1">SUMIFS(CostTrack[[Value]:[Value]],CostTrack[[PA ID]:[PA ID]],$B15,CostTrack[[Vendor - Contract]:[Vendor - Contract]],$H15,CostTrack[[Holdback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5" s="504">
        <f ca="1">SUMIFS(CostTrack[[Value]:[Value]],CostTrack[[PA ID]:[PA ID]],$B15,CostTrack[[Vendor - Contract]:[Vendor - Contract]],$H15,CostTrack[[Holdback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5" s="506">
        <f t="shared" ca="1" si="16"/>
        <v>1267.73</v>
      </c>
      <c r="AI15" s="504">
        <f ca="1">SUMIFS(CostTrack[[Value]:[Value]],CostTrack[[PA ID]:[PA ID]],$B15,CostTrack[[Vendor - Contract]:[Vendor - Contract]],$H15,CostTrack[[Holdback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5" s="504">
        <f ca="1">SUMIFS(CostTrack[[Value]:[Value]],CostTrack[[PA ID]:[PA ID]],$B15,CostTrack[[Vendor - Contract]:[Vendor - Contract]],$H15,CostTrack[[Holdback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5" s="504">
        <f ca="1">SUMIFS(CostTrack[[Value]:[Value]],CostTrack[[PA ID]:[PA ID]],$B15,CostTrack[[Vendor - Contract]:[Vendor - Contract]],$H15,CostTrack[[Holdback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5" s="504">
        <f ca="1">SUMIFS(CostTrack[[Value]:[Value]],CostTrack[[PA ID]:[PA ID]],$B15,CostTrack[[Vendor - Contract]:[Vendor - Contract]],$H15,CostTrack[[Holdback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5" s="504">
        <f ca="1">SUMIFS(CostTrack[[Value]:[Value]],CostTrack[[PA ID]:[PA ID]],$B15,CostTrack[[Vendor - Contract]:[Vendor - Contract]],$H15,CostTrack[[Holdback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5" s="504">
        <f ca="1">SUMIFS(CostTrack[[Value]:[Value]],CostTrack[[PA ID]:[PA ID]],$B15,CostTrack[[Vendor - Contract]:[Vendor - Contract]],$H15,CostTrack[[Holdback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5" s="504">
        <f ca="1">SUMIFS(CostTrack[[Value]:[Value]],CostTrack[[PA ID]:[PA ID]],$B15,CostTrack[[Vendor - Contract]:[Vendor - Contract]],$H15,CostTrack[[Holdback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5" s="504">
        <f ca="1">SUMIFS(CostTrack[[Value]:[Value]],CostTrack[[PA ID]:[PA ID]],$B15,CostTrack[[Vendor - Contract]:[Vendor - Contract]],$H15,CostTrack[[Holdback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5" s="504">
        <f ca="1">SUMIFS(CostTrack[[Value]:[Value]],CostTrack[[PA ID]:[PA ID]],$B15,CostTrack[[Vendor - Contract]:[Vendor - Contract]],$H15,CostTrack[[Holdback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5" s="504">
        <f ca="1">SUMIFS(CostTrack[[Value]:[Value]],CostTrack[[PA ID]:[PA ID]],$B15,CostTrack[[Vendor - Contract]:[Vendor - Contract]],$H15,CostTrack[[Holdback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5" s="504">
        <f ca="1">SUMIFS(CostTrack[[Value]:[Value]],CostTrack[[PA ID]:[PA ID]],$B15,CostTrack[[Vendor - Contract]:[Vendor - Contract]],$H15,CostTrack[[Holdback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5" s="504">
        <f ca="1">SUMIFS(CostTrack[[Value]:[Value]],CostTrack[[PA ID]:[PA ID]],$B15,CostTrack[[Vendor - Contract]:[Vendor - Contract]],$H15,CostTrack[[Holdback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5" s="512">
        <f t="shared" ca="1" si="17"/>
        <v>0</v>
      </c>
      <c r="AW15" s="504">
        <f ca="1">SUMIFS(CostTrack[[Value]:[Value]],CostTrack[[PA ID]:[PA ID]],$B15,CostTrack[[Vendor - Contract]:[Vendor - Contract]],$H15,CostTrack[[Holdback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5" s="504">
        <f ca="1">SUMIFS(CostTrack[[Value]:[Value]],CostTrack[[PA ID]:[PA ID]],$B15,CostTrack[[Vendor - Contract]:[Vendor - Contract]],$H15,CostTrack[[Holdback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5" s="504">
        <f ca="1">SUMIFS(CostTrack[[Value]:[Value]],CostTrack[[PA ID]:[PA ID]],$B15,CostTrack[[Vendor - Contract]:[Vendor - Contract]],$H15,CostTrack[[Holdback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5" s="504">
        <f ca="1">SUMIFS(CostTrack[[Value]:[Value]],CostTrack[[PA ID]:[PA ID]],$B15,CostTrack[[Vendor - Contract]:[Vendor - Contract]],$H15,CostTrack[[Holdback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5" s="504">
        <f ca="1">SUMIFS(CostTrack[[Value]:[Value]],CostTrack[[PA ID]:[PA ID]],$B15,CostTrack[[Vendor - Contract]:[Vendor - Contract]],$H15,CostTrack[[Holdback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5" s="504">
        <f ca="1">SUMIFS(CostTrack[[Value]:[Value]],CostTrack[[PA ID]:[PA ID]],$B15,CostTrack[[Vendor - Contract]:[Vendor - Contract]],$H15,CostTrack[[Holdback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5" s="504">
        <f ca="1">SUMIFS(CostTrack[[Value]:[Value]],CostTrack[[PA ID]:[PA ID]],$B15,CostTrack[[Vendor - Contract]:[Vendor - Contract]],$H15,CostTrack[[Holdback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5" s="504">
        <f ca="1">SUMIFS(CostTrack[[Value]:[Value]],CostTrack[[PA ID]:[PA ID]],$B15,CostTrack[[Vendor - Contract]:[Vendor - Contract]],$H15,CostTrack[[Holdback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5" s="504">
        <f ca="1">SUMIFS(CostTrack[[Value]:[Value]],CostTrack[[PA ID]:[PA ID]],$B15,CostTrack[[Vendor - Contract]:[Vendor - Contract]],$H15,CostTrack[[Holdback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5" s="504">
        <f ca="1">SUMIFS(CostTrack[[Value]:[Value]],CostTrack[[PA ID]:[PA ID]],$B15,CostTrack[[Vendor - Contract]:[Vendor - Contract]],$H15,CostTrack[[Holdback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5" s="504">
        <f ca="1">SUMIFS(CostTrack[[Value]:[Value]],CostTrack[[PA ID]:[PA ID]],$B15,CostTrack[[Vendor - Contract]:[Vendor - Contract]],$H15,CostTrack[[Holdback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5" s="504">
        <f ca="1">SUMIFS(CostTrack[[Value]:[Value]],CostTrack[[PA ID]:[PA ID]],$B15,CostTrack[[Vendor - Contract]:[Vendor - Contract]],$H15,CostTrack[[Holdback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5" s="512">
        <f t="shared" ca="1" si="18"/>
        <v>0</v>
      </c>
      <c r="BK15" s="504">
        <f ca="1">SUMIFS(CostTrack[[Value]:[Value]],CostTrack[[PA ID]:[PA ID]],$B15,CostTrack[[Vendor - Contract]:[Vendor - Contract]],$H15,CostTrack[[Holdback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5" s="504">
        <f ca="1">SUMIFS(CostTrack[[Value]:[Value]],CostTrack[[PA ID]:[PA ID]],$B15,CostTrack[[Vendor - Contract]:[Vendor - Contract]],$H15,CostTrack[[Holdback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5" s="504">
        <f ca="1">SUMIFS(CostTrack[[Value]:[Value]],CostTrack[[PA ID]:[PA ID]],$B15,CostTrack[[Vendor - Contract]:[Vendor - Contract]],$H15,CostTrack[[Holdback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5" s="504">
        <f ca="1">SUMIFS(CostTrack[[Value]:[Value]],CostTrack[[PA ID]:[PA ID]],$B15,CostTrack[[Vendor - Contract]:[Vendor - Contract]],$H15,CostTrack[[Holdback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5" s="504">
        <f ca="1">SUMIFS(CostTrack[[Value]:[Value]],CostTrack[[PA ID]:[PA ID]],$B15,CostTrack[[Vendor - Contract]:[Vendor - Contract]],$H15,CostTrack[[Holdback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5" s="504">
        <f ca="1">SUMIFS(CostTrack[[Value]:[Value]],CostTrack[[PA ID]:[PA ID]],$B15,CostTrack[[Vendor - Contract]:[Vendor - Contract]],$H15,CostTrack[[Holdback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5" s="504">
        <f ca="1">SUMIFS(CostTrack[[Value]:[Value]],CostTrack[[PA ID]:[PA ID]],$B15,CostTrack[[Vendor - Contract]:[Vendor - Contract]],$H15,CostTrack[[Holdback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5" s="504">
        <f ca="1">SUMIFS(CostTrack[[Value]:[Value]],CostTrack[[PA ID]:[PA ID]],$B15,CostTrack[[Vendor - Contract]:[Vendor - Contract]],$H15,CostTrack[[Holdback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5" s="504">
        <f ca="1">SUMIFS(CostTrack[[Value]:[Value]],CostTrack[[PA ID]:[PA ID]],$B15,CostTrack[[Vendor - Contract]:[Vendor - Contract]],$H15,CostTrack[[Holdback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5" s="504">
        <f ca="1">SUMIFS(CostTrack[[Value]:[Value]],CostTrack[[PA ID]:[PA ID]],$B15,CostTrack[[Vendor - Contract]:[Vendor - Contract]],$H15,CostTrack[[Holdback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5" s="504">
        <f ca="1">SUMIFS(CostTrack[[Value]:[Value]],CostTrack[[PA ID]:[PA ID]],$B15,CostTrack[[Vendor - Contract]:[Vendor - Contract]],$H15,CostTrack[[Holdback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5" s="504">
        <f ca="1">SUMIFS(CostTrack[[Value]:[Value]],CostTrack[[PA ID]:[PA ID]],$B15,CostTrack[[Vendor - Contract]:[Vendor - Contract]],$H15,CostTrack[[Holdback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5" s="512">
        <f t="shared" ca="1" si="19"/>
        <v>0</v>
      </c>
      <c r="BY15" s="504">
        <f ca="1">SUMIFS(CostTrack[[Value]:[Value]],CostTrack[[PA ID]:[PA ID]],$B15,CostTrack[[Vendor - Contract]:[Vendor - Contract]],$H15,CostTrack[[Holdback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5" s="504">
        <f ca="1">SUMIFS(CostTrack[[Value]:[Value]],CostTrack[[PA ID]:[PA ID]],$B15,CostTrack[[Vendor - Contract]:[Vendor - Contract]],$H15,CostTrack[[Holdback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5" s="504">
        <f ca="1">SUMIFS(CostTrack[[Value]:[Value]],CostTrack[[PA ID]:[PA ID]],$B15,CostTrack[[Vendor - Contract]:[Vendor - Contract]],$H15,CostTrack[[Holdback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5" s="504">
        <f ca="1">SUMIFS(CostTrack[[Value]:[Value]],CostTrack[[PA ID]:[PA ID]],$B15,CostTrack[[Vendor - Contract]:[Vendor - Contract]],$H15,CostTrack[[Holdback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5" s="504">
        <f ca="1">SUMIFS(CostTrack[[Value]:[Value]],CostTrack[[PA ID]:[PA ID]],$B15,CostTrack[[Vendor - Contract]:[Vendor - Contract]],$H15,CostTrack[[Holdback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5" s="504">
        <f ca="1">SUMIFS(CostTrack[[Value]:[Value]],CostTrack[[PA ID]:[PA ID]],$B15,CostTrack[[Vendor - Contract]:[Vendor - Contract]],$H15,CostTrack[[Holdback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5" s="504">
        <f ca="1">SUMIFS(CostTrack[[Value]:[Value]],CostTrack[[PA ID]:[PA ID]],$B15,CostTrack[[Vendor - Contract]:[Vendor - Contract]],$H15,CostTrack[[Holdback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5" s="504">
        <f ca="1">SUMIFS(CostTrack[[Value]:[Value]],CostTrack[[PA ID]:[PA ID]],$B15,CostTrack[[Vendor - Contract]:[Vendor - Contract]],$H15,CostTrack[[Holdback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5" s="504">
        <f ca="1">SUMIFS(CostTrack[[Value]:[Value]],CostTrack[[PA ID]:[PA ID]],$B15,CostTrack[[Vendor - Contract]:[Vendor - Contract]],$H15,CostTrack[[Holdback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5" s="504">
        <f ca="1">SUMIFS(CostTrack[[Value]:[Value]],CostTrack[[PA ID]:[PA ID]],$B15,CostTrack[[Vendor - Contract]:[Vendor - Contract]],$H15,CostTrack[[Holdback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5" s="504">
        <f ca="1">SUMIFS(CostTrack[[Value]:[Value]],CostTrack[[PA ID]:[PA ID]],$B15,CostTrack[[Vendor - Contract]:[Vendor - Contract]],$H15,CostTrack[[Holdback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5" s="504">
        <f ca="1">SUMIFS(CostTrack[[Value]:[Value]],CostTrack[[PA ID]:[PA ID]],$B15,CostTrack[[Vendor - Contract]:[Vendor - Contract]],$H15,CostTrack[[Holdback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5" s="512">
        <f t="shared" ca="1" si="20"/>
        <v>0</v>
      </c>
      <c r="CM15" s="504">
        <f ca="1">SUMIFS(CostTrack[[Value]:[Value]],CostTrack[[PA ID]:[PA ID]],$B15,CostTrack[[Vendor - Contract]:[Vendor - Contract]],$H15,CostTrack[[Holdback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5" s="504">
        <f ca="1">SUMIFS(CostTrack[[Value]:[Value]],CostTrack[[PA ID]:[PA ID]],$B15,CostTrack[[Vendor - Contract]:[Vendor - Contract]],$H15,CostTrack[[Holdback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5" s="504">
        <f ca="1">SUMIFS(CostTrack[[Value]:[Value]],CostTrack[[PA ID]:[PA ID]],$B15,CostTrack[[Vendor - Contract]:[Vendor - Contract]],$H15,CostTrack[[Holdback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5" s="504">
        <f ca="1">SUMIFS(CostTrack[[Value]:[Value]],CostTrack[[PA ID]:[PA ID]],$B15,CostTrack[[Vendor - Contract]:[Vendor - Contract]],$H15,CostTrack[[Holdback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5" s="504">
        <f ca="1">SUMIFS(CostTrack[[Value]:[Value]],CostTrack[[PA ID]:[PA ID]],$B15,CostTrack[[Vendor - Contract]:[Vendor - Contract]],$H15,CostTrack[[Holdback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5" s="504">
        <f ca="1">SUMIFS(CostTrack[[Value]:[Value]],CostTrack[[PA ID]:[PA ID]],$B15,CostTrack[[Vendor - Contract]:[Vendor - Contract]],$H15,CostTrack[[Holdback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5" s="504">
        <f ca="1">SUMIFS(CostTrack[[Value]:[Value]],CostTrack[[PA ID]:[PA ID]],$B15,CostTrack[[Vendor - Contract]:[Vendor - Contract]],$H15,CostTrack[[Holdback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5" s="504">
        <f ca="1">SUMIFS(CostTrack[[Value]:[Value]],CostTrack[[PA ID]:[PA ID]],$B15,CostTrack[[Vendor - Contract]:[Vendor - Contract]],$H15,CostTrack[[Holdback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5" s="504">
        <f ca="1">SUMIFS(CostTrack[[Value]:[Value]],CostTrack[[PA ID]:[PA ID]],$B15,CostTrack[[Vendor - Contract]:[Vendor - Contract]],$H15,CostTrack[[Holdback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5" s="504">
        <f ca="1">SUMIFS(CostTrack[[Value]:[Value]],CostTrack[[PA ID]:[PA ID]],$B15,CostTrack[[Vendor - Contract]:[Vendor - Contract]],$H15,CostTrack[[Holdback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5" s="504">
        <f ca="1">SUMIFS(CostTrack[[Value]:[Value]],CostTrack[[PA ID]:[PA ID]],$B15,CostTrack[[Vendor - Contract]:[Vendor - Contract]],$H15,CostTrack[[Holdback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5" s="504">
        <f ca="1">SUMIFS(CostTrack[[Value]:[Value]],CostTrack[[PA ID]:[PA ID]],$B15,CostTrack[[Vendor - Contract]:[Vendor - Contract]],$H15,CostTrack[[Holdback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5" s="512">
        <f t="shared" ca="1" si="21"/>
        <v>0</v>
      </c>
      <c r="DA15" s="504">
        <f ca="1">SUMIFS(CostTrack[[Value]:[Value]],CostTrack[[PA ID]:[PA ID]],$B15,CostTrack[[Vendor - Contract]:[Vendor - Contract]],$H15,CostTrack[[Holdback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5" s="504">
        <f ca="1">SUMIFS(CostTrack[[Value]:[Value]],CostTrack[[PA ID]:[PA ID]],$B15,CostTrack[[Vendor - Contract]:[Vendor - Contract]],$H15,CostTrack[[Holdback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5" s="504">
        <f ca="1">SUMIFS(CostTrack[[Value]:[Value]],CostTrack[[PA ID]:[PA ID]],$B15,CostTrack[[Vendor - Contract]:[Vendor - Contract]],$H15,CostTrack[[Holdback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5" s="504">
        <f ca="1">SUMIFS(CostTrack[[Value]:[Value]],CostTrack[[PA ID]:[PA ID]],$B15,CostTrack[[Vendor - Contract]:[Vendor - Contract]],$H15,CostTrack[[Holdback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5" s="504">
        <f ca="1">SUMIFS(CostTrack[[Value]:[Value]],CostTrack[[PA ID]:[PA ID]],$B15,CostTrack[[Vendor - Contract]:[Vendor - Contract]],$H15,CostTrack[[Holdback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5" s="504">
        <f ca="1">SUMIFS(CostTrack[[Value]:[Value]],CostTrack[[PA ID]:[PA ID]],$B15,CostTrack[[Vendor - Contract]:[Vendor - Contract]],$H15,CostTrack[[Holdback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5" s="504">
        <f ca="1">SUMIFS(CostTrack[[Value]:[Value]],CostTrack[[PA ID]:[PA ID]],$B15,CostTrack[[Vendor - Contract]:[Vendor - Contract]],$H15,CostTrack[[Holdback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5" s="504">
        <f ca="1">SUMIFS(CostTrack[[Value]:[Value]],CostTrack[[PA ID]:[PA ID]],$B15,CostTrack[[Vendor - Contract]:[Vendor - Contract]],$H15,CostTrack[[Holdback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5" s="504">
        <f ca="1">SUMIFS(CostTrack[[Value]:[Value]],CostTrack[[PA ID]:[PA ID]],$B15,CostTrack[[Vendor - Contract]:[Vendor - Contract]],$H15,CostTrack[[Holdback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5" s="504">
        <f ca="1">SUMIFS(CostTrack[[Value]:[Value]],CostTrack[[PA ID]:[PA ID]],$B15,CostTrack[[Vendor - Contract]:[Vendor - Contract]],$H15,CostTrack[[Holdback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5" s="504">
        <f ca="1">SUMIFS(CostTrack[[Value]:[Value]],CostTrack[[PA ID]:[PA ID]],$B15,CostTrack[[Vendor - Contract]:[Vendor - Contract]],$H15,CostTrack[[Holdback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5" s="504">
        <f ca="1">SUMIFS(CostTrack[[Value]:[Value]],CostTrack[[PA ID]:[PA ID]],$B15,CostTrack[[Vendor - Contract]:[Vendor - Contract]],$H15,CostTrack[[Holdback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5" s="512">
        <f t="shared" ca="1" si="22"/>
        <v>0</v>
      </c>
      <c r="DO15" s="504">
        <f ca="1">SUMIFS(CostTrack[[Value]:[Value]],CostTrack[[PA ID]:[PA ID]],$B15,CostTrack[[Vendor - Contract]:[Vendor - Contract]],$H15,CostTrack[[Holdback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5" s="504">
        <f ca="1">SUMIFS(CostTrack[[Value]:[Value]],CostTrack[[PA ID]:[PA ID]],$B15,CostTrack[[Vendor - Contract]:[Vendor - Contract]],$H15,CostTrack[[Holdback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5" s="504">
        <f ca="1">SUMIFS(CostTrack[[Value]:[Value]],CostTrack[[PA ID]:[PA ID]],$B15,CostTrack[[Vendor - Contract]:[Vendor - Contract]],$H15,CostTrack[[Holdback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5" s="504">
        <f ca="1">SUMIFS(CostTrack[[Value]:[Value]],CostTrack[[PA ID]:[PA ID]],$B15,CostTrack[[Vendor - Contract]:[Vendor - Contract]],$H15,CostTrack[[Holdback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5" s="504">
        <f ca="1">SUMIFS(CostTrack[[Value]:[Value]],CostTrack[[PA ID]:[PA ID]],$B15,CostTrack[[Vendor - Contract]:[Vendor - Contract]],$H15,CostTrack[[Holdback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5" s="504">
        <f ca="1">SUMIFS(CostTrack[[Value]:[Value]],CostTrack[[PA ID]:[PA ID]],$B15,CostTrack[[Vendor - Contract]:[Vendor - Contract]],$H15,CostTrack[[Holdback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5" s="504">
        <f ca="1">SUMIFS(CostTrack[[Value]:[Value]],CostTrack[[PA ID]:[PA ID]],$B15,CostTrack[[Vendor - Contract]:[Vendor - Contract]],$H15,CostTrack[[Holdback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5" s="504">
        <f ca="1">SUMIFS(CostTrack[[Value]:[Value]],CostTrack[[PA ID]:[PA ID]],$B15,CostTrack[[Vendor - Contract]:[Vendor - Contract]],$H15,CostTrack[[Holdback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5" s="504">
        <f ca="1">SUMIFS(CostTrack[[Value]:[Value]],CostTrack[[PA ID]:[PA ID]],$B15,CostTrack[[Vendor - Contract]:[Vendor - Contract]],$H15,CostTrack[[Holdback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5" s="504">
        <f ca="1">SUMIFS(CostTrack[[Value]:[Value]],CostTrack[[PA ID]:[PA ID]],$B15,CostTrack[[Vendor - Contract]:[Vendor - Contract]],$H15,CostTrack[[Holdback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5" s="504">
        <f ca="1">SUMIFS(CostTrack[[Value]:[Value]],CostTrack[[PA ID]:[PA ID]],$B15,CostTrack[[Vendor - Contract]:[Vendor - Contract]],$H15,CostTrack[[Holdback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5" s="504">
        <f ca="1">SUMIFS(CostTrack[[Value]:[Value]],CostTrack[[PA ID]:[PA ID]],$B15,CostTrack[[Vendor - Contract]:[Vendor - Contract]],$H15,CostTrack[[Holdback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5" s="512">
        <f t="shared" ca="1" si="23"/>
        <v>0</v>
      </c>
      <c r="EC15" s="504">
        <f ca="1">SUMIFS(CostTrack[[Value]:[Value]],CostTrack[[PA ID]:[PA ID]],$B15,CostTrack[[Vendor - Contract]:[Vendor - Contract]],$H15,CostTrack[[Holdback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5" s="505"/>
      <c r="EE15" s="505"/>
      <c r="EF15" s="505"/>
      <c r="EG15" s="505"/>
      <c r="EH15" s="505"/>
      <c r="EI15" s="505"/>
      <c r="EJ15" s="505"/>
      <c r="EK15" s="505"/>
      <c r="EL15" s="505"/>
      <c r="EM15" s="505"/>
      <c r="EN15" s="505"/>
      <c r="EO15" s="512">
        <f t="shared" ca="1" si="24"/>
        <v>0</v>
      </c>
      <c r="EQ15" s="505"/>
      <c r="ER15" s="505"/>
      <c r="ES15" s="505"/>
      <c r="ET15" s="505"/>
      <c r="EU15" s="505"/>
      <c r="EV15" s="505"/>
      <c r="EW15" s="505"/>
      <c r="EX15" s="505"/>
      <c r="EY15" s="505"/>
      <c r="EZ15" s="505"/>
      <c r="FA15" s="505"/>
      <c r="FB15" s="505"/>
      <c r="FC15" s="512">
        <f t="shared" si="25"/>
        <v>0</v>
      </c>
      <c r="FE15" s="505"/>
      <c r="FF15" s="505"/>
      <c r="FG15" s="505"/>
      <c r="FH15" s="505"/>
      <c r="FI15" s="505"/>
      <c r="FJ15" s="505"/>
      <c r="FK15" s="505"/>
      <c r="FL15" s="505"/>
      <c r="FM15" s="505"/>
      <c r="FN15" s="505"/>
      <c r="FO15" s="505"/>
      <c r="FP15" s="505"/>
      <c r="FQ15" s="512">
        <f t="shared" si="26"/>
        <v>0</v>
      </c>
      <c r="FS15" s="504">
        <f t="shared" ca="1" si="27"/>
        <v>1267.73</v>
      </c>
    </row>
    <row r="16" spans="1:175">
      <c r="A16" s="216">
        <v>9</v>
      </c>
      <c r="B16" s="219" t="str">
        <f ca="1">INDEX(EAC[PA ID],MATCH($A16,EAC[Row],0))</f>
        <v>200.040.F1</v>
      </c>
      <c r="C16" s="218" t="str">
        <f ca="1">INDEX(EAC[Primary Category],MATCH($A16,EAC[Row],0))</f>
        <v>Professional Services</v>
      </c>
      <c r="D16" s="218" t="str">
        <f ca="1">INDEX(EAC[Secondary Category],MATCH($A16,EAC[Row],0))</f>
        <v>Commissioning</v>
      </c>
      <c r="E16" s="109" t="str">
        <f ca="1">INDEX(EAC[Phase / Subproject],MATCH($A16,EAC[Row],0))</f>
        <v>--</v>
      </c>
      <c r="F16" s="109" t="str">
        <f ca="1">INDEX(EAC[Phase / Subproject 2],MATCH($A16,EAC[Row],0))</f>
        <v>--</v>
      </c>
      <c r="G16" s="109" t="str">
        <f ca="1">INDEX(EAC[Funding Source],MATCH($A16,EAC[Row],0))</f>
        <v>P-002360</v>
      </c>
      <c r="H16" s="146" t="str">
        <f ca="1">INDEX(EAC[Vendor / Org. with Contract ID],MATCH($A16,EAC[Row],0))</f>
        <v>Stantec Consultant Ltd. -34489</v>
      </c>
      <c r="I16" s="502">
        <f ca="1">INDEX(EAC[Estimate At Completion],MATCH($A16,EAC[Row],0))</f>
        <v>518581.79</v>
      </c>
      <c r="J16" s="502">
        <f ca="1">SUMIFS(CostTrack[Value],CostTrack[Vendor - Contract],$H16,CostTrack[PA ID],$B16,CostTrack[Holdback (Y/N/R)],"&lt;&gt;Release",CostTrack[Status],"Approved")</f>
        <v>517954.04</v>
      </c>
      <c r="K16" s="503">
        <f t="shared" ca="1" si="14"/>
        <v>627.75</v>
      </c>
      <c r="M16" s="504">
        <f t="shared" ca="1" si="15"/>
        <v>0</v>
      </c>
      <c r="O16" s="504">
        <f t="shared" ca="1" si="11"/>
        <v>410521</v>
      </c>
      <c r="P16" s="504">
        <f t="array" aca="1" ref="P16" ca="1">SUM($U16:$FQ16*_xlfn.ISFORMULA($U16:$FQ16)*ISNUMBER($U$7:$FQ$7)*--(INDEX($U$6:$FQ$6,N(IF({1},COLUMN($U$6:$FQ$6)-COLUMN($T$6)))-MOD(N(IF({1},COLUMN($U$6:$FQ$6)-COLUMN($U$6))),14))="Current Fiscal"))</f>
        <v>39946.75</v>
      </c>
      <c r="Q16" s="504">
        <f t="array" aca="1" ref="Q16" ca="1">SUM($U16:$FQ16*NOT(_xlfn.ISFORMULA($U16:$FQ16))*ISNUMBER($U$7:$FQ$7)*--(INDEX($U$6:$FQ$6,N(IF({1},COLUMN($U$6:$FQ$6)-COLUMN($T$6)))-MOD(N(IF({1},COLUMN($U$6:$FQ$6)-COLUMN($U$6))),14))="Current Fiscal"))</f>
        <v>0</v>
      </c>
      <c r="R16" s="504">
        <f t="shared" ca="1" si="12"/>
        <v>39946.75</v>
      </c>
      <c r="S16" s="504">
        <f t="shared" ca="1" si="13"/>
        <v>68114.039999999994</v>
      </c>
      <c r="U16" s="504">
        <f ca="1">SUMIFS(CostTrack[[Value]:[Value]],CostTrack[[PA ID]:[PA ID]],$B16,CostTrack[[Vendor - Contract]:[Vendor - Contract]],$H16,CostTrack[[Holdback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6" s="504">
        <f ca="1">SUMIFS(CostTrack[[Value]:[Value]],CostTrack[[PA ID]:[PA ID]],$B16,CostTrack[[Vendor - Contract]:[Vendor - Contract]],$H16,CostTrack[[Holdback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6" s="504">
        <f ca="1">SUMIFS(CostTrack[[Value]:[Value]],CostTrack[[PA ID]:[PA ID]],$B16,CostTrack[[Vendor - Contract]:[Vendor - Contract]],$H16,CostTrack[[Holdback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6" s="504">
        <f ca="1">SUMIFS(CostTrack[[Value]:[Value]],CostTrack[[PA ID]:[PA ID]],$B16,CostTrack[[Vendor - Contract]:[Vendor - Contract]],$H16,CostTrack[[Holdback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6" s="504">
        <f ca="1">SUMIFS(CostTrack[[Value]:[Value]],CostTrack[[PA ID]:[PA ID]],$B16,CostTrack[[Vendor - Contract]:[Vendor - Contract]],$H16,CostTrack[[Holdback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6" s="504">
        <f ca="1">SUMIFS(CostTrack[[Value]:[Value]],CostTrack[[PA ID]:[PA ID]],$B16,CostTrack[[Vendor - Contract]:[Vendor - Contract]],$H16,CostTrack[[Holdback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6" s="504">
        <f ca="1">SUMIFS(CostTrack[[Value]:[Value]],CostTrack[[PA ID]:[PA ID]],$B16,CostTrack[[Vendor - Contract]:[Vendor - Contract]],$H16,CostTrack[[Holdback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6" s="504">
        <f ca="1">SUMIFS(CostTrack[[Value]:[Value]],CostTrack[[PA ID]:[PA ID]],$B16,CostTrack[[Vendor - Contract]:[Vendor - Contract]],$H16,CostTrack[[Holdback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6" s="504">
        <f ca="1">SUMIFS(CostTrack[[Value]:[Value]],CostTrack[[PA ID]:[PA ID]],$B16,CostTrack[[Vendor - Contract]:[Vendor - Contract]],$H16,CostTrack[[Holdback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6" s="504">
        <f ca="1">SUMIFS(CostTrack[[Value]:[Value]],CostTrack[[PA ID]:[PA ID]],$B16,CostTrack[[Vendor - Contract]:[Vendor - Contract]],$H16,CostTrack[[Holdback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6" s="504">
        <f ca="1">SUMIFS(CostTrack[[Value]:[Value]],CostTrack[[PA ID]:[PA ID]],$B16,CostTrack[[Vendor - Contract]:[Vendor - Contract]],$H16,CostTrack[[Holdback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6" s="504">
        <f ca="1">SUMIFS(CostTrack[[Value]:[Value]],CostTrack[[PA ID]:[PA ID]],$B16,CostTrack[[Vendor - Contract]:[Vendor - Contract]],$H16,CostTrack[[Holdback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6" s="506">
        <f t="shared" ca="1" si="16"/>
        <v>0</v>
      </c>
      <c r="AI16" s="504">
        <f ca="1">SUMIFS(CostTrack[[Value]:[Value]],CostTrack[[PA ID]:[PA ID]],$B16,CostTrack[[Vendor - Contract]:[Vendor - Contract]],$H16,CostTrack[[Holdback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6" s="504">
        <f ca="1">SUMIFS(CostTrack[[Value]:[Value]],CostTrack[[PA ID]:[PA ID]],$B16,CostTrack[[Vendor - Contract]:[Vendor - Contract]],$H16,CostTrack[[Holdback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6" s="504">
        <f ca="1">SUMIFS(CostTrack[[Value]:[Value]],CostTrack[[PA ID]:[PA ID]],$B16,CostTrack[[Vendor - Contract]:[Vendor - Contract]],$H16,CostTrack[[Holdback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6" s="504">
        <f ca="1">SUMIFS(CostTrack[[Value]:[Value]],CostTrack[[PA ID]:[PA ID]],$B16,CostTrack[[Vendor - Contract]:[Vendor - Contract]],$H16,CostTrack[[Holdback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6" s="504">
        <f ca="1">SUMIFS(CostTrack[[Value]:[Value]],CostTrack[[PA ID]:[PA ID]],$B16,CostTrack[[Vendor - Contract]:[Vendor - Contract]],$H16,CostTrack[[Holdback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6" s="504">
        <f ca="1">SUMIFS(CostTrack[[Value]:[Value]],CostTrack[[PA ID]:[PA ID]],$B16,CostTrack[[Vendor - Contract]:[Vendor - Contract]],$H16,CostTrack[[Holdback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2000</v>
      </c>
      <c r="AO16" s="504">
        <f ca="1">SUMIFS(CostTrack[[Value]:[Value]],CostTrack[[PA ID]:[PA ID]],$B16,CostTrack[[Vendor - Contract]:[Vendor - Contract]],$H16,CostTrack[[Holdback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6" s="504">
        <f ca="1">SUMIFS(CostTrack[[Value]:[Value]],CostTrack[[PA ID]:[PA ID]],$B16,CostTrack[[Vendor - Contract]:[Vendor - Contract]],$H16,CostTrack[[Holdback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6" s="504">
        <f ca="1">SUMIFS(CostTrack[[Value]:[Value]],CostTrack[[PA ID]:[PA ID]],$B16,CostTrack[[Vendor - Contract]:[Vendor - Contract]],$H16,CostTrack[[Holdback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2500</v>
      </c>
      <c r="AR16" s="504">
        <f ca="1">SUMIFS(CostTrack[[Value]:[Value]],CostTrack[[PA ID]:[PA ID]],$B16,CostTrack[[Vendor - Contract]:[Vendor - Contract]],$H16,CostTrack[[Holdback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6" s="504">
        <f ca="1">SUMIFS(CostTrack[[Value]:[Value]],CostTrack[[PA ID]:[PA ID]],$B16,CostTrack[[Vendor - Contract]:[Vendor - Contract]],$H16,CostTrack[[Holdback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6" s="504">
        <f ca="1">SUMIFS(CostTrack[[Value]:[Value]],CostTrack[[PA ID]:[PA ID]],$B16,CostTrack[[Vendor - Contract]:[Vendor - Contract]],$H16,CostTrack[[Holdback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2500</v>
      </c>
      <c r="AU16" s="512">
        <f t="shared" ca="1" si="17"/>
        <v>7000</v>
      </c>
      <c r="AW16" s="504">
        <f ca="1">SUMIFS(CostTrack[[Value]:[Value]],CostTrack[[PA ID]:[PA ID]],$B16,CostTrack[[Vendor - Contract]:[Vendor - Contract]],$H16,CostTrack[[Holdback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6" s="504">
        <f ca="1">SUMIFS(CostTrack[[Value]:[Value]],CostTrack[[PA ID]:[PA ID]],$B16,CostTrack[[Vendor - Contract]:[Vendor - Contract]],$H16,CostTrack[[Holdback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6" s="504">
        <f ca="1">SUMIFS(CostTrack[[Value]:[Value]],CostTrack[[PA ID]:[PA ID]],$B16,CostTrack[[Vendor - Contract]:[Vendor - Contract]],$H16,CostTrack[[Holdback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6" s="504">
        <f ca="1">SUMIFS(CostTrack[[Value]:[Value]],CostTrack[[PA ID]:[PA ID]],$B16,CostTrack[[Vendor - Contract]:[Vendor - Contract]],$H16,CostTrack[[Holdback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6" s="504">
        <f ca="1">SUMIFS(CostTrack[[Value]:[Value]],CostTrack[[PA ID]:[PA ID]],$B16,CostTrack[[Vendor - Contract]:[Vendor - Contract]],$H16,CostTrack[[Holdback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7600</v>
      </c>
      <c r="BB16" s="504">
        <f ca="1">SUMIFS(CostTrack[[Value]:[Value]],CostTrack[[PA ID]:[PA ID]],$B16,CostTrack[[Vendor - Contract]:[Vendor - Contract]],$H16,CostTrack[[Holdback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6" s="504">
        <f ca="1">SUMIFS(CostTrack[[Value]:[Value]],CostTrack[[PA ID]:[PA ID]],$B16,CostTrack[[Vendor - Contract]:[Vendor - Contract]],$H16,CostTrack[[Holdback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6" s="504">
        <f ca="1">SUMIFS(CostTrack[[Value]:[Value]],CostTrack[[PA ID]:[PA ID]],$B16,CostTrack[[Vendor - Contract]:[Vendor - Contract]],$H16,CostTrack[[Holdback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11200</v>
      </c>
      <c r="BE16" s="504">
        <f ca="1">SUMIFS(CostTrack[[Value]:[Value]],CostTrack[[PA ID]:[PA ID]],$B16,CostTrack[[Vendor - Contract]:[Vendor - Contract]],$H16,CostTrack[[Holdback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1100</v>
      </c>
      <c r="BF16" s="504">
        <f ca="1">SUMIFS(CostTrack[[Value]:[Value]],CostTrack[[PA ID]:[PA ID]],$B16,CostTrack[[Vendor - Contract]:[Vendor - Contract]],$H16,CostTrack[[Holdback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6" s="504">
        <f ca="1">SUMIFS(CostTrack[[Value]:[Value]],CostTrack[[PA ID]:[PA ID]],$B16,CostTrack[[Vendor - Contract]:[Vendor - Contract]],$H16,CostTrack[[Holdback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1125</v>
      </c>
      <c r="BH16" s="504">
        <f ca="1">SUMIFS(CostTrack[[Value]:[Value]],CostTrack[[PA ID]:[PA ID]],$B16,CostTrack[[Vendor - Contract]:[Vendor - Contract]],$H16,CostTrack[[Holdback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6" s="512">
        <f t="shared" ca="1" si="18"/>
        <v>21025</v>
      </c>
      <c r="BK16" s="504">
        <f ca="1">SUMIFS(CostTrack[[Value]:[Value]],CostTrack[[PA ID]:[PA ID]],$B16,CostTrack[[Vendor - Contract]:[Vendor - Contract]],$H16,CostTrack[[Holdback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6" s="504">
        <f ca="1">SUMIFS(CostTrack[[Value]:[Value]],CostTrack[[PA ID]:[PA ID]],$B16,CostTrack[[Vendor - Contract]:[Vendor - Contract]],$H16,CostTrack[[Holdback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6" s="504">
        <f ca="1">SUMIFS(CostTrack[[Value]:[Value]],CostTrack[[PA ID]:[PA ID]],$B16,CostTrack[[Vendor - Contract]:[Vendor - Contract]],$H16,CostTrack[[Holdback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10000</v>
      </c>
      <c r="BN16" s="504">
        <f ca="1">SUMIFS(CostTrack[[Value]:[Value]],CostTrack[[PA ID]:[PA ID]],$B16,CostTrack[[Vendor - Contract]:[Vendor - Contract]],$H16,CostTrack[[Holdback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6" s="504">
        <f ca="1">SUMIFS(CostTrack[[Value]:[Value]],CostTrack[[PA ID]:[PA ID]],$B16,CostTrack[[Vendor - Contract]:[Vendor - Contract]],$H16,CostTrack[[Holdback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1700</v>
      </c>
      <c r="BP16" s="504">
        <f ca="1">SUMIFS(CostTrack[[Value]:[Value]],CostTrack[[PA ID]:[PA ID]],$B16,CostTrack[[Vendor - Contract]:[Vendor - Contract]],$H16,CostTrack[[Holdback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6" s="504">
        <f ca="1">SUMIFS(CostTrack[[Value]:[Value]],CostTrack[[PA ID]:[PA ID]],$B16,CostTrack[[Vendor - Contract]:[Vendor - Contract]],$H16,CostTrack[[Holdback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1100</v>
      </c>
      <c r="BR16" s="504">
        <f ca="1">SUMIFS(CostTrack[[Value]:[Value]],CostTrack[[PA ID]:[PA ID]],$B16,CostTrack[[Vendor - Contract]:[Vendor - Contract]],$H16,CostTrack[[Holdback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4400</v>
      </c>
      <c r="BS16" s="504">
        <f ca="1">SUMIFS(CostTrack[[Value]:[Value]],CostTrack[[PA ID]:[PA ID]],$B16,CostTrack[[Vendor - Contract]:[Vendor - Contract]],$H16,CostTrack[[Holdback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3300</v>
      </c>
      <c r="BT16" s="504">
        <f ca="1">SUMIFS(CostTrack[[Value]:[Value]],CostTrack[[PA ID]:[PA ID]],$B16,CostTrack[[Vendor - Contract]:[Vendor - Contract]],$H16,CostTrack[[Holdback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6" s="504">
        <f ca="1">SUMIFS(CostTrack[[Value]:[Value]],CostTrack[[PA ID]:[PA ID]],$B16,CostTrack[[Vendor - Contract]:[Vendor - Contract]],$H16,CostTrack[[Holdback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4600</v>
      </c>
      <c r="BV16" s="504">
        <f ca="1">SUMIFS(CostTrack[[Value]:[Value]],CostTrack[[PA ID]:[PA ID]],$B16,CostTrack[[Vendor - Contract]:[Vendor - Contract]],$H16,CostTrack[[Holdback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9600</v>
      </c>
      <c r="BW16" s="512">
        <f t="shared" ca="1" si="19"/>
        <v>34700</v>
      </c>
      <c r="BY16" s="504">
        <f ca="1">SUMIFS(CostTrack[[Value]:[Value]],CostTrack[[PA ID]:[PA ID]],$B16,CostTrack[[Vendor - Contract]:[Vendor - Contract]],$H16,CostTrack[[Holdback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6" s="504">
        <f ca="1">SUMIFS(CostTrack[[Value]:[Value]],CostTrack[[PA ID]:[PA ID]],$B16,CostTrack[[Vendor - Contract]:[Vendor - Contract]],$H16,CostTrack[[Holdback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6900</v>
      </c>
      <c r="CA16" s="504">
        <f ca="1">SUMIFS(CostTrack[[Value]:[Value]],CostTrack[[PA ID]:[PA ID]],$B16,CostTrack[[Vendor - Contract]:[Vendor - Contract]],$H16,CostTrack[[Holdback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1100</v>
      </c>
      <c r="CB16" s="504">
        <f ca="1">SUMIFS(CostTrack[[Value]:[Value]],CostTrack[[PA ID]:[PA ID]],$B16,CostTrack[[Vendor - Contract]:[Vendor - Contract]],$H16,CostTrack[[Holdback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2850</v>
      </c>
      <c r="CC16" s="504">
        <f ca="1">SUMIFS(CostTrack[[Value]:[Value]],CostTrack[[PA ID]:[PA ID]],$B16,CostTrack[[Vendor - Contract]:[Vendor - Contract]],$H16,CostTrack[[Holdback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6" s="504">
        <f ca="1">SUMIFS(CostTrack[[Value]:[Value]],CostTrack[[PA ID]:[PA ID]],$B16,CostTrack[[Vendor - Contract]:[Vendor - Contract]],$H16,CostTrack[[Holdback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43869</v>
      </c>
      <c r="CE16" s="504">
        <f ca="1">SUMIFS(CostTrack[[Value]:[Value]],CostTrack[[PA ID]:[PA ID]],$B16,CostTrack[[Vendor - Contract]:[Vendor - Contract]],$H16,CostTrack[[Holdback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3600</v>
      </c>
      <c r="CF16" s="504">
        <f ca="1">SUMIFS(CostTrack[[Value]:[Value]],CostTrack[[PA ID]:[PA ID]],$B16,CostTrack[[Vendor - Contract]:[Vendor - Contract]],$H16,CostTrack[[Holdback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6" s="504">
        <f ca="1">SUMIFS(CostTrack[[Value]:[Value]],CostTrack[[PA ID]:[PA ID]],$B16,CostTrack[[Vendor - Contract]:[Vendor - Contract]],$H16,CostTrack[[Holdback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6" s="504">
        <f ca="1">SUMIFS(CostTrack[[Value]:[Value]],CostTrack[[PA ID]:[PA ID]],$B16,CostTrack[[Vendor - Contract]:[Vendor - Contract]],$H16,CostTrack[[Holdback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6" s="504">
        <f ca="1">SUMIFS(CostTrack[[Value]:[Value]],CostTrack[[PA ID]:[PA ID]],$B16,CostTrack[[Vendor - Contract]:[Vendor - Contract]],$H16,CostTrack[[Holdback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6450</v>
      </c>
      <c r="CJ16" s="504">
        <f ca="1">SUMIFS(CostTrack[[Value]:[Value]],CostTrack[[PA ID]:[PA ID]],$B16,CostTrack[[Vendor - Contract]:[Vendor - Contract]],$H16,CostTrack[[Holdback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5095</v>
      </c>
      <c r="CK16" s="512">
        <f t="shared" ca="1" si="20"/>
        <v>69864</v>
      </c>
      <c r="CM16" s="504">
        <f ca="1">SUMIFS(CostTrack[[Value]:[Value]],CostTrack[[PA ID]:[PA ID]],$B16,CostTrack[[Vendor - Contract]:[Vendor - Contract]],$H16,CostTrack[[Holdback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1000</v>
      </c>
      <c r="CN16" s="504">
        <f ca="1">SUMIFS(CostTrack[[Value]:[Value]],CostTrack[[PA ID]:[PA ID]],$B16,CostTrack[[Vendor - Contract]:[Vendor - Contract]],$H16,CostTrack[[Holdback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6" s="504">
        <f ca="1">SUMIFS(CostTrack[[Value]:[Value]],CostTrack[[PA ID]:[PA ID]],$B16,CostTrack[[Vendor - Contract]:[Vendor - Contract]],$H16,CostTrack[[Holdback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4300</v>
      </c>
      <c r="CP16" s="504">
        <f ca="1">SUMIFS(CostTrack[[Value]:[Value]],CostTrack[[PA ID]:[PA ID]],$B16,CostTrack[[Vendor - Contract]:[Vendor - Contract]],$H16,CostTrack[[Holdback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4600</v>
      </c>
      <c r="CQ16" s="504">
        <f ca="1">SUMIFS(CostTrack[[Value]:[Value]],CostTrack[[PA ID]:[PA ID]],$B16,CostTrack[[Vendor - Contract]:[Vendor - Contract]],$H16,CostTrack[[Holdback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2100</v>
      </c>
      <c r="CR16" s="504">
        <f ca="1">SUMIFS(CostTrack[[Value]:[Value]],CostTrack[[PA ID]:[PA ID]],$B16,CostTrack[[Vendor - Contract]:[Vendor - Contract]],$H16,CostTrack[[Holdback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6" s="504">
        <f ca="1">SUMIFS(CostTrack[[Value]:[Value]],CostTrack[[PA ID]:[PA ID]],$B16,CostTrack[[Vendor - Contract]:[Vendor - Contract]],$H16,CostTrack[[Holdback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6300</v>
      </c>
      <c r="CT16" s="504">
        <f ca="1">SUMIFS(CostTrack[[Value]:[Value]],CostTrack[[PA ID]:[PA ID]],$B16,CostTrack[[Vendor - Contract]:[Vendor - Contract]],$H16,CostTrack[[Holdback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2500</v>
      </c>
      <c r="CU16" s="504">
        <f ca="1">SUMIFS(CostTrack[[Value]:[Value]],CostTrack[[PA ID]:[PA ID]],$B16,CostTrack[[Vendor - Contract]:[Vendor - Contract]],$H16,CostTrack[[Holdback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5800</v>
      </c>
      <c r="CV16" s="504">
        <f ca="1">SUMIFS(CostTrack[[Value]:[Value]],CostTrack[[PA ID]:[PA ID]],$B16,CostTrack[[Vendor - Contract]:[Vendor - Contract]],$H16,CostTrack[[Holdback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6" s="504">
        <f ca="1">SUMIFS(CostTrack[[Value]:[Value]],CostTrack[[PA ID]:[PA ID]],$B16,CostTrack[[Vendor - Contract]:[Vendor - Contract]],$H16,CostTrack[[Holdback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13500</v>
      </c>
      <c r="CX16" s="504">
        <f ca="1">SUMIFS(CostTrack[[Value]:[Value]],CostTrack[[PA ID]:[PA ID]],$B16,CostTrack[[Vendor - Contract]:[Vendor - Contract]],$H16,CostTrack[[Holdback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6100</v>
      </c>
      <c r="CY16" s="512">
        <f t="shared" ca="1" si="21"/>
        <v>46200</v>
      </c>
      <c r="DA16" s="504">
        <f ca="1">SUMIFS(CostTrack[[Value]:[Value]],CostTrack[[PA ID]:[PA ID]],$B16,CostTrack[[Vendor - Contract]:[Vendor - Contract]],$H16,CostTrack[[Holdback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6" s="504">
        <f ca="1">SUMIFS(CostTrack[[Value]:[Value]],CostTrack[[PA ID]:[PA ID]],$B16,CostTrack[[Vendor - Contract]:[Vendor - Contract]],$H16,CostTrack[[Holdback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11500</v>
      </c>
      <c r="DC16" s="504">
        <f ca="1">SUMIFS(CostTrack[[Value]:[Value]],CostTrack[[PA ID]:[PA ID]],$B16,CostTrack[[Vendor - Contract]:[Vendor - Contract]],$H16,CostTrack[[Holdback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6" s="504">
        <f ca="1">SUMIFS(CostTrack[[Value]:[Value]],CostTrack[[PA ID]:[PA ID]],$B16,CostTrack[[Vendor - Contract]:[Vendor - Contract]],$H16,CostTrack[[Holdback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6550</v>
      </c>
      <c r="DE16" s="504">
        <f ca="1">SUMIFS(CostTrack[[Value]:[Value]],CostTrack[[PA ID]:[PA ID]],$B16,CostTrack[[Vendor - Contract]:[Vendor - Contract]],$H16,CostTrack[[Holdback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7000</v>
      </c>
      <c r="DF16" s="504">
        <f ca="1">SUMIFS(CostTrack[[Value]:[Value]],CostTrack[[PA ID]:[PA ID]],$B16,CostTrack[[Vendor - Contract]:[Vendor - Contract]],$H16,CostTrack[[Holdback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7300</v>
      </c>
      <c r="DG16" s="504">
        <f ca="1">SUMIFS(CostTrack[[Value]:[Value]],CostTrack[[PA ID]:[PA ID]],$B16,CostTrack[[Vendor - Contract]:[Vendor - Contract]],$H16,CostTrack[[Holdback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16245</v>
      </c>
      <c r="DH16" s="504">
        <f ca="1">SUMIFS(CostTrack[[Value]:[Value]],CostTrack[[PA ID]:[PA ID]],$B16,CostTrack[[Vendor - Contract]:[Vendor - Contract]],$H16,CostTrack[[Holdback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6" s="504">
        <f ca="1">SUMIFS(CostTrack[[Value]:[Value]],CostTrack[[PA ID]:[PA ID]],$B16,CostTrack[[Vendor - Contract]:[Vendor - Contract]],$H16,CostTrack[[Holdback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34500</v>
      </c>
      <c r="DJ16" s="504">
        <f ca="1">SUMIFS(CostTrack[[Value]:[Value]],CostTrack[[PA ID]:[PA ID]],$B16,CostTrack[[Vendor - Contract]:[Vendor - Contract]],$H16,CostTrack[[Holdback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15800</v>
      </c>
      <c r="DK16" s="504">
        <f ca="1">SUMIFS(CostTrack[[Value]:[Value]],CostTrack[[PA ID]:[PA ID]],$B16,CostTrack[[Vendor - Contract]:[Vendor - Contract]],$H16,CostTrack[[Holdback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17900</v>
      </c>
      <c r="DL16" s="504">
        <f ca="1">SUMIFS(CostTrack[[Value]:[Value]],CostTrack[[PA ID]:[PA ID]],$B16,CostTrack[[Vendor - Contract]:[Vendor - Contract]],$H16,CostTrack[[Holdback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33142</v>
      </c>
      <c r="DM16" s="512">
        <f t="shared" ca="1" si="22"/>
        <v>149937</v>
      </c>
      <c r="DO16" s="504">
        <f ca="1">SUMIFS(CostTrack[[Value]:[Value]],CostTrack[[PA ID]:[PA ID]],$B16,CostTrack[[Vendor - Contract]:[Vendor - Contract]],$H16,CostTrack[[Holdback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6" s="504">
        <f ca="1">SUMIFS(CostTrack[[Value]:[Value]],CostTrack[[PA ID]:[PA ID]],$B16,CostTrack[[Vendor - Contract]:[Vendor - Contract]],$H16,CostTrack[[Holdback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28900</v>
      </c>
      <c r="DQ16" s="504">
        <f ca="1">SUMIFS(CostTrack[[Value]:[Value]],CostTrack[[PA ID]:[PA ID]],$B16,CostTrack[[Vendor - Contract]:[Vendor - Contract]],$H16,CostTrack[[Holdback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6" s="504">
        <f ca="1">SUMIFS(CostTrack[[Value]:[Value]],CostTrack[[PA ID]:[PA ID]],$B16,CostTrack[[Vendor - Contract]:[Vendor - Contract]],$H16,CostTrack[[Holdback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6" s="504">
        <f ca="1">SUMIFS(CostTrack[[Value]:[Value]],CostTrack[[PA ID]:[PA ID]],$B16,CostTrack[[Vendor - Contract]:[Vendor - Contract]],$H16,CostTrack[[Holdback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13061.75</v>
      </c>
      <c r="DT16" s="504">
        <f ca="1">SUMIFS(CostTrack[[Value]:[Value]],CostTrack[[PA ID]:[PA ID]],$B16,CostTrack[[Vendor - Contract]:[Vendor - Contract]],$H16,CostTrack[[Holdback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6" s="504">
        <f ca="1">SUMIFS(CostTrack[[Value]:[Value]],CostTrack[[PA ID]:[PA ID]],$B16,CostTrack[[Vendor - Contract]:[Vendor - Contract]],$H16,CostTrack[[Holdback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18676.25</v>
      </c>
      <c r="DV16" s="504">
        <f ca="1">SUMIFS(CostTrack[[Value]:[Value]],CostTrack[[PA ID]:[PA ID]],$B16,CostTrack[[Vendor - Contract]:[Vendor - Contract]],$H16,CostTrack[[Holdback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2400</v>
      </c>
      <c r="DW16" s="504">
        <f ca="1">SUMIFS(CostTrack[[Value]:[Value]],CostTrack[[PA ID]:[PA ID]],$B16,CostTrack[[Vendor - Contract]:[Vendor - Contract]],$H16,CostTrack[[Holdback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6" s="504">
        <f ca="1">SUMIFS(CostTrack[[Value]:[Value]],CostTrack[[PA ID]:[PA ID]],$B16,CostTrack[[Vendor - Contract]:[Vendor - Contract]],$H16,CostTrack[[Holdback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11557</v>
      </c>
      <c r="DY16" s="504">
        <f ca="1">SUMIFS(CostTrack[[Value]:[Value]],CostTrack[[PA ID]:[PA ID]],$B16,CostTrack[[Vendor - Contract]:[Vendor - Contract]],$H16,CostTrack[[Holdback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6" s="504">
        <f ca="1">SUMIFS(CostTrack[[Value]:[Value]],CostTrack[[PA ID]:[PA ID]],$B16,CostTrack[[Vendor - Contract]:[Vendor - Contract]],$H16,CostTrack[[Holdback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7200</v>
      </c>
      <c r="EA16" s="512">
        <f t="shared" ca="1" si="23"/>
        <v>81795</v>
      </c>
      <c r="EC16" s="504">
        <f ca="1">SUMIFS(CostTrack[[Value]:[Value]],CostTrack[[PA ID]:[PA ID]],$B16,CostTrack[[Vendor - Contract]:[Vendor - Contract]],$H16,CostTrack[[Holdback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39946.75</v>
      </c>
      <c r="ED16" s="505"/>
      <c r="EE16" s="505"/>
      <c r="EF16" s="505"/>
      <c r="EG16" s="505"/>
      <c r="EH16" s="505"/>
      <c r="EI16" s="505"/>
      <c r="EJ16" s="505"/>
      <c r="EK16" s="505"/>
      <c r="EL16" s="505"/>
      <c r="EM16" s="505"/>
      <c r="EN16" s="505"/>
      <c r="EO16" s="512">
        <f t="shared" ca="1" si="24"/>
        <v>39946.75</v>
      </c>
      <c r="EQ16" s="505"/>
      <c r="ER16" s="505"/>
      <c r="ES16" s="505"/>
      <c r="ET16" s="505"/>
      <c r="EU16" s="505"/>
      <c r="EV16" s="505"/>
      <c r="EW16" s="505"/>
      <c r="EX16" s="505"/>
      <c r="EY16" s="505"/>
      <c r="EZ16" s="505"/>
      <c r="FA16" s="505"/>
      <c r="FB16" s="505">
        <v>68114.039999999994</v>
      </c>
      <c r="FC16" s="512">
        <f t="shared" si="25"/>
        <v>68114.039999999994</v>
      </c>
      <c r="FE16" s="505"/>
      <c r="FF16" s="505"/>
      <c r="FG16" s="505"/>
      <c r="FH16" s="505"/>
      <c r="FI16" s="505"/>
      <c r="FJ16" s="505"/>
      <c r="FK16" s="505"/>
      <c r="FL16" s="505"/>
      <c r="FM16" s="505"/>
      <c r="FN16" s="505"/>
      <c r="FO16" s="505"/>
      <c r="FP16" s="505"/>
      <c r="FQ16" s="512">
        <f t="shared" si="26"/>
        <v>0</v>
      </c>
      <c r="FS16" s="504">
        <f t="shared" ca="1" si="27"/>
        <v>518581.79</v>
      </c>
    </row>
    <row r="17" spans="1:175">
      <c r="A17" s="216">
        <v>10</v>
      </c>
      <c r="B17" s="219" t="str">
        <f ca="1">INDEX(EAC[PA ID],MATCH($A17,EAC[Row],0))</f>
        <v>200.050.F1</v>
      </c>
      <c r="C17" s="218" t="str">
        <f ca="1">INDEX(EAC[Primary Category],MATCH($A17,EAC[Row],0))</f>
        <v>Professional Services</v>
      </c>
      <c r="D17" s="218" t="str">
        <f ca="1">INDEX(EAC[Secondary Category],MATCH($A17,EAC[Row],0))</f>
        <v>Other Professional Services</v>
      </c>
      <c r="E17" s="109" t="str">
        <f ca="1">INDEX(EAC[Phase / Subproject],MATCH($A17,EAC[Row],0))</f>
        <v>--</v>
      </c>
      <c r="F17" s="109" t="str">
        <f ca="1">INDEX(EAC[Phase / Subproject 2],MATCH($A17,EAC[Row],0))</f>
        <v>--</v>
      </c>
      <c r="G17" s="109" t="str">
        <f ca="1">INDEX(EAC[Funding Source],MATCH($A17,EAC[Row],0))</f>
        <v>P-002360</v>
      </c>
      <c r="H17" s="146" t="str">
        <f ca="1">INDEX(EAC[Vendor / Org. with Contract ID],MATCH($A17,EAC[Row],0))</f>
        <v>Tetra Tech Canada Inc.-36168</v>
      </c>
      <c r="I17" s="502">
        <f ca="1">INDEX(EAC[Estimate At Completion],MATCH($A17,EAC[Row],0))</f>
        <v>204706.25</v>
      </c>
      <c r="J17" s="502">
        <f ca="1">SUMIFS(CostTrack[Value],CostTrack[Vendor - Contract],$H17,CostTrack[PA ID],$B17,CostTrack[Holdback (Y/N/R)],"&lt;&gt;Release",CostTrack[Status],"Approved")</f>
        <v>204706.25</v>
      </c>
      <c r="K17" s="503">
        <f t="shared" ca="1" si="14"/>
        <v>0</v>
      </c>
      <c r="M17" s="504">
        <f t="shared" ca="1" si="15"/>
        <v>0</v>
      </c>
      <c r="O17" s="504">
        <f t="shared" ca="1" si="11"/>
        <v>204706.25</v>
      </c>
      <c r="P17" s="504">
        <f t="array" aca="1" ref="P17" ca="1">SUM($U17:$FQ17*_xlfn.ISFORMULA($U17:$FQ17)*ISNUMBER($U$7:$FQ$7)*--(INDEX($U$6:$FQ$6,N(IF({1},COLUMN($U$6:$FQ$6)-COLUMN($T$6)))-MOD(N(IF({1},COLUMN($U$6:$FQ$6)-COLUMN($U$6))),14))="Current Fiscal"))</f>
        <v>0</v>
      </c>
      <c r="Q17" s="504">
        <f t="array" aca="1" ref="Q17" ca="1">SUM($U17:$FQ17*NOT(_xlfn.ISFORMULA($U17:$FQ17))*ISNUMBER($U$7:$FQ$7)*--(INDEX($U$6:$FQ$6,N(IF({1},COLUMN($U$6:$FQ$6)-COLUMN($T$6)))-MOD(N(IF({1},COLUMN($U$6:$FQ$6)-COLUMN($U$6))),14))="Current Fiscal"))</f>
        <v>0</v>
      </c>
      <c r="R17" s="504">
        <f t="shared" ca="1" si="12"/>
        <v>0</v>
      </c>
      <c r="S17" s="504">
        <f t="shared" ca="1" si="13"/>
        <v>0</v>
      </c>
      <c r="U17" s="504">
        <f ca="1">SUMIFS(CostTrack[[Value]:[Value]],CostTrack[[PA ID]:[PA ID]],$B17,CostTrack[[Vendor - Contract]:[Vendor - Contract]],$H17,CostTrack[[Holdback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7" s="504">
        <f ca="1">SUMIFS(CostTrack[[Value]:[Value]],CostTrack[[PA ID]:[PA ID]],$B17,CostTrack[[Vendor - Contract]:[Vendor - Contract]],$H17,CostTrack[[Holdback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7" s="504">
        <f ca="1">SUMIFS(CostTrack[[Value]:[Value]],CostTrack[[PA ID]:[PA ID]],$B17,CostTrack[[Vendor - Contract]:[Vendor - Contract]],$H17,CostTrack[[Holdback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7" s="504">
        <f ca="1">SUMIFS(CostTrack[[Value]:[Value]],CostTrack[[PA ID]:[PA ID]],$B17,CostTrack[[Vendor - Contract]:[Vendor - Contract]],$H17,CostTrack[[Holdback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7" s="504">
        <f ca="1">SUMIFS(CostTrack[[Value]:[Value]],CostTrack[[PA ID]:[PA ID]],$B17,CostTrack[[Vendor - Contract]:[Vendor - Contract]],$H17,CostTrack[[Holdback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7" s="504">
        <f ca="1">SUMIFS(CostTrack[[Value]:[Value]],CostTrack[[PA ID]:[PA ID]],$B17,CostTrack[[Vendor - Contract]:[Vendor - Contract]],$H17,CostTrack[[Holdback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7" s="504">
        <f ca="1">SUMIFS(CostTrack[[Value]:[Value]],CostTrack[[PA ID]:[PA ID]],$B17,CostTrack[[Vendor - Contract]:[Vendor - Contract]],$H17,CostTrack[[Holdback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7" s="504">
        <f ca="1">SUMIFS(CostTrack[[Value]:[Value]],CostTrack[[PA ID]:[PA ID]],$B17,CostTrack[[Vendor - Contract]:[Vendor - Contract]],$H17,CostTrack[[Holdback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7" s="504">
        <f ca="1">SUMIFS(CostTrack[[Value]:[Value]],CostTrack[[PA ID]:[PA ID]],$B17,CostTrack[[Vendor - Contract]:[Vendor - Contract]],$H17,CostTrack[[Holdback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7" s="504">
        <f ca="1">SUMIFS(CostTrack[[Value]:[Value]],CostTrack[[PA ID]:[PA ID]],$B17,CostTrack[[Vendor - Contract]:[Vendor - Contract]],$H17,CostTrack[[Holdback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7" s="504">
        <f ca="1">SUMIFS(CostTrack[[Value]:[Value]],CostTrack[[PA ID]:[PA ID]],$B17,CostTrack[[Vendor - Contract]:[Vendor - Contract]],$H17,CostTrack[[Holdback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7" s="504">
        <f ca="1">SUMIFS(CostTrack[[Value]:[Value]],CostTrack[[PA ID]:[PA ID]],$B17,CostTrack[[Vendor - Contract]:[Vendor - Contract]],$H17,CostTrack[[Holdback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7" s="506">
        <f t="shared" ca="1" si="16"/>
        <v>0</v>
      </c>
      <c r="AI17" s="504">
        <f ca="1">SUMIFS(CostTrack[[Value]:[Value]],CostTrack[[PA ID]:[PA ID]],$B17,CostTrack[[Vendor - Contract]:[Vendor - Contract]],$H17,CostTrack[[Holdback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7" s="504">
        <f ca="1">SUMIFS(CostTrack[[Value]:[Value]],CostTrack[[PA ID]:[PA ID]],$B17,CostTrack[[Vendor - Contract]:[Vendor - Contract]],$H17,CostTrack[[Holdback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7" s="504">
        <f ca="1">SUMIFS(CostTrack[[Value]:[Value]],CostTrack[[PA ID]:[PA ID]],$B17,CostTrack[[Vendor - Contract]:[Vendor - Contract]],$H17,CostTrack[[Holdback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7" s="504">
        <f ca="1">SUMIFS(CostTrack[[Value]:[Value]],CostTrack[[PA ID]:[PA ID]],$B17,CostTrack[[Vendor - Contract]:[Vendor - Contract]],$H17,CostTrack[[Holdback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7" s="504">
        <f ca="1">SUMIFS(CostTrack[[Value]:[Value]],CostTrack[[PA ID]:[PA ID]],$B17,CostTrack[[Vendor - Contract]:[Vendor - Contract]],$H17,CostTrack[[Holdback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7" s="504">
        <f ca="1">SUMIFS(CostTrack[[Value]:[Value]],CostTrack[[PA ID]:[PA ID]],$B17,CostTrack[[Vendor - Contract]:[Vendor - Contract]],$H17,CostTrack[[Holdback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7" s="504">
        <f ca="1">SUMIFS(CostTrack[[Value]:[Value]],CostTrack[[PA ID]:[PA ID]],$B17,CostTrack[[Vendor - Contract]:[Vendor - Contract]],$H17,CostTrack[[Holdback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7" s="504">
        <f ca="1">SUMIFS(CostTrack[[Value]:[Value]],CostTrack[[PA ID]:[PA ID]],$B17,CostTrack[[Vendor - Contract]:[Vendor - Contract]],$H17,CostTrack[[Holdback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7" s="504">
        <f ca="1">SUMIFS(CostTrack[[Value]:[Value]],CostTrack[[PA ID]:[PA ID]],$B17,CostTrack[[Vendor - Contract]:[Vendor - Contract]],$H17,CostTrack[[Holdback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7" s="504">
        <f ca="1">SUMIFS(CostTrack[[Value]:[Value]],CostTrack[[PA ID]:[PA ID]],$B17,CostTrack[[Vendor - Contract]:[Vendor - Contract]],$H17,CostTrack[[Holdback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7" s="504">
        <f ca="1">SUMIFS(CostTrack[[Value]:[Value]],CostTrack[[PA ID]:[PA ID]],$B17,CostTrack[[Vendor - Contract]:[Vendor - Contract]],$H17,CostTrack[[Holdback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7" s="504">
        <f ca="1">SUMIFS(CostTrack[[Value]:[Value]],CostTrack[[PA ID]:[PA ID]],$B17,CostTrack[[Vendor - Contract]:[Vendor - Contract]],$H17,CostTrack[[Holdback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2236</v>
      </c>
      <c r="AU17" s="512">
        <f t="shared" ca="1" si="17"/>
        <v>2236</v>
      </c>
      <c r="AW17" s="504">
        <f ca="1">SUMIFS(CostTrack[[Value]:[Value]],CostTrack[[PA ID]:[PA ID]],$B17,CostTrack[[Vendor - Contract]:[Vendor - Contract]],$H17,CostTrack[[Holdback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7" s="504">
        <f ca="1">SUMIFS(CostTrack[[Value]:[Value]],CostTrack[[PA ID]:[PA ID]],$B17,CostTrack[[Vendor - Contract]:[Vendor - Contract]],$H17,CostTrack[[Holdback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2363.5</v>
      </c>
      <c r="AY17" s="504">
        <f ca="1">SUMIFS(CostTrack[[Value]:[Value]],CostTrack[[PA ID]:[PA ID]],$B17,CostTrack[[Vendor - Contract]:[Vendor - Contract]],$H17,CostTrack[[Holdback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226.5</v>
      </c>
      <c r="AZ17" s="504">
        <f ca="1">SUMIFS(CostTrack[[Value]:[Value]],CostTrack[[PA ID]:[PA ID]],$B17,CostTrack[[Vendor - Contract]:[Vendor - Contract]],$H17,CostTrack[[Holdback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7" s="504">
        <f ca="1">SUMIFS(CostTrack[[Value]:[Value]],CostTrack[[PA ID]:[PA ID]],$B17,CostTrack[[Vendor - Contract]:[Vendor - Contract]],$H17,CostTrack[[Holdback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712</v>
      </c>
      <c r="BB17" s="504">
        <f ca="1">SUMIFS(CostTrack[[Value]:[Value]],CostTrack[[PA ID]:[PA ID]],$B17,CostTrack[[Vendor - Contract]:[Vendor - Contract]],$H17,CostTrack[[Holdback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7" s="504">
        <f ca="1">SUMIFS(CostTrack[[Value]:[Value]],CostTrack[[PA ID]:[PA ID]],$B17,CostTrack[[Vendor - Contract]:[Vendor - Contract]],$H17,CostTrack[[Holdback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7" s="504">
        <f ca="1">SUMIFS(CostTrack[[Value]:[Value]],CostTrack[[PA ID]:[PA ID]],$B17,CostTrack[[Vendor - Contract]:[Vendor - Contract]],$H17,CostTrack[[Holdback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1629.5</v>
      </c>
      <c r="BE17" s="504">
        <f ca="1">SUMIFS(CostTrack[[Value]:[Value]],CostTrack[[PA ID]:[PA ID]],$B17,CostTrack[[Vendor - Contract]:[Vendor - Contract]],$H17,CostTrack[[Holdback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1085</v>
      </c>
      <c r="BF17" s="504">
        <f ca="1">SUMIFS(CostTrack[[Value]:[Value]],CostTrack[[PA ID]:[PA ID]],$B17,CostTrack[[Vendor - Contract]:[Vendor - Contract]],$H17,CostTrack[[Holdback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7" s="504">
        <f ca="1">SUMIFS(CostTrack[[Value]:[Value]],CostTrack[[PA ID]:[PA ID]],$B17,CostTrack[[Vendor - Contract]:[Vendor - Contract]],$H17,CostTrack[[Holdback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7" s="504">
        <f ca="1">SUMIFS(CostTrack[[Value]:[Value]],CostTrack[[PA ID]:[PA ID]],$B17,CostTrack[[Vendor - Contract]:[Vendor - Contract]],$H17,CostTrack[[Holdback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7" s="512">
        <f t="shared" ca="1" si="18"/>
        <v>6016.5</v>
      </c>
      <c r="BK17" s="504">
        <f ca="1">SUMIFS(CostTrack[[Value]:[Value]],CostTrack[[PA ID]:[PA ID]],$B17,CostTrack[[Vendor - Contract]:[Vendor - Contract]],$H17,CostTrack[[Holdback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7" s="504">
        <f ca="1">SUMIFS(CostTrack[[Value]:[Value]],CostTrack[[PA ID]:[PA ID]],$B17,CostTrack[[Vendor - Contract]:[Vendor - Contract]],$H17,CostTrack[[Holdback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7" s="504">
        <f ca="1">SUMIFS(CostTrack[[Value]:[Value]],CostTrack[[PA ID]:[PA ID]],$B17,CostTrack[[Vendor - Contract]:[Vendor - Contract]],$H17,CostTrack[[Holdback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7" s="504">
        <f ca="1">SUMIFS(CostTrack[[Value]:[Value]],CostTrack[[PA ID]:[PA ID]],$B17,CostTrack[[Vendor - Contract]:[Vendor - Contract]],$H17,CostTrack[[Holdback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7" s="504">
        <f ca="1">SUMIFS(CostTrack[[Value]:[Value]],CostTrack[[PA ID]:[PA ID]],$B17,CostTrack[[Vendor - Contract]:[Vendor - Contract]],$H17,CostTrack[[Holdback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390.5</v>
      </c>
      <c r="BP17" s="504">
        <f ca="1">SUMIFS(CostTrack[[Value]:[Value]],CostTrack[[PA ID]:[PA ID]],$B17,CostTrack[[Vendor - Contract]:[Vendor - Contract]],$H17,CostTrack[[Holdback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7" s="504">
        <f ca="1">SUMIFS(CostTrack[[Value]:[Value]],CostTrack[[PA ID]:[PA ID]],$B17,CostTrack[[Vendor - Contract]:[Vendor - Contract]],$H17,CostTrack[[Holdback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7" s="504">
        <f ca="1">SUMIFS(CostTrack[[Value]:[Value]],CostTrack[[PA ID]:[PA ID]],$B17,CostTrack[[Vendor - Contract]:[Vendor - Contract]],$H17,CostTrack[[Holdback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4576.25</v>
      </c>
      <c r="BS17" s="504">
        <f ca="1">SUMIFS(CostTrack[[Value]:[Value]],CostTrack[[PA ID]:[PA ID]],$B17,CostTrack[[Vendor - Contract]:[Vendor - Contract]],$H17,CostTrack[[Holdback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2900</v>
      </c>
      <c r="BT17" s="504">
        <f ca="1">SUMIFS(CostTrack[[Value]:[Value]],CostTrack[[PA ID]:[PA ID]],$B17,CostTrack[[Vendor - Contract]:[Vendor - Contract]],$H17,CostTrack[[Holdback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3526.75</v>
      </c>
      <c r="BU17" s="504">
        <f ca="1">SUMIFS(CostTrack[[Value]:[Value]],CostTrack[[PA ID]:[PA ID]],$B17,CostTrack[[Vendor - Contract]:[Vendor - Contract]],$H17,CostTrack[[Holdback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7419.5</v>
      </c>
      <c r="BV17" s="504">
        <f ca="1">SUMIFS(CostTrack[[Value]:[Value]],CostTrack[[PA ID]:[PA ID]],$B17,CostTrack[[Vendor - Contract]:[Vendor - Contract]],$H17,CostTrack[[Holdback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14876.5</v>
      </c>
      <c r="BW17" s="512">
        <f t="shared" ca="1" si="19"/>
        <v>33689.5</v>
      </c>
      <c r="BY17" s="504">
        <f ca="1">SUMIFS(CostTrack[[Value]:[Value]],CostTrack[[PA ID]:[PA ID]],$B17,CostTrack[[Vendor - Contract]:[Vendor - Contract]],$H17,CostTrack[[Holdback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4487.5</v>
      </c>
      <c r="BZ17" s="504">
        <f ca="1">SUMIFS(CostTrack[[Value]:[Value]],CostTrack[[PA ID]:[PA ID]],$B17,CostTrack[[Vendor - Contract]:[Vendor - Contract]],$H17,CostTrack[[Holdback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18348</v>
      </c>
      <c r="CA17" s="504">
        <f ca="1">SUMIFS(CostTrack[[Value]:[Value]],CostTrack[[PA ID]:[PA ID]],$B17,CostTrack[[Vendor - Contract]:[Vendor - Contract]],$H17,CostTrack[[Holdback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2661</v>
      </c>
      <c r="CB17" s="504">
        <f ca="1">SUMIFS(CostTrack[[Value]:[Value]],CostTrack[[PA ID]:[PA ID]],$B17,CostTrack[[Vendor - Contract]:[Vendor - Contract]],$H17,CostTrack[[Holdback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5448.5</v>
      </c>
      <c r="CC17" s="504">
        <f ca="1">SUMIFS(CostTrack[[Value]:[Value]],CostTrack[[PA ID]:[PA ID]],$B17,CostTrack[[Vendor - Contract]:[Vendor - Contract]],$H17,CostTrack[[Holdback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4225.5</v>
      </c>
      <c r="CD17" s="504">
        <f ca="1">SUMIFS(CostTrack[[Value]:[Value]],CostTrack[[PA ID]:[PA ID]],$B17,CostTrack[[Vendor - Contract]:[Vendor - Contract]],$H17,CostTrack[[Holdback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5803.5</v>
      </c>
      <c r="CE17" s="504">
        <f ca="1">SUMIFS(CostTrack[[Value]:[Value]],CostTrack[[PA ID]:[PA ID]],$B17,CostTrack[[Vendor - Contract]:[Vendor - Contract]],$H17,CostTrack[[Holdback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5044.5</v>
      </c>
      <c r="CF17" s="504">
        <f ca="1">SUMIFS(CostTrack[[Value]:[Value]],CostTrack[[PA ID]:[PA ID]],$B17,CostTrack[[Vendor - Contract]:[Vendor - Contract]],$H17,CostTrack[[Holdback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2619.5</v>
      </c>
      <c r="CG17" s="504">
        <f ca="1">SUMIFS(CostTrack[[Value]:[Value]],CostTrack[[PA ID]:[PA ID]],$B17,CostTrack[[Vendor - Contract]:[Vendor - Contract]],$H17,CostTrack[[Holdback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6502</v>
      </c>
      <c r="CH17" s="504">
        <f ca="1">SUMIFS(CostTrack[[Value]:[Value]],CostTrack[[PA ID]:[PA ID]],$B17,CostTrack[[Vendor - Contract]:[Vendor - Contract]],$H17,CostTrack[[Holdback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22717</v>
      </c>
      <c r="CI17" s="504">
        <f ca="1">SUMIFS(CostTrack[[Value]:[Value]],CostTrack[[PA ID]:[PA ID]],$B17,CostTrack[[Vendor - Contract]:[Vendor - Contract]],$H17,CostTrack[[Holdback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11784.75</v>
      </c>
      <c r="CJ17" s="504">
        <f ca="1">SUMIFS(CostTrack[[Value]:[Value]],CostTrack[[PA ID]:[PA ID]],$B17,CostTrack[[Vendor - Contract]:[Vendor - Contract]],$H17,CostTrack[[Holdback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19144.5</v>
      </c>
      <c r="CK17" s="512">
        <f t="shared" ca="1" si="20"/>
        <v>108786.25</v>
      </c>
      <c r="CM17" s="504">
        <f ca="1">SUMIFS(CostTrack[[Value]:[Value]],CostTrack[[PA ID]:[PA ID]],$B17,CostTrack[[Vendor - Contract]:[Vendor - Contract]],$H17,CostTrack[[Holdback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7" s="504">
        <f ca="1">SUMIFS(CostTrack[[Value]:[Value]],CostTrack[[PA ID]:[PA ID]],$B17,CostTrack[[Vendor - Contract]:[Vendor - Contract]],$H17,CostTrack[[Holdback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8063.75</v>
      </c>
      <c r="CO17" s="504">
        <f ca="1">SUMIFS(CostTrack[[Value]:[Value]],CostTrack[[PA ID]:[PA ID]],$B17,CostTrack[[Vendor - Contract]:[Vendor - Contract]],$H17,CostTrack[[Holdback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5732.5</v>
      </c>
      <c r="CP17" s="504">
        <f ca="1">SUMIFS(CostTrack[[Value]:[Value]],CostTrack[[PA ID]:[PA ID]],$B17,CostTrack[[Vendor - Contract]:[Vendor - Contract]],$H17,CostTrack[[Holdback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5827</v>
      </c>
      <c r="CQ17" s="504">
        <f ca="1">SUMIFS(CostTrack[[Value]:[Value]],CostTrack[[PA ID]:[PA ID]],$B17,CostTrack[[Vendor - Contract]:[Vendor - Contract]],$H17,CostTrack[[Holdback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2906.5</v>
      </c>
      <c r="CR17" s="504">
        <f ca="1">SUMIFS(CostTrack[[Value]:[Value]],CostTrack[[PA ID]:[PA ID]],$B17,CostTrack[[Vendor - Contract]:[Vendor - Contract]],$H17,CostTrack[[Holdback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2620.5</v>
      </c>
      <c r="CS17" s="504">
        <f ca="1">SUMIFS(CostTrack[[Value]:[Value]],CostTrack[[PA ID]:[PA ID]],$B17,CostTrack[[Vendor - Contract]:[Vendor - Contract]],$H17,CostTrack[[Holdback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2561</v>
      </c>
      <c r="CT17" s="504">
        <f ca="1">SUMIFS(CostTrack[[Value]:[Value]],CostTrack[[PA ID]:[PA ID]],$B17,CostTrack[[Vendor - Contract]:[Vendor - Contract]],$H17,CostTrack[[Holdback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1221</v>
      </c>
      <c r="CU17" s="504">
        <f ca="1">SUMIFS(CostTrack[[Value]:[Value]],CostTrack[[PA ID]:[PA ID]],$B17,CostTrack[[Vendor - Contract]:[Vendor - Contract]],$H17,CostTrack[[Holdback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941</v>
      </c>
      <c r="CV17" s="504">
        <f ca="1">SUMIFS(CostTrack[[Value]:[Value]],CostTrack[[PA ID]:[PA ID]],$B17,CostTrack[[Vendor - Contract]:[Vendor - Contract]],$H17,CostTrack[[Holdback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7" s="504">
        <f ca="1">SUMIFS(CostTrack[[Value]:[Value]],CostTrack[[PA ID]:[PA ID]],$B17,CostTrack[[Vendor - Contract]:[Vendor - Contract]],$H17,CostTrack[[Holdback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7" s="504">
        <f ca="1">SUMIFS(CostTrack[[Value]:[Value]],CostTrack[[PA ID]:[PA ID]],$B17,CostTrack[[Vendor - Contract]:[Vendor - Contract]],$H17,CostTrack[[Holdback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4164</v>
      </c>
      <c r="CY17" s="512">
        <f t="shared" ca="1" si="21"/>
        <v>34037.25</v>
      </c>
      <c r="DA17" s="504">
        <f ca="1">SUMIFS(CostTrack[[Value]:[Value]],CostTrack[[PA ID]:[PA ID]],$B17,CostTrack[[Vendor - Contract]:[Vendor - Contract]],$H17,CostTrack[[Holdback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151</v>
      </c>
      <c r="DB17" s="504">
        <f ca="1">SUMIFS(CostTrack[[Value]:[Value]],CostTrack[[PA ID]:[PA ID]],$B17,CostTrack[[Vendor - Contract]:[Vendor - Contract]],$H17,CostTrack[[Holdback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485</v>
      </c>
      <c r="DC17" s="504">
        <f ca="1">SUMIFS(CostTrack[[Value]:[Value]],CostTrack[[PA ID]:[PA ID]],$B17,CostTrack[[Vendor - Contract]:[Vendor - Contract]],$H17,CostTrack[[Holdback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1929</v>
      </c>
      <c r="DD17" s="504">
        <f ca="1">SUMIFS(CostTrack[[Value]:[Value]],CostTrack[[PA ID]:[PA ID]],$B17,CostTrack[[Vendor - Contract]:[Vendor - Contract]],$H17,CostTrack[[Holdback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5374</v>
      </c>
      <c r="DE17" s="504">
        <f ca="1">SUMIFS(CostTrack[[Value]:[Value]],CostTrack[[PA ID]:[PA ID]],$B17,CostTrack[[Vendor - Contract]:[Vendor - Contract]],$H17,CostTrack[[Holdback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3318</v>
      </c>
      <c r="DF17" s="504">
        <f ca="1">SUMIFS(CostTrack[[Value]:[Value]],CostTrack[[PA ID]:[PA ID]],$B17,CostTrack[[Vendor - Contract]:[Vendor - Contract]],$H17,CostTrack[[Holdback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1750</v>
      </c>
      <c r="DG17" s="504">
        <f ca="1">SUMIFS(CostTrack[[Value]:[Value]],CostTrack[[PA ID]:[PA ID]],$B17,CostTrack[[Vendor - Contract]:[Vendor - Contract]],$H17,CostTrack[[Holdback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4333.5</v>
      </c>
      <c r="DH17" s="504">
        <f ca="1">SUMIFS(CostTrack[[Value]:[Value]],CostTrack[[PA ID]:[PA ID]],$B17,CostTrack[[Vendor - Contract]:[Vendor - Contract]],$H17,CostTrack[[Holdback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7" s="504">
        <f ca="1">SUMIFS(CostTrack[[Value]:[Value]],CostTrack[[PA ID]:[PA ID]],$B17,CostTrack[[Vendor - Contract]:[Vendor - Contract]],$H17,CostTrack[[Holdback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7" s="504">
        <f ca="1">SUMIFS(CostTrack[[Value]:[Value]],CostTrack[[PA ID]:[PA ID]],$B17,CostTrack[[Vendor - Contract]:[Vendor - Contract]],$H17,CostTrack[[Holdback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2600.25</v>
      </c>
      <c r="DK17" s="504">
        <f ca="1">SUMIFS(CostTrack[[Value]:[Value]],CostTrack[[PA ID]:[PA ID]],$B17,CostTrack[[Vendor - Contract]:[Vendor - Contract]],$H17,CostTrack[[Holdback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7" s="504">
        <f ca="1">SUMIFS(CostTrack[[Value]:[Value]],CostTrack[[PA ID]:[PA ID]],$B17,CostTrack[[Vendor - Contract]:[Vendor - Contract]],$H17,CostTrack[[Holdback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7" s="512">
        <f t="shared" ca="1" si="22"/>
        <v>19940.75</v>
      </c>
      <c r="DO17" s="504">
        <f ca="1">SUMIFS(CostTrack[[Value]:[Value]],CostTrack[[PA ID]:[PA ID]],$B17,CostTrack[[Vendor - Contract]:[Vendor - Contract]],$H17,CostTrack[[Holdback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7" s="504">
        <f ca="1">SUMIFS(CostTrack[[Value]:[Value]],CostTrack[[PA ID]:[PA ID]],$B17,CostTrack[[Vendor - Contract]:[Vendor - Contract]],$H17,CostTrack[[Holdback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7" s="504">
        <f ca="1">SUMIFS(CostTrack[[Value]:[Value]],CostTrack[[PA ID]:[PA ID]],$B17,CostTrack[[Vendor - Contract]:[Vendor - Contract]],$H17,CostTrack[[Holdback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7" s="504">
        <f ca="1">SUMIFS(CostTrack[[Value]:[Value]],CostTrack[[PA ID]:[PA ID]],$B17,CostTrack[[Vendor - Contract]:[Vendor - Contract]],$H17,CostTrack[[Holdback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7" s="504">
        <f ca="1">SUMIFS(CostTrack[[Value]:[Value]],CostTrack[[PA ID]:[PA ID]],$B17,CostTrack[[Vendor - Contract]:[Vendor - Contract]],$H17,CostTrack[[Holdback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7" s="504">
        <f ca="1">SUMIFS(CostTrack[[Value]:[Value]],CostTrack[[PA ID]:[PA ID]],$B17,CostTrack[[Vendor - Contract]:[Vendor - Contract]],$H17,CostTrack[[Holdback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7" s="504">
        <f ca="1">SUMIFS(CostTrack[[Value]:[Value]],CostTrack[[PA ID]:[PA ID]],$B17,CostTrack[[Vendor - Contract]:[Vendor - Contract]],$H17,CostTrack[[Holdback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7" s="504">
        <f ca="1">SUMIFS(CostTrack[[Value]:[Value]],CostTrack[[PA ID]:[PA ID]],$B17,CostTrack[[Vendor - Contract]:[Vendor - Contract]],$H17,CostTrack[[Holdback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7" s="504">
        <f ca="1">SUMIFS(CostTrack[[Value]:[Value]],CostTrack[[PA ID]:[PA ID]],$B17,CostTrack[[Vendor - Contract]:[Vendor - Contract]],$H17,CostTrack[[Holdback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7" s="504">
        <f ca="1">SUMIFS(CostTrack[[Value]:[Value]],CostTrack[[PA ID]:[PA ID]],$B17,CostTrack[[Vendor - Contract]:[Vendor - Contract]],$H17,CostTrack[[Holdback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7" s="504">
        <f ca="1">SUMIFS(CostTrack[[Value]:[Value]],CostTrack[[PA ID]:[PA ID]],$B17,CostTrack[[Vendor - Contract]:[Vendor - Contract]],$H17,CostTrack[[Holdback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7" s="504">
        <f ca="1">SUMIFS(CostTrack[[Value]:[Value]],CostTrack[[PA ID]:[PA ID]],$B17,CostTrack[[Vendor - Contract]:[Vendor - Contract]],$H17,CostTrack[[Holdback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7" s="512">
        <f t="shared" ca="1" si="23"/>
        <v>0</v>
      </c>
      <c r="EC17" s="504">
        <f ca="1">SUMIFS(CostTrack[[Value]:[Value]],CostTrack[[PA ID]:[PA ID]],$B17,CostTrack[[Vendor - Contract]:[Vendor - Contract]],$H17,CostTrack[[Holdback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7" s="505"/>
      <c r="EE17" s="505"/>
      <c r="EF17" s="505"/>
      <c r="EG17" s="505"/>
      <c r="EH17" s="505"/>
      <c r="EI17" s="505"/>
      <c r="EJ17" s="505"/>
      <c r="EK17" s="505"/>
      <c r="EL17" s="505"/>
      <c r="EM17" s="505"/>
      <c r="EN17" s="505"/>
      <c r="EO17" s="512">
        <f t="shared" ca="1" si="24"/>
        <v>0</v>
      </c>
      <c r="EQ17" s="505"/>
      <c r="ER17" s="505"/>
      <c r="ES17" s="505"/>
      <c r="ET17" s="505"/>
      <c r="EU17" s="505"/>
      <c r="EV17" s="505"/>
      <c r="EW17" s="505"/>
      <c r="EX17" s="505"/>
      <c r="EY17" s="505"/>
      <c r="EZ17" s="505"/>
      <c r="FA17" s="505"/>
      <c r="FB17" s="505"/>
      <c r="FC17" s="512">
        <f t="shared" si="25"/>
        <v>0</v>
      </c>
      <c r="FE17" s="505"/>
      <c r="FF17" s="505"/>
      <c r="FG17" s="505"/>
      <c r="FH17" s="505"/>
      <c r="FI17" s="505"/>
      <c r="FJ17" s="505"/>
      <c r="FK17" s="505"/>
      <c r="FL17" s="505"/>
      <c r="FM17" s="505"/>
      <c r="FN17" s="505"/>
      <c r="FO17" s="505"/>
      <c r="FP17" s="505"/>
      <c r="FQ17" s="512">
        <f t="shared" si="26"/>
        <v>0</v>
      </c>
      <c r="FS17" s="504">
        <f t="shared" ca="1" si="27"/>
        <v>204706.25</v>
      </c>
    </row>
    <row r="18" spans="1:175">
      <c r="A18" s="216">
        <v>11</v>
      </c>
      <c r="B18" s="219" t="str">
        <f ca="1">INDEX(EAC[PA ID],MATCH($A18,EAC[Row],0))</f>
        <v>200.050.F1</v>
      </c>
      <c r="C18" s="218" t="str">
        <f ca="1">INDEX(EAC[Primary Category],MATCH($A18,EAC[Row],0))</f>
        <v>Professional Services</v>
      </c>
      <c r="D18" s="218" t="str">
        <f ca="1">INDEX(EAC[Secondary Category],MATCH($A18,EAC[Row],0))</f>
        <v>Other Professional Services</v>
      </c>
      <c r="E18" s="109" t="str">
        <f ca="1">INDEX(EAC[Phase / Subproject],MATCH($A18,EAC[Row],0))</f>
        <v>--</v>
      </c>
      <c r="F18" s="109" t="str">
        <f ca="1">INDEX(EAC[Phase / Subproject 2],MATCH($A18,EAC[Row],0))</f>
        <v>--</v>
      </c>
      <c r="G18" s="109" t="str">
        <f ca="1">INDEX(EAC[Funding Source],MATCH($A18,EAC[Row],0))</f>
        <v>P-002360</v>
      </c>
      <c r="H18" s="146" t="str">
        <f ca="1">INDEX(EAC[Vendor / Org. with Contract ID],MATCH($A18,EAC[Row],0))</f>
        <v>Novus West Inc-36059</v>
      </c>
      <c r="I18" s="502">
        <f ca="1">INDEX(EAC[Estimate At Completion],MATCH($A18,EAC[Row],0))</f>
        <v>13880</v>
      </c>
      <c r="J18" s="502">
        <f ca="1">SUMIFS(CostTrack[Value],CostTrack[Vendor - Contract],$H18,CostTrack[PA ID],$B18,CostTrack[Holdback (Y/N/R)],"&lt;&gt;Release",CostTrack[Status],"Approved")</f>
        <v>13880</v>
      </c>
      <c r="K18" s="503">
        <f t="shared" ca="1" si="14"/>
        <v>0</v>
      </c>
      <c r="M18" s="504">
        <f t="shared" ca="1" si="15"/>
        <v>0</v>
      </c>
      <c r="O18" s="504">
        <f t="shared" ca="1" si="11"/>
        <v>13880</v>
      </c>
      <c r="P18" s="504">
        <f t="array" aca="1" ref="P18" ca="1">SUM($U18:$FQ18*_xlfn.ISFORMULA($U18:$FQ18)*ISNUMBER($U$7:$FQ$7)*--(INDEX($U$6:$FQ$6,N(IF({1},COLUMN($U$6:$FQ$6)-COLUMN($T$6)))-MOD(N(IF({1},COLUMN($U$6:$FQ$6)-COLUMN($U$6))),14))="Current Fiscal"))</f>
        <v>0</v>
      </c>
      <c r="Q18" s="504">
        <f t="array" aca="1" ref="Q18" ca="1">SUM($U18:$FQ18*NOT(_xlfn.ISFORMULA($U18:$FQ18))*ISNUMBER($U$7:$FQ$7)*--(INDEX($U$6:$FQ$6,N(IF({1},COLUMN($U$6:$FQ$6)-COLUMN($T$6)))-MOD(N(IF({1},COLUMN($U$6:$FQ$6)-COLUMN($U$6))),14))="Current Fiscal"))</f>
        <v>0</v>
      </c>
      <c r="R18" s="504">
        <f t="shared" ca="1" si="12"/>
        <v>0</v>
      </c>
      <c r="S18" s="504">
        <f t="shared" ca="1" si="13"/>
        <v>0</v>
      </c>
      <c r="U18" s="504">
        <f ca="1">SUMIFS(CostTrack[[Value]:[Value]],CostTrack[[PA ID]:[PA ID]],$B18,CostTrack[[Vendor - Contract]:[Vendor - Contract]],$H18,CostTrack[[Holdback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8" s="504">
        <f ca="1">SUMIFS(CostTrack[[Value]:[Value]],CostTrack[[PA ID]:[PA ID]],$B18,CostTrack[[Vendor - Contract]:[Vendor - Contract]],$H18,CostTrack[[Holdback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8" s="504">
        <f ca="1">SUMIFS(CostTrack[[Value]:[Value]],CostTrack[[PA ID]:[PA ID]],$B18,CostTrack[[Vendor - Contract]:[Vendor - Contract]],$H18,CostTrack[[Holdback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8" s="504">
        <f ca="1">SUMIFS(CostTrack[[Value]:[Value]],CostTrack[[PA ID]:[PA ID]],$B18,CostTrack[[Vendor - Contract]:[Vendor - Contract]],$H18,CostTrack[[Holdback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8" s="504">
        <f ca="1">SUMIFS(CostTrack[[Value]:[Value]],CostTrack[[PA ID]:[PA ID]],$B18,CostTrack[[Vendor - Contract]:[Vendor - Contract]],$H18,CostTrack[[Holdback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8" s="504">
        <f ca="1">SUMIFS(CostTrack[[Value]:[Value]],CostTrack[[PA ID]:[PA ID]],$B18,CostTrack[[Vendor - Contract]:[Vendor - Contract]],$H18,CostTrack[[Holdback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8" s="504">
        <f ca="1">SUMIFS(CostTrack[[Value]:[Value]],CostTrack[[PA ID]:[PA ID]],$B18,CostTrack[[Vendor - Contract]:[Vendor - Contract]],$H18,CostTrack[[Holdback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8" s="504">
        <f ca="1">SUMIFS(CostTrack[[Value]:[Value]],CostTrack[[PA ID]:[PA ID]],$B18,CostTrack[[Vendor - Contract]:[Vendor - Contract]],$H18,CostTrack[[Holdback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8" s="504">
        <f ca="1">SUMIFS(CostTrack[[Value]:[Value]],CostTrack[[PA ID]:[PA ID]],$B18,CostTrack[[Vendor - Contract]:[Vendor - Contract]],$H18,CostTrack[[Holdback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8" s="504">
        <f ca="1">SUMIFS(CostTrack[[Value]:[Value]],CostTrack[[PA ID]:[PA ID]],$B18,CostTrack[[Vendor - Contract]:[Vendor - Contract]],$H18,CostTrack[[Holdback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8" s="504">
        <f ca="1">SUMIFS(CostTrack[[Value]:[Value]],CostTrack[[PA ID]:[PA ID]],$B18,CostTrack[[Vendor - Contract]:[Vendor - Contract]],$H18,CostTrack[[Holdback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8" s="504">
        <f ca="1">SUMIFS(CostTrack[[Value]:[Value]],CostTrack[[PA ID]:[PA ID]],$B18,CostTrack[[Vendor - Contract]:[Vendor - Contract]],$H18,CostTrack[[Holdback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8" s="506">
        <f t="shared" ca="1" si="16"/>
        <v>0</v>
      </c>
      <c r="AI18" s="504">
        <f ca="1">SUMIFS(CostTrack[[Value]:[Value]],CostTrack[[PA ID]:[PA ID]],$B18,CostTrack[[Vendor - Contract]:[Vendor - Contract]],$H18,CostTrack[[Holdback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8" s="504">
        <f ca="1">SUMIFS(CostTrack[[Value]:[Value]],CostTrack[[PA ID]:[PA ID]],$B18,CostTrack[[Vendor - Contract]:[Vendor - Contract]],$H18,CostTrack[[Holdback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8" s="504">
        <f ca="1">SUMIFS(CostTrack[[Value]:[Value]],CostTrack[[PA ID]:[PA ID]],$B18,CostTrack[[Vendor - Contract]:[Vendor - Contract]],$H18,CostTrack[[Holdback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8" s="504">
        <f ca="1">SUMIFS(CostTrack[[Value]:[Value]],CostTrack[[PA ID]:[PA ID]],$B18,CostTrack[[Vendor - Contract]:[Vendor - Contract]],$H18,CostTrack[[Holdback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8" s="504">
        <f ca="1">SUMIFS(CostTrack[[Value]:[Value]],CostTrack[[PA ID]:[PA ID]],$B18,CostTrack[[Vendor - Contract]:[Vendor - Contract]],$H18,CostTrack[[Holdback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8" s="504">
        <f ca="1">SUMIFS(CostTrack[[Value]:[Value]],CostTrack[[PA ID]:[PA ID]],$B18,CostTrack[[Vendor - Contract]:[Vendor - Contract]],$H18,CostTrack[[Holdback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8" s="504">
        <f ca="1">SUMIFS(CostTrack[[Value]:[Value]],CostTrack[[PA ID]:[PA ID]],$B18,CostTrack[[Vendor - Contract]:[Vendor - Contract]],$H18,CostTrack[[Holdback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8" s="504">
        <f ca="1">SUMIFS(CostTrack[[Value]:[Value]],CostTrack[[PA ID]:[PA ID]],$B18,CostTrack[[Vendor - Contract]:[Vendor - Contract]],$H18,CostTrack[[Holdback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8" s="504">
        <f ca="1">SUMIFS(CostTrack[[Value]:[Value]],CostTrack[[PA ID]:[PA ID]],$B18,CostTrack[[Vendor - Contract]:[Vendor - Contract]],$H18,CostTrack[[Holdback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8" s="504">
        <f ca="1">SUMIFS(CostTrack[[Value]:[Value]],CostTrack[[PA ID]:[PA ID]],$B18,CostTrack[[Vendor - Contract]:[Vendor - Contract]],$H18,CostTrack[[Holdback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8" s="504">
        <f ca="1">SUMIFS(CostTrack[[Value]:[Value]],CostTrack[[PA ID]:[PA ID]],$B18,CostTrack[[Vendor - Contract]:[Vendor - Contract]],$H18,CostTrack[[Holdback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8" s="504">
        <f ca="1">SUMIFS(CostTrack[[Value]:[Value]],CostTrack[[PA ID]:[PA ID]],$B18,CostTrack[[Vendor - Contract]:[Vendor - Contract]],$H18,CostTrack[[Holdback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2915</v>
      </c>
      <c r="AU18" s="512">
        <f t="shared" ca="1" si="17"/>
        <v>2915</v>
      </c>
      <c r="AW18" s="504">
        <f ca="1">SUMIFS(CostTrack[[Value]:[Value]],CostTrack[[PA ID]:[PA ID]],$B18,CostTrack[[Vendor - Contract]:[Vendor - Contract]],$H18,CostTrack[[Holdback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8" s="504">
        <f ca="1">SUMIFS(CostTrack[[Value]:[Value]],CostTrack[[PA ID]:[PA ID]],$B18,CostTrack[[Vendor - Contract]:[Vendor - Contract]],$H18,CostTrack[[Holdback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2475</v>
      </c>
      <c r="AY18" s="504">
        <f ca="1">SUMIFS(CostTrack[[Value]:[Value]],CostTrack[[PA ID]:[PA ID]],$B18,CostTrack[[Vendor - Contract]:[Vendor - Contract]],$H18,CostTrack[[Holdback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1980</v>
      </c>
      <c r="AZ18" s="504">
        <f ca="1">SUMIFS(CostTrack[[Value]:[Value]],CostTrack[[PA ID]:[PA ID]],$B18,CostTrack[[Vendor - Contract]:[Vendor - Contract]],$H18,CostTrack[[Holdback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8" s="504">
        <f ca="1">SUMIFS(CostTrack[[Value]:[Value]],CostTrack[[PA ID]:[PA ID]],$B18,CostTrack[[Vendor - Contract]:[Vendor - Contract]],$H18,CostTrack[[Holdback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8" s="504">
        <f ca="1">SUMIFS(CostTrack[[Value]:[Value]],CostTrack[[PA ID]:[PA ID]],$B18,CostTrack[[Vendor - Contract]:[Vendor - Contract]],$H18,CostTrack[[Holdback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8" s="504">
        <f ca="1">SUMIFS(CostTrack[[Value]:[Value]],CostTrack[[PA ID]:[PA ID]],$B18,CostTrack[[Vendor - Contract]:[Vendor - Contract]],$H18,CostTrack[[Holdback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6510</v>
      </c>
      <c r="BD18" s="504">
        <f ca="1">SUMIFS(CostTrack[[Value]:[Value]],CostTrack[[PA ID]:[PA ID]],$B18,CostTrack[[Vendor - Contract]:[Vendor - Contract]],$H18,CostTrack[[Holdback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8" s="504">
        <f ca="1">SUMIFS(CostTrack[[Value]:[Value]],CostTrack[[PA ID]:[PA ID]],$B18,CostTrack[[Vendor - Contract]:[Vendor - Contract]],$H18,CostTrack[[Holdback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8" s="504">
        <f ca="1">SUMIFS(CostTrack[[Value]:[Value]],CostTrack[[PA ID]:[PA ID]],$B18,CostTrack[[Vendor - Contract]:[Vendor - Contract]],$H18,CostTrack[[Holdback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8" s="504">
        <f ca="1">SUMIFS(CostTrack[[Value]:[Value]],CostTrack[[PA ID]:[PA ID]],$B18,CostTrack[[Vendor - Contract]:[Vendor - Contract]],$H18,CostTrack[[Holdback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8" s="504">
        <f ca="1">SUMIFS(CostTrack[[Value]:[Value]],CostTrack[[PA ID]:[PA ID]],$B18,CostTrack[[Vendor - Contract]:[Vendor - Contract]],$H18,CostTrack[[Holdback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8" s="512">
        <f t="shared" ca="1" si="18"/>
        <v>10965</v>
      </c>
      <c r="BK18" s="504">
        <f ca="1">SUMIFS(CostTrack[[Value]:[Value]],CostTrack[[PA ID]:[PA ID]],$B18,CostTrack[[Vendor - Contract]:[Vendor - Contract]],$H18,CostTrack[[Holdback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8" s="504">
        <f ca="1">SUMIFS(CostTrack[[Value]:[Value]],CostTrack[[PA ID]:[PA ID]],$B18,CostTrack[[Vendor - Contract]:[Vendor - Contract]],$H18,CostTrack[[Holdback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8" s="504">
        <f ca="1">SUMIFS(CostTrack[[Value]:[Value]],CostTrack[[PA ID]:[PA ID]],$B18,CostTrack[[Vendor - Contract]:[Vendor - Contract]],$H18,CostTrack[[Holdback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8" s="504">
        <f ca="1">SUMIFS(CostTrack[[Value]:[Value]],CostTrack[[PA ID]:[PA ID]],$B18,CostTrack[[Vendor - Contract]:[Vendor - Contract]],$H18,CostTrack[[Holdback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8" s="504">
        <f ca="1">SUMIFS(CostTrack[[Value]:[Value]],CostTrack[[PA ID]:[PA ID]],$B18,CostTrack[[Vendor - Contract]:[Vendor - Contract]],$H18,CostTrack[[Holdback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8" s="504">
        <f ca="1">SUMIFS(CostTrack[[Value]:[Value]],CostTrack[[PA ID]:[PA ID]],$B18,CostTrack[[Vendor - Contract]:[Vendor - Contract]],$H18,CostTrack[[Holdback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8" s="504">
        <f ca="1">SUMIFS(CostTrack[[Value]:[Value]],CostTrack[[PA ID]:[PA ID]],$B18,CostTrack[[Vendor - Contract]:[Vendor - Contract]],$H18,CostTrack[[Holdback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8" s="504">
        <f ca="1">SUMIFS(CostTrack[[Value]:[Value]],CostTrack[[PA ID]:[PA ID]],$B18,CostTrack[[Vendor - Contract]:[Vendor - Contract]],$H18,CostTrack[[Holdback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8" s="504">
        <f ca="1">SUMIFS(CostTrack[[Value]:[Value]],CostTrack[[PA ID]:[PA ID]],$B18,CostTrack[[Vendor - Contract]:[Vendor - Contract]],$H18,CostTrack[[Holdback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8" s="504">
        <f ca="1">SUMIFS(CostTrack[[Value]:[Value]],CostTrack[[PA ID]:[PA ID]],$B18,CostTrack[[Vendor - Contract]:[Vendor - Contract]],$H18,CostTrack[[Holdback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8" s="504">
        <f ca="1">SUMIFS(CostTrack[[Value]:[Value]],CostTrack[[PA ID]:[PA ID]],$B18,CostTrack[[Vendor - Contract]:[Vendor - Contract]],$H18,CostTrack[[Holdback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8" s="504">
        <f ca="1">SUMIFS(CostTrack[[Value]:[Value]],CostTrack[[PA ID]:[PA ID]],$B18,CostTrack[[Vendor - Contract]:[Vendor - Contract]],$H18,CostTrack[[Holdback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8" s="512">
        <f t="shared" ca="1" si="19"/>
        <v>0</v>
      </c>
      <c r="BY18" s="504">
        <f ca="1">SUMIFS(CostTrack[[Value]:[Value]],CostTrack[[PA ID]:[PA ID]],$B18,CostTrack[[Vendor - Contract]:[Vendor - Contract]],$H18,CostTrack[[Holdback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8" s="504">
        <f ca="1">SUMIFS(CostTrack[[Value]:[Value]],CostTrack[[PA ID]:[PA ID]],$B18,CostTrack[[Vendor - Contract]:[Vendor - Contract]],$H18,CostTrack[[Holdback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8" s="504">
        <f ca="1">SUMIFS(CostTrack[[Value]:[Value]],CostTrack[[PA ID]:[PA ID]],$B18,CostTrack[[Vendor - Contract]:[Vendor - Contract]],$H18,CostTrack[[Holdback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8" s="504">
        <f ca="1">SUMIFS(CostTrack[[Value]:[Value]],CostTrack[[PA ID]:[PA ID]],$B18,CostTrack[[Vendor - Contract]:[Vendor - Contract]],$H18,CostTrack[[Holdback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8" s="504">
        <f ca="1">SUMIFS(CostTrack[[Value]:[Value]],CostTrack[[PA ID]:[PA ID]],$B18,CostTrack[[Vendor - Contract]:[Vendor - Contract]],$H18,CostTrack[[Holdback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8" s="504">
        <f ca="1">SUMIFS(CostTrack[[Value]:[Value]],CostTrack[[PA ID]:[PA ID]],$B18,CostTrack[[Vendor - Contract]:[Vendor - Contract]],$H18,CostTrack[[Holdback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8" s="504">
        <f ca="1">SUMIFS(CostTrack[[Value]:[Value]],CostTrack[[PA ID]:[PA ID]],$B18,CostTrack[[Vendor - Contract]:[Vendor - Contract]],$H18,CostTrack[[Holdback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8" s="504">
        <f ca="1">SUMIFS(CostTrack[[Value]:[Value]],CostTrack[[PA ID]:[PA ID]],$B18,CostTrack[[Vendor - Contract]:[Vendor - Contract]],$H18,CostTrack[[Holdback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8" s="504">
        <f ca="1">SUMIFS(CostTrack[[Value]:[Value]],CostTrack[[PA ID]:[PA ID]],$B18,CostTrack[[Vendor - Contract]:[Vendor - Contract]],$H18,CostTrack[[Holdback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8" s="504">
        <f ca="1">SUMIFS(CostTrack[[Value]:[Value]],CostTrack[[PA ID]:[PA ID]],$B18,CostTrack[[Vendor - Contract]:[Vendor - Contract]],$H18,CostTrack[[Holdback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8" s="504">
        <f ca="1">SUMIFS(CostTrack[[Value]:[Value]],CostTrack[[PA ID]:[PA ID]],$B18,CostTrack[[Vendor - Contract]:[Vendor - Contract]],$H18,CostTrack[[Holdback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8" s="504">
        <f ca="1">SUMIFS(CostTrack[[Value]:[Value]],CostTrack[[PA ID]:[PA ID]],$B18,CostTrack[[Vendor - Contract]:[Vendor - Contract]],$H18,CostTrack[[Holdback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8" s="512">
        <f t="shared" ca="1" si="20"/>
        <v>0</v>
      </c>
      <c r="CM18" s="504">
        <f ca="1">SUMIFS(CostTrack[[Value]:[Value]],CostTrack[[PA ID]:[PA ID]],$B18,CostTrack[[Vendor - Contract]:[Vendor - Contract]],$H18,CostTrack[[Holdback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8" s="504">
        <f ca="1">SUMIFS(CostTrack[[Value]:[Value]],CostTrack[[PA ID]:[PA ID]],$B18,CostTrack[[Vendor - Contract]:[Vendor - Contract]],$H18,CostTrack[[Holdback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8" s="504">
        <f ca="1">SUMIFS(CostTrack[[Value]:[Value]],CostTrack[[PA ID]:[PA ID]],$B18,CostTrack[[Vendor - Contract]:[Vendor - Contract]],$H18,CostTrack[[Holdback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8" s="504">
        <f ca="1">SUMIFS(CostTrack[[Value]:[Value]],CostTrack[[PA ID]:[PA ID]],$B18,CostTrack[[Vendor - Contract]:[Vendor - Contract]],$H18,CostTrack[[Holdback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8" s="504">
        <f ca="1">SUMIFS(CostTrack[[Value]:[Value]],CostTrack[[PA ID]:[PA ID]],$B18,CostTrack[[Vendor - Contract]:[Vendor - Contract]],$H18,CostTrack[[Holdback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8" s="504">
        <f ca="1">SUMIFS(CostTrack[[Value]:[Value]],CostTrack[[PA ID]:[PA ID]],$B18,CostTrack[[Vendor - Contract]:[Vendor - Contract]],$H18,CostTrack[[Holdback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8" s="504">
        <f ca="1">SUMIFS(CostTrack[[Value]:[Value]],CostTrack[[PA ID]:[PA ID]],$B18,CostTrack[[Vendor - Contract]:[Vendor - Contract]],$H18,CostTrack[[Holdback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8" s="504">
        <f ca="1">SUMIFS(CostTrack[[Value]:[Value]],CostTrack[[PA ID]:[PA ID]],$B18,CostTrack[[Vendor - Contract]:[Vendor - Contract]],$H18,CostTrack[[Holdback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8" s="504">
        <f ca="1">SUMIFS(CostTrack[[Value]:[Value]],CostTrack[[PA ID]:[PA ID]],$B18,CostTrack[[Vendor - Contract]:[Vendor - Contract]],$H18,CostTrack[[Holdback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8" s="504">
        <f ca="1">SUMIFS(CostTrack[[Value]:[Value]],CostTrack[[PA ID]:[PA ID]],$B18,CostTrack[[Vendor - Contract]:[Vendor - Contract]],$H18,CostTrack[[Holdback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8" s="504">
        <f ca="1">SUMIFS(CostTrack[[Value]:[Value]],CostTrack[[PA ID]:[PA ID]],$B18,CostTrack[[Vendor - Contract]:[Vendor - Contract]],$H18,CostTrack[[Holdback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8" s="504">
        <f ca="1">SUMIFS(CostTrack[[Value]:[Value]],CostTrack[[PA ID]:[PA ID]],$B18,CostTrack[[Vendor - Contract]:[Vendor - Contract]],$H18,CostTrack[[Holdback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8" s="512">
        <f t="shared" ca="1" si="21"/>
        <v>0</v>
      </c>
      <c r="DA18" s="504">
        <f ca="1">SUMIFS(CostTrack[[Value]:[Value]],CostTrack[[PA ID]:[PA ID]],$B18,CostTrack[[Vendor - Contract]:[Vendor - Contract]],$H18,CostTrack[[Holdback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8" s="504">
        <f ca="1">SUMIFS(CostTrack[[Value]:[Value]],CostTrack[[PA ID]:[PA ID]],$B18,CostTrack[[Vendor - Contract]:[Vendor - Contract]],$H18,CostTrack[[Holdback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8" s="504">
        <f ca="1">SUMIFS(CostTrack[[Value]:[Value]],CostTrack[[PA ID]:[PA ID]],$B18,CostTrack[[Vendor - Contract]:[Vendor - Contract]],$H18,CostTrack[[Holdback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8" s="504">
        <f ca="1">SUMIFS(CostTrack[[Value]:[Value]],CostTrack[[PA ID]:[PA ID]],$B18,CostTrack[[Vendor - Contract]:[Vendor - Contract]],$H18,CostTrack[[Holdback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8" s="504">
        <f ca="1">SUMIFS(CostTrack[[Value]:[Value]],CostTrack[[PA ID]:[PA ID]],$B18,CostTrack[[Vendor - Contract]:[Vendor - Contract]],$H18,CostTrack[[Holdback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8" s="504">
        <f ca="1">SUMIFS(CostTrack[[Value]:[Value]],CostTrack[[PA ID]:[PA ID]],$B18,CostTrack[[Vendor - Contract]:[Vendor - Contract]],$H18,CostTrack[[Holdback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8" s="504">
        <f ca="1">SUMIFS(CostTrack[[Value]:[Value]],CostTrack[[PA ID]:[PA ID]],$B18,CostTrack[[Vendor - Contract]:[Vendor - Contract]],$H18,CostTrack[[Holdback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8" s="504">
        <f ca="1">SUMIFS(CostTrack[[Value]:[Value]],CostTrack[[PA ID]:[PA ID]],$B18,CostTrack[[Vendor - Contract]:[Vendor - Contract]],$H18,CostTrack[[Holdback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8" s="504">
        <f ca="1">SUMIFS(CostTrack[[Value]:[Value]],CostTrack[[PA ID]:[PA ID]],$B18,CostTrack[[Vendor - Contract]:[Vendor - Contract]],$H18,CostTrack[[Holdback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8" s="504">
        <f ca="1">SUMIFS(CostTrack[[Value]:[Value]],CostTrack[[PA ID]:[PA ID]],$B18,CostTrack[[Vendor - Contract]:[Vendor - Contract]],$H18,CostTrack[[Holdback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8" s="504">
        <f ca="1">SUMIFS(CostTrack[[Value]:[Value]],CostTrack[[PA ID]:[PA ID]],$B18,CostTrack[[Vendor - Contract]:[Vendor - Contract]],$H18,CostTrack[[Holdback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8" s="504">
        <f ca="1">SUMIFS(CostTrack[[Value]:[Value]],CostTrack[[PA ID]:[PA ID]],$B18,CostTrack[[Vendor - Contract]:[Vendor - Contract]],$H18,CostTrack[[Holdback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8" s="512">
        <f t="shared" ca="1" si="22"/>
        <v>0</v>
      </c>
      <c r="DO18" s="504">
        <f ca="1">SUMIFS(CostTrack[[Value]:[Value]],CostTrack[[PA ID]:[PA ID]],$B18,CostTrack[[Vendor - Contract]:[Vendor - Contract]],$H18,CostTrack[[Holdback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8" s="504">
        <f ca="1">SUMIFS(CostTrack[[Value]:[Value]],CostTrack[[PA ID]:[PA ID]],$B18,CostTrack[[Vendor - Contract]:[Vendor - Contract]],$H18,CostTrack[[Holdback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8" s="504">
        <f ca="1">SUMIFS(CostTrack[[Value]:[Value]],CostTrack[[PA ID]:[PA ID]],$B18,CostTrack[[Vendor - Contract]:[Vendor - Contract]],$H18,CostTrack[[Holdback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8" s="504">
        <f ca="1">SUMIFS(CostTrack[[Value]:[Value]],CostTrack[[PA ID]:[PA ID]],$B18,CostTrack[[Vendor - Contract]:[Vendor - Contract]],$H18,CostTrack[[Holdback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8" s="504">
        <f ca="1">SUMIFS(CostTrack[[Value]:[Value]],CostTrack[[PA ID]:[PA ID]],$B18,CostTrack[[Vendor - Contract]:[Vendor - Contract]],$H18,CostTrack[[Holdback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8" s="504">
        <f ca="1">SUMIFS(CostTrack[[Value]:[Value]],CostTrack[[PA ID]:[PA ID]],$B18,CostTrack[[Vendor - Contract]:[Vendor - Contract]],$H18,CostTrack[[Holdback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8" s="504">
        <f ca="1">SUMIFS(CostTrack[[Value]:[Value]],CostTrack[[PA ID]:[PA ID]],$B18,CostTrack[[Vendor - Contract]:[Vendor - Contract]],$H18,CostTrack[[Holdback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8" s="504">
        <f ca="1">SUMIFS(CostTrack[[Value]:[Value]],CostTrack[[PA ID]:[PA ID]],$B18,CostTrack[[Vendor - Contract]:[Vendor - Contract]],$H18,CostTrack[[Holdback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8" s="504">
        <f ca="1">SUMIFS(CostTrack[[Value]:[Value]],CostTrack[[PA ID]:[PA ID]],$B18,CostTrack[[Vendor - Contract]:[Vendor - Contract]],$H18,CostTrack[[Holdback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8" s="504">
        <f ca="1">SUMIFS(CostTrack[[Value]:[Value]],CostTrack[[PA ID]:[PA ID]],$B18,CostTrack[[Vendor - Contract]:[Vendor - Contract]],$H18,CostTrack[[Holdback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8" s="504">
        <f ca="1">SUMIFS(CostTrack[[Value]:[Value]],CostTrack[[PA ID]:[PA ID]],$B18,CostTrack[[Vendor - Contract]:[Vendor - Contract]],$H18,CostTrack[[Holdback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8" s="504">
        <f ca="1">SUMIFS(CostTrack[[Value]:[Value]],CostTrack[[PA ID]:[PA ID]],$B18,CostTrack[[Vendor - Contract]:[Vendor - Contract]],$H18,CostTrack[[Holdback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8" s="512">
        <f t="shared" ca="1" si="23"/>
        <v>0</v>
      </c>
      <c r="EC18" s="504">
        <f ca="1">SUMIFS(CostTrack[[Value]:[Value]],CostTrack[[PA ID]:[PA ID]],$B18,CostTrack[[Vendor - Contract]:[Vendor - Contract]],$H18,CostTrack[[Holdback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8" s="505"/>
      <c r="EE18" s="505"/>
      <c r="EF18" s="505"/>
      <c r="EG18" s="505"/>
      <c r="EH18" s="505"/>
      <c r="EI18" s="505"/>
      <c r="EJ18" s="505"/>
      <c r="EK18" s="505"/>
      <c r="EL18" s="505"/>
      <c r="EM18" s="505"/>
      <c r="EN18" s="505"/>
      <c r="EO18" s="512">
        <f t="shared" ca="1" si="24"/>
        <v>0</v>
      </c>
      <c r="EQ18" s="505"/>
      <c r="ER18" s="505"/>
      <c r="ES18" s="505"/>
      <c r="ET18" s="505"/>
      <c r="EU18" s="505"/>
      <c r="EV18" s="505"/>
      <c r="EW18" s="505"/>
      <c r="EX18" s="505"/>
      <c r="EY18" s="505"/>
      <c r="EZ18" s="505"/>
      <c r="FA18" s="505"/>
      <c r="FB18" s="505"/>
      <c r="FC18" s="512">
        <f t="shared" si="25"/>
        <v>0</v>
      </c>
      <c r="FE18" s="505"/>
      <c r="FF18" s="505"/>
      <c r="FG18" s="505"/>
      <c r="FH18" s="505"/>
      <c r="FI18" s="505"/>
      <c r="FJ18" s="505"/>
      <c r="FK18" s="505"/>
      <c r="FL18" s="505"/>
      <c r="FM18" s="505"/>
      <c r="FN18" s="505"/>
      <c r="FO18" s="505"/>
      <c r="FP18" s="505"/>
      <c r="FQ18" s="512">
        <f t="shared" si="26"/>
        <v>0</v>
      </c>
      <c r="FS18" s="504">
        <f t="shared" ca="1" si="27"/>
        <v>13880</v>
      </c>
    </row>
    <row r="19" spans="1:175">
      <c r="A19" s="216">
        <v>12</v>
      </c>
      <c r="B19" s="219" t="str">
        <f ca="1">INDEX(EAC[PA ID],MATCH($A19,EAC[Row],0))</f>
        <v>200.050.F1</v>
      </c>
      <c r="C19" s="218" t="str">
        <f ca="1">INDEX(EAC[Primary Category],MATCH($A19,EAC[Row],0))</f>
        <v>Professional Services</v>
      </c>
      <c r="D19" s="218" t="str">
        <f ca="1">INDEX(EAC[Secondary Category],MATCH($A19,EAC[Row],0))</f>
        <v>Other Professional Services</v>
      </c>
      <c r="E19" s="109" t="str">
        <f ca="1">INDEX(EAC[Phase / Subproject],MATCH($A19,EAC[Row],0))</f>
        <v>--</v>
      </c>
      <c r="F19" s="109" t="str">
        <f ca="1">INDEX(EAC[Phase / Subproject 2],MATCH($A19,EAC[Row],0))</f>
        <v>--</v>
      </c>
      <c r="G19" s="109" t="str">
        <f ca="1">INDEX(EAC[Funding Source],MATCH($A19,EAC[Row],0))</f>
        <v>P-002360</v>
      </c>
      <c r="H19" s="146" t="str">
        <f ca="1">INDEX(EAC[Vendor / Org. with Contract ID],MATCH($A19,EAC[Row],0))</f>
        <v>Qualimet- Steel Testing consultant-38384</v>
      </c>
      <c r="I19" s="502">
        <f ca="1">INDEX(EAC[Estimate At Completion],MATCH($A19,EAC[Row],0))</f>
        <v>31551</v>
      </c>
      <c r="J19" s="502">
        <f ca="1">SUMIFS(CostTrack[Value],CostTrack[Vendor - Contract],$H19,CostTrack[PA ID],$B19,CostTrack[Holdback (Y/N/R)],"&lt;&gt;Release",CostTrack[Status],"Approved")</f>
        <v>31551</v>
      </c>
      <c r="K19" s="503">
        <f t="shared" ca="1" si="14"/>
        <v>0</v>
      </c>
      <c r="M19" s="504">
        <f t="shared" ca="1" si="15"/>
        <v>0</v>
      </c>
      <c r="O19" s="504">
        <f t="shared" ca="1" si="11"/>
        <v>31551</v>
      </c>
      <c r="P19" s="504">
        <f t="array" aca="1" ref="P19" ca="1">SUM($U19:$FQ19*_xlfn.ISFORMULA($U19:$FQ19)*ISNUMBER($U$7:$FQ$7)*--(INDEX($U$6:$FQ$6,N(IF({1},COLUMN($U$6:$FQ$6)-COLUMN($T$6)))-MOD(N(IF({1},COLUMN($U$6:$FQ$6)-COLUMN($U$6))),14))="Current Fiscal"))</f>
        <v>0</v>
      </c>
      <c r="Q19" s="504">
        <f t="array" aca="1" ref="Q19" ca="1">SUM($U19:$FQ19*NOT(_xlfn.ISFORMULA($U19:$FQ19))*ISNUMBER($U$7:$FQ$7)*--(INDEX($U$6:$FQ$6,N(IF({1},COLUMN($U$6:$FQ$6)-COLUMN($T$6)))-MOD(N(IF({1},COLUMN($U$6:$FQ$6)-COLUMN($U$6))),14))="Current Fiscal"))</f>
        <v>0</v>
      </c>
      <c r="R19" s="504">
        <f t="shared" ca="1" si="12"/>
        <v>0</v>
      </c>
      <c r="S19" s="504">
        <f t="shared" ca="1" si="13"/>
        <v>0</v>
      </c>
      <c r="U19" s="504">
        <f ca="1">SUMIFS(CostTrack[[Value]:[Value]],CostTrack[[PA ID]:[PA ID]],$B19,CostTrack[[Vendor - Contract]:[Vendor - Contract]],$H19,CostTrack[[Holdback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9" s="504">
        <f ca="1">SUMIFS(CostTrack[[Value]:[Value]],CostTrack[[PA ID]:[PA ID]],$B19,CostTrack[[Vendor - Contract]:[Vendor - Contract]],$H19,CostTrack[[Holdback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9" s="504">
        <f ca="1">SUMIFS(CostTrack[[Value]:[Value]],CostTrack[[PA ID]:[PA ID]],$B19,CostTrack[[Vendor - Contract]:[Vendor - Contract]],$H19,CostTrack[[Holdback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9" s="504">
        <f ca="1">SUMIFS(CostTrack[[Value]:[Value]],CostTrack[[PA ID]:[PA ID]],$B19,CostTrack[[Vendor - Contract]:[Vendor - Contract]],$H19,CostTrack[[Holdback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9" s="504">
        <f ca="1">SUMIFS(CostTrack[[Value]:[Value]],CostTrack[[PA ID]:[PA ID]],$B19,CostTrack[[Vendor - Contract]:[Vendor - Contract]],$H19,CostTrack[[Holdback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9" s="504">
        <f ca="1">SUMIFS(CostTrack[[Value]:[Value]],CostTrack[[PA ID]:[PA ID]],$B19,CostTrack[[Vendor - Contract]:[Vendor - Contract]],$H19,CostTrack[[Holdback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9" s="504">
        <f ca="1">SUMIFS(CostTrack[[Value]:[Value]],CostTrack[[PA ID]:[PA ID]],$B19,CostTrack[[Vendor - Contract]:[Vendor - Contract]],$H19,CostTrack[[Holdback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9" s="504">
        <f ca="1">SUMIFS(CostTrack[[Value]:[Value]],CostTrack[[PA ID]:[PA ID]],$B19,CostTrack[[Vendor - Contract]:[Vendor - Contract]],$H19,CostTrack[[Holdback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9" s="504">
        <f ca="1">SUMIFS(CostTrack[[Value]:[Value]],CostTrack[[PA ID]:[PA ID]],$B19,CostTrack[[Vendor - Contract]:[Vendor - Contract]],$H19,CostTrack[[Holdback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9" s="504">
        <f ca="1">SUMIFS(CostTrack[[Value]:[Value]],CostTrack[[PA ID]:[PA ID]],$B19,CostTrack[[Vendor - Contract]:[Vendor - Contract]],$H19,CostTrack[[Holdback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9" s="504">
        <f ca="1">SUMIFS(CostTrack[[Value]:[Value]],CostTrack[[PA ID]:[PA ID]],$B19,CostTrack[[Vendor - Contract]:[Vendor - Contract]],$H19,CostTrack[[Holdback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9" s="504">
        <f ca="1">SUMIFS(CostTrack[[Value]:[Value]],CostTrack[[PA ID]:[PA ID]],$B19,CostTrack[[Vendor - Contract]:[Vendor - Contract]],$H19,CostTrack[[Holdback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9" s="506">
        <f t="shared" ca="1" si="16"/>
        <v>0</v>
      </c>
      <c r="AI19" s="504">
        <f ca="1">SUMIFS(CostTrack[[Value]:[Value]],CostTrack[[PA ID]:[PA ID]],$B19,CostTrack[[Vendor - Contract]:[Vendor - Contract]],$H19,CostTrack[[Holdback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9" s="504">
        <f ca="1">SUMIFS(CostTrack[[Value]:[Value]],CostTrack[[PA ID]:[PA ID]],$B19,CostTrack[[Vendor - Contract]:[Vendor - Contract]],$H19,CostTrack[[Holdback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9" s="504">
        <f ca="1">SUMIFS(CostTrack[[Value]:[Value]],CostTrack[[PA ID]:[PA ID]],$B19,CostTrack[[Vendor - Contract]:[Vendor - Contract]],$H19,CostTrack[[Holdback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9" s="504">
        <f ca="1">SUMIFS(CostTrack[[Value]:[Value]],CostTrack[[PA ID]:[PA ID]],$B19,CostTrack[[Vendor - Contract]:[Vendor - Contract]],$H19,CostTrack[[Holdback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9" s="504">
        <f ca="1">SUMIFS(CostTrack[[Value]:[Value]],CostTrack[[PA ID]:[PA ID]],$B19,CostTrack[[Vendor - Contract]:[Vendor - Contract]],$H19,CostTrack[[Holdback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9" s="504">
        <f ca="1">SUMIFS(CostTrack[[Value]:[Value]],CostTrack[[PA ID]:[PA ID]],$B19,CostTrack[[Vendor - Contract]:[Vendor - Contract]],$H19,CostTrack[[Holdback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9" s="504">
        <f ca="1">SUMIFS(CostTrack[[Value]:[Value]],CostTrack[[PA ID]:[PA ID]],$B19,CostTrack[[Vendor - Contract]:[Vendor - Contract]],$H19,CostTrack[[Holdback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9" s="504">
        <f ca="1">SUMIFS(CostTrack[[Value]:[Value]],CostTrack[[PA ID]:[PA ID]],$B19,CostTrack[[Vendor - Contract]:[Vendor - Contract]],$H19,CostTrack[[Holdback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9" s="504">
        <f ca="1">SUMIFS(CostTrack[[Value]:[Value]],CostTrack[[PA ID]:[PA ID]],$B19,CostTrack[[Vendor - Contract]:[Vendor - Contract]],$H19,CostTrack[[Holdback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9" s="504">
        <f ca="1">SUMIFS(CostTrack[[Value]:[Value]],CostTrack[[PA ID]:[PA ID]],$B19,CostTrack[[Vendor - Contract]:[Vendor - Contract]],$H19,CostTrack[[Holdback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9" s="504">
        <f ca="1">SUMIFS(CostTrack[[Value]:[Value]],CostTrack[[PA ID]:[PA ID]],$B19,CostTrack[[Vendor - Contract]:[Vendor - Contract]],$H19,CostTrack[[Holdback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9" s="504">
        <f ca="1">SUMIFS(CostTrack[[Value]:[Value]],CostTrack[[PA ID]:[PA ID]],$B19,CostTrack[[Vendor - Contract]:[Vendor - Contract]],$H19,CostTrack[[Holdback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9" s="512">
        <f t="shared" ca="1" si="17"/>
        <v>0</v>
      </c>
      <c r="AW19" s="504">
        <f ca="1">SUMIFS(CostTrack[[Value]:[Value]],CostTrack[[PA ID]:[PA ID]],$B19,CostTrack[[Vendor - Contract]:[Vendor - Contract]],$H19,CostTrack[[Holdback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9" s="504">
        <f ca="1">SUMIFS(CostTrack[[Value]:[Value]],CostTrack[[PA ID]:[PA ID]],$B19,CostTrack[[Vendor - Contract]:[Vendor - Contract]],$H19,CostTrack[[Holdback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9" s="504">
        <f ca="1">SUMIFS(CostTrack[[Value]:[Value]],CostTrack[[PA ID]:[PA ID]],$B19,CostTrack[[Vendor - Contract]:[Vendor - Contract]],$H19,CostTrack[[Holdback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9" s="504">
        <f ca="1">SUMIFS(CostTrack[[Value]:[Value]],CostTrack[[PA ID]:[PA ID]],$B19,CostTrack[[Vendor - Contract]:[Vendor - Contract]],$H19,CostTrack[[Holdback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9" s="504">
        <f ca="1">SUMIFS(CostTrack[[Value]:[Value]],CostTrack[[PA ID]:[PA ID]],$B19,CostTrack[[Vendor - Contract]:[Vendor - Contract]],$H19,CostTrack[[Holdback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9" s="504">
        <f ca="1">SUMIFS(CostTrack[[Value]:[Value]],CostTrack[[PA ID]:[PA ID]],$B19,CostTrack[[Vendor - Contract]:[Vendor - Contract]],$H19,CostTrack[[Holdback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9" s="504">
        <f ca="1">SUMIFS(CostTrack[[Value]:[Value]],CostTrack[[PA ID]:[PA ID]],$B19,CostTrack[[Vendor - Contract]:[Vendor - Contract]],$H19,CostTrack[[Holdback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9" s="504">
        <f ca="1">SUMIFS(CostTrack[[Value]:[Value]],CostTrack[[PA ID]:[PA ID]],$B19,CostTrack[[Vendor - Contract]:[Vendor - Contract]],$H19,CostTrack[[Holdback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9" s="504">
        <f ca="1">SUMIFS(CostTrack[[Value]:[Value]],CostTrack[[PA ID]:[PA ID]],$B19,CostTrack[[Vendor - Contract]:[Vendor - Contract]],$H19,CostTrack[[Holdback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9" s="504">
        <f ca="1">SUMIFS(CostTrack[[Value]:[Value]],CostTrack[[PA ID]:[PA ID]],$B19,CostTrack[[Vendor - Contract]:[Vendor - Contract]],$H19,CostTrack[[Holdback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9" s="504">
        <f ca="1">SUMIFS(CostTrack[[Value]:[Value]],CostTrack[[PA ID]:[PA ID]],$B19,CostTrack[[Vendor - Contract]:[Vendor - Contract]],$H19,CostTrack[[Holdback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9" s="504">
        <f ca="1">SUMIFS(CostTrack[[Value]:[Value]],CostTrack[[PA ID]:[PA ID]],$B19,CostTrack[[Vendor - Contract]:[Vendor - Contract]],$H19,CostTrack[[Holdback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9" s="512">
        <f t="shared" ca="1" si="18"/>
        <v>0</v>
      </c>
      <c r="BK19" s="504">
        <f ca="1">SUMIFS(CostTrack[[Value]:[Value]],CostTrack[[PA ID]:[PA ID]],$B19,CostTrack[[Vendor - Contract]:[Vendor - Contract]],$H19,CostTrack[[Holdback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9" s="504">
        <f ca="1">SUMIFS(CostTrack[[Value]:[Value]],CostTrack[[PA ID]:[PA ID]],$B19,CostTrack[[Vendor - Contract]:[Vendor - Contract]],$H19,CostTrack[[Holdback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9" s="504">
        <f ca="1">SUMIFS(CostTrack[[Value]:[Value]],CostTrack[[PA ID]:[PA ID]],$B19,CostTrack[[Vendor - Contract]:[Vendor - Contract]],$H19,CostTrack[[Holdback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9" s="504">
        <f ca="1">SUMIFS(CostTrack[[Value]:[Value]],CostTrack[[PA ID]:[PA ID]],$B19,CostTrack[[Vendor - Contract]:[Vendor - Contract]],$H19,CostTrack[[Holdback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9" s="504">
        <f ca="1">SUMIFS(CostTrack[[Value]:[Value]],CostTrack[[PA ID]:[PA ID]],$B19,CostTrack[[Vendor - Contract]:[Vendor - Contract]],$H19,CostTrack[[Holdback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9" s="504">
        <f ca="1">SUMIFS(CostTrack[[Value]:[Value]],CostTrack[[PA ID]:[PA ID]],$B19,CostTrack[[Vendor - Contract]:[Vendor - Contract]],$H19,CostTrack[[Holdback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9" s="504">
        <f ca="1">SUMIFS(CostTrack[[Value]:[Value]],CostTrack[[PA ID]:[PA ID]],$B19,CostTrack[[Vendor - Contract]:[Vendor - Contract]],$H19,CostTrack[[Holdback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9" s="504">
        <f ca="1">SUMIFS(CostTrack[[Value]:[Value]],CostTrack[[PA ID]:[PA ID]],$B19,CostTrack[[Vendor - Contract]:[Vendor - Contract]],$H19,CostTrack[[Holdback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9" s="504">
        <f ca="1">SUMIFS(CostTrack[[Value]:[Value]],CostTrack[[PA ID]:[PA ID]],$B19,CostTrack[[Vendor - Contract]:[Vendor - Contract]],$H19,CostTrack[[Holdback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9" s="504">
        <f ca="1">SUMIFS(CostTrack[[Value]:[Value]],CostTrack[[PA ID]:[PA ID]],$B19,CostTrack[[Vendor - Contract]:[Vendor - Contract]],$H19,CostTrack[[Holdback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9" s="504">
        <f ca="1">SUMIFS(CostTrack[[Value]:[Value]],CostTrack[[PA ID]:[PA ID]],$B19,CostTrack[[Vendor - Contract]:[Vendor - Contract]],$H19,CostTrack[[Holdback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9" s="504">
        <f ca="1">SUMIFS(CostTrack[[Value]:[Value]],CostTrack[[PA ID]:[PA ID]],$B19,CostTrack[[Vendor - Contract]:[Vendor - Contract]],$H19,CostTrack[[Holdback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9" s="512">
        <f t="shared" ca="1" si="19"/>
        <v>0</v>
      </c>
      <c r="BY19" s="504">
        <f ca="1">SUMIFS(CostTrack[[Value]:[Value]],CostTrack[[PA ID]:[PA ID]],$B19,CostTrack[[Vendor - Contract]:[Vendor - Contract]],$H19,CostTrack[[Holdback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9" s="504">
        <f ca="1">SUMIFS(CostTrack[[Value]:[Value]],CostTrack[[PA ID]:[PA ID]],$B19,CostTrack[[Vendor - Contract]:[Vendor - Contract]],$H19,CostTrack[[Holdback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960</v>
      </c>
      <c r="CA19" s="504">
        <f ca="1">SUMIFS(CostTrack[[Value]:[Value]],CostTrack[[PA ID]:[PA ID]],$B19,CostTrack[[Vendor - Contract]:[Vendor - Contract]],$H19,CostTrack[[Holdback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720</v>
      </c>
      <c r="CB19" s="504">
        <f ca="1">SUMIFS(CostTrack[[Value]:[Value]],CostTrack[[PA ID]:[PA ID]],$B19,CostTrack[[Vendor - Contract]:[Vendor - Contract]],$H19,CostTrack[[Holdback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9" s="504">
        <f ca="1">SUMIFS(CostTrack[[Value]:[Value]],CostTrack[[PA ID]:[PA ID]],$B19,CostTrack[[Vendor - Contract]:[Vendor - Contract]],$H19,CostTrack[[Holdback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1440</v>
      </c>
      <c r="CD19" s="504">
        <f ca="1">SUMIFS(CostTrack[[Value]:[Value]],CostTrack[[PA ID]:[PA ID]],$B19,CostTrack[[Vendor - Contract]:[Vendor - Contract]],$H19,CostTrack[[Holdback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1440</v>
      </c>
      <c r="CE19" s="504">
        <f ca="1">SUMIFS(CostTrack[[Value]:[Value]],CostTrack[[PA ID]:[PA ID]],$B19,CostTrack[[Vendor - Contract]:[Vendor - Contract]],$H19,CostTrack[[Holdback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1440</v>
      </c>
      <c r="CF19" s="504">
        <f ca="1">SUMIFS(CostTrack[[Value]:[Value]],CostTrack[[PA ID]:[PA ID]],$B19,CostTrack[[Vendor - Contract]:[Vendor - Contract]],$H19,CostTrack[[Holdback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9" s="504">
        <f ca="1">SUMIFS(CostTrack[[Value]:[Value]],CostTrack[[PA ID]:[PA ID]],$B19,CostTrack[[Vendor - Contract]:[Vendor - Contract]],$H19,CostTrack[[Holdback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9" s="504">
        <f ca="1">SUMIFS(CostTrack[[Value]:[Value]],CostTrack[[PA ID]:[PA ID]],$B19,CostTrack[[Vendor - Contract]:[Vendor - Contract]],$H19,CostTrack[[Holdback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9" s="504">
        <f ca="1">SUMIFS(CostTrack[[Value]:[Value]],CostTrack[[PA ID]:[PA ID]],$B19,CostTrack[[Vendor - Contract]:[Vendor - Contract]],$H19,CostTrack[[Holdback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9" s="504">
        <f ca="1">SUMIFS(CostTrack[[Value]:[Value]],CostTrack[[PA ID]:[PA ID]],$B19,CostTrack[[Vendor - Contract]:[Vendor - Contract]],$H19,CostTrack[[Holdback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960</v>
      </c>
      <c r="CK19" s="512">
        <f t="shared" ca="1" si="20"/>
        <v>6960</v>
      </c>
      <c r="CM19" s="504">
        <f ca="1">SUMIFS(CostTrack[[Value]:[Value]],CostTrack[[PA ID]:[PA ID]],$B19,CostTrack[[Vendor - Contract]:[Vendor - Contract]],$H19,CostTrack[[Holdback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850</v>
      </c>
      <c r="CN19" s="504">
        <f ca="1">SUMIFS(CostTrack[[Value]:[Value]],CostTrack[[PA ID]:[PA ID]],$B19,CostTrack[[Vendor - Contract]:[Vendor - Contract]],$H19,CostTrack[[Holdback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850</v>
      </c>
      <c r="CO19" s="504">
        <f ca="1">SUMIFS(CostTrack[[Value]:[Value]],CostTrack[[PA ID]:[PA ID]],$B19,CostTrack[[Vendor - Contract]:[Vendor - Contract]],$H19,CostTrack[[Holdback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2040</v>
      </c>
      <c r="CP19" s="504">
        <f ca="1">SUMIFS(CostTrack[[Value]:[Value]],CostTrack[[PA ID]:[PA ID]],$B19,CostTrack[[Vendor - Contract]:[Vendor - Contract]],$H19,CostTrack[[Holdback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1530</v>
      </c>
      <c r="CQ19" s="504">
        <f ca="1">SUMIFS(CostTrack[[Value]:[Value]],CostTrack[[PA ID]:[PA ID]],$B19,CostTrack[[Vendor - Contract]:[Vendor - Contract]],$H19,CostTrack[[Holdback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510</v>
      </c>
      <c r="CR19" s="504">
        <f ca="1">SUMIFS(CostTrack[[Value]:[Value]],CostTrack[[PA ID]:[PA ID]],$B19,CostTrack[[Vendor - Contract]:[Vendor - Contract]],$H19,CostTrack[[Holdback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2550</v>
      </c>
      <c r="CS19" s="504">
        <f ca="1">SUMIFS(CostTrack[[Value]:[Value]],CostTrack[[PA ID]:[PA ID]],$B19,CostTrack[[Vendor - Contract]:[Vendor - Contract]],$H19,CostTrack[[Holdback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1530</v>
      </c>
      <c r="CT19" s="504">
        <f ca="1">SUMIFS(CostTrack[[Value]:[Value]],CostTrack[[PA ID]:[PA ID]],$B19,CostTrack[[Vendor - Contract]:[Vendor - Contract]],$H19,CostTrack[[Holdback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2514</v>
      </c>
      <c r="CU19" s="504">
        <f ca="1">SUMIFS(CostTrack[[Value]:[Value]],CostTrack[[PA ID]:[PA ID]],$B19,CostTrack[[Vendor - Contract]:[Vendor - Contract]],$H19,CostTrack[[Holdback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1494</v>
      </c>
      <c r="CV19" s="504">
        <f ca="1">SUMIFS(CostTrack[[Value]:[Value]],CostTrack[[PA ID]:[PA ID]],$B19,CostTrack[[Vendor - Contract]:[Vendor - Contract]],$H19,CostTrack[[Holdback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9" s="504">
        <f ca="1">SUMIFS(CostTrack[[Value]:[Value]],CostTrack[[PA ID]:[PA ID]],$B19,CostTrack[[Vendor - Contract]:[Vendor - Contract]],$H19,CostTrack[[Holdback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9" s="504">
        <f ca="1">SUMIFS(CostTrack[[Value]:[Value]],CostTrack[[PA ID]:[PA ID]],$B19,CostTrack[[Vendor - Contract]:[Vendor - Contract]],$H19,CostTrack[[Holdback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1494</v>
      </c>
      <c r="CY19" s="512">
        <f t="shared" ca="1" si="21"/>
        <v>15362</v>
      </c>
      <c r="DA19" s="504">
        <f ca="1">SUMIFS(CostTrack[[Value]:[Value]],CostTrack[[PA ID]:[PA ID]],$B19,CostTrack[[Vendor - Contract]:[Vendor - Contract]],$H19,CostTrack[[Holdback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1494</v>
      </c>
      <c r="DB19" s="504">
        <f ca="1">SUMIFS(CostTrack[[Value]:[Value]],CostTrack[[PA ID]:[PA ID]],$B19,CostTrack[[Vendor - Contract]:[Vendor - Contract]],$H19,CostTrack[[Holdback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9" s="504">
        <f ca="1">SUMIFS(CostTrack[[Value]:[Value]],CostTrack[[PA ID]:[PA ID]],$B19,CostTrack[[Vendor - Contract]:[Vendor - Contract]],$H19,CostTrack[[Holdback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9" s="504">
        <f ca="1">SUMIFS(CostTrack[[Value]:[Value]],CostTrack[[PA ID]:[PA ID]],$B19,CostTrack[[Vendor - Contract]:[Vendor - Contract]],$H19,CostTrack[[Holdback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9" s="504">
        <f ca="1">SUMIFS(CostTrack[[Value]:[Value]],CostTrack[[PA ID]:[PA ID]],$B19,CostTrack[[Vendor - Contract]:[Vendor - Contract]],$H19,CostTrack[[Holdback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5976</v>
      </c>
      <c r="DF19" s="504">
        <f ca="1">SUMIFS(CostTrack[[Value]:[Value]],CostTrack[[PA ID]:[PA ID]],$B19,CostTrack[[Vendor - Contract]:[Vendor - Contract]],$H19,CostTrack[[Holdback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9" s="504">
        <f ca="1">SUMIFS(CostTrack[[Value]:[Value]],CostTrack[[PA ID]:[PA ID]],$B19,CostTrack[[Vendor - Contract]:[Vendor - Contract]],$H19,CostTrack[[Holdback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9" s="504">
        <f ca="1">SUMIFS(CostTrack[[Value]:[Value]],CostTrack[[PA ID]:[PA ID]],$B19,CostTrack[[Vendor - Contract]:[Vendor - Contract]],$H19,CostTrack[[Holdback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9" s="504">
        <f ca="1">SUMIFS(CostTrack[[Value]:[Value]],CostTrack[[PA ID]:[PA ID]],$B19,CostTrack[[Vendor - Contract]:[Vendor - Contract]],$H19,CostTrack[[Holdback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9" s="504">
        <f ca="1">SUMIFS(CostTrack[[Value]:[Value]],CostTrack[[PA ID]:[PA ID]],$B19,CostTrack[[Vendor - Contract]:[Vendor - Contract]],$H19,CostTrack[[Holdback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9" s="504">
        <f ca="1">SUMIFS(CostTrack[[Value]:[Value]],CostTrack[[PA ID]:[PA ID]],$B19,CostTrack[[Vendor - Contract]:[Vendor - Contract]],$H19,CostTrack[[Holdback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9" s="504">
        <f ca="1">SUMIFS(CostTrack[[Value]:[Value]],CostTrack[[PA ID]:[PA ID]],$B19,CostTrack[[Vendor - Contract]:[Vendor - Contract]],$H19,CostTrack[[Holdback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9" s="512">
        <f t="shared" ca="1" si="22"/>
        <v>7470</v>
      </c>
      <c r="DO19" s="504">
        <f ca="1">SUMIFS(CostTrack[[Value]:[Value]],CostTrack[[PA ID]:[PA ID]],$B19,CostTrack[[Vendor - Contract]:[Vendor - Contract]],$H19,CostTrack[[Holdback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9" s="504">
        <f ca="1">SUMIFS(CostTrack[[Value]:[Value]],CostTrack[[PA ID]:[PA ID]],$B19,CostTrack[[Vendor - Contract]:[Vendor - Contract]],$H19,CostTrack[[Holdback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9" s="504">
        <f ca="1">SUMIFS(CostTrack[[Value]:[Value]],CostTrack[[PA ID]:[PA ID]],$B19,CostTrack[[Vendor - Contract]:[Vendor - Contract]],$H19,CostTrack[[Holdback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1759</v>
      </c>
      <c r="DR19" s="504">
        <f ca="1">SUMIFS(CostTrack[[Value]:[Value]],CostTrack[[PA ID]:[PA ID]],$B19,CostTrack[[Vendor - Contract]:[Vendor - Contract]],$H19,CostTrack[[Holdback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9" s="504">
        <f ca="1">SUMIFS(CostTrack[[Value]:[Value]],CostTrack[[PA ID]:[PA ID]],$B19,CostTrack[[Vendor - Contract]:[Vendor - Contract]],$H19,CostTrack[[Holdback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9" s="504">
        <f ca="1">SUMIFS(CostTrack[[Value]:[Value]],CostTrack[[PA ID]:[PA ID]],$B19,CostTrack[[Vendor - Contract]:[Vendor - Contract]],$H19,CostTrack[[Holdback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9" s="504">
        <f ca="1">SUMIFS(CostTrack[[Value]:[Value]],CostTrack[[PA ID]:[PA ID]],$B19,CostTrack[[Vendor - Contract]:[Vendor - Contract]],$H19,CostTrack[[Holdback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9" s="504">
        <f ca="1">SUMIFS(CostTrack[[Value]:[Value]],CostTrack[[PA ID]:[PA ID]],$B19,CostTrack[[Vendor - Contract]:[Vendor - Contract]],$H19,CostTrack[[Holdback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9" s="504">
        <f ca="1">SUMIFS(CostTrack[[Value]:[Value]],CostTrack[[PA ID]:[PA ID]],$B19,CostTrack[[Vendor - Contract]:[Vendor - Contract]],$H19,CostTrack[[Holdback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9" s="504">
        <f ca="1">SUMIFS(CostTrack[[Value]:[Value]],CostTrack[[PA ID]:[PA ID]],$B19,CostTrack[[Vendor - Contract]:[Vendor - Contract]],$H19,CostTrack[[Holdback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9" s="504">
        <f ca="1">SUMIFS(CostTrack[[Value]:[Value]],CostTrack[[PA ID]:[PA ID]],$B19,CostTrack[[Vendor - Contract]:[Vendor - Contract]],$H19,CostTrack[[Holdback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9" s="504">
        <f ca="1">SUMIFS(CostTrack[[Value]:[Value]],CostTrack[[PA ID]:[PA ID]],$B19,CostTrack[[Vendor - Contract]:[Vendor - Contract]],$H19,CostTrack[[Holdback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9" s="512">
        <f t="shared" ca="1" si="23"/>
        <v>1759</v>
      </c>
      <c r="EC19" s="504">
        <f ca="1">SUMIFS(CostTrack[[Value]:[Value]],CostTrack[[PA ID]:[PA ID]],$B19,CostTrack[[Vendor - Contract]:[Vendor - Contract]],$H19,CostTrack[[Holdback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9" s="505"/>
      <c r="EE19" s="505"/>
      <c r="EF19" s="505"/>
      <c r="EG19" s="505"/>
      <c r="EH19" s="505"/>
      <c r="EI19" s="505"/>
      <c r="EJ19" s="505"/>
      <c r="EK19" s="505"/>
      <c r="EL19" s="505"/>
      <c r="EM19" s="505"/>
      <c r="EN19" s="505"/>
      <c r="EO19" s="512">
        <f t="shared" ca="1" si="24"/>
        <v>0</v>
      </c>
      <c r="EQ19" s="505"/>
      <c r="ER19" s="505"/>
      <c r="ES19" s="505"/>
      <c r="ET19" s="505"/>
      <c r="EU19" s="505"/>
      <c r="EV19" s="505"/>
      <c r="EW19" s="505"/>
      <c r="EX19" s="505"/>
      <c r="EY19" s="505"/>
      <c r="EZ19" s="505"/>
      <c r="FA19" s="505"/>
      <c r="FB19" s="505"/>
      <c r="FC19" s="512">
        <f t="shared" si="25"/>
        <v>0</v>
      </c>
      <c r="FE19" s="505"/>
      <c r="FF19" s="505"/>
      <c r="FG19" s="505"/>
      <c r="FH19" s="505"/>
      <c r="FI19" s="505"/>
      <c r="FJ19" s="505"/>
      <c r="FK19" s="505"/>
      <c r="FL19" s="505"/>
      <c r="FM19" s="505"/>
      <c r="FN19" s="505"/>
      <c r="FO19" s="505"/>
      <c r="FP19" s="505"/>
      <c r="FQ19" s="512">
        <f t="shared" si="26"/>
        <v>0</v>
      </c>
      <c r="FS19" s="504">
        <f t="shared" ca="1" si="27"/>
        <v>31551</v>
      </c>
    </row>
    <row r="20" spans="1:175">
      <c r="A20" s="216">
        <v>13</v>
      </c>
      <c r="B20" s="219" t="str">
        <f ca="1">INDEX(EAC[PA ID],MATCH($A20,EAC[Row],0))</f>
        <v>200.050.F1</v>
      </c>
      <c r="C20" s="218" t="str">
        <f ca="1">INDEX(EAC[Primary Category],MATCH($A20,EAC[Row],0))</f>
        <v>Professional Services</v>
      </c>
      <c r="D20" s="218" t="str">
        <f ca="1">INDEX(EAC[Secondary Category],MATCH($A20,EAC[Row],0))</f>
        <v>Other Professional Services</v>
      </c>
      <c r="E20" s="109" t="str">
        <f ca="1">INDEX(EAC[Phase / Subproject],MATCH($A20,EAC[Row],0))</f>
        <v>--</v>
      </c>
      <c r="F20" s="109" t="str">
        <f ca="1">INDEX(EAC[Phase / Subproject 2],MATCH($A20,EAC[Row],0))</f>
        <v>--</v>
      </c>
      <c r="G20" s="109" t="str">
        <f ca="1">INDEX(EAC[Funding Source],MATCH($A20,EAC[Row],0))</f>
        <v>P-002360</v>
      </c>
      <c r="H20" s="146" t="str">
        <f ca="1">INDEX(EAC[Vendor / Org. with Contract ID],MATCH($A20,EAC[Row],0))</f>
        <v>Canadian Infrared Ltd. - Roofing Inspectinos-39222</v>
      </c>
      <c r="I20" s="502">
        <f ca="1">INDEX(EAC[Estimate At Completion],MATCH($A20,EAC[Row],0))</f>
        <v>7434.6</v>
      </c>
      <c r="J20" s="502">
        <f ca="1">SUMIFS(CostTrack[Value],CostTrack[Vendor - Contract],$H20,CostTrack[PA ID],$B20,CostTrack[Holdback (Y/N/R)],"&lt;&gt;Release",CostTrack[Status],"Approved")</f>
        <v>7434.6000000000013</v>
      </c>
      <c r="K20" s="503">
        <f t="shared" ca="1" si="14"/>
        <v>-9.0949470177292824E-13</v>
      </c>
      <c r="M20" s="504">
        <f t="shared" ca="1" si="15"/>
        <v>0</v>
      </c>
      <c r="O20" s="504">
        <f t="shared" ca="1" si="11"/>
        <v>7434.6000000000013</v>
      </c>
      <c r="P20" s="504">
        <f t="array" aca="1" ref="P20" ca="1">SUM($U20:$FQ20*_xlfn.ISFORMULA($U20:$FQ20)*ISNUMBER($U$7:$FQ$7)*--(INDEX($U$6:$FQ$6,N(IF({1},COLUMN($U$6:$FQ$6)-COLUMN($T$6)))-MOD(N(IF({1},COLUMN($U$6:$FQ$6)-COLUMN($U$6))),14))="Current Fiscal"))</f>
        <v>0</v>
      </c>
      <c r="Q20" s="504">
        <f t="array" aca="1" ref="Q20" ca="1">SUM($U20:$FQ20*NOT(_xlfn.ISFORMULA($U20:$FQ20))*ISNUMBER($U$7:$FQ$7)*--(INDEX($U$6:$FQ$6,N(IF({1},COLUMN($U$6:$FQ$6)-COLUMN($T$6)))-MOD(N(IF({1},COLUMN($U$6:$FQ$6)-COLUMN($U$6))),14))="Current Fiscal"))</f>
        <v>0</v>
      </c>
      <c r="R20" s="504">
        <f t="shared" ca="1" si="12"/>
        <v>0</v>
      </c>
      <c r="S20" s="504">
        <f t="shared" ca="1" si="13"/>
        <v>0</v>
      </c>
      <c r="U20" s="504">
        <f ca="1">SUMIFS(CostTrack[[Value]:[Value]],CostTrack[[PA ID]:[PA ID]],$B20,CostTrack[[Vendor - Contract]:[Vendor - Contract]],$H20,CostTrack[[Holdback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20" s="504">
        <f ca="1">SUMIFS(CostTrack[[Value]:[Value]],CostTrack[[PA ID]:[PA ID]],$B20,CostTrack[[Vendor - Contract]:[Vendor - Contract]],$H20,CostTrack[[Holdback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20" s="504">
        <f ca="1">SUMIFS(CostTrack[[Value]:[Value]],CostTrack[[PA ID]:[PA ID]],$B20,CostTrack[[Vendor - Contract]:[Vendor - Contract]],$H20,CostTrack[[Holdback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20" s="504">
        <f ca="1">SUMIFS(CostTrack[[Value]:[Value]],CostTrack[[PA ID]:[PA ID]],$B20,CostTrack[[Vendor - Contract]:[Vendor - Contract]],$H20,CostTrack[[Holdback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20" s="504">
        <f ca="1">SUMIFS(CostTrack[[Value]:[Value]],CostTrack[[PA ID]:[PA ID]],$B20,CostTrack[[Vendor - Contract]:[Vendor - Contract]],$H20,CostTrack[[Holdback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20" s="504">
        <f ca="1">SUMIFS(CostTrack[[Value]:[Value]],CostTrack[[PA ID]:[PA ID]],$B20,CostTrack[[Vendor - Contract]:[Vendor - Contract]],$H20,CostTrack[[Holdback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20" s="504">
        <f ca="1">SUMIFS(CostTrack[[Value]:[Value]],CostTrack[[PA ID]:[PA ID]],$B20,CostTrack[[Vendor - Contract]:[Vendor - Contract]],$H20,CostTrack[[Holdback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20" s="504">
        <f ca="1">SUMIFS(CostTrack[[Value]:[Value]],CostTrack[[PA ID]:[PA ID]],$B20,CostTrack[[Vendor - Contract]:[Vendor - Contract]],$H20,CostTrack[[Holdback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20" s="504">
        <f ca="1">SUMIFS(CostTrack[[Value]:[Value]],CostTrack[[PA ID]:[PA ID]],$B20,CostTrack[[Vendor - Contract]:[Vendor - Contract]],$H20,CostTrack[[Holdback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20" s="504">
        <f ca="1">SUMIFS(CostTrack[[Value]:[Value]],CostTrack[[PA ID]:[PA ID]],$B20,CostTrack[[Vendor - Contract]:[Vendor - Contract]],$H20,CostTrack[[Holdback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20" s="504">
        <f ca="1">SUMIFS(CostTrack[[Value]:[Value]],CostTrack[[PA ID]:[PA ID]],$B20,CostTrack[[Vendor - Contract]:[Vendor - Contract]],$H20,CostTrack[[Holdback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20" s="504">
        <f ca="1">SUMIFS(CostTrack[[Value]:[Value]],CostTrack[[PA ID]:[PA ID]],$B20,CostTrack[[Vendor - Contract]:[Vendor - Contract]],$H20,CostTrack[[Holdback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20" s="506">
        <f ca="1">SUM(U20:AF20)</f>
        <v>0</v>
      </c>
      <c r="AI20" s="504">
        <f ca="1">SUMIFS(CostTrack[[Value]:[Value]],CostTrack[[PA ID]:[PA ID]],$B20,CostTrack[[Vendor - Contract]:[Vendor - Contract]],$H20,CostTrack[[Holdback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20" s="504">
        <f ca="1">SUMIFS(CostTrack[[Value]:[Value]],CostTrack[[PA ID]:[PA ID]],$B20,CostTrack[[Vendor - Contract]:[Vendor - Contract]],$H20,CostTrack[[Holdback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20" s="504">
        <f ca="1">SUMIFS(CostTrack[[Value]:[Value]],CostTrack[[PA ID]:[PA ID]],$B20,CostTrack[[Vendor - Contract]:[Vendor - Contract]],$H20,CostTrack[[Holdback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20" s="504">
        <f ca="1">SUMIFS(CostTrack[[Value]:[Value]],CostTrack[[PA ID]:[PA ID]],$B20,CostTrack[[Vendor - Contract]:[Vendor - Contract]],$H20,CostTrack[[Holdback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20" s="504">
        <f ca="1">SUMIFS(CostTrack[[Value]:[Value]],CostTrack[[PA ID]:[PA ID]],$B20,CostTrack[[Vendor - Contract]:[Vendor - Contract]],$H20,CostTrack[[Holdback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20" s="504">
        <f ca="1">SUMIFS(CostTrack[[Value]:[Value]],CostTrack[[PA ID]:[PA ID]],$B20,CostTrack[[Vendor - Contract]:[Vendor - Contract]],$H20,CostTrack[[Holdback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20" s="504">
        <f ca="1">SUMIFS(CostTrack[[Value]:[Value]],CostTrack[[PA ID]:[PA ID]],$B20,CostTrack[[Vendor - Contract]:[Vendor - Contract]],$H20,CostTrack[[Holdback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20" s="504">
        <f ca="1">SUMIFS(CostTrack[[Value]:[Value]],CostTrack[[PA ID]:[PA ID]],$B20,CostTrack[[Vendor - Contract]:[Vendor - Contract]],$H20,CostTrack[[Holdback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20" s="504">
        <f ca="1">SUMIFS(CostTrack[[Value]:[Value]],CostTrack[[PA ID]:[PA ID]],$B20,CostTrack[[Vendor - Contract]:[Vendor - Contract]],$H20,CostTrack[[Holdback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20" s="504">
        <f ca="1">SUMIFS(CostTrack[[Value]:[Value]],CostTrack[[PA ID]:[PA ID]],$B20,CostTrack[[Vendor - Contract]:[Vendor - Contract]],$H20,CostTrack[[Holdback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20" s="504">
        <f ca="1">SUMIFS(CostTrack[[Value]:[Value]],CostTrack[[PA ID]:[PA ID]],$B20,CostTrack[[Vendor - Contract]:[Vendor - Contract]],$H20,CostTrack[[Holdback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20" s="504">
        <f ca="1">SUMIFS(CostTrack[[Value]:[Value]],CostTrack[[PA ID]:[PA ID]],$B20,CostTrack[[Vendor - Contract]:[Vendor - Contract]],$H20,CostTrack[[Holdback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20" s="512">
        <f t="shared" ca="1" si="17"/>
        <v>0</v>
      </c>
      <c r="AW20" s="504">
        <f ca="1">SUMIFS(CostTrack[[Value]:[Value]],CostTrack[[PA ID]:[PA ID]],$B20,CostTrack[[Vendor - Contract]:[Vendor - Contract]],$H20,CostTrack[[Holdback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20" s="504">
        <f ca="1">SUMIFS(CostTrack[[Value]:[Value]],CostTrack[[PA ID]:[PA ID]],$B20,CostTrack[[Vendor - Contract]:[Vendor - Contract]],$H20,CostTrack[[Holdback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20" s="504">
        <f ca="1">SUMIFS(CostTrack[[Value]:[Value]],CostTrack[[PA ID]:[PA ID]],$B20,CostTrack[[Vendor - Contract]:[Vendor - Contract]],$H20,CostTrack[[Holdback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20" s="504">
        <f ca="1">SUMIFS(CostTrack[[Value]:[Value]],CostTrack[[PA ID]:[PA ID]],$B20,CostTrack[[Vendor - Contract]:[Vendor - Contract]],$H20,CostTrack[[Holdback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20" s="504">
        <f ca="1">SUMIFS(CostTrack[[Value]:[Value]],CostTrack[[PA ID]:[PA ID]],$B20,CostTrack[[Vendor - Contract]:[Vendor - Contract]],$H20,CostTrack[[Holdback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20" s="504">
        <f ca="1">SUMIFS(CostTrack[[Value]:[Value]],CostTrack[[PA ID]:[PA ID]],$B20,CostTrack[[Vendor - Contract]:[Vendor - Contract]],$H20,CostTrack[[Holdback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20" s="504">
        <f ca="1">SUMIFS(CostTrack[[Value]:[Value]],CostTrack[[PA ID]:[PA ID]],$B20,CostTrack[[Vendor - Contract]:[Vendor - Contract]],$H20,CostTrack[[Holdback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20" s="504">
        <f ca="1">SUMIFS(CostTrack[[Value]:[Value]],CostTrack[[PA ID]:[PA ID]],$B20,CostTrack[[Vendor - Contract]:[Vendor - Contract]],$H20,CostTrack[[Holdback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20" s="504">
        <f ca="1">SUMIFS(CostTrack[[Value]:[Value]],CostTrack[[PA ID]:[PA ID]],$B20,CostTrack[[Vendor - Contract]:[Vendor - Contract]],$H20,CostTrack[[Holdback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20" s="504">
        <f ca="1">SUMIFS(CostTrack[[Value]:[Value]],CostTrack[[PA ID]:[PA ID]],$B20,CostTrack[[Vendor - Contract]:[Vendor - Contract]],$H20,CostTrack[[Holdback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20" s="504">
        <f ca="1">SUMIFS(CostTrack[[Value]:[Value]],CostTrack[[PA ID]:[PA ID]],$B20,CostTrack[[Vendor - Contract]:[Vendor - Contract]],$H20,CostTrack[[Holdback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20" s="504">
        <f ca="1">SUMIFS(CostTrack[[Value]:[Value]],CostTrack[[PA ID]:[PA ID]],$B20,CostTrack[[Vendor - Contract]:[Vendor - Contract]],$H20,CostTrack[[Holdback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20" s="512">
        <f t="shared" ca="1" si="18"/>
        <v>0</v>
      </c>
      <c r="BK20" s="504">
        <f ca="1">SUMIFS(CostTrack[[Value]:[Value]],CostTrack[[PA ID]:[PA ID]],$B20,CostTrack[[Vendor - Contract]:[Vendor - Contract]],$H20,CostTrack[[Holdback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20" s="504">
        <f ca="1">SUMIFS(CostTrack[[Value]:[Value]],CostTrack[[PA ID]:[PA ID]],$B20,CostTrack[[Vendor - Contract]:[Vendor - Contract]],$H20,CostTrack[[Holdback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20" s="504">
        <f ca="1">SUMIFS(CostTrack[[Value]:[Value]],CostTrack[[PA ID]:[PA ID]],$B20,CostTrack[[Vendor - Contract]:[Vendor - Contract]],$H20,CostTrack[[Holdback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20" s="504">
        <f ca="1">SUMIFS(CostTrack[[Value]:[Value]],CostTrack[[PA ID]:[PA ID]],$B20,CostTrack[[Vendor - Contract]:[Vendor - Contract]],$H20,CostTrack[[Holdback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20" s="504">
        <f ca="1">SUMIFS(CostTrack[[Value]:[Value]],CostTrack[[PA ID]:[PA ID]],$B20,CostTrack[[Vendor - Contract]:[Vendor - Contract]],$H20,CostTrack[[Holdback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20" s="504">
        <f ca="1">SUMIFS(CostTrack[[Value]:[Value]],CostTrack[[PA ID]:[PA ID]],$B20,CostTrack[[Vendor - Contract]:[Vendor - Contract]],$H20,CostTrack[[Holdback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20" s="504">
        <f ca="1">SUMIFS(CostTrack[[Value]:[Value]],CostTrack[[PA ID]:[PA ID]],$B20,CostTrack[[Vendor - Contract]:[Vendor - Contract]],$H20,CostTrack[[Holdback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20" s="504">
        <f ca="1">SUMIFS(CostTrack[[Value]:[Value]],CostTrack[[PA ID]:[PA ID]],$B20,CostTrack[[Vendor - Contract]:[Vendor - Contract]],$H20,CostTrack[[Holdback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20" s="504">
        <f ca="1">SUMIFS(CostTrack[[Value]:[Value]],CostTrack[[PA ID]:[PA ID]],$B20,CostTrack[[Vendor - Contract]:[Vendor - Contract]],$H20,CostTrack[[Holdback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20" s="504">
        <f ca="1">SUMIFS(CostTrack[[Value]:[Value]],CostTrack[[PA ID]:[PA ID]],$B20,CostTrack[[Vendor - Contract]:[Vendor - Contract]],$H20,CostTrack[[Holdback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20" s="504">
        <f ca="1">SUMIFS(CostTrack[[Value]:[Value]],CostTrack[[PA ID]:[PA ID]],$B20,CostTrack[[Vendor - Contract]:[Vendor - Contract]],$H20,CostTrack[[Holdback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20" s="504">
        <f ca="1">SUMIFS(CostTrack[[Value]:[Value]],CostTrack[[PA ID]:[PA ID]],$B20,CostTrack[[Vendor - Contract]:[Vendor - Contract]],$H20,CostTrack[[Holdback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20" s="512">
        <f t="shared" ca="1" si="19"/>
        <v>0</v>
      </c>
      <c r="BY20" s="504">
        <f ca="1">SUMIFS(CostTrack[[Value]:[Value]],CostTrack[[PA ID]:[PA ID]],$B20,CostTrack[[Vendor - Contract]:[Vendor - Contract]],$H20,CostTrack[[Holdback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20" s="504">
        <f ca="1">SUMIFS(CostTrack[[Value]:[Value]],CostTrack[[PA ID]:[PA ID]],$B20,CostTrack[[Vendor - Contract]:[Vendor - Contract]],$H20,CostTrack[[Holdback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20" s="504">
        <f ca="1">SUMIFS(CostTrack[[Value]:[Value]],CostTrack[[PA ID]:[PA ID]],$B20,CostTrack[[Vendor - Contract]:[Vendor - Contract]],$H20,CostTrack[[Holdback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20" s="504">
        <f ca="1">SUMIFS(CostTrack[[Value]:[Value]],CostTrack[[PA ID]:[PA ID]],$B20,CostTrack[[Vendor - Contract]:[Vendor - Contract]],$H20,CostTrack[[Holdback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20" s="504">
        <f ca="1">SUMIFS(CostTrack[[Value]:[Value]],CostTrack[[PA ID]:[PA ID]],$B20,CostTrack[[Vendor - Contract]:[Vendor - Contract]],$H20,CostTrack[[Holdback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20" s="504">
        <f ca="1">SUMIFS(CostTrack[[Value]:[Value]],CostTrack[[PA ID]:[PA ID]],$B20,CostTrack[[Vendor - Contract]:[Vendor - Contract]],$H20,CostTrack[[Holdback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20" s="504">
        <f ca="1">SUMIFS(CostTrack[[Value]:[Value]],CostTrack[[PA ID]:[PA ID]],$B20,CostTrack[[Vendor - Contract]:[Vendor - Contract]],$H20,CostTrack[[Holdback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20" s="504">
        <f ca="1">SUMIFS(CostTrack[[Value]:[Value]],CostTrack[[PA ID]:[PA ID]],$B20,CostTrack[[Vendor - Contract]:[Vendor - Contract]],$H20,CostTrack[[Holdback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20" s="504">
        <f ca="1">SUMIFS(CostTrack[[Value]:[Value]],CostTrack[[PA ID]:[PA ID]],$B20,CostTrack[[Vendor - Contract]:[Vendor - Contract]],$H20,CostTrack[[Holdback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20" s="504">
        <f ca="1">SUMIFS(CostTrack[[Value]:[Value]],CostTrack[[PA ID]:[PA ID]],$B20,CostTrack[[Vendor - Contract]:[Vendor - Contract]],$H20,CostTrack[[Holdback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20" s="504">
        <f ca="1">SUMIFS(CostTrack[[Value]:[Value]],CostTrack[[PA ID]:[PA ID]],$B20,CostTrack[[Vendor - Contract]:[Vendor - Contract]],$H20,CostTrack[[Holdback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20" s="504">
        <f ca="1">SUMIFS(CostTrack[[Value]:[Value]],CostTrack[[PA ID]:[PA ID]],$B20,CostTrack[[Vendor - Contract]:[Vendor - Contract]],$H20,CostTrack[[Holdback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20" s="512">
        <f t="shared" ca="1" si="20"/>
        <v>0</v>
      </c>
      <c r="CM20" s="504">
        <f ca="1">SUMIFS(CostTrack[[Value]:[Value]],CostTrack[[PA ID]:[PA ID]],$B20,CostTrack[[Vendor - Contract]:[Vendor - Contract]],$H20,CostTrack[[Holdback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20" s="504">
        <f ca="1">SUMIFS(CostTrack[[Value]:[Value]],CostTrack[[PA ID]:[PA ID]],$B20,CostTrack[[Vendor - Contract]:[Vendor - Contract]],$H20,CostTrack[[Holdback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20" s="504">
        <f ca="1">SUMIFS(CostTrack[[Value]:[Value]],CostTrack[[PA ID]:[PA ID]],$B20,CostTrack[[Vendor - Contract]:[Vendor - Contract]],$H20,CostTrack[[Holdback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20" s="504">
        <f ca="1">SUMIFS(CostTrack[[Value]:[Value]],CostTrack[[PA ID]:[PA ID]],$B20,CostTrack[[Vendor - Contract]:[Vendor - Contract]],$H20,CostTrack[[Holdback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20" s="504">
        <f ca="1">SUMIFS(CostTrack[[Value]:[Value]],CostTrack[[PA ID]:[PA ID]],$B20,CostTrack[[Vendor - Contract]:[Vendor - Contract]],$H20,CostTrack[[Holdback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2347.8000000000002</v>
      </c>
      <c r="CR20" s="504">
        <f ca="1">SUMIFS(CostTrack[[Value]:[Value]],CostTrack[[PA ID]:[PA ID]],$B20,CostTrack[[Vendor - Contract]:[Vendor - Contract]],$H20,CostTrack[[Holdback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2260.8000000000002</v>
      </c>
      <c r="CS20" s="504">
        <f ca="1">SUMIFS(CostTrack[[Value]:[Value]],CostTrack[[PA ID]:[PA ID]],$B20,CostTrack[[Vendor - Contract]:[Vendor - Contract]],$H20,CostTrack[[Holdback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20" s="504">
        <f ca="1">SUMIFS(CostTrack[[Value]:[Value]],CostTrack[[PA ID]:[PA ID]],$B20,CostTrack[[Vendor - Contract]:[Vendor - Contract]],$H20,CostTrack[[Holdback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20" s="504">
        <f ca="1">SUMIFS(CostTrack[[Value]:[Value]],CostTrack[[PA ID]:[PA ID]],$B20,CostTrack[[Vendor - Contract]:[Vendor - Contract]],$H20,CostTrack[[Holdback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20" s="504">
        <f ca="1">SUMIFS(CostTrack[[Value]:[Value]],CostTrack[[PA ID]:[PA ID]],$B20,CostTrack[[Vendor - Contract]:[Vendor - Contract]],$H20,CostTrack[[Holdback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847.8</v>
      </c>
      <c r="CW20" s="504">
        <f ca="1">SUMIFS(CostTrack[[Value]:[Value]],CostTrack[[PA ID]:[PA ID]],$B20,CostTrack[[Vendor - Contract]:[Vendor - Contract]],$H20,CostTrack[[Holdback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1130.4000000000001</v>
      </c>
      <c r="CX20" s="504">
        <f ca="1">SUMIFS(CostTrack[[Value]:[Value]],CostTrack[[PA ID]:[PA ID]],$B20,CostTrack[[Vendor - Contract]:[Vendor - Contract]],$H20,CostTrack[[Holdback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20" s="512">
        <f t="shared" ca="1" si="21"/>
        <v>6586.8000000000011</v>
      </c>
      <c r="DA20" s="504">
        <f ca="1">SUMIFS(CostTrack[[Value]:[Value]],CostTrack[[PA ID]:[PA ID]],$B20,CostTrack[[Vendor - Contract]:[Vendor - Contract]],$H20,CostTrack[[Holdback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20" s="504">
        <f ca="1">SUMIFS(CostTrack[[Value]:[Value]],CostTrack[[PA ID]:[PA ID]],$B20,CostTrack[[Vendor - Contract]:[Vendor - Contract]],$H20,CostTrack[[Holdback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20" s="504">
        <f ca="1">SUMIFS(CostTrack[[Value]:[Value]],CostTrack[[PA ID]:[PA ID]],$B20,CostTrack[[Vendor - Contract]:[Vendor - Contract]],$H20,CostTrack[[Holdback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20" s="504">
        <f ca="1">SUMIFS(CostTrack[[Value]:[Value]],CostTrack[[PA ID]:[PA ID]],$B20,CostTrack[[Vendor - Contract]:[Vendor - Contract]],$H20,CostTrack[[Holdback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20" s="504">
        <f ca="1">SUMIFS(CostTrack[[Value]:[Value]],CostTrack[[PA ID]:[PA ID]],$B20,CostTrack[[Vendor - Contract]:[Vendor - Contract]],$H20,CostTrack[[Holdback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565.20000000000005</v>
      </c>
      <c r="DF20" s="504">
        <f ca="1">SUMIFS(CostTrack[[Value]:[Value]],CostTrack[[PA ID]:[PA ID]],$B20,CostTrack[[Vendor - Contract]:[Vendor - Contract]],$H20,CostTrack[[Holdback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20" s="504">
        <f ca="1">SUMIFS(CostTrack[[Value]:[Value]],CostTrack[[PA ID]:[PA ID]],$B20,CostTrack[[Vendor - Contract]:[Vendor - Contract]],$H20,CostTrack[[Holdback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20" s="504">
        <f ca="1">SUMIFS(CostTrack[[Value]:[Value]],CostTrack[[PA ID]:[PA ID]],$B20,CostTrack[[Vendor - Contract]:[Vendor - Contract]],$H20,CostTrack[[Holdback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20" s="504">
        <f ca="1">SUMIFS(CostTrack[[Value]:[Value]],CostTrack[[PA ID]:[PA ID]],$B20,CostTrack[[Vendor - Contract]:[Vendor - Contract]],$H20,CostTrack[[Holdback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20" s="504">
        <f ca="1">SUMIFS(CostTrack[[Value]:[Value]],CostTrack[[PA ID]:[PA ID]],$B20,CostTrack[[Vendor - Contract]:[Vendor - Contract]],$H20,CostTrack[[Holdback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20" s="504">
        <f ca="1">SUMIFS(CostTrack[[Value]:[Value]],CostTrack[[PA ID]:[PA ID]],$B20,CostTrack[[Vendor - Contract]:[Vendor - Contract]],$H20,CostTrack[[Holdback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20" s="504">
        <f ca="1">SUMIFS(CostTrack[[Value]:[Value]],CostTrack[[PA ID]:[PA ID]],$B20,CostTrack[[Vendor - Contract]:[Vendor - Contract]],$H20,CostTrack[[Holdback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20" s="512">
        <f t="shared" ca="1" si="22"/>
        <v>565.20000000000005</v>
      </c>
      <c r="DO20" s="504">
        <f ca="1">SUMIFS(CostTrack[[Value]:[Value]],CostTrack[[PA ID]:[PA ID]],$B20,CostTrack[[Vendor - Contract]:[Vendor - Contract]],$H20,CostTrack[[Holdback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20" s="504">
        <f ca="1">SUMIFS(CostTrack[[Value]:[Value]],CostTrack[[PA ID]:[PA ID]],$B20,CostTrack[[Vendor - Contract]:[Vendor - Contract]],$H20,CostTrack[[Holdback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282.60000000000002</v>
      </c>
      <c r="DQ20" s="504">
        <f ca="1">SUMIFS(CostTrack[[Value]:[Value]],CostTrack[[PA ID]:[PA ID]],$B20,CostTrack[[Vendor - Contract]:[Vendor - Contract]],$H20,CostTrack[[Holdback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20" s="504">
        <f ca="1">SUMIFS(CostTrack[[Value]:[Value]],CostTrack[[PA ID]:[PA ID]],$B20,CostTrack[[Vendor - Contract]:[Vendor - Contract]],$H20,CostTrack[[Holdback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20" s="504">
        <f ca="1">SUMIFS(CostTrack[[Value]:[Value]],CostTrack[[PA ID]:[PA ID]],$B20,CostTrack[[Vendor - Contract]:[Vendor - Contract]],$H20,CostTrack[[Holdback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20" s="504">
        <f ca="1">SUMIFS(CostTrack[[Value]:[Value]],CostTrack[[PA ID]:[PA ID]],$B20,CostTrack[[Vendor - Contract]:[Vendor - Contract]],$H20,CostTrack[[Holdback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20" s="504">
        <f ca="1">SUMIFS(CostTrack[[Value]:[Value]],CostTrack[[PA ID]:[PA ID]],$B20,CostTrack[[Vendor - Contract]:[Vendor - Contract]],$H20,CostTrack[[Holdback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20" s="504">
        <f ca="1">SUMIFS(CostTrack[[Value]:[Value]],CostTrack[[PA ID]:[PA ID]],$B20,CostTrack[[Vendor - Contract]:[Vendor - Contract]],$H20,CostTrack[[Holdback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20" s="504">
        <f ca="1">SUMIFS(CostTrack[[Value]:[Value]],CostTrack[[PA ID]:[PA ID]],$B20,CostTrack[[Vendor - Contract]:[Vendor - Contract]],$H20,CostTrack[[Holdback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20" s="504">
        <f ca="1">SUMIFS(CostTrack[[Value]:[Value]],CostTrack[[PA ID]:[PA ID]],$B20,CostTrack[[Vendor - Contract]:[Vendor - Contract]],$H20,CostTrack[[Holdback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20" s="504">
        <f ca="1">SUMIFS(CostTrack[[Value]:[Value]],CostTrack[[PA ID]:[PA ID]],$B20,CostTrack[[Vendor - Contract]:[Vendor - Contract]],$H20,CostTrack[[Holdback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20" s="504">
        <f ca="1">SUMIFS(CostTrack[[Value]:[Value]],CostTrack[[PA ID]:[PA ID]],$B20,CostTrack[[Vendor - Contract]:[Vendor - Contract]],$H20,CostTrack[[Holdback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20" s="512">
        <f t="shared" ca="1" si="23"/>
        <v>282.60000000000002</v>
      </c>
      <c r="EC20" s="504">
        <f ca="1">SUMIFS(CostTrack[[Value]:[Value]],CostTrack[[PA ID]:[PA ID]],$B20,CostTrack[[Vendor - Contract]:[Vendor - Contract]],$H20,CostTrack[[Holdback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20" s="505"/>
      <c r="EE20" s="505"/>
      <c r="EF20" s="505"/>
      <c r="EG20" s="505"/>
      <c r="EH20" s="505"/>
      <c r="EI20" s="505"/>
      <c r="EJ20" s="505"/>
      <c r="EK20" s="505"/>
      <c r="EL20" s="505"/>
      <c r="EM20" s="505"/>
      <c r="EN20" s="505"/>
      <c r="EO20" s="512">
        <f t="shared" ca="1" si="24"/>
        <v>0</v>
      </c>
      <c r="EQ20" s="505"/>
      <c r="ER20" s="505"/>
      <c r="ES20" s="505"/>
      <c r="ET20" s="505"/>
      <c r="EU20" s="505"/>
      <c r="EV20" s="505"/>
      <c r="EW20" s="505"/>
      <c r="EX20" s="505"/>
      <c r="EY20" s="505"/>
      <c r="EZ20" s="505"/>
      <c r="FA20" s="505"/>
      <c r="FB20" s="505"/>
      <c r="FC20" s="512">
        <f t="shared" si="25"/>
        <v>0</v>
      </c>
      <c r="FE20" s="505"/>
      <c r="FF20" s="505"/>
      <c r="FG20" s="505"/>
      <c r="FH20" s="505"/>
      <c r="FI20" s="505"/>
      <c r="FJ20" s="505"/>
      <c r="FK20" s="505"/>
      <c r="FL20" s="505"/>
      <c r="FM20" s="505"/>
      <c r="FN20" s="505"/>
      <c r="FO20" s="505"/>
      <c r="FP20" s="505"/>
      <c r="FQ20" s="512">
        <f t="shared" si="26"/>
        <v>0</v>
      </c>
      <c r="FS20" s="504">
        <f t="shared" ca="1" si="27"/>
        <v>7434.6000000000013</v>
      </c>
    </row>
    <row r="21" spans="1:175">
      <c r="A21" s="216">
        <v>14</v>
      </c>
      <c r="B21" s="219" t="str">
        <f ca="1">INDEX(EAC[PA ID],MATCH($A21,EAC[Row],0))</f>
        <v>200.050.F1</v>
      </c>
      <c r="C21" s="218" t="str">
        <f ca="1">INDEX(EAC[Primary Category],MATCH($A21,EAC[Row],0))</f>
        <v>Professional Services</v>
      </c>
      <c r="D21" s="218" t="str">
        <f ca="1">INDEX(EAC[Secondary Category],MATCH($A21,EAC[Row],0))</f>
        <v>Other Professional Services</v>
      </c>
      <c r="E21" s="109" t="str">
        <f ca="1">INDEX(EAC[Phase / Subproject],MATCH($A21,EAC[Row],0))</f>
        <v>--</v>
      </c>
      <c r="F21" s="109" t="str">
        <f ca="1">INDEX(EAC[Phase / Subproject 2],MATCH($A21,EAC[Row],0))</f>
        <v>--</v>
      </c>
      <c r="G21" s="109" t="str">
        <f ca="1">INDEX(EAC[Funding Source],MATCH($A21,EAC[Row],0))</f>
        <v>P-002360</v>
      </c>
      <c r="H21" s="146" t="str">
        <f ca="1">INDEX(EAC[Vendor / Org. with Contract ID],MATCH($A21,EAC[Row],0))</f>
        <v>Future / Not Awarded</v>
      </c>
      <c r="I21" s="502">
        <f ca="1">INDEX(EAC[Estimate At Completion],MATCH($A21,EAC[Row],0))</f>
        <v>30000</v>
      </c>
      <c r="J21" s="502">
        <f ca="1">SUMIFS(CostTrack[Value],CostTrack[Vendor - Contract],$H21,CostTrack[PA ID],$B21,CostTrack[Holdback (Y/N/R)],"&lt;&gt;Release",CostTrack[Status],"Approved")</f>
        <v>0</v>
      </c>
      <c r="K21" s="503">
        <f t="shared" ca="1" si="14"/>
        <v>30000</v>
      </c>
      <c r="M21" s="504">
        <f t="shared" ca="1" si="15"/>
        <v>0</v>
      </c>
      <c r="O21" s="504">
        <f t="shared" ca="1" si="11"/>
        <v>0</v>
      </c>
      <c r="P21" s="504">
        <f t="array" aca="1" ref="P21" ca="1">SUM($U21:$FQ21*_xlfn.ISFORMULA($U21:$FQ21)*ISNUMBER($U$7:$FQ$7)*--(INDEX($U$6:$FQ$6,N(IF({1},COLUMN($U$6:$FQ$6)-COLUMN($T$6)))-MOD(N(IF({1},COLUMN($U$6:$FQ$6)-COLUMN($U$6))),14))="Current Fiscal"))</f>
        <v>0</v>
      </c>
      <c r="Q21" s="504">
        <f t="array" aca="1" ref="Q21" ca="1">SUM($U21:$FQ21*NOT(_xlfn.ISFORMULA($U21:$FQ21))*ISNUMBER($U$7:$FQ$7)*--(INDEX($U$6:$FQ$6,N(IF({1},COLUMN($U$6:$FQ$6)-COLUMN($T$6)))-MOD(N(IF({1},COLUMN($U$6:$FQ$6)-COLUMN($U$6))),14))="Current Fiscal"))</f>
        <v>30000</v>
      </c>
      <c r="R21" s="504">
        <f t="shared" ca="1" si="12"/>
        <v>30000</v>
      </c>
      <c r="S21" s="504">
        <f t="shared" ca="1" si="13"/>
        <v>0</v>
      </c>
      <c r="U21" s="504">
        <f ca="1">SUMIFS(CostTrack[[Value]:[Value]],CostTrack[[PA ID]:[PA ID]],$B21,CostTrack[[Vendor - Contract]:[Vendor - Contract]],$H21,CostTrack[[Holdback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21" s="504">
        <f ca="1">SUMIFS(CostTrack[[Value]:[Value]],CostTrack[[PA ID]:[PA ID]],$B21,CostTrack[[Vendor - Contract]:[Vendor - Contract]],$H21,CostTrack[[Holdback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21" s="504">
        <f ca="1">SUMIFS(CostTrack[[Value]:[Value]],CostTrack[[PA ID]:[PA ID]],$B21,CostTrack[[Vendor - Contract]:[Vendor - Contract]],$H21,CostTrack[[Holdback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21" s="504">
        <f ca="1">SUMIFS(CostTrack[[Value]:[Value]],CostTrack[[PA ID]:[PA ID]],$B21,CostTrack[[Vendor - Contract]:[Vendor - Contract]],$H21,CostTrack[[Holdback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21" s="504">
        <f ca="1">SUMIFS(CostTrack[[Value]:[Value]],CostTrack[[PA ID]:[PA ID]],$B21,CostTrack[[Vendor - Contract]:[Vendor - Contract]],$H21,CostTrack[[Holdback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21" s="504">
        <f ca="1">SUMIFS(CostTrack[[Value]:[Value]],CostTrack[[PA ID]:[PA ID]],$B21,CostTrack[[Vendor - Contract]:[Vendor - Contract]],$H21,CostTrack[[Holdback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21" s="504">
        <f ca="1">SUMIFS(CostTrack[[Value]:[Value]],CostTrack[[PA ID]:[PA ID]],$B21,CostTrack[[Vendor - Contract]:[Vendor - Contract]],$H21,CostTrack[[Holdback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21" s="504">
        <f ca="1">SUMIFS(CostTrack[[Value]:[Value]],CostTrack[[PA ID]:[PA ID]],$B21,CostTrack[[Vendor - Contract]:[Vendor - Contract]],$H21,CostTrack[[Holdback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21" s="504">
        <f ca="1">SUMIFS(CostTrack[[Value]:[Value]],CostTrack[[PA ID]:[PA ID]],$B21,CostTrack[[Vendor - Contract]:[Vendor - Contract]],$H21,CostTrack[[Holdback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21" s="504">
        <f ca="1">SUMIFS(CostTrack[[Value]:[Value]],CostTrack[[PA ID]:[PA ID]],$B21,CostTrack[[Vendor - Contract]:[Vendor - Contract]],$H21,CostTrack[[Holdback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21" s="504">
        <f ca="1">SUMIFS(CostTrack[[Value]:[Value]],CostTrack[[PA ID]:[PA ID]],$B21,CostTrack[[Vendor - Contract]:[Vendor - Contract]],$H21,CostTrack[[Holdback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21" s="504">
        <f ca="1">SUMIFS(CostTrack[[Value]:[Value]],CostTrack[[PA ID]:[PA ID]],$B21,CostTrack[[Vendor - Contract]:[Vendor - Contract]],$H21,CostTrack[[Holdback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21" s="506">
        <f t="shared" ca="1" si="16"/>
        <v>0</v>
      </c>
      <c r="AI21" s="504">
        <f ca="1">SUMIFS(CostTrack[[Value]:[Value]],CostTrack[[PA ID]:[PA ID]],$B21,CostTrack[[Vendor - Contract]:[Vendor - Contract]],$H21,CostTrack[[Holdback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21" s="504">
        <f ca="1">SUMIFS(CostTrack[[Value]:[Value]],CostTrack[[PA ID]:[PA ID]],$B21,CostTrack[[Vendor - Contract]:[Vendor - Contract]],$H21,CostTrack[[Holdback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21" s="504">
        <f ca="1">SUMIFS(CostTrack[[Value]:[Value]],CostTrack[[PA ID]:[PA ID]],$B21,CostTrack[[Vendor - Contract]:[Vendor - Contract]],$H21,CostTrack[[Holdback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21" s="504">
        <f ca="1">SUMIFS(CostTrack[[Value]:[Value]],CostTrack[[PA ID]:[PA ID]],$B21,CostTrack[[Vendor - Contract]:[Vendor - Contract]],$H21,CostTrack[[Holdback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21" s="504">
        <f ca="1">SUMIFS(CostTrack[[Value]:[Value]],CostTrack[[PA ID]:[PA ID]],$B21,CostTrack[[Vendor - Contract]:[Vendor - Contract]],$H21,CostTrack[[Holdback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21" s="504">
        <f ca="1">SUMIFS(CostTrack[[Value]:[Value]],CostTrack[[PA ID]:[PA ID]],$B21,CostTrack[[Vendor - Contract]:[Vendor - Contract]],$H21,CostTrack[[Holdback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21" s="504">
        <f ca="1">SUMIFS(CostTrack[[Value]:[Value]],CostTrack[[PA ID]:[PA ID]],$B21,CostTrack[[Vendor - Contract]:[Vendor - Contract]],$H21,CostTrack[[Holdback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21" s="504">
        <f ca="1">SUMIFS(CostTrack[[Value]:[Value]],CostTrack[[PA ID]:[PA ID]],$B21,CostTrack[[Vendor - Contract]:[Vendor - Contract]],$H21,CostTrack[[Holdback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21" s="504">
        <f ca="1">SUMIFS(CostTrack[[Value]:[Value]],CostTrack[[PA ID]:[PA ID]],$B21,CostTrack[[Vendor - Contract]:[Vendor - Contract]],$H21,CostTrack[[Holdback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21" s="504">
        <f ca="1">SUMIFS(CostTrack[[Value]:[Value]],CostTrack[[PA ID]:[PA ID]],$B21,CostTrack[[Vendor - Contract]:[Vendor - Contract]],$H21,CostTrack[[Holdback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21" s="504">
        <f ca="1">SUMIFS(CostTrack[[Value]:[Value]],CostTrack[[PA ID]:[PA ID]],$B21,CostTrack[[Vendor - Contract]:[Vendor - Contract]],$H21,CostTrack[[Holdback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21" s="504">
        <f ca="1">SUMIFS(CostTrack[[Value]:[Value]],CostTrack[[PA ID]:[PA ID]],$B21,CostTrack[[Vendor - Contract]:[Vendor - Contract]],$H21,CostTrack[[Holdback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21" s="512">
        <f t="shared" ca="1" si="17"/>
        <v>0</v>
      </c>
      <c r="AW21" s="504">
        <f ca="1">SUMIFS(CostTrack[[Value]:[Value]],CostTrack[[PA ID]:[PA ID]],$B21,CostTrack[[Vendor - Contract]:[Vendor - Contract]],$H21,CostTrack[[Holdback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21" s="504">
        <f ca="1">SUMIFS(CostTrack[[Value]:[Value]],CostTrack[[PA ID]:[PA ID]],$B21,CostTrack[[Vendor - Contract]:[Vendor - Contract]],$H21,CostTrack[[Holdback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21" s="504">
        <f ca="1">SUMIFS(CostTrack[[Value]:[Value]],CostTrack[[PA ID]:[PA ID]],$B21,CostTrack[[Vendor - Contract]:[Vendor - Contract]],$H21,CostTrack[[Holdback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21" s="504">
        <f ca="1">SUMIFS(CostTrack[[Value]:[Value]],CostTrack[[PA ID]:[PA ID]],$B21,CostTrack[[Vendor - Contract]:[Vendor - Contract]],$H21,CostTrack[[Holdback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21" s="504">
        <f ca="1">SUMIFS(CostTrack[[Value]:[Value]],CostTrack[[PA ID]:[PA ID]],$B21,CostTrack[[Vendor - Contract]:[Vendor - Contract]],$H21,CostTrack[[Holdback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21" s="504">
        <f ca="1">SUMIFS(CostTrack[[Value]:[Value]],CostTrack[[PA ID]:[PA ID]],$B21,CostTrack[[Vendor - Contract]:[Vendor - Contract]],$H21,CostTrack[[Holdback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21" s="504">
        <f ca="1">SUMIFS(CostTrack[[Value]:[Value]],CostTrack[[PA ID]:[PA ID]],$B21,CostTrack[[Vendor - Contract]:[Vendor - Contract]],$H21,CostTrack[[Holdback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21" s="504">
        <f ca="1">SUMIFS(CostTrack[[Value]:[Value]],CostTrack[[PA ID]:[PA ID]],$B21,CostTrack[[Vendor - Contract]:[Vendor - Contract]],$H21,CostTrack[[Holdback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21" s="504">
        <f ca="1">SUMIFS(CostTrack[[Value]:[Value]],CostTrack[[PA ID]:[PA ID]],$B21,CostTrack[[Vendor - Contract]:[Vendor - Contract]],$H21,CostTrack[[Holdback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21" s="504">
        <f ca="1">SUMIFS(CostTrack[[Value]:[Value]],CostTrack[[PA ID]:[PA ID]],$B21,CostTrack[[Vendor - Contract]:[Vendor - Contract]],$H21,CostTrack[[Holdback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21" s="504">
        <f ca="1">SUMIFS(CostTrack[[Value]:[Value]],CostTrack[[PA ID]:[PA ID]],$B21,CostTrack[[Vendor - Contract]:[Vendor - Contract]],$H21,CostTrack[[Holdback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21" s="504">
        <f ca="1">SUMIFS(CostTrack[[Value]:[Value]],CostTrack[[PA ID]:[PA ID]],$B21,CostTrack[[Vendor - Contract]:[Vendor - Contract]],$H21,CostTrack[[Holdback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21" s="512">
        <f t="shared" ca="1" si="18"/>
        <v>0</v>
      </c>
      <c r="BK21" s="504">
        <f ca="1">SUMIFS(CostTrack[[Value]:[Value]],CostTrack[[PA ID]:[PA ID]],$B21,CostTrack[[Vendor - Contract]:[Vendor - Contract]],$H21,CostTrack[[Holdback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21" s="504">
        <f ca="1">SUMIFS(CostTrack[[Value]:[Value]],CostTrack[[PA ID]:[PA ID]],$B21,CostTrack[[Vendor - Contract]:[Vendor - Contract]],$H21,CostTrack[[Holdback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21" s="504">
        <f ca="1">SUMIFS(CostTrack[[Value]:[Value]],CostTrack[[PA ID]:[PA ID]],$B21,CostTrack[[Vendor - Contract]:[Vendor - Contract]],$H21,CostTrack[[Holdback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21" s="504">
        <f ca="1">SUMIFS(CostTrack[[Value]:[Value]],CostTrack[[PA ID]:[PA ID]],$B21,CostTrack[[Vendor - Contract]:[Vendor - Contract]],$H21,CostTrack[[Holdback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21" s="504">
        <f ca="1">SUMIFS(CostTrack[[Value]:[Value]],CostTrack[[PA ID]:[PA ID]],$B21,CostTrack[[Vendor - Contract]:[Vendor - Contract]],$H21,CostTrack[[Holdback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21" s="504">
        <f ca="1">SUMIFS(CostTrack[[Value]:[Value]],CostTrack[[PA ID]:[PA ID]],$B21,CostTrack[[Vendor - Contract]:[Vendor - Contract]],$H21,CostTrack[[Holdback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21" s="504">
        <f ca="1">SUMIFS(CostTrack[[Value]:[Value]],CostTrack[[PA ID]:[PA ID]],$B21,CostTrack[[Vendor - Contract]:[Vendor - Contract]],$H21,CostTrack[[Holdback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21" s="504">
        <f ca="1">SUMIFS(CostTrack[[Value]:[Value]],CostTrack[[PA ID]:[PA ID]],$B21,CostTrack[[Vendor - Contract]:[Vendor - Contract]],$H21,CostTrack[[Holdback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21" s="504">
        <f ca="1">SUMIFS(CostTrack[[Value]:[Value]],CostTrack[[PA ID]:[PA ID]],$B21,CostTrack[[Vendor - Contract]:[Vendor - Contract]],$H21,CostTrack[[Holdback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21" s="504">
        <f ca="1">SUMIFS(CostTrack[[Value]:[Value]],CostTrack[[PA ID]:[PA ID]],$B21,CostTrack[[Vendor - Contract]:[Vendor - Contract]],$H21,CostTrack[[Holdback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21" s="504">
        <f ca="1">SUMIFS(CostTrack[[Value]:[Value]],CostTrack[[PA ID]:[PA ID]],$B21,CostTrack[[Vendor - Contract]:[Vendor - Contract]],$H21,CostTrack[[Holdback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21" s="504">
        <f ca="1">SUMIFS(CostTrack[[Value]:[Value]],CostTrack[[PA ID]:[PA ID]],$B21,CostTrack[[Vendor - Contract]:[Vendor - Contract]],$H21,CostTrack[[Holdback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21" s="512">
        <f t="shared" ca="1" si="19"/>
        <v>0</v>
      </c>
      <c r="BY21" s="504">
        <f ca="1">SUMIFS(CostTrack[[Value]:[Value]],CostTrack[[PA ID]:[PA ID]],$B21,CostTrack[[Vendor - Contract]:[Vendor - Contract]],$H21,CostTrack[[Holdback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21" s="504">
        <f ca="1">SUMIFS(CostTrack[[Value]:[Value]],CostTrack[[PA ID]:[PA ID]],$B21,CostTrack[[Vendor - Contract]:[Vendor - Contract]],$H21,CostTrack[[Holdback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21" s="504">
        <f ca="1">SUMIFS(CostTrack[[Value]:[Value]],CostTrack[[PA ID]:[PA ID]],$B21,CostTrack[[Vendor - Contract]:[Vendor - Contract]],$H21,CostTrack[[Holdback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21" s="504">
        <f ca="1">SUMIFS(CostTrack[[Value]:[Value]],CostTrack[[PA ID]:[PA ID]],$B21,CostTrack[[Vendor - Contract]:[Vendor - Contract]],$H21,CostTrack[[Holdback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21" s="504">
        <f ca="1">SUMIFS(CostTrack[[Value]:[Value]],CostTrack[[PA ID]:[PA ID]],$B21,CostTrack[[Vendor - Contract]:[Vendor - Contract]],$H21,CostTrack[[Holdback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21" s="504">
        <f ca="1">SUMIFS(CostTrack[[Value]:[Value]],CostTrack[[PA ID]:[PA ID]],$B21,CostTrack[[Vendor - Contract]:[Vendor - Contract]],$H21,CostTrack[[Holdback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21" s="504">
        <f ca="1">SUMIFS(CostTrack[[Value]:[Value]],CostTrack[[PA ID]:[PA ID]],$B21,CostTrack[[Vendor - Contract]:[Vendor - Contract]],$H21,CostTrack[[Holdback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21" s="504">
        <f ca="1">SUMIFS(CostTrack[[Value]:[Value]],CostTrack[[PA ID]:[PA ID]],$B21,CostTrack[[Vendor - Contract]:[Vendor - Contract]],$H21,CostTrack[[Holdback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21" s="504">
        <f ca="1">SUMIFS(CostTrack[[Value]:[Value]],CostTrack[[PA ID]:[PA ID]],$B21,CostTrack[[Vendor - Contract]:[Vendor - Contract]],$H21,CostTrack[[Holdback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21" s="504">
        <f ca="1">SUMIFS(CostTrack[[Value]:[Value]],CostTrack[[PA ID]:[PA ID]],$B21,CostTrack[[Vendor - Contract]:[Vendor - Contract]],$H21,CostTrack[[Holdback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21" s="504">
        <f ca="1">SUMIFS(CostTrack[[Value]:[Value]],CostTrack[[PA ID]:[PA ID]],$B21,CostTrack[[Vendor - Contract]:[Vendor - Contract]],$H21,CostTrack[[Holdback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21" s="504">
        <f ca="1">SUMIFS(CostTrack[[Value]:[Value]],CostTrack[[PA ID]:[PA ID]],$B21,CostTrack[[Vendor - Contract]:[Vendor - Contract]],$H21,CostTrack[[Holdback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21" s="512">
        <f t="shared" ca="1" si="20"/>
        <v>0</v>
      </c>
      <c r="CM21" s="504">
        <f ca="1">SUMIFS(CostTrack[[Value]:[Value]],CostTrack[[PA ID]:[PA ID]],$B21,CostTrack[[Vendor - Contract]:[Vendor - Contract]],$H21,CostTrack[[Holdback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21" s="504">
        <f ca="1">SUMIFS(CostTrack[[Value]:[Value]],CostTrack[[PA ID]:[PA ID]],$B21,CostTrack[[Vendor - Contract]:[Vendor - Contract]],$H21,CostTrack[[Holdback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21" s="504">
        <f ca="1">SUMIFS(CostTrack[[Value]:[Value]],CostTrack[[PA ID]:[PA ID]],$B21,CostTrack[[Vendor - Contract]:[Vendor - Contract]],$H21,CostTrack[[Holdback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21" s="504">
        <f ca="1">SUMIFS(CostTrack[[Value]:[Value]],CostTrack[[PA ID]:[PA ID]],$B21,CostTrack[[Vendor - Contract]:[Vendor - Contract]],$H21,CostTrack[[Holdback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21" s="504">
        <f ca="1">SUMIFS(CostTrack[[Value]:[Value]],CostTrack[[PA ID]:[PA ID]],$B21,CostTrack[[Vendor - Contract]:[Vendor - Contract]],$H21,CostTrack[[Holdback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21" s="504">
        <f ca="1">SUMIFS(CostTrack[[Value]:[Value]],CostTrack[[PA ID]:[PA ID]],$B21,CostTrack[[Vendor - Contract]:[Vendor - Contract]],$H21,CostTrack[[Holdback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21" s="504">
        <f ca="1">SUMIFS(CostTrack[[Value]:[Value]],CostTrack[[PA ID]:[PA ID]],$B21,CostTrack[[Vendor - Contract]:[Vendor - Contract]],$H21,CostTrack[[Holdback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21" s="504">
        <f ca="1">SUMIFS(CostTrack[[Value]:[Value]],CostTrack[[PA ID]:[PA ID]],$B21,CostTrack[[Vendor - Contract]:[Vendor - Contract]],$H21,CostTrack[[Holdback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21" s="504">
        <f ca="1">SUMIFS(CostTrack[[Value]:[Value]],CostTrack[[PA ID]:[PA ID]],$B21,CostTrack[[Vendor - Contract]:[Vendor - Contract]],$H21,CostTrack[[Holdback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21" s="504">
        <f ca="1">SUMIFS(CostTrack[[Value]:[Value]],CostTrack[[PA ID]:[PA ID]],$B21,CostTrack[[Vendor - Contract]:[Vendor - Contract]],$H21,CostTrack[[Holdback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21" s="504">
        <f ca="1">SUMIFS(CostTrack[[Value]:[Value]],CostTrack[[PA ID]:[PA ID]],$B21,CostTrack[[Vendor - Contract]:[Vendor - Contract]],$H21,CostTrack[[Holdback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21" s="504">
        <f ca="1">SUMIFS(CostTrack[[Value]:[Value]],CostTrack[[PA ID]:[PA ID]],$B21,CostTrack[[Vendor - Contract]:[Vendor - Contract]],$H21,CostTrack[[Holdback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21" s="512">
        <f t="shared" ca="1" si="21"/>
        <v>0</v>
      </c>
      <c r="DA21" s="504">
        <f ca="1">SUMIFS(CostTrack[[Value]:[Value]],CostTrack[[PA ID]:[PA ID]],$B21,CostTrack[[Vendor - Contract]:[Vendor - Contract]],$H21,CostTrack[[Holdback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21" s="504">
        <f ca="1">SUMIFS(CostTrack[[Value]:[Value]],CostTrack[[PA ID]:[PA ID]],$B21,CostTrack[[Vendor - Contract]:[Vendor - Contract]],$H21,CostTrack[[Holdback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21" s="504">
        <f ca="1">SUMIFS(CostTrack[[Value]:[Value]],CostTrack[[PA ID]:[PA ID]],$B21,CostTrack[[Vendor - Contract]:[Vendor - Contract]],$H21,CostTrack[[Holdback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21" s="504">
        <f ca="1">SUMIFS(CostTrack[[Value]:[Value]],CostTrack[[PA ID]:[PA ID]],$B21,CostTrack[[Vendor - Contract]:[Vendor - Contract]],$H21,CostTrack[[Holdback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21" s="504">
        <f ca="1">SUMIFS(CostTrack[[Value]:[Value]],CostTrack[[PA ID]:[PA ID]],$B21,CostTrack[[Vendor - Contract]:[Vendor - Contract]],$H21,CostTrack[[Holdback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21" s="504">
        <f ca="1">SUMIFS(CostTrack[[Value]:[Value]],CostTrack[[PA ID]:[PA ID]],$B21,CostTrack[[Vendor - Contract]:[Vendor - Contract]],$H21,CostTrack[[Holdback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21" s="504">
        <f ca="1">SUMIFS(CostTrack[[Value]:[Value]],CostTrack[[PA ID]:[PA ID]],$B21,CostTrack[[Vendor - Contract]:[Vendor - Contract]],$H21,CostTrack[[Holdback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21" s="504">
        <f ca="1">SUMIFS(CostTrack[[Value]:[Value]],CostTrack[[PA ID]:[PA ID]],$B21,CostTrack[[Vendor - Contract]:[Vendor - Contract]],$H21,CostTrack[[Holdback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21" s="504">
        <f ca="1">SUMIFS(CostTrack[[Value]:[Value]],CostTrack[[PA ID]:[PA ID]],$B21,CostTrack[[Vendor - Contract]:[Vendor - Contract]],$H21,CostTrack[[Holdback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21" s="504">
        <f ca="1">SUMIFS(CostTrack[[Value]:[Value]],CostTrack[[PA ID]:[PA ID]],$B21,CostTrack[[Vendor - Contract]:[Vendor - Contract]],$H21,CostTrack[[Holdback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21" s="504">
        <f ca="1">SUMIFS(CostTrack[[Value]:[Value]],CostTrack[[PA ID]:[PA ID]],$B21,CostTrack[[Vendor - Contract]:[Vendor - Contract]],$H21,CostTrack[[Holdback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21" s="504">
        <f ca="1">SUMIFS(CostTrack[[Value]:[Value]],CostTrack[[PA ID]:[PA ID]],$B21,CostTrack[[Vendor - Contract]:[Vendor - Contract]],$H21,CostTrack[[Holdback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21" s="512">
        <f t="shared" ca="1" si="22"/>
        <v>0</v>
      </c>
      <c r="DO21" s="504">
        <f ca="1">SUMIFS(CostTrack[[Value]:[Value]],CostTrack[[PA ID]:[PA ID]],$B21,CostTrack[[Vendor - Contract]:[Vendor - Contract]],$H21,CostTrack[[Holdback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21" s="504">
        <f ca="1">SUMIFS(CostTrack[[Value]:[Value]],CostTrack[[PA ID]:[PA ID]],$B21,CostTrack[[Vendor - Contract]:[Vendor - Contract]],$H21,CostTrack[[Holdback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21" s="504">
        <f ca="1">SUMIFS(CostTrack[[Value]:[Value]],CostTrack[[PA ID]:[PA ID]],$B21,CostTrack[[Vendor - Contract]:[Vendor - Contract]],$H21,CostTrack[[Holdback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21" s="504">
        <f ca="1">SUMIFS(CostTrack[[Value]:[Value]],CostTrack[[PA ID]:[PA ID]],$B21,CostTrack[[Vendor - Contract]:[Vendor - Contract]],$H21,CostTrack[[Holdback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21" s="504">
        <f ca="1">SUMIFS(CostTrack[[Value]:[Value]],CostTrack[[PA ID]:[PA ID]],$B21,CostTrack[[Vendor - Contract]:[Vendor - Contract]],$H21,CostTrack[[Holdback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21" s="504">
        <f ca="1">SUMIFS(CostTrack[[Value]:[Value]],CostTrack[[PA ID]:[PA ID]],$B21,CostTrack[[Vendor - Contract]:[Vendor - Contract]],$H21,CostTrack[[Holdback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21" s="504">
        <f ca="1">SUMIFS(CostTrack[[Value]:[Value]],CostTrack[[PA ID]:[PA ID]],$B21,CostTrack[[Vendor - Contract]:[Vendor - Contract]],$H21,CostTrack[[Holdback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21" s="504">
        <f ca="1">SUMIFS(CostTrack[[Value]:[Value]],CostTrack[[PA ID]:[PA ID]],$B21,CostTrack[[Vendor - Contract]:[Vendor - Contract]],$H21,CostTrack[[Holdback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21" s="504">
        <f ca="1">SUMIFS(CostTrack[[Value]:[Value]],CostTrack[[PA ID]:[PA ID]],$B21,CostTrack[[Vendor - Contract]:[Vendor - Contract]],$H21,CostTrack[[Holdback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21" s="504">
        <f ca="1">SUMIFS(CostTrack[[Value]:[Value]],CostTrack[[PA ID]:[PA ID]],$B21,CostTrack[[Vendor - Contract]:[Vendor - Contract]],$H21,CostTrack[[Holdback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21" s="504">
        <f ca="1">SUMIFS(CostTrack[[Value]:[Value]],CostTrack[[PA ID]:[PA ID]],$B21,CostTrack[[Vendor - Contract]:[Vendor - Contract]],$H21,CostTrack[[Holdback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21" s="504">
        <f ca="1">SUMIFS(CostTrack[[Value]:[Value]],CostTrack[[PA ID]:[PA ID]],$B21,CostTrack[[Vendor - Contract]:[Vendor - Contract]],$H21,CostTrack[[Holdback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21" s="512">
        <f t="shared" ca="1" si="23"/>
        <v>0</v>
      </c>
      <c r="EC21" s="504">
        <f ca="1">SUMIFS(CostTrack[[Value]:[Value]],CostTrack[[PA ID]:[PA ID]],$B21,CostTrack[[Vendor - Contract]:[Vendor - Contract]],$H21,CostTrack[[Holdback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21" s="505"/>
      <c r="EE21" s="505"/>
      <c r="EF21" s="505"/>
      <c r="EG21" s="505"/>
      <c r="EH21" s="505"/>
      <c r="EI21" s="505"/>
      <c r="EJ21" s="505"/>
      <c r="EK21" s="505"/>
      <c r="EL21" s="505"/>
      <c r="EM21" s="505"/>
      <c r="EN21" s="505">
        <v>30000</v>
      </c>
      <c r="EO21" s="512">
        <f t="shared" ca="1" si="24"/>
        <v>30000</v>
      </c>
      <c r="EQ21" s="505"/>
      <c r="ER21" s="505"/>
      <c r="ES21" s="505"/>
      <c r="ET21" s="505"/>
      <c r="EU21" s="505"/>
      <c r="EV21" s="505"/>
      <c r="EW21" s="505"/>
      <c r="EX21" s="505"/>
      <c r="EY21" s="505"/>
      <c r="EZ21" s="505"/>
      <c r="FA21" s="505"/>
      <c r="FB21" s="505"/>
      <c r="FC21" s="512">
        <f t="shared" si="25"/>
        <v>0</v>
      </c>
      <c r="FE21" s="505"/>
      <c r="FF21" s="505"/>
      <c r="FG21" s="505"/>
      <c r="FH21" s="505"/>
      <c r="FI21" s="505"/>
      <c r="FJ21" s="505"/>
      <c r="FK21" s="505"/>
      <c r="FL21" s="505"/>
      <c r="FM21" s="505"/>
      <c r="FN21" s="505"/>
      <c r="FO21" s="505"/>
      <c r="FP21" s="505"/>
      <c r="FQ21" s="512">
        <f t="shared" si="26"/>
        <v>0</v>
      </c>
      <c r="FS21" s="504">
        <f t="shared" ca="1" si="27"/>
        <v>30000</v>
      </c>
    </row>
    <row r="22" spans="1:175">
      <c r="A22" s="216">
        <v>15</v>
      </c>
      <c r="B22" s="219" t="str">
        <f ca="1">INDEX(EAC[PA ID],MATCH($A22,EAC[Row],0))</f>
        <v>200.060.F1</v>
      </c>
      <c r="C22" s="218" t="str">
        <f ca="1">INDEX(EAC[Primary Category],MATCH($A22,EAC[Row],0))</f>
        <v>Professional Services</v>
      </c>
      <c r="D22" s="218" t="str">
        <f ca="1">INDEX(EAC[Secondary Category],MATCH($A22,EAC[Row],0))</f>
        <v>Contingency - Professional</v>
      </c>
      <c r="E22" s="109" t="str">
        <f ca="1">INDEX(EAC[Phase / Subproject],MATCH($A22,EAC[Row],0))</f>
        <v>--</v>
      </c>
      <c r="F22" s="109" t="str">
        <f ca="1">INDEX(EAC[Phase / Subproject 2],MATCH($A22,EAC[Row],0))</f>
        <v>--</v>
      </c>
      <c r="G22" s="109" t="str">
        <f ca="1">INDEX(EAC[Funding Source],MATCH($A22,EAC[Row],0))</f>
        <v>P-002360</v>
      </c>
      <c r="H22" s="146" t="str">
        <f ca="1">INDEX(EAC[Vendor / Org. with Contract ID],MATCH($A22,EAC[Row],0))</f>
        <v>Future / Not Awarded</v>
      </c>
      <c r="I22" s="502">
        <f ca="1">INDEX(EAC[Estimate At Completion],MATCH($A22,EAC[Row],0))</f>
        <v>0</v>
      </c>
      <c r="J22" s="502">
        <f ca="1">SUMIFS(CostTrack[Value],CostTrack[Vendor - Contract],$H22,CostTrack[PA ID],$B22,CostTrack[Holdback (Y/N/R)],"&lt;&gt;Release",CostTrack[Status],"Approved")</f>
        <v>0</v>
      </c>
      <c r="K22" s="503">
        <f t="shared" ca="1" si="14"/>
        <v>0</v>
      </c>
      <c r="M22" s="504">
        <f t="shared" ca="1" si="15"/>
        <v>0</v>
      </c>
      <c r="O22" s="504">
        <f t="shared" ca="1" si="11"/>
        <v>0</v>
      </c>
      <c r="P22" s="504">
        <f t="array" aca="1" ref="P22" ca="1">SUM($U22:$FQ22*_xlfn.ISFORMULA($U22:$FQ22)*ISNUMBER($U$7:$FQ$7)*--(INDEX($U$6:$FQ$6,N(IF({1},COLUMN($U$6:$FQ$6)-COLUMN($T$6)))-MOD(N(IF({1},COLUMN($U$6:$FQ$6)-COLUMN($U$6))),14))="Current Fiscal"))</f>
        <v>0</v>
      </c>
      <c r="Q22" s="504">
        <f t="array" aca="1" ref="Q22" ca="1">SUM($U22:$FQ22*NOT(_xlfn.ISFORMULA($U22:$FQ22))*ISNUMBER($U$7:$FQ$7)*--(INDEX($U$6:$FQ$6,N(IF({1},COLUMN($U$6:$FQ$6)-COLUMN($T$6)))-MOD(N(IF({1},COLUMN($U$6:$FQ$6)-COLUMN($U$6))),14))="Current Fiscal"))</f>
        <v>0</v>
      </c>
      <c r="R22" s="504">
        <f t="shared" ca="1" si="12"/>
        <v>0</v>
      </c>
      <c r="S22" s="504">
        <f t="shared" ca="1" si="13"/>
        <v>0</v>
      </c>
      <c r="U22" s="504">
        <f ca="1">SUMIFS(CostTrack[[Value]:[Value]],CostTrack[[PA ID]:[PA ID]],$B22,CostTrack[[Vendor - Contract]:[Vendor - Contract]],$H22,CostTrack[[Holdback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22" s="504">
        <f ca="1">SUMIFS(CostTrack[[Value]:[Value]],CostTrack[[PA ID]:[PA ID]],$B22,CostTrack[[Vendor - Contract]:[Vendor - Contract]],$H22,CostTrack[[Holdback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22" s="504">
        <f ca="1">SUMIFS(CostTrack[[Value]:[Value]],CostTrack[[PA ID]:[PA ID]],$B22,CostTrack[[Vendor - Contract]:[Vendor - Contract]],$H22,CostTrack[[Holdback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22" s="504">
        <f ca="1">SUMIFS(CostTrack[[Value]:[Value]],CostTrack[[PA ID]:[PA ID]],$B22,CostTrack[[Vendor - Contract]:[Vendor - Contract]],$H22,CostTrack[[Holdback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22" s="504">
        <f ca="1">SUMIFS(CostTrack[[Value]:[Value]],CostTrack[[PA ID]:[PA ID]],$B22,CostTrack[[Vendor - Contract]:[Vendor - Contract]],$H22,CostTrack[[Holdback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22" s="504">
        <f ca="1">SUMIFS(CostTrack[[Value]:[Value]],CostTrack[[PA ID]:[PA ID]],$B22,CostTrack[[Vendor - Contract]:[Vendor - Contract]],$H22,CostTrack[[Holdback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22" s="504">
        <f ca="1">SUMIFS(CostTrack[[Value]:[Value]],CostTrack[[PA ID]:[PA ID]],$B22,CostTrack[[Vendor - Contract]:[Vendor - Contract]],$H22,CostTrack[[Holdback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22" s="504">
        <f ca="1">SUMIFS(CostTrack[[Value]:[Value]],CostTrack[[PA ID]:[PA ID]],$B22,CostTrack[[Vendor - Contract]:[Vendor - Contract]],$H22,CostTrack[[Holdback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22" s="504">
        <f ca="1">SUMIFS(CostTrack[[Value]:[Value]],CostTrack[[PA ID]:[PA ID]],$B22,CostTrack[[Vendor - Contract]:[Vendor - Contract]],$H22,CostTrack[[Holdback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22" s="504">
        <f ca="1">SUMIFS(CostTrack[[Value]:[Value]],CostTrack[[PA ID]:[PA ID]],$B22,CostTrack[[Vendor - Contract]:[Vendor - Contract]],$H22,CostTrack[[Holdback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22" s="504">
        <f ca="1">SUMIFS(CostTrack[[Value]:[Value]],CostTrack[[PA ID]:[PA ID]],$B22,CostTrack[[Vendor - Contract]:[Vendor - Contract]],$H22,CostTrack[[Holdback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22" s="504">
        <f ca="1">SUMIFS(CostTrack[[Value]:[Value]],CostTrack[[PA ID]:[PA ID]],$B22,CostTrack[[Vendor - Contract]:[Vendor - Contract]],$H22,CostTrack[[Holdback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22" s="506">
        <f t="shared" ca="1" si="16"/>
        <v>0</v>
      </c>
      <c r="AI22" s="504">
        <f ca="1">SUMIFS(CostTrack[[Value]:[Value]],CostTrack[[PA ID]:[PA ID]],$B22,CostTrack[[Vendor - Contract]:[Vendor - Contract]],$H22,CostTrack[[Holdback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22" s="504">
        <f ca="1">SUMIFS(CostTrack[[Value]:[Value]],CostTrack[[PA ID]:[PA ID]],$B22,CostTrack[[Vendor - Contract]:[Vendor - Contract]],$H22,CostTrack[[Holdback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22" s="504">
        <f ca="1">SUMIFS(CostTrack[[Value]:[Value]],CostTrack[[PA ID]:[PA ID]],$B22,CostTrack[[Vendor - Contract]:[Vendor - Contract]],$H22,CostTrack[[Holdback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22" s="504">
        <f ca="1">SUMIFS(CostTrack[[Value]:[Value]],CostTrack[[PA ID]:[PA ID]],$B22,CostTrack[[Vendor - Contract]:[Vendor - Contract]],$H22,CostTrack[[Holdback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22" s="504">
        <f ca="1">SUMIFS(CostTrack[[Value]:[Value]],CostTrack[[PA ID]:[PA ID]],$B22,CostTrack[[Vendor - Contract]:[Vendor - Contract]],$H22,CostTrack[[Holdback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22" s="504">
        <f ca="1">SUMIFS(CostTrack[[Value]:[Value]],CostTrack[[PA ID]:[PA ID]],$B22,CostTrack[[Vendor - Contract]:[Vendor - Contract]],$H22,CostTrack[[Holdback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22" s="504">
        <f ca="1">SUMIFS(CostTrack[[Value]:[Value]],CostTrack[[PA ID]:[PA ID]],$B22,CostTrack[[Vendor - Contract]:[Vendor - Contract]],$H22,CostTrack[[Holdback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22" s="504">
        <f ca="1">SUMIFS(CostTrack[[Value]:[Value]],CostTrack[[PA ID]:[PA ID]],$B22,CostTrack[[Vendor - Contract]:[Vendor - Contract]],$H22,CostTrack[[Holdback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22" s="504">
        <f ca="1">SUMIFS(CostTrack[[Value]:[Value]],CostTrack[[PA ID]:[PA ID]],$B22,CostTrack[[Vendor - Contract]:[Vendor - Contract]],$H22,CostTrack[[Holdback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22" s="504">
        <f ca="1">SUMIFS(CostTrack[[Value]:[Value]],CostTrack[[PA ID]:[PA ID]],$B22,CostTrack[[Vendor - Contract]:[Vendor - Contract]],$H22,CostTrack[[Holdback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22" s="504">
        <f ca="1">SUMIFS(CostTrack[[Value]:[Value]],CostTrack[[PA ID]:[PA ID]],$B22,CostTrack[[Vendor - Contract]:[Vendor - Contract]],$H22,CostTrack[[Holdback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22" s="504">
        <f ca="1">SUMIFS(CostTrack[[Value]:[Value]],CostTrack[[PA ID]:[PA ID]],$B22,CostTrack[[Vendor - Contract]:[Vendor - Contract]],$H22,CostTrack[[Holdback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22" s="512">
        <f t="shared" ca="1" si="17"/>
        <v>0</v>
      </c>
      <c r="AW22" s="504">
        <f ca="1">SUMIFS(CostTrack[[Value]:[Value]],CostTrack[[PA ID]:[PA ID]],$B22,CostTrack[[Vendor - Contract]:[Vendor - Contract]],$H22,CostTrack[[Holdback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22" s="504">
        <f ca="1">SUMIFS(CostTrack[[Value]:[Value]],CostTrack[[PA ID]:[PA ID]],$B22,CostTrack[[Vendor - Contract]:[Vendor - Contract]],$H22,CostTrack[[Holdback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22" s="504">
        <f ca="1">SUMIFS(CostTrack[[Value]:[Value]],CostTrack[[PA ID]:[PA ID]],$B22,CostTrack[[Vendor - Contract]:[Vendor - Contract]],$H22,CostTrack[[Holdback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22" s="504">
        <f ca="1">SUMIFS(CostTrack[[Value]:[Value]],CostTrack[[PA ID]:[PA ID]],$B22,CostTrack[[Vendor - Contract]:[Vendor - Contract]],$H22,CostTrack[[Holdback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22" s="504">
        <f ca="1">SUMIFS(CostTrack[[Value]:[Value]],CostTrack[[PA ID]:[PA ID]],$B22,CostTrack[[Vendor - Contract]:[Vendor - Contract]],$H22,CostTrack[[Holdback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22" s="504">
        <f ca="1">SUMIFS(CostTrack[[Value]:[Value]],CostTrack[[PA ID]:[PA ID]],$B22,CostTrack[[Vendor - Contract]:[Vendor - Contract]],$H22,CostTrack[[Holdback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22" s="504">
        <f ca="1">SUMIFS(CostTrack[[Value]:[Value]],CostTrack[[PA ID]:[PA ID]],$B22,CostTrack[[Vendor - Contract]:[Vendor - Contract]],$H22,CostTrack[[Holdback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22" s="504">
        <f ca="1">SUMIFS(CostTrack[[Value]:[Value]],CostTrack[[PA ID]:[PA ID]],$B22,CostTrack[[Vendor - Contract]:[Vendor - Contract]],$H22,CostTrack[[Holdback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22" s="504">
        <f ca="1">SUMIFS(CostTrack[[Value]:[Value]],CostTrack[[PA ID]:[PA ID]],$B22,CostTrack[[Vendor - Contract]:[Vendor - Contract]],$H22,CostTrack[[Holdback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22" s="504">
        <f ca="1">SUMIFS(CostTrack[[Value]:[Value]],CostTrack[[PA ID]:[PA ID]],$B22,CostTrack[[Vendor - Contract]:[Vendor - Contract]],$H22,CostTrack[[Holdback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22" s="504">
        <f ca="1">SUMIFS(CostTrack[[Value]:[Value]],CostTrack[[PA ID]:[PA ID]],$B22,CostTrack[[Vendor - Contract]:[Vendor - Contract]],$H22,CostTrack[[Holdback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22" s="504">
        <f ca="1">SUMIFS(CostTrack[[Value]:[Value]],CostTrack[[PA ID]:[PA ID]],$B22,CostTrack[[Vendor - Contract]:[Vendor - Contract]],$H22,CostTrack[[Holdback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22" s="512">
        <f t="shared" ca="1" si="18"/>
        <v>0</v>
      </c>
      <c r="BK22" s="504">
        <f ca="1">SUMIFS(CostTrack[[Value]:[Value]],CostTrack[[PA ID]:[PA ID]],$B22,CostTrack[[Vendor - Contract]:[Vendor - Contract]],$H22,CostTrack[[Holdback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22" s="504">
        <f ca="1">SUMIFS(CostTrack[[Value]:[Value]],CostTrack[[PA ID]:[PA ID]],$B22,CostTrack[[Vendor - Contract]:[Vendor - Contract]],$H22,CostTrack[[Holdback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22" s="504">
        <f ca="1">SUMIFS(CostTrack[[Value]:[Value]],CostTrack[[PA ID]:[PA ID]],$B22,CostTrack[[Vendor - Contract]:[Vendor - Contract]],$H22,CostTrack[[Holdback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22" s="504">
        <f ca="1">SUMIFS(CostTrack[[Value]:[Value]],CostTrack[[PA ID]:[PA ID]],$B22,CostTrack[[Vendor - Contract]:[Vendor - Contract]],$H22,CostTrack[[Holdback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22" s="504">
        <f ca="1">SUMIFS(CostTrack[[Value]:[Value]],CostTrack[[PA ID]:[PA ID]],$B22,CostTrack[[Vendor - Contract]:[Vendor - Contract]],$H22,CostTrack[[Holdback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22" s="504">
        <f ca="1">SUMIFS(CostTrack[[Value]:[Value]],CostTrack[[PA ID]:[PA ID]],$B22,CostTrack[[Vendor - Contract]:[Vendor - Contract]],$H22,CostTrack[[Holdback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22" s="504">
        <f ca="1">SUMIFS(CostTrack[[Value]:[Value]],CostTrack[[PA ID]:[PA ID]],$B22,CostTrack[[Vendor - Contract]:[Vendor - Contract]],$H22,CostTrack[[Holdback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22" s="504">
        <f ca="1">SUMIFS(CostTrack[[Value]:[Value]],CostTrack[[PA ID]:[PA ID]],$B22,CostTrack[[Vendor - Contract]:[Vendor - Contract]],$H22,CostTrack[[Holdback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22" s="504">
        <f ca="1">SUMIFS(CostTrack[[Value]:[Value]],CostTrack[[PA ID]:[PA ID]],$B22,CostTrack[[Vendor - Contract]:[Vendor - Contract]],$H22,CostTrack[[Holdback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22" s="504">
        <f ca="1">SUMIFS(CostTrack[[Value]:[Value]],CostTrack[[PA ID]:[PA ID]],$B22,CostTrack[[Vendor - Contract]:[Vendor - Contract]],$H22,CostTrack[[Holdback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22" s="504">
        <f ca="1">SUMIFS(CostTrack[[Value]:[Value]],CostTrack[[PA ID]:[PA ID]],$B22,CostTrack[[Vendor - Contract]:[Vendor - Contract]],$H22,CostTrack[[Holdback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22" s="504">
        <f ca="1">SUMIFS(CostTrack[[Value]:[Value]],CostTrack[[PA ID]:[PA ID]],$B22,CostTrack[[Vendor - Contract]:[Vendor - Contract]],$H22,CostTrack[[Holdback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22" s="512">
        <f t="shared" ca="1" si="19"/>
        <v>0</v>
      </c>
      <c r="BY22" s="504">
        <f ca="1">SUMIFS(CostTrack[[Value]:[Value]],CostTrack[[PA ID]:[PA ID]],$B22,CostTrack[[Vendor - Contract]:[Vendor - Contract]],$H22,CostTrack[[Holdback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22" s="504">
        <f ca="1">SUMIFS(CostTrack[[Value]:[Value]],CostTrack[[PA ID]:[PA ID]],$B22,CostTrack[[Vendor - Contract]:[Vendor - Contract]],$H22,CostTrack[[Holdback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22" s="504">
        <f ca="1">SUMIFS(CostTrack[[Value]:[Value]],CostTrack[[PA ID]:[PA ID]],$B22,CostTrack[[Vendor - Contract]:[Vendor - Contract]],$H22,CostTrack[[Holdback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22" s="504">
        <f ca="1">SUMIFS(CostTrack[[Value]:[Value]],CostTrack[[PA ID]:[PA ID]],$B22,CostTrack[[Vendor - Contract]:[Vendor - Contract]],$H22,CostTrack[[Holdback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22" s="504">
        <f ca="1">SUMIFS(CostTrack[[Value]:[Value]],CostTrack[[PA ID]:[PA ID]],$B22,CostTrack[[Vendor - Contract]:[Vendor - Contract]],$H22,CostTrack[[Holdback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22" s="504">
        <f ca="1">SUMIFS(CostTrack[[Value]:[Value]],CostTrack[[PA ID]:[PA ID]],$B22,CostTrack[[Vendor - Contract]:[Vendor - Contract]],$H22,CostTrack[[Holdback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22" s="504">
        <f ca="1">SUMIFS(CostTrack[[Value]:[Value]],CostTrack[[PA ID]:[PA ID]],$B22,CostTrack[[Vendor - Contract]:[Vendor - Contract]],$H22,CostTrack[[Holdback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22" s="504">
        <f ca="1">SUMIFS(CostTrack[[Value]:[Value]],CostTrack[[PA ID]:[PA ID]],$B22,CostTrack[[Vendor - Contract]:[Vendor - Contract]],$H22,CostTrack[[Holdback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22" s="504">
        <f ca="1">SUMIFS(CostTrack[[Value]:[Value]],CostTrack[[PA ID]:[PA ID]],$B22,CostTrack[[Vendor - Contract]:[Vendor - Contract]],$H22,CostTrack[[Holdback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22" s="504">
        <f ca="1">SUMIFS(CostTrack[[Value]:[Value]],CostTrack[[PA ID]:[PA ID]],$B22,CostTrack[[Vendor - Contract]:[Vendor - Contract]],$H22,CostTrack[[Holdback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22" s="504">
        <f ca="1">SUMIFS(CostTrack[[Value]:[Value]],CostTrack[[PA ID]:[PA ID]],$B22,CostTrack[[Vendor - Contract]:[Vendor - Contract]],$H22,CostTrack[[Holdback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22" s="504">
        <f ca="1">SUMIFS(CostTrack[[Value]:[Value]],CostTrack[[PA ID]:[PA ID]],$B22,CostTrack[[Vendor - Contract]:[Vendor - Contract]],$H22,CostTrack[[Holdback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22" s="512">
        <f t="shared" ca="1" si="20"/>
        <v>0</v>
      </c>
      <c r="CM22" s="504">
        <f ca="1">SUMIFS(CostTrack[[Value]:[Value]],CostTrack[[PA ID]:[PA ID]],$B22,CostTrack[[Vendor - Contract]:[Vendor - Contract]],$H22,CostTrack[[Holdback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22" s="504">
        <f ca="1">SUMIFS(CostTrack[[Value]:[Value]],CostTrack[[PA ID]:[PA ID]],$B22,CostTrack[[Vendor - Contract]:[Vendor - Contract]],$H22,CostTrack[[Holdback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22" s="504">
        <f ca="1">SUMIFS(CostTrack[[Value]:[Value]],CostTrack[[PA ID]:[PA ID]],$B22,CostTrack[[Vendor - Contract]:[Vendor - Contract]],$H22,CostTrack[[Holdback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22" s="504">
        <f ca="1">SUMIFS(CostTrack[[Value]:[Value]],CostTrack[[PA ID]:[PA ID]],$B22,CostTrack[[Vendor - Contract]:[Vendor - Contract]],$H22,CostTrack[[Holdback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22" s="504">
        <f ca="1">SUMIFS(CostTrack[[Value]:[Value]],CostTrack[[PA ID]:[PA ID]],$B22,CostTrack[[Vendor - Contract]:[Vendor - Contract]],$H22,CostTrack[[Holdback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22" s="504">
        <f ca="1">SUMIFS(CostTrack[[Value]:[Value]],CostTrack[[PA ID]:[PA ID]],$B22,CostTrack[[Vendor - Contract]:[Vendor - Contract]],$H22,CostTrack[[Holdback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22" s="504">
        <f ca="1">SUMIFS(CostTrack[[Value]:[Value]],CostTrack[[PA ID]:[PA ID]],$B22,CostTrack[[Vendor - Contract]:[Vendor - Contract]],$H22,CostTrack[[Holdback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22" s="504">
        <f ca="1">SUMIFS(CostTrack[[Value]:[Value]],CostTrack[[PA ID]:[PA ID]],$B22,CostTrack[[Vendor - Contract]:[Vendor - Contract]],$H22,CostTrack[[Holdback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22" s="504">
        <f ca="1">SUMIFS(CostTrack[[Value]:[Value]],CostTrack[[PA ID]:[PA ID]],$B22,CostTrack[[Vendor - Contract]:[Vendor - Contract]],$H22,CostTrack[[Holdback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22" s="504">
        <f ca="1">SUMIFS(CostTrack[[Value]:[Value]],CostTrack[[PA ID]:[PA ID]],$B22,CostTrack[[Vendor - Contract]:[Vendor - Contract]],$H22,CostTrack[[Holdback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22" s="504">
        <f ca="1">SUMIFS(CostTrack[[Value]:[Value]],CostTrack[[PA ID]:[PA ID]],$B22,CostTrack[[Vendor - Contract]:[Vendor - Contract]],$H22,CostTrack[[Holdback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22" s="504">
        <f ca="1">SUMIFS(CostTrack[[Value]:[Value]],CostTrack[[PA ID]:[PA ID]],$B22,CostTrack[[Vendor - Contract]:[Vendor - Contract]],$H22,CostTrack[[Holdback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22" s="512">
        <f t="shared" ca="1" si="21"/>
        <v>0</v>
      </c>
      <c r="DA22" s="504">
        <f ca="1">SUMIFS(CostTrack[[Value]:[Value]],CostTrack[[PA ID]:[PA ID]],$B22,CostTrack[[Vendor - Contract]:[Vendor - Contract]],$H22,CostTrack[[Holdback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22" s="504">
        <f ca="1">SUMIFS(CostTrack[[Value]:[Value]],CostTrack[[PA ID]:[PA ID]],$B22,CostTrack[[Vendor - Contract]:[Vendor - Contract]],$H22,CostTrack[[Holdback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22" s="504">
        <f ca="1">SUMIFS(CostTrack[[Value]:[Value]],CostTrack[[PA ID]:[PA ID]],$B22,CostTrack[[Vendor - Contract]:[Vendor - Contract]],$H22,CostTrack[[Holdback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22" s="504">
        <f ca="1">SUMIFS(CostTrack[[Value]:[Value]],CostTrack[[PA ID]:[PA ID]],$B22,CostTrack[[Vendor - Contract]:[Vendor - Contract]],$H22,CostTrack[[Holdback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22" s="504">
        <f ca="1">SUMIFS(CostTrack[[Value]:[Value]],CostTrack[[PA ID]:[PA ID]],$B22,CostTrack[[Vendor - Contract]:[Vendor - Contract]],$H22,CostTrack[[Holdback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22" s="504">
        <f ca="1">SUMIFS(CostTrack[[Value]:[Value]],CostTrack[[PA ID]:[PA ID]],$B22,CostTrack[[Vendor - Contract]:[Vendor - Contract]],$H22,CostTrack[[Holdback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22" s="504">
        <f ca="1">SUMIFS(CostTrack[[Value]:[Value]],CostTrack[[PA ID]:[PA ID]],$B22,CostTrack[[Vendor - Contract]:[Vendor - Contract]],$H22,CostTrack[[Holdback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22" s="504">
        <f ca="1">SUMIFS(CostTrack[[Value]:[Value]],CostTrack[[PA ID]:[PA ID]],$B22,CostTrack[[Vendor - Contract]:[Vendor - Contract]],$H22,CostTrack[[Holdback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22" s="504">
        <f ca="1">SUMIFS(CostTrack[[Value]:[Value]],CostTrack[[PA ID]:[PA ID]],$B22,CostTrack[[Vendor - Contract]:[Vendor - Contract]],$H22,CostTrack[[Holdback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22" s="504">
        <f ca="1">SUMIFS(CostTrack[[Value]:[Value]],CostTrack[[PA ID]:[PA ID]],$B22,CostTrack[[Vendor - Contract]:[Vendor - Contract]],$H22,CostTrack[[Holdback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22" s="504">
        <f ca="1">SUMIFS(CostTrack[[Value]:[Value]],CostTrack[[PA ID]:[PA ID]],$B22,CostTrack[[Vendor - Contract]:[Vendor - Contract]],$H22,CostTrack[[Holdback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22" s="504">
        <f ca="1">SUMIFS(CostTrack[[Value]:[Value]],CostTrack[[PA ID]:[PA ID]],$B22,CostTrack[[Vendor - Contract]:[Vendor - Contract]],$H22,CostTrack[[Holdback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22" s="512">
        <f t="shared" ca="1" si="22"/>
        <v>0</v>
      </c>
      <c r="DO22" s="504">
        <f ca="1">SUMIFS(CostTrack[[Value]:[Value]],CostTrack[[PA ID]:[PA ID]],$B22,CostTrack[[Vendor - Contract]:[Vendor - Contract]],$H22,CostTrack[[Holdback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22" s="504">
        <f ca="1">SUMIFS(CostTrack[[Value]:[Value]],CostTrack[[PA ID]:[PA ID]],$B22,CostTrack[[Vendor - Contract]:[Vendor - Contract]],$H22,CostTrack[[Holdback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22" s="504">
        <f ca="1">SUMIFS(CostTrack[[Value]:[Value]],CostTrack[[PA ID]:[PA ID]],$B22,CostTrack[[Vendor - Contract]:[Vendor - Contract]],$H22,CostTrack[[Holdback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22" s="504">
        <f ca="1">SUMIFS(CostTrack[[Value]:[Value]],CostTrack[[PA ID]:[PA ID]],$B22,CostTrack[[Vendor - Contract]:[Vendor - Contract]],$H22,CostTrack[[Holdback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22" s="504">
        <f ca="1">SUMIFS(CostTrack[[Value]:[Value]],CostTrack[[PA ID]:[PA ID]],$B22,CostTrack[[Vendor - Contract]:[Vendor - Contract]],$H22,CostTrack[[Holdback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22" s="504">
        <f ca="1">SUMIFS(CostTrack[[Value]:[Value]],CostTrack[[PA ID]:[PA ID]],$B22,CostTrack[[Vendor - Contract]:[Vendor - Contract]],$H22,CostTrack[[Holdback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22" s="504">
        <f ca="1">SUMIFS(CostTrack[[Value]:[Value]],CostTrack[[PA ID]:[PA ID]],$B22,CostTrack[[Vendor - Contract]:[Vendor - Contract]],$H22,CostTrack[[Holdback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22" s="504">
        <f ca="1">SUMIFS(CostTrack[[Value]:[Value]],CostTrack[[PA ID]:[PA ID]],$B22,CostTrack[[Vendor - Contract]:[Vendor - Contract]],$H22,CostTrack[[Holdback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22" s="504">
        <f ca="1">SUMIFS(CostTrack[[Value]:[Value]],CostTrack[[PA ID]:[PA ID]],$B22,CostTrack[[Vendor - Contract]:[Vendor - Contract]],$H22,CostTrack[[Holdback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22" s="504">
        <f ca="1">SUMIFS(CostTrack[[Value]:[Value]],CostTrack[[PA ID]:[PA ID]],$B22,CostTrack[[Vendor - Contract]:[Vendor - Contract]],$H22,CostTrack[[Holdback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22" s="504">
        <f ca="1">SUMIFS(CostTrack[[Value]:[Value]],CostTrack[[PA ID]:[PA ID]],$B22,CostTrack[[Vendor - Contract]:[Vendor - Contract]],$H22,CostTrack[[Holdback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22" s="504">
        <f ca="1">SUMIFS(CostTrack[[Value]:[Value]],CostTrack[[PA ID]:[PA ID]],$B22,CostTrack[[Vendor - Contract]:[Vendor - Contract]],$H22,CostTrack[[Holdback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22" s="512">
        <f t="shared" ca="1" si="23"/>
        <v>0</v>
      </c>
      <c r="EC22" s="504">
        <f ca="1">SUMIFS(CostTrack[[Value]:[Value]],CostTrack[[PA ID]:[PA ID]],$B22,CostTrack[[Vendor - Contract]:[Vendor - Contract]],$H22,CostTrack[[Holdback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22" s="505"/>
      <c r="EE22" s="505"/>
      <c r="EF22" s="505"/>
      <c r="EG22" s="505"/>
      <c r="EH22" s="505"/>
      <c r="EI22" s="505"/>
      <c r="EJ22" s="505"/>
      <c r="EK22" s="505"/>
      <c r="EL22" s="505"/>
      <c r="EM22" s="505"/>
      <c r="EN22" s="505"/>
      <c r="EO22" s="512">
        <f t="shared" ca="1" si="24"/>
        <v>0</v>
      </c>
      <c r="EQ22" s="505"/>
      <c r="ER22" s="505"/>
      <c r="ES22" s="505"/>
      <c r="ET22" s="505"/>
      <c r="EU22" s="505"/>
      <c r="EV22" s="505"/>
      <c r="EW22" s="505"/>
      <c r="EX22" s="505"/>
      <c r="EY22" s="505"/>
      <c r="EZ22" s="505"/>
      <c r="FA22" s="505"/>
      <c r="FB22" s="505"/>
      <c r="FC22" s="512">
        <f t="shared" si="25"/>
        <v>0</v>
      </c>
      <c r="FE22" s="505"/>
      <c r="FF22" s="505"/>
      <c r="FG22" s="505"/>
      <c r="FH22" s="505"/>
      <c r="FI22" s="505"/>
      <c r="FJ22" s="505"/>
      <c r="FK22" s="505"/>
      <c r="FL22" s="505"/>
      <c r="FM22" s="505"/>
      <c r="FN22" s="505"/>
      <c r="FO22" s="505"/>
      <c r="FP22" s="505"/>
      <c r="FQ22" s="512">
        <f t="shared" si="26"/>
        <v>0</v>
      </c>
      <c r="FS22" s="504">
        <f t="shared" ca="1" si="27"/>
        <v>0</v>
      </c>
    </row>
    <row r="23" spans="1:175">
      <c r="A23" s="216">
        <v>16</v>
      </c>
      <c r="B23" s="219" t="str">
        <f ca="1">INDEX(EAC[PA ID],MATCH($A23,EAC[Row],0))</f>
        <v>300.010.F1</v>
      </c>
      <c r="C23" s="218" t="str">
        <f ca="1">INDEX(EAC[Primary Category],MATCH($A23,EAC[Row],0))</f>
        <v>Construction</v>
      </c>
      <c r="D23" s="218" t="str">
        <f ca="1">INDEX(EAC[Secondary Category],MATCH($A23,EAC[Row],0))</f>
        <v>Permits &amp; Fees</v>
      </c>
      <c r="E23" s="109" t="str">
        <f ca="1">INDEX(EAC[Phase / Subproject],MATCH($A23,EAC[Row],0))</f>
        <v>--</v>
      </c>
      <c r="F23" s="109" t="str">
        <f ca="1">INDEX(EAC[Phase / Subproject 2],MATCH($A23,EAC[Row],0))</f>
        <v>--</v>
      </c>
      <c r="G23" s="109" t="str">
        <f ca="1">INDEX(EAC[Funding Source],MATCH($A23,EAC[Row],0))</f>
        <v>P-002360</v>
      </c>
      <c r="H23" s="146" t="str">
        <f ca="1">INDEX(EAC[Vendor / Org. with Contract ID],MATCH($A23,EAC[Row],0))</f>
        <v>City of Red Deer-Permit Fees-Direct Pay</v>
      </c>
      <c r="I23" s="502">
        <f ca="1">INDEX(EAC[Estimate At Completion],MATCH($A23,EAC[Row],0))</f>
        <v>1123238.8399999999</v>
      </c>
      <c r="J23" s="502">
        <f ca="1">SUMIFS(CostTrack[Value],CostTrack[Vendor - Contract],$H23,CostTrack[PA ID],$B23,CostTrack[Holdback (Y/N/R)],"&lt;&gt;Release",CostTrack[Status],"Approved")</f>
        <v>1123238.8399999999</v>
      </c>
      <c r="K23" s="503">
        <f t="shared" ca="1" si="14"/>
        <v>0</v>
      </c>
      <c r="M23" s="504">
        <f t="shared" ca="1" si="15"/>
        <v>0</v>
      </c>
      <c r="O23" s="504">
        <f t="shared" ca="1" si="11"/>
        <v>1123238.8399999999</v>
      </c>
      <c r="P23" s="504">
        <f t="array" aca="1" ref="P23" ca="1">SUM($U23:$FQ23*_xlfn.ISFORMULA($U23:$FQ23)*ISNUMBER($U$7:$FQ$7)*--(INDEX($U$6:$FQ$6,N(IF({1},COLUMN($U$6:$FQ$6)-COLUMN($T$6)))-MOD(N(IF({1},COLUMN($U$6:$FQ$6)-COLUMN($U$6))),14))="Current Fiscal"))</f>
        <v>0</v>
      </c>
      <c r="Q23" s="504">
        <f t="array" aca="1" ref="Q23" ca="1">SUM($U23:$FQ23*NOT(_xlfn.ISFORMULA($U23:$FQ23))*ISNUMBER($U$7:$FQ$7)*--(INDEX($U$6:$FQ$6,N(IF({1},COLUMN($U$6:$FQ$6)-COLUMN($T$6)))-MOD(N(IF({1},COLUMN($U$6:$FQ$6)-COLUMN($U$6))),14))="Current Fiscal"))</f>
        <v>0</v>
      </c>
      <c r="R23" s="504">
        <f t="shared" ca="1" si="12"/>
        <v>0</v>
      </c>
      <c r="S23" s="504">
        <f t="shared" ca="1" si="13"/>
        <v>0</v>
      </c>
      <c r="U23" s="504">
        <f ca="1">SUMIFS(CostTrack[[Value]:[Value]],CostTrack[[PA ID]:[PA ID]],$B23,CostTrack[[Vendor - Contract]:[Vendor - Contract]],$H23,CostTrack[[Holdback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23" s="504">
        <f ca="1">SUMIFS(CostTrack[[Value]:[Value]],CostTrack[[PA ID]:[PA ID]],$B23,CostTrack[[Vendor - Contract]:[Vendor - Contract]],$H23,CostTrack[[Holdback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23" s="504">
        <f ca="1">SUMIFS(CostTrack[[Value]:[Value]],CostTrack[[PA ID]:[PA ID]],$B23,CostTrack[[Vendor - Contract]:[Vendor - Contract]],$H23,CostTrack[[Holdback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23" s="504">
        <f ca="1">SUMIFS(CostTrack[[Value]:[Value]],CostTrack[[PA ID]:[PA ID]],$B23,CostTrack[[Vendor - Contract]:[Vendor - Contract]],$H23,CostTrack[[Holdback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23" s="504">
        <f ca="1">SUMIFS(CostTrack[[Value]:[Value]],CostTrack[[PA ID]:[PA ID]],$B23,CostTrack[[Vendor - Contract]:[Vendor - Contract]],$H23,CostTrack[[Holdback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23" s="504">
        <f ca="1">SUMIFS(CostTrack[[Value]:[Value]],CostTrack[[PA ID]:[PA ID]],$B23,CostTrack[[Vendor - Contract]:[Vendor - Contract]],$H23,CostTrack[[Holdback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23" s="504">
        <f ca="1">SUMIFS(CostTrack[[Value]:[Value]],CostTrack[[PA ID]:[PA ID]],$B23,CostTrack[[Vendor - Contract]:[Vendor - Contract]],$H23,CostTrack[[Holdback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23" s="504">
        <f ca="1">SUMIFS(CostTrack[[Value]:[Value]],CostTrack[[PA ID]:[PA ID]],$B23,CostTrack[[Vendor - Contract]:[Vendor - Contract]],$H23,CostTrack[[Holdback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23" s="504">
        <f ca="1">SUMIFS(CostTrack[[Value]:[Value]],CostTrack[[PA ID]:[PA ID]],$B23,CostTrack[[Vendor - Contract]:[Vendor - Contract]],$H23,CostTrack[[Holdback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23" s="504">
        <f ca="1">SUMIFS(CostTrack[[Value]:[Value]],CostTrack[[PA ID]:[PA ID]],$B23,CostTrack[[Vendor - Contract]:[Vendor - Contract]],$H23,CostTrack[[Holdback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23" s="504">
        <f ca="1">SUMIFS(CostTrack[[Value]:[Value]],CostTrack[[PA ID]:[PA ID]],$B23,CostTrack[[Vendor - Contract]:[Vendor - Contract]],$H23,CostTrack[[Holdback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23" s="504">
        <f ca="1">SUMIFS(CostTrack[[Value]:[Value]],CostTrack[[PA ID]:[PA ID]],$B23,CostTrack[[Vendor - Contract]:[Vendor - Contract]],$H23,CostTrack[[Holdback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23" s="506">
        <f t="shared" ca="1" si="16"/>
        <v>0</v>
      </c>
      <c r="AI23" s="504">
        <f ca="1">SUMIFS(CostTrack[[Value]:[Value]],CostTrack[[PA ID]:[PA ID]],$B23,CostTrack[[Vendor - Contract]:[Vendor - Contract]],$H23,CostTrack[[Holdback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23" s="504">
        <f ca="1">SUMIFS(CostTrack[[Value]:[Value]],CostTrack[[PA ID]:[PA ID]],$B23,CostTrack[[Vendor - Contract]:[Vendor - Contract]],$H23,CostTrack[[Holdback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23" s="504">
        <f ca="1">SUMIFS(CostTrack[[Value]:[Value]],CostTrack[[PA ID]:[PA ID]],$B23,CostTrack[[Vendor - Contract]:[Vendor - Contract]],$H23,CostTrack[[Holdback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23" s="504">
        <f ca="1">SUMIFS(CostTrack[[Value]:[Value]],CostTrack[[PA ID]:[PA ID]],$B23,CostTrack[[Vendor - Contract]:[Vendor - Contract]],$H23,CostTrack[[Holdback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23" s="504">
        <f ca="1">SUMIFS(CostTrack[[Value]:[Value]],CostTrack[[PA ID]:[PA ID]],$B23,CostTrack[[Vendor - Contract]:[Vendor - Contract]],$H23,CostTrack[[Holdback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23" s="504">
        <f ca="1">SUMIFS(CostTrack[[Value]:[Value]],CostTrack[[PA ID]:[PA ID]],$B23,CostTrack[[Vendor - Contract]:[Vendor - Contract]],$H23,CostTrack[[Holdback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23" s="504">
        <f ca="1">SUMIFS(CostTrack[[Value]:[Value]],CostTrack[[PA ID]:[PA ID]],$B23,CostTrack[[Vendor - Contract]:[Vendor - Contract]],$H23,CostTrack[[Holdback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23" s="504">
        <f ca="1">SUMIFS(CostTrack[[Value]:[Value]],CostTrack[[PA ID]:[PA ID]],$B23,CostTrack[[Vendor - Contract]:[Vendor - Contract]],$H23,CostTrack[[Holdback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23" s="504">
        <f ca="1">SUMIFS(CostTrack[[Value]:[Value]],CostTrack[[PA ID]:[PA ID]],$B23,CostTrack[[Vendor - Contract]:[Vendor - Contract]],$H23,CostTrack[[Holdback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23" s="504">
        <f ca="1">SUMIFS(CostTrack[[Value]:[Value]],CostTrack[[PA ID]:[PA ID]],$B23,CostTrack[[Vendor - Contract]:[Vendor - Contract]],$H23,CostTrack[[Holdback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23" s="504">
        <f ca="1">SUMIFS(CostTrack[[Value]:[Value]],CostTrack[[PA ID]:[PA ID]],$B23,CostTrack[[Vendor - Contract]:[Vendor - Contract]],$H23,CostTrack[[Holdback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23" s="504">
        <f ca="1">SUMIFS(CostTrack[[Value]:[Value]],CostTrack[[PA ID]:[PA ID]],$B23,CostTrack[[Vendor - Contract]:[Vendor - Contract]],$H23,CostTrack[[Holdback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23" s="512">
        <f t="shared" ca="1" si="17"/>
        <v>0</v>
      </c>
      <c r="AW23" s="504">
        <f ca="1">SUMIFS(CostTrack[[Value]:[Value]],CostTrack[[PA ID]:[PA ID]],$B23,CostTrack[[Vendor - Contract]:[Vendor - Contract]],$H23,CostTrack[[Holdback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23" s="504">
        <f ca="1">SUMIFS(CostTrack[[Value]:[Value]],CostTrack[[PA ID]:[PA ID]],$B23,CostTrack[[Vendor - Contract]:[Vendor - Contract]],$H23,CostTrack[[Holdback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23" s="504">
        <f ca="1">SUMIFS(CostTrack[[Value]:[Value]],CostTrack[[PA ID]:[PA ID]],$B23,CostTrack[[Vendor - Contract]:[Vendor - Contract]],$H23,CostTrack[[Holdback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23" s="504">
        <f ca="1">SUMIFS(CostTrack[[Value]:[Value]],CostTrack[[PA ID]:[PA ID]],$B23,CostTrack[[Vendor - Contract]:[Vendor - Contract]],$H23,CostTrack[[Holdback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23" s="504">
        <f ca="1">SUMIFS(CostTrack[[Value]:[Value]],CostTrack[[PA ID]:[PA ID]],$B23,CostTrack[[Vendor - Contract]:[Vendor - Contract]],$H23,CostTrack[[Holdback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23" s="504">
        <f ca="1">SUMIFS(CostTrack[[Value]:[Value]],CostTrack[[PA ID]:[PA ID]],$B23,CostTrack[[Vendor - Contract]:[Vendor - Contract]],$H23,CostTrack[[Holdback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23" s="504">
        <f ca="1">SUMIFS(CostTrack[[Value]:[Value]],CostTrack[[PA ID]:[PA ID]],$B23,CostTrack[[Vendor - Contract]:[Vendor - Contract]],$H23,CostTrack[[Holdback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23" s="504">
        <f ca="1">SUMIFS(CostTrack[[Value]:[Value]],CostTrack[[PA ID]:[PA ID]],$B23,CostTrack[[Vendor - Contract]:[Vendor - Contract]],$H23,CostTrack[[Holdback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1123238.8399999999</v>
      </c>
      <c r="BE23" s="504">
        <f ca="1">SUMIFS(CostTrack[[Value]:[Value]],CostTrack[[PA ID]:[PA ID]],$B23,CostTrack[[Vendor - Contract]:[Vendor - Contract]],$H23,CostTrack[[Holdback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23" s="504">
        <f ca="1">SUMIFS(CostTrack[[Value]:[Value]],CostTrack[[PA ID]:[PA ID]],$B23,CostTrack[[Vendor - Contract]:[Vendor - Contract]],$H23,CostTrack[[Holdback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23" s="504">
        <f ca="1">SUMIFS(CostTrack[[Value]:[Value]],CostTrack[[PA ID]:[PA ID]],$B23,CostTrack[[Vendor - Contract]:[Vendor - Contract]],$H23,CostTrack[[Holdback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23" s="504">
        <f ca="1">SUMIFS(CostTrack[[Value]:[Value]],CostTrack[[PA ID]:[PA ID]],$B23,CostTrack[[Vendor - Contract]:[Vendor - Contract]],$H23,CostTrack[[Holdback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23" s="512">
        <f t="shared" ca="1" si="18"/>
        <v>1123238.8399999999</v>
      </c>
      <c r="BK23" s="504">
        <f ca="1">SUMIFS(CostTrack[[Value]:[Value]],CostTrack[[PA ID]:[PA ID]],$B23,CostTrack[[Vendor - Contract]:[Vendor - Contract]],$H23,CostTrack[[Holdback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23" s="504">
        <f ca="1">SUMIFS(CostTrack[[Value]:[Value]],CostTrack[[PA ID]:[PA ID]],$B23,CostTrack[[Vendor - Contract]:[Vendor - Contract]],$H23,CostTrack[[Holdback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23" s="504">
        <f ca="1">SUMIFS(CostTrack[[Value]:[Value]],CostTrack[[PA ID]:[PA ID]],$B23,CostTrack[[Vendor - Contract]:[Vendor - Contract]],$H23,CostTrack[[Holdback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23" s="504">
        <f ca="1">SUMIFS(CostTrack[[Value]:[Value]],CostTrack[[PA ID]:[PA ID]],$B23,CostTrack[[Vendor - Contract]:[Vendor - Contract]],$H23,CostTrack[[Holdback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23" s="504">
        <f ca="1">SUMIFS(CostTrack[[Value]:[Value]],CostTrack[[PA ID]:[PA ID]],$B23,CostTrack[[Vendor - Contract]:[Vendor - Contract]],$H23,CostTrack[[Holdback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23" s="504">
        <f ca="1">SUMIFS(CostTrack[[Value]:[Value]],CostTrack[[PA ID]:[PA ID]],$B23,CostTrack[[Vendor - Contract]:[Vendor - Contract]],$H23,CostTrack[[Holdback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23" s="504">
        <f ca="1">SUMIFS(CostTrack[[Value]:[Value]],CostTrack[[PA ID]:[PA ID]],$B23,CostTrack[[Vendor - Contract]:[Vendor - Contract]],$H23,CostTrack[[Holdback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23" s="504">
        <f ca="1">SUMIFS(CostTrack[[Value]:[Value]],CostTrack[[PA ID]:[PA ID]],$B23,CostTrack[[Vendor - Contract]:[Vendor - Contract]],$H23,CostTrack[[Holdback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23" s="504">
        <f ca="1">SUMIFS(CostTrack[[Value]:[Value]],CostTrack[[PA ID]:[PA ID]],$B23,CostTrack[[Vendor - Contract]:[Vendor - Contract]],$H23,CostTrack[[Holdback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23" s="504">
        <f ca="1">SUMIFS(CostTrack[[Value]:[Value]],CostTrack[[PA ID]:[PA ID]],$B23,CostTrack[[Vendor - Contract]:[Vendor - Contract]],$H23,CostTrack[[Holdback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23" s="504">
        <f ca="1">SUMIFS(CostTrack[[Value]:[Value]],CostTrack[[PA ID]:[PA ID]],$B23,CostTrack[[Vendor - Contract]:[Vendor - Contract]],$H23,CostTrack[[Holdback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23" s="504">
        <f ca="1">SUMIFS(CostTrack[[Value]:[Value]],CostTrack[[PA ID]:[PA ID]],$B23,CostTrack[[Vendor - Contract]:[Vendor - Contract]],$H23,CostTrack[[Holdback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23" s="512">
        <f t="shared" ca="1" si="19"/>
        <v>0</v>
      </c>
      <c r="BY23" s="504">
        <f ca="1">SUMIFS(CostTrack[[Value]:[Value]],CostTrack[[PA ID]:[PA ID]],$B23,CostTrack[[Vendor - Contract]:[Vendor - Contract]],$H23,CostTrack[[Holdback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23" s="504">
        <f ca="1">SUMIFS(CostTrack[[Value]:[Value]],CostTrack[[PA ID]:[PA ID]],$B23,CostTrack[[Vendor - Contract]:[Vendor - Contract]],$H23,CostTrack[[Holdback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23" s="504">
        <f ca="1">SUMIFS(CostTrack[[Value]:[Value]],CostTrack[[PA ID]:[PA ID]],$B23,CostTrack[[Vendor - Contract]:[Vendor - Contract]],$H23,CostTrack[[Holdback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23" s="504">
        <f ca="1">SUMIFS(CostTrack[[Value]:[Value]],CostTrack[[PA ID]:[PA ID]],$B23,CostTrack[[Vendor - Contract]:[Vendor - Contract]],$H23,CostTrack[[Holdback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23" s="504">
        <f ca="1">SUMIFS(CostTrack[[Value]:[Value]],CostTrack[[PA ID]:[PA ID]],$B23,CostTrack[[Vendor - Contract]:[Vendor - Contract]],$H23,CostTrack[[Holdback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23" s="504">
        <f ca="1">SUMIFS(CostTrack[[Value]:[Value]],CostTrack[[PA ID]:[PA ID]],$B23,CostTrack[[Vendor - Contract]:[Vendor - Contract]],$H23,CostTrack[[Holdback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23" s="504">
        <f ca="1">SUMIFS(CostTrack[[Value]:[Value]],CostTrack[[PA ID]:[PA ID]],$B23,CostTrack[[Vendor - Contract]:[Vendor - Contract]],$H23,CostTrack[[Holdback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23" s="504">
        <f ca="1">SUMIFS(CostTrack[[Value]:[Value]],CostTrack[[PA ID]:[PA ID]],$B23,CostTrack[[Vendor - Contract]:[Vendor - Contract]],$H23,CostTrack[[Holdback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23" s="504">
        <f ca="1">SUMIFS(CostTrack[[Value]:[Value]],CostTrack[[PA ID]:[PA ID]],$B23,CostTrack[[Vendor - Contract]:[Vendor - Contract]],$H23,CostTrack[[Holdback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23" s="504">
        <f ca="1">SUMIFS(CostTrack[[Value]:[Value]],CostTrack[[PA ID]:[PA ID]],$B23,CostTrack[[Vendor - Contract]:[Vendor - Contract]],$H23,CostTrack[[Holdback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23" s="504">
        <f ca="1">SUMIFS(CostTrack[[Value]:[Value]],CostTrack[[PA ID]:[PA ID]],$B23,CostTrack[[Vendor - Contract]:[Vendor - Contract]],$H23,CostTrack[[Holdback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23" s="504">
        <f ca="1">SUMIFS(CostTrack[[Value]:[Value]],CostTrack[[PA ID]:[PA ID]],$B23,CostTrack[[Vendor - Contract]:[Vendor - Contract]],$H23,CostTrack[[Holdback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23" s="512">
        <f t="shared" ca="1" si="20"/>
        <v>0</v>
      </c>
      <c r="CM23" s="504">
        <f ca="1">SUMIFS(CostTrack[[Value]:[Value]],CostTrack[[PA ID]:[PA ID]],$B23,CostTrack[[Vendor - Contract]:[Vendor - Contract]],$H23,CostTrack[[Holdback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23" s="504">
        <f ca="1">SUMIFS(CostTrack[[Value]:[Value]],CostTrack[[PA ID]:[PA ID]],$B23,CostTrack[[Vendor - Contract]:[Vendor - Contract]],$H23,CostTrack[[Holdback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23" s="504">
        <f ca="1">SUMIFS(CostTrack[[Value]:[Value]],CostTrack[[PA ID]:[PA ID]],$B23,CostTrack[[Vendor - Contract]:[Vendor - Contract]],$H23,CostTrack[[Holdback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23" s="504">
        <f ca="1">SUMIFS(CostTrack[[Value]:[Value]],CostTrack[[PA ID]:[PA ID]],$B23,CostTrack[[Vendor - Contract]:[Vendor - Contract]],$H23,CostTrack[[Holdback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23" s="504">
        <f ca="1">SUMIFS(CostTrack[[Value]:[Value]],CostTrack[[PA ID]:[PA ID]],$B23,CostTrack[[Vendor - Contract]:[Vendor - Contract]],$H23,CostTrack[[Holdback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23" s="504">
        <f ca="1">SUMIFS(CostTrack[[Value]:[Value]],CostTrack[[PA ID]:[PA ID]],$B23,CostTrack[[Vendor - Contract]:[Vendor - Contract]],$H23,CostTrack[[Holdback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23" s="504">
        <f ca="1">SUMIFS(CostTrack[[Value]:[Value]],CostTrack[[PA ID]:[PA ID]],$B23,CostTrack[[Vendor - Contract]:[Vendor - Contract]],$H23,CostTrack[[Holdback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23" s="504">
        <f ca="1">SUMIFS(CostTrack[[Value]:[Value]],CostTrack[[PA ID]:[PA ID]],$B23,CostTrack[[Vendor - Contract]:[Vendor - Contract]],$H23,CostTrack[[Holdback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23" s="504">
        <f ca="1">SUMIFS(CostTrack[[Value]:[Value]],CostTrack[[PA ID]:[PA ID]],$B23,CostTrack[[Vendor - Contract]:[Vendor - Contract]],$H23,CostTrack[[Holdback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23" s="504">
        <f ca="1">SUMIFS(CostTrack[[Value]:[Value]],CostTrack[[PA ID]:[PA ID]],$B23,CostTrack[[Vendor - Contract]:[Vendor - Contract]],$H23,CostTrack[[Holdback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23" s="504">
        <f ca="1">SUMIFS(CostTrack[[Value]:[Value]],CostTrack[[PA ID]:[PA ID]],$B23,CostTrack[[Vendor - Contract]:[Vendor - Contract]],$H23,CostTrack[[Holdback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23" s="504">
        <f ca="1">SUMIFS(CostTrack[[Value]:[Value]],CostTrack[[PA ID]:[PA ID]],$B23,CostTrack[[Vendor - Contract]:[Vendor - Contract]],$H23,CostTrack[[Holdback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23" s="512">
        <f t="shared" ca="1" si="21"/>
        <v>0</v>
      </c>
      <c r="DA23" s="504">
        <f ca="1">SUMIFS(CostTrack[[Value]:[Value]],CostTrack[[PA ID]:[PA ID]],$B23,CostTrack[[Vendor - Contract]:[Vendor - Contract]],$H23,CostTrack[[Holdback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23" s="504">
        <f ca="1">SUMIFS(CostTrack[[Value]:[Value]],CostTrack[[PA ID]:[PA ID]],$B23,CostTrack[[Vendor - Contract]:[Vendor - Contract]],$H23,CostTrack[[Holdback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23" s="504">
        <f ca="1">SUMIFS(CostTrack[[Value]:[Value]],CostTrack[[PA ID]:[PA ID]],$B23,CostTrack[[Vendor - Contract]:[Vendor - Contract]],$H23,CostTrack[[Holdback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23" s="504">
        <f ca="1">SUMIFS(CostTrack[[Value]:[Value]],CostTrack[[PA ID]:[PA ID]],$B23,CostTrack[[Vendor - Contract]:[Vendor - Contract]],$H23,CostTrack[[Holdback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23" s="504">
        <f ca="1">SUMIFS(CostTrack[[Value]:[Value]],CostTrack[[PA ID]:[PA ID]],$B23,CostTrack[[Vendor - Contract]:[Vendor - Contract]],$H23,CostTrack[[Holdback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23" s="504">
        <f ca="1">SUMIFS(CostTrack[[Value]:[Value]],CostTrack[[PA ID]:[PA ID]],$B23,CostTrack[[Vendor - Contract]:[Vendor - Contract]],$H23,CostTrack[[Holdback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23" s="504">
        <f ca="1">SUMIFS(CostTrack[[Value]:[Value]],CostTrack[[PA ID]:[PA ID]],$B23,CostTrack[[Vendor - Contract]:[Vendor - Contract]],$H23,CostTrack[[Holdback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23" s="504">
        <f ca="1">SUMIFS(CostTrack[[Value]:[Value]],CostTrack[[PA ID]:[PA ID]],$B23,CostTrack[[Vendor - Contract]:[Vendor - Contract]],$H23,CostTrack[[Holdback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23" s="504">
        <f ca="1">SUMIFS(CostTrack[[Value]:[Value]],CostTrack[[PA ID]:[PA ID]],$B23,CostTrack[[Vendor - Contract]:[Vendor - Contract]],$H23,CostTrack[[Holdback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23" s="504">
        <f ca="1">SUMIFS(CostTrack[[Value]:[Value]],CostTrack[[PA ID]:[PA ID]],$B23,CostTrack[[Vendor - Contract]:[Vendor - Contract]],$H23,CostTrack[[Holdback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23" s="504">
        <f ca="1">SUMIFS(CostTrack[[Value]:[Value]],CostTrack[[PA ID]:[PA ID]],$B23,CostTrack[[Vendor - Contract]:[Vendor - Contract]],$H23,CostTrack[[Holdback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23" s="504">
        <f ca="1">SUMIFS(CostTrack[[Value]:[Value]],CostTrack[[PA ID]:[PA ID]],$B23,CostTrack[[Vendor - Contract]:[Vendor - Contract]],$H23,CostTrack[[Holdback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23" s="512">
        <f t="shared" ca="1" si="22"/>
        <v>0</v>
      </c>
      <c r="DO23" s="504">
        <f ca="1">SUMIFS(CostTrack[[Value]:[Value]],CostTrack[[PA ID]:[PA ID]],$B23,CostTrack[[Vendor - Contract]:[Vendor - Contract]],$H23,CostTrack[[Holdback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23" s="504">
        <f ca="1">SUMIFS(CostTrack[[Value]:[Value]],CostTrack[[PA ID]:[PA ID]],$B23,CostTrack[[Vendor - Contract]:[Vendor - Contract]],$H23,CostTrack[[Holdback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23" s="504">
        <f ca="1">SUMIFS(CostTrack[[Value]:[Value]],CostTrack[[PA ID]:[PA ID]],$B23,CostTrack[[Vendor - Contract]:[Vendor - Contract]],$H23,CostTrack[[Holdback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23" s="504">
        <f ca="1">SUMIFS(CostTrack[[Value]:[Value]],CostTrack[[PA ID]:[PA ID]],$B23,CostTrack[[Vendor - Contract]:[Vendor - Contract]],$H23,CostTrack[[Holdback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23" s="504">
        <f ca="1">SUMIFS(CostTrack[[Value]:[Value]],CostTrack[[PA ID]:[PA ID]],$B23,CostTrack[[Vendor - Contract]:[Vendor - Contract]],$H23,CostTrack[[Holdback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23" s="504">
        <f ca="1">SUMIFS(CostTrack[[Value]:[Value]],CostTrack[[PA ID]:[PA ID]],$B23,CostTrack[[Vendor - Contract]:[Vendor - Contract]],$H23,CostTrack[[Holdback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23" s="504">
        <f ca="1">SUMIFS(CostTrack[[Value]:[Value]],CostTrack[[PA ID]:[PA ID]],$B23,CostTrack[[Vendor - Contract]:[Vendor - Contract]],$H23,CostTrack[[Holdback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23" s="504">
        <f ca="1">SUMIFS(CostTrack[[Value]:[Value]],CostTrack[[PA ID]:[PA ID]],$B23,CostTrack[[Vendor - Contract]:[Vendor - Contract]],$H23,CostTrack[[Holdback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23" s="504">
        <f ca="1">SUMIFS(CostTrack[[Value]:[Value]],CostTrack[[PA ID]:[PA ID]],$B23,CostTrack[[Vendor - Contract]:[Vendor - Contract]],$H23,CostTrack[[Holdback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23" s="504">
        <f ca="1">SUMIFS(CostTrack[[Value]:[Value]],CostTrack[[PA ID]:[PA ID]],$B23,CostTrack[[Vendor - Contract]:[Vendor - Contract]],$H23,CostTrack[[Holdback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23" s="504">
        <f ca="1">SUMIFS(CostTrack[[Value]:[Value]],CostTrack[[PA ID]:[PA ID]],$B23,CostTrack[[Vendor - Contract]:[Vendor - Contract]],$H23,CostTrack[[Holdback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23" s="504">
        <f ca="1">SUMIFS(CostTrack[[Value]:[Value]],CostTrack[[PA ID]:[PA ID]],$B23,CostTrack[[Vendor - Contract]:[Vendor - Contract]],$H23,CostTrack[[Holdback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23" s="512">
        <f t="shared" ca="1" si="23"/>
        <v>0</v>
      </c>
      <c r="EC23" s="504">
        <f ca="1">SUMIFS(CostTrack[[Value]:[Value]],CostTrack[[PA ID]:[PA ID]],$B23,CostTrack[[Vendor - Contract]:[Vendor - Contract]],$H23,CostTrack[[Holdback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23" s="505"/>
      <c r="EE23" s="505"/>
      <c r="EF23" s="505"/>
      <c r="EG23" s="505"/>
      <c r="EH23" s="505"/>
      <c r="EI23" s="505"/>
      <c r="EJ23" s="505"/>
      <c r="EK23" s="505"/>
      <c r="EL23" s="505"/>
      <c r="EM23" s="505"/>
      <c r="EN23" s="505"/>
      <c r="EO23" s="512">
        <f t="shared" ca="1" si="24"/>
        <v>0</v>
      </c>
      <c r="EQ23" s="505"/>
      <c r="ER23" s="505"/>
      <c r="ES23" s="505"/>
      <c r="ET23" s="505"/>
      <c r="EU23" s="505"/>
      <c r="EV23" s="505"/>
      <c r="EW23" s="505"/>
      <c r="EX23" s="505"/>
      <c r="EY23" s="505"/>
      <c r="EZ23" s="505"/>
      <c r="FA23" s="505"/>
      <c r="FB23" s="505"/>
      <c r="FC23" s="512">
        <f t="shared" si="25"/>
        <v>0</v>
      </c>
      <c r="FE23" s="505"/>
      <c r="FF23" s="505"/>
      <c r="FG23" s="505"/>
      <c r="FH23" s="505"/>
      <c r="FI23" s="505"/>
      <c r="FJ23" s="505"/>
      <c r="FK23" s="505"/>
      <c r="FL23" s="505"/>
      <c r="FM23" s="505"/>
      <c r="FN23" s="505"/>
      <c r="FO23" s="505"/>
      <c r="FP23" s="505"/>
      <c r="FQ23" s="512">
        <f t="shared" si="26"/>
        <v>0</v>
      </c>
      <c r="FS23" s="504">
        <f t="shared" ca="1" si="27"/>
        <v>1123238.8399999999</v>
      </c>
    </row>
    <row r="24" spans="1:175">
      <c r="A24" s="216">
        <v>17</v>
      </c>
      <c r="B24" s="219" t="str">
        <f ca="1">INDEX(EAC[PA ID],MATCH($A24,EAC[Row],0))</f>
        <v>300.020.F1</v>
      </c>
      <c r="C24" s="218" t="str">
        <f ca="1">INDEX(EAC[Primary Category],MATCH($A24,EAC[Row],0))</f>
        <v>Construction</v>
      </c>
      <c r="D24" s="218" t="str">
        <f ca="1">INDEX(EAC[Secondary Category],MATCH($A24,EAC[Row],0))</f>
        <v>Utilities</v>
      </c>
      <c r="E24" s="109" t="str">
        <f ca="1">INDEX(EAC[Phase / Subproject],MATCH($A24,EAC[Row],0))</f>
        <v>--</v>
      </c>
      <c r="F24" s="109" t="str">
        <f ca="1">INDEX(EAC[Phase / Subproject 2],MATCH($A24,EAC[Row],0))</f>
        <v>--</v>
      </c>
      <c r="G24" s="109" t="str">
        <f ca="1">INDEX(EAC[Funding Source],MATCH($A24,EAC[Row],0))</f>
        <v>P-002360</v>
      </c>
      <c r="H24" s="146" t="str">
        <f ca="1">INDEX(EAC[Vendor / Org. with Contract ID],MATCH($A24,EAC[Row],0))</f>
        <v>Axia FibreNet Ltd-Supernet-Direct Pay</v>
      </c>
      <c r="I24" s="502">
        <f ca="1">INDEX(EAC[Estimate At Completion],MATCH($A24,EAC[Row],0))</f>
        <v>72300</v>
      </c>
      <c r="J24" s="502">
        <f ca="1">SUMIFS(CostTrack[Value],CostTrack[Vendor - Contract],$H24,CostTrack[PA ID],$B24,CostTrack[Holdback (Y/N/R)],"&lt;&gt;Release",CostTrack[Status],"Approved")</f>
        <v>72300</v>
      </c>
      <c r="K24" s="503">
        <f t="shared" ca="1" si="14"/>
        <v>0</v>
      </c>
      <c r="M24" s="504">
        <f t="shared" ca="1" si="15"/>
        <v>0</v>
      </c>
      <c r="O24" s="504">
        <f t="shared" ca="1" si="11"/>
        <v>72300</v>
      </c>
      <c r="P24" s="504">
        <f t="array" aca="1" ref="P24" ca="1">SUM($U24:$FQ24*_xlfn.ISFORMULA($U24:$FQ24)*ISNUMBER($U$7:$FQ$7)*--(INDEX($U$6:$FQ$6,N(IF({1},COLUMN($U$6:$FQ$6)-COLUMN($T$6)))-MOD(N(IF({1},COLUMN($U$6:$FQ$6)-COLUMN($U$6))),14))="Current Fiscal"))</f>
        <v>0</v>
      </c>
      <c r="Q24" s="504">
        <f t="array" aca="1" ref="Q24" ca="1">SUM($U24:$FQ24*NOT(_xlfn.ISFORMULA($U24:$FQ24))*ISNUMBER($U$7:$FQ$7)*--(INDEX($U$6:$FQ$6,N(IF({1},COLUMN($U$6:$FQ$6)-COLUMN($T$6)))-MOD(N(IF({1},COLUMN($U$6:$FQ$6)-COLUMN($U$6))),14))="Current Fiscal"))</f>
        <v>0</v>
      </c>
      <c r="R24" s="504">
        <f t="shared" ca="1" si="12"/>
        <v>0</v>
      </c>
      <c r="S24" s="504">
        <f t="shared" ca="1" si="13"/>
        <v>0</v>
      </c>
      <c r="U24" s="504">
        <f ca="1">SUMIFS(CostTrack[[Value]:[Value]],CostTrack[[PA ID]:[PA ID]],$B24,CostTrack[[Vendor - Contract]:[Vendor - Contract]],$H24,CostTrack[[Holdback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24" s="504">
        <f ca="1">SUMIFS(CostTrack[[Value]:[Value]],CostTrack[[PA ID]:[PA ID]],$B24,CostTrack[[Vendor - Contract]:[Vendor - Contract]],$H24,CostTrack[[Holdback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24" s="504">
        <f ca="1">SUMIFS(CostTrack[[Value]:[Value]],CostTrack[[PA ID]:[PA ID]],$B24,CostTrack[[Vendor - Contract]:[Vendor - Contract]],$H24,CostTrack[[Holdback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24" s="504">
        <f ca="1">SUMIFS(CostTrack[[Value]:[Value]],CostTrack[[PA ID]:[PA ID]],$B24,CostTrack[[Vendor - Contract]:[Vendor - Contract]],$H24,CostTrack[[Holdback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24" s="504">
        <f ca="1">SUMIFS(CostTrack[[Value]:[Value]],CostTrack[[PA ID]:[PA ID]],$B24,CostTrack[[Vendor - Contract]:[Vendor - Contract]],$H24,CostTrack[[Holdback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24" s="504">
        <f ca="1">SUMIFS(CostTrack[[Value]:[Value]],CostTrack[[PA ID]:[PA ID]],$B24,CostTrack[[Vendor - Contract]:[Vendor - Contract]],$H24,CostTrack[[Holdback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24" s="504">
        <f ca="1">SUMIFS(CostTrack[[Value]:[Value]],CostTrack[[PA ID]:[PA ID]],$B24,CostTrack[[Vendor - Contract]:[Vendor - Contract]],$H24,CostTrack[[Holdback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24" s="504">
        <f ca="1">SUMIFS(CostTrack[[Value]:[Value]],CostTrack[[PA ID]:[PA ID]],$B24,CostTrack[[Vendor - Contract]:[Vendor - Contract]],$H24,CostTrack[[Holdback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24" s="504">
        <f ca="1">SUMIFS(CostTrack[[Value]:[Value]],CostTrack[[PA ID]:[PA ID]],$B24,CostTrack[[Vendor - Contract]:[Vendor - Contract]],$H24,CostTrack[[Holdback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24" s="504">
        <f ca="1">SUMIFS(CostTrack[[Value]:[Value]],CostTrack[[PA ID]:[PA ID]],$B24,CostTrack[[Vendor - Contract]:[Vendor - Contract]],$H24,CostTrack[[Holdback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24" s="504">
        <f ca="1">SUMIFS(CostTrack[[Value]:[Value]],CostTrack[[PA ID]:[PA ID]],$B24,CostTrack[[Vendor - Contract]:[Vendor - Contract]],$H24,CostTrack[[Holdback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24" s="504">
        <f ca="1">SUMIFS(CostTrack[[Value]:[Value]],CostTrack[[PA ID]:[PA ID]],$B24,CostTrack[[Vendor - Contract]:[Vendor - Contract]],$H24,CostTrack[[Holdback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24" s="506">
        <f t="shared" ca="1" si="16"/>
        <v>0</v>
      </c>
      <c r="AI24" s="504">
        <f ca="1">SUMIFS(CostTrack[[Value]:[Value]],CostTrack[[PA ID]:[PA ID]],$B24,CostTrack[[Vendor - Contract]:[Vendor - Contract]],$H24,CostTrack[[Holdback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24" s="504">
        <f ca="1">SUMIFS(CostTrack[[Value]:[Value]],CostTrack[[PA ID]:[PA ID]],$B24,CostTrack[[Vendor - Contract]:[Vendor - Contract]],$H24,CostTrack[[Holdback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24" s="504">
        <f ca="1">SUMIFS(CostTrack[[Value]:[Value]],CostTrack[[PA ID]:[PA ID]],$B24,CostTrack[[Vendor - Contract]:[Vendor - Contract]],$H24,CostTrack[[Holdback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24" s="504">
        <f ca="1">SUMIFS(CostTrack[[Value]:[Value]],CostTrack[[PA ID]:[PA ID]],$B24,CostTrack[[Vendor - Contract]:[Vendor - Contract]],$H24,CostTrack[[Holdback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24" s="504">
        <f ca="1">SUMIFS(CostTrack[[Value]:[Value]],CostTrack[[PA ID]:[PA ID]],$B24,CostTrack[[Vendor - Contract]:[Vendor - Contract]],$H24,CostTrack[[Holdback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24" s="504">
        <f ca="1">SUMIFS(CostTrack[[Value]:[Value]],CostTrack[[PA ID]:[PA ID]],$B24,CostTrack[[Vendor - Contract]:[Vendor - Contract]],$H24,CostTrack[[Holdback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24" s="504">
        <f ca="1">SUMIFS(CostTrack[[Value]:[Value]],CostTrack[[PA ID]:[PA ID]],$B24,CostTrack[[Vendor - Contract]:[Vendor - Contract]],$H24,CostTrack[[Holdback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24" s="504">
        <f ca="1">SUMIFS(CostTrack[[Value]:[Value]],CostTrack[[PA ID]:[PA ID]],$B24,CostTrack[[Vendor - Contract]:[Vendor - Contract]],$H24,CostTrack[[Holdback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24" s="504">
        <f ca="1">SUMIFS(CostTrack[[Value]:[Value]],CostTrack[[PA ID]:[PA ID]],$B24,CostTrack[[Vendor - Contract]:[Vendor - Contract]],$H24,CostTrack[[Holdback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24" s="504">
        <f ca="1">SUMIFS(CostTrack[[Value]:[Value]],CostTrack[[PA ID]:[PA ID]],$B24,CostTrack[[Vendor - Contract]:[Vendor - Contract]],$H24,CostTrack[[Holdback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24" s="504">
        <f ca="1">SUMIFS(CostTrack[[Value]:[Value]],CostTrack[[PA ID]:[PA ID]],$B24,CostTrack[[Vendor - Contract]:[Vendor - Contract]],$H24,CostTrack[[Holdback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24" s="504">
        <f ca="1">SUMIFS(CostTrack[[Value]:[Value]],CostTrack[[PA ID]:[PA ID]],$B24,CostTrack[[Vendor - Contract]:[Vendor - Contract]],$H24,CostTrack[[Holdback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24" s="512">
        <f t="shared" ca="1" si="17"/>
        <v>0</v>
      </c>
      <c r="AW24" s="504">
        <f ca="1">SUMIFS(CostTrack[[Value]:[Value]],CostTrack[[PA ID]:[PA ID]],$B24,CostTrack[[Vendor - Contract]:[Vendor - Contract]],$H24,CostTrack[[Holdback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24" s="504">
        <f ca="1">SUMIFS(CostTrack[[Value]:[Value]],CostTrack[[PA ID]:[PA ID]],$B24,CostTrack[[Vendor - Contract]:[Vendor - Contract]],$H24,CostTrack[[Holdback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24" s="504">
        <f ca="1">SUMIFS(CostTrack[[Value]:[Value]],CostTrack[[PA ID]:[PA ID]],$B24,CostTrack[[Vendor - Contract]:[Vendor - Contract]],$H24,CostTrack[[Holdback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24" s="504">
        <f ca="1">SUMIFS(CostTrack[[Value]:[Value]],CostTrack[[PA ID]:[PA ID]],$B24,CostTrack[[Vendor - Contract]:[Vendor - Contract]],$H24,CostTrack[[Holdback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24" s="504">
        <f ca="1">SUMIFS(CostTrack[[Value]:[Value]],CostTrack[[PA ID]:[PA ID]],$B24,CostTrack[[Vendor - Contract]:[Vendor - Contract]],$H24,CostTrack[[Holdback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24" s="504">
        <f ca="1">SUMIFS(CostTrack[[Value]:[Value]],CostTrack[[PA ID]:[PA ID]],$B24,CostTrack[[Vendor - Contract]:[Vendor - Contract]],$H24,CostTrack[[Holdback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24" s="504">
        <f ca="1">SUMIFS(CostTrack[[Value]:[Value]],CostTrack[[PA ID]:[PA ID]],$B24,CostTrack[[Vendor - Contract]:[Vendor - Contract]],$H24,CostTrack[[Holdback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24" s="504">
        <f ca="1">SUMIFS(CostTrack[[Value]:[Value]],CostTrack[[PA ID]:[PA ID]],$B24,CostTrack[[Vendor - Contract]:[Vendor - Contract]],$H24,CostTrack[[Holdback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24" s="504">
        <f ca="1">SUMIFS(CostTrack[[Value]:[Value]],CostTrack[[PA ID]:[PA ID]],$B24,CostTrack[[Vendor - Contract]:[Vendor - Contract]],$H24,CostTrack[[Holdback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24" s="504">
        <f ca="1">SUMIFS(CostTrack[[Value]:[Value]],CostTrack[[PA ID]:[PA ID]],$B24,CostTrack[[Vendor - Contract]:[Vendor - Contract]],$H24,CostTrack[[Holdback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24" s="504">
        <f ca="1">SUMIFS(CostTrack[[Value]:[Value]],CostTrack[[PA ID]:[PA ID]],$B24,CostTrack[[Vendor - Contract]:[Vendor - Contract]],$H24,CostTrack[[Holdback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24" s="504">
        <f ca="1">SUMIFS(CostTrack[[Value]:[Value]],CostTrack[[PA ID]:[PA ID]],$B24,CostTrack[[Vendor - Contract]:[Vendor - Contract]],$H24,CostTrack[[Holdback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24" s="512">
        <f t="shared" ca="1" si="18"/>
        <v>0</v>
      </c>
      <c r="BK24" s="504">
        <f ca="1">SUMIFS(CostTrack[[Value]:[Value]],CostTrack[[PA ID]:[PA ID]],$B24,CostTrack[[Vendor - Contract]:[Vendor - Contract]],$H24,CostTrack[[Holdback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24" s="504">
        <f ca="1">SUMIFS(CostTrack[[Value]:[Value]],CostTrack[[PA ID]:[PA ID]],$B24,CostTrack[[Vendor - Contract]:[Vendor - Contract]],$H24,CostTrack[[Holdback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24" s="504">
        <f ca="1">SUMIFS(CostTrack[[Value]:[Value]],CostTrack[[PA ID]:[PA ID]],$B24,CostTrack[[Vendor - Contract]:[Vendor - Contract]],$H24,CostTrack[[Holdback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24" s="504">
        <f ca="1">SUMIFS(CostTrack[[Value]:[Value]],CostTrack[[PA ID]:[PA ID]],$B24,CostTrack[[Vendor - Contract]:[Vendor - Contract]],$H24,CostTrack[[Holdback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24" s="504">
        <f ca="1">SUMIFS(CostTrack[[Value]:[Value]],CostTrack[[PA ID]:[PA ID]],$B24,CostTrack[[Vendor - Contract]:[Vendor - Contract]],$H24,CostTrack[[Holdback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24" s="504">
        <f ca="1">SUMIFS(CostTrack[[Value]:[Value]],CostTrack[[PA ID]:[PA ID]],$B24,CostTrack[[Vendor - Contract]:[Vendor - Contract]],$H24,CostTrack[[Holdback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24" s="504">
        <f ca="1">SUMIFS(CostTrack[[Value]:[Value]],CostTrack[[PA ID]:[PA ID]],$B24,CostTrack[[Vendor - Contract]:[Vendor - Contract]],$H24,CostTrack[[Holdback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24" s="504">
        <f ca="1">SUMIFS(CostTrack[[Value]:[Value]],CostTrack[[PA ID]:[PA ID]],$B24,CostTrack[[Vendor - Contract]:[Vendor - Contract]],$H24,CostTrack[[Holdback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24" s="504">
        <f ca="1">SUMIFS(CostTrack[[Value]:[Value]],CostTrack[[PA ID]:[PA ID]],$B24,CostTrack[[Vendor - Contract]:[Vendor - Contract]],$H24,CostTrack[[Holdback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24" s="504">
        <f ca="1">SUMIFS(CostTrack[[Value]:[Value]],CostTrack[[PA ID]:[PA ID]],$B24,CostTrack[[Vendor - Contract]:[Vendor - Contract]],$H24,CostTrack[[Holdback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24" s="504">
        <f ca="1">SUMIFS(CostTrack[[Value]:[Value]],CostTrack[[PA ID]:[PA ID]],$B24,CostTrack[[Vendor - Contract]:[Vendor - Contract]],$H24,CostTrack[[Holdback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24" s="504">
        <f ca="1">SUMIFS(CostTrack[[Value]:[Value]],CostTrack[[PA ID]:[PA ID]],$B24,CostTrack[[Vendor - Contract]:[Vendor - Contract]],$H24,CostTrack[[Holdback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24" s="512">
        <f t="shared" ca="1" si="19"/>
        <v>0</v>
      </c>
      <c r="BY24" s="504">
        <f ca="1">SUMIFS(CostTrack[[Value]:[Value]],CostTrack[[PA ID]:[PA ID]],$B24,CostTrack[[Vendor - Contract]:[Vendor - Contract]],$H24,CostTrack[[Holdback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24" s="504">
        <f ca="1">SUMIFS(CostTrack[[Value]:[Value]],CostTrack[[PA ID]:[PA ID]],$B24,CostTrack[[Vendor - Contract]:[Vendor - Contract]],$H24,CostTrack[[Holdback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24" s="504">
        <f ca="1">SUMIFS(CostTrack[[Value]:[Value]],CostTrack[[PA ID]:[PA ID]],$B24,CostTrack[[Vendor - Contract]:[Vendor - Contract]],$H24,CostTrack[[Holdback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24" s="504">
        <f ca="1">SUMIFS(CostTrack[[Value]:[Value]],CostTrack[[PA ID]:[PA ID]],$B24,CostTrack[[Vendor - Contract]:[Vendor - Contract]],$H24,CostTrack[[Holdback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24" s="504">
        <f ca="1">SUMIFS(CostTrack[[Value]:[Value]],CostTrack[[PA ID]:[PA ID]],$B24,CostTrack[[Vendor - Contract]:[Vendor - Contract]],$H24,CostTrack[[Holdback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24" s="504">
        <f ca="1">SUMIFS(CostTrack[[Value]:[Value]],CostTrack[[PA ID]:[PA ID]],$B24,CostTrack[[Vendor - Contract]:[Vendor - Contract]],$H24,CostTrack[[Holdback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24" s="504">
        <f ca="1">SUMIFS(CostTrack[[Value]:[Value]],CostTrack[[PA ID]:[PA ID]],$B24,CostTrack[[Vendor - Contract]:[Vendor - Contract]],$H24,CostTrack[[Holdback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24" s="504">
        <f ca="1">SUMIFS(CostTrack[[Value]:[Value]],CostTrack[[PA ID]:[PA ID]],$B24,CostTrack[[Vendor - Contract]:[Vendor - Contract]],$H24,CostTrack[[Holdback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24" s="504">
        <f ca="1">SUMIFS(CostTrack[[Value]:[Value]],CostTrack[[PA ID]:[PA ID]],$B24,CostTrack[[Vendor - Contract]:[Vendor - Contract]],$H24,CostTrack[[Holdback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24" s="504">
        <f ca="1">SUMIFS(CostTrack[[Value]:[Value]],CostTrack[[PA ID]:[PA ID]],$B24,CostTrack[[Vendor - Contract]:[Vendor - Contract]],$H24,CostTrack[[Holdback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24" s="504">
        <f ca="1">SUMIFS(CostTrack[[Value]:[Value]],CostTrack[[PA ID]:[PA ID]],$B24,CostTrack[[Vendor - Contract]:[Vendor - Contract]],$H24,CostTrack[[Holdback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24" s="504">
        <f ca="1">SUMIFS(CostTrack[[Value]:[Value]],CostTrack[[PA ID]:[PA ID]],$B24,CostTrack[[Vendor - Contract]:[Vendor - Contract]],$H24,CostTrack[[Holdback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24" s="512">
        <f t="shared" ca="1" si="20"/>
        <v>0</v>
      </c>
      <c r="CM24" s="504">
        <f ca="1">SUMIFS(CostTrack[[Value]:[Value]],CostTrack[[PA ID]:[PA ID]],$B24,CostTrack[[Vendor - Contract]:[Vendor - Contract]],$H24,CostTrack[[Holdback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24" s="504">
        <f ca="1">SUMIFS(CostTrack[[Value]:[Value]],CostTrack[[PA ID]:[PA ID]],$B24,CostTrack[[Vendor - Contract]:[Vendor - Contract]],$H24,CostTrack[[Holdback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24" s="504">
        <f ca="1">SUMIFS(CostTrack[[Value]:[Value]],CostTrack[[PA ID]:[PA ID]],$B24,CostTrack[[Vendor - Contract]:[Vendor - Contract]],$H24,CostTrack[[Holdback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24" s="504">
        <f ca="1">SUMIFS(CostTrack[[Value]:[Value]],CostTrack[[PA ID]:[PA ID]],$B24,CostTrack[[Vendor - Contract]:[Vendor - Contract]],$H24,CostTrack[[Holdback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24" s="504">
        <f ca="1">SUMIFS(CostTrack[[Value]:[Value]],CostTrack[[PA ID]:[PA ID]],$B24,CostTrack[[Vendor - Contract]:[Vendor - Contract]],$H24,CostTrack[[Holdback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24" s="504">
        <f ca="1">SUMIFS(CostTrack[[Value]:[Value]],CostTrack[[PA ID]:[PA ID]],$B24,CostTrack[[Vendor - Contract]:[Vendor - Contract]],$H24,CostTrack[[Holdback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24" s="504">
        <f ca="1">SUMIFS(CostTrack[[Value]:[Value]],CostTrack[[PA ID]:[PA ID]],$B24,CostTrack[[Vendor - Contract]:[Vendor - Contract]],$H24,CostTrack[[Holdback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24" s="504">
        <f ca="1">SUMIFS(CostTrack[[Value]:[Value]],CostTrack[[PA ID]:[PA ID]],$B24,CostTrack[[Vendor - Contract]:[Vendor - Contract]],$H24,CostTrack[[Holdback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24" s="504">
        <f ca="1">SUMIFS(CostTrack[[Value]:[Value]],CostTrack[[PA ID]:[PA ID]],$B24,CostTrack[[Vendor - Contract]:[Vendor - Contract]],$H24,CostTrack[[Holdback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24" s="504">
        <f ca="1">SUMIFS(CostTrack[[Value]:[Value]],CostTrack[[PA ID]:[PA ID]],$B24,CostTrack[[Vendor - Contract]:[Vendor - Contract]],$H24,CostTrack[[Holdback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24" s="504">
        <f ca="1">SUMIFS(CostTrack[[Value]:[Value]],CostTrack[[PA ID]:[PA ID]],$B24,CostTrack[[Vendor - Contract]:[Vendor - Contract]],$H24,CostTrack[[Holdback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24" s="504">
        <f ca="1">SUMIFS(CostTrack[[Value]:[Value]],CostTrack[[PA ID]:[PA ID]],$B24,CostTrack[[Vendor - Contract]:[Vendor - Contract]],$H24,CostTrack[[Holdback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24" s="512">
        <f t="shared" ca="1" si="21"/>
        <v>0</v>
      </c>
      <c r="DA24" s="504">
        <f ca="1">SUMIFS(CostTrack[[Value]:[Value]],CostTrack[[PA ID]:[PA ID]],$B24,CostTrack[[Vendor - Contract]:[Vendor - Contract]],$H24,CostTrack[[Holdback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24" s="504">
        <f ca="1">SUMIFS(CostTrack[[Value]:[Value]],CostTrack[[PA ID]:[PA ID]],$B24,CostTrack[[Vendor - Contract]:[Vendor - Contract]],$H24,CostTrack[[Holdback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24" s="504">
        <f ca="1">SUMIFS(CostTrack[[Value]:[Value]],CostTrack[[PA ID]:[PA ID]],$B24,CostTrack[[Vendor - Contract]:[Vendor - Contract]],$H24,CostTrack[[Holdback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24" s="504">
        <f ca="1">SUMIFS(CostTrack[[Value]:[Value]],CostTrack[[PA ID]:[PA ID]],$B24,CostTrack[[Vendor - Contract]:[Vendor - Contract]],$H24,CostTrack[[Holdback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24" s="504">
        <f ca="1">SUMIFS(CostTrack[[Value]:[Value]],CostTrack[[PA ID]:[PA ID]],$B24,CostTrack[[Vendor - Contract]:[Vendor - Contract]],$H24,CostTrack[[Holdback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24" s="504">
        <f ca="1">SUMIFS(CostTrack[[Value]:[Value]],CostTrack[[PA ID]:[PA ID]],$B24,CostTrack[[Vendor - Contract]:[Vendor - Contract]],$H24,CostTrack[[Holdback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24" s="504">
        <f ca="1">SUMIFS(CostTrack[[Value]:[Value]],CostTrack[[PA ID]:[PA ID]],$B24,CostTrack[[Vendor - Contract]:[Vendor - Contract]],$H24,CostTrack[[Holdback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24" s="504">
        <f ca="1">SUMIFS(CostTrack[[Value]:[Value]],CostTrack[[PA ID]:[PA ID]],$B24,CostTrack[[Vendor - Contract]:[Vendor - Contract]],$H24,CostTrack[[Holdback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72300</v>
      </c>
      <c r="DI24" s="504">
        <f ca="1">SUMIFS(CostTrack[[Value]:[Value]],CostTrack[[PA ID]:[PA ID]],$B24,CostTrack[[Vendor - Contract]:[Vendor - Contract]],$H24,CostTrack[[Holdback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24" s="504">
        <f ca="1">SUMIFS(CostTrack[[Value]:[Value]],CostTrack[[PA ID]:[PA ID]],$B24,CostTrack[[Vendor - Contract]:[Vendor - Contract]],$H24,CostTrack[[Holdback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24" s="504">
        <f ca="1">SUMIFS(CostTrack[[Value]:[Value]],CostTrack[[PA ID]:[PA ID]],$B24,CostTrack[[Vendor - Contract]:[Vendor - Contract]],$H24,CostTrack[[Holdback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24" s="504">
        <f ca="1">SUMIFS(CostTrack[[Value]:[Value]],CostTrack[[PA ID]:[PA ID]],$B24,CostTrack[[Vendor - Contract]:[Vendor - Contract]],$H24,CostTrack[[Holdback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24" s="512">
        <f t="shared" ca="1" si="22"/>
        <v>72300</v>
      </c>
      <c r="DO24" s="504">
        <f ca="1">SUMIFS(CostTrack[[Value]:[Value]],CostTrack[[PA ID]:[PA ID]],$B24,CostTrack[[Vendor - Contract]:[Vendor - Contract]],$H24,CostTrack[[Holdback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24" s="504">
        <f ca="1">SUMIFS(CostTrack[[Value]:[Value]],CostTrack[[PA ID]:[PA ID]],$B24,CostTrack[[Vendor - Contract]:[Vendor - Contract]],$H24,CostTrack[[Holdback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24" s="504">
        <f ca="1">SUMIFS(CostTrack[[Value]:[Value]],CostTrack[[PA ID]:[PA ID]],$B24,CostTrack[[Vendor - Contract]:[Vendor - Contract]],$H24,CostTrack[[Holdback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24" s="504">
        <f ca="1">SUMIFS(CostTrack[[Value]:[Value]],CostTrack[[PA ID]:[PA ID]],$B24,CostTrack[[Vendor - Contract]:[Vendor - Contract]],$H24,CostTrack[[Holdback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24" s="504">
        <f ca="1">SUMIFS(CostTrack[[Value]:[Value]],CostTrack[[PA ID]:[PA ID]],$B24,CostTrack[[Vendor - Contract]:[Vendor - Contract]],$H24,CostTrack[[Holdback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24" s="504">
        <f ca="1">SUMIFS(CostTrack[[Value]:[Value]],CostTrack[[PA ID]:[PA ID]],$B24,CostTrack[[Vendor - Contract]:[Vendor - Contract]],$H24,CostTrack[[Holdback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24" s="504">
        <f ca="1">SUMIFS(CostTrack[[Value]:[Value]],CostTrack[[PA ID]:[PA ID]],$B24,CostTrack[[Vendor - Contract]:[Vendor - Contract]],$H24,CostTrack[[Holdback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24" s="504">
        <f ca="1">SUMIFS(CostTrack[[Value]:[Value]],CostTrack[[PA ID]:[PA ID]],$B24,CostTrack[[Vendor - Contract]:[Vendor - Contract]],$H24,CostTrack[[Holdback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24" s="504">
        <f ca="1">SUMIFS(CostTrack[[Value]:[Value]],CostTrack[[PA ID]:[PA ID]],$B24,CostTrack[[Vendor - Contract]:[Vendor - Contract]],$H24,CostTrack[[Holdback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24" s="504">
        <f ca="1">SUMIFS(CostTrack[[Value]:[Value]],CostTrack[[PA ID]:[PA ID]],$B24,CostTrack[[Vendor - Contract]:[Vendor - Contract]],$H24,CostTrack[[Holdback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24" s="504">
        <f ca="1">SUMIFS(CostTrack[[Value]:[Value]],CostTrack[[PA ID]:[PA ID]],$B24,CostTrack[[Vendor - Contract]:[Vendor - Contract]],$H24,CostTrack[[Holdback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24" s="504">
        <f ca="1">SUMIFS(CostTrack[[Value]:[Value]],CostTrack[[PA ID]:[PA ID]],$B24,CostTrack[[Vendor - Contract]:[Vendor - Contract]],$H24,CostTrack[[Holdback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24" s="512">
        <f t="shared" ca="1" si="23"/>
        <v>0</v>
      </c>
      <c r="EC24" s="504">
        <f ca="1">SUMIFS(CostTrack[[Value]:[Value]],CostTrack[[PA ID]:[PA ID]],$B24,CostTrack[[Vendor - Contract]:[Vendor - Contract]],$H24,CostTrack[[Holdback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24" s="505"/>
      <c r="EE24" s="505"/>
      <c r="EF24" s="505"/>
      <c r="EG24" s="505"/>
      <c r="EH24" s="505"/>
      <c r="EI24" s="505"/>
      <c r="EJ24" s="505"/>
      <c r="EK24" s="505"/>
      <c r="EL24" s="505"/>
      <c r="EM24" s="505"/>
      <c r="EN24" s="505"/>
      <c r="EO24" s="512">
        <f t="shared" ca="1" si="24"/>
        <v>0</v>
      </c>
      <c r="EQ24" s="505"/>
      <c r="ER24" s="505"/>
      <c r="ES24" s="505"/>
      <c r="ET24" s="505"/>
      <c r="EU24" s="505"/>
      <c r="EV24" s="505"/>
      <c r="EW24" s="505"/>
      <c r="EX24" s="505"/>
      <c r="EY24" s="505"/>
      <c r="EZ24" s="505"/>
      <c r="FA24" s="505"/>
      <c r="FB24" s="505"/>
      <c r="FC24" s="512">
        <f t="shared" si="25"/>
        <v>0</v>
      </c>
      <c r="FE24" s="505"/>
      <c r="FF24" s="505"/>
      <c r="FG24" s="505"/>
      <c r="FH24" s="505"/>
      <c r="FI24" s="505"/>
      <c r="FJ24" s="505"/>
      <c r="FK24" s="505"/>
      <c r="FL24" s="505"/>
      <c r="FM24" s="505"/>
      <c r="FN24" s="505"/>
      <c r="FO24" s="505"/>
      <c r="FP24" s="505"/>
      <c r="FQ24" s="512">
        <f t="shared" si="26"/>
        <v>0</v>
      </c>
      <c r="FS24" s="504">
        <f t="shared" ca="1" si="27"/>
        <v>72300</v>
      </c>
    </row>
    <row r="25" spans="1:175">
      <c r="A25" s="216">
        <v>18</v>
      </c>
      <c r="B25" s="219" t="str">
        <f ca="1">INDEX(EAC[PA ID],MATCH($A25,EAC[Row],0))</f>
        <v>300.030.F1</v>
      </c>
      <c r="C25" s="218" t="str">
        <f ca="1">INDEX(EAC[Primary Category],MATCH($A25,EAC[Row],0))</f>
        <v>Construction</v>
      </c>
      <c r="D25" s="218" t="str">
        <f ca="1">INDEX(EAC[Secondary Category],MATCH($A25,EAC[Row],0))</f>
        <v>Prime Contractor</v>
      </c>
      <c r="E25" s="109" t="str">
        <f ca="1">INDEX(EAC[Phase / Subproject],MATCH($A25,EAC[Row],0))</f>
        <v>--</v>
      </c>
      <c r="F25" s="109" t="str">
        <f ca="1">INDEX(EAC[Phase / Subproject 2],MATCH($A25,EAC[Row],0))</f>
        <v>--</v>
      </c>
      <c r="G25" s="109" t="str">
        <f ca="1">INDEX(EAC[Funding Source],MATCH($A25,EAC[Row],0))</f>
        <v>P-002360</v>
      </c>
      <c r="H25" s="146" t="str">
        <f ca="1">INDEX(EAC[Vendor / Org. with Contract ID],MATCH($A25,EAC[Row],0))</f>
        <v>Clark Builders-37987</v>
      </c>
      <c r="I25" s="502">
        <f ca="1">INDEX(EAC[Estimate At Completion],MATCH($A25,EAC[Row],0))</f>
        <v>154314591.42000002</v>
      </c>
      <c r="J25" s="502">
        <f ca="1">SUMIFS(CostTrack[Value],CostTrack[Vendor - Contract],$H25,CostTrack[PA ID],$B25,CostTrack[Holdback (Y/N/R)],"&lt;&gt;Release",CostTrack[Status],"Approved")</f>
        <v>153062832.02000001</v>
      </c>
      <c r="K25" s="503">
        <f t="shared" ca="1" si="14"/>
        <v>1251759.400000006</v>
      </c>
      <c r="M25" s="504">
        <f t="shared" ca="1" si="15"/>
        <v>0</v>
      </c>
      <c r="O25" s="504">
        <f t="shared" ca="1" si="11"/>
        <v>153062832.02000001</v>
      </c>
      <c r="P25" s="504">
        <f t="array" aca="1" ref="P25" ca="1">SUM($U25:$FQ25*_xlfn.ISFORMULA($U25:$FQ25)*ISNUMBER($U$7:$FQ$7)*--(INDEX($U$6:$FQ$6,N(IF({1},COLUMN($U$6:$FQ$6)-COLUMN($T$6)))-MOD(N(IF({1},COLUMN($U$6:$FQ$6)-COLUMN($U$6))),14))="Current Fiscal"))</f>
        <v>0</v>
      </c>
      <c r="Q25" s="504">
        <f t="array" aca="1" ref="Q25" ca="1">SUM($U25:$FQ25*NOT(_xlfn.ISFORMULA($U25:$FQ25))*ISNUMBER($U$7:$FQ$7)*--(INDEX($U$6:$FQ$6,N(IF({1},COLUMN($U$6:$FQ$6)-COLUMN($T$6)))-MOD(N(IF({1},COLUMN($U$6:$FQ$6)-COLUMN($U$6))),14))="Current Fiscal"))</f>
        <v>877077</v>
      </c>
      <c r="R25" s="504">
        <f t="shared" ca="1" si="12"/>
        <v>877077</v>
      </c>
      <c r="S25" s="504">
        <f t="shared" ca="1" si="13"/>
        <v>374682.4</v>
      </c>
      <c r="U25" s="504">
        <f ca="1">SUMIFS(CostTrack[[Value]:[Value]],CostTrack[[PA ID]:[PA ID]],$B25,CostTrack[[Vendor - Contract]:[Vendor - Contract]],$H25,CostTrack[[Holdback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25" s="504">
        <f ca="1">SUMIFS(CostTrack[[Value]:[Value]],CostTrack[[PA ID]:[PA ID]],$B25,CostTrack[[Vendor - Contract]:[Vendor - Contract]],$H25,CostTrack[[Holdback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25" s="504">
        <f ca="1">SUMIFS(CostTrack[[Value]:[Value]],CostTrack[[PA ID]:[PA ID]],$B25,CostTrack[[Vendor - Contract]:[Vendor - Contract]],$H25,CostTrack[[Holdback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25" s="504">
        <f ca="1">SUMIFS(CostTrack[[Value]:[Value]],CostTrack[[PA ID]:[PA ID]],$B25,CostTrack[[Vendor - Contract]:[Vendor - Contract]],$H25,CostTrack[[Holdback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25" s="504">
        <f ca="1">SUMIFS(CostTrack[[Value]:[Value]],CostTrack[[PA ID]:[PA ID]],$B25,CostTrack[[Vendor - Contract]:[Vendor - Contract]],$H25,CostTrack[[Holdback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25" s="504">
        <f ca="1">SUMIFS(CostTrack[[Value]:[Value]],CostTrack[[PA ID]:[PA ID]],$B25,CostTrack[[Vendor - Contract]:[Vendor - Contract]],$H25,CostTrack[[Holdback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25" s="504">
        <f ca="1">SUMIFS(CostTrack[[Value]:[Value]],CostTrack[[PA ID]:[PA ID]],$B25,CostTrack[[Vendor - Contract]:[Vendor - Contract]],$H25,CostTrack[[Holdback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25" s="504">
        <f ca="1">SUMIFS(CostTrack[[Value]:[Value]],CostTrack[[PA ID]:[PA ID]],$B25,CostTrack[[Vendor - Contract]:[Vendor - Contract]],$H25,CostTrack[[Holdback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25" s="504">
        <f ca="1">SUMIFS(CostTrack[[Value]:[Value]],CostTrack[[PA ID]:[PA ID]],$B25,CostTrack[[Vendor - Contract]:[Vendor - Contract]],$H25,CostTrack[[Holdback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25" s="504">
        <f ca="1">SUMIFS(CostTrack[[Value]:[Value]],CostTrack[[PA ID]:[PA ID]],$B25,CostTrack[[Vendor - Contract]:[Vendor - Contract]],$H25,CostTrack[[Holdback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25" s="504">
        <f ca="1">SUMIFS(CostTrack[[Value]:[Value]],CostTrack[[PA ID]:[PA ID]],$B25,CostTrack[[Vendor - Contract]:[Vendor - Contract]],$H25,CostTrack[[Holdback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25" s="504">
        <f ca="1">SUMIFS(CostTrack[[Value]:[Value]],CostTrack[[PA ID]:[PA ID]],$B25,CostTrack[[Vendor - Contract]:[Vendor - Contract]],$H25,CostTrack[[Holdback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25" s="506">
        <f t="shared" ca="1" si="16"/>
        <v>0</v>
      </c>
      <c r="AI25" s="504">
        <f ca="1">SUMIFS(CostTrack[[Value]:[Value]],CostTrack[[PA ID]:[PA ID]],$B25,CostTrack[[Vendor - Contract]:[Vendor - Contract]],$H25,CostTrack[[Holdback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25" s="504">
        <f ca="1">SUMIFS(CostTrack[[Value]:[Value]],CostTrack[[PA ID]:[PA ID]],$B25,CostTrack[[Vendor - Contract]:[Vendor - Contract]],$H25,CostTrack[[Holdback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25" s="504">
        <f ca="1">SUMIFS(CostTrack[[Value]:[Value]],CostTrack[[PA ID]:[PA ID]],$B25,CostTrack[[Vendor - Contract]:[Vendor - Contract]],$H25,CostTrack[[Holdback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25" s="504">
        <f ca="1">SUMIFS(CostTrack[[Value]:[Value]],CostTrack[[PA ID]:[PA ID]],$B25,CostTrack[[Vendor - Contract]:[Vendor - Contract]],$H25,CostTrack[[Holdback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25" s="504">
        <f ca="1">SUMIFS(CostTrack[[Value]:[Value]],CostTrack[[PA ID]:[PA ID]],$B25,CostTrack[[Vendor - Contract]:[Vendor - Contract]],$H25,CostTrack[[Holdback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25" s="504">
        <f ca="1">SUMIFS(CostTrack[[Value]:[Value]],CostTrack[[PA ID]:[PA ID]],$B25,CostTrack[[Vendor - Contract]:[Vendor - Contract]],$H25,CostTrack[[Holdback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25" s="504">
        <f ca="1">SUMIFS(CostTrack[[Value]:[Value]],CostTrack[[PA ID]:[PA ID]],$B25,CostTrack[[Vendor - Contract]:[Vendor - Contract]],$H25,CostTrack[[Holdback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25" s="504">
        <f ca="1">SUMIFS(CostTrack[[Value]:[Value]],CostTrack[[PA ID]:[PA ID]],$B25,CostTrack[[Vendor - Contract]:[Vendor - Contract]],$H25,CostTrack[[Holdback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25" s="504">
        <f ca="1">SUMIFS(CostTrack[[Value]:[Value]],CostTrack[[PA ID]:[PA ID]],$B25,CostTrack[[Vendor - Contract]:[Vendor - Contract]],$H25,CostTrack[[Holdback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25" s="504">
        <f ca="1">SUMIFS(CostTrack[[Value]:[Value]],CostTrack[[PA ID]:[PA ID]],$B25,CostTrack[[Vendor - Contract]:[Vendor - Contract]],$H25,CostTrack[[Holdback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25" s="504">
        <f ca="1">SUMIFS(CostTrack[[Value]:[Value]],CostTrack[[PA ID]:[PA ID]],$B25,CostTrack[[Vendor - Contract]:[Vendor - Contract]],$H25,CostTrack[[Holdback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25" s="504">
        <f ca="1">SUMIFS(CostTrack[[Value]:[Value]],CostTrack[[PA ID]:[PA ID]],$B25,CostTrack[[Vendor - Contract]:[Vendor - Contract]],$H25,CostTrack[[Holdback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25" s="512">
        <f t="shared" ca="1" si="17"/>
        <v>0</v>
      </c>
      <c r="AW25" s="504">
        <f ca="1">SUMIFS(CostTrack[[Value]:[Value]],CostTrack[[PA ID]:[PA ID]],$B25,CostTrack[[Vendor - Contract]:[Vendor - Contract]],$H25,CostTrack[[Holdback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25" s="504">
        <f ca="1">SUMIFS(CostTrack[[Value]:[Value]],CostTrack[[PA ID]:[PA ID]],$B25,CostTrack[[Vendor - Contract]:[Vendor - Contract]],$H25,CostTrack[[Holdback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25" s="504">
        <f ca="1">SUMIFS(CostTrack[[Value]:[Value]],CostTrack[[PA ID]:[PA ID]],$B25,CostTrack[[Vendor - Contract]:[Vendor - Contract]],$H25,CostTrack[[Holdback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25" s="504">
        <f ca="1">SUMIFS(CostTrack[[Value]:[Value]],CostTrack[[PA ID]:[PA ID]],$B25,CostTrack[[Vendor - Contract]:[Vendor - Contract]],$H25,CostTrack[[Holdback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25" s="504">
        <f ca="1">SUMIFS(CostTrack[[Value]:[Value]],CostTrack[[PA ID]:[PA ID]],$B25,CostTrack[[Vendor - Contract]:[Vendor - Contract]],$H25,CostTrack[[Holdback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25" s="504">
        <f ca="1">SUMIFS(CostTrack[[Value]:[Value]],CostTrack[[PA ID]:[PA ID]],$B25,CostTrack[[Vendor - Contract]:[Vendor - Contract]],$H25,CostTrack[[Holdback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25" s="504">
        <f ca="1">SUMIFS(CostTrack[[Value]:[Value]],CostTrack[[PA ID]:[PA ID]],$B25,CostTrack[[Vendor - Contract]:[Vendor - Contract]],$H25,CostTrack[[Holdback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25" s="504">
        <f ca="1">SUMIFS(CostTrack[[Value]:[Value]],CostTrack[[PA ID]:[PA ID]],$B25,CostTrack[[Vendor - Contract]:[Vendor - Contract]],$H25,CostTrack[[Holdback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25" s="504">
        <f ca="1">SUMIFS(CostTrack[[Value]:[Value]],CostTrack[[PA ID]:[PA ID]],$B25,CostTrack[[Vendor - Contract]:[Vendor - Contract]],$H25,CostTrack[[Holdback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25" s="504">
        <f ca="1">SUMIFS(CostTrack[[Value]:[Value]],CostTrack[[PA ID]:[PA ID]],$B25,CostTrack[[Vendor - Contract]:[Vendor - Contract]],$H25,CostTrack[[Holdback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25" s="504">
        <f ca="1">SUMIFS(CostTrack[[Value]:[Value]],CostTrack[[PA ID]:[PA ID]],$B25,CostTrack[[Vendor - Contract]:[Vendor - Contract]],$H25,CostTrack[[Holdback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25" s="504">
        <f ca="1">SUMIFS(CostTrack[[Value]:[Value]],CostTrack[[PA ID]:[PA ID]],$B25,CostTrack[[Vendor - Contract]:[Vendor - Contract]],$H25,CostTrack[[Holdback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25" s="512">
        <f t="shared" ca="1" si="18"/>
        <v>0</v>
      </c>
      <c r="BK25" s="504">
        <f ca="1">SUMIFS(CostTrack[[Value]:[Value]],CostTrack[[PA ID]:[PA ID]],$B25,CostTrack[[Vendor - Contract]:[Vendor - Contract]],$H25,CostTrack[[Holdback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25" s="504">
        <f ca="1">SUMIFS(CostTrack[[Value]:[Value]],CostTrack[[PA ID]:[PA ID]],$B25,CostTrack[[Vendor - Contract]:[Vendor - Contract]],$H25,CostTrack[[Holdback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25" s="504">
        <f ca="1">SUMIFS(CostTrack[[Value]:[Value]],CostTrack[[PA ID]:[PA ID]],$B25,CostTrack[[Vendor - Contract]:[Vendor - Contract]],$H25,CostTrack[[Holdback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25" s="504">
        <f ca="1">SUMIFS(CostTrack[[Value]:[Value]],CostTrack[[PA ID]:[PA ID]],$B25,CostTrack[[Vendor - Contract]:[Vendor - Contract]],$H25,CostTrack[[Holdback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25" s="504">
        <f ca="1">SUMIFS(CostTrack[[Value]:[Value]],CostTrack[[PA ID]:[PA ID]],$B25,CostTrack[[Vendor - Contract]:[Vendor - Contract]],$H25,CostTrack[[Holdback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25" s="504">
        <f ca="1">SUMIFS(CostTrack[[Value]:[Value]],CostTrack[[PA ID]:[PA ID]],$B25,CostTrack[[Vendor - Contract]:[Vendor - Contract]],$H25,CostTrack[[Holdback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2705737</v>
      </c>
      <c r="BQ25" s="504">
        <f ca="1">SUMIFS(CostTrack[[Value]:[Value]],CostTrack[[PA ID]:[PA ID]],$B25,CostTrack[[Vendor - Contract]:[Vendor - Contract]],$H25,CostTrack[[Holdback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809187.57</v>
      </c>
      <c r="BR25" s="504">
        <f ca="1">SUMIFS(CostTrack[[Value]:[Value]],CostTrack[[PA ID]:[PA ID]],$B25,CostTrack[[Vendor - Contract]:[Vendor - Contract]],$H25,CostTrack[[Holdback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1550013.57</v>
      </c>
      <c r="BS25" s="504">
        <f ca="1">SUMIFS(CostTrack[[Value]:[Value]],CostTrack[[PA ID]:[PA ID]],$B25,CostTrack[[Vendor - Contract]:[Vendor - Contract]],$H25,CostTrack[[Holdback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1007972.57</v>
      </c>
      <c r="BT25" s="504">
        <f ca="1">SUMIFS(CostTrack[[Value]:[Value]],CostTrack[[PA ID]:[PA ID]],$B25,CostTrack[[Vendor - Contract]:[Vendor - Contract]],$H25,CostTrack[[Holdback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1548795.17</v>
      </c>
      <c r="BU25" s="504">
        <f ca="1">SUMIFS(CostTrack[[Value]:[Value]],CostTrack[[PA ID]:[PA ID]],$B25,CostTrack[[Vendor - Contract]:[Vendor - Contract]],$H25,CostTrack[[Holdback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2092179.51</v>
      </c>
      <c r="BV25" s="504">
        <f ca="1">SUMIFS(CostTrack[[Value]:[Value]],CostTrack[[PA ID]:[PA ID]],$B25,CostTrack[[Vendor - Contract]:[Vendor - Contract]],$H25,CostTrack[[Holdback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4222532.88</v>
      </c>
      <c r="BW25" s="512">
        <f t="shared" ca="1" si="19"/>
        <v>13936418.27</v>
      </c>
      <c r="BY25" s="504">
        <f ca="1">SUMIFS(CostTrack[[Value]:[Value]],CostTrack[[PA ID]:[PA ID]],$B25,CostTrack[[Vendor - Contract]:[Vendor - Contract]],$H25,CostTrack[[Holdback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44180</v>
      </c>
      <c r="BZ25" s="504">
        <f ca="1">SUMIFS(CostTrack[[Value]:[Value]],CostTrack[[PA ID]:[PA ID]],$B25,CostTrack[[Vendor - Contract]:[Vendor - Contract]],$H25,CostTrack[[Holdback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2359621.87</v>
      </c>
      <c r="CA25" s="504">
        <f ca="1">SUMIFS(CostTrack[[Value]:[Value]],CostTrack[[PA ID]:[PA ID]],$B25,CostTrack[[Vendor - Contract]:[Vendor - Contract]],$H25,CostTrack[[Holdback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2226369.09</v>
      </c>
      <c r="CB25" s="504">
        <f ca="1">SUMIFS(CostTrack[[Value]:[Value]],CostTrack[[PA ID]:[PA ID]],$B25,CostTrack[[Vendor - Contract]:[Vendor - Contract]],$H25,CostTrack[[Holdback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1937025.36</v>
      </c>
      <c r="CC25" s="504">
        <f ca="1">SUMIFS(CostTrack[[Value]:[Value]],CostTrack[[PA ID]:[PA ID]],$B25,CostTrack[[Vendor - Contract]:[Vendor - Contract]],$H25,CostTrack[[Holdback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2227457.48</v>
      </c>
      <c r="CD25" s="504">
        <f ca="1">SUMIFS(CostTrack[[Value]:[Value]],CostTrack[[PA ID]:[PA ID]],$B25,CostTrack[[Vendor - Contract]:[Vendor - Contract]],$H25,CostTrack[[Holdback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1693662.29</v>
      </c>
      <c r="CE25" s="504">
        <f ca="1">SUMIFS(CostTrack[[Value]:[Value]],CostTrack[[PA ID]:[PA ID]],$B25,CostTrack[[Vendor - Contract]:[Vendor - Contract]],$H25,CostTrack[[Holdback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2399234.37</v>
      </c>
      <c r="CF25" s="504">
        <f ca="1">SUMIFS(CostTrack[[Value]:[Value]],CostTrack[[PA ID]:[PA ID]],$B25,CostTrack[[Vendor - Contract]:[Vendor - Contract]],$H25,CostTrack[[Holdback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2139777.91</v>
      </c>
      <c r="CG25" s="504">
        <f ca="1">SUMIFS(CostTrack[[Value]:[Value]],CostTrack[[PA ID]:[PA ID]],$B25,CostTrack[[Vendor - Contract]:[Vendor - Contract]],$H25,CostTrack[[Holdback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2802662.05</v>
      </c>
      <c r="CH25" s="504">
        <f ca="1">SUMIFS(CostTrack[[Value]:[Value]],CostTrack[[PA ID]:[PA ID]],$B25,CostTrack[[Vendor - Contract]:[Vendor - Contract]],$H25,CostTrack[[Holdback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2586706.37</v>
      </c>
      <c r="CI25" s="504">
        <f ca="1">SUMIFS(CostTrack[[Value]:[Value]],CostTrack[[PA ID]:[PA ID]],$B25,CostTrack[[Vendor - Contract]:[Vendor - Contract]],$H25,CostTrack[[Holdback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25" s="504">
        <f ca="1">SUMIFS(CostTrack[[Value]:[Value]],CostTrack[[PA ID]:[PA ID]],$B25,CostTrack[[Vendor - Contract]:[Vendor - Contract]],$H25,CostTrack[[Holdback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8382884.21</v>
      </c>
      <c r="CK25" s="512">
        <f t="shared" ca="1" si="20"/>
        <v>28799581.000000004</v>
      </c>
      <c r="CM25" s="504">
        <f ca="1">SUMIFS(CostTrack[[Value]:[Value]],CostTrack[[PA ID]:[PA ID]],$B25,CostTrack[[Vendor - Contract]:[Vendor - Contract]],$H25,CostTrack[[Holdback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449256.68</v>
      </c>
      <c r="CN25" s="504">
        <f ca="1">SUMIFS(CostTrack[[Value]:[Value]],CostTrack[[PA ID]:[PA ID]],$B25,CostTrack[[Vendor - Contract]:[Vendor - Contract]],$H25,CostTrack[[Holdback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4248930.6100000003</v>
      </c>
      <c r="CO25" s="504">
        <f ca="1">SUMIFS(CostTrack[[Value]:[Value]],CostTrack[[PA ID]:[PA ID]],$B25,CostTrack[[Vendor - Contract]:[Vendor - Contract]],$H25,CostTrack[[Holdback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5935207.5300000003</v>
      </c>
      <c r="CP25" s="504">
        <f ca="1">SUMIFS(CostTrack[[Value]:[Value]],CostTrack[[PA ID]:[PA ID]],$B25,CostTrack[[Vendor - Contract]:[Vendor - Contract]],$H25,CostTrack[[Holdback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5718631.6100000003</v>
      </c>
      <c r="CQ25" s="504">
        <f ca="1">SUMIFS(CostTrack[[Value]:[Value]],CostTrack[[PA ID]:[PA ID]],$B25,CostTrack[[Vendor - Contract]:[Vendor - Contract]],$H25,CostTrack[[Holdback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6187296.6200000001</v>
      </c>
      <c r="CR25" s="504">
        <f ca="1">SUMIFS(CostTrack[[Value]:[Value]],CostTrack[[PA ID]:[PA ID]],$B25,CostTrack[[Vendor - Contract]:[Vendor - Contract]],$H25,CostTrack[[Holdback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9415272.6400000006</v>
      </c>
      <c r="CS25" s="504">
        <f ca="1">SUMIFS(CostTrack[[Value]:[Value]],CostTrack[[PA ID]:[PA ID]],$B25,CostTrack[[Vendor - Contract]:[Vendor - Contract]],$H25,CostTrack[[Holdback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6553446.4900000002</v>
      </c>
      <c r="CT25" s="504">
        <f ca="1">SUMIFS(CostTrack[[Value]:[Value]],CostTrack[[PA ID]:[PA ID]],$B25,CostTrack[[Vendor - Contract]:[Vendor - Contract]],$H25,CostTrack[[Holdback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7461670.9100000001</v>
      </c>
      <c r="CU25" s="504">
        <f ca="1">SUMIFS(CostTrack[[Value]:[Value]],CostTrack[[PA ID]:[PA ID]],$B25,CostTrack[[Vendor - Contract]:[Vendor - Contract]],$H25,CostTrack[[Holdback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4943267.8499999996</v>
      </c>
      <c r="CV25" s="504">
        <f ca="1">SUMIFS(CostTrack[[Value]:[Value]],CostTrack[[PA ID]:[PA ID]],$B25,CostTrack[[Vendor - Contract]:[Vendor - Contract]],$H25,CostTrack[[Holdback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6094939.8399999999</v>
      </c>
      <c r="CW25" s="504">
        <f ca="1">SUMIFS(CostTrack[[Value]:[Value]],CostTrack[[PA ID]:[PA ID]],$B25,CostTrack[[Vendor - Contract]:[Vendor - Contract]],$H25,CostTrack[[Holdback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5682041.0099999998</v>
      </c>
      <c r="CX25" s="504">
        <f ca="1">SUMIFS(CostTrack[[Value]:[Value]],CostTrack[[PA ID]:[PA ID]],$B25,CostTrack[[Vendor - Contract]:[Vendor - Contract]],$H25,CostTrack[[Holdback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9650048.8599999994</v>
      </c>
      <c r="CY25" s="512">
        <f t="shared" ca="1" si="21"/>
        <v>72340010.650000006</v>
      </c>
      <c r="DA25" s="504">
        <f ca="1">SUMIFS(CostTrack[[Value]:[Value]],CostTrack[[PA ID]:[PA ID]],$B25,CostTrack[[Vendor - Contract]:[Vendor - Contract]],$H25,CostTrack[[Holdback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249689.24</v>
      </c>
      <c r="DB25" s="504">
        <f ca="1">SUMIFS(CostTrack[[Value]:[Value]],CostTrack[[PA ID]:[PA ID]],$B25,CostTrack[[Vendor - Contract]:[Vendor - Contract]],$H25,CostTrack[[Holdback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4723990.28</v>
      </c>
      <c r="DC25" s="504">
        <f ca="1">SUMIFS(CostTrack[[Value]:[Value]],CostTrack[[PA ID]:[PA ID]],$B25,CostTrack[[Vendor - Contract]:[Vendor - Contract]],$H25,CostTrack[[Holdback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3859070.76</v>
      </c>
      <c r="DD25" s="504">
        <f ca="1">SUMIFS(CostTrack[[Value]:[Value]],CostTrack[[PA ID]:[PA ID]],$B25,CostTrack[[Vendor - Contract]:[Vendor - Contract]],$H25,CostTrack[[Holdback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3465497.25</v>
      </c>
      <c r="DE25" s="504">
        <f ca="1">SUMIFS(CostTrack[[Value]:[Value]],CostTrack[[PA ID]:[PA ID]],$B25,CostTrack[[Vendor - Contract]:[Vendor - Contract]],$H25,CostTrack[[Holdback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3909650.29</v>
      </c>
      <c r="DF25" s="504">
        <f ca="1">SUMIFS(CostTrack[[Value]:[Value]],CostTrack[[PA ID]:[PA ID]],$B25,CostTrack[[Vendor - Contract]:[Vendor - Contract]],$H25,CostTrack[[Holdback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3866623.04</v>
      </c>
      <c r="DG25" s="504">
        <f ca="1">SUMIFS(CostTrack[[Value]:[Value]],CostTrack[[PA ID]:[PA ID]],$B25,CostTrack[[Vendor - Contract]:[Vendor - Contract]],$H25,CostTrack[[Holdback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2879499.12</v>
      </c>
      <c r="DH25" s="504">
        <f ca="1">SUMIFS(CostTrack[[Value]:[Value]],CostTrack[[PA ID]:[PA ID]],$B25,CostTrack[[Vendor - Contract]:[Vendor - Contract]],$H25,CostTrack[[Holdback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1581131.67</v>
      </c>
      <c r="DI25" s="504">
        <f ca="1">SUMIFS(CostTrack[[Value]:[Value]],CostTrack[[PA ID]:[PA ID]],$B25,CostTrack[[Vendor - Contract]:[Vendor - Contract]],$H25,CostTrack[[Holdback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1826407.64</v>
      </c>
      <c r="DJ25" s="504">
        <f ca="1">SUMIFS(CostTrack[[Value]:[Value]],CostTrack[[PA ID]:[PA ID]],$B25,CostTrack[[Vendor - Contract]:[Vendor - Contract]],$H25,CostTrack[[Holdback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1380329.94</v>
      </c>
      <c r="DK25" s="504">
        <f ca="1">SUMIFS(CostTrack[[Value]:[Value]],CostTrack[[PA ID]:[PA ID]],$B25,CostTrack[[Vendor - Contract]:[Vendor - Contract]],$H25,CostTrack[[Holdback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1281628.24</v>
      </c>
      <c r="DL25" s="504">
        <f ca="1">SUMIFS(CostTrack[[Value]:[Value]],CostTrack[[PA ID]:[PA ID]],$B25,CostTrack[[Vendor - Contract]:[Vendor - Contract]],$H25,CostTrack[[Holdback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1026766.93</v>
      </c>
      <c r="DM25" s="512">
        <f t="shared" ca="1" si="22"/>
        <v>30050284.399999999</v>
      </c>
      <c r="DO25" s="504">
        <f ca="1">SUMIFS(CostTrack[[Value]:[Value]],CostTrack[[PA ID]:[PA ID]],$B25,CostTrack[[Vendor - Contract]:[Vendor - Contract]],$H25,CostTrack[[Holdback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25" s="504">
        <f ca="1">SUMIFS(CostTrack[[Value]:[Value]],CostTrack[[PA ID]:[PA ID]],$B25,CostTrack[[Vendor - Contract]:[Vendor - Contract]],$H25,CostTrack[[Holdback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25" s="504">
        <f ca="1">SUMIFS(CostTrack[[Value]:[Value]],CostTrack[[PA ID]:[PA ID]],$B25,CostTrack[[Vendor - Contract]:[Vendor - Contract]],$H25,CostTrack[[Holdback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25" s="504">
        <f ca="1">SUMIFS(CostTrack[[Value]:[Value]],CostTrack[[PA ID]:[PA ID]],$B25,CostTrack[[Vendor - Contract]:[Vendor - Contract]],$H25,CostTrack[[Holdback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25" s="504">
        <f ca="1">SUMIFS(CostTrack[[Value]:[Value]],CostTrack[[PA ID]:[PA ID]],$B25,CostTrack[[Vendor - Contract]:[Vendor - Contract]],$H25,CostTrack[[Holdback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171046.6</v>
      </c>
      <c r="DT25" s="504">
        <f ca="1">SUMIFS(CostTrack[[Value]:[Value]],CostTrack[[PA ID]:[PA ID]],$B25,CostTrack[[Vendor - Contract]:[Vendor - Contract]],$H25,CostTrack[[Holdback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25" s="504">
        <f ca="1">SUMIFS(CostTrack[[Value]:[Value]],CostTrack[[PA ID]:[PA ID]],$B25,CostTrack[[Vendor - Contract]:[Vendor - Contract]],$H25,CostTrack[[Holdback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5447568.3700000001</v>
      </c>
      <c r="DV25" s="504">
        <f ca="1">SUMIFS(CostTrack[[Value]:[Value]],CostTrack[[PA ID]:[PA ID]],$B25,CostTrack[[Vendor - Contract]:[Vendor - Contract]],$H25,CostTrack[[Holdback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743823.62</v>
      </c>
      <c r="DW25" s="504">
        <f ca="1">SUMIFS(CostTrack[[Value]:[Value]],CostTrack[[PA ID]:[PA ID]],$B25,CostTrack[[Vendor - Contract]:[Vendor - Contract]],$H25,CostTrack[[Holdback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470803.21</v>
      </c>
      <c r="DX25" s="504">
        <f ca="1">SUMIFS(CostTrack[[Value]:[Value]],CostTrack[[PA ID]:[PA ID]],$B25,CostTrack[[Vendor - Contract]:[Vendor - Contract]],$H25,CostTrack[[Holdback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371245.77</v>
      </c>
      <c r="DY25" s="504">
        <f ca="1">SUMIFS(CostTrack[[Value]:[Value]],CostTrack[[PA ID]:[PA ID]],$B25,CostTrack[[Vendor - Contract]:[Vendor - Contract]],$H25,CostTrack[[Holdback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506852.49</v>
      </c>
      <c r="DZ25" s="504">
        <f ca="1">SUMIFS(CostTrack[[Value]:[Value]],CostTrack[[PA ID]:[PA ID]],$B25,CostTrack[[Vendor - Contract]:[Vendor - Contract]],$H25,CostTrack[[Holdback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225197.64</v>
      </c>
      <c r="EA25" s="512">
        <f t="shared" ca="1" si="23"/>
        <v>7936537.7000000002</v>
      </c>
      <c r="EC25" s="504">
        <f ca="1">SUMIFS(CostTrack[[Value]:[Value]],CostTrack[[PA ID]:[PA ID]],$B25,CostTrack[[Vendor - Contract]:[Vendor - Contract]],$H25,CostTrack[[Holdback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25" s="505">
        <v>80000</v>
      </c>
      <c r="EE25" s="505">
        <v>80000</v>
      </c>
      <c r="EF25" s="505">
        <v>453748</v>
      </c>
      <c r="EG25" s="505">
        <v>263329</v>
      </c>
      <c r="EH25" s="505"/>
      <c r="EI25" s="505"/>
      <c r="EJ25" s="505"/>
      <c r="EK25" s="505"/>
      <c r="EL25" s="505"/>
      <c r="EM25" s="505"/>
      <c r="EN25" s="505"/>
      <c r="EO25" s="512">
        <f t="shared" ca="1" si="24"/>
        <v>877077</v>
      </c>
      <c r="EQ25" s="505"/>
      <c r="ER25" s="505">
        <v>374682.4</v>
      </c>
      <c r="ES25" s="505"/>
      <c r="ET25" s="505"/>
      <c r="EU25" s="505"/>
      <c r="EV25" s="505"/>
      <c r="EW25" s="505"/>
      <c r="EX25" s="505"/>
      <c r="EY25" s="505"/>
      <c r="EZ25" s="505"/>
      <c r="FA25" s="505"/>
      <c r="FB25" s="505"/>
      <c r="FC25" s="512">
        <f t="shared" si="25"/>
        <v>374682.4</v>
      </c>
      <c r="FE25" s="505"/>
      <c r="FF25" s="505"/>
      <c r="FG25" s="505"/>
      <c r="FH25" s="505"/>
      <c r="FI25" s="505"/>
      <c r="FJ25" s="505"/>
      <c r="FK25" s="505"/>
      <c r="FL25" s="505"/>
      <c r="FM25" s="505"/>
      <c r="FN25" s="505"/>
      <c r="FO25" s="505"/>
      <c r="FP25" s="505"/>
      <c r="FQ25" s="512">
        <f t="shared" si="26"/>
        <v>0</v>
      </c>
      <c r="FS25" s="504">
        <f t="shared" ca="1" si="27"/>
        <v>154314591.42000002</v>
      </c>
    </row>
    <row r="26" spans="1:175">
      <c r="A26" s="216">
        <v>19</v>
      </c>
      <c r="B26" s="219" t="str">
        <f ca="1">INDEX(EAC[PA ID],MATCH($A26,EAC[Row],0))</f>
        <v>300.090.F1</v>
      </c>
      <c r="C26" s="218" t="str">
        <f ca="1">INDEX(EAC[Primary Category],MATCH($A26,EAC[Row],0))</f>
        <v>Construction</v>
      </c>
      <c r="D26" s="218" t="str">
        <f ca="1">INDEX(EAC[Secondary Category],MATCH($A26,EAC[Row],0))</f>
        <v>Hazmat - Contractor</v>
      </c>
      <c r="E26" s="109" t="str">
        <f ca="1">INDEX(EAC[Phase / Subproject],MATCH($A26,EAC[Row],0))</f>
        <v>--</v>
      </c>
      <c r="F26" s="109" t="str">
        <f ca="1">INDEX(EAC[Phase / Subproject 2],MATCH($A26,EAC[Row],0))</f>
        <v>--</v>
      </c>
      <c r="G26" s="109" t="str">
        <f ca="1">INDEX(EAC[Funding Source],MATCH($A26,EAC[Row],0))</f>
        <v>P-002360</v>
      </c>
      <c r="H26" s="146" t="str">
        <f ca="1">INDEX(EAC[Vendor / Org. with Contract ID],MATCH($A26,EAC[Row],0))</f>
        <v>Aura Environmental Restorations Ltd. -34790</v>
      </c>
      <c r="I26" s="502">
        <f ca="1">INDEX(EAC[Estimate At Completion],MATCH($A26,EAC[Row],0))</f>
        <v>96165.3</v>
      </c>
      <c r="J26" s="502">
        <f ca="1">SUMIFS(CostTrack[Value],CostTrack[Vendor - Contract],$H26,CostTrack[PA ID],$B26,CostTrack[Holdback (Y/N/R)],"&lt;&gt;Release",CostTrack[Status],"Approved")</f>
        <v>96165.3</v>
      </c>
      <c r="K26" s="503">
        <f t="shared" ca="1" si="14"/>
        <v>0</v>
      </c>
      <c r="M26" s="504">
        <f t="shared" ca="1" si="15"/>
        <v>0</v>
      </c>
      <c r="O26" s="504">
        <f t="shared" ca="1" si="11"/>
        <v>96165.3</v>
      </c>
      <c r="P26" s="504">
        <f t="array" aca="1" ref="P26" ca="1">SUM($U26:$FQ26*_xlfn.ISFORMULA($U26:$FQ26)*ISNUMBER($U$7:$FQ$7)*--(INDEX($U$6:$FQ$6,N(IF({1},COLUMN($U$6:$FQ$6)-COLUMN($T$6)))-MOD(N(IF({1},COLUMN($U$6:$FQ$6)-COLUMN($U$6))),14))="Current Fiscal"))</f>
        <v>0</v>
      </c>
      <c r="Q26" s="504">
        <f t="array" aca="1" ref="Q26" ca="1">SUM($U26:$FQ26*NOT(_xlfn.ISFORMULA($U26:$FQ26))*ISNUMBER($U$7:$FQ$7)*--(INDEX($U$6:$FQ$6,N(IF({1},COLUMN($U$6:$FQ$6)-COLUMN($T$6)))-MOD(N(IF({1},COLUMN($U$6:$FQ$6)-COLUMN($U$6))),14))="Current Fiscal"))</f>
        <v>0</v>
      </c>
      <c r="R26" s="504">
        <f t="shared" ca="1" si="12"/>
        <v>0</v>
      </c>
      <c r="S26" s="504">
        <f t="shared" ca="1" si="13"/>
        <v>0</v>
      </c>
      <c r="U26" s="504">
        <f ca="1">SUMIFS(CostTrack[[Value]:[Value]],CostTrack[[PA ID]:[PA ID]],$B26,CostTrack[[Vendor - Contract]:[Vendor - Contract]],$H26,CostTrack[[Holdback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26" s="504">
        <f ca="1">SUMIFS(CostTrack[[Value]:[Value]],CostTrack[[PA ID]:[PA ID]],$B26,CostTrack[[Vendor - Contract]:[Vendor - Contract]],$H26,CostTrack[[Holdback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26" s="504">
        <f ca="1">SUMIFS(CostTrack[[Value]:[Value]],CostTrack[[PA ID]:[PA ID]],$B26,CostTrack[[Vendor - Contract]:[Vendor - Contract]],$H26,CostTrack[[Holdback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26" s="504">
        <f ca="1">SUMIFS(CostTrack[[Value]:[Value]],CostTrack[[PA ID]:[PA ID]],$B26,CostTrack[[Vendor - Contract]:[Vendor - Contract]],$H26,CostTrack[[Holdback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26" s="504">
        <f ca="1">SUMIFS(CostTrack[[Value]:[Value]],CostTrack[[PA ID]:[PA ID]],$B26,CostTrack[[Vendor - Contract]:[Vendor - Contract]],$H26,CostTrack[[Holdback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26" s="504">
        <f ca="1">SUMIFS(CostTrack[[Value]:[Value]],CostTrack[[PA ID]:[PA ID]],$B26,CostTrack[[Vendor - Contract]:[Vendor - Contract]],$H26,CostTrack[[Holdback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26" s="504">
        <f ca="1">SUMIFS(CostTrack[[Value]:[Value]],CostTrack[[PA ID]:[PA ID]],$B26,CostTrack[[Vendor - Contract]:[Vendor - Contract]],$H26,CostTrack[[Holdback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26" s="504">
        <f ca="1">SUMIFS(CostTrack[[Value]:[Value]],CostTrack[[PA ID]:[PA ID]],$B26,CostTrack[[Vendor - Contract]:[Vendor - Contract]],$H26,CostTrack[[Holdback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26" s="504">
        <f ca="1">SUMIFS(CostTrack[[Value]:[Value]],CostTrack[[PA ID]:[PA ID]],$B26,CostTrack[[Vendor - Contract]:[Vendor - Contract]],$H26,CostTrack[[Holdback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26" s="504">
        <f ca="1">SUMIFS(CostTrack[[Value]:[Value]],CostTrack[[PA ID]:[PA ID]],$B26,CostTrack[[Vendor - Contract]:[Vendor - Contract]],$H26,CostTrack[[Holdback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26" s="504">
        <f ca="1">SUMIFS(CostTrack[[Value]:[Value]],CostTrack[[PA ID]:[PA ID]],$B26,CostTrack[[Vendor - Contract]:[Vendor - Contract]],$H26,CostTrack[[Holdback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26" s="504">
        <f ca="1">SUMIFS(CostTrack[[Value]:[Value]],CostTrack[[PA ID]:[PA ID]],$B26,CostTrack[[Vendor - Contract]:[Vendor - Contract]],$H26,CostTrack[[Holdback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26" s="506">
        <f t="shared" ca="1" si="16"/>
        <v>0</v>
      </c>
      <c r="AI26" s="504">
        <f ca="1">SUMIFS(CostTrack[[Value]:[Value]],CostTrack[[PA ID]:[PA ID]],$B26,CostTrack[[Vendor - Contract]:[Vendor - Contract]],$H26,CostTrack[[Holdback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26" s="504">
        <f ca="1">SUMIFS(CostTrack[[Value]:[Value]],CostTrack[[PA ID]:[PA ID]],$B26,CostTrack[[Vendor - Contract]:[Vendor - Contract]],$H26,CostTrack[[Holdback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26" s="504">
        <f ca="1">SUMIFS(CostTrack[[Value]:[Value]],CostTrack[[PA ID]:[PA ID]],$B26,CostTrack[[Vendor - Contract]:[Vendor - Contract]],$H26,CostTrack[[Holdback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26" s="504">
        <f ca="1">SUMIFS(CostTrack[[Value]:[Value]],CostTrack[[PA ID]:[PA ID]],$B26,CostTrack[[Vendor - Contract]:[Vendor - Contract]],$H26,CostTrack[[Holdback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26" s="504">
        <f ca="1">SUMIFS(CostTrack[[Value]:[Value]],CostTrack[[PA ID]:[PA ID]],$B26,CostTrack[[Vendor - Contract]:[Vendor - Contract]],$H26,CostTrack[[Holdback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26" s="504">
        <f ca="1">SUMIFS(CostTrack[[Value]:[Value]],CostTrack[[PA ID]:[PA ID]],$B26,CostTrack[[Vendor - Contract]:[Vendor - Contract]],$H26,CostTrack[[Holdback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26" s="504">
        <f ca="1">SUMIFS(CostTrack[[Value]:[Value]],CostTrack[[PA ID]:[PA ID]],$B26,CostTrack[[Vendor - Contract]:[Vendor - Contract]],$H26,CostTrack[[Holdback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26" s="504">
        <f ca="1">SUMIFS(CostTrack[[Value]:[Value]],CostTrack[[PA ID]:[PA ID]],$B26,CostTrack[[Vendor - Contract]:[Vendor - Contract]],$H26,CostTrack[[Holdback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96165.3</v>
      </c>
      <c r="AQ26" s="504">
        <f ca="1">SUMIFS(CostTrack[[Value]:[Value]],CostTrack[[PA ID]:[PA ID]],$B26,CostTrack[[Vendor - Contract]:[Vendor - Contract]],$H26,CostTrack[[Holdback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26" s="504">
        <f ca="1">SUMIFS(CostTrack[[Value]:[Value]],CostTrack[[PA ID]:[PA ID]],$B26,CostTrack[[Vendor - Contract]:[Vendor - Contract]],$H26,CostTrack[[Holdback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26" s="504">
        <f ca="1">SUMIFS(CostTrack[[Value]:[Value]],CostTrack[[PA ID]:[PA ID]],$B26,CostTrack[[Vendor - Contract]:[Vendor - Contract]],$H26,CostTrack[[Holdback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26" s="504">
        <f ca="1">SUMIFS(CostTrack[[Value]:[Value]],CostTrack[[PA ID]:[PA ID]],$B26,CostTrack[[Vendor - Contract]:[Vendor - Contract]],$H26,CostTrack[[Holdback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26" s="512">
        <f t="shared" ca="1" si="17"/>
        <v>96165.3</v>
      </c>
      <c r="AW26" s="504">
        <f ca="1">SUMIFS(CostTrack[[Value]:[Value]],CostTrack[[PA ID]:[PA ID]],$B26,CostTrack[[Vendor - Contract]:[Vendor - Contract]],$H26,CostTrack[[Holdback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26" s="504">
        <f ca="1">SUMIFS(CostTrack[[Value]:[Value]],CostTrack[[PA ID]:[PA ID]],$B26,CostTrack[[Vendor - Contract]:[Vendor - Contract]],$H26,CostTrack[[Holdback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26" s="504">
        <f ca="1">SUMIFS(CostTrack[[Value]:[Value]],CostTrack[[PA ID]:[PA ID]],$B26,CostTrack[[Vendor - Contract]:[Vendor - Contract]],$H26,CostTrack[[Holdback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26" s="504">
        <f ca="1">SUMIFS(CostTrack[[Value]:[Value]],CostTrack[[PA ID]:[PA ID]],$B26,CostTrack[[Vendor - Contract]:[Vendor - Contract]],$H26,CostTrack[[Holdback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26" s="504">
        <f ca="1">SUMIFS(CostTrack[[Value]:[Value]],CostTrack[[PA ID]:[PA ID]],$B26,CostTrack[[Vendor - Contract]:[Vendor - Contract]],$H26,CostTrack[[Holdback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26" s="504">
        <f ca="1">SUMIFS(CostTrack[[Value]:[Value]],CostTrack[[PA ID]:[PA ID]],$B26,CostTrack[[Vendor - Contract]:[Vendor - Contract]],$H26,CostTrack[[Holdback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26" s="504">
        <f ca="1">SUMIFS(CostTrack[[Value]:[Value]],CostTrack[[PA ID]:[PA ID]],$B26,CostTrack[[Vendor - Contract]:[Vendor - Contract]],$H26,CostTrack[[Holdback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26" s="504">
        <f ca="1">SUMIFS(CostTrack[[Value]:[Value]],CostTrack[[PA ID]:[PA ID]],$B26,CostTrack[[Vendor - Contract]:[Vendor - Contract]],$H26,CostTrack[[Holdback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26" s="504">
        <f ca="1">SUMIFS(CostTrack[[Value]:[Value]],CostTrack[[PA ID]:[PA ID]],$B26,CostTrack[[Vendor - Contract]:[Vendor - Contract]],$H26,CostTrack[[Holdback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26" s="504">
        <f ca="1">SUMIFS(CostTrack[[Value]:[Value]],CostTrack[[PA ID]:[PA ID]],$B26,CostTrack[[Vendor - Contract]:[Vendor - Contract]],$H26,CostTrack[[Holdback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26" s="504">
        <f ca="1">SUMIFS(CostTrack[[Value]:[Value]],CostTrack[[PA ID]:[PA ID]],$B26,CostTrack[[Vendor - Contract]:[Vendor - Contract]],$H26,CostTrack[[Holdback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26" s="504">
        <f ca="1">SUMIFS(CostTrack[[Value]:[Value]],CostTrack[[PA ID]:[PA ID]],$B26,CostTrack[[Vendor - Contract]:[Vendor - Contract]],$H26,CostTrack[[Holdback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26" s="512">
        <f t="shared" ca="1" si="18"/>
        <v>0</v>
      </c>
      <c r="BK26" s="504">
        <f ca="1">SUMIFS(CostTrack[[Value]:[Value]],CostTrack[[PA ID]:[PA ID]],$B26,CostTrack[[Vendor - Contract]:[Vendor - Contract]],$H26,CostTrack[[Holdback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26" s="504">
        <f ca="1">SUMIFS(CostTrack[[Value]:[Value]],CostTrack[[PA ID]:[PA ID]],$B26,CostTrack[[Vendor - Contract]:[Vendor - Contract]],$H26,CostTrack[[Holdback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26" s="504">
        <f ca="1">SUMIFS(CostTrack[[Value]:[Value]],CostTrack[[PA ID]:[PA ID]],$B26,CostTrack[[Vendor - Contract]:[Vendor - Contract]],$H26,CostTrack[[Holdback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26" s="504">
        <f ca="1">SUMIFS(CostTrack[[Value]:[Value]],CostTrack[[PA ID]:[PA ID]],$B26,CostTrack[[Vendor - Contract]:[Vendor - Contract]],$H26,CostTrack[[Holdback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26" s="504">
        <f ca="1">SUMIFS(CostTrack[[Value]:[Value]],CostTrack[[PA ID]:[PA ID]],$B26,CostTrack[[Vendor - Contract]:[Vendor - Contract]],$H26,CostTrack[[Holdback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26" s="504">
        <f ca="1">SUMIFS(CostTrack[[Value]:[Value]],CostTrack[[PA ID]:[PA ID]],$B26,CostTrack[[Vendor - Contract]:[Vendor - Contract]],$H26,CostTrack[[Holdback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26" s="504">
        <f ca="1">SUMIFS(CostTrack[[Value]:[Value]],CostTrack[[PA ID]:[PA ID]],$B26,CostTrack[[Vendor - Contract]:[Vendor - Contract]],$H26,CostTrack[[Holdback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26" s="504">
        <f ca="1">SUMIFS(CostTrack[[Value]:[Value]],CostTrack[[PA ID]:[PA ID]],$B26,CostTrack[[Vendor - Contract]:[Vendor - Contract]],$H26,CostTrack[[Holdback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26" s="504">
        <f ca="1">SUMIFS(CostTrack[[Value]:[Value]],CostTrack[[PA ID]:[PA ID]],$B26,CostTrack[[Vendor - Contract]:[Vendor - Contract]],$H26,CostTrack[[Holdback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26" s="504">
        <f ca="1">SUMIFS(CostTrack[[Value]:[Value]],CostTrack[[PA ID]:[PA ID]],$B26,CostTrack[[Vendor - Contract]:[Vendor - Contract]],$H26,CostTrack[[Holdback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26" s="504">
        <f ca="1">SUMIFS(CostTrack[[Value]:[Value]],CostTrack[[PA ID]:[PA ID]],$B26,CostTrack[[Vendor - Contract]:[Vendor - Contract]],$H26,CostTrack[[Holdback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26" s="504">
        <f ca="1">SUMIFS(CostTrack[[Value]:[Value]],CostTrack[[PA ID]:[PA ID]],$B26,CostTrack[[Vendor - Contract]:[Vendor - Contract]],$H26,CostTrack[[Holdback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26" s="512">
        <f t="shared" ca="1" si="19"/>
        <v>0</v>
      </c>
      <c r="BY26" s="504">
        <f ca="1">SUMIFS(CostTrack[[Value]:[Value]],CostTrack[[PA ID]:[PA ID]],$B26,CostTrack[[Vendor - Contract]:[Vendor - Contract]],$H26,CostTrack[[Holdback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26" s="504">
        <f ca="1">SUMIFS(CostTrack[[Value]:[Value]],CostTrack[[PA ID]:[PA ID]],$B26,CostTrack[[Vendor - Contract]:[Vendor - Contract]],$H26,CostTrack[[Holdback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26" s="504">
        <f ca="1">SUMIFS(CostTrack[[Value]:[Value]],CostTrack[[PA ID]:[PA ID]],$B26,CostTrack[[Vendor - Contract]:[Vendor - Contract]],$H26,CostTrack[[Holdback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26" s="504">
        <f ca="1">SUMIFS(CostTrack[[Value]:[Value]],CostTrack[[PA ID]:[PA ID]],$B26,CostTrack[[Vendor - Contract]:[Vendor - Contract]],$H26,CostTrack[[Holdback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26" s="504">
        <f ca="1">SUMIFS(CostTrack[[Value]:[Value]],CostTrack[[PA ID]:[PA ID]],$B26,CostTrack[[Vendor - Contract]:[Vendor - Contract]],$H26,CostTrack[[Holdback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26" s="504">
        <f ca="1">SUMIFS(CostTrack[[Value]:[Value]],CostTrack[[PA ID]:[PA ID]],$B26,CostTrack[[Vendor - Contract]:[Vendor - Contract]],$H26,CostTrack[[Holdback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26" s="504">
        <f ca="1">SUMIFS(CostTrack[[Value]:[Value]],CostTrack[[PA ID]:[PA ID]],$B26,CostTrack[[Vendor - Contract]:[Vendor - Contract]],$H26,CostTrack[[Holdback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26" s="504">
        <f ca="1">SUMIFS(CostTrack[[Value]:[Value]],CostTrack[[PA ID]:[PA ID]],$B26,CostTrack[[Vendor - Contract]:[Vendor - Contract]],$H26,CostTrack[[Holdback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26" s="504">
        <f ca="1">SUMIFS(CostTrack[[Value]:[Value]],CostTrack[[PA ID]:[PA ID]],$B26,CostTrack[[Vendor - Contract]:[Vendor - Contract]],$H26,CostTrack[[Holdback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26" s="504">
        <f ca="1">SUMIFS(CostTrack[[Value]:[Value]],CostTrack[[PA ID]:[PA ID]],$B26,CostTrack[[Vendor - Contract]:[Vendor - Contract]],$H26,CostTrack[[Holdback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26" s="504">
        <f ca="1">SUMIFS(CostTrack[[Value]:[Value]],CostTrack[[PA ID]:[PA ID]],$B26,CostTrack[[Vendor - Contract]:[Vendor - Contract]],$H26,CostTrack[[Holdback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26" s="504">
        <f ca="1">SUMIFS(CostTrack[[Value]:[Value]],CostTrack[[PA ID]:[PA ID]],$B26,CostTrack[[Vendor - Contract]:[Vendor - Contract]],$H26,CostTrack[[Holdback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26" s="512">
        <f t="shared" ca="1" si="20"/>
        <v>0</v>
      </c>
      <c r="CM26" s="504">
        <f ca="1">SUMIFS(CostTrack[[Value]:[Value]],CostTrack[[PA ID]:[PA ID]],$B26,CostTrack[[Vendor - Contract]:[Vendor - Contract]],$H26,CostTrack[[Holdback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26" s="504">
        <f ca="1">SUMIFS(CostTrack[[Value]:[Value]],CostTrack[[PA ID]:[PA ID]],$B26,CostTrack[[Vendor - Contract]:[Vendor - Contract]],$H26,CostTrack[[Holdback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26" s="504">
        <f ca="1">SUMIFS(CostTrack[[Value]:[Value]],CostTrack[[PA ID]:[PA ID]],$B26,CostTrack[[Vendor - Contract]:[Vendor - Contract]],$H26,CostTrack[[Holdback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26" s="504">
        <f ca="1">SUMIFS(CostTrack[[Value]:[Value]],CostTrack[[PA ID]:[PA ID]],$B26,CostTrack[[Vendor - Contract]:[Vendor - Contract]],$H26,CostTrack[[Holdback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26" s="504">
        <f ca="1">SUMIFS(CostTrack[[Value]:[Value]],CostTrack[[PA ID]:[PA ID]],$B26,CostTrack[[Vendor - Contract]:[Vendor - Contract]],$H26,CostTrack[[Holdback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26" s="504">
        <f ca="1">SUMIFS(CostTrack[[Value]:[Value]],CostTrack[[PA ID]:[PA ID]],$B26,CostTrack[[Vendor - Contract]:[Vendor - Contract]],$H26,CostTrack[[Holdback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26" s="504">
        <f ca="1">SUMIFS(CostTrack[[Value]:[Value]],CostTrack[[PA ID]:[PA ID]],$B26,CostTrack[[Vendor - Contract]:[Vendor - Contract]],$H26,CostTrack[[Holdback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26" s="504">
        <f ca="1">SUMIFS(CostTrack[[Value]:[Value]],CostTrack[[PA ID]:[PA ID]],$B26,CostTrack[[Vendor - Contract]:[Vendor - Contract]],$H26,CostTrack[[Holdback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26" s="504">
        <f ca="1">SUMIFS(CostTrack[[Value]:[Value]],CostTrack[[PA ID]:[PA ID]],$B26,CostTrack[[Vendor - Contract]:[Vendor - Contract]],$H26,CostTrack[[Holdback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26" s="504">
        <f ca="1">SUMIFS(CostTrack[[Value]:[Value]],CostTrack[[PA ID]:[PA ID]],$B26,CostTrack[[Vendor - Contract]:[Vendor - Contract]],$H26,CostTrack[[Holdback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26" s="504">
        <f ca="1">SUMIFS(CostTrack[[Value]:[Value]],CostTrack[[PA ID]:[PA ID]],$B26,CostTrack[[Vendor - Contract]:[Vendor - Contract]],$H26,CostTrack[[Holdback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26" s="504">
        <f ca="1">SUMIFS(CostTrack[[Value]:[Value]],CostTrack[[PA ID]:[PA ID]],$B26,CostTrack[[Vendor - Contract]:[Vendor - Contract]],$H26,CostTrack[[Holdback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26" s="512">
        <f t="shared" ca="1" si="21"/>
        <v>0</v>
      </c>
      <c r="DA26" s="504">
        <f ca="1">SUMIFS(CostTrack[[Value]:[Value]],CostTrack[[PA ID]:[PA ID]],$B26,CostTrack[[Vendor - Contract]:[Vendor - Contract]],$H26,CostTrack[[Holdback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26" s="504">
        <f ca="1">SUMIFS(CostTrack[[Value]:[Value]],CostTrack[[PA ID]:[PA ID]],$B26,CostTrack[[Vendor - Contract]:[Vendor - Contract]],$H26,CostTrack[[Holdback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26" s="504">
        <f ca="1">SUMIFS(CostTrack[[Value]:[Value]],CostTrack[[PA ID]:[PA ID]],$B26,CostTrack[[Vendor - Contract]:[Vendor - Contract]],$H26,CostTrack[[Holdback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26" s="504">
        <f ca="1">SUMIFS(CostTrack[[Value]:[Value]],CostTrack[[PA ID]:[PA ID]],$B26,CostTrack[[Vendor - Contract]:[Vendor - Contract]],$H26,CostTrack[[Holdback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26" s="504">
        <f ca="1">SUMIFS(CostTrack[[Value]:[Value]],CostTrack[[PA ID]:[PA ID]],$B26,CostTrack[[Vendor - Contract]:[Vendor - Contract]],$H26,CostTrack[[Holdback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26" s="504">
        <f ca="1">SUMIFS(CostTrack[[Value]:[Value]],CostTrack[[PA ID]:[PA ID]],$B26,CostTrack[[Vendor - Contract]:[Vendor - Contract]],$H26,CostTrack[[Holdback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26" s="504">
        <f ca="1">SUMIFS(CostTrack[[Value]:[Value]],CostTrack[[PA ID]:[PA ID]],$B26,CostTrack[[Vendor - Contract]:[Vendor - Contract]],$H26,CostTrack[[Holdback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26" s="504">
        <f ca="1">SUMIFS(CostTrack[[Value]:[Value]],CostTrack[[PA ID]:[PA ID]],$B26,CostTrack[[Vendor - Contract]:[Vendor - Contract]],$H26,CostTrack[[Holdback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26" s="504">
        <f ca="1">SUMIFS(CostTrack[[Value]:[Value]],CostTrack[[PA ID]:[PA ID]],$B26,CostTrack[[Vendor - Contract]:[Vendor - Contract]],$H26,CostTrack[[Holdback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26" s="504">
        <f ca="1">SUMIFS(CostTrack[[Value]:[Value]],CostTrack[[PA ID]:[PA ID]],$B26,CostTrack[[Vendor - Contract]:[Vendor - Contract]],$H26,CostTrack[[Holdback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26" s="504">
        <f ca="1">SUMIFS(CostTrack[[Value]:[Value]],CostTrack[[PA ID]:[PA ID]],$B26,CostTrack[[Vendor - Contract]:[Vendor - Contract]],$H26,CostTrack[[Holdback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26" s="504">
        <f ca="1">SUMIFS(CostTrack[[Value]:[Value]],CostTrack[[PA ID]:[PA ID]],$B26,CostTrack[[Vendor - Contract]:[Vendor - Contract]],$H26,CostTrack[[Holdback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26" s="512">
        <f t="shared" ca="1" si="22"/>
        <v>0</v>
      </c>
      <c r="DO26" s="504">
        <f ca="1">SUMIFS(CostTrack[[Value]:[Value]],CostTrack[[PA ID]:[PA ID]],$B26,CostTrack[[Vendor - Contract]:[Vendor - Contract]],$H26,CostTrack[[Holdback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26" s="504">
        <f ca="1">SUMIFS(CostTrack[[Value]:[Value]],CostTrack[[PA ID]:[PA ID]],$B26,CostTrack[[Vendor - Contract]:[Vendor - Contract]],$H26,CostTrack[[Holdback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26" s="504">
        <f ca="1">SUMIFS(CostTrack[[Value]:[Value]],CostTrack[[PA ID]:[PA ID]],$B26,CostTrack[[Vendor - Contract]:[Vendor - Contract]],$H26,CostTrack[[Holdback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26" s="504">
        <f ca="1">SUMIFS(CostTrack[[Value]:[Value]],CostTrack[[PA ID]:[PA ID]],$B26,CostTrack[[Vendor - Contract]:[Vendor - Contract]],$H26,CostTrack[[Holdback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26" s="504">
        <f ca="1">SUMIFS(CostTrack[[Value]:[Value]],CostTrack[[PA ID]:[PA ID]],$B26,CostTrack[[Vendor - Contract]:[Vendor - Contract]],$H26,CostTrack[[Holdback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26" s="504">
        <f ca="1">SUMIFS(CostTrack[[Value]:[Value]],CostTrack[[PA ID]:[PA ID]],$B26,CostTrack[[Vendor - Contract]:[Vendor - Contract]],$H26,CostTrack[[Holdback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26" s="504">
        <f ca="1">SUMIFS(CostTrack[[Value]:[Value]],CostTrack[[PA ID]:[PA ID]],$B26,CostTrack[[Vendor - Contract]:[Vendor - Contract]],$H26,CostTrack[[Holdback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26" s="504">
        <f ca="1">SUMIFS(CostTrack[[Value]:[Value]],CostTrack[[PA ID]:[PA ID]],$B26,CostTrack[[Vendor - Contract]:[Vendor - Contract]],$H26,CostTrack[[Holdback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26" s="504">
        <f ca="1">SUMIFS(CostTrack[[Value]:[Value]],CostTrack[[PA ID]:[PA ID]],$B26,CostTrack[[Vendor - Contract]:[Vendor - Contract]],$H26,CostTrack[[Holdback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26" s="504">
        <f ca="1">SUMIFS(CostTrack[[Value]:[Value]],CostTrack[[PA ID]:[PA ID]],$B26,CostTrack[[Vendor - Contract]:[Vendor - Contract]],$H26,CostTrack[[Holdback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26" s="504">
        <f ca="1">SUMIFS(CostTrack[[Value]:[Value]],CostTrack[[PA ID]:[PA ID]],$B26,CostTrack[[Vendor - Contract]:[Vendor - Contract]],$H26,CostTrack[[Holdback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26" s="504">
        <f ca="1">SUMIFS(CostTrack[[Value]:[Value]],CostTrack[[PA ID]:[PA ID]],$B26,CostTrack[[Vendor - Contract]:[Vendor - Contract]],$H26,CostTrack[[Holdback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26" s="512">
        <f t="shared" ca="1" si="23"/>
        <v>0</v>
      </c>
      <c r="EC26" s="504">
        <f ca="1">SUMIFS(CostTrack[[Value]:[Value]],CostTrack[[PA ID]:[PA ID]],$B26,CostTrack[[Vendor - Contract]:[Vendor - Contract]],$H26,CostTrack[[Holdback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26" s="505"/>
      <c r="EE26" s="505"/>
      <c r="EF26" s="505"/>
      <c r="EG26" s="505"/>
      <c r="EH26" s="505"/>
      <c r="EI26" s="505"/>
      <c r="EJ26" s="505"/>
      <c r="EK26" s="505"/>
      <c r="EL26" s="505"/>
      <c r="EM26" s="505"/>
      <c r="EN26" s="505"/>
      <c r="EO26" s="512">
        <f t="shared" ca="1" si="24"/>
        <v>0</v>
      </c>
      <c r="EQ26" s="505"/>
      <c r="ER26" s="505"/>
      <c r="ES26" s="505"/>
      <c r="ET26" s="505"/>
      <c r="EU26" s="505"/>
      <c r="EV26" s="505"/>
      <c r="EW26" s="505"/>
      <c r="EX26" s="505"/>
      <c r="EY26" s="505"/>
      <c r="EZ26" s="505"/>
      <c r="FA26" s="505"/>
      <c r="FB26" s="505"/>
      <c r="FC26" s="512">
        <f t="shared" si="25"/>
        <v>0</v>
      </c>
      <c r="FE26" s="505"/>
      <c r="FF26" s="505"/>
      <c r="FG26" s="505"/>
      <c r="FH26" s="505"/>
      <c r="FI26" s="505"/>
      <c r="FJ26" s="505"/>
      <c r="FK26" s="505"/>
      <c r="FL26" s="505"/>
      <c r="FM26" s="505"/>
      <c r="FN26" s="505"/>
      <c r="FO26" s="505"/>
      <c r="FP26" s="505"/>
      <c r="FQ26" s="512">
        <f t="shared" si="26"/>
        <v>0</v>
      </c>
      <c r="FS26" s="504">
        <f t="shared" ca="1" si="27"/>
        <v>96165.3</v>
      </c>
    </row>
    <row r="27" spans="1:175">
      <c r="A27" s="216">
        <v>20</v>
      </c>
      <c r="B27" s="219" t="str">
        <f ca="1">INDEX(EAC[PA ID],MATCH($A27,EAC[Row],0))</f>
        <v>300.100.F1</v>
      </c>
      <c r="C27" s="218" t="str">
        <f ca="1">INDEX(EAC[Primary Category],MATCH($A27,EAC[Row],0))</f>
        <v>Construction</v>
      </c>
      <c r="D27" s="218" t="str">
        <f ca="1">INDEX(EAC[Secondary Category],MATCH($A27,EAC[Row],0))</f>
        <v>Demolition</v>
      </c>
      <c r="E27" s="109" t="str">
        <f ca="1">INDEX(EAC[Phase / Subproject],MATCH($A27,EAC[Row],0))</f>
        <v>--</v>
      </c>
      <c r="F27" s="109" t="str">
        <f ca="1">INDEX(EAC[Phase / Subproject 2],MATCH($A27,EAC[Row],0))</f>
        <v>--</v>
      </c>
      <c r="G27" s="109" t="str">
        <f ca="1">INDEX(EAC[Funding Source],MATCH($A27,EAC[Row],0))</f>
        <v>P-002360</v>
      </c>
      <c r="H27" s="146" t="str">
        <f ca="1">INDEX(EAC[Vendor / Org. with Contract ID],MATCH($A27,EAC[Row],0))</f>
        <v>Visco Demolition Contractors Ltd.-36068</v>
      </c>
      <c r="I27" s="502">
        <f ca="1">INDEX(EAC[Estimate At Completion],MATCH($A27,EAC[Row],0))</f>
        <v>472888.38</v>
      </c>
      <c r="J27" s="502">
        <f ca="1">SUMIFS(CostTrack[Value],CostTrack[Vendor - Contract],$H27,CostTrack[PA ID],$B27,CostTrack[Holdback (Y/N/R)],"&lt;&gt;Release",CostTrack[Status],"Approved")</f>
        <v>472888.38</v>
      </c>
      <c r="K27" s="503">
        <f t="shared" ca="1" si="14"/>
        <v>0</v>
      </c>
      <c r="M27" s="504">
        <f t="shared" ca="1" si="15"/>
        <v>0</v>
      </c>
      <c r="O27" s="504">
        <f t="shared" ca="1" si="11"/>
        <v>472888.38</v>
      </c>
      <c r="P27" s="504">
        <f t="array" aca="1" ref="P27" ca="1">SUM($U27:$FQ27*_xlfn.ISFORMULA($U27:$FQ27)*ISNUMBER($U$7:$FQ$7)*--(INDEX($U$6:$FQ$6,N(IF({1},COLUMN($U$6:$FQ$6)-COLUMN($T$6)))-MOD(N(IF({1},COLUMN($U$6:$FQ$6)-COLUMN($U$6))),14))="Current Fiscal"))</f>
        <v>0</v>
      </c>
      <c r="Q27" s="504">
        <f t="array" aca="1" ref="Q27" ca="1">SUM($U27:$FQ27*NOT(_xlfn.ISFORMULA($U27:$FQ27))*ISNUMBER($U$7:$FQ$7)*--(INDEX($U$6:$FQ$6,N(IF({1},COLUMN($U$6:$FQ$6)-COLUMN($T$6)))-MOD(N(IF({1},COLUMN($U$6:$FQ$6)-COLUMN($U$6))),14))="Current Fiscal"))</f>
        <v>0</v>
      </c>
      <c r="R27" s="504">
        <f t="shared" ca="1" si="12"/>
        <v>0</v>
      </c>
      <c r="S27" s="504">
        <f t="shared" ca="1" si="13"/>
        <v>0</v>
      </c>
      <c r="U27" s="504">
        <f ca="1">SUMIFS(CostTrack[[Value]:[Value]],CostTrack[[PA ID]:[PA ID]],$B27,CostTrack[[Vendor - Contract]:[Vendor - Contract]],$H27,CostTrack[[Holdback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27" s="504">
        <f ca="1">SUMIFS(CostTrack[[Value]:[Value]],CostTrack[[PA ID]:[PA ID]],$B27,CostTrack[[Vendor - Contract]:[Vendor - Contract]],$H27,CostTrack[[Holdback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27" s="504">
        <f ca="1">SUMIFS(CostTrack[[Value]:[Value]],CostTrack[[PA ID]:[PA ID]],$B27,CostTrack[[Vendor - Contract]:[Vendor - Contract]],$H27,CostTrack[[Holdback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27" s="504">
        <f ca="1">SUMIFS(CostTrack[[Value]:[Value]],CostTrack[[PA ID]:[PA ID]],$B27,CostTrack[[Vendor - Contract]:[Vendor - Contract]],$H27,CostTrack[[Holdback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27" s="504">
        <f ca="1">SUMIFS(CostTrack[[Value]:[Value]],CostTrack[[PA ID]:[PA ID]],$B27,CostTrack[[Vendor - Contract]:[Vendor - Contract]],$H27,CostTrack[[Holdback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27" s="504">
        <f ca="1">SUMIFS(CostTrack[[Value]:[Value]],CostTrack[[PA ID]:[PA ID]],$B27,CostTrack[[Vendor - Contract]:[Vendor - Contract]],$H27,CostTrack[[Holdback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27" s="504">
        <f ca="1">SUMIFS(CostTrack[[Value]:[Value]],CostTrack[[PA ID]:[PA ID]],$B27,CostTrack[[Vendor - Contract]:[Vendor - Contract]],$H27,CostTrack[[Holdback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27" s="504">
        <f ca="1">SUMIFS(CostTrack[[Value]:[Value]],CostTrack[[PA ID]:[PA ID]],$B27,CostTrack[[Vendor - Contract]:[Vendor - Contract]],$H27,CostTrack[[Holdback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27" s="504">
        <f ca="1">SUMIFS(CostTrack[[Value]:[Value]],CostTrack[[PA ID]:[PA ID]],$B27,CostTrack[[Vendor - Contract]:[Vendor - Contract]],$H27,CostTrack[[Holdback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27" s="504">
        <f ca="1">SUMIFS(CostTrack[[Value]:[Value]],CostTrack[[PA ID]:[PA ID]],$B27,CostTrack[[Vendor - Contract]:[Vendor - Contract]],$H27,CostTrack[[Holdback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27" s="504">
        <f ca="1">SUMIFS(CostTrack[[Value]:[Value]],CostTrack[[PA ID]:[PA ID]],$B27,CostTrack[[Vendor - Contract]:[Vendor - Contract]],$H27,CostTrack[[Holdback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27" s="504">
        <f ca="1">SUMIFS(CostTrack[[Value]:[Value]],CostTrack[[PA ID]:[PA ID]],$B27,CostTrack[[Vendor - Contract]:[Vendor - Contract]],$H27,CostTrack[[Holdback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27" s="506">
        <f t="shared" ca="1" si="16"/>
        <v>0</v>
      </c>
      <c r="AI27" s="504">
        <f ca="1">SUMIFS(CostTrack[[Value]:[Value]],CostTrack[[PA ID]:[PA ID]],$B27,CostTrack[[Vendor - Contract]:[Vendor - Contract]],$H27,CostTrack[[Holdback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27" s="504">
        <f ca="1">SUMIFS(CostTrack[[Value]:[Value]],CostTrack[[PA ID]:[PA ID]],$B27,CostTrack[[Vendor - Contract]:[Vendor - Contract]],$H27,CostTrack[[Holdback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27" s="504">
        <f ca="1">SUMIFS(CostTrack[[Value]:[Value]],CostTrack[[PA ID]:[PA ID]],$B27,CostTrack[[Vendor - Contract]:[Vendor - Contract]],$H27,CostTrack[[Holdback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27" s="504">
        <f ca="1">SUMIFS(CostTrack[[Value]:[Value]],CostTrack[[PA ID]:[PA ID]],$B27,CostTrack[[Vendor - Contract]:[Vendor - Contract]],$H27,CostTrack[[Holdback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27" s="504">
        <f ca="1">SUMIFS(CostTrack[[Value]:[Value]],CostTrack[[PA ID]:[PA ID]],$B27,CostTrack[[Vendor - Contract]:[Vendor - Contract]],$H27,CostTrack[[Holdback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27" s="504">
        <f ca="1">SUMIFS(CostTrack[[Value]:[Value]],CostTrack[[PA ID]:[PA ID]],$B27,CostTrack[[Vendor - Contract]:[Vendor - Contract]],$H27,CostTrack[[Holdback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27" s="504">
        <f ca="1">SUMIFS(CostTrack[[Value]:[Value]],CostTrack[[PA ID]:[PA ID]],$B27,CostTrack[[Vendor - Contract]:[Vendor - Contract]],$H27,CostTrack[[Holdback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27" s="504">
        <f ca="1">SUMIFS(CostTrack[[Value]:[Value]],CostTrack[[PA ID]:[PA ID]],$B27,CostTrack[[Vendor - Contract]:[Vendor - Contract]],$H27,CostTrack[[Holdback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27" s="504">
        <f ca="1">SUMIFS(CostTrack[[Value]:[Value]],CostTrack[[PA ID]:[PA ID]],$B27,CostTrack[[Vendor - Contract]:[Vendor - Contract]],$H27,CostTrack[[Holdback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27" s="504">
        <f ca="1">SUMIFS(CostTrack[[Value]:[Value]],CostTrack[[PA ID]:[PA ID]],$B27,CostTrack[[Vendor - Contract]:[Vendor - Contract]],$H27,CostTrack[[Holdback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27" s="504">
        <f ca="1">SUMIFS(CostTrack[[Value]:[Value]],CostTrack[[PA ID]:[PA ID]],$B27,CostTrack[[Vendor - Contract]:[Vendor - Contract]],$H27,CostTrack[[Holdback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27" s="504">
        <f ca="1">SUMIFS(CostTrack[[Value]:[Value]],CostTrack[[PA ID]:[PA ID]],$B27,CostTrack[[Vendor - Contract]:[Vendor - Contract]],$H27,CostTrack[[Holdback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45000</v>
      </c>
      <c r="AU27" s="512">
        <f t="shared" ca="1" si="17"/>
        <v>45000</v>
      </c>
      <c r="AW27" s="504">
        <f ca="1">SUMIFS(CostTrack[[Value]:[Value]],CostTrack[[PA ID]:[PA ID]],$B27,CostTrack[[Vendor - Contract]:[Vendor - Contract]],$H27,CostTrack[[Holdback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27" s="504">
        <f ca="1">SUMIFS(CostTrack[[Value]:[Value]],CostTrack[[PA ID]:[PA ID]],$B27,CostTrack[[Vendor - Contract]:[Vendor - Contract]],$H27,CostTrack[[Holdback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84250</v>
      </c>
      <c r="AY27" s="504">
        <f ca="1">SUMIFS(CostTrack[[Value]:[Value]],CostTrack[[PA ID]:[PA ID]],$B27,CostTrack[[Vendor - Contract]:[Vendor - Contract]],$H27,CostTrack[[Holdback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27" s="504">
        <f ca="1">SUMIFS(CostTrack[[Value]:[Value]],CostTrack[[PA ID]:[PA ID]],$B27,CostTrack[[Vendor - Contract]:[Vendor - Contract]],$H27,CostTrack[[Holdback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53248.38</v>
      </c>
      <c r="BA27" s="504">
        <f ca="1">SUMIFS(CostTrack[[Value]:[Value]],CostTrack[[PA ID]:[PA ID]],$B27,CostTrack[[Vendor - Contract]:[Vendor - Contract]],$H27,CostTrack[[Holdback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27" s="504">
        <f ca="1">SUMIFS(CostTrack[[Value]:[Value]],CostTrack[[PA ID]:[PA ID]],$B27,CostTrack[[Vendor - Contract]:[Vendor - Contract]],$H27,CostTrack[[Holdback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27" s="504">
        <f ca="1">SUMIFS(CostTrack[[Value]:[Value]],CostTrack[[PA ID]:[PA ID]],$B27,CostTrack[[Vendor - Contract]:[Vendor - Contract]],$H27,CostTrack[[Holdback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262700</v>
      </c>
      <c r="BD27" s="504">
        <f ca="1">SUMIFS(CostTrack[[Value]:[Value]],CostTrack[[PA ID]:[PA ID]],$B27,CostTrack[[Vendor - Contract]:[Vendor - Contract]],$H27,CostTrack[[Holdback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27" s="504">
        <f ca="1">SUMIFS(CostTrack[[Value]:[Value]],CostTrack[[PA ID]:[PA ID]],$B27,CostTrack[[Vendor - Contract]:[Vendor - Contract]],$H27,CostTrack[[Holdback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12690</v>
      </c>
      <c r="BF27" s="504">
        <f ca="1">SUMIFS(CostTrack[[Value]:[Value]],CostTrack[[PA ID]:[PA ID]],$B27,CostTrack[[Vendor - Contract]:[Vendor - Contract]],$H27,CostTrack[[Holdback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27" s="504">
        <f ca="1">SUMIFS(CostTrack[[Value]:[Value]],CostTrack[[PA ID]:[PA ID]],$B27,CostTrack[[Vendor - Contract]:[Vendor - Contract]],$H27,CostTrack[[Holdback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27" s="504">
        <f ca="1">SUMIFS(CostTrack[[Value]:[Value]],CostTrack[[PA ID]:[PA ID]],$B27,CostTrack[[Vendor - Contract]:[Vendor - Contract]],$H27,CostTrack[[Holdback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15000</v>
      </c>
      <c r="BI27" s="512">
        <f t="shared" ca="1" si="18"/>
        <v>427888.38</v>
      </c>
      <c r="BK27" s="504">
        <f ca="1">SUMIFS(CostTrack[[Value]:[Value]],CostTrack[[PA ID]:[PA ID]],$B27,CostTrack[[Vendor - Contract]:[Vendor - Contract]],$H27,CostTrack[[Holdback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27" s="504">
        <f ca="1">SUMIFS(CostTrack[[Value]:[Value]],CostTrack[[PA ID]:[PA ID]],$B27,CostTrack[[Vendor - Contract]:[Vendor - Contract]],$H27,CostTrack[[Holdback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27" s="504">
        <f ca="1">SUMIFS(CostTrack[[Value]:[Value]],CostTrack[[PA ID]:[PA ID]],$B27,CostTrack[[Vendor - Contract]:[Vendor - Contract]],$H27,CostTrack[[Holdback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27" s="504">
        <f ca="1">SUMIFS(CostTrack[[Value]:[Value]],CostTrack[[PA ID]:[PA ID]],$B27,CostTrack[[Vendor - Contract]:[Vendor - Contract]],$H27,CostTrack[[Holdback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27" s="504">
        <f ca="1">SUMIFS(CostTrack[[Value]:[Value]],CostTrack[[PA ID]:[PA ID]],$B27,CostTrack[[Vendor - Contract]:[Vendor - Contract]],$H27,CostTrack[[Holdback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27" s="504">
        <f ca="1">SUMIFS(CostTrack[[Value]:[Value]],CostTrack[[PA ID]:[PA ID]],$B27,CostTrack[[Vendor - Contract]:[Vendor - Contract]],$H27,CostTrack[[Holdback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27" s="504">
        <f ca="1">SUMIFS(CostTrack[[Value]:[Value]],CostTrack[[PA ID]:[PA ID]],$B27,CostTrack[[Vendor - Contract]:[Vendor - Contract]],$H27,CostTrack[[Holdback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27" s="504">
        <f ca="1">SUMIFS(CostTrack[[Value]:[Value]],CostTrack[[PA ID]:[PA ID]],$B27,CostTrack[[Vendor - Contract]:[Vendor - Contract]],$H27,CostTrack[[Holdback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27" s="504">
        <f ca="1">SUMIFS(CostTrack[[Value]:[Value]],CostTrack[[PA ID]:[PA ID]],$B27,CostTrack[[Vendor - Contract]:[Vendor - Contract]],$H27,CostTrack[[Holdback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27" s="504">
        <f ca="1">SUMIFS(CostTrack[[Value]:[Value]],CostTrack[[PA ID]:[PA ID]],$B27,CostTrack[[Vendor - Contract]:[Vendor - Contract]],$H27,CostTrack[[Holdback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27" s="504">
        <f ca="1">SUMIFS(CostTrack[[Value]:[Value]],CostTrack[[PA ID]:[PA ID]],$B27,CostTrack[[Vendor - Contract]:[Vendor - Contract]],$H27,CostTrack[[Holdback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27" s="504">
        <f ca="1">SUMIFS(CostTrack[[Value]:[Value]],CostTrack[[PA ID]:[PA ID]],$B27,CostTrack[[Vendor - Contract]:[Vendor - Contract]],$H27,CostTrack[[Holdback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27" s="512">
        <f t="shared" ca="1" si="19"/>
        <v>0</v>
      </c>
      <c r="BY27" s="504">
        <f ca="1">SUMIFS(CostTrack[[Value]:[Value]],CostTrack[[PA ID]:[PA ID]],$B27,CostTrack[[Vendor - Contract]:[Vendor - Contract]],$H27,CostTrack[[Holdback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27" s="504">
        <f ca="1">SUMIFS(CostTrack[[Value]:[Value]],CostTrack[[PA ID]:[PA ID]],$B27,CostTrack[[Vendor - Contract]:[Vendor - Contract]],$H27,CostTrack[[Holdback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27" s="504">
        <f ca="1">SUMIFS(CostTrack[[Value]:[Value]],CostTrack[[PA ID]:[PA ID]],$B27,CostTrack[[Vendor - Contract]:[Vendor - Contract]],$H27,CostTrack[[Holdback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27" s="504">
        <f ca="1">SUMIFS(CostTrack[[Value]:[Value]],CostTrack[[PA ID]:[PA ID]],$B27,CostTrack[[Vendor - Contract]:[Vendor - Contract]],$H27,CostTrack[[Holdback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27" s="504">
        <f ca="1">SUMIFS(CostTrack[[Value]:[Value]],CostTrack[[PA ID]:[PA ID]],$B27,CostTrack[[Vendor - Contract]:[Vendor - Contract]],$H27,CostTrack[[Holdback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27" s="504">
        <f ca="1">SUMIFS(CostTrack[[Value]:[Value]],CostTrack[[PA ID]:[PA ID]],$B27,CostTrack[[Vendor - Contract]:[Vendor - Contract]],$H27,CostTrack[[Holdback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27" s="504">
        <f ca="1">SUMIFS(CostTrack[[Value]:[Value]],CostTrack[[PA ID]:[PA ID]],$B27,CostTrack[[Vendor - Contract]:[Vendor - Contract]],$H27,CostTrack[[Holdback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27" s="504">
        <f ca="1">SUMIFS(CostTrack[[Value]:[Value]],CostTrack[[PA ID]:[PA ID]],$B27,CostTrack[[Vendor - Contract]:[Vendor - Contract]],$H27,CostTrack[[Holdback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27" s="504">
        <f ca="1">SUMIFS(CostTrack[[Value]:[Value]],CostTrack[[PA ID]:[PA ID]],$B27,CostTrack[[Vendor - Contract]:[Vendor - Contract]],$H27,CostTrack[[Holdback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27" s="504">
        <f ca="1">SUMIFS(CostTrack[[Value]:[Value]],CostTrack[[PA ID]:[PA ID]],$B27,CostTrack[[Vendor - Contract]:[Vendor - Contract]],$H27,CostTrack[[Holdback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27" s="504">
        <f ca="1">SUMIFS(CostTrack[[Value]:[Value]],CostTrack[[PA ID]:[PA ID]],$B27,CostTrack[[Vendor - Contract]:[Vendor - Contract]],$H27,CostTrack[[Holdback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27" s="504">
        <f ca="1">SUMIFS(CostTrack[[Value]:[Value]],CostTrack[[PA ID]:[PA ID]],$B27,CostTrack[[Vendor - Contract]:[Vendor - Contract]],$H27,CostTrack[[Holdback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27" s="512">
        <f t="shared" ca="1" si="20"/>
        <v>0</v>
      </c>
      <c r="CM27" s="504">
        <f ca="1">SUMIFS(CostTrack[[Value]:[Value]],CostTrack[[PA ID]:[PA ID]],$B27,CostTrack[[Vendor - Contract]:[Vendor - Contract]],$H27,CostTrack[[Holdback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27" s="504">
        <f ca="1">SUMIFS(CostTrack[[Value]:[Value]],CostTrack[[PA ID]:[PA ID]],$B27,CostTrack[[Vendor - Contract]:[Vendor - Contract]],$H27,CostTrack[[Holdback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27" s="504">
        <f ca="1">SUMIFS(CostTrack[[Value]:[Value]],CostTrack[[PA ID]:[PA ID]],$B27,CostTrack[[Vendor - Contract]:[Vendor - Contract]],$H27,CostTrack[[Holdback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27" s="504">
        <f ca="1">SUMIFS(CostTrack[[Value]:[Value]],CostTrack[[PA ID]:[PA ID]],$B27,CostTrack[[Vendor - Contract]:[Vendor - Contract]],$H27,CostTrack[[Holdback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27" s="504">
        <f ca="1">SUMIFS(CostTrack[[Value]:[Value]],CostTrack[[PA ID]:[PA ID]],$B27,CostTrack[[Vendor - Contract]:[Vendor - Contract]],$H27,CostTrack[[Holdback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27" s="504">
        <f ca="1">SUMIFS(CostTrack[[Value]:[Value]],CostTrack[[PA ID]:[PA ID]],$B27,CostTrack[[Vendor - Contract]:[Vendor - Contract]],$H27,CostTrack[[Holdback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27" s="504">
        <f ca="1">SUMIFS(CostTrack[[Value]:[Value]],CostTrack[[PA ID]:[PA ID]],$B27,CostTrack[[Vendor - Contract]:[Vendor - Contract]],$H27,CostTrack[[Holdback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27" s="504">
        <f ca="1">SUMIFS(CostTrack[[Value]:[Value]],CostTrack[[PA ID]:[PA ID]],$B27,CostTrack[[Vendor - Contract]:[Vendor - Contract]],$H27,CostTrack[[Holdback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27" s="504">
        <f ca="1">SUMIFS(CostTrack[[Value]:[Value]],CostTrack[[PA ID]:[PA ID]],$B27,CostTrack[[Vendor - Contract]:[Vendor - Contract]],$H27,CostTrack[[Holdback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27" s="504">
        <f ca="1">SUMIFS(CostTrack[[Value]:[Value]],CostTrack[[PA ID]:[PA ID]],$B27,CostTrack[[Vendor - Contract]:[Vendor - Contract]],$H27,CostTrack[[Holdback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27" s="504">
        <f ca="1">SUMIFS(CostTrack[[Value]:[Value]],CostTrack[[PA ID]:[PA ID]],$B27,CostTrack[[Vendor - Contract]:[Vendor - Contract]],$H27,CostTrack[[Holdback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27" s="504">
        <f ca="1">SUMIFS(CostTrack[[Value]:[Value]],CostTrack[[PA ID]:[PA ID]],$B27,CostTrack[[Vendor - Contract]:[Vendor - Contract]],$H27,CostTrack[[Holdback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27" s="512">
        <f t="shared" ca="1" si="21"/>
        <v>0</v>
      </c>
      <c r="DA27" s="504">
        <f ca="1">SUMIFS(CostTrack[[Value]:[Value]],CostTrack[[PA ID]:[PA ID]],$B27,CostTrack[[Vendor - Contract]:[Vendor - Contract]],$H27,CostTrack[[Holdback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27" s="504">
        <f ca="1">SUMIFS(CostTrack[[Value]:[Value]],CostTrack[[PA ID]:[PA ID]],$B27,CostTrack[[Vendor - Contract]:[Vendor - Contract]],$H27,CostTrack[[Holdback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27" s="504">
        <f ca="1">SUMIFS(CostTrack[[Value]:[Value]],CostTrack[[PA ID]:[PA ID]],$B27,CostTrack[[Vendor - Contract]:[Vendor - Contract]],$H27,CostTrack[[Holdback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27" s="504">
        <f ca="1">SUMIFS(CostTrack[[Value]:[Value]],CostTrack[[PA ID]:[PA ID]],$B27,CostTrack[[Vendor - Contract]:[Vendor - Contract]],$H27,CostTrack[[Holdback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27" s="504">
        <f ca="1">SUMIFS(CostTrack[[Value]:[Value]],CostTrack[[PA ID]:[PA ID]],$B27,CostTrack[[Vendor - Contract]:[Vendor - Contract]],$H27,CostTrack[[Holdback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27" s="504">
        <f ca="1">SUMIFS(CostTrack[[Value]:[Value]],CostTrack[[PA ID]:[PA ID]],$B27,CostTrack[[Vendor - Contract]:[Vendor - Contract]],$H27,CostTrack[[Holdback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27" s="504">
        <f ca="1">SUMIFS(CostTrack[[Value]:[Value]],CostTrack[[PA ID]:[PA ID]],$B27,CostTrack[[Vendor - Contract]:[Vendor - Contract]],$H27,CostTrack[[Holdback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27" s="504">
        <f ca="1">SUMIFS(CostTrack[[Value]:[Value]],CostTrack[[PA ID]:[PA ID]],$B27,CostTrack[[Vendor - Contract]:[Vendor - Contract]],$H27,CostTrack[[Holdback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27" s="504">
        <f ca="1">SUMIFS(CostTrack[[Value]:[Value]],CostTrack[[PA ID]:[PA ID]],$B27,CostTrack[[Vendor - Contract]:[Vendor - Contract]],$H27,CostTrack[[Holdback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27" s="504">
        <f ca="1">SUMIFS(CostTrack[[Value]:[Value]],CostTrack[[PA ID]:[PA ID]],$B27,CostTrack[[Vendor - Contract]:[Vendor - Contract]],$H27,CostTrack[[Holdback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27" s="504">
        <f ca="1">SUMIFS(CostTrack[[Value]:[Value]],CostTrack[[PA ID]:[PA ID]],$B27,CostTrack[[Vendor - Contract]:[Vendor - Contract]],$H27,CostTrack[[Holdback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27" s="504">
        <f ca="1">SUMIFS(CostTrack[[Value]:[Value]],CostTrack[[PA ID]:[PA ID]],$B27,CostTrack[[Vendor - Contract]:[Vendor - Contract]],$H27,CostTrack[[Holdback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27" s="512">
        <f t="shared" ca="1" si="22"/>
        <v>0</v>
      </c>
      <c r="DO27" s="504">
        <f ca="1">SUMIFS(CostTrack[[Value]:[Value]],CostTrack[[PA ID]:[PA ID]],$B27,CostTrack[[Vendor - Contract]:[Vendor - Contract]],$H27,CostTrack[[Holdback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27" s="504">
        <f ca="1">SUMIFS(CostTrack[[Value]:[Value]],CostTrack[[PA ID]:[PA ID]],$B27,CostTrack[[Vendor - Contract]:[Vendor - Contract]],$H27,CostTrack[[Holdback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27" s="504">
        <f ca="1">SUMIFS(CostTrack[[Value]:[Value]],CostTrack[[PA ID]:[PA ID]],$B27,CostTrack[[Vendor - Contract]:[Vendor - Contract]],$H27,CostTrack[[Holdback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27" s="504">
        <f ca="1">SUMIFS(CostTrack[[Value]:[Value]],CostTrack[[PA ID]:[PA ID]],$B27,CostTrack[[Vendor - Contract]:[Vendor - Contract]],$H27,CostTrack[[Holdback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27" s="504">
        <f ca="1">SUMIFS(CostTrack[[Value]:[Value]],CostTrack[[PA ID]:[PA ID]],$B27,CostTrack[[Vendor - Contract]:[Vendor - Contract]],$H27,CostTrack[[Holdback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27" s="504">
        <f ca="1">SUMIFS(CostTrack[[Value]:[Value]],CostTrack[[PA ID]:[PA ID]],$B27,CostTrack[[Vendor - Contract]:[Vendor - Contract]],$H27,CostTrack[[Holdback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27" s="504">
        <f ca="1">SUMIFS(CostTrack[[Value]:[Value]],CostTrack[[PA ID]:[PA ID]],$B27,CostTrack[[Vendor - Contract]:[Vendor - Contract]],$H27,CostTrack[[Holdback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27" s="504">
        <f ca="1">SUMIFS(CostTrack[[Value]:[Value]],CostTrack[[PA ID]:[PA ID]],$B27,CostTrack[[Vendor - Contract]:[Vendor - Contract]],$H27,CostTrack[[Holdback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27" s="504">
        <f ca="1">SUMIFS(CostTrack[[Value]:[Value]],CostTrack[[PA ID]:[PA ID]],$B27,CostTrack[[Vendor - Contract]:[Vendor - Contract]],$H27,CostTrack[[Holdback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27" s="504">
        <f ca="1">SUMIFS(CostTrack[[Value]:[Value]],CostTrack[[PA ID]:[PA ID]],$B27,CostTrack[[Vendor - Contract]:[Vendor - Contract]],$H27,CostTrack[[Holdback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27" s="504">
        <f ca="1">SUMIFS(CostTrack[[Value]:[Value]],CostTrack[[PA ID]:[PA ID]],$B27,CostTrack[[Vendor - Contract]:[Vendor - Contract]],$H27,CostTrack[[Holdback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27" s="504">
        <f ca="1">SUMIFS(CostTrack[[Value]:[Value]],CostTrack[[PA ID]:[PA ID]],$B27,CostTrack[[Vendor - Contract]:[Vendor - Contract]],$H27,CostTrack[[Holdback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27" s="512">
        <f t="shared" ca="1" si="23"/>
        <v>0</v>
      </c>
      <c r="EC27" s="504">
        <f ca="1">SUMIFS(CostTrack[[Value]:[Value]],CostTrack[[PA ID]:[PA ID]],$B27,CostTrack[[Vendor - Contract]:[Vendor - Contract]],$H27,CostTrack[[Holdback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27" s="505"/>
      <c r="EE27" s="505"/>
      <c r="EF27" s="505"/>
      <c r="EG27" s="505"/>
      <c r="EH27" s="505"/>
      <c r="EI27" s="505"/>
      <c r="EJ27" s="505"/>
      <c r="EK27" s="505"/>
      <c r="EL27" s="505"/>
      <c r="EM27" s="505"/>
      <c r="EN27" s="505"/>
      <c r="EO27" s="512">
        <f t="shared" ca="1" si="24"/>
        <v>0</v>
      </c>
      <c r="EQ27" s="505"/>
      <c r="ER27" s="505"/>
      <c r="ES27" s="505"/>
      <c r="ET27" s="505"/>
      <c r="EU27" s="505"/>
      <c r="EV27" s="505"/>
      <c r="EW27" s="505"/>
      <c r="EX27" s="505"/>
      <c r="EY27" s="505"/>
      <c r="EZ27" s="505"/>
      <c r="FA27" s="505"/>
      <c r="FB27" s="505"/>
      <c r="FC27" s="512">
        <f t="shared" si="25"/>
        <v>0</v>
      </c>
      <c r="FE27" s="505"/>
      <c r="FF27" s="505"/>
      <c r="FG27" s="505"/>
      <c r="FH27" s="505"/>
      <c r="FI27" s="505"/>
      <c r="FJ27" s="505"/>
      <c r="FK27" s="505"/>
      <c r="FL27" s="505"/>
      <c r="FM27" s="505"/>
      <c r="FN27" s="505"/>
      <c r="FO27" s="505"/>
      <c r="FP27" s="505"/>
      <c r="FQ27" s="512">
        <f t="shared" si="26"/>
        <v>0</v>
      </c>
      <c r="FS27" s="504">
        <f t="shared" ca="1" si="27"/>
        <v>472888.38</v>
      </c>
    </row>
    <row r="28" spans="1:175">
      <c r="A28" s="216">
        <v>21</v>
      </c>
      <c r="B28" s="219" t="str">
        <f ca="1">INDEX(EAC[PA ID],MATCH($A28,EAC[Row],0))</f>
        <v>300.040.F1</v>
      </c>
      <c r="C28" s="218" t="str">
        <f ca="1">INDEX(EAC[Primary Category],MATCH($A28,EAC[Row],0))</f>
        <v>Construction</v>
      </c>
      <c r="D28" s="218" t="str">
        <f ca="1">INDEX(EAC[Secondary Category],MATCH($A28,EAC[Row],0))</f>
        <v>Other Contractor</v>
      </c>
      <c r="E28" s="109" t="str">
        <f ca="1">INDEX(EAC[Phase / Subproject],MATCH($A28,EAC[Row],0))</f>
        <v>--</v>
      </c>
      <c r="F28" s="109" t="str">
        <f ca="1">INDEX(EAC[Phase / Subproject 2],MATCH($A28,EAC[Row],0))</f>
        <v>--</v>
      </c>
      <c r="G28" s="109" t="str">
        <f ca="1">INDEX(EAC[Funding Source],MATCH($A28,EAC[Row],0))</f>
        <v>P-002360</v>
      </c>
      <c r="H28" s="146" t="str">
        <f ca="1">INDEX(EAC[Vendor / Org. with Contract ID],MATCH($A28,EAC[Row],0))</f>
        <v>Shunda Consulting &amp; Construction Mgt-35131</v>
      </c>
      <c r="I28" s="502">
        <f ca="1">INDEX(EAC[Estimate At Completion],MATCH($A28,EAC[Row],0))</f>
        <v>7000</v>
      </c>
      <c r="J28" s="502">
        <f ca="1">SUMIFS(CostTrack[Value],CostTrack[Vendor - Contract],$H28,CostTrack[PA ID],$B28,CostTrack[Holdback (Y/N/R)],"&lt;&gt;Release",CostTrack[Status],"Approved")</f>
        <v>7000</v>
      </c>
      <c r="K28" s="503">
        <f t="shared" ca="1" si="14"/>
        <v>0</v>
      </c>
      <c r="M28" s="504">
        <f t="shared" ca="1" si="15"/>
        <v>0</v>
      </c>
      <c r="O28" s="504">
        <f t="shared" ca="1" si="11"/>
        <v>7000</v>
      </c>
      <c r="P28" s="504">
        <f t="array" aca="1" ref="P28" ca="1">SUM($U28:$FQ28*_xlfn.ISFORMULA($U28:$FQ28)*ISNUMBER($U$7:$FQ$7)*--(INDEX($U$6:$FQ$6,N(IF({1},COLUMN($U$6:$FQ$6)-COLUMN($T$6)))-MOD(N(IF({1},COLUMN($U$6:$FQ$6)-COLUMN($U$6))),14))="Current Fiscal"))</f>
        <v>0</v>
      </c>
      <c r="Q28" s="504">
        <f t="array" aca="1" ref="Q28" ca="1">SUM($U28:$FQ28*NOT(_xlfn.ISFORMULA($U28:$FQ28))*ISNUMBER($U$7:$FQ$7)*--(INDEX($U$6:$FQ$6,N(IF({1},COLUMN($U$6:$FQ$6)-COLUMN($T$6)))-MOD(N(IF({1},COLUMN($U$6:$FQ$6)-COLUMN($U$6))),14))="Current Fiscal"))</f>
        <v>0</v>
      </c>
      <c r="R28" s="504">
        <f t="shared" ca="1" si="12"/>
        <v>0</v>
      </c>
      <c r="S28" s="504">
        <f t="shared" ca="1" si="13"/>
        <v>0</v>
      </c>
      <c r="U28" s="504">
        <f ca="1">SUMIFS(CostTrack[[Value]:[Value]],CostTrack[[PA ID]:[PA ID]],$B28,CostTrack[[Vendor - Contract]:[Vendor - Contract]],$H28,CostTrack[[Holdback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28" s="504">
        <f ca="1">SUMIFS(CostTrack[[Value]:[Value]],CostTrack[[PA ID]:[PA ID]],$B28,CostTrack[[Vendor - Contract]:[Vendor - Contract]],$H28,CostTrack[[Holdback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28" s="504">
        <f ca="1">SUMIFS(CostTrack[[Value]:[Value]],CostTrack[[PA ID]:[PA ID]],$B28,CostTrack[[Vendor - Contract]:[Vendor - Contract]],$H28,CostTrack[[Holdback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28" s="504">
        <f ca="1">SUMIFS(CostTrack[[Value]:[Value]],CostTrack[[PA ID]:[PA ID]],$B28,CostTrack[[Vendor - Contract]:[Vendor - Contract]],$H28,CostTrack[[Holdback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28" s="504">
        <f ca="1">SUMIFS(CostTrack[[Value]:[Value]],CostTrack[[PA ID]:[PA ID]],$B28,CostTrack[[Vendor - Contract]:[Vendor - Contract]],$H28,CostTrack[[Holdback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28" s="504">
        <f ca="1">SUMIFS(CostTrack[[Value]:[Value]],CostTrack[[PA ID]:[PA ID]],$B28,CostTrack[[Vendor - Contract]:[Vendor - Contract]],$H28,CostTrack[[Holdback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28" s="504">
        <f ca="1">SUMIFS(CostTrack[[Value]:[Value]],CostTrack[[PA ID]:[PA ID]],$B28,CostTrack[[Vendor - Contract]:[Vendor - Contract]],$H28,CostTrack[[Holdback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28" s="504">
        <f ca="1">SUMIFS(CostTrack[[Value]:[Value]],CostTrack[[PA ID]:[PA ID]],$B28,CostTrack[[Vendor - Contract]:[Vendor - Contract]],$H28,CostTrack[[Holdback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28" s="504">
        <f ca="1">SUMIFS(CostTrack[[Value]:[Value]],CostTrack[[PA ID]:[PA ID]],$B28,CostTrack[[Vendor - Contract]:[Vendor - Contract]],$H28,CostTrack[[Holdback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28" s="504">
        <f ca="1">SUMIFS(CostTrack[[Value]:[Value]],CostTrack[[PA ID]:[PA ID]],$B28,CostTrack[[Vendor - Contract]:[Vendor - Contract]],$H28,CostTrack[[Holdback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28" s="504">
        <f ca="1">SUMIFS(CostTrack[[Value]:[Value]],CostTrack[[PA ID]:[PA ID]],$B28,CostTrack[[Vendor - Contract]:[Vendor - Contract]],$H28,CostTrack[[Holdback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28" s="504">
        <f ca="1">SUMIFS(CostTrack[[Value]:[Value]],CostTrack[[PA ID]:[PA ID]],$B28,CostTrack[[Vendor - Contract]:[Vendor - Contract]],$H28,CostTrack[[Holdback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28" s="506">
        <f t="shared" ca="1" si="16"/>
        <v>0</v>
      </c>
      <c r="AI28" s="504">
        <f ca="1">SUMIFS(CostTrack[[Value]:[Value]],CostTrack[[PA ID]:[PA ID]],$B28,CostTrack[[Vendor - Contract]:[Vendor - Contract]],$H28,CostTrack[[Holdback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28" s="504">
        <f ca="1">SUMIFS(CostTrack[[Value]:[Value]],CostTrack[[PA ID]:[PA ID]],$B28,CostTrack[[Vendor - Contract]:[Vendor - Contract]],$H28,CostTrack[[Holdback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28" s="504">
        <f ca="1">SUMIFS(CostTrack[[Value]:[Value]],CostTrack[[PA ID]:[PA ID]],$B28,CostTrack[[Vendor - Contract]:[Vendor - Contract]],$H28,CostTrack[[Holdback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28" s="504">
        <f ca="1">SUMIFS(CostTrack[[Value]:[Value]],CostTrack[[PA ID]:[PA ID]],$B28,CostTrack[[Vendor - Contract]:[Vendor - Contract]],$H28,CostTrack[[Holdback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28" s="504">
        <f ca="1">SUMIFS(CostTrack[[Value]:[Value]],CostTrack[[PA ID]:[PA ID]],$B28,CostTrack[[Vendor - Contract]:[Vendor - Contract]],$H28,CostTrack[[Holdback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28" s="504">
        <f ca="1">SUMIFS(CostTrack[[Value]:[Value]],CostTrack[[PA ID]:[PA ID]],$B28,CostTrack[[Vendor - Contract]:[Vendor - Contract]],$H28,CostTrack[[Holdback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28" s="504">
        <f ca="1">SUMIFS(CostTrack[[Value]:[Value]],CostTrack[[PA ID]:[PA ID]],$B28,CostTrack[[Vendor - Contract]:[Vendor - Contract]],$H28,CostTrack[[Holdback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28" s="504">
        <f ca="1">SUMIFS(CostTrack[[Value]:[Value]],CostTrack[[PA ID]:[PA ID]],$B28,CostTrack[[Vendor - Contract]:[Vendor - Contract]],$H28,CostTrack[[Holdback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28" s="504">
        <f ca="1">SUMIFS(CostTrack[[Value]:[Value]],CostTrack[[PA ID]:[PA ID]],$B28,CostTrack[[Vendor - Contract]:[Vendor - Contract]],$H28,CostTrack[[Holdback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28" s="504">
        <f ca="1">SUMIFS(CostTrack[[Value]:[Value]],CostTrack[[PA ID]:[PA ID]],$B28,CostTrack[[Vendor - Contract]:[Vendor - Contract]],$H28,CostTrack[[Holdback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28" s="504">
        <f ca="1">SUMIFS(CostTrack[[Value]:[Value]],CostTrack[[PA ID]:[PA ID]],$B28,CostTrack[[Vendor - Contract]:[Vendor - Contract]],$H28,CostTrack[[Holdback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28" s="504">
        <f ca="1">SUMIFS(CostTrack[[Value]:[Value]],CostTrack[[PA ID]:[PA ID]],$B28,CostTrack[[Vendor - Contract]:[Vendor - Contract]],$H28,CostTrack[[Holdback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7000</v>
      </c>
      <c r="AU28" s="512">
        <f t="shared" ca="1" si="17"/>
        <v>7000</v>
      </c>
      <c r="AW28" s="504">
        <f ca="1">SUMIFS(CostTrack[[Value]:[Value]],CostTrack[[PA ID]:[PA ID]],$B28,CostTrack[[Vendor - Contract]:[Vendor - Contract]],$H28,CostTrack[[Holdback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28" s="504">
        <f ca="1">SUMIFS(CostTrack[[Value]:[Value]],CostTrack[[PA ID]:[PA ID]],$B28,CostTrack[[Vendor - Contract]:[Vendor - Contract]],$H28,CostTrack[[Holdback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28" s="504">
        <f ca="1">SUMIFS(CostTrack[[Value]:[Value]],CostTrack[[PA ID]:[PA ID]],$B28,CostTrack[[Vendor - Contract]:[Vendor - Contract]],$H28,CostTrack[[Holdback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28" s="504">
        <f ca="1">SUMIFS(CostTrack[[Value]:[Value]],CostTrack[[PA ID]:[PA ID]],$B28,CostTrack[[Vendor - Contract]:[Vendor - Contract]],$H28,CostTrack[[Holdback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28" s="504">
        <f ca="1">SUMIFS(CostTrack[[Value]:[Value]],CostTrack[[PA ID]:[PA ID]],$B28,CostTrack[[Vendor - Contract]:[Vendor - Contract]],$H28,CostTrack[[Holdback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28" s="504">
        <f ca="1">SUMIFS(CostTrack[[Value]:[Value]],CostTrack[[PA ID]:[PA ID]],$B28,CostTrack[[Vendor - Contract]:[Vendor - Contract]],$H28,CostTrack[[Holdback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28" s="504">
        <f ca="1">SUMIFS(CostTrack[[Value]:[Value]],CostTrack[[PA ID]:[PA ID]],$B28,CostTrack[[Vendor - Contract]:[Vendor - Contract]],$H28,CostTrack[[Holdback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28" s="504">
        <f ca="1">SUMIFS(CostTrack[[Value]:[Value]],CostTrack[[PA ID]:[PA ID]],$B28,CostTrack[[Vendor - Contract]:[Vendor - Contract]],$H28,CostTrack[[Holdback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28" s="504">
        <f ca="1">SUMIFS(CostTrack[[Value]:[Value]],CostTrack[[PA ID]:[PA ID]],$B28,CostTrack[[Vendor - Contract]:[Vendor - Contract]],$H28,CostTrack[[Holdback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28" s="504">
        <f ca="1">SUMIFS(CostTrack[[Value]:[Value]],CostTrack[[PA ID]:[PA ID]],$B28,CostTrack[[Vendor - Contract]:[Vendor - Contract]],$H28,CostTrack[[Holdback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28" s="504">
        <f ca="1">SUMIFS(CostTrack[[Value]:[Value]],CostTrack[[PA ID]:[PA ID]],$B28,CostTrack[[Vendor - Contract]:[Vendor - Contract]],$H28,CostTrack[[Holdback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28" s="504">
        <f ca="1">SUMIFS(CostTrack[[Value]:[Value]],CostTrack[[PA ID]:[PA ID]],$B28,CostTrack[[Vendor - Contract]:[Vendor - Contract]],$H28,CostTrack[[Holdback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28" s="512">
        <f t="shared" ca="1" si="18"/>
        <v>0</v>
      </c>
      <c r="BK28" s="504">
        <f ca="1">SUMIFS(CostTrack[[Value]:[Value]],CostTrack[[PA ID]:[PA ID]],$B28,CostTrack[[Vendor - Contract]:[Vendor - Contract]],$H28,CostTrack[[Holdback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28" s="504">
        <f ca="1">SUMIFS(CostTrack[[Value]:[Value]],CostTrack[[PA ID]:[PA ID]],$B28,CostTrack[[Vendor - Contract]:[Vendor - Contract]],$H28,CostTrack[[Holdback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28" s="504">
        <f ca="1">SUMIFS(CostTrack[[Value]:[Value]],CostTrack[[PA ID]:[PA ID]],$B28,CostTrack[[Vendor - Contract]:[Vendor - Contract]],$H28,CostTrack[[Holdback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28" s="504">
        <f ca="1">SUMIFS(CostTrack[[Value]:[Value]],CostTrack[[PA ID]:[PA ID]],$B28,CostTrack[[Vendor - Contract]:[Vendor - Contract]],$H28,CostTrack[[Holdback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28" s="504">
        <f ca="1">SUMIFS(CostTrack[[Value]:[Value]],CostTrack[[PA ID]:[PA ID]],$B28,CostTrack[[Vendor - Contract]:[Vendor - Contract]],$H28,CostTrack[[Holdback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28" s="504">
        <f ca="1">SUMIFS(CostTrack[[Value]:[Value]],CostTrack[[PA ID]:[PA ID]],$B28,CostTrack[[Vendor - Contract]:[Vendor - Contract]],$H28,CostTrack[[Holdback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28" s="504">
        <f ca="1">SUMIFS(CostTrack[[Value]:[Value]],CostTrack[[PA ID]:[PA ID]],$B28,CostTrack[[Vendor - Contract]:[Vendor - Contract]],$H28,CostTrack[[Holdback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28" s="504">
        <f ca="1">SUMIFS(CostTrack[[Value]:[Value]],CostTrack[[PA ID]:[PA ID]],$B28,CostTrack[[Vendor - Contract]:[Vendor - Contract]],$H28,CostTrack[[Holdback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28" s="504">
        <f ca="1">SUMIFS(CostTrack[[Value]:[Value]],CostTrack[[PA ID]:[PA ID]],$B28,CostTrack[[Vendor - Contract]:[Vendor - Contract]],$H28,CostTrack[[Holdback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28" s="504">
        <f ca="1">SUMIFS(CostTrack[[Value]:[Value]],CostTrack[[PA ID]:[PA ID]],$B28,CostTrack[[Vendor - Contract]:[Vendor - Contract]],$H28,CostTrack[[Holdback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28" s="504">
        <f ca="1">SUMIFS(CostTrack[[Value]:[Value]],CostTrack[[PA ID]:[PA ID]],$B28,CostTrack[[Vendor - Contract]:[Vendor - Contract]],$H28,CostTrack[[Holdback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28" s="504">
        <f ca="1">SUMIFS(CostTrack[[Value]:[Value]],CostTrack[[PA ID]:[PA ID]],$B28,CostTrack[[Vendor - Contract]:[Vendor - Contract]],$H28,CostTrack[[Holdback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28" s="512">
        <f t="shared" ca="1" si="19"/>
        <v>0</v>
      </c>
      <c r="BY28" s="504">
        <f ca="1">SUMIFS(CostTrack[[Value]:[Value]],CostTrack[[PA ID]:[PA ID]],$B28,CostTrack[[Vendor - Contract]:[Vendor - Contract]],$H28,CostTrack[[Holdback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28" s="504">
        <f ca="1">SUMIFS(CostTrack[[Value]:[Value]],CostTrack[[PA ID]:[PA ID]],$B28,CostTrack[[Vendor - Contract]:[Vendor - Contract]],$H28,CostTrack[[Holdback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28" s="504">
        <f ca="1">SUMIFS(CostTrack[[Value]:[Value]],CostTrack[[PA ID]:[PA ID]],$B28,CostTrack[[Vendor - Contract]:[Vendor - Contract]],$H28,CostTrack[[Holdback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28" s="504">
        <f ca="1">SUMIFS(CostTrack[[Value]:[Value]],CostTrack[[PA ID]:[PA ID]],$B28,CostTrack[[Vendor - Contract]:[Vendor - Contract]],$H28,CostTrack[[Holdback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28" s="504">
        <f ca="1">SUMIFS(CostTrack[[Value]:[Value]],CostTrack[[PA ID]:[PA ID]],$B28,CostTrack[[Vendor - Contract]:[Vendor - Contract]],$H28,CostTrack[[Holdback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28" s="504">
        <f ca="1">SUMIFS(CostTrack[[Value]:[Value]],CostTrack[[PA ID]:[PA ID]],$B28,CostTrack[[Vendor - Contract]:[Vendor - Contract]],$H28,CostTrack[[Holdback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28" s="504">
        <f ca="1">SUMIFS(CostTrack[[Value]:[Value]],CostTrack[[PA ID]:[PA ID]],$B28,CostTrack[[Vendor - Contract]:[Vendor - Contract]],$H28,CostTrack[[Holdback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28" s="504">
        <f ca="1">SUMIFS(CostTrack[[Value]:[Value]],CostTrack[[PA ID]:[PA ID]],$B28,CostTrack[[Vendor - Contract]:[Vendor - Contract]],$H28,CostTrack[[Holdback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28" s="504">
        <f ca="1">SUMIFS(CostTrack[[Value]:[Value]],CostTrack[[PA ID]:[PA ID]],$B28,CostTrack[[Vendor - Contract]:[Vendor - Contract]],$H28,CostTrack[[Holdback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28" s="504">
        <f ca="1">SUMIFS(CostTrack[[Value]:[Value]],CostTrack[[PA ID]:[PA ID]],$B28,CostTrack[[Vendor - Contract]:[Vendor - Contract]],$H28,CostTrack[[Holdback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28" s="504">
        <f ca="1">SUMIFS(CostTrack[[Value]:[Value]],CostTrack[[PA ID]:[PA ID]],$B28,CostTrack[[Vendor - Contract]:[Vendor - Contract]],$H28,CostTrack[[Holdback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28" s="504">
        <f ca="1">SUMIFS(CostTrack[[Value]:[Value]],CostTrack[[PA ID]:[PA ID]],$B28,CostTrack[[Vendor - Contract]:[Vendor - Contract]],$H28,CostTrack[[Holdback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28" s="512">
        <f t="shared" ca="1" si="20"/>
        <v>0</v>
      </c>
      <c r="CM28" s="504">
        <f ca="1">SUMIFS(CostTrack[[Value]:[Value]],CostTrack[[PA ID]:[PA ID]],$B28,CostTrack[[Vendor - Contract]:[Vendor - Contract]],$H28,CostTrack[[Holdback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28" s="504">
        <f ca="1">SUMIFS(CostTrack[[Value]:[Value]],CostTrack[[PA ID]:[PA ID]],$B28,CostTrack[[Vendor - Contract]:[Vendor - Contract]],$H28,CostTrack[[Holdback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28" s="504">
        <f ca="1">SUMIFS(CostTrack[[Value]:[Value]],CostTrack[[PA ID]:[PA ID]],$B28,CostTrack[[Vendor - Contract]:[Vendor - Contract]],$H28,CostTrack[[Holdback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28" s="504">
        <f ca="1">SUMIFS(CostTrack[[Value]:[Value]],CostTrack[[PA ID]:[PA ID]],$B28,CostTrack[[Vendor - Contract]:[Vendor - Contract]],$H28,CostTrack[[Holdback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28" s="504">
        <f ca="1">SUMIFS(CostTrack[[Value]:[Value]],CostTrack[[PA ID]:[PA ID]],$B28,CostTrack[[Vendor - Contract]:[Vendor - Contract]],$H28,CostTrack[[Holdback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28" s="504">
        <f ca="1">SUMIFS(CostTrack[[Value]:[Value]],CostTrack[[PA ID]:[PA ID]],$B28,CostTrack[[Vendor - Contract]:[Vendor - Contract]],$H28,CostTrack[[Holdback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28" s="504">
        <f ca="1">SUMIFS(CostTrack[[Value]:[Value]],CostTrack[[PA ID]:[PA ID]],$B28,CostTrack[[Vendor - Contract]:[Vendor - Contract]],$H28,CostTrack[[Holdback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28" s="504">
        <f ca="1">SUMIFS(CostTrack[[Value]:[Value]],CostTrack[[PA ID]:[PA ID]],$B28,CostTrack[[Vendor - Contract]:[Vendor - Contract]],$H28,CostTrack[[Holdback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28" s="504">
        <f ca="1">SUMIFS(CostTrack[[Value]:[Value]],CostTrack[[PA ID]:[PA ID]],$B28,CostTrack[[Vendor - Contract]:[Vendor - Contract]],$H28,CostTrack[[Holdback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28" s="504">
        <f ca="1">SUMIFS(CostTrack[[Value]:[Value]],CostTrack[[PA ID]:[PA ID]],$B28,CostTrack[[Vendor - Contract]:[Vendor - Contract]],$H28,CostTrack[[Holdback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28" s="504">
        <f ca="1">SUMIFS(CostTrack[[Value]:[Value]],CostTrack[[PA ID]:[PA ID]],$B28,CostTrack[[Vendor - Contract]:[Vendor - Contract]],$H28,CostTrack[[Holdback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28" s="504">
        <f ca="1">SUMIFS(CostTrack[[Value]:[Value]],CostTrack[[PA ID]:[PA ID]],$B28,CostTrack[[Vendor - Contract]:[Vendor - Contract]],$H28,CostTrack[[Holdback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28" s="512">
        <f t="shared" ca="1" si="21"/>
        <v>0</v>
      </c>
      <c r="DA28" s="504">
        <f ca="1">SUMIFS(CostTrack[[Value]:[Value]],CostTrack[[PA ID]:[PA ID]],$B28,CostTrack[[Vendor - Contract]:[Vendor - Contract]],$H28,CostTrack[[Holdback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28" s="504">
        <f ca="1">SUMIFS(CostTrack[[Value]:[Value]],CostTrack[[PA ID]:[PA ID]],$B28,CostTrack[[Vendor - Contract]:[Vendor - Contract]],$H28,CostTrack[[Holdback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28" s="504">
        <f ca="1">SUMIFS(CostTrack[[Value]:[Value]],CostTrack[[PA ID]:[PA ID]],$B28,CostTrack[[Vendor - Contract]:[Vendor - Contract]],$H28,CostTrack[[Holdback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28" s="504">
        <f ca="1">SUMIFS(CostTrack[[Value]:[Value]],CostTrack[[PA ID]:[PA ID]],$B28,CostTrack[[Vendor - Contract]:[Vendor - Contract]],$H28,CostTrack[[Holdback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28" s="504">
        <f ca="1">SUMIFS(CostTrack[[Value]:[Value]],CostTrack[[PA ID]:[PA ID]],$B28,CostTrack[[Vendor - Contract]:[Vendor - Contract]],$H28,CostTrack[[Holdback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28" s="504">
        <f ca="1">SUMIFS(CostTrack[[Value]:[Value]],CostTrack[[PA ID]:[PA ID]],$B28,CostTrack[[Vendor - Contract]:[Vendor - Contract]],$H28,CostTrack[[Holdback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28" s="504">
        <f ca="1">SUMIFS(CostTrack[[Value]:[Value]],CostTrack[[PA ID]:[PA ID]],$B28,CostTrack[[Vendor - Contract]:[Vendor - Contract]],$H28,CostTrack[[Holdback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28" s="504">
        <f ca="1">SUMIFS(CostTrack[[Value]:[Value]],CostTrack[[PA ID]:[PA ID]],$B28,CostTrack[[Vendor - Contract]:[Vendor - Contract]],$H28,CostTrack[[Holdback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28" s="504">
        <f ca="1">SUMIFS(CostTrack[[Value]:[Value]],CostTrack[[PA ID]:[PA ID]],$B28,CostTrack[[Vendor - Contract]:[Vendor - Contract]],$H28,CostTrack[[Holdback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28" s="504">
        <f ca="1">SUMIFS(CostTrack[[Value]:[Value]],CostTrack[[PA ID]:[PA ID]],$B28,CostTrack[[Vendor - Contract]:[Vendor - Contract]],$H28,CostTrack[[Holdback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28" s="504">
        <f ca="1">SUMIFS(CostTrack[[Value]:[Value]],CostTrack[[PA ID]:[PA ID]],$B28,CostTrack[[Vendor - Contract]:[Vendor - Contract]],$H28,CostTrack[[Holdback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28" s="504">
        <f ca="1">SUMIFS(CostTrack[[Value]:[Value]],CostTrack[[PA ID]:[PA ID]],$B28,CostTrack[[Vendor - Contract]:[Vendor - Contract]],$H28,CostTrack[[Holdback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28" s="512">
        <f t="shared" ca="1" si="22"/>
        <v>0</v>
      </c>
      <c r="DO28" s="504">
        <f ca="1">SUMIFS(CostTrack[[Value]:[Value]],CostTrack[[PA ID]:[PA ID]],$B28,CostTrack[[Vendor - Contract]:[Vendor - Contract]],$H28,CostTrack[[Holdback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28" s="504">
        <f ca="1">SUMIFS(CostTrack[[Value]:[Value]],CostTrack[[PA ID]:[PA ID]],$B28,CostTrack[[Vendor - Contract]:[Vendor - Contract]],$H28,CostTrack[[Holdback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28" s="504">
        <f ca="1">SUMIFS(CostTrack[[Value]:[Value]],CostTrack[[PA ID]:[PA ID]],$B28,CostTrack[[Vendor - Contract]:[Vendor - Contract]],$H28,CostTrack[[Holdback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28" s="504">
        <f ca="1">SUMIFS(CostTrack[[Value]:[Value]],CostTrack[[PA ID]:[PA ID]],$B28,CostTrack[[Vendor - Contract]:[Vendor - Contract]],$H28,CostTrack[[Holdback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28" s="504">
        <f ca="1">SUMIFS(CostTrack[[Value]:[Value]],CostTrack[[PA ID]:[PA ID]],$B28,CostTrack[[Vendor - Contract]:[Vendor - Contract]],$H28,CostTrack[[Holdback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28" s="504">
        <f ca="1">SUMIFS(CostTrack[[Value]:[Value]],CostTrack[[PA ID]:[PA ID]],$B28,CostTrack[[Vendor - Contract]:[Vendor - Contract]],$H28,CostTrack[[Holdback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28" s="504">
        <f ca="1">SUMIFS(CostTrack[[Value]:[Value]],CostTrack[[PA ID]:[PA ID]],$B28,CostTrack[[Vendor - Contract]:[Vendor - Contract]],$H28,CostTrack[[Holdback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28" s="504">
        <f ca="1">SUMIFS(CostTrack[[Value]:[Value]],CostTrack[[PA ID]:[PA ID]],$B28,CostTrack[[Vendor - Contract]:[Vendor - Contract]],$H28,CostTrack[[Holdback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28" s="504">
        <f ca="1">SUMIFS(CostTrack[[Value]:[Value]],CostTrack[[PA ID]:[PA ID]],$B28,CostTrack[[Vendor - Contract]:[Vendor - Contract]],$H28,CostTrack[[Holdback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28" s="504">
        <f ca="1">SUMIFS(CostTrack[[Value]:[Value]],CostTrack[[PA ID]:[PA ID]],$B28,CostTrack[[Vendor - Contract]:[Vendor - Contract]],$H28,CostTrack[[Holdback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28" s="504">
        <f ca="1">SUMIFS(CostTrack[[Value]:[Value]],CostTrack[[PA ID]:[PA ID]],$B28,CostTrack[[Vendor - Contract]:[Vendor - Contract]],$H28,CostTrack[[Holdback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28" s="504">
        <f ca="1">SUMIFS(CostTrack[[Value]:[Value]],CostTrack[[PA ID]:[PA ID]],$B28,CostTrack[[Vendor - Contract]:[Vendor - Contract]],$H28,CostTrack[[Holdback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28" s="512">
        <f t="shared" ca="1" si="23"/>
        <v>0</v>
      </c>
      <c r="EC28" s="504">
        <f ca="1">SUMIFS(CostTrack[[Value]:[Value]],CostTrack[[PA ID]:[PA ID]],$B28,CostTrack[[Vendor - Contract]:[Vendor - Contract]],$H28,CostTrack[[Holdback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28" s="505"/>
      <c r="EE28" s="505"/>
      <c r="EF28" s="505"/>
      <c r="EG28" s="505"/>
      <c r="EH28" s="505"/>
      <c r="EI28" s="505"/>
      <c r="EJ28" s="505"/>
      <c r="EK28" s="505"/>
      <c r="EL28" s="505"/>
      <c r="EM28" s="505"/>
      <c r="EN28" s="505"/>
      <c r="EO28" s="512">
        <f t="shared" ca="1" si="24"/>
        <v>0</v>
      </c>
      <c r="EQ28" s="505"/>
      <c r="ER28" s="505"/>
      <c r="ES28" s="505"/>
      <c r="ET28" s="505"/>
      <c r="EU28" s="505"/>
      <c r="EV28" s="505"/>
      <c r="EW28" s="505"/>
      <c r="EX28" s="505"/>
      <c r="EY28" s="505"/>
      <c r="EZ28" s="505"/>
      <c r="FA28" s="505"/>
      <c r="FB28" s="505"/>
      <c r="FC28" s="512">
        <f t="shared" si="25"/>
        <v>0</v>
      </c>
      <c r="FE28" s="505"/>
      <c r="FF28" s="505"/>
      <c r="FG28" s="505"/>
      <c r="FH28" s="505"/>
      <c r="FI28" s="505"/>
      <c r="FJ28" s="505"/>
      <c r="FK28" s="505"/>
      <c r="FL28" s="505"/>
      <c r="FM28" s="505"/>
      <c r="FN28" s="505"/>
      <c r="FO28" s="505"/>
      <c r="FP28" s="505"/>
      <c r="FQ28" s="512">
        <f t="shared" si="26"/>
        <v>0</v>
      </c>
      <c r="FS28" s="504">
        <f t="shared" ca="1" si="27"/>
        <v>7000</v>
      </c>
    </row>
    <row r="29" spans="1:175">
      <c r="A29" s="216">
        <v>22</v>
      </c>
      <c r="B29" s="219" t="str">
        <f ca="1">INDEX(EAC[PA ID],MATCH($A29,EAC[Row],0))</f>
        <v>300.060.F1</v>
      </c>
      <c r="C29" s="218" t="str">
        <f ca="1">INDEX(EAC[Primary Category],MATCH($A29,EAC[Row],0))</f>
        <v>Construction</v>
      </c>
      <c r="D29" s="218" t="str">
        <f ca="1">INDEX(EAC[Secondary Category],MATCH($A29,EAC[Row],0))</f>
        <v>Contingency - Const. Phase</v>
      </c>
      <c r="E29" s="109" t="str">
        <f ca="1">INDEX(EAC[Phase / Subproject],MATCH($A29,EAC[Row],0))</f>
        <v>--</v>
      </c>
      <c r="F29" s="109" t="str">
        <f ca="1">INDEX(EAC[Phase / Subproject 2],MATCH($A29,EAC[Row],0))</f>
        <v>--</v>
      </c>
      <c r="G29" s="109" t="str">
        <f ca="1">INDEX(EAC[Funding Source],MATCH($A29,EAC[Row],0))</f>
        <v>P-002360</v>
      </c>
      <c r="H29" s="146" t="str">
        <f ca="1">INDEX(EAC[Vendor / Org. with Contract ID],MATCH($A29,EAC[Row],0))</f>
        <v>Future / Not Awarded</v>
      </c>
      <c r="I29" s="502">
        <f ca="1">INDEX(EAC[Estimate At Completion],MATCH($A29,EAC[Row],0))</f>
        <v>0</v>
      </c>
      <c r="J29" s="502">
        <f ca="1">SUMIFS(CostTrack[Value],CostTrack[Vendor - Contract],$H29,CostTrack[PA ID],$B29,CostTrack[Holdback (Y/N/R)],"&lt;&gt;Release",CostTrack[Status],"Approved")</f>
        <v>0</v>
      </c>
      <c r="K29" s="503">
        <f t="shared" ca="1" si="14"/>
        <v>0</v>
      </c>
      <c r="M29" s="504">
        <f t="shared" ca="1" si="15"/>
        <v>0</v>
      </c>
      <c r="O29" s="504">
        <f t="shared" ca="1" si="11"/>
        <v>0</v>
      </c>
      <c r="P29" s="504">
        <f t="array" aca="1" ref="P29" ca="1">SUM($U29:$FQ29*_xlfn.ISFORMULA($U29:$FQ29)*ISNUMBER($U$7:$FQ$7)*--(INDEX($U$6:$FQ$6,N(IF({1},COLUMN($U$6:$FQ$6)-COLUMN($T$6)))-MOD(N(IF({1},COLUMN($U$6:$FQ$6)-COLUMN($U$6))),14))="Current Fiscal"))</f>
        <v>0</v>
      </c>
      <c r="Q29" s="504">
        <f t="array" aca="1" ref="Q29" ca="1">SUM($U29:$FQ29*NOT(_xlfn.ISFORMULA($U29:$FQ29))*ISNUMBER($U$7:$FQ$7)*--(INDEX($U$6:$FQ$6,N(IF({1},COLUMN($U$6:$FQ$6)-COLUMN($T$6)))-MOD(N(IF({1},COLUMN($U$6:$FQ$6)-COLUMN($U$6))),14))="Current Fiscal"))</f>
        <v>0</v>
      </c>
      <c r="R29" s="504">
        <f t="shared" ca="1" si="12"/>
        <v>0</v>
      </c>
      <c r="S29" s="504">
        <f t="shared" ca="1" si="13"/>
        <v>0</v>
      </c>
      <c r="U29" s="504">
        <f ca="1">SUMIFS(CostTrack[[Value]:[Value]],CostTrack[[PA ID]:[PA ID]],$B29,CostTrack[[Vendor - Contract]:[Vendor - Contract]],$H29,CostTrack[[Holdback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29" s="504">
        <f ca="1">SUMIFS(CostTrack[[Value]:[Value]],CostTrack[[PA ID]:[PA ID]],$B29,CostTrack[[Vendor - Contract]:[Vendor - Contract]],$H29,CostTrack[[Holdback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29" s="504">
        <f ca="1">SUMIFS(CostTrack[[Value]:[Value]],CostTrack[[PA ID]:[PA ID]],$B29,CostTrack[[Vendor - Contract]:[Vendor - Contract]],$H29,CostTrack[[Holdback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29" s="504">
        <f ca="1">SUMIFS(CostTrack[[Value]:[Value]],CostTrack[[PA ID]:[PA ID]],$B29,CostTrack[[Vendor - Contract]:[Vendor - Contract]],$H29,CostTrack[[Holdback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29" s="504">
        <f ca="1">SUMIFS(CostTrack[[Value]:[Value]],CostTrack[[PA ID]:[PA ID]],$B29,CostTrack[[Vendor - Contract]:[Vendor - Contract]],$H29,CostTrack[[Holdback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29" s="504">
        <f ca="1">SUMIFS(CostTrack[[Value]:[Value]],CostTrack[[PA ID]:[PA ID]],$B29,CostTrack[[Vendor - Contract]:[Vendor - Contract]],$H29,CostTrack[[Holdback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29" s="504">
        <f ca="1">SUMIFS(CostTrack[[Value]:[Value]],CostTrack[[PA ID]:[PA ID]],$B29,CostTrack[[Vendor - Contract]:[Vendor - Contract]],$H29,CostTrack[[Holdback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29" s="504">
        <f ca="1">SUMIFS(CostTrack[[Value]:[Value]],CostTrack[[PA ID]:[PA ID]],$B29,CostTrack[[Vendor - Contract]:[Vendor - Contract]],$H29,CostTrack[[Holdback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29" s="504">
        <f ca="1">SUMIFS(CostTrack[[Value]:[Value]],CostTrack[[PA ID]:[PA ID]],$B29,CostTrack[[Vendor - Contract]:[Vendor - Contract]],$H29,CostTrack[[Holdback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29" s="504">
        <f ca="1">SUMIFS(CostTrack[[Value]:[Value]],CostTrack[[PA ID]:[PA ID]],$B29,CostTrack[[Vendor - Contract]:[Vendor - Contract]],$H29,CostTrack[[Holdback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29" s="504">
        <f ca="1">SUMIFS(CostTrack[[Value]:[Value]],CostTrack[[PA ID]:[PA ID]],$B29,CostTrack[[Vendor - Contract]:[Vendor - Contract]],$H29,CostTrack[[Holdback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29" s="504">
        <f ca="1">SUMIFS(CostTrack[[Value]:[Value]],CostTrack[[PA ID]:[PA ID]],$B29,CostTrack[[Vendor - Contract]:[Vendor - Contract]],$H29,CostTrack[[Holdback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29" s="506">
        <f t="shared" ca="1" si="16"/>
        <v>0</v>
      </c>
      <c r="AI29" s="504">
        <f ca="1">SUMIFS(CostTrack[[Value]:[Value]],CostTrack[[PA ID]:[PA ID]],$B29,CostTrack[[Vendor - Contract]:[Vendor - Contract]],$H29,CostTrack[[Holdback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29" s="504">
        <f ca="1">SUMIFS(CostTrack[[Value]:[Value]],CostTrack[[PA ID]:[PA ID]],$B29,CostTrack[[Vendor - Contract]:[Vendor - Contract]],$H29,CostTrack[[Holdback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29" s="504">
        <f ca="1">SUMIFS(CostTrack[[Value]:[Value]],CostTrack[[PA ID]:[PA ID]],$B29,CostTrack[[Vendor - Contract]:[Vendor - Contract]],$H29,CostTrack[[Holdback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29" s="504">
        <f ca="1">SUMIFS(CostTrack[[Value]:[Value]],CostTrack[[PA ID]:[PA ID]],$B29,CostTrack[[Vendor - Contract]:[Vendor - Contract]],$H29,CostTrack[[Holdback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29" s="504">
        <f ca="1">SUMIFS(CostTrack[[Value]:[Value]],CostTrack[[PA ID]:[PA ID]],$B29,CostTrack[[Vendor - Contract]:[Vendor - Contract]],$H29,CostTrack[[Holdback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29" s="504">
        <f ca="1">SUMIFS(CostTrack[[Value]:[Value]],CostTrack[[PA ID]:[PA ID]],$B29,CostTrack[[Vendor - Contract]:[Vendor - Contract]],$H29,CostTrack[[Holdback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29" s="504">
        <f ca="1">SUMIFS(CostTrack[[Value]:[Value]],CostTrack[[PA ID]:[PA ID]],$B29,CostTrack[[Vendor - Contract]:[Vendor - Contract]],$H29,CostTrack[[Holdback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29" s="504">
        <f ca="1">SUMIFS(CostTrack[[Value]:[Value]],CostTrack[[PA ID]:[PA ID]],$B29,CostTrack[[Vendor - Contract]:[Vendor - Contract]],$H29,CostTrack[[Holdback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29" s="504">
        <f ca="1">SUMIFS(CostTrack[[Value]:[Value]],CostTrack[[PA ID]:[PA ID]],$B29,CostTrack[[Vendor - Contract]:[Vendor - Contract]],$H29,CostTrack[[Holdback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29" s="504">
        <f ca="1">SUMIFS(CostTrack[[Value]:[Value]],CostTrack[[PA ID]:[PA ID]],$B29,CostTrack[[Vendor - Contract]:[Vendor - Contract]],$H29,CostTrack[[Holdback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29" s="504">
        <f ca="1">SUMIFS(CostTrack[[Value]:[Value]],CostTrack[[PA ID]:[PA ID]],$B29,CostTrack[[Vendor - Contract]:[Vendor - Contract]],$H29,CostTrack[[Holdback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29" s="504">
        <f ca="1">SUMIFS(CostTrack[[Value]:[Value]],CostTrack[[PA ID]:[PA ID]],$B29,CostTrack[[Vendor - Contract]:[Vendor - Contract]],$H29,CostTrack[[Holdback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29" s="512">
        <f t="shared" ca="1" si="17"/>
        <v>0</v>
      </c>
      <c r="AW29" s="504">
        <f ca="1">SUMIFS(CostTrack[[Value]:[Value]],CostTrack[[PA ID]:[PA ID]],$B29,CostTrack[[Vendor - Contract]:[Vendor - Contract]],$H29,CostTrack[[Holdback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29" s="504">
        <f ca="1">SUMIFS(CostTrack[[Value]:[Value]],CostTrack[[PA ID]:[PA ID]],$B29,CostTrack[[Vendor - Contract]:[Vendor - Contract]],$H29,CostTrack[[Holdback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29" s="504">
        <f ca="1">SUMIFS(CostTrack[[Value]:[Value]],CostTrack[[PA ID]:[PA ID]],$B29,CostTrack[[Vendor - Contract]:[Vendor - Contract]],$H29,CostTrack[[Holdback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29" s="504">
        <f ca="1">SUMIFS(CostTrack[[Value]:[Value]],CostTrack[[PA ID]:[PA ID]],$B29,CostTrack[[Vendor - Contract]:[Vendor - Contract]],$H29,CostTrack[[Holdback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29" s="504">
        <f ca="1">SUMIFS(CostTrack[[Value]:[Value]],CostTrack[[PA ID]:[PA ID]],$B29,CostTrack[[Vendor - Contract]:[Vendor - Contract]],$H29,CostTrack[[Holdback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29" s="504">
        <f ca="1">SUMIFS(CostTrack[[Value]:[Value]],CostTrack[[PA ID]:[PA ID]],$B29,CostTrack[[Vendor - Contract]:[Vendor - Contract]],$H29,CostTrack[[Holdback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29" s="504">
        <f ca="1">SUMIFS(CostTrack[[Value]:[Value]],CostTrack[[PA ID]:[PA ID]],$B29,CostTrack[[Vendor - Contract]:[Vendor - Contract]],$H29,CostTrack[[Holdback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29" s="504">
        <f ca="1">SUMIFS(CostTrack[[Value]:[Value]],CostTrack[[PA ID]:[PA ID]],$B29,CostTrack[[Vendor - Contract]:[Vendor - Contract]],$H29,CostTrack[[Holdback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29" s="504">
        <f ca="1">SUMIFS(CostTrack[[Value]:[Value]],CostTrack[[PA ID]:[PA ID]],$B29,CostTrack[[Vendor - Contract]:[Vendor - Contract]],$H29,CostTrack[[Holdback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29" s="504">
        <f ca="1">SUMIFS(CostTrack[[Value]:[Value]],CostTrack[[PA ID]:[PA ID]],$B29,CostTrack[[Vendor - Contract]:[Vendor - Contract]],$H29,CostTrack[[Holdback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29" s="504">
        <f ca="1">SUMIFS(CostTrack[[Value]:[Value]],CostTrack[[PA ID]:[PA ID]],$B29,CostTrack[[Vendor - Contract]:[Vendor - Contract]],$H29,CostTrack[[Holdback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29" s="504">
        <f ca="1">SUMIFS(CostTrack[[Value]:[Value]],CostTrack[[PA ID]:[PA ID]],$B29,CostTrack[[Vendor - Contract]:[Vendor - Contract]],$H29,CostTrack[[Holdback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29" s="512">
        <f t="shared" ca="1" si="18"/>
        <v>0</v>
      </c>
      <c r="BK29" s="504">
        <f ca="1">SUMIFS(CostTrack[[Value]:[Value]],CostTrack[[PA ID]:[PA ID]],$B29,CostTrack[[Vendor - Contract]:[Vendor - Contract]],$H29,CostTrack[[Holdback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29" s="504">
        <f ca="1">SUMIFS(CostTrack[[Value]:[Value]],CostTrack[[PA ID]:[PA ID]],$B29,CostTrack[[Vendor - Contract]:[Vendor - Contract]],$H29,CostTrack[[Holdback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29" s="504">
        <f ca="1">SUMIFS(CostTrack[[Value]:[Value]],CostTrack[[PA ID]:[PA ID]],$B29,CostTrack[[Vendor - Contract]:[Vendor - Contract]],$H29,CostTrack[[Holdback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29" s="504">
        <f ca="1">SUMIFS(CostTrack[[Value]:[Value]],CostTrack[[PA ID]:[PA ID]],$B29,CostTrack[[Vendor - Contract]:[Vendor - Contract]],$H29,CostTrack[[Holdback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29" s="504">
        <f ca="1">SUMIFS(CostTrack[[Value]:[Value]],CostTrack[[PA ID]:[PA ID]],$B29,CostTrack[[Vendor - Contract]:[Vendor - Contract]],$H29,CostTrack[[Holdback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29" s="504">
        <f ca="1">SUMIFS(CostTrack[[Value]:[Value]],CostTrack[[PA ID]:[PA ID]],$B29,CostTrack[[Vendor - Contract]:[Vendor - Contract]],$H29,CostTrack[[Holdback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29" s="504">
        <f ca="1">SUMIFS(CostTrack[[Value]:[Value]],CostTrack[[PA ID]:[PA ID]],$B29,CostTrack[[Vendor - Contract]:[Vendor - Contract]],$H29,CostTrack[[Holdback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29" s="504">
        <f ca="1">SUMIFS(CostTrack[[Value]:[Value]],CostTrack[[PA ID]:[PA ID]],$B29,CostTrack[[Vendor - Contract]:[Vendor - Contract]],$H29,CostTrack[[Holdback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29" s="504">
        <f ca="1">SUMIFS(CostTrack[[Value]:[Value]],CostTrack[[PA ID]:[PA ID]],$B29,CostTrack[[Vendor - Contract]:[Vendor - Contract]],$H29,CostTrack[[Holdback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29" s="504">
        <f ca="1">SUMIFS(CostTrack[[Value]:[Value]],CostTrack[[PA ID]:[PA ID]],$B29,CostTrack[[Vendor - Contract]:[Vendor - Contract]],$H29,CostTrack[[Holdback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29" s="504">
        <f ca="1">SUMIFS(CostTrack[[Value]:[Value]],CostTrack[[PA ID]:[PA ID]],$B29,CostTrack[[Vendor - Contract]:[Vendor - Contract]],$H29,CostTrack[[Holdback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29" s="504">
        <f ca="1">SUMIFS(CostTrack[[Value]:[Value]],CostTrack[[PA ID]:[PA ID]],$B29,CostTrack[[Vendor - Contract]:[Vendor - Contract]],$H29,CostTrack[[Holdback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29" s="512">
        <f t="shared" ca="1" si="19"/>
        <v>0</v>
      </c>
      <c r="BY29" s="504">
        <f ca="1">SUMIFS(CostTrack[[Value]:[Value]],CostTrack[[PA ID]:[PA ID]],$B29,CostTrack[[Vendor - Contract]:[Vendor - Contract]],$H29,CostTrack[[Holdback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29" s="504">
        <f ca="1">SUMIFS(CostTrack[[Value]:[Value]],CostTrack[[PA ID]:[PA ID]],$B29,CostTrack[[Vendor - Contract]:[Vendor - Contract]],$H29,CostTrack[[Holdback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29" s="504">
        <f ca="1">SUMIFS(CostTrack[[Value]:[Value]],CostTrack[[PA ID]:[PA ID]],$B29,CostTrack[[Vendor - Contract]:[Vendor - Contract]],$H29,CostTrack[[Holdback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29" s="504">
        <f ca="1">SUMIFS(CostTrack[[Value]:[Value]],CostTrack[[PA ID]:[PA ID]],$B29,CostTrack[[Vendor - Contract]:[Vendor - Contract]],$H29,CostTrack[[Holdback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29" s="504">
        <f ca="1">SUMIFS(CostTrack[[Value]:[Value]],CostTrack[[PA ID]:[PA ID]],$B29,CostTrack[[Vendor - Contract]:[Vendor - Contract]],$H29,CostTrack[[Holdback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29" s="504">
        <f ca="1">SUMIFS(CostTrack[[Value]:[Value]],CostTrack[[PA ID]:[PA ID]],$B29,CostTrack[[Vendor - Contract]:[Vendor - Contract]],$H29,CostTrack[[Holdback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29" s="504">
        <f ca="1">SUMIFS(CostTrack[[Value]:[Value]],CostTrack[[PA ID]:[PA ID]],$B29,CostTrack[[Vendor - Contract]:[Vendor - Contract]],$H29,CostTrack[[Holdback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29" s="504">
        <f ca="1">SUMIFS(CostTrack[[Value]:[Value]],CostTrack[[PA ID]:[PA ID]],$B29,CostTrack[[Vendor - Contract]:[Vendor - Contract]],$H29,CostTrack[[Holdback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29" s="504">
        <f ca="1">SUMIFS(CostTrack[[Value]:[Value]],CostTrack[[PA ID]:[PA ID]],$B29,CostTrack[[Vendor - Contract]:[Vendor - Contract]],$H29,CostTrack[[Holdback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29" s="504">
        <f ca="1">SUMIFS(CostTrack[[Value]:[Value]],CostTrack[[PA ID]:[PA ID]],$B29,CostTrack[[Vendor - Contract]:[Vendor - Contract]],$H29,CostTrack[[Holdback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29" s="504">
        <f ca="1">SUMIFS(CostTrack[[Value]:[Value]],CostTrack[[PA ID]:[PA ID]],$B29,CostTrack[[Vendor - Contract]:[Vendor - Contract]],$H29,CostTrack[[Holdback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29" s="504">
        <f ca="1">SUMIFS(CostTrack[[Value]:[Value]],CostTrack[[PA ID]:[PA ID]],$B29,CostTrack[[Vendor - Contract]:[Vendor - Contract]],$H29,CostTrack[[Holdback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29" s="512">
        <f t="shared" ca="1" si="20"/>
        <v>0</v>
      </c>
      <c r="CM29" s="504">
        <f ca="1">SUMIFS(CostTrack[[Value]:[Value]],CostTrack[[PA ID]:[PA ID]],$B29,CostTrack[[Vendor - Contract]:[Vendor - Contract]],$H29,CostTrack[[Holdback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29" s="504">
        <f ca="1">SUMIFS(CostTrack[[Value]:[Value]],CostTrack[[PA ID]:[PA ID]],$B29,CostTrack[[Vendor - Contract]:[Vendor - Contract]],$H29,CostTrack[[Holdback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29" s="504">
        <f ca="1">SUMIFS(CostTrack[[Value]:[Value]],CostTrack[[PA ID]:[PA ID]],$B29,CostTrack[[Vendor - Contract]:[Vendor - Contract]],$H29,CostTrack[[Holdback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29" s="504">
        <f ca="1">SUMIFS(CostTrack[[Value]:[Value]],CostTrack[[PA ID]:[PA ID]],$B29,CostTrack[[Vendor - Contract]:[Vendor - Contract]],$H29,CostTrack[[Holdback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29" s="504">
        <f ca="1">SUMIFS(CostTrack[[Value]:[Value]],CostTrack[[PA ID]:[PA ID]],$B29,CostTrack[[Vendor - Contract]:[Vendor - Contract]],$H29,CostTrack[[Holdback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29" s="504">
        <f ca="1">SUMIFS(CostTrack[[Value]:[Value]],CostTrack[[PA ID]:[PA ID]],$B29,CostTrack[[Vendor - Contract]:[Vendor - Contract]],$H29,CostTrack[[Holdback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29" s="504">
        <f ca="1">SUMIFS(CostTrack[[Value]:[Value]],CostTrack[[PA ID]:[PA ID]],$B29,CostTrack[[Vendor - Contract]:[Vendor - Contract]],$H29,CostTrack[[Holdback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29" s="504">
        <f ca="1">SUMIFS(CostTrack[[Value]:[Value]],CostTrack[[PA ID]:[PA ID]],$B29,CostTrack[[Vendor - Contract]:[Vendor - Contract]],$H29,CostTrack[[Holdback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29" s="504">
        <f ca="1">SUMIFS(CostTrack[[Value]:[Value]],CostTrack[[PA ID]:[PA ID]],$B29,CostTrack[[Vendor - Contract]:[Vendor - Contract]],$H29,CostTrack[[Holdback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29" s="504">
        <f ca="1">SUMIFS(CostTrack[[Value]:[Value]],CostTrack[[PA ID]:[PA ID]],$B29,CostTrack[[Vendor - Contract]:[Vendor - Contract]],$H29,CostTrack[[Holdback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29" s="504">
        <f ca="1">SUMIFS(CostTrack[[Value]:[Value]],CostTrack[[PA ID]:[PA ID]],$B29,CostTrack[[Vendor - Contract]:[Vendor - Contract]],$H29,CostTrack[[Holdback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29" s="504">
        <f ca="1">SUMIFS(CostTrack[[Value]:[Value]],CostTrack[[PA ID]:[PA ID]],$B29,CostTrack[[Vendor - Contract]:[Vendor - Contract]],$H29,CostTrack[[Holdback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29" s="512">
        <f t="shared" ca="1" si="21"/>
        <v>0</v>
      </c>
      <c r="DA29" s="504">
        <f ca="1">SUMIFS(CostTrack[[Value]:[Value]],CostTrack[[PA ID]:[PA ID]],$B29,CostTrack[[Vendor - Contract]:[Vendor - Contract]],$H29,CostTrack[[Holdback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29" s="504">
        <f ca="1">SUMIFS(CostTrack[[Value]:[Value]],CostTrack[[PA ID]:[PA ID]],$B29,CostTrack[[Vendor - Contract]:[Vendor - Contract]],$H29,CostTrack[[Holdback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29" s="504">
        <f ca="1">SUMIFS(CostTrack[[Value]:[Value]],CostTrack[[PA ID]:[PA ID]],$B29,CostTrack[[Vendor - Contract]:[Vendor - Contract]],$H29,CostTrack[[Holdback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29" s="504">
        <f ca="1">SUMIFS(CostTrack[[Value]:[Value]],CostTrack[[PA ID]:[PA ID]],$B29,CostTrack[[Vendor - Contract]:[Vendor - Contract]],$H29,CostTrack[[Holdback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29" s="504">
        <f ca="1">SUMIFS(CostTrack[[Value]:[Value]],CostTrack[[PA ID]:[PA ID]],$B29,CostTrack[[Vendor - Contract]:[Vendor - Contract]],$H29,CostTrack[[Holdback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29" s="504">
        <f ca="1">SUMIFS(CostTrack[[Value]:[Value]],CostTrack[[PA ID]:[PA ID]],$B29,CostTrack[[Vendor - Contract]:[Vendor - Contract]],$H29,CostTrack[[Holdback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29" s="504">
        <f ca="1">SUMIFS(CostTrack[[Value]:[Value]],CostTrack[[PA ID]:[PA ID]],$B29,CostTrack[[Vendor - Contract]:[Vendor - Contract]],$H29,CostTrack[[Holdback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29" s="504">
        <f ca="1">SUMIFS(CostTrack[[Value]:[Value]],CostTrack[[PA ID]:[PA ID]],$B29,CostTrack[[Vendor - Contract]:[Vendor - Contract]],$H29,CostTrack[[Holdback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29" s="504">
        <f ca="1">SUMIFS(CostTrack[[Value]:[Value]],CostTrack[[PA ID]:[PA ID]],$B29,CostTrack[[Vendor - Contract]:[Vendor - Contract]],$H29,CostTrack[[Holdback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29" s="504">
        <f ca="1">SUMIFS(CostTrack[[Value]:[Value]],CostTrack[[PA ID]:[PA ID]],$B29,CostTrack[[Vendor - Contract]:[Vendor - Contract]],$H29,CostTrack[[Holdback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29" s="504">
        <f ca="1">SUMIFS(CostTrack[[Value]:[Value]],CostTrack[[PA ID]:[PA ID]],$B29,CostTrack[[Vendor - Contract]:[Vendor - Contract]],$H29,CostTrack[[Holdback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29" s="504">
        <f ca="1">SUMIFS(CostTrack[[Value]:[Value]],CostTrack[[PA ID]:[PA ID]],$B29,CostTrack[[Vendor - Contract]:[Vendor - Contract]],$H29,CostTrack[[Holdback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29" s="512">
        <f t="shared" ca="1" si="22"/>
        <v>0</v>
      </c>
      <c r="DO29" s="504">
        <f ca="1">SUMIFS(CostTrack[[Value]:[Value]],CostTrack[[PA ID]:[PA ID]],$B29,CostTrack[[Vendor - Contract]:[Vendor - Contract]],$H29,CostTrack[[Holdback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29" s="504">
        <f ca="1">SUMIFS(CostTrack[[Value]:[Value]],CostTrack[[PA ID]:[PA ID]],$B29,CostTrack[[Vendor - Contract]:[Vendor - Contract]],$H29,CostTrack[[Holdback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29" s="504">
        <f ca="1">SUMIFS(CostTrack[[Value]:[Value]],CostTrack[[PA ID]:[PA ID]],$B29,CostTrack[[Vendor - Contract]:[Vendor - Contract]],$H29,CostTrack[[Holdback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29" s="504">
        <f ca="1">SUMIFS(CostTrack[[Value]:[Value]],CostTrack[[PA ID]:[PA ID]],$B29,CostTrack[[Vendor - Contract]:[Vendor - Contract]],$H29,CostTrack[[Holdback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29" s="504">
        <f ca="1">SUMIFS(CostTrack[[Value]:[Value]],CostTrack[[PA ID]:[PA ID]],$B29,CostTrack[[Vendor - Contract]:[Vendor - Contract]],$H29,CostTrack[[Holdback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29" s="504">
        <f ca="1">SUMIFS(CostTrack[[Value]:[Value]],CostTrack[[PA ID]:[PA ID]],$B29,CostTrack[[Vendor - Contract]:[Vendor - Contract]],$H29,CostTrack[[Holdback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29" s="504">
        <f ca="1">SUMIFS(CostTrack[[Value]:[Value]],CostTrack[[PA ID]:[PA ID]],$B29,CostTrack[[Vendor - Contract]:[Vendor - Contract]],$H29,CostTrack[[Holdback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29" s="504">
        <f ca="1">SUMIFS(CostTrack[[Value]:[Value]],CostTrack[[PA ID]:[PA ID]],$B29,CostTrack[[Vendor - Contract]:[Vendor - Contract]],$H29,CostTrack[[Holdback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29" s="504">
        <f ca="1">SUMIFS(CostTrack[[Value]:[Value]],CostTrack[[PA ID]:[PA ID]],$B29,CostTrack[[Vendor - Contract]:[Vendor - Contract]],$H29,CostTrack[[Holdback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29" s="504">
        <f ca="1">SUMIFS(CostTrack[[Value]:[Value]],CostTrack[[PA ID]:[PA ID]],$B29,CostTrack[[Vendor - Contract]:[Vendor - Contract]],$H29,CostTrack[[Holdback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29" s="504">
        <f ca="1">SUMIFS(CostTrack[[Value]:[Value]],CostTrack[[PA ID]:[PA ID]],$B29,CostTrack[[Vendor - Contract]:[Vendor - Contract]],$H29,CostTrack[[Holdback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29" s="504">
        <f ca="1">SUMIFS(CostTrack[[Value]:[Value]],CostTrack[[PA ID]:[PA ID]],$B29,CostTrack[[Vendor - Contract]:[Vendor - Contract]],$H29,CostTrack[[Holdback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29" s="512">
        <f t="shared" ca="1" si="23"/>
        <v>0</v>
      </c>
      <c r="EC29" s="504">
        <f ca="1">SUMIFS(CostTrack[[Value]:[Value]],CostTrack[[PA ID]:[PA ID]],$B29,CostTrack[[Vendor - Contract]:[Vendor - Contract]],$H29,CostTrack[[Holdback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29" s="505"/>
      <c r="EE29" s="505"/>
      <c r="EF29" s="505"/>
      <c r="EG29" s="505"/>
      <c r="EH29" s="505"/>
      <c r="EI29" s="505"/>
      <c r="EJ29" s="505"/>
      <c r="EK29" s="505"/>
      <c r="EL29" s="505"/>
      <c r="EM29" s="505"/>
      <c r="EN29" s="505"/>
      <c r="EO29" s="512">
        <f t="shared" ca="1" si="24"/>
        <v>0</v>
      </c>
      <c r="EQ29" s="505"/>
      <c r="ER29" s="505"/>
      <c r="ES29" s="505"/>
      <c r="ET29" s="505"/>
      <c r="EU29" s="505"/>
      <c r="EV29" s="505"/>
      <c r="EW29" s="505"/>
      <c r="EX29" s="505"/>
      <c r="EY29" s="505"/>
      <c r="EZ29" s="505"/>
      <c r="FA29" s="505"/>
      <c r="FB29" s="505"/>
      <c r="FC29" s="512">
        <f t="shared" si="25"/>
        <v>0</v>
      </c>
      <c r="FE29" s="505"/>
      <c r="FF29" s="505"/>
      <c r="FG29" s="505"/>
      <c r="FH29" s="505"/>
      <c r="FI29" s="505"/>
      <c r="FJ29" s="505"/>
      <c r="FK29" s="505"/>
      <c r="FL29" s="505"/>
      <c r="FM29" s="505"/>
      <c r="FN29" s="505"/>
      <c r="FO29" s="505"/>
      <c r="FP29" s="505"/>
      <c r="FQ29" s="512">
        <f t="shared" si="26"/>
        <v>0</v>
      </c>
      <c r="FS29" s="504">
        <f t="shared" ca="1" si="27"/>
        <v>0</v>
      </c>
    </row>
    <row r="30" spans="1:175">
      <c r="A30" s="216">
        <v>23</v>
      </c>
      <c r="B30" s="219" t="str">
        <f ca="1">INDEX(EAC[PA ID],MATCH($A30,EAC[Row],0))</f>
        <v>300.060.F1</v>
      </c>
      <c r="C30" s="218" t="str">
        <f ca="1">INDEX(EAC[Primary Category],MATCH($A30,EAC[Row],0))</f>
        <v>Construction</v>
      </c>
      <c r="D30" s="218" t="str">
        <f ca="1">INDEX(EAC[Secondary Category],MATCH($A30,EAC[Row],0))</f>
        <v>Contingency - Const. Phase</v>
      </c>
      <c r="E30" s="109" t="str">
        <f ca="1">INDEX(EAC[Phase / Subproject],MATCH($A30,EAC[Row],0))</f>
        <v>--</v>
      </c>
      <c r="F30" s="109" t="str">
        <f ca="1">INDEX(EAC[Phase / Subproject 2],MATCH($A30,EAC[Row],0))</f>
        <v>--</v>
      </c>
      <c r="G30" s="109" t="str">
        <f ca="1">INDEX(EAC[Funding Source],MATCH($A30,EAC[Row],0))</f>
        <v>P-002360</v>
      </c>
      <c r="H30" s="146" t="str">
        <f ca="1">INDEX(EAC[Vendor / Org. with Contract ID],MATCH($A30,EAC[Row],0))</f>
        <v>Visco Demolition Contractors Ltd.-36068</v>
      </c>
      <c r="I30" s="502">
        <f ca="1">INDEX(EAC[Estimate At Completion],MATCH($A30,EAC[Row],0))</f>
        <v>0</v>
      </c>
      <c r="J30" s="502">
        <f ca="1">SUMIFS(CostTrack[Value],CostTrack[Vendor - Contract],$H30,CostTrack[PA ID],$B30,CostTrack[Holdback (Y/N/R)],"&lt;&gt;Release",CostTrack[Status],"Approved")</f>
        <v>0</v>
      </c>
      <c r="K30" s="503">
        <f t="shared" ca="1" si="14"/>
        <v>0</v>
      </c>
      <c r="M30" s="504">
        <f t="shared" ca="1" si="15"/>
        <v>0</v>
      </c>
      <c r="O30" s="504">
        <f t="shared" ca="1" si="11"/>
        <v>0</v>
      </c>
      <c r="P30" s="504">
        <f t="array" aca="1" ref="P30" ca="1">SUM($U30:$FQ30*_xlfn.ISFORMULA($U30:$FQ30)*ISNUMBER($U$7:$FQ$7)*--(INDEX($U$6:$FQ$6,N(IF({1},COLUMN($U$6:$FQ$6)-COLUMN($T$6)))-MOD(N(IF({1},COLUMN($U$6:$FQ$6)-COLUMN($U$6))),14))="Current Fiscal"))</f>
        <v>0</v>
      </c>
      <c r="Q30" s="504">
        <f t="array" aca="1" ref="Q30" ca="1">SUM($U30:$FQ30*NOT(_xlfn.ISFORMULA($U30:$FQ30))*ISNUMBER($U$7:$FQ$7)*--(INDEX($U$6:$FQ$6,N(IF({1},COLUMN($U$6:$FQ$6)-COLUMN($T$6)))-MOD(N(IF({1},COLUMN($U$6:$FQ$6)-COLUMN($U$6))),14))="Current Fiscal"))</f>
        <v>0</v>
      </c>
      <c r="R30" s="504">
        <f t="shared" ca="1" si="12"/>
        <v>0</v>
      </c>
      <c r="S30" s="504">
        <f t="shared" ca="1" si="13"/>
        <v>0</v>
      </c>
      <c r="U30" s="504">
        <f ca="1">SUMIFS(CostTrack[[Value]:[Value]],CostTrack[[PA ID]:[PA ID]],$B30,CostTrack[[Vendor - Contract]:[Vendor - Contract]],$H30,CostTrack[[Holdback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30" s="504">
        <f ca="1">SUMIFS(CostTrack[[Value]:[Value]],CostTrack[[PA ID]:[PA ID]],$B30,CostTrack[[Vendor - Contract]:[Vendor - Contract]],$H30,CostTrack[[Holdback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30" s="504">
        <f ca="1">SUMIFS(CostTrack[[Value]:[Value]],CostTrack[[PA ID]:[PA ID]],$B30,CostTrack[[Vendor - Contract]:[Vendor - Contract]],$H30,CostTrack[[Holdback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30" s="504">
        <f ca="1">SUMIFS(CostTrack[[Value]:[Value]],CostTrack[[PA ID]:[PA ID]],$B30,CostTrack[[Vendor - Contract]:[Vendor - Contract]],$H30,CostTrack[[Holdback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30" s="504">
        <f ca="1">SUMIFS(CostTrack[[Value]:[Value]],CostTrack[[PA ID]:[PA ID]],$B30,CostTrack[[Vendor - Contract]:[Vendor - Contract]],$H30,CostTrack[[Holdback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30" s="504">
        <f ca="1">SUMIFS(CostTrack[[Value]:[Value]],CostTrack[[PA ID]:[PA ID]],$B30,CostTrack[[Vendor - Contract]:[Vendor - Contract]],$H30,CostTrack[[Holdback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30" s="504">
        <f ca="1">SUMIFS(CostTrack[[Value]:[Value]],CostTrack[[PA ID]:[PA ID]],$B30,CostTrack[[Vendor - Contract]:[Vendor - Contract]],$H30,CostTrack[[Holdback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30" s="504">
        <f ca="1">SUMIFS(CostTrack[[Value]:[Value]],CostTrack[[PA ID]:[PA ID]],$B30,CostTrack[[Vendor - Contract]:[Vendor - Contract]],$H30,CostTrack[[Holdback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30" s="504">
        <f ca="1">SUMIFS(CostTrack[[Value]:[Value]],CostTrack[[PA ID]:[PA ID]],$B30,CostTrack[[Vendor - Contract]:[Vendor - Contract]],$H30,CostTrack[[Holdback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30" s="504">
        <f ca="1">SUMIFS(CostTrack[[Value]:[Value]],CostTrack[[PA ID]:[PA ID]],$B30,CostTrack[[Vendor - Contract]:[Vendor - Contract]],$H30,CostTrack[[Holdback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30" s="504">
        <f ca="1">SUMIFS(CostTrack[[Value]:[Value]],CostTrack[[PA ID]:[PA ID]],$B30,CostTrack[[Vendor - Contract]:[Vendor - Contract]],$H30,CostTrack[[Holdback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30" s="504">
        <f ca="1">SUMIFS(CostTrack[[Value]:[Value]],CostTrack[[PA ID]:[PA ID]],$B30,CostTrack[[Vendor - Contract]:[Vendor - Contract]],$H30,CostTrack[[Holdback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30" s="506">
        <f t="shared" ca="1" si="16"/>
        <v>0</v>
      </c>
      <c r="AI30" s="504">
        <f ca="1">SUMIFS(CostTrack[[Value]:[Value]],CostTrack[[PA ID]:[PA ID]],$B30,CostTrack[[Vendor - Contract]:[Vendor - Contract]],$H30,CostTrack[[Holdback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30" s="504">
        <f ca="1">SUMIFS(CostTrack[[Value]:[Value]],CostTrack[[PA ID]:[PA ID]],$B30,CostTrack[[Vendor - Contract]:[Vendor - Contract]],$H30,CostTrack[[Holdback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30" s="504">
        <f ca="1">SUMIFS(CostTrack[[Value]:[Value]],CostTrack[[PA ID]:[PA ID]],$B30,CostTrack[[Vendor - Contract]:[Vendor - Contract]],$H30,CostTrack[[Holdback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30" s="504">
        <f ca="1">SUMIFS(CostTrack[[Value]:[Value]],CostTrack[[PA ID]:[PA ID]],$B30,CostTrack[[Vendor - Contract]:[Vendor - Contract]],$H30,CostTrack[[Holdback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30" s="504">
        <f ca="1">SUMIFS(CostTrack[[Value]:[Value]],CostTrack[[PA ID]:[PA ID]],$B30,CostTrack[[Vendor - Contract]:[Vendor - Contract]],$H30,CostTrack[[Holdback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30" s="504">
        <f ca="1">SUMIFS(CostTrack[[Value]:[Value]],CostTrack[[PA ID]:[PA ID]],$B30,CostTrack[[Vendor - Contract]:[Vendor - Contract]],$H30,CostTrack[[Holdback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30" s="504">
        <f ca="1">SUMIFS(CostTrack[[Value]:[Value]],CostTrack[[PA ID]:[PA ID]],$B30,CostTrack[[Vendor - Contract]:[Vendor - Contract]],$H30,CostTrack[[Holdback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30" s="504">
        <f ca="1">SUMIFS(CostTrack[[Value]:[Value]],CostTrack[[PA ID]:[PA ID]],$B30,CostTrack[[Vendor - Contract]:[Vendor - Contract]],$H30,CostTrack[[Holdback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30" s="504">
        <f ca="1">SUMIFS(CostTrack[[Value]:[Value]],CostTrack[[PA ID]:[PA ID]],$B30,CostTrack[[Vendor - Contract]:[Vendor - Contract]],$H30,CostTrack[[Holdback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30" s="504">
        <f ca="1">SUMIFS(CostTrack[[Value]:[Value]],CostTrack[[PA ID]:[PA ID]],$B30,CostTrack[[Vendor - Contract]:[Vendor - Contract]],$H30,CostTrack[[Holdback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30" s="504">
        <f ca="1">SUMIFS(CostTrack[[Value]:[Value]],CostTrack[[PA ID]:[PA ID]],$B30,CostTrack[[Vendor - Contract]:[Vendor - Contract]],$H30,CostTrack[[Holdback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30" s="504">
        <f ca="1">SUMIFS(CostTrack[[Value]:[Value]],CostTrack[[PA ID]:[PA ID]],$B30,CostTrack[[Vendor - Contract]:[Vendor - Contract]],$H30,CostTrack[[Holdback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30" s="512">
        <f t="shared" ca="1" si="17"/>
        <v>0</v>
      </c>
      <c r="AW30" s="504">
        <f ca="1">SUMIFS(CostTrack[[Value]:[Value]],CostTrack[[PA ID]:[PA ID]],$B30,CostTrack[[Vendor - Contract]:[Vendor - Contract]],$H30,CostTrack[[Holdback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30" s="504">
        <f ca="1">SUMIFS(CostTrack[[Value]:[Value]],CostTrack[[PA ID]:[PA ID]],$B30,CostTrack[[Vendor - Contract]:[Vendor - Contract]],$H30,CostTrack[[Holdback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30" s="504">
        <f ca="1">SUMIFS(CostTrack[[Value]:[Value]],CostTrack[[PA ID]:[PA ID]],$B30,CostTrack[[Vendor - Contract]:[Vendor - Contract]],$H30,CostTrack[[Holdback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30" s="504">
        <f ca="1">SUMIFS(CostTrack[[Value]:[Value]],CostTrack[[PA ID]:[PA ID]],$B30,CostTrack[[Vendor - Contract]:[Vendor - Contract]],$H30,CostTrack[[Holdback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30" s="504">
        <f ca="1">SUMIFS(CostTrack[[Value]:[Value]],CostTrack[[PA ID]:[PA ID]],$B30,CostTrack[[Vendor - Contract]:[Vendor - Contract]],$H30,CostTrack[[Holdback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30" s="504">
        <f ca="1">SUMIFS(CostTrack[[Value]:[Value]],CostTrack[[PA ID]:[PA ID]],$B30,CostTrack[[Vendor - Contract]:[Vendor - Contract]],$H30,CostTrack[[Holdback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30" s="504">
        <f ca="1">SUMIFS(CostTrack[[Value]:[Value]],CostTrack[[PA ID]:[PA ID]],$B30,CostTrack[[Vendor - Contract]:[Vendor - Contract]],$H30,CostTrack[[Holdback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30" s="504">
        <f ca="1">SUMIFS(CostTrack[[Value]:[Value]],CostTrack[[PA ID]:[PA ID]],$B30,CostTrack[[Vendor - Contract]:[Vendor - Contract]],$H30,CostTrack[[Holdback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30" s="504">
        <f ca="1">SUMIFS(CostTrack[[Value]:[Value]],CostTrack[[PA ID]:[PA ID]],$B30,CostTrack[[Vendor - Contract]:[Vendor - Contract]],$H30,CostTrack[[Holdback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30" s="504">
        <f ca="1">SUMIFS(CostTrack[[Value]:[Value]],CostTrack[[PA ID]:[PA ID]],$B30,CostTrack[[Vendor - Contract]:[Vendor - Contract]],$H30,CostTrack[[Holdback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30" s="504">
        <f ca="1">SUMIFS(CostTrack[[Value]:[Value]],CostTrack[[PA ID]:[PA ID]],$B30,CostTrack[[Vendor - Contract]:[Vendor - Contract]],$H30,CostTrack[[Holdback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30" s="504">
        <f ca="1">SUMIFS(CostTrack[[Value]:[Value]],CostTrack[[PA ID]:[PA ID]],$B30,CostTrack[[Vendor - Contract]:[Vendor - Contract]],$H30,CostTrack[[Holdback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30" s="512">
        <f t="shared" ca="1" si="18"/>
        <v>0</v>
      </c>
      <c r="BK30" s="504">
        <f ca="1">SUMIFS(CostTrack[[Value]:[Value]],CostTrack[[PA ID]:[PA ID]],$B30,CostTrack[[Vendor - Contract]:[Vendor - Contract]],$H30,CostTrack[[Holdback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30" s="504">
        <f ca="1">SUMIFS(CostTrack[[Value]:[Value]],CostTrack[[PA ID]:[PA ID]],$B30,CostTrack[[Vendor - Contract]:[Vendor - Contract]],$H30,CostTrack[[Holdback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30" s="504">
        <f ca="1">SUMIFS(CostTrack[[Value]:[Value]],CostTrack[[PA ID]:[PA ID]],$B30,CostTrack[[Vendor - Contract]:[Vendor - Contract]],$H30,CostTrack[[Holdback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30" s="504">
        <f ca="1">SUMIFS(CostTrack[[Value]:[Value]],CostTrack[[PA ID]:[PA ID]],$B30,CostTrack[[Vendor - Contract]:[Vendor - Contract]],$H30,CostTrack[[Holdback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30" s="504">
        <f ca="1">SUMIFS(CostTrack[[Value]:[Value]],CostTrack[[PA ID]:[PA ID]],$B30,CostTrack[[Vendor - Contract]:[Vendor - Contract]],$H30,CostTrack[[Holdback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30" s="504">
        <f ca="1">SUMIFS(CostTrack[[Value]:[Value]],CostTrack[[PA ID]:[PA ID]],$B30,CostTrack[[Vendor - Contract]:[Vendor - Contract]],$H30,CostTrack[[Holdback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30" s="504">
        <f ca="1">SUMIFS(CostTrack[[Value]:[Value]],CostTrack[[PA ID]:[PA ID]],$B30,CostTrack[[Vendor - Contract]:[Vendor - Contract]],$H30,CostTrack[[Holdback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30" s="504">
        <f ca="1">SUMIFS(CostTrack[[Value]:[Value]],CostTrack[[PA ID]:[PA ID]],$B30,CostTrack[[Vendor - Contract]:[Vendor - Contract]],$H30,CostTrack[[Holdback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30" s="504">
        <f ca="1">SUMIFS(CostTrack[[Value]:[Value]],CostTrack[[PA ID]:[PA ID]],$B30,CostTrack[[Vendor - Contract]:[Vendor - Contract]],$H30,CostTrack[[Holdback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30" s="504">
        <f ca="1">SUMIFS(CostTrack[[Value]:[Value]],CostTrack[[PA ID]:[PA ID]],$B30,CostTrack[[Vendor - Contract]:[Vendor - Contract]],$H30,CostTrack[[Holdback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30" s="504">
        <f ca="1">SUMIFS(CostTrack[[Value]:[Value]],CostTrack[[PA ID]:[PA ID]],$B30,CostTrack[[Vendor - Contract]:[Vendor - Contract]],$H30,CostTrack[[Holdback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30" s="504">
        <f ca="1">SUMIFS(CostTrack[[Value]:[Value]],CostTrack[[PA ID]:[PA ID]],$B30,CostTrack[[Vendor - Contract]:[Vendor - Contract]],$H30,CostTrack[[Holdback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30" s="512">
        <f t="shared" ca="1" si="19"/>
        <v>0</v>
      </c>
      <c r="BY30" s="504">
        <f ca="1">SUMIFS(CostTrack[[Value]:[Value]],CostTrack[[PA ID]:[PA ID]],$B30,CostTrack[[Vendor - Contract]:[Vendor - Contract]],$H30,CostTrack[[Holdback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30" s="504">
        <f ca="1">SUMIFS(CostTrack[[Value]:[Value]],CostTrack[[PA ID]:[PA ID]],$B30,CostTrack[[Vendor - Contract]:[Vendor - Contract]],$H30,CostTrack[[Holdback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30" s="504">
        <f ca="1">SUMIFS(CostTrack[[Value]:[Value]],CostTrack[[PA ID]:[PA ID]],$B30,CostTrack[[Vendor - Contract]:[Vendor - Contract]],$H30,CostTrack[[Holdback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30" s="504">
        <f ca="1">SUMIFS(CostTrack[[Value]:[Value]],CostTrack[[PA ID]:[PA ID]],$B30,CostTrack[[Vendor - Contract]:[Vendor - Contract]],$H30,CostTrack[[Holdback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30" s="504">
        <f ca="1">SUMIFS(CostTrack[[Value]:[Value]],CostTrack[[PA ID]:[PA ID]],$B30,CostTrack[[Vendor - Contract]:[Vendor - Contract]],$H30,CostTrack[[Holdback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30" s="504">
        <f ca="1">SUMIFS(CostTrack[[Value]:[Value]],CostTrack[[PA ID]:[PA ID]],$B30,CostTrack[[Vendor - Contract]:[Vendor - Contract]],$H30,CostTrack[[Holdback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30" s="504">
        <f ca="1">SUMIFS(CostTrack[[Value]:[Value]],CostTrack[[PA ID]:[PA ID]],$B30,CostTrack[[Vendor - Contract]:[Vendor - Contract]],$H30,CostTrack[[Holdback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30" s="504">
        <f ca="1">SUMIFS(CostTrack[[Value]:[Value]],CostTrack[[PA ID]:[PA ID]],$B30,CostTrack[[Vendor - Contract]:[Vendor - Contract]],$H30,CostTrack[[Holdback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30" s="504">
        <f ca="1">SUMIFS(CostTrack[[Value]:[Value]],CostTrack[[PA ID]:[PA ID]],$B30,CostTrack[[Vendor - Contract]:[Vendor - Contract]],$H30,CostTrack[[Holdback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30" s="504">
        <f ca="1">SUMIFS(CostTrack[[Value]:[Value]],CostTrack[[PA ID]:[PA ID]],$B30,CostTrack[[Vendor - Contract]:[Vendor - Contract]],$H30,CostTrack[[Holdback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30" s="504">
        <f ca="1">SUMIFS(CostTrack[[Value]:[Value]],CostTrack[[PA ID]:[PA ID]],$B30,CostTrack[[Vendor - Contract]:[Vendor - Contract]],$H30,CostTrack[[Holdback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30" s="504">
        <f ca="1">SUMIFS(CostTrack[[Value]:[Value]],CostTrack[[PA ID]:[PA ID]],$B30,CostTrack[[Vendor - Contract]:[Vendor - Contract]],$H30,CostTrack[[Holdback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30" s="512">
        <f t="shared" ca="1" si="20"/>
        <v>0</v>
      </c>
      <c r="CM30" s="504">
        <f ca="1">SUMIFS(CostTrack[[Value]:[Value]],CostTrack[[PA ID]:[PA ID]],$B30,CostTrack[[Vendor - Contract]:[Vendor - Contract]],$H30,CostTrack[[Holdback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30" s="504">
        <f ca="1">SUMIFS(CostTrack[[Value]:[Value]],CostTrack[[PA ID]:[PA ID]],$B30,CostTrack[[Vendor - Contract]:[Vendor - Contract]],$H30,CostTrack[[Holdback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30" s="504">
        <f ca="1">SUMIFS(CostTrack[[Value]:[Value]],CostTrack[[PA ID]:[PA ID]],$B30,CostTrack[[Vendor - Contract]:[Vendor - Contract]],$H30,CostTrack[[Holdback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30" s="504">
        <f ca="1">SUMIFS(CostTrack[[Value]:[Value]],CostTrack[[PA ID]:[PA ID]],$B30,CostTrack[[Vendor - Contract]:[Vendor - Contract]],$H30,CostTrack[[Holdback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30" s="504">
        <f ca="1">SUMIFS(CostTrack[[Value]:[Value]],CostTrack[[PA ID]:[PA ID]],$B30,CostTrack[[Vendor - Contract]:[Vendor - Contract]],$H30,CostTrack[[Holdback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30" s="504">
        <f ca="1">SUMIFS(CostTrack[[Value]:[Value]],CostTrack[[PA ID]:[PA ID]],$B30,CostTrack[[Vendor - Contract]:[Vendor - Contract]],$H30,CostTrack[[Holdback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30" s="504">
        <f ca="1">SUMIFS(CostTrack[[Value]:[Value]],CostTrack[[PA ID]:[PA ID]],$B30,CostTrack[[Vendor - Contract]:[Vendor - Contract]],$H30,CostTrack[[Holdback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30" s="504">
        <f ca="1">SUMIFS(CostTrack[[Value]:[Value]],CostTrack[[PA ID]:[PA ID]],$B30,CostTrack[[Vendor - Contract]:[Vendor - Contract]],$H30,CostTrack[[Holdback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30" s="504">
        <f ca="1">SUMIFS(CostTrack[[Value]:[Value]],CostTrack[[PA ID]:[PA ID]],$B30,CostTrack[[Vendor - Contract]:[Vendor - Contract]],$H30,CostTrack[[Holdback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30" s="504">
        <f ca="1">SUMIFS(CostTrack[[Value]:[Value]],CostTrack[[PA ID]:[PA ID]],$B30,CostTrack[[Vendor - Contract]:[Vendor - Contract]],$H30,CostTrack[[Holdback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30" s="504">
        <f ca="1">SUMIFS(CostTrack[[Value]:[Value]],CostTrack[[PA ID]:[PA ID]],$B30,CostTrack[[Vendor - Contract]:[Vendor - Contract]],$H30,CostTrack[[Holdback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30" s="504">
        <f ca="1">SUMIFS(CostTrack[[Value]:[Value]],CostTrack[[PA ID]:[PA ID]],$B30,CostTrack[[Vendor - Contract]:[Vendor - Contract]],$H30,CostTrack[[Holdback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30" s="512">
        <f t="shared" ca="1" si="21"/>
        <v>0</v>
      </c>
      <c r="DA30" s="504">
        <f ca="1">SUMIFS(CostTrack[[Value]:[Value]],CostTrack[[PA ID]:[PA ID]],$B30,CostTrack[[Vendor - Contract]:[Vendor - Contract]],$H30,CostTrack[[Holdback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30" s="504">
        <f ca="1">SUMIFS(CostTrack[[Value]:[Value]],CostTrack[[PA ID]:[PA ID]],$B30,CostTrack[[Vendor - Contract]:[Vendor - Contract]],$H30,CostTrack[[Holdback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30" s="504">
        <f ca="1">SUMIFS(CostTrack[[Value]:[Value]],CostTrack[[PA ID]:[PA ID]],$B30,CostTrack[[Vendor - Contract]:[Vendor - Contract]],$H30,CostTrack[[Holdback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30" s="504">
        <f ca="1">SUMIFS(CostTrack[[Value]:[Value]],CostTrack[[PA ID]:[PA ID]],$B30,CostTrack[[Vendor - Contract]:[Vendor - Contract]],$H30,CostTrack[[Holdback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30" s="504">
        <f ca="1">SUMIFS(CostTrack[[Value]:[Value]],CostTrack[[PA ID]:[PA ID]],$B30,CostTrack[[Vendor - Contract]:[Vendor - Contract]],$H30,CostTrack[[Holdback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30" s="504">
        <f ca="1">SUMIFS(CostTrack[[Value]:[Value]],CostTrack[[PA ID]:[PA ID]],$B30,CostTrack[[Vendor - Contract]:[Vendor - Contract]],$H30,CostTrack[[Holdback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30" s="504">
        <f ca="1">SUMIFS(CostTrack[[Value]:[Value]],CostTrack[[PA ID]:[PA ID]],$B30,CostTrack[[Vendor - Contract]:[Vendor - Contract]],$H30,CostTrack[[Holdback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30" s="504">
        <f ca="1">SUMIFS(CostTrack[[Value]:[Value]],CostTrack[[PA ID]:[PA ID]],$B30,CostTrack[[Vendor - Contract]:[Vendor - Contract]],$H30,CostTrack[[Holdback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30" s="504">
        <f ca="1">SUMIFS(CostTrack[[Value]:[Value]],CostTrack[[PA ID]:[PA ID]],$B30,CostTrack[[Vendor - Contract]:[Vendor - Contract]],$H30,CostTrack[[Holdback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30" s="504">
        <f ca="1">SUMIFS(CostTrack[[Value]:[Value]],CostTrack[[PA ID]:[PA ID]],$B30,CostTrack[[Vendor - Contract]:[Vendor - Contract]],$H30,CostTrack[[Holdback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30" s="504">
        <f ca="1">SUMIFS(CostTrack[[Value]:[Value]],CostTrack[[PA ID]:[PA ID]],$B30,CostTrack[[Vendor - Contract]:[Vendor - Contract]],$H30,CostTrack[[Holdback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30" s="504">
        <f ca="1">SUMIFS(CostTrack[[Value]:[Value]],CostTrack[[PA ID]:[PA ID]],$B30,CostTrack[[Vendor - Contract]:[Vendor - Contract]],$H30,CostTrack[[Holdback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30" s="512">
        <f t="shared" ca="1" si="22"/>
        <v>0</v>
      </c>
      <c r="DO30" s="504">
        <f ca="1">SUMIFS(CostTrack[[Value]:[Value]],CostTrack[[PA ID]:[PA ID]],$B30,CostTrack[[Vendor - Contract]:[Vendor - Contract]],$H30,CostTrack[[Holdback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30" s="504">
        <f ca="1">SUMIFS(CostTrack[[Value]:[Value]],CostTrack[[PA ID]:[PA ID]],$B30,CostTrack[[Vendor - Contract]:[Vendor - Contract]],$H30,CostTrack[[Holdback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30" s="504">
        <f ca="1">SUMIFS(CostTrack[[Value]:[Value]],CostTrack[[PA ID]:[PA ID]],$B30,CostTrack[[Vendor - Contract]:[Vendor - Contract]],$H30,CostTrack[[Holdback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30" s="504">
        <f ca="1">SUMIFS(CostTrack[[Value]:[Value]],CostTrack[[PA ID]:[PA ID]],$B30,CostTrack[[Vendor - Contract]:[Vendor - Contract]],$H30,CostTrack[[Holdback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30" s="504">
        <f ca="1">SUMIFS(CostTrack[[Value]:[Value]],CostTrack[[PA ID]:[PA ID]],$B30,CostTrack[[Vendor - Contract]:[Vendor - Contract]],$H30,CostTrack[[Holdback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30" s="504">
        <f ca="1">SUMIFS(CostTrack[[Value]:[Value]],CostTrack[[PA ID]:[PA ID]],$B30,CostTrack[[Vendor - Contract]:[Vendor - Contract]],$H30,CostTrack[[Holdback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30" s="504">
        <f ca="1">SUMIFS(CostTrack[[Value]:[Value]],CostTrack[[PA ID]:[PA ID]],$B30,CostTrack[[Vendor - Contract]:[Vendor - Contract]],$H30,CostTrack[[Holdback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30" s="504">
        <f ca="1">SUMIFS(CostTrack[[Value]:[Value]],CostTrack[[PA ID]:[PA ID]],$B30,CostTrack[[Vendor - Contract]:[Vendor - Contract]],$H30,CostTrack[[Holdback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30" s="504">
        <f ca="1">SUMIFS(CostTrack[[Value]:[Value]],CostTrack[[PA ID]:[PA ID]],$B30,CostTrack[[Vendor - Contract]:[Vendor - Contract]],$H30,CostTrack[[Holdback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30" s="504">
        <f ca="1">SUMIFS(CostTrack[[Value]:[Value]],CostTrack[[PA ID]:[PA ID]],$B30,CostTrack[[Vendor - Contract]:[Vendor - Contract]],$H30,CostTrack[[Holdback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30" s="504">
        <f ca="1">SUMIFS(CostTrack[[Value]:[Value]],CostTrack[[PA ID]:[PA ID]],$B30,CostTrack[[Vendor - Contract]:[Vendor - Contract]],$H30,CostTrack[[Holdback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30" s="504">
        <f ca="1">SUMIFS(CostTrack[[Value]:[Value]],CostTrack[[PA ID]:[PA ID]],$B30,CostTrack[[Vendor - Contract]:[Vendor - Contract]],$H30,CostTrack[[Holdback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30" s="512">
        <f t="shared" ca="1" si="23"/>
        <v>0</v>
      </c>
      <c r="EC30" s="504">
        <f ca="1">SUMIFS(CostTrack[[Value]:[Value]],CostTrack[[PA ID]:[PA ID]],$B30,CostTrack[[Vendor - Contract]:[Vendor - Contract]],$H30,CostTrack[[Holdback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30" s="505"/>
      <c r="EE30" s="505"/>
      <c r="EF30" s="505"/>
      <c r="EG30" s="505"/>
      <c r="EH30" s="505"/>
      <c r="EI30" s="505"/>
      <c r="EJ30" s="505"/>
      <c r="EK30" s="505"/>
      <c r="EL30" s="505"/>
      <c r="EM30" s="505"/>
      <c r="EN30" s="505"/>
      <c r="EO30" s="512">
        <f t="shared" ca="1" si="24"/>
        <v>0</v>
      </c>
      <c r="EQ30" s="505"/>
      <c r="ER30" s="505"/>
      <c r="ES30" s="505"/>
      <c r="ET30" s="505"/>
      <c r="EU30" s="505"/>
      <c r="EV30" s="505"/>
      <c r="EW30" s="505"/>
      <c r="EX30" s="505"/>
      <c r="EY30" s="505"/>
      <c r="EZ30" s="505"/>
      <c r="FA30" s="505"/>
      <c r="FB30" s="505"/>
      <c r="FC30" s="512">
        <f t="shared" si="25"/>
        <v>0</v>
      </c>
      <c r="FE30" s="505"/>
      <c r="FF30" s="505"/>
      <c r="FG30" s="505"/>
      <c r="FH30" s="505"/>
      <c r="FI30" s="505"/>
      <c r="FJ30" s="505"/>
      <c r="FK30" s="505"/>
      <c r="FL30" s="505"/>
      <c r="FM30" s="505"/>
      <c r="FN30" s="505"/>
      <c r="FO30" s="505"/>
      <c r="FP30" s="505"/>
      <c r="FQ30" s="512">
        <f t="shared" si="26"/>
        <v>0</v>
      </c>
      <c r="FS30" s="504">
        <f t="shared" ca="1" si="27"/>
        <v>0</v>
      </c>
    </row>
    <row r="31" spans="1:175">
      <c r="A31" s="216">
        <v>24</v>
      </c>
      <c r="B31" s="219" t="str">
        <f ca="1">INDEX(EAC[PA ID],MATCH($A31,EAC[Row],0))</f>
        <v>300.070.F1</v>
      </c>
      <c r="C31" s="218" t="str">
        <f ca="1">INDEX(EAC[Primary Category],MATCH($A31,EAC[Row],0))</f>
        <v>Construction</v>
      </c>
      <c r="D31" s="218" t="str">
        <f ca="1">INDEX(EAC[Secondary Category],MATCH($A31,EAC[Row],0))</f>
        <v>Allowance - Escalation</v>
      </c>
      <c r="E31" s="109" t="str">
        <f ca="1">INDEX(EAC[Phase / Subproject],MATCH($A31,EAC[Row],0))</f>
        <v>--</v>
      </c>
      <c r="F31" s="109" t="str">
        <f ca="1">INDEX(EAC[Phase / Subproject 2],MATCH($A31,EAC[Row],0))</f>
        <v>--</v>
      </c>
      <c r="G31" s="109" t="str">
        <f ca="1">INDEX(EAC[Funding Source],MATCH($A31,EAC[Row],0))</f>
        <v>P-002360</v>
      </c>
      <c r="H31" s="146" t="str">
        <f ca="1">INDEX(EAC[Vendor / Org. with Contract ID],MATCH($A31,EAC[Row],0))</f>
        <v>Future / Not Awarded</v>
      </c>
      <c r="I31" s="502">
        <f ca="1">INDEX(EAC[Estimate At Completion],MATCH($A31,EAC[Row],0))</f>
        <v>0</v>
      </c>
      <c r="J31" s="502">
        <f ca="1">SUMIFS(CostTrack[Value],CostTrack[Vendor - Contract],$H31,CostTrack[PA ID],$B31,CostTrack[Holdback (Y/N/R)],"&lt;&gt;Release",CostTrack[Status],"Approved")</f>
        <v>0</v>
      </c>
      <c r="K31" s="503">
        <f t="shared" ca="1" si="14"/>
        <v>0</v>
      </c>
      <c r="M31" s="504">
        <f t="shared" ca="1" si="15"/>
        <v>0</v>
      </c>
      <c r="O31" s="504">
        <f t="shared" ca="1" si="11"/>
        <v>0</v>
      </c>
      <c r="P31" s="504">
        <f t="array" aca="1" ref="P31" ca="1">SUM($U31:$FQ31*_xlfn.ISFORMULA($U31:$FQ31)*ISNUMBER($U$7:$FQ$7)*--(INDEX($U$6:$FQ$6,N(IF({1},COLUMN($U$6:$FQ$6)-COLUMN($T$6)))-MOD(N(IF({1},COLUMN($U$6:$FQ$6)-COLUMN($U$6))),14))="Current Fiscal"))</f>
        <v>0</v>
      </c>
      <c r="Q31" s="504">
        <f t="array" aca="1" ref="Q31" ca="1">SUM($U31:$FQ31*NOT(_xlfn.ISFORMULA($U31:$FQ31))*ISNUMBER($U$7:$FQ$7)*--(INDEX($U$6:$FQ$6,N(IF({1},COLUMN($U$6:$FQ$6)-COLUMN($T$6)))-MOD(N(IF({1},COLUMN($U$6:$FQ$6)-COLUMN($U$6))),14))="Current Fiscal"))</f>
        <v>0</v>
      </c>
      <c r="R31" s="504">
        <f t="shared" ca="1" si="12"/>
        <v>0</v>
      </c>
      <c r="S31" s="504">
        <f t="shared" ca="1" si="13"/>
        <v>0</v>
      </c>
      <c r="U31" s="504">
        <f ca="1">SUMIFS(CostTrack[[Value]:[Value]],CostTrack[[PA ID]:[PA ID]],$B31,CostTrack[[Vendor - Contract]:[Vendor - Contract]],$H31,CostTrack[[Holdback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31" s="504">
        <f ca="1">SUMIFS(CostTrack[[Value]:[Value]],CostTrack[[PA ID]:[PA ID]],$B31,CostTrack[[Vendor - Contract]:[Vendor - Contract]],$H31,CostTrack[[Holdback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31" s="504">
        <f ca="1">SUMIFS(CostTrack[[Value]:[Value]],CostTrack[[PA ID]:[PA ID]],$B31,CostTrack[[Vendor - Contract]:[Vendor - Contract]],$H31,CostTrack[[Holdback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31" s="504">
        <f ca="1">SUMIFS(CostTrack[[Value]:[Value]],CostTrack[[PA ID]:[PA ID]],$B31,CostTrack[[Vendor - Contract]:[Vendor - Contract]],$H31,CostTrack[[Holdback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31" s="504">
        <f ca="1">SUMIFS(CostTrack[[Value]:[Value]],CostTrack[[PA ID]:[PA ID]],$B31,CostTrack[[Vendor - Contract]:[Vendor - Contract]],$H31,CostTrack[[Holdback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31" s="504">
        <f ca="1">SUMIFS(CostTrack[[Value]:[Value]],CostTrack[[PA ID]:[PA ID]],$B31,CostTrack[[Vendor - Contract]:[Vendor - Contract]],$H31,CostTrack[[Holdback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31" s="504">
        <f ca="1">SUMIFS(CostTrack[[Value]:[Value]],CostTrack[[PA ID]:[PA ID]],$B31,CostTrack[[Vendor - Contract]:[Vendor - Contract]],$H31,CostTrack[[Holdback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31" s="504">
        <f ca="1">SUMIFS(CostTrack[[Value]:[Value]],CostTrack[[PA ID]:[PA ID]],$B31,CostTrack[[Vendor - Contract]:[Vendor - Contract]],$H31,CostTrack[[Holdback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31" s="504">
        <f ca="1">SUMIFS(CostTrack[[Value]:[Value]],CostTrack[[PA ID]:[PA ID]],$B31,CostTrack[[Vendor - Contract]:[Vendor - Contract]],$H31,CostTrack[[Holdback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31" s="504">
        <f ca="1">SUMIFS(CostTrack[[Value]:[Value]],CostTrack[[PA ID]:[PA ID]],$B31,CostTrack[[Vendor - Contract]:[Vendor - Contract]],$H31,CostTrack[[Holdback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31" s="504">
        <f ca="1">SUMIFS(CostTrack[[Value]:[Value]],CostTrack[[PA ID]:[PA ID]],$B31,CostTrack[[Vendor - Contract]:[Vendor - Contract]],$H31,CostTrack[[Holdback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31" s="504">
        <f ca="1">SUMIFS(CostTrack[[Value]:[Value]],CostTrack[[PA ID]:[PA ID]],$B31,CostTrack[[Vendor - Contract]:[Vendor - Contract]],$H31,CostTrack[[Holdback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31" s="506">
        <f t="shared" ca="1" si="16"/>
        <v>0</v>
      </c>
      <c r="AI31" s="504">
        <f ca="1">SUMIFS(CostTrack[[Value]:[Value]],CostTrack[[PA ID]:[PA ID]],$B31,CostTrack[[Vendor - Contract]:[Vendor - Contract]],$H31,CostTrack[[Holdback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31" s="504">
        <f ca="1">SUMIFS(CostTrack[[Value]:[Value]],CostTrack[[PA ID]:[PA ID]],$B31,CostTrack[[Vendor - Contract]:[Vendor - Contract]],$H31,CostTrack[[Holdback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31" s="504">
        <f ca="1">SUMIFS(CostTrack[[Value]:[Value]],CostTrack[[PA ID]:[PA ID]],$B31,CostTrack[[Vendor - Contract]:[Vendor - Contract]],$H31,CostTrack[[Holdback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31" s="504">
        <f ca="1">SUMIFS(CostTrack[[Value]:[Value]],CostTrack[[PA ID]:[PA ID]],$B31,CostTrack[[Vendor - Contract]:[Vendor - Contract]],$H31,CostTrack[[Holdback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31" s="504">
        <f ca="1">SUMIFS(CostTrack[[Value]:[Value]],CostTrack[[PA ID]:[PA ID]],$B31,CostTrack[[Vendor - Contract]:[Vendor - Contract]],$H31,CostTrack[[Holdback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31" s="504">
        <f ca="1">SUMIFS(CostTrack[[Value]:[Value]],CostTrack[[PA ID]:[PA ID]],$B31,CostTrack[[Vendor - Contract]:[Vendor - Contract]],$H31,CostTrack[[Holdback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31" s="504">
        <f ca="1">SUMIFS(CostTrack[[Value]:[Value]],CostTrack[[PA ID]:[PA ID]],$B31,CostTrack[[Vendor - Contract]:[Vendor - Contract]],$H31,CostTrack[[Holdback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31" s="504">
        <f ca="1">SUMIFS(CostTrack[[Value]:[Value]],CostTrack[[PA ID]:[PA ID]],$B31,CostTrack[[Vendor - Contract]:[Vendor - Contract]],$H31,CostTrack[[Holdback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31" s="504">
        <f ca="1">SUMIFS(CostTrack[[Value]:[Value]],CostTrack[[PA ID]:[PA ID]],$B31,CostTrack[[Vendor - Contract]:[Vendor - Contract]],$H31,CostTrack[[Holdback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31" s="504">
        <f ca="1">SUMIFS(CostTrack[[Value]:[Value]],CostTrack[[PA ID]:[PA ID]],$B31,CostTrack[[Vendor - Contract]:[Vendor - Contract]],$H31,CostTrack[[Holdback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31" s="504">
        <f ca="1">SUMIFS(CostTrack[[Value]:[Value]],CostTrack[[PA ID]:[PA ID]],$B31,CostTrack[[Vendor - Contract]:[Vendor - Contract]],$H31,CostTrack[[Holdback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31" s="504">
        <f ca="1">SUMIFS(CostTrack[[Value]:[Value]],CostTrack[[PA ID]:[PA ID]],$B31,CostTrack[[Vendor - Contract]:[Vendor - Contract]],$H31,CostTrack[[Holdback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31" s="512">
        <f t="shared" ca="1" si="17"/>
        <v>0</v>
      </c>
      <c r="AW31" s="504">
        <f ca="1">SUMIFS(CostTrack[[Value]:[Value]],CostTrack[[PA ID]:[PA ID]],$B31,CostTrack[[Vendor - Contract]:[Vendor - Contract]],$H31,CostTrack[[Holdback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31" s="504">
        <f ca="1">SUMIFS(CostTrack[[Value]:[Value]],CostTrack[[PA ID]:[PA ID]],$B31,CostTrack[[Vendor - Contract]:[Vendor - Contract]],$H31,CostTrack[[Holdback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31" s="504">
        <f ca="1">SUMIFS(CostTrack[[Value]:[Value]],CostTrack[[PA ID]:[PA ID]],$B31,CostTrack[[Vendor - Contract]:[Vendor - Contract]],$H31,CostTrack[[Holdback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31" s="504">
        <f ca="1">SUMIFS(CostTrack[[Value]:[Value]],CostTrack[[PA ID]:[PA ID]],$B31,CostTrack[[Vendor - Contract]:[Vendor - Contract]],$H31,CostTrack[[Holdback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31" s="504">
        <f ca="1">SUMIFS(CostTrack[[Value]:[Value]],CostTrack[[PA ID]:[PA ID]],$B31,CostTrack[[Vendor - Contract]:[Vendor - Contract]],$H31,CostTrack[[Holdback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31" s="504">
        <f ca="1">SUMIFS(CostTrack[[Value]:[Value]],CostTrack[[PA ID]:[PA ID]],$B31,CostTrack[[Vendor - Contract]:[Vendor - Contract]],$H31,CostTrack[[Holdback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31" s="504">
        <f ca="1">SUMIFS(CostTrack[[Value]:[Value]],CostTrack[[PA ID]:[PA ID]],$B31,CostTrack[[Vendor - Contract]:[Vendor - Contract]],$H31,CostTrack[[Holdback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31" s="504">
        <f ca="1">SUMIFS(CostTrack[[Value]:[Value]],CostTrack[[PA ID]:[PA ID]],$B31,CostTrack[[Vendor - Contract]:[Vendor - Contract]],$H31,CostTrack[[Holdback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31" s="504">
        <f ca="1">SUMIFS(CostTrack[[Value]:[Value]],CostTrack[[PA ID]:[PA ID]],$B31,CostTrack[[Vendor - Contract]:[Vendor - Contract]],$H31,CostTrack[[Holdback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31" s="504">
        <f ca="1">SUMIFS(CostTrack[[Value]:[Value]],CostTrack[[PA ID]:[PA ID]],$B31,CostTrack[[Vendor - Contract]:[Vendor - Contract]],$H31,CostTrack[[Holdback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31" s="504">
        <f ca="1">SUMIFS(CostTrack[[Value]:[Value]],CostTrack[[PA ID]:[PA ID]],$B31,CostTrack[[Vendor - Contract]:[Vendor - Contract]],$H31,CostTrack[[Holdback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31" s="504">
        <f ca="1">SUMIFS(CostTrack[[Value]:[Value]],CostTrack[[PA ID]:[PA ID]],$B31,CostTrack[[Vendor - Contract]:[Vendor - Contract]],$H31,CostTrack[[Holdback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31" s="512">
        <f t="shared" ca="1" si="18"/>
        <v>0</v>
      </c>
      <c r="BK31" s="504">
        <f ca="1">SUMIFS(CostTrack[[Value]:[Value]],CostTrack[[PA ID]:[PA ID]],$B31,CostTrack[[Vendor - Contract]:[Vendor - Contract]],$H31,CostTrack[[Holdback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31" s="504">
        <f ca="1">SUMIFS(CostTrack[[Value]:[Value]],CostTrack[[PA ID]:[PA ID]],$B31,CostTrack[[Vendor - Contract]:[Vendor - Contract]],$H31,CostTrack[[Holdback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31" s="504">
        <f ca="1">SUMIFS(CostTrack[[Value]:[Value]],CostTrack[[PA ID]:[PA ID]],$B31,CostTrack[[Vendor - Contract]:[Vendor - Contract]],$H31,CostTrack[[Holdback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31" s="504">
        <f ca="1">SUMIFS(CostTrack[[Value]:[Value]],CostTrack[[PA ID]:[PA ID]],$B31,CostTrack[[Vendor - Contract]:[Vendor - Contract]],$H31,CostTrack[[Holdback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31" s="504">
        <f ca="1">SUMIFS(CostTrack[[Value]:[Value]],CostTrack[[PA ID]:[PA ID]],$B31,CostTrack[[Vendor - Contract]:[Vendor - Contract]],$H31,CostTrack[[Holdback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31" s="504">
        <f ca="1">SUMIFS(CostTrack[[Value]:[Value]],CostTrack[[PA ID]:[PA ID]],$B31,CostTrack[[Vendor - Contract]:[Vendor - Contract]],$H31,CostTrack[[Holdback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31" s="504">
        <f ca="1">SUMIFS(CostTrack[[Value]:[Value]],CostTrack[[PA ID]:[PA ID]],$B31,CostTrack[[Vendor - Contract]:[Vendor - Contract]],$H31,CostTrack[[Holdback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31" s="504">
        <f ca="1">SUMIFS(CostTrack[[Value]:[Value]],CostTrack[[PA ID]:[PA ID]],$B31,CostTrack[[Vendor - Contract]:[Vendor - Contract]],$H31,CostTrack[[Holdback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31" s="504">
        <f ca="1">SUMIFS(CostTrack[[Value]:[Value]],CostTrack[[PA ID]:[PA ID]],$B31,CostTrack[[Vendor - Contract]:[Vendor - Contract]],$H31,CostTrack[[Holdback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31" s="504">
        <f ca="1">SUMIFS(CostTrack[[Value]:[Value]],CostTrack[[PA ID]:[PA ID]],$B31,CostTrack[[Vendor - Contract]:[Vendor - Contract]],$H31,CostTrack[[Holdback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31" s="504">
        <f ca="1">SUMIFS(CostTrack[[Value]:[Value]],CostTrack[[PA ID]:[PA ID]],$B31,CostTrack[[Vendor - Contract]:[Vendor - Contract]],$H31,CostTrack[[Holdback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31" s="504">
        <f ca="1">SUMIFS(CostTrack[[Value]:[Value]],CostTrack[[PA ID]:[PA ID]],$B31,CostTrack[[Vendor - Contract]:[Vendor - Contract]],$H31,CostTrack[[Holdback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31" s="512">
        <f t="shared" ca="1" si="19"/>
        <v>0</v>
      </c>
      <c r="BY31" s="504">
        <f ca="1">SUMIFS(CostTrack[[Value]:[Value]],CostTrack[[PA ID]:[PA ID]],$B31,CostTrack[[Vendor - Contract]:[Vendor - Contract]],$H31,CostTrack[[Holdback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31" s="504">
        <f ca="1">SUMIFS(CostTrack[[Value]:[Value]],CostTrack[[PA ID]:[PA ID]],$B31,CostTrack[[Vendor - Contract]:[Vendor - Contract]],$H31,CostTrack[[Holdback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31" s="504">
        <f ca="1">SUMIFS(CostTrack[[Value]:[Value]],CostTrack[[PA ID]:[PA ID]],$B31,CostTrack[[Vendor - Contract]:[Vendor - Contract]],$H31,CostTrack[[Holdback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31" s="504">
        <f ca="1">SUMIFS(CostTrack[[Value]:[Value]],CostTrack[[PA ID]:[PA ID]],$B31,CostTrack[[Vendor - Contract]:[Vendor - Contract]],$H31,CostTrack[[Holdback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31" s="504">
        <f ca="1">SUMIFS(CostTrack[[Value]:[Value]],CostTrack[[PA ID]:[PA ID]],$B31,CostTrack[[Vendor - Contract]:[Vendor - Contract]],$H31,CostTrack[[Holdback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31" s="504">
        <f ca="1">SUMIFS(CostTrack[[Value]:[Value]],CostTrack[[PA ID]:[PA ID]],$B31,CostTrack[[Vendor - Contract]:[Vendor - Contract]],$H31,CostTrack[[Holdback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31" s="504">
        <f ca="1">SUMIFS(CostTrack[[Value]:[Value]],CostTrack[[PA ID]:[PA ID]],$B31,CostTrack[[Vendor - Contract]:[Vendor - Contract]],$H31,CostTrack[[Holdback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31" s="504">
        <f ca="1">SUMIFS(CostTrack[[Value]:[Value]],CostTrack[[PA ID]:[PA ID]],$B31,CostTrack[[Vendor - Contract]:[Vendor - Contract]],$H31,CostTrack[[Holdback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31" s="504">
        <f ca="1">SUMIFS(CostTrack[[Value]:[Value]],CostTrack[[PA ID]:[PA ID]],$B31,CostTrack[[Vendor - Contract]:[Vendor - Contract]],$H31,CostTrack[[Holdback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31" s="504">
        <f ca="1">SUMIFS(CostTrack[[Value]:[Value]],CostTrack[[PA ID]:[PA ID]],$B31,CostTrack[[Vendor - Contract]:[Vendor - Contract]],$H31,CostTrack[[Holdback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31" s="504">
        <f ca="1">SUMIFS(CostTrack[[Value]:[Value]],CostTrack[[PA ID]:[PA ID]],$B31,CostTrack[[Vendor - Contract]:[Vendor - Contract]],$H31,CostTrack[[Holdback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31" s="504">
        <f ca="1">SUMIFS(CostTrack[[Value]:[Value]],CostTrack[[PA ID]:[PA ID]],$B31,CostTrack[[Vendor - Contract]:[Vendor - Contract]],$H31,CostTrack[[Holdback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31" s="512">
        <f t="shared" ca="1" si="20"/>
        <v>0</v>
      </c>
      <c r="CM31" s="504">
        <f ca="1">SUMIFS(CostTrack[[Value]:[Value]],CostTrack[[PA ID]:[PA ID]],$B31,CostTrack[[Vendor - Contract]:[Vendor - Contract]],$H31,CostTrack[[Holdback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31" s="504">
        <f ca="1">SUMIFS(CostTrack[[Value]:[Value]],CostTrack[[PA ID]:[PA ID]],$B31,CostTrack[[Vendor - Contract]:[Vendor - Contract]],$H31,CostTrack[[Holdback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31" s="504">
        <f ca="1">SUMIFS(CostTrack[[Value]:[Value]],CostTrack[[PA ID]:[PA ID]],$B31,CostTrack[[Vendor - Contract]:[Vendor - Contract]],$H31,CostTrack[[Holdback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31" s="504">
        <f ca="1">SUMIFS(CostTrack[[Value]:[Value]],CostTrack[[PA ID]:[PA ID]],$B31,CostTrack[[Vendor - Contract]:[Vendor - Contract]],$H31,CostTrack[[Holdback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31" s="504">
        <f ca="1">SUMIFS(CostTrack[[Value]:[Value]],CostTrack[[PA ID]:[PA ID]],$B31,CostTrack[[Vendor - Contract]:[Vendor - Contract]],$H31,CostTrack[[Holdback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31" s="504">
        <f ca="1">SUMIFS(CostTrack[[Value]:[Value]],CostTrack[[PA ID]:[PA ID]],$B31,CostTrack[[Vendor - Contract]:[Vendor - Contract]],$H31,CostTrack[[Holdback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31" s="504">
        <f ca="1">SUMIFS(CostTrack[[Value]:[Value]],CostTrack[[PA ID]:[PA ID]],$B31,CostTrack[[Vendor - Contract]:[Vendor - Contract]],$H31,CostTrack[[Holdback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31" s="504">
        <f ca="1">SUMIFS(CostTrack[[Value]:[Value]],CostTrack[[PA ID]:[PA ID]],$B31,CostTrack[[Vendor - Contract]:[Vendor - Contract]],$H31,CostTrack[[Holdback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31" s="504">
        <f ca="1">SUMIFS(CostTrack[[Value]:[Value]],CostTrack[[PA ID]:[PA ID]],$B31,CostTrack[[Vendor - Contract]:[Vendor - Contract]],$H31,CostTrack[[Holdback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31" s="504">
        <f ca="1">SUMIFS(CostTrack[[Value]:[Value]],CostTrack[[PA ID]:[PA ID]],$B31,CostTrack[[Vendor - Contract]:[Vendor - Contract]],$H31,CostTrack[[Holdback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31" s="504">
        <f ca="1">SUMIFS(CostTrack[[Value]:[Value]],CostTrack[[PA ID]:[PA ID]],$B31,CostTrack[[Vendor - Contract]:[Vendor - Contract]],$H31,CostTrack[[Holdback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31" s="504">
        <f ca="1">SUMIFS(CostTrack[[Value]:[Value]],CostTrack[[PA ID]:[PA ID]],$B31,CostTrack[[Vendor - Contract]:[Vendor - Contract]],$H31,CostTrack[[Holdback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31" s="512">
        <f t="shared" ca="1" si="21"/>
        <v>0</v>
      </c>
      <c r="DA31" s="504">
        <f ca="1">SUMIFS(CostTrack[[Value]:[Value]],CostTrack[[PA ID]:[PA ID]],$B31,CostTrack[[Vendor - Contract]:[Vendor - Contract]],$H31,CostTrack[[Holdback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31" s="504">
        <f ca="1">SUMIFS(CostTrack[[Value]:[Value]],CostTrack[[PA ID]:[PA ID]],$B31,CostTrack[[Vendor - Contract]:[Vendor - Contract]],$H31,CostTrack[[Holdback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31" s="504">
        <f ca="1">SUMIFS(CostTrack[[Value]:[Value]],CostTrack[[PA ID]:[PA ID]],$B31,CostTrack[[Vendor - Contract]:[Vendor - Contract]],$H31,CostTrack[[Holdback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31" s="504">
        <f ca="1">SUMIFS(CostTrack[[Value]:[Value]],CostTrack[[PA ID]:[PA ID]],$B31,CostTrack[[Vendor - Contract]:[Vendor - Contract]],$H31,CostTrack[[Holdback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31" s="504">
        <f ca="1">SUMIFS(CostTrack[[Value]:[Value]],CostTrack[[PA ID]:[PA ID]],$B31,CostTrack[[Vendor - Contract]:[Vendor - Contract]],$H31,CostTrack[[Holdback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31" s="504">
        <f ca="1">SUMIFS(CostTrack[[Value]:[Value]],CostTrack[[PA ID]:[PA ID]],$B31,CostTrack[[Vendor - Contract]:[Vendor - Contract]],$H31,CostTrack[[Holdback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31" s="504">
        <f ca="1">SUMIFS(CostTrack[[Value]:[Value]],CostTrack[[PA ID]:[PA ID]],$B31,CostTrack[[Vendor - Contract]:[Vendor - Contract]],$H31,CostTrack[[Holdback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31" s="504">
        <f ca="1">SUMIFS(CostTrack[[Value]:[Value]],CostTrack[[PA ID]:[PA ID]],$B31,CostTrack[[Vendor - Contract]:[Vendor - Contract]],$H31,CostTrack[[Holdback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31" s="504">
        <f ca="1">SUMIFS(CostTrack[[Value]:[Value]],CostTrack[[PA ID]:[PA ID]],$B31,CostTrack[[Vendor - Contract]:[Vendor - Contract]],$H31,CostTrack[[Holdback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31" s="504">
        <f ca="1">SUMIFS(CostTrack[[Value]:[Value]],CostTrack[[PA ID]:[PA ID]],$B31,CostTrack[[Vendor - Contract]:[Vendor - Contract]],$H31,CostTrack[[Holdback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31" s="504">
        <f ca="1">SUMIFS(CostTrack[[Value]:[Value]],CostTrack[[PA ID]:[PA ID]],$B31,CostTrack[[Vendor - Contract]:[Vendor - Contract]],$H31,CostTrack[[Holdback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31" s="504">
        <f ca="1">SUMIFS(CostTrack[[Value]:[Value]],CostTrack[[PA ID]:[PA ID]],$B31,CostTrack[[Vendor - Contract]:[Vendor - Contract]],$H31,CostTrack[[Holdback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31" s="512">
        <f t="shared" ca="1" si="22"/>
        <v>0</v>
      </c>
      <c r="DO31" s="504">
        <f ca="1">SUMIFS(CostTrack[[Value]:[Value]],CostTrack[[PA ID]:[PA ID]],$B31,CostTrack[[Vendor - Contract]:[Vendor - Contract]],$H31,CostTrack[[Holdback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31" s="504">
        <f ca="1">SUMIFS(CostTrack[[Value]:[Value]],CostTrack[[PA ID]:[PA ID]],$B31,CostTrack[[Vendor - Contract]:[Vendor - Contract]],$H31,CostTrack[[Holdback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31" s="504">
        <f ca="1">SUMIFS(CostTrack[[Value]:[Value]],CostTrack[[PA ID]:[PA ID]],$B31,CostTrack[[Vendor - Contract]:[Vendor - Contract]],$H31,CostTrack[[Holdback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31" s="504">
        <f ca="1">SUMIFS(CostTrack[[Value]:[Value]],CostTrack[[PA ID]:[PA ID]],$B31,CostTrack[[Vendor - Contract]:[Vendor - Contract]],$H31,CostTrack[[Holdback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31" s="504">
        <f ca="1">SUMIFS(CostTrack[[Value]:[Value]],CostTrack[[PA ID]:[PA ID]],$B31,CostTrack[[Vendor - Contract]:[Vendor - Contract]],$H31,CostTrack[[Holdback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31" s="504">
        <f ca="1">SUMIFS(CostTrack[[Value]:[Value]],CostTrack[[PA ID]:[PA ID]],$B31,CostTrack[[Vendor - Contract]:[Vendor - Contract]],$H31,CostTrack[[Holdback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31" s="504">
        <f ca="1">SUMIFS(CostTrack[[Value]:[Value]],CostTrack[[PA ID]:[PA ID]],$B31,CostTrack[[Vendor - Contract]:[Vendor - Contract]],$H31,CostTrack[[Holdback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31" s="504">
        <f ca="1">SUMIFS(CostTrack[[Value]:[Value]],CostTrack[[PA ID]:[PA ID]],$B31,CostTrack[[Vendor - Contract]:[Vendor - Contract]],$H31,CostTrack[[Holdback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31" s="504">
        <f ca="1">SUMIFS(CostTrack[[Value]:[Value]],CostTrack[[PA ID]:[PA ID]],$B31,CostTrack[[Vendor - Contract]:[Vendor - Contract]],$H31,CostTrack[[Holdback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31" s="504">
        <f ca="1">SUMIFS(CostTrack[[Value]:[Value]],CostTrack[[PA ID]:[PA ID]],$B31,CostTrack[[Vendor - Contract]:[Vendor - Contract]],$H31,CostTrack[[Holdback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31" s="504">
        <f ca="1">SUMIFS(CostTrack[[Value]:[Value]],CostTrack[[PA ID]:[PA ID]],$B31,CostTrack[[Vendor - Contract]:[Vendor - Contract]],$H31,CostTrack[[Holdback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31" s="504">
        <f ca="1">SUMIFS(CostTrack[[Value]:[Value]],CostTrack[[PA ID]:[PA ID]],$B31,CostTrack[[Vendor - Contract]:[Vendor - Contract]],$H31,CostTrack[[Holdback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31" s="512">
        <f t="shared" ca="1" si="23"/>
        <v>0</v>
      </c>
      <c r="EC31" s="504">
        <f ca="1">SUMIFS(CostTrack[[Value]:[Value]],CostTrack[[PA ID]:[PA ID]],$B31,CostTrack[[Vendor - Contract]:[Vendor - Contract]],$H31,CostTrack[[Holdback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31" s="505"/>
      <c r="EE31" s="505"/>
      <c r="EF31" s="505"/>
      <c r="EG31" s="505"/>
      <c r="EH31" s="505"/>
      <c r="EI31" s="505"/>
      <c r="EJ31" s="505"/>
      <c r="EK31" s="505"/>
      <c r="EL31" s="505"/>
      <c r="EM31" s="505"/>
      <c r="EN31" s="505"/>
      <c r="EO31" s="512">
        <f t="shared" ca="1" si="24"/>
        <v>0</v>
      </c>
      <c r="EQ31" s="505"/>
      <c r="ER31" s="505"/>
      <c r="ES31" s="505"/>
      <c r="ET31" s="505"/>
      <c r="EU31" s="505"/>
      <c r="EV31" s="505"/>
      <c r="EW31" s="505"/>
      <c r="EX31" s="505"/>
      <c r="EY31" s="505"/>
      <c r="EZ31" s="505"/>
      <c r="FA31" s="505"/>
      <c r="FB31" s="505"/>
      <c r="FC31" s="512">
        <f t="shared" si="25"/>
        <v>0</v>
      </c>
      <c r="FE31" s="505"/>
      <c r="FF31" s="505"/>
      <c r="FG31" s="505"/>
      <c r="FH31" s="505"/>
      <c r="FI31" s="505"/>
      <c r="FJ31" s="505"/>
      <c r="FK31" s="505"/>
      <c r="FL31" s="505"/>
      <c r="FM31" s="505"/>
      <c r="FN31" s="505"/>
      <c r="FO31" s="505"/>
      <c r="FP31" s="505"/>
      <c r="FQ31" s="512">
        <f t="shared" si="26"/>
        <v>0</v>
      </c>
      <c r="FS31" s="504">
        <f t="shared" ca="1" si="27"/>
        <v>0</v>
      </c>
    </row>
    <row r="32" spans="1:175">
      <c r="A32" s="216">
        <v>25</v>
      </c>
      <c r="B32" s="219" t="str">
        <f ca="1">INDEX(EAC[PA ID],MATCH($A32,EAC[Row],0))</f>
        <v>400.010.F1</v>
      </c>
      <c r="C32" s="218" t="str">
        <f ca="1">INDEX(EAC[Primary Category],MATCH($A32,EAC[Row],0))</f>
        <v>FE_IT</v>
      </c>
      <c r="D32" s="218" t="str">
        <f ca="1">INDEX(EAC[Secondary Category],MATCH($A32,EAC[Row],0))</f>
        <v>Furniture &amp; Equipment</v>
      </c>
      <c r="E32" s="109" t="str">
        <f ca="1">INDEX(EAC[Phase / Subproject],MATCH($A32,EAC[Row],0))</f>
        <v>--</v>
      </c>
      <c r="F32" s="109" t="str">
        <f ca="1">INDEX(EAC[Phase / Subproject 2],MATCH($A32,EAC[Row],0))</f>
        <v>--</v>
      </c>
      <c r="G32" s="109" t="str">
        <f ca="1">INDEX(EAC[Funding Source],MATCH($A32,EAC[Row],0))</f>
        <v>P-002360</v>
      </c>
      <c r="H32" s="146" t="str">
        <f ca="1">INDEX(EAC[Vendor / Org. with Contract ID],MATCH($A32,EAC[Row],0))</f>
        <v>Allwest Fursnishing Ltd.-Workstations-9000075816</v>
      </c>
      <c r="I32" s="502">
        <f ca="1">INDEX(EAC[Estimate At Completion],MATCH($A32,EAC[Row],0))</f>
        <v>1012070.93</v>
      </c>
      <c r="J32" s="502">
        <f ca="1">SUMIFS(CostTrack[Value],CostTrack[Vendor - Contract],$H32,CostTrack[PA ID],$B32,CostTrack[Holdback (Y/N/R)],"&lt;&gt;Release",CostTrack[Status],"Approved")</f>
        <v>1012070.93</v>
      </c>
      <c r="K32" s="503">
        <f t="shared" ca="1" si="14"/>
        <v>0</v>
      </c>
      <c r="M32" s="504">
        <f t="shared" ca="1" si="15"/>
        <v>0</v>
      </c>
      <c r="O32" s="504">
        <f t="shared" ca="1" si="11"/>
        <v>1012070.93</v>
      </c>
      <c r="P32" s="504">
        <f t="array" aca="1" ref="P32" ca="1">SUM($U32:$FQ32*_xlfn.ISFORMULA($U32:$FQ32)*ISNUMBER($U$7:$FQ$7)*--(INDEX($U$6:$FQ$6,N(IF({1},COLUMN($U$6:$FQ$6)-COLUMN($T$6)))-MOD(N(IF({1},COLUMN($U$6:$FQ$6)-COLUMN($U$6))),14))="Current Fiscal"))</f>
        <v>0</v>
      </c>
      <c r="Q32" s="504">
        <f t="array" aca="1" ref="Q32" ca="1">SUM($U32:$FQ32*NOT(_xlfn.ISFORMULA($U32:$FQ32))*ISNUMBER($U$7:$FQ$7)*--(INDEX($U$6:$FQ$6,N(IF({1},COLUMN($U$6:$FQ$6)-COLUMN($T$6)))-MOD(N(IF({1},COLUMN($U$6:$FQ$6)-COLUMN($U$6))),14))="Current Fiscal"))</f>
        <v>0</v>
      </c>
      <c r="R32" s="504">
        <f t="shared" ca="1" si="12"/>
        <v>0</v>
      </c>
      <c r="S32" s="504">
        <f t="shared" ca="1" si="13"/>
        <v>0</v>
      </c>
      <c r="U32" s="504">
        <f ca="1">SUMIFS(CostTrack[[Value]:[Value]],CostTrack[[PA ID]:[PA ID]],$B32,CostTrack[[Vendor - Contract]:[Vendor - Contract]],$H32,CostTrack[[Holdback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32" s="504">
        <f ca="1">SUMIFS(CostTrack[[Value]:[Value]],CostTrack[[PA ID]:[PA ID]],$B32,CostTrack[[Vendor - Contract]:[Vendor - Contract]],$H32,CostTrack[[Holdback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32" s="504">
        <f ca="1">SUMIFS(CostTrack[[Value]:[Value]],CostTrack[[PA ID]:[PA ID]],$B32,CostTrack[[Vendor - Contract]:[Vendor - Contract]],$H32,CostTrack[[Holdback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32" s="504">
        <f ca="1">SUMIFS(CostTrack[[Value]:[Value]],CostTrack[[PA ID]:[PA ID]],$B32,CostTrack[[Vendor - Contract]:[Vendor - Contract]],$H32,CostTrack[[Holdback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32" s="504">
        <f ca="1">SUMIFS(CostTrack[[Value]:[Value]],CostTrack[[PA ID]:[PA ID]],$B32,CostTrack[[Vendor - Contract]:[Vendor - Contract]],$H32,CostTrack[[Holdback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32" s="504">
        <f ca="1">SUMIFS(CostTrack[[Value]:[Value]],CostTrack[[PA ID]:[PA ID]],$B32,CostTrack[[Vendor - Contract]:[Vendor - Contract]],$H32,CostTrack[[Holdback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32" s="504">
        <f ca="1">SUMIFS(CostTrack[[Value]:[Value]],CostTrack[[PA ID]:[PA ID]],$B32,CostTrack[[Vendor - Contract]:[Vendor - Contract]],$H32,CostTrack[[Holdback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32" s="504">
        <f ca="1">SUMIFS(CostTrack[[Value]:[Value]],CostTrack[[PA ID]:[PA ID]],$B32,CostTrack[[Vendor - Contract]:[Vendor - Contract]],$H32,CostTrack[[Holdback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32" s="504">
        <f ca="1">SUMIFS(CostTrack[[Value]:[Value]],CostTrack[[PA ID]:[PA ID]],$B32,CostTrack[[Vendor - Contract]:[Vendor - Contract]],$H32,CostTrack[[Holdback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32" s="504">
        <f ca="1">SUMIFS(CostTrack[[Value]:[Value]],CostTrack[[PA ID]:[PA ID]],$B32,CostTrack[[Vendor - Contract]:[Vendor - Contract]],$H32,CostTrack[[Holdback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32" s="504">
        <f ca="1">SUMIFS(CostTrack[[Value]:[Value]],CostTrack[[PA ID]:[PA ID]],$B32,CostTrack[[Vendor - Contract]:[Vendor - Contract]],$H32,CostTrack[[Holdback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32" s="504">
        <f ca="1">SUMIFS(CostTrack[[Value]:[Value]],CostTrack[[PA ID]:[PA ID]],$B32,CostTrack[[Vendor - Contract]:[Vendor - Contract]],$H32,CostTrack[[Holdback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32" s="506">
        <f t="shared" ca="1" si="16"/>
        <v>0</v>
      </c>
      <c r="AI32" s="504">
        <f ca="1">SUMIFS(CostTrack[[Value]:[Value]],CostTrack[[PA ID]:[PA ID]],$B32,CostTrack[[Vendor - Contract]:[Vendor - Contract]],$H32,CostTrack[[Holdback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32" s="504">
        <f ca="1">SUMIFS(CostTrack[[Value]:[Value]],CostTrack[[PA ID]:[PA ID]],$B32,CostTrack[[Vendor - Contract]:[Vendor - Contract]],$H32,CostTrack[[Holdback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32" s="504">
        <f ca="1">SUMIFS(CostTrack[[Value]:[Value]],CostTrack[[PA ID]:[PA ID]],$B32,CostTrack[[Vendor - Contract]:[Vendor - Contract]],$H32,CostTrack[[Holdback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32" s="504">
        <f ca="1">SUMIFS(CostTrack[[Value]:[Value]],CostTrack[[PA ID]:[PA ID]],$B32,CostTrack[[Vendor - Contract]:[Vendor - Contract]],$H32,CostTrack[[Holdback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32" s="504">
        <f ca="1">SUMIFS(CostTrack[[Value]:[Value]],CostTrack[[PA ID]:[PA ID]],$B32,CostTrack[[Vendor - Contract]:[Vendor - Contract]],$H32,CostTrack[[Holdback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32" s="504">
        <f ca="1">SUMIFS(CostTrack[[Value]:[Value]],CostTrack[[PA ID]:[PA ID]],$B32,CostTrack[[Vendor - Contract]:[Vendor - Contract]],$H32,CostTrack[[Holdback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32" s="504">
        <f ca="1">SUMIFS(CostTrack[[Value]:[Value]],CostTrack[[PA ID]:[PA ID]],$B32,CostTrack[[Vendor - Contract]:[Vendor - Contract]],$H32,CostTrack[[Holdback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32" s="504">
        <f ca="1">SUMIFS(CostTrack[[Value]:[Value]],CostTrack[[PA ID]:[PA ID]],$B32,CostTrack[[Vendor - Contract]:[Vendor - Contract]],$H32,CostTrack[[Holdback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32" s="504">
        <f ca="1">SUMIFS(CostTrack[[Value]:[Value]],CostTrack[[PA ID]:[PA ID]],$B32,CostTrack[[Vendor - Contract]:[Vendor - Contract]],$H32,CostTrack[[Holdback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32" s="504">
        <f ca="1">SUMIFS(CostTrack[[Value]:[Value]],CostTrack[[PA ID]:[PA ID]],$B32,CostTrack[[Vendor - Contract]:[Vendor - Contract]],$H32,CostTrack[[Holdback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32" s="504">
        <f ca="1">SUMIFS(CostTrack[[Value]:[Value]],CostTrack[[PA ID]:[PA ID]],$B32,CostTrack[[Vendor - Contract]:[Vendor - Contract]],$H32,CostTrack[[Holdback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32" s="504">
        <f ca="1">SUMIFS(CostTrack[[Value]:[Value]],CostTrack[[PA ID]:[PA ID]],$B32,CostTrack[[Vendor - Contract]:[Vendor - Contract]],$H32,CostTrack[[Holdback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32" s="512">
        <f t="shared" ca="1" si="17"/>
        <v>0</v>
      </c>
      <c r="AW32" s="504">
        <f ca="1">SUMIFS(CostTrack[[Value]:[Value]],CostTrack[[PA ID]:[PA ID]],$B32,CostTrack[[Vendor - Contract]:[Vendor - Contract]],$H32,CostTrack[[Holdback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32" s="504">
        <f ca="1">SUMIFS(CostTrack[[Value]:[Value]],CostTrack[[PA ID]:[PA ID]],$B32,CostTrack[[Vendor - Contract]:[Vendor - Contract]],$H32,CostTrack[[Holdback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32" s="504">
        <f ca="1">SUMIFS(CostTrack[[Value]:[Value]],CostTrack[[PA ID]:[PA ID]],$B32,CostTrack[[Vendor - Contract]:[Vendor - Contract]],$H32,CostTrack[[Holdback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32" s="504">
        <f ca="1">SUMIFS(CostTrack[[Value]:[Value]],CostTrack[[PA ID]:[PA ID]],$B32,CostTrack[[Vendor - Contract]:[Vendor - Contract]],$H32,CostTrack[[Holdback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32" s="504">
        <f ca="1">SUMIFS(CostTrack[[Value]:[Value]],CostTrack[[PA ID]:[PA ID]],$B32,CostTrack[[Vendor - Contract]:[Vendor - Contract]],$H32,CostTrack[[Holdback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32" s="504">
        <f ca="1">SUMIFS(CostTrack[[Value]:[Value]],CostTrack[[PA ID]:[PA ID]],$B32,CostTrack[[Vendor - Contract]:[Vendor - Contract]],$H32,CostTrack[[Holdback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32" s="504">
        <f ca="1">SUMIFS(CostTrack[[Value]:[Value]],CostTrack[[PA ID]:[PA ID]],$B32,CostTrack[[Vendor - Contract]:[Vendor - Contract]],$H32,CostTrack[[Holdback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32" s="504">
        <f ca="1">SUMIFS(CostTrack[[Value]:[Value]],CostTrack[[PA ID]:[PA ID]],$B32,CostTrack[[Vendor - Contract]:[Vendor - Contract]],$H32,CostTrack[[Holdback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32" s="504">
        <f ca="1">SUMIFS(CostTrack[[Value]:[Value]],CostTrack[[PA ID]:[PA ID]],$B32,CostTrack[[Vendor - Contract]:[Vendor - Contract]],$H32,CostTrack[[Holdback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32" s="504">
        <f ca="1">SUMIFS(CostTrack[[Value]:[Value]],CostTrack[[PA ID]:[PA ID]],$B32,CostTrack[[Vendor - Contract]:[Vendor - Contract]],$H32,CostTrack[[Holdback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32" s="504">
        <f ca="1">SUMIFS(CostTrack[[Value]:[Value]],CostTrack[[PA ID]:[PA ID]],$B32,CostTrack[[Vendor - Contract]:[Vendor - Contract]],$H32,CostTrack[[Holdback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32" s="504">
        <f ca="1">SUMIFS(CostTrack[[Value]:[Value]],CostTrack[[PA ID]:[PA ID]],$B32,CostTrack[[Vendor - Contract]:[Vendor - Contract]],$H32,CostTrack[[Holdback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32" s="512">
        <f t="shared" ca="1" si="18"/>
        <v>0</v>
      </c>
      <c r="BK32" s="504">
        <f ca="1">SUMIFS(CostTrack[[Value]:[Value]],CostTrack[[PA ID]:[PA ID]],$B32,CostTrack[[Vendor - Contract]:[Vendor - Contract]],$H32,CostTrack[[Holdback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32" s="504">
        <f ca="1">SUMIFS(CostTrack[[Value]:[Value]],CostTrack[[PA ID]:[PA ID]],$B32,CostTrack[[Vendor - Contract]:[Vendor - Contract]],$H32,CostTrack[[Holdback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32" s="504">
        <f ca="1">SUMIFS(CostTrack[[Value]:[Value]],CostTrack[[PA ID]:[PA ID]],$B32,CostTrack[[Vendor - Contract]:[Vendor - Contract]],$H32,CostTrack[[Holdback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32" s="504">
        <f ca="1">SUMIFS(CostTrack[[Value]:[Value]],CostTrack[[PA ID]:[PA ID]],$B32,CostTrack[[Vendor - Contract]:[Vendor - Contract]],$H32,CostTrack[[Holdback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32" s="504">
        <f ca="1">SUMIFS(CostTrack[[Value]:[Value]],CostTrack[[PA ID]:[PA ID]],$B32,CostTrack[[Vendor - Contract]:[Vendor - Contract]],$H32,CostTrack[[Holdback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32" s="504">
        <f ca="1">SUMIFS(CostTrack[[Value]:[Value]],CostTrack[[PA ID]:[PA ID]],$B32,CostTrack[[Vendor - Contract]:[Vendor - Contract]],$H32,CostTrack[[Holdback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32" s="504">
        <f ca="1">SUMIFS(CostTrack[[Value]:[Value]],CostTrack[[PA ID]:[PA ID]],$B32,CostTrack[[Vendor - Contract]:[Vendor - Contract]],$H32,CostTrack[[Holdback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32" s="504">
        <f ca="1">SUMIFS(CostTrack[[Value]:[Value]],CostTrack[[PA ID]:[PA ID]],$B32,CostTrack[[Vendor - Contract]:[Vendor - Contract]],$H32,CostTrack[[Holdback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32" s="504">
        <f ca="1">SUMIFS(CostTrack[[Value]:[Value]],CostTrack[[PA ID]:[PA ID]],$B32,CostTrack[[Vendor - Contract]:[Vendor - Contract]],$H32,CostTrack[[Holdback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32" s="504">
        <f ca="1">SUMIFS(CostTrack[[Value]:[Value]],CostTrack[[PA ID]:[PA ID]],$B32,CostTrack[[Vendor - Contract]:[Vendor - Contract]],$H32,CostTrack[[Holdback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32" s="504">
        <f ca="1">SUMIFS(CostTrack[[Value]:[Value]],CostTrack[[PA ID]:[PA ID]],$B32,CostTrack[[Vendor - Contract]:[Vendor - Contract]],$H32,CostTrack[[Holdback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32" s="504">
        <f ca="1">SUMIFS(CostTrack[[Value]:[Value]],CostTrack[[PA ID]:[PA ID]],$B32,CostTrack[[Vendor - Contract]:[Vendor - Contract]],$H32,CostTrack[[Holdback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32" s="512">
        <f t="shared" ca="1" si="19"/>
        <v>0</v>
      </c>
      <c r="BY32" s="504">
        <f ca="1">SUMIFS(CostTrack[[Value]:[Value]],CostTrack[[PA ID]:[PA ID]],$B32,CostTrack[[Vendor - Contract]:[Vendor - Contract]],$H32,CostTrack[[Holdback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32" s="504">
        <f ca="1">SUMIFS(CostTrack[[Value]:[Value]],CostTrack[[PA ID]:[PA ID]],$B32,CostTrack[[Vendor - Contract]:[Vendor - Contract]],$H32,CostTrack[[Holdback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32" s="504">
        <f ca="1">SUMIFS(CostTrack[[Value]:[Value]],CostTrack[[PA ID]:[PA ID]],$B32,CostTrack[[Vendor - Contract]:[Vendor - Contract]],$H32,CostTrack[[Holdback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32" s="504">
        <f ca="1">SUMIFS(CostTrack[[Value]:[Value]],CostTrack[[PA ID]:[PA ID]],$B32,CostTrack[[Vendor - Contract]:[Vendor - Contract]],$H32,CostTrack[[Holdback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32" s="504">
        <f ca="1">SUMIFS(CostTrack[[Value]:[Value]],CostTrack[[PA ID]:[PA ID]],$B32,CostTrack[[Vendor - Contract]:[Vendor - Contract]],$H32,CostTrack[[Holdback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32" s="504">
        <f ca="1">SUMIFS(CostTrack[[Value]:[Value]],CostTrack[[PA ID]:[PA ID]],$B32,CostTrack[[Vendor - Contract]:[Vendor - Contract]],$H32,CostTrack[[Holdback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32" s="504">
        <f ca="1">SUMIFS(CostTrack[[Value]:[Value]],CostTrack[[PA ID]:[PA ID]],$B32,CostTrack[[Vendor - Contract]:[Vendor - Contract]],$H32,CostTrack[[Holdback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32" s="504">
        <f ca="1">SUMIFS(CostTrack[[Value]:[Value]],CostTrack[[PA ID]:[PA ID]],$B32,CostTrack[[Vendor - Contract]:[Vendor - Contract]],$H32,CostTrack[[Holdback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32" s="504">
        <f ca="1">SUMIFS(CostTrack[[Value]:[Value]],CostTrack[[PA ID]:[PA ID]],$B32,CostTrack[[Vendor - Contract]:[Vendor - Contract]],$H32,CostTrack[[Holdback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32" s="504">
        <f ca="1">SUMIFS(CostTrack[[Value]:[Value]],CostTrack[[PA ID]:[PA ID]],$B32,CostTrack[[Vendor - Contract]:[Vendor - Contract]],$H32,CostTrack[[Holdback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32" s="504">
        <f ca="1">SUMIFS(CostTrack[[Value]:[Value]],CostTrack[[PA ID]:[PA ID]],$B32,CostTrack[[Vendor - Contract]:[Vendor - Contract]],$H32,CostTrack[[Holdback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32" s="504">
        <f ca="1">SUMIFS(CostTrack[[Value]:[Value]],CostTrack[[PA ID]:[PA ID]],$B32,CostTrack[[Vendor - Contract]:[Vendor - Contract]],$H32,CostTrack[[Holdback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32" s="512">
        <f t="shared" ca="1" si="20"/>
        <v>0</v>
      </c>
      <c r="CM32" s="504">
        <f ca="1">SUMIFS(CostTrack[[Value]:[Value]],CostTrack[[PA ID]:[PA ID]],$B32,CostTrack[[Vendor - Contract]:[Vendor - Contract]],$H32,CostTrack[[Holdback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32" s="504">
        <f ca="1">SUMIFS(CostTrack[[Value]:[Value]],CostTrack[[PA ID]:[PA ID]],$B32,CostTrack[[Vendor - Contract]:[Vendor - Contract]],$H32,CostTrack[[Holdback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32" s="504">
        <f ca="1">SUMIFS(CostTrack[[Value]:[Value]],CostTrack[[PA ID]:[PA ID]],$B32,CostTrack[[Vendor - Contract]:[Vendor - Contract]],$H32,CostTrack[[Holdback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32" s="504">
        <f ca="1">SUMIFS(CostTrack[[Value]:[Value]],CostTrack[[PA ID]:[PA ID]],$B32,CostTrack[[Vendor - Contract]:[Vendor - Contract]],$H32,CostTrack[[Holdback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32" s="504">
        <f ca="1">SUMIFS(CostTrack[[Value]:[Value]],CostTrack[[PA ID]:[PA ID]],$B32,CostTrack[[Vendor - Contract]:[Vendor - Contract]],$H32,CostTrack[[Holdback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32" s="504">
        <f ca="1">SUMIFS(CostTrack[[Value]:[Value]],CostTrack[[PA ID]:[PA ID]],$B32,CostTrack[[Vendor - Contract]:[Vendor - Contract]],$H32,CostTrack[[Holdback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32" s="504">
        <f ca="1">SUMIFS(CostTrack[[Value]:[Value]],CostTrack[[PA ID]:[PA ID]],$B32,CostTrack[[Vendor - Contract]:[Vendor - Contract]],$H32,CostTrack[[Holdback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32" s="504">
        <f ca="1">SUMIFS(CostTrack[[Value]:[Value]],CostTrack[[PA ID]:[PA ID]],$B32,CostTrack[[Vendor - Contract]:[Vendor - Contract]],$H32,CostTrack[[Holdback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32" s="504">
        <f ca="1">SUMIFS(CostTrack[[Value]:[Value]],CostTrack[[PA ID]:[PA ID]],$B32,CostTrack[[Vendor - Contract]:[Vendor - Contract]],$H32,CostTrack[[Holdback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32" s="504">
        <f ca="1">SUMIFS(CostTrack[[Value]:[Value]],CostTrack[[PA ID]:[PA ID]],$B32,CostTrack[[Vendor - Contract]:[Vendor - Contract]],$H32,CostTrack[[Holdback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32" s="504">
        <f ca="1">SUMIFS(CostTrack[[Value]:[Value]],CostTrack[[PA ID]:[PA ID]],$B32,CostTrack[[Vendor - Contract]:[Vendor - Contract]],$H32,CostTrack[[Holdback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32" s="504">
        <f ca="1">SUMIFS(CostTrack[[Value]:[Value]],CostTrack[[PA ID]:[PA ID]],$B32,CostTrack[[Vendor - Contract]:[Vendor - Contract]],$H32,CostTrack[[Holdback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32" s="512">
        <f ca="1">SUM(CM32:CX32)</f>
        <v>0</v>
      </c>
      <c r="DA32" s="504">
        <f ca="1">SUMIFS(CostTrack[[Value]:[Value]],CostTrack[[PA ID]:[PA ID]],$B32,CostTrack[[Vendor - Contract]:[Vendor - Contract]],$H32,CostTrack[[Holdback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32" s="504">
        <f ca="1">SUMIFS(CostTrack[[Value]:[Value]],CostTrack[[PA ID]:[PA ID]],$B32,CostTrack[[Vendor - Contract]:[Vendor - Contract]],$H32,CostTrack[[Holdback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32" s="504">
        <f ca="1">SUMIFS(CostTrack[[Value]:[Value]],CostTrack[[PA ID]:[PA ID]],$B32,CostTrack[[Vendor - Contract]:[Vendor - Contract]],$H32,CostTrack[[Holdback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32" s="504">
        <f ca="1">SUMIFS(CostTrack[[Value]:[Value]],CostTrack[[PA ID]:[PA ID]],$B32,CostTrack[[Vendor - Contract]:[Vendor - Contract]],$H32,CostTrack[[Holdback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32" s="504">
        <f ca="1">SUMIFS(CostTrack[[Value]:[Value]],CostTrack[[PA ID]:[PA ID]],$B32,CostTrack[[Vendor - Contract]:[Vendor - Contract]],$H32,CostTrack[[Holdback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32" s="504">
        <f ca="1">SUMIFS(CostTrack[[Value]:[Value]],CostTrack[[PA ID]:[PA ID]],$B32,CostTrack[[Vendor - Contract]:[Vendor - Contract]],$H32,CostTrack[[Holdback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32" s="504">
        <f ca="1">SUMIFS(CostTrack[[Value]:[Value]],CostTrack[[PA ID]:[PA ID]],$B32,CostTrack[[Vendor - Contract]:[Vendor - Contract]],$H32,CostTrack[[Holdback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32" s="504">
        <f ca="1">SUMIFS(CostTrack[[Value]:[Value]],CostTrack[[PA ID]:[PA ID]],$B32,CostTrack[[Vendor - Contract]:[Vendor - Contract]],$H32,CostTrack[[Holdback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32" s="504">
        <f ca="1">SUMIFS(CostTrack[[Value]:[Value]],CostTrack[[PA ID]:[PA ID]],$B32,CostTrack[[Vendor - Contract]:[Vendor - Contract]],$H32,CostTrack[[Holdback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32" s="504">
        <f ca="1">SUMIFS(CostTrack[[Value]:[Value]],CostTrack[[PA ID]:[PA ID]],$B32,CostTrack[[Vendor - Contract]:[Vendor - Contract]],$H32,CostTrack[[Holdback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32" s="504">
        <f ca="1">SUMIFS(CostTrack[[Value]:[Value]],CostTrack[[PA ID]:[PA ID]],$B32,CostTrack[[Vendor - Contract]:[Vendor - Contract]],$H32,CostTrack[[Holdback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32" s="504">
        <f ca="1">SUMIFS(CostTrack[[Value]:[Value]],CostTrack[[PA ID]:[PA ID]],$B32,CostTrack[[Vendor - Contract]:[Vendor - Contract]],$H32,CostTrack[[Holdback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1012070.93</v>
      </c>
      <c r="DM32" s="512">
        <f ca="1">SUM(DA32:DL32)</f>
        <v>1012070.93</v>
      </c>
      <c r="DO32" s="504">
        <f ca="1">SUMIFS(CostTrack[[Value]:[Value]],CostTrack[[PA ID]:[PA ID]],$B32,CostTrack[[Vendor - Contract]:[Vendor - Contract]],$H32,CostTrack[[Holdback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32" s="504">
        <f ca="1">SUMIFS(CostTrack[[Value]:[Value]],CostTrack[[PA ID]:[PA ID]],$B32,CostTrack[[Vendor - Contract]:[Vendor - Contract]],$H32,CostTrack[[Holdback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32" s="504">
        <f ca="1">SUMIFS(CostTrack[[Value]:[Value]],CostTrack[[PA ID]:[PA ID]],$B32,CostTrack[[Vendor - Contract]:[Vendor - Contract]],$H32,CostTrack[[Holdback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32" s="504">
        <f ca="1">SUMIFS(CostTrack[[Value]:[Value]],CostTrack[[PA ID]:[PA ID]],$B32,CostTrack[[Vendor - Contract]:[Vendor - Contract]],$H32,CostTrack[[Holdback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32" s="504">
        <f ca="1">SUMIFS(CostTrack[[Value]:[Value]],CostTrack[[PA ID]:[PA ID]],$B32,CostTrack[[Vendor - Contract]:[Vendor - Contract]],$H32,CostTrack[[Holdback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32" s="504">
        <f ca="1">SUMIFS(CostTrack[[Value]:[Value]],CostTrack[[PA ID]:[PA ID]],$B32,CostTrack[[Vendor - Contract]:[Vendor - Contract]],$H32,CostTrack[[Holdback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32" s="504">
        <f ca="1">SUMIFS(CostTrack[[Value]:[Value]],CostTrack[[PA ID]:[PA ID]],$B32,CostTrack[[Vendor - Contract]:[Vendor - Contract]],$H32,CostTrack[[Holdback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32" s="504">
        <f ca="1">SUMIFS(CostTrack[[Value]:[Value]],CostTrack[[PA ID]:[PA ID]],$B32,CostTrack[[Vendor - Contract]:[Vendor - Contract]],$H32,CostTrack[[Holdback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32" s="504">
        <f ca="1">SUMIFS(CostTrack[[Value]:[Value]],CostTrack[[PA ID]:[PA ID]],$B32,CostTrack[[Vendor - Contract]:[Vendor - Contract]],$H32,CostTrack[[Holdback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32" s="504">
        <f ca="1">SUMIFS(CostTrack[[Value]:[Value]],CostTrack[[PA ID]:[PA ID]],$B32,CostTrack[[Vendor - Contract]:[Vendor - Contract]],$H32,CostTrack[[Holdback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32" s="504">
        <f ca="1">SUMIFS(CostTrack[[Value]:[Value]],CostTrack[[PA ID]:[PA ID]],$B32,CostTrack[[Vendor - Contract]:[Vendor - Contract]],$H32,CostTrack[[Holdback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32" s="504">
        <f ca="1">SUMIFS(CostTrack[[Value]:[Value]],CostTrack[[PA ID]:[PA ID]],$B32,CostTrack[[Vendor - Contract]:[Vendor - Contract]],$H32,CostTrack[[Holdback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32" s="512">
        <f t="shared" ca="1" si="23"/>
        <v>0</v>
      </c>
      <c r="EC32" s="504">
        <f ca="1">SUMIFS(CostTrack[[Value]:[Value]],CostTrack[[PA ID]:[PA ID]],$B32,CostTrack[[Vendor - Contract]:[Vendor - Contract]],$H32,CostTrack[[Holdback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32" s="505"/>
      <c r="EE32" s="505"/>
      <c r="EF32" s="505"/>
      <c r="EG32" s="505"/>
      <c r="EH32" s="505"/>
      <c r="EI32" s="505"/>
      <c r="EJ32" s="505"/>
      <c r="EK32" s="505"/>
      <c r="EL32" s="505"/>
      <c r="EM32" s="505"/>
      <c r="EN32" s="505"/>
      <c r="EO32" s="512">
        <f t="shared" ca="1" si="24"/>
        <v>0</v>
      </c>
      <c r="EQ32" s="505"/>
      <c r="ER32" s="505"/>
      <c r="ES32" s="505"/>
      <c r="ET32" s="505"/>
      <c r="EU32" s="505"/>
      <c r="EV32" s="505"/>
      <c r="EW32" s="505"/>
      <c r="EX32" s="505"/>
      <c r="EY32" s="505"/>
      <c r="EZ32" s="505"/>
      <c r="FA32" s="505"/>
      <c r="FB32" s="505"/>
      <c r="FC32" s="512">
        <f t="shared" si="25"/>
        <v>0</v>
      </c>
      <c r="FE32" s="505"/>
      <c r="FF32" s="505"/>
      <c r="FG32" s="505"/>
      <c r="FH32" s="505"/>
      <c r="FI32" s="505"/>
      <c r="FJ32" s="505"/>
      <c r="FK32" s="505"/>
      <c r="FL32" s="505"/>
      <c r="FM32" s="505"/>
      <c r="FN32" s="505"/>
      <c r="FO32" s="505"/>
      <c r="FP32" s="505"/>
      <c r="FQ32" s="512">
        <f t="shared" si="26"/>
        <v>0</v>
      </c>
      <c r="FS32" s="504">
        <f t="shared" ca="1" si="27"/>
        <v>1012070.93</v>
      </c>
    </row>
    <row r="33" spans="1:176">
      <c r="A33" s="216">
        <v>26</v>
      </c>
      <c r="B33" s="219" t="str">
        <f ca="1">INDEX(EAC[PA ID],MATCH($A33,EAC[Row],0))</f>
        <v>400.020.F1</v>
      </c>
      <c r="C33" s="218" t="str">
        <f ca="1">INDEX(EAC[Primary Category],MATCH($A33,EAC[Row],0))</f>
        <v>FE_IT</v>
      </c>
      <c r="D33" s="218" t="str">
        <f ca="1">INDEX(EAC[Secondary Category],MATCH($A33,EAC[Row],0))</f>
        <v>Information Technology</v>
      </c>
      <c r="E33" s="109" t="str">
        <f ca="1">INDEX(EAC[Phase / Subproject],MATCH($A33,EAC[Row],0))</f>
        <v>--</v>
      </c>
      <c r="F33" s="109" t="str">
        <f ca="1">INDEX(EAC[Phase / Subproject 2],MATCH($A33,EAC[Row],0))</f>
        <v>--</v>
      </c>
      <c r="G33" s="109" t="str">
        <f ca="1">INDEX(EAC[Funding Source],MATCH($A33,EAC[Row],0))</f>
        <v>P-002360</v>
      </c>
      <c r="H33" s="146" t="str">
        <f ca="1">INDEX(EAC[Vendor / Org. with Contract ID],MATCH($A33,EAC[Row],0))</f>
        <v>Future / Not Awarded</v>
      </c>
      <c r="I33" s="502">
        <f ca="1">INDEX(EAC[Estimate At Completion],MATCH($A33,EAC[Row],0))</f>
        <v>0</v>
      </c>
      <c r="J33" s="502">
        <f ca="1">SUMIFS(CostTrack[Value],CostTrack[Vendor - Contract],$H33,CostTrack[PA ID],$B33,CostTrack[Holdback (Y/N/R)],"&lt;&gt;Release",CostTrack[Status],"Approved")</f>
        <v>0</v>
      </c>
      <c r="K33" s="503">
        <f t="shared" ca="1" si="14"/>
        <v>0</v>
      </c>
      <c r="M33" s="504">
        <f t="shared" ca="1" si="15"/>
        <v>0</v>
      </c>
      <c r="O33" s="504">
        <f t="shared" ca="1" si="11"/>
        <v>0</v>
      </c>
      <c r="P33" s="504">
        <f t="array" aca="1" ref="P33" ca="1">SUM($U33:$FQ33*_xlfn.ISFORMULA($U33:$FQ33)*ISNUMBER($U$7:$FQ$7)*--(INDEX($U$6:$FQ$6,N(IF({1},COLUMN($U$6:$FQ$6)-COLUMN($T$6)))-MOD(N(IF({1},COLUMN($U$6:$FQ$6)-COLUMN($U$6))),14))="Current Fiscal"))</f>
        <v>0</v>
      </c>
      <c r="Q33" s="504">
        <f t="array" aca="1" ref="Q33" ca="1">SUM($U33:$FQ33*NOT(_xlfn.ISFORMULA($U33:$FQ33))*ISNUMBER($U$7:$FQ$7)*--(INDEX($U$6:$FQ$6,N(IF({1},COLUMN($U$6:$FQ$6)-COLUMN($T$6)))-MOD(N(IF({1},COLUMN($U$6:$FQ$6)-COLUMN($U$6))),14))="Current Fiscal"))</f>
        <v>0</v>
      </c>
      <c r="R33" s="504">
        <f t="shared" ca="1" si="12"/>
        <v>0</v>
      </c>
      <c r="S33" s="504">
        <f t="shared" ca="1" si="13"/>
        <v>0</v>
      </c>
      <c r="U33" s="504">
        <f ca="1">SUMIFS(CostTrack[[Value]:[Value]],CostTrack[[PA ID]:[PA ID]],$B33,CostTrack[[Vendor - Contract]:[Vendor - Contract]],$H33,CostTrack[[Holdback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33" s="504">
        <f ca="1">SUMIFS(CostTrack[[Value]:[Value]],CostTrack[[PA ID]:[PA ID]],$B33,CostTrack[[Vendor - Contract]:[Vendor - Contract]],$H33,CostTrack[[Holdback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33" s="504">
        <f ca="1">SUMIFS(CostTrack[[Value]:[Value]],CostTrack[[PA ID]:[PA ID]],$B33,CostTrack[[Vendor - Contract]:[Vendor - Contract]],$H33,CostTrack[[Holdback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33" s="504">
        <f ca="1">SUMIFS(CostTrack[[Value]:[Value]],CostTrack[[PA ID]:[PA ID]],$B33,CostTrack[[Vendor - Contract]:[Vendor - Contract]],$H33,CostTrack[[Holdback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33" s="504">
        <f ca="1">SUMIFS(CostTrack[[Value]:[Value]],CostTrack[[PA ID]:[PA ID]],$B33,CostTrack[[Vendor - Contract]:[Vendor - Contract]],$H33,CostTrack[[Holdback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33" s="504">
        <f ca="1">SUMIFS(CostTrack[[Value]:[Value]],CostTrack[[PA ID]:[PA ID]],$B33,CostTrack[[Vendor - Contract]:[Vendor - Contract]],$H33,CostTrack[[Holdback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33" s="504">
        <f ca="1">SUMIFS(CostTrack[[Value]:[Value]],CostTrack[[PA ID]:[PA ID]],$B33,CostTrack[[Vendor - Contract]:[Vendor - Contract]],$H33,CostTrack[[Holdback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33" s="504">
        <f ca="1">SUMIFS(CostTrack[[Value]:[Value]],CostTrack[[PA ID]:[PA ID]],$B33,CostTrack[[Vendor - Contract]:[Vendor - Contract]],$H33,CostTrack[[Holdback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33" s="504">
        <f ca="1">SUMIFS(CostTrack[[Value]:[Value]],CostTrack[[PA ID]:[PA ID]],$B33,CostTrack[[Vendor - Contract]:[Vendor - Contract]],$H33,CostTrack[[Holdback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33" s="504">
        <f ca="1">SUMIFS(CostTrack[[Value]:[Value]],CostTrack[[PA ID]:[PA ID]],$B33,CostTrack[[Vendor - Contract]:[Vendor - Contract]],$H33,CostTrack[[Holdback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33" s="504">
        <f ca="1">SUMIFS(CostTrack[[Value]:[Value]],CostTrack[[PA ID]:[PA ID]],$B33,CostTrack[[Vendor - Contract]:[Vendor - Contract]],$H33,CostTrack[[Holdback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33" s="504">
        <f ca="1">SUMIFS(CostTrack[[Value]:[Value]],CostTrack[[PA ID]:[PA ID]],$B33,CostTrack[[Vendor - Contract]:[Vendor - Contract]],$H33,CostTrack[[Holdback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33" s="506">
        <f t="shared" ca="1" si="16"/>
        <v>0</v>
      </c>
      <c r="AI33" s="504">
        <f ca="1">SUMIFS(CostTrack[[Value]:[Value]],CostTrack[[PA ID]:[PA ID]],$B33,CostTrack[[Vendor - Contract]:[Vendor - Contract]],$H33,CostTrack[[Holdback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33" s="504">
        <f ca="1">SUMIFS(CostTrack[[Value]:[Value]],CostTrack[[PA ID]:[PA ID]],$B33,CostTrack[[Vendor - Contract]:[Vendor - Contract]],$H33,CostTrack[[Holdback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33" s="504">
        <f ca="1">SUMIFS(CostTrack[[Value]:[Value]],CostTrack[[PA ID]:[PA ID]],$B33,CostTrack[[Vendor - Contract]:[Vendor - Contract]],$H33,CostTrack[[Holdback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33" s="504">
        <f ca="1">SUMIFS(CostTrack[[Value]:[Value]],CostTrack[[PA ID]:[PA ID]],$B33,CostTrack[[Vendor - Contract]:[Vendor - Contract]],$H33,CostTrack[[Holdback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33" s="504">
        <f ca="1">SUMIFS(CostTrack[[Value]:[Value]],CostTrack[[PA ID]:[PA ID]],$B33,CostTrack[[Vendor - Contract]:[Vendor - Contract]],$H33,CostTrack[[Holdback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33" s="504">
        <f ca="1">SUMIFS(CostTrack[[Value]:[Value]],CostTrack[[PA ID]:[PA ID]],$B33,CostTrack[[Vendor - Contract]:[Vendor - Contract]],$H33,CostTrack[[Holdback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33" s="504">
        <f ca="1">SUMIFS(CostTrack[[Value]:[Value]],CostTrack[[PA ID]:[PA ID]],$B33,CostTrack[[Vendor - Contract]:[Vendor - Contract]],$H33,CostTrack[[Holdback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33" s="504">
        <f ca="1">SUMIFS(CostTrack[[Value]:[Value]],CostTrack[[PA ID]:[PA ID]],$B33,CostTrack[[Vendor - Contract]:[Vendor - Contract]],$H33,CostTrack[[Holdback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33" s="504">
        <f ca="1">SUMIFS(CostTrack[[Value]:[Value]],CostTrack[[PA ID]:[PA ID]],$B33,CostTrack[[Vendor - Contract]:[Vendor - Contract]],$H33,CostTrack[[Holdback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33" s="504">
        <f ca="1">SUMIFS(CostTrack[[Value]:[Value]],CostTrack[[PA ID]:[PA ID]],$B33,CostTrack[[Vendor - Contract]:[Vendor - Contract]],$H33,CostTrack[[Holdback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33" s="504">
        <f ca="1">SUMIFS(CostTrack[[Value]:[Value]],CostTrack[[PA ID]:[PA ID]],$B33,CostTrack[[Vendor - Contract]:[Vendor - Contract]],$H33,CostTrack[[Holdback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33" s="504">
        <f ca="1">SUMIFS(CostTrack[[Value]:[Value]],CostTrack[[PA ID]:[PA ID]],$B33,CostTrack[[Vendor - Contract]:[Vendor - Contract]],$H33,CostTrack[[Holdback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33" s="512">
        <f t="shared" ca="1" si="17"/>
        <v>0</v>
      </c>
      <c r="AW33" s="504">
        <f ca="1">SUMIFS(CostTrack[[Value]:[Value]],CostTrack[[PA ID]:[PA ID]],$B33,CostTrack[[Vendor - Contract]:[Vendor - Contract]],$H33,CostTrack[[Holdback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33" s="504">
        <f ca="1">SUMIFS(CostTrack[[Value]:[Value]],CostTrack[[PA ID]:[PA ID]],$B33,CostTrack[[Vendor - Contract]:[Vendor - Contract]],$H33,CostTrack[[Holdback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33" s="504">
        <f ca="1">SUMIFS(CostTrack[[Value]:[Value]],CostTrack[[PA ID]:[PA ID]],$B33,CostTrack[[Vendor - Contract]:[Vendor - Contract]],$H33,CostTrack[[Holdback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33" s="504">
        <f ca="1">SUMIFS(CostTrack[[Value]:[Value]],CostTrack[[PA ID]:[PA ID]],$B33,CostTrack[[Vendor - Contract]:[Vendor - Contract]],$H33,CostTrack[[Holdback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33" s="504">
        <f ca="1">SUMIFS(CostTrack[[Value]:[Value]],CostTrack[[PA ID]:[PA ID]],$B33,CostTrack[[Vendor - Contract]:[Vendor - Contract]],$H33,CostTrack[[Holdback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33" s="504">
        <f ca="1">SUMIFS(CostTrack[[Value]:[Value]],CostTrack[[PA ID]:[PA ID]],$B33,CostTrack[[Vendor - Contract]:[Vendor - Contract]],$H33,CostTrack[[Holdback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33" s="504">
        <f ca="1">SUMIFS(CostTrack[[Value]:[Value]],CostTrack[[PA ID]:[PA ID]],$B33,CostTrack[[Vendor - Contract]:[Vendor - Contract]],$H33,CostTrack[[Holdback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33" s="504">
        <f ca="1">SUMIFS(CostTrack[[Value]:[Value]],CostTrack[[PA ID]:[PA ID]],$B33,CostTrack[[Vendor - Contract]:[Vendor - Contract]],$H33,CostTrack[[Holdback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33" s="504">
        <f ca="1">SUMIFS(CostTrack[[Value]:[Value]],CostTrack[[PA ID]:[PA ID]],$B33,CostTrack[[Vendor - Contract]:[Vendor - Contract]],$H33,CostTrack[[Holdback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33" s="504">
        <f ca="1">SUMIFS(CostTrack[[Value]:[Value]],CostTrack[[PA ID]:[PA ID]],$B33,CostTrack[[Vendor - Contract]:[Vendor - Contract]],$H33,CostTrack[[Holdback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33" s="504">
        <f ca="1">SUMIFS(CostTrack[[Value]:[Value]],CostTrack[[PA ID]:[PA ID]],$B33,CostTrack[[Vendor - Contract]:[Vendor - Contract]],$H33,CostTrack[[Holdback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33" s="504">
        <f ca="1">SUMIFS(CostTrack[[Value]:[Value]],CostTrack[[PA ID]:[PA ID]],$B33,CostTrack[[Vendor - Contract]:[Vendor - Contract]],$H33,CostTrack[[Holdback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33" s="512">
        <f t="shared" ca="1" si="18"/>
        <v>0</v>
      </c>
      <c r="BK33" s="504">
        <f ca="1">SUMIFS(CostTrack[[Value]:[Value]],CostTrack[[PA ID]:[PA ID]],$B33,CostTrack[[Vendor - Contract]:[Vendor - Contract]],$H33,CostTrack[[Holdback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33" s="504">
        <f ca="1">SUMIFS(CostTrack[[Value]:[Value]],CostTrack[[PA ID]:[PA ID]],$B33,CostTrack[[Vendor - Contract]:[Vendor - Contract]],$H33,CostTrack[[Holdback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33" s="504">
        <f ca="1">SUMIFS(CostTrack[[Value]:[Value]],CostTrack[[PA ID]:[PA ID]],$B33,CostTrack[[Vendor - Contract]:[Vendor - Contract]],$H33,CostTrack[[Holdback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33" s="504">
        <f ca="1">SUMIFS(CostTrack[[Value]:[Value]],CostTrack[[PA ID]:[PA ID]],$B33,CostTrack[[Vendor - Contract]:[Vendor - Contract]],$H33,CostTrack[[Holdback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33" s="504">
        <f ca="1">SUMIFS(CostTrack[[Value]:[Value]],CostTrack[[PA ID]:[PA ID]],$B33,CostTrack[[Vendor - Contract]:[Vendor - Contract]],$H33,CostTrack[[Holdback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33" s="504">
        <f ca="1">SUMIFS(CostTrack[[Value]:[Value]],CostTrack[[PA ID]:[PA ID]],$B33,CostTrack[[Vendor - Contract]:[Vendor - Contract]],$H33,CostTrack[[Holdback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33" s="504">
        <f ca="1">SUMIFS(CostTrack[[Value]:[Value]],CostTrack[[PA ID]:[PA ID]],$B33,CostTrack[[Vendor - Contract]:[Vendor - Contract]],$H33,CostTrack[[Holdback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33" s="504">
        <f ca="1">SUMIFS(CostTrack[[Value]:[Value]],CostTrack[[PA ID]:[PA ID]],$B33,CostTrack[[Vendor - Contract]:[Vendor - Contract]],$H33,CostTrack[[Holdback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33" s="504">
        <f ca="1">SUMIFS(CostTrack[[Value]:[Value]],CostTrack[[PA ID]:[PA ID]],$B33,CostTrack[[Vendor - Contract]:[Vendor - Contract]],$H33,CostTrack[[Holdback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33" s="504">
        <f ca="1">SUMIFS(CostTrack[[Value]:[Value]],CostTrack[[PA ID]:[PA ID]],$B33,CostTrack[[Vendor - Contract]:[Vendor - Contract]],$H33,CostTrack[[Holdback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33" s="504">
        <f ca="1">SUMIFS(CostTrack[[Value]:[Value]],CostTrack[[PA ID]:[PA ID]],$B33,CostTrack[[Vendor - Contract]:[Vendor - Contract]],$H33,CostTrack[[Holdback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33" s="504">
        <f ca="1">SUMIFS(CostTrack[[Value]:[Value]],CostTrack[[PA ID]:[PA ID]],$B33,CostTrack[[Vendor - Contract]:[Vendor - Contract]],$H33,CostTrack[[Holdback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33" s="512">
        <f t="shared" ca="1" si="19"/>
        <v>0</v>
      </c>
      <c r="BY33" s="504">
        <f ca="1">SUMIFS(CostTrack[[Value]:[Value]],CostTrack[[PA ID]:[PA ID]],$B33,CostTrack[[Vendor - Contract]:[Vendor - Contract]],$H33,CostTrack[[Holdback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33" s="504">
        <f ca="1">SUMIFS(CostTrack[[Value]:[Value]],CostTrack[[PA ID]:[PA ID]],$B33,CostTrack[[Vendor - Contract]:[Vendor - Contract]],$H33,CostTrack[[Holdback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33" s="504">
        <f ca="1">SUMIFS(CostTrack[[Value]:[Value]],CostTrack[[PA ID]:[PA ID]],$B33,CostTrack[[Vendor - Contract]:[Vendor - Contract]],$H33,CostTrack[[Holdback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33" s="504">
        <f ca="1">SUMIFS(CostTrack[[Value]:[Value]],CostTrack[[PA ID]:[PA ID]],$B33,CostTrack[[Vendor - Contract]:[Vendor - Contract]],$H33,CostTrack[[Holdback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33" s="504">
        <f ca="1">SUMIFS(CostTrack[[Value]:[Value]],CostTrack[[PA ID]:[PA ID]],$B33,CostTrack[[Vendor - Contract]:[Vendor - Contract]],$H33,CostTrack[[Holdback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33" s="504">
        <f ca="1">SUMIFS(CostTrack[[Value]:[Value]],CostTrack[[PA ID]:[PA ID]],$B33,CostTrack[[Vendor - Contract]:[Vendor - Contract]],$H33,CostTrack[[Holdback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33" s="504">
        <f ca="1">SUMIFS(CostTrack[[Value]:[Value]],CostTrack[[PA ID]:[PA ID]],$B33,CostTrack[[Vendor - Contract]:[Vendor - Contract]],$H33,CostTrack[[Holdback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33" s="504">
        <f ca="1">SUMIFS(CostTrack[[Value]:[Value]],CostTrack[[PA ID]:[PA ID]],$B33,CostTrack[[Vendor - Contract]:[Vendor - Contract]],$H33,CostTrack[[Holdback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33" s="504">
        <f ca="1">SUMIFS(CostTrack[[Value]:[Value]],CostTrack[[PA ID]:[PA ID]],$B33,CostTrack[[Vendor - Contract]:[Vendor - Contract]],$H33,CostTrack[[Holdback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33" s="504">
        <f ca="1">SUMIFS(CostTrack[[Value]:[Value]],CostTrack[[PA ID]:[PA ID]],$B33,CostTrack[[Vendor - Contract]:[Vendor - Contract]],$H33,CostTrack[[Holdback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33" s="504">
        <f ca="1">SUMIFS(CostTrack[[Value]:[Value]],CostTrack[[PA ID]:[PA ID]],$B33,CostTrack[[Vendor - Contract]:[Vendor - Contract]],$H33,CostTrack[[Holdback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33" s="504">
        <f ca="1">SUMIFS(CostTrack[[Value]:[Value]],CostTrack[[PA ID]:[PA ID]],$B33,CostTrack[[Vendor - Contract]:[Vendor - Contract]],$H33,CostTrack[[Holdback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33" s="512">
        <f t="shared" ca="1" si="20"/>
        <v>0</v>
      </c>
      <c r="CM33" s="504">
        <f ca="1">SUMIFS(CostTrack[[Value]:[Value]],CostTrack[[PA ID]:[PA ID]],$B33,CostTrack[[Vendor - Contract]:[Vendor - Contract]],$H33,CostTrack[[Holdback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33" s="504">
        <f ca="1">SUMIFS(CostTrack[[Value]:[Value]],CostTrack[[PA ID]:[PA ID]],$B33,CostTrack[[Vendor - Contract]:[Vendor - Contract]],$H33,CostTrack[[Holdback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33" s="504">
        <f ca="1">SUMIFS(CostTrack[[Value]:[Value]],CostTrack[[PA ID]:[PA ID]],$B33,CostTrack[[Vendor - Contract]:[Vendor - Contract]],$H33,CostTrack[[Holdback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33" s="504">
        <f ca="1">SUMIFS(CostTrack[[Value]:[Value]],CostTrack[[PA ID]:[PA ID]],$B33,CostTrack[[Vendor - Contract]:[Vendor - Contract]],$H33,CostTrack[[Holdback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33" s="504">
        <f ca="1">SUMIFS(CostTrack[[Value]:[Value]],CostTrack[[PA ID]:[PA ID]],$B33,CostTrack[[Vendor - Contract]:[Vendor - Contract]],$H33,CostTrack[[Holdback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33" s="504">
        <f ca="1">SUMIFS(CostTrack[[Value]:[Value]],CostTrack[[PA ID]:[PA ID]],$B33,CostTrack[[Vendor - Contract]:[Vendor - Contract]],$H33,CostTrack[[Holdback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33" s="504">
        <f ca="1">SUMIFS(CostTrack[[Value]:[Value]],CostTrack[[PA ID]:[PA ID]],$B33,CostTrack[[Vendor - Contract]:[Vendor - Contract]],$H33,CostTrack[[Holdback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33" s="504">
        <f ca="1">SUMIFS(CostTrack[[Value]:[Value]],CostTrack[[PA ID]:[PA ID]],$B33,CostTrack[[Vendor - Contract]:[Vendor - Contract]],$H33,CostTrack[[Holdback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33" s="504">
        <f ca="1">SUMIFS(CostTrack[[Value]:[Value]],CostTrack[[PA ID]:[PA ID]],$B33,CostTrack[[Vendor - Contract]:[Vendor - Contract]],$H33,CostTrack[[Holdback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33" s="504">
        <f ca="1">SUMIFS(CostTrack[[Value]:[Value]],CostTrack[[PA ID]:[PA ID]],$B33,CostTrack[[Vendor - Contract]:[Vendor - Contract]],$H33,CostTrack[[Holdback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33" s="504">
        <f ca="1">SUMIFS(CostTrack[[Value]:[Value]],CostTrack[[PA ID]:[PA ID]],$B33,CostTrack[[Vendor - Contract]:[Vendor - Contract]],$H33,CostTrack[[Holdback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33" s="504">
        <f ca="1">SUMIFS(CostTrack[[Value]:[Value]],CostTrack[[PA ID]:[PA ID]],$B33,CostTrack[[Vendor - Contract]:[Vendor - Contract]],$H33,CostTrack[[Holdback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33" s="512">
        <f ca="1">SUM(CM33:CX33)</f>
        <v>0</v>
      </c>
      <c r="DA33" s="504">
        <f ca="1">SUMIFS(CostTrack[[Value]:[Value]],CostTrack[[PA ID]:[PA ID]],$B33,CostTrack[[Vendor - Contract]:[Vendor - Contract]],$H33,CostTrack[[Holdback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33" s="504">
        <f ca="1">SUMIFS(CostTrack[[Value]:[Value]],CostTrack[[PA ID]:[PA ID]],$B33,CostTrack[[Vendor - Contract]:[Vendor - Contract]],$H33,CostTrack[[Holdback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33" s="504">
        <f ca="1">SUMIFS(CostTrack[[Value]:[Value]],CostTrack[[PA ID]:[PA ID]],$B33,CostTrack[[Vendor - Contract]:[Vendor - Contract]],$H33,CostTrack[[Holdback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33" s="504">
        <f ca="1">SUMIFS(CostTrack[[Value]:[Value]],CostTrack[[PA ID]:[PA ID]],$B33,CostTrack[[Vendor - Contract]:[Vendor - Contract]],$H33,CostTrack[[Holdback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33" s="504">
        <f ca="1">SUMIFS(CostTrack[[Value]:[Value]],CostTrack[[PA ID]:[PA ID]],$B33,CostTrack[[Vendor - Contract]:[Vendor - Contract]],$H33,CostTrack[[Holdback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33" s="504">
        <f ca="1">SUMIFS(CostTrack[[Value]:[Value]],CostTrack[[PA ID]:[PA ID]],$B33,CostTrack[[Vendor - Contract]:[Vendor - Contract]],$H33,CostTrack[[Holdback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33" s="504">
        <f ca="1">SUMIFS(CostTrack[[Value]:[Value]],CostTrack[[PA ID]:[PA ID]],$B33,CostTrack[[Vendor - Contract]:[Vendor - Contract]],$H33,CostTrack[[Holdback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33" s="504">
        <f ca="1">SUMIFS(CostTrack[[Value]:[Value]],CostTrack[[PA ID]:[PA ID]],$B33,CostTrack[[Vendor - Contract]:[Vendor - Contract]],$H33,CostTrack[[Holdback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33" s="504">
        <f ca="1">SUMIFS(CostTrack[[Value]:[Value]],CostTrack[[PA ID]:[PA ID]],$B33,CostTrack[[Vendor - Contract]:[Vendor - Contract]],$H33,CostTrack[[Holdback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33" s="504">
        <f ca="1">SUMIFS(CostTrack[[Value]:[Value]],CostTrack[[PA ID]:[PA ID]],$B33,CostTrack[[Vendor - Contract]:[Vendor - Contract]],$H33,CostTrack[[Holdback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33" s="504">
        <f ca="1">SUMIFS(CostTrack[[Value]:[Value]],CostTrack[[PA ID]:[PA ID]],$B33,CostTrack[[Vendor - Contract]:[Vendor - Contract]],$H33,CostTrack[[Holdback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33" s="504">
        <f ca="1">SUMIFS(CostTrack[[Value]:[Value]],CostTrack[[PA ID]:[PA ID]],$B33,CostTrack[[Vendor - Contract]:[Vendor - Contract]],$H33,CostTrack[[Holdback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33" s="512">
        <f t="shared" ca="1" si="22"/>
        <v>0</v>
      </c>
      <c r="DO33" s="504">
        <f ca="1">SUMIFS(CostTrack[[Value]:[Value]],CostTrack[[PA ID]:[PA ID]],$B33,CostTrack[[Vendor - Contract]:[Vendor - Contract]],$H33,CostTrack[[Holdback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33" s="504">
        <f ca="1">SUMIFS(CostTrack[[Value]:[Value]],CostTrack[[PA ID]:[PA ID]],$B33,CostTrack[[Vendor - Contract]:[Vendor - Contract]],$H33,CostTrack[[Holdback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33" s="504">
        <f ca="1">SUMIFS(CostTrack[[Value]:[Value]],CostTrack[[PA ID]:[PA ID]],$B33,CostTrack[[Vendor - Contract]:[Vendor - Contract]],$H33,CostTrack[[Holdback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33" s="504">
        <f ca="1">SUMIFS(CostTrack[[Value]:[Value]],CostTrack[[PA ID]:[PA ID]],$B33,CostTrack[[Vendor - Contract]:[Vendor - Contract]],$H33,CostTrack[[Holdback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33" s="504">
        <f ca="1">SUMIFS(CostTrack[[Value]:[Value]],CostTrack[[PA ID]:[PA ID]],$B33,CostTrack[[Vendor - Contract]:[Vendor - Contract]],$H33,CostTrack[[Holdback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33" s="504">
        <f ca="1">SUMIFS(CostTrack[[Value]:[Value]],CostTrack[[PA ID]:[PA ID]],$B33,CostTrack[[Vendor - Contract]:[Vendor - Contract]],$H33,CostTrack[[Holdback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33" s="504">
        <f ca="1">SUMIFS(CostTrack[[Value]:[Value]],CostTrack[[PA ID]:[PA ID]],$B33,CostTrack[[Vendor - Contract]:[Vendor - Contract]],$H33,CostTrack[[Holdback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33" s="504">
        <f ca="1">SUMIFS(CostTrack[[Value]:[Value]],CostTrack[[PA ID]:[PA ID]],$B33,CostTrack[[Vendor - Contract]:[Vendor - Contract]],$H33,CostTrack[[Holdback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33" s="504">
        <f ca="1">SUMIFS(CostTrack[[Value]:[Value]],CostTrack[[PA ID]:[PA ID]],$B33,CostTrack[[Vendor - Contract]:[Vendor - Contract]],$H33,CostTrack[[Holdback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33" s="504">
        <f ca="1">SUMIFS(CostTrack[[Value]:[Value]],CostTrack[[PA ID]:[PA ID]],$B33,CostTrack[[Vendor - Contract]:[Vendor - Contract]],$H33,CostTrack[[Holdback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33" s="504">
        <f ca="1">SUMIFS(CostTrack[[Value]:[Value]],CostTrack[[PA ID]:[PA ID]],$B33,CostTrack[[Vendor - Contract]:[Vendor - Contract]],$H33,CostTrack[[Holdback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33" s="504">
        <f ca="1">SUMIFS(CostTrack[[Value]:[Value]],CostTrack[[PA ID]:[PA ID]],$B33,CostTrack[[Vendor - Contract]:[Vendor - Contract]],$H33,CostTrack[[Holdback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33" s="512">
        <f t="shared" ca="1" si="23"/>
        <v>0</v>
      </c>
      <c r="EC33" s="504">
        <f ca="1">SUMIFS(CostTrack[[Value]:[Value]],CostTrack[[PA ID]:[PA ID]],$B33,CostTrack[[Vendor - Contract]:[Vendor - Contract]],$H33,CostTrack[[Holdback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33" s="505"/>
      <c r="EE33" s="505"/>
      <c r="EF33" s="505"/>
      <c r="EG33" s="505"/>
      <c r="EH33" s="505"/>
      <c r="EI33" s="505"/>
      <c r="EJ33" s="505"/>
      <c r="EK33" s="505"/>
      <c r="EL33" s="505"/>
      <c r="EM33" s="505"/>
      <c r="EN33" s="505"/>
      <c r="EO33" s="512">
        <f t="shared" ca="1" si="24"/>
        <v>0</v>
      </c>
      <c r="EQ33" s="505"/>
      <c r="ER33" s="505"/>
      <c r="ES33" s="505"/>
      <c r="ET33" s="505"/>
      <c r="EU33" s="505"/>
      <c r="EV33" s="505"/>
      <c r="EW33" s="505"/>
      <c r="EX33" s="505"/>
      <c r="EY33" s="505"/>
      <c r="EZ33" s="505"/>
      <c r="FA33" s="505"/>
      <c r="FB33" s="505"/>
      <c r="FC33" s="512">
        <f t="shared" si="25"/>
        <v>0</v>
      </c>
      <c r="FE33" s="505"/>
      <c r="FF33" s="505"/>
      <c r="FG33" s="505"/>
      <c r="FH33" s="505"/>
      <c r="FI33" s="505"/>
      <c r="FJ33" s="505"/>
      <c r="FK33" s="505"/>
      <c r="FL33" s="505"/>
      <c r="FM33" s="505"/>
      <c r="FN33" s="505"/>
      <c r="FO33" s="505"/>
      <c r="FP33" s="505"/>
      <c r="FQ33" s="512">
        <f t="shared" si="26"/>
        <v>0</v>
      </c>
      <c r="FS33" s="504">
        <f t="shared" ca="1" si="27"/>
        <v>0</v>
      </c>
    </row>
    <row r="34" spans="1:176">
      <c r="A34" s="216">
        <v>27</v>
      </c>
      <c r="B34" s="219" t="str">
        <f ca="1">INDEX(EAC[PA ID],MATCH($A34,EAC[Row],0))</f>
        <v>400.010.F1</v>
      </c>
      <c r="C34" s="218" t="str">
        <f ca="1">INDEX(EAC[Primary Category],MATCH($A34,EAC[Row],0))</f>
        <v>FE_IT</v>
      </c>
      <c r="D34" s="218" t="str">
        <f ca="1">INDEX(EAC[Secondary Category],MATCH($A34,EAC[Row],0))</f>
        <v>Furniture &amp; Equipment</v>
      </c>
      <c r="E34" s="109" t="str">
        <f ca="1">INDEX(EAC[Phase / Subproject],MATCH($A34,EAC[Row],0))</f>
        <v>--</v>
      </c>
      <c r="F34" s="109" t="str">
        <f ca="1">INDEX(EAC[Phase / Subproject 2],MATCH($A34,EAC[Row],0))</f>
        <v>--</v>
      </c>
      <c r="G34" s="109" t="str">
        <f ca="1">INDEX(EAC[Funding Source],MATCH($A34,EAC[Row],0))</f>
        <v>P-002360</v>
      </c>
      <c r="H34" s="146" t="str">
        <f ca="1">INDEX(EAC[Vendor / Org. with Contract ID],MATCH($A34,EAC[Row],0))</f>
        <v>Future / Not Awarded</v>
      </c>
      <c r="I34" s="502">
        <f ca="1">INDEX(EAC[Estimate At Completion],MATCH($A34,EAC[Row],0))</f>
        <v>0</v>
      </c>
      <c r="J34" s="502">
        <f ca="1">SUMIFS(CostTrack[Value],CostTrack[Vendor - Contract],$H34,CostTrack[PA ID],$B34,CostTrack[Holdback (Y/N/R)],"&lt;&gt;Release",CostTrack[Status],"Approved")</f>
        <v>0</v>
      </c>
      <c r="K34" s="503">
        <f t="shared" ca="1" si="14"/>
        <v>0</v>
      </c>
      <c r="M34" s="504">
        <f t="shared" ca="1" si="15"/>
        <v>0</v>
      </c>
      <c r="O34" s="504">
        <f t="shared" ca="1" si="11"/>
        <v>0</v>
      </c>
      <c r="P34" s="504">
        <f t="array" aca="1" ref="P34" ca="1">SUM($U34:$FQ34*_xlfn.ISFORMULA($U34:$FQ34)*ISNUMBER($U$7:$FQ$7)*--(INDEX($U$6:$FQ$6,N(IF({1},COLUMN($U$6:$FQ$6)-COLUMN($T$6)))-MOD(N(IF({1},COLUMN($U$6:$FQ$6)-COLUMN($U$6))),14))="Current Fiscal"))</f>
        <v>0</v>
      </c>
      <c r="Q34" s="504">
        <f t="array" aca="1" ref="Q34" ca="1">SUM($U34:$FQ34*NOT(_xlfn.ISFORMULA($U34:$FQ34))*ISNUMBER($U$7:$FQ$7)*--(INDEX($U$6:$FQ$6,N(IF({1},COLUMN($U$6:$FQ$6)-COLUMN($T$6)))-MOD(N(IF({1},COLUMN($U$6:$FQ$6)-COLUMN($U$6))),14))="Current Fiscal"))</f>
        <v>0</v>
      </c>
      <c r="R34" s="504">
        <f t="shared" ca="1" si="12"/>
        <v>0</v>
      </c>
      <c r="S34" s="504">
        <f t="shared" ca="1" si="13"/>
        <v>0</v>
      </c>
      <c r="U34" s="504">
        <f ca="1">SUMIFS(CostTrack[[Value]:[Value]],CostTrack[[PA ID]:[PA ID]],$B34,CostTrack[[Vendor - Contract]:[Vendor - Contract]],$H34,CostTrack[[Holdback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34" s="504">
        <f ca="1">SUMIFS(CostTrack[[Value]:[Value]],CostTrack[[PA ID]:[PA ID]],$B34,CostTrack[[Vendor - Contract]:[Vendor - Contract]],$H34,CostTrack[[Holdback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34" s="504">
        <f ca="1">SUMIFS(CostTrack[[Value]:[Value]],CostTrack[[PA ID]:[PA ID]],$B34,CostTrack[[Vendor - Contract]:[Vendor - Contract]],$H34,CostTrack[[Holdback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34" s="504">
        <f ca="1">SUMIFS(CostTrack[[Value]:[Value]],CostTrack[[PA ID]:[PA ID]],$B34,CostTrack[[Vendor - Contract]:[Vendor - Contract]],$H34,CostTrack[[Holdback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34" s="504">
        <f ca="1">SUMIFS(CostTrack[[Value]:[Value]],CostTrack[[PA ID]:[PA ID]],$B34,CostTrack[[Vendor - Contract]:[Vendor - Contract]],$H34,CostTrack[[Holdback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34" s="504">
        <f ca="1">SUMIFS(CostTrack[[Value]:[Value]],CostTrack[[PA ID]:[PA ID]],$B34,CostTrack[[Vendor - Contract]:[Vendor - Contract]],$H34,CostTrack[[Holdback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34" s="504">
        <f ca="1">SUMIFS(CostTrack[[Value]:[Value]],CostTrack[[PA ID]:[PA ID]],$B34,CostTrack[[Vendor - Contract]:[Vendor - Contract]],$H34,CostTrack[[Holdback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34" s="504">
        <f ca="1">SUMIFS(CostTrack[[Value]:[Value]],CostTrack[[PA ID]:[PA ID]],$B34,CostTrack[[Vendor - Contract]:[Vendor - Contract]],$H34,CostTrack[[Holdback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34" s="504">
        <f ca="1">SUMIFS(CostTrack[[Value]:[Value]],CostTrack[[PA ID]:[PA ID]],$B34,CostTrack[[Vendor - Contract]:[Vendor - Contract]],$H34,CostTrack[[Holdback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34" s="504">
        <f ca="1">SUMIFS(CostTrack[[Value]:[Value]],CostTrack[[PA ID]:[PA ID]],$B34,CostTrack[[Vendor - Contract]:[Vendor - Contract]],$H34,CostTrack[[Holdback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34" s="504">
        <f ca="1">SUMIFS(CostTrack[[Value]:[Value]],CostTrack[[PA ID]:[PA ID]],$B34,CostTrack[[Vendor - Contract]:[Vendor - Contract]],$H34,CostTrack[[Holdback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34" s="504">
        <f ca="1">SUMIFS(CostTrack[[Value]:[Value]],CostTrack[[PA ID]:[PA ID]],$B34,CostTrack[[Vendor - Contract]:[Vendor - Contract]],$H34,CostTrack[[Holdback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34" s="506">
        <f t="shared" ca="1" si="16"/>
        <v>0</v>
      </c>
      <c r="AI34" s="504">
        <f ca="1">SUMIFS(CostTrack[[Value]:[Value]],CostTrack[[PA ID]:[PA ID]],$B34,CostTrack[[Vendor - Contract]:[Vendor - Contract]],$H34,CostTrack[[Holdback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34" s="504">
        <f ca="1">SUMIFS(CostTrack[[Value]:[Value]],CostTrack[[PA ID]:[PA ID]],$B34,CostTrack[[Vendor - Contract]:[Vendor - Contract]],$H34,CostTrack[[Holdback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34" s="504">
        <f ca="1">SUMIFS(CostTrack[[Value]:[Value]],CostTrack[[PA ID]:[PA ID]],$B34,CostTrack[[Vendor - Contract]:[Vendor - Contract]],$H34,CostTrack[[Holdback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34" s="504">
        <f ca="1">SUMIFS(CostTrack[[Value]:[Value]],CostTrack[[PA ID]:[PA ID]],$B34,CostTrack[[Vendor - Contract]:[Vendor - Contract]],$H34,CostTrack[[Holdback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34" s="504">
        <f ca="1">SUMIFS(CostTrack[[Value]:[Value]],CostTrack[[PA ID]:[PA ID]],$B34,CostTrack[[Vendor - Contract]:[Vendor - Contract]],$H34,CostTrack[[Holdback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34" s="504">
        <f ca="1">SUMIFS(CostTrack[[Value]:[Value]],CostTrack[[PA ID]:[PA ID]],$B34,CostTrack[[Vendor - Contract]:[Vendor - Contract]],$H34,CostTrack[[Holdback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34" s="504">
        <f ca="1">SUMIFS(CostTrack[[Value]:[Value]],CostTrack[[PA ID]:[PA ID]],$B34,CostTrack[[Vendor - Contract]:[Vendor - Contract]],$H34,CostTrack[[Holdback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34" s="504">
        <f ca="1">SUMIFS(CostTrack[[Value]:[Value]],CostTrack[[PA ID]:[PA ID]],$B34,CostTrack[[Vendor - Contract]:[Vendor - Contract]],$H34,CostTrack[[Holdback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34" s="504">
        <f ca="1">SUMIFS(CostTrack[[Value]:[Value]],CostTrack[[PA ID]:[PA ID]],$B34,CostTrack[[Vendor - Contract]:[Vendor - Contract]],$H34,CostTrack[[Holdback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34" s="504">
        <f ca="1">SUMIFS(CostTrack[[Value]:[Value]],CostTrack[[PA ID]:[PA ID]],$B34,CostTrack[[Vendor - Contract]:[Vendor - Contract]],$H34,CostTrack[[Holdback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34" s="504">
        <f ca="1">SUMIFS(CostTrack[[Value]:[Value]],CostTrack[[PA ID]:[PA ID]],$B34,CostTrack[[Vendor - Contract]:[Vendor - Contract]],$H34,CostTrack[[Holdback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34" s="504">
        <f ca="1">SUMIFS(CostTrack[[Value]:[Value]],CostTrack[[PA ID]:[PA ID]],$B34,CostTrack[[Vendor - Contract]:[Vendor - Contract]],$H34,CostTrack[[Holdback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34" s="512">
        <f t="shared" ca="1" si="17"/>
        <v>0</v>
      </c>
      <c r="AW34" s="504">
        <f ca="1">SUMIFS(CostTrack[[Value]:[Value]],CostTrack[[PA ID]:[PA ID]],$B34,CostTrack[[Vendor - Contract]:[Vendor - Contract]],$H34,CostTrack[[Holdback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34" s="504">
        <f ca="1">SUMIFS(CostTrack[[Value]:[Value]],CostTrack[[PA ID]:[PA ID]],$B34,CostTrack[[Vendor - Contract]:[Vendor - Contract]],$H34,CostTrack[[Holdback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34" s="504">
        <f ca="1">SUMIFS(CostTrack[[Value]:[Value]],CostTrack[[PA ID]:[PA ID]],$B34,CostTrack[[Vendor - Contract]:[Vendor - Contract]],$H34,CostTrack[[Holdback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34" s="504">
        <f ca="1">SUMIFS(CostTrack[[Value]:[Value]],CostTrack[[PA ID]:[PA ID]],$B34,CostTrack[[Vendor - Contract]:[Vendor - Contract]],$H34,CostTrack[[Holdback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34" s="504">
        <f ca="1">SUMIFS(CostTrack[[Value]:[Value]],CostTrack[[PA ID]:[PA ID]],$B34,CostTrack[[Vendor - Contract]:[Vendor - Contract]],$H34,CostTrack[[Holdback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34" s="504">
        <f ca="1">SUMIFS(CostTrack[[Value]:[Value]],CostTrack[[PA ID]:[PA ID]],$B34,CostTrack[[Vendor - Contract]:[Vendor - Contract]],$H34,CostTrack[[Holdback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34" s="504">
        <f ca="1">SUMIFS(CostTrack[[Value]:[Value]],CostTrack[[PA ID]:[PA ID]],$B34,CostTrack[[Vendor - Contract]:[Vendor - Contract]],$H34,CostTrack[[Holdback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34" s="504">
        <f ca="1">SUMIFS(CostTrack[[Value]:[Value]],CostTrack[[PA ID]:[PA ID]],$B34,CostTrack[[Vendor - Contract]:[Vendor - Contract]],$H34,CostTrack[[Holdback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34" s="504">
        <f ca="1">SUMIFS(CostTrack[[Value]:[Value]],CostTrack[[PA ID]:[PA ID]],$B34,CostTrack[[Vendor - Contract]:[Vendor - Contract]],$H34,CostTrack[[Holdback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34" s="504">
        <f ca="1">SUMIFS(CostTrack[[Value]:[Value]],CostTrack[[PA ID]:[PA ID]],$B34,CostTrack[[Vendor - Contract]:[Vendor - Contract]],$H34,CostTrack[[Holdback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34" s="504">
        <f ca="1">SUMIFS(CostTrack[[Value]:[Value]],CostTrack[[PA ID]:[PA ID]],$B34,CostTrack[[Vendor - Contract]:[Vendor - Contract]],$H34,CostTrack[[Holdback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34" s="504">
        <f ca="1">SUMIFS(CostTrack[[Value]:[Value]],CostTrack[[PA ID]:[PA ID]],$B34,CostTrack[[Vendor - Contract]:[Vendor - Contract]],$H34,CostTrack[[Holdback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34" s="512">
        <f t="shared" ca="1" si="18"/>
        <v>0</v>
      </c>
      <c r="BK34" s="504">
        <f ca="1">SUMIFS(CostTrack[[Value]:[Value]],CostTrack[[PA ID]:[PA ID]],$B34,CostTrack[[Vendor - Contract]:[Vendor - Contract]],$H34,CostTrack[[Holdback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34" s="504">
        <f ca="1">SUMIFS(CostTrack[[Value]:[Value]],CostTrack[[PA ID]:[PA ID]],$B34,CostTrack[[Vendor - Contract]:[Vendor - Contract]],$H34,CostTrack[[Holdback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34" s="504">
        <f ca="1">SUMIFS(CostTrack[[Value]:[Value]],CostTrack[[PA ID]:[PA ID]],$B34,CostTrack[[Vendor - Contract]:[Vendor - Contract]],$H34,CostTrack[[Holdback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34" s="504">
        <f ca="1">SUMIFS(CostTrack[[Value]:[Value]],CostTrack[[PA ID]:[PA ID]],$B34,CostTrack[[Vendor - Contract]:[Vendor - Contract]],$H34,CostTrack[[Holdback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34" s="504">
        <f ca="1">SUMIFS(CostTrack[[Value]:[Value]],CostTrack[[PA ID]:[PA ID]],$B34,CostTrack[[Vendor - Contract]:[Vendor - Contract]],$H34,CostTrack[[Holdback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34" s="504">
        <f ca="1">SUMIFS(CostTrack[[Value]:[Value]],CostTrack[[PA ID]:[PA ID]],$B34,CostTrack[[Vendor - Contract]:[Vendor - Contract]],$H34,CostTrack[[Holdback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34" s="504">
        <f ca="1">SUMIFS(CostTrack[[Value]:[Value]],CostTrack[[PA ID]:[PA ID]],$B34,CostTrack[[Vendor - Contract]:[Vendor - Contract]],$H34,CostTrack[[Holdback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34" s="504">
        <f ca="1">SUMIFS(CostTrack[[Value]:[Value]],CostTrack[[PA ID]:[PA ID]],$B34,CostTrack[[Vendor - Contract]:[Vendor - Contract]],$H34,CostTrack[[Holdback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34" s="504">
        <f ca="1">SUMIFS(CostTrack[[Value]:[Value]],CostTrack[[PA ID]:[PA ID]],$B34,CostTrack[[Vendor - Contract]:[Vendor - Contract]],$H34,CostTrack[[Holdback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34" s="504">
        <f ca="1">SUMIFS(CostTrack[[Value]:[Value]],CostTrack[[PA ID]:[PA ID]],$B34,CostTrack[[Vendor - Contract]:[Vendor - Contract]],$H34,CostTrack[[Holdback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34" s="504">
        <f ca="1">SUMIFS(CostTrack[[Value]:[Value]],CostTrack[[PA ID]:[PA ID]],$B34,CostTrack[[Vendor - Contract]:[Vendor - Contract]],$H34,CostTrack[[Holdback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34" s="504">
        <f ca="1">SUMIFS(CostTrack[[Value]:[Value]],CostTrack[[PA ID]:[PA ID]],$B34,CostTrack[[Vendor - Contract]:[Vendor - Contract]],$H34,CostTrack[[Holdback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34" s="512">
        <f t="shared" ca="1" si="19"/>
        <v>0</v>
      </c>
      <c r="BY34" s="504">
        <f ca="1">SUMIFS(CostTrack[[Value]:[Value]],CostTrack[[PA ID]:[PA ID]],$B34,CostTrack[[Vendor - Contract]:[Vendor - Contract]],$H34,CostTrack[[Holdback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34" s="504">
        <f ca="1">SUMIFS(CostTrack[[Value]:[Value]],CostTrack[[PA ID]:[PA ID]],$B34,CostTrack[[Vendor - Contract]:[Vendor - Contract]],$H34,CostTrack[[Holdback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34" s="504">
        <f ca="1">SUMIFS(CostTrack[[Value]:[Value]],CostTrack[[PA ID]:[PA ID]],$B34,CostTrack[[Vendor - Contract]:[Vendor - Contract]],$H34,CostTrack[[Holdback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34" s="504">
        <f ca="1">SUMIFS(CostTrack[[Value]:[Value]],CostTrack[[PA ID]:[PA ID]],$B34,CostTrack[[Vendor - Contract]:[Vendor - Contract]],$H34,CostTrack[[Holdback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34" s="504">
        <f ca="1">SUMIFS(CostTrack[[Value]:[Value]],CostTrack[[PA ID]:[PA ID]],$B34,CostTrack[[Vendor - Contract]:[Vendor - Contract]],$H34,CostTrack[[Holdback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34" s="504">
        <f ca="1">SUMIFS(CostTrack[[Value]:[Value]],CostTrack[[PA ID]:[PA ID]],$B34,CostTrack[[Vendor - Contract]:[Vendor - Contract]],$H34,CostTrack[[Holdback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34" s="504">
        <f ca="1">SUMIFS(CostTrack[[Value]:[Value]],CostTrack[[PA ID]:[PA ID]],$B34,CostTrack[[Vendor - Contract]:[Vendor - Contract]],$H34,CostTrack[[Holdback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34" s="504">
        <f ca="1">SUMIFS(CostTrack[[Value]:[Value]],CostTrack[[PA ID]:[PA ID]],$B34,CostTrack[[Vendor - Contract]:[Vendor - Contract]],$H34,CostTrack[[Holdback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34" s="504">
        <f ca="1">SUMIFS(CostTrack[[Value]:[Value]],CostTrack[[PA ID]:[PA ID]],$B34,CostTrack[[Vendor - Contract]:[Vendor - Contract]],$H34,CostTrack[[Holdback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34" s="504">
        <f ca="1">SUMIFS(CostTrack[[Value]:[Value]],CostTrack[[PA ID]:[PA ID]],$B34,CostTrack[[Vendor - Contract]:[Vendor - Contract]],$H34,CostTrack[[Holdback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34" s="504">
        <f ca="1">SUMIFS(CostTrack[[Value]:[Value]],CostTrack[[PA ID]:[PA ID]],$B34,CostTrack[[Vendor - Contract]:[Vendor - Contract]],$H34,CostTrack[[Holdback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34" s="504">
        <f ca="1">SUMIFS(CostTrack[[Value]:[Value]],CostTrack[[PA ID]:[PA ID]],$B34,CostTrack[[Vendor - Contract]:[Vendor - Contract]],$H34,CostTrack[[Holdback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34" s="512">
        <f t="shared" ca="1" si="20"/>
        <v>0</v>
      </c>
      <c r="CM34" s="504">
        <f ca="1">SUMIFS(CostTrack[[Value]:[Value]],CostTrack[[PA ID]:[PA ID]],$B34,CostTrack[[Vendor - Contract]:[Vendor - Contract]],$H34,CostTrack[[Holdback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34" s="504">
        <f ca="1">SUMIFS(CostTrack[[Value]:[Value]],CostTrack[[PA ID]:[PA ID]],$B34,CostTrack[[Vendor - Contract]:[Vendor - Contract]],$H34,CostTrack[[Holdback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34" s="504">
        <f ca="1">SUMIFS(CostTrack[[Value]:[Value]],CostTrack[[PA ID]:[PA ID]],$B34,CostTrack[[Vendor - Contract]:[Vendor - Contract]],$H34,CostTrack[[Holdback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34" s="504">
        <f ca="1">SUMIFS(CostTrack[[Value]:[Value]],CostTrack[[PA ID]:[PA ID]],$B34,CostTrack[[Vendor - Contract]:[Vendor - Contract]],$H34,CostTrack[[Holdback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34" s="504">
        <f ca="1">SUMIFS(CostTrack[[Value]:[Value]],CostTrack[[PA ID]:[PA ID]],$B34,CostTrack[[Vendor - Contract]:[Vendor - Contract]],$H34,CostTrack[[Holdback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34" s="504">
        <f ca="1">SUMIFS(CostTrack[[Value]:[Value]],CostTrack[[PA ID]:[PA ID]],$B34,CostTrack[[Vendor - Contract]:[Vendor - Contract]],$H34,CostTrack[[Holdback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34" s="504">
        <f ca="1">SUMIFS(CostTrack[[Value]:[Value]],CostTrack[[PA ID]:[PA ID]],$B34,CostTrack[[Vendor - Contract]:[Vendor - Contract]],$H34,CostTrack[[Holdback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34" s="504">
        <f ca="1">SUMIFS(CostTrack[[Value]:[Value]],CostTrack[[PA ID]:[PA ID]],$B34,CostTrack[[Vendor - Contract]:[Vendor - Contract]],$H34,CostTrack[[Holdback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34" s="504">
        <f ca="1">SUMIFS(CostTrack[[Value]:[Value]],CostTrack[[PA ID]:[PA ID]],$B34,CostTrack[[Vendor - Contract]:[Vendor - Contract]],$H34,CostTrack[[Holdback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34" s="504">
        <f ca="1">SUMIFS(CostTrack[[Value]:[Value]],CostTrack[[PA ID]:[PA ID]],$B34,CostTrack[[Vendor - Contract]:[Vendor - Contract]],$H34,CostTrack[[Holdback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34" s="504">
        <f ca="1">SUMIFS(CostTrack[[Value]:[Value]],CostTrack[[PA ID]:[PA ID]],$B34,CostTrack[[Vendor - Contract]:[Vendor - Contract]],$H34,CostTrack[[Holdback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34" s="504">
        <f ca="1">SUMIFS(CostTrack[[Value]:[Value]],CostTrack[[PA ID]:[PA ID]],$B34,CostTrack[[Vendor - Contract]:[Vendor - Contract]],$H34,CostTrack[[Holdback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34" s="512">
        <f t="shared" ca="1" si="21"/>
        <v>0</v>
      </c>
      <c r="DA34" s="504">
        <f ca="1">SUMIFS(CostTrack[[Value]:[Value]],CostTrack[[PA ID]:[PA ID]],$B34,CostTrack[[Vendor - Contract]:[Vendor - Contract]],$H34,CostTrack[[Holdback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34" s="504">
        <f ca="1">SUMIFS(CostTrack[[Value]:[Value]],CostTrack[[PA ID]:[PA ID]],$B34,CostTrack[[Vendor - Contract]:[Vendor - Contract]],$H34,CostTrack[[Holdback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34" s="504">
        <f ca="1">SUMIFS(CostTrack[[Value]:[Value]],CostTrack[[PA ID]:[PA ID]],$B34,CostTrack[[Vendor - Contract]:[Vendor - Contract]],$H34,CostTrack[[Holdback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34" s="504">
        <f ca="1">SUMIFS(CostTrack[[Value]:[Value]],CostTrack[[PA ID]:[PA ID]],$B34,CostTrack[[Vendor - Contract]:[Vendor - Contract]],$H34,CostTrack[[Holdback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34" s="504">
        <f ca="1">SUMIFS(CostTrack[[Value]:[Value]],CostTrack[[PA ID]:[PA ID]],$B34,CostTrack[[Vendor - Contract]:[Vendor - Contract]],$H34,CostTrack[[Holdback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34" s="504">
        <f ca="1">SUMIFS(CostTrack[[Value]:[Value]],CostTrack[[PA ID]:[PA ID]],$B34,CostTrack[[Vendor - Contract]:[Vendor - Contract]],$H34,CostTrack[[Holdback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34" s="504">
        <f ca="1">SUMIFS(CostTrack[[Value]:[Value]],CostTrack[[PA ID]:[PA ID]],$B34,CostTrack[[Vendor - Contract]:[Vendor - Contract]],$H34,CostTrack[[Holdback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34" s="504">
        <f ca="1">SUMIFS(CostTrack[[Value]:[Value]],CostTrack[[PA ID]:[PA ID]],$B34,CostTrack[[Vendor - Contract]:[Vendor - Contract]],$H34,CostTrack[[Holdback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34" s="504">
        <f ca="1">SUMIFS(CostTrack[[Value]:[Value]],CostTrack[[PA ID]:[PA ID]],$B34,CostTrack[[Vendor - Contract]:[Vendor - Contract]],$H34,CostTrack[[Holdback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34" s="504">
        <f ca="1">SUMIFS(CostTrack[[Value]:[Value]],CostTrack[[PA ID]:[PA ID]],$B34,CostTrack[[Vendor - Contract]:[Vendor - Contract]],$H34,CostTrack[[Holdback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34" s="504">
        <f ca="1">SUMIFS(CostTrack[[Value]:[Value]],CostTrack[[PA ID]:[PA ID]],$B34,CostTrack[[Vendor - Contract]:[Vendor - Contract]],$H34,CostTrack[[Holdback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34" s="504">
        <f ca="1">SUMIFS(CostTrack[[Value]:[Value]],CostTrack[[PA ID]:[PA ID]],$B34,CostTrack[[Vendor - Contract]:[Vendor - Contract]],$H34,CostTrack[[Holdback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34" s="512">
        <f t="shared" ca="1" si="22"/>
        <v>0</v>
      </c>
      <c r="DO34" s="504">
        <f ca="1">SUMIFS(CostTrack[[Value]:[Value]],CostTrack[[PA ID]:[PA ID]],$B34,CostTrack[[Vendor - Contract]:[Vendor - Contract]],$H34,CostTrack[[Holdback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34" s="504">
        <f ca="1">SUMIFS(CostTrack[[Value]:[Value]],CostTrack[[PA ID]:[PA ID]],$B34,CostTrack[[Vendor - Contract]:[Vendor - Contract]],$H34,CostTrack[[Holdback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34" s="504">
        <f ca="1">SUMIFS(CostTrack[[Value]:[Value]],CostTrack[[PA ID]:[PA ID]],$B34,CostTrack[[Vendor - Contract]:[Vendor - Contract]],$H34,CostTrack[[Holdback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34" s="504">
        <f ca="1">SUMIFS(CostTrack[[Value]:[Value]],CostTrack[[PA ID]:[PA ID]],$B34,CostTrack[[Vendor - Contract]:[Vendor - Contract]],$H34,CostTrack[[Holdback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34" s="504">
        <f ca="1">SUMIFS(CostTrack[[Value]:[Value]],CostTrack[[PA ID]:[PA ID]],$B34,CostTrack[[Vendor - Contract]:[Vendor - Contract]],$H34,CostTrack[[Holdback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34" s="504">
        <f ca="1">SUMIFS(CostTrack[[Value]:[Value]],CostTrack[[PA ID]:[PA ID]],$B34,CostTrack[[Vendor - Contract]:[Vendor - Contract]],$H34,CostTrack[[Holdback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34" s="504">
        <f ca="1">SUMIFS(CostTrack[[Value]:[Value]],CostTrack[[PA ID]:[PA ID]],$B34,CostTrack[[Vendor - Contract]:[Vendor - Contract]],$H34,CostTrack[[Holdback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34" s="504">
        <f ca="1">SUMIFS(CostTrack[[Value]:[Value]],CostTrack[[PA ID]:[PA ID]],$B34,CostTrack[[Vendor - Contract]:[Vendor - Contract]],$H34,CostTrack[[Holdback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34" s="504">
        <f ca="1">SUMIFS(CostTrack[[Value]:[Value]],CostTrack[[PA ID]:[PA ID]],$B34,CostTrack[[Vendor - Contract]:[Vendor - Contract]],$H34,CostTrack[[Holdback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34" s="504">
        <f ca="1">SUMIFS(CostTrack[[Value]:[Value]],CostTrack[[PA ID]:[PA ID]],$B34,CostTrack[[Vendor - Contract]:[Vendor - Contract]],$H34,CostTrack[[Holdback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34" s="504">
        <f ca="1">SUMIFS(CostTrack[[Value]:[Value]],CostTrack[[PA ID]:[PA ID]],$B34,CostTrack[[Vendor - Contract]:[Vendor - Contract]],$H34,CostTrack[[Holdback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34" s="504">
        <f ca="1">SUMIFS(CostTrack[[Value]:[Value]],CostTrack[[PA ID]:[PA ID]],$B34,CostTrack[[Vendor - Contract]:[Vendor - Contract]],$H34,CostTrack[[Holdback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34" s="512">
        <f t="shared" ca="1" si="23"/>
        <v>0</v>
      </c>
      <c r="EC34" s="504">
        <f ca="1">SUMIFS(CostTrack[[Value]:[Value]],CostTrack[[PA ID]:[PA ID]],$B34,CostTrack[[Vendor - Contract]:[Vendor - Contract]],$H34,CostTrack[[Holdback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34" s="505"/>
      <c r="EE34" s="505"/>
      <c r="EF34" s="505"/>
      <c r="EG34" s="505"/>
      <c r="EH34" s="505"/>
      <c r="EI34" s="505"/>
      <c r="EJ34" s="505"/>
      <c r="EK34" s="505"/>
      <c r="EL34" s="505"/>
      <c r="EM34" s="505"/>
      <c r="EN34" s="505"/>
      <c r="EO34" s="512">
        <f t="shared" ca="1" si="24"/>
        <v>0</v>
      </c>
      <c r="EQ34" s="505"/>
      <c r="ER34" s="505"/>
      <c r="ES34" s="505"/>
      <c r="ET34" s="505"/>
      <c r="EU34" s="505"/>
      <c r="EV34" s="505"/>
      <c r="EW34" s="505"/>
      <c r="EX34" s="505"/>
      <c r="EY34" s="505"/>
      <c r="EZ34" s="505"/>
      <c r="FA34" s="505"/>
      <c r="FB34" s="505"/>
      <c r="FC34" s="512">
        <f t="shared" si="25"/>
        <v>0</v>
      </c>
      <c r="FE34" s="505"/>
      <c r="FF34" s="505"/>
      <c r="FG34" s="505"/>
      <c r="FH34" s="505"/>
      <c r="FI34" s="505"/>
      <c r="FJ34" s="505"/>
      <c r="FK34" s="505"/>
      <c r="FL34" s="505"/>
      <c r="FM34" s="505"/>
      <c r="FN34" s="505"/>
      <c r="FO34" s="505"/>
      <c r="FP34" s="505"/>
      <c r="FQ34" s="512">
        <f t="shared" si="26"/>
        <v>0</v>
      </c>
      <c r="FS34" s="504">
        <f t="shared" ca="1" si="27"/>
        <v>0</v>
      </c>
    </row>
    <row r="35" spans="1:176">
      <c r="A35" s="216">
        <v>28</v>
      </c>
      <c r="B35" s="219" t="str">
        <f ca="1">INDEX(EAC[PA ID],MATCH($A35,EAC[Row],0))</f>
        <v>400.030.F1</v>
      </c>
      <c r="C35" s="218" t="str">
        <f ca="1">INDEX(EAC[Primary Category],MATCH($A35,EAC[Row],0))</f>
        <v>FE_IT</v>
      </c>
      <c r="D35" s="218" t="str">
        <f ca="1">INDEX(EAC[Secondary Category],MATCH($A35,EAC[Row],0))</f>
        <v>Movers</v>
      </c>
      <c r="E35" s="109" t="str">
        <f ca="1">INDEX(EAC[Phase / Subproject],MATCH($A35,EAC[Row],0))</f>
        <v>--</v>
      </c>
      <c r="F35" s="109" t="str">
        <f ca="1">INDEX(EAC[Phase / Subproject 2],MATCH($A35,EAC[Row],0))</f>
        <v>--</v>
      </c>
      <c r="G35" s="109" t="str">
        <f ca="1">INDEX(EAC[Funding Source],MATCH($A35,EAC[Row],0))</f>
        <v>P-002360</v>
      </c>
      <c r="H35" s="146" t="str">
        <f ca="1">INDEX(EAC[Vendor / Org. with Contract ID],MATCH($A35,EAC[Row],0))</f>
        <v>TFA-Staff Relocation to RDJC-IUT</v>
      </c>
      <c r="I35" s="502">
        <f ca="1">INDEX(EAC[Estimate At Completion],MATCH($A35,EAC[Row],0))</f>
        <v>166795.76999999999</v>
      </c>
      <c r="J35" s="502">
        <f ca="1">SUMIFS(CostTrack[Value],CostTrack[Vendor - Contract],$H35,CostTrack[PA ID],$B35,CostTrack[Holdback (Y/N/R)],"&lt;&gt;Release",CostTrack[Status],"Approved")</f>
        <v>166795.76999999999</v>
      </c>
      <c r="K35" s="503">
        <f t="shared" ca="1" si="14"/>
        <v>0</v>
      </c>
      <c r="M35" s="504">
        <f t="shared" ca="1" si="15"/>
        <v>0</v>
      </c>
      <c r="O35" s="504">
        <f t="shared" ref="O35" ca="1" si="28">SUMIF($U$6:$FQ$6,"Previous Fiscal",AG35:FQ35)</f>
        <v>166795.76999999999</v>
      </c>
      <c r="P35" s="504">
        <f t="array" aca="1" ref="P35" ca="1">SUM($U35:$FQ35*_xlfn.ISFORMULA($U35:$FQ35)*ISNUMBER($U$7:$FQ$7)*--(INDEX($U$6:$FQ$6,N(IF({1},COLUMN($U$6:$FQ$6)-COLUMN($T$6)))-MOD(N(IF({1},COLUMN($U$6:$FQ$6)-COLUMN($U$6))),14))="Current Fiscal"))</f>
        <v>0</v>
      </c>
      <c r="Q35" s="504">
        <f t="array" aca="1" ref="Q35" ca="1">SUM($U35:$FQ35*NOT(_xlfn.ISFORMULA($U35:$FQ35))*ISNUMBER($U$7:$FQ$7)*--(INDEX($U$6:$FQ$6,N(IF({1},COLUMN($U$6:$FQ$6)-COLUMN($T$6)))-MOD(N(IF({1},COLUMN($U$6:$FQ$6)-COLUMN($U$6))),14))="Current Fiscal"))</f>
        <v>0</v>
      </c>
      <c r="R35" s="504">
        <f t="shared" ref="R35" ca="1" si="29">SUMIF($U$6:$FQ$6,"Current Fiscal",AG35:FQ35)</f>
        <v>0</v>
      </c>
      <c r="S35" s="504">
        <f t="shared" ref="S35" ca="1" si="30">SUMIF($U$6:$FQ$6,"Future Fiscal",AG35:FQ35)</f>
        <v>0</v>
      </c>
      <c r="U35" s="504">
        <f ca="1">SUMIFS(CostTrack[[Value]:[Value]],CostTrack[[PA ID]:[PA ID]],$B35,CostTrack[[Vendor - Contract]:[Vendor - Contract]],$H35,CostTrack[[Holdback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35" s="504">
        <f ca="1">SUMIFS(CostTrack[[Value]:[Value]],CostTrack[[PA ID]:[PA ID]],$B35,CostTrack[[Vendor - Contract]:[Vendor - Contract]],$H35,CostTrack[[Holdback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35" s="504">
        <f ca="1">SUMIFS(CostTrack[[Value]:[Value]],CostTrack[[PA ID]:[PA ID]],$B35,CostTrack[[Vendor - Contract]:[Vendor - Contract]],$H35,CostTrack[[Holdback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35" s="504">
        <f ca="1">SUMIFS(CostTrack[[Value]:[Value]],CostTrack[[PA ID]:[PA ID]],$B35,CostTrack[[Vendor - Contract]:[Vendor - Contract]],$H35,CostTrack[[Holdback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35" s="504">
        <f ca="1">SUMIFS(CostTrack[[Value]:[Value]],CostTrack[[PA ID]:[PA ID]],$B35,CostTrack[[Vendor - Contract]:[Vendor - Contract]],$H35,CostTrack[[Holdback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35" s="504">
        <f ca="1">SUMIFS(CostTrack[[Value]:[Value]],CostTrack[[PA ID]:[PA ID]],$B35,CostTrack[[Vendor - Contract]:[Vendor - Contract]],$H35,CostTrack[[Holdback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35" s="504">
        <f ca="1">SUMIFS(CostTrack[[Value]:[Value]],CostTrack[[PA ID]:[PA ID]],$B35,CostTrack[[Vendor - Contract]:[Vendor - Contract]],$H35,CostTrack[[Holdback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35" s="504">
        <f ca="1">SUMIFS(CostTrack[[Value]:[Value]],CostTrack[[PA ID]:[PA ID]],$B35,CostTrack[[Vendor - Contract]:[Vendor - Contract]],$H35,CostTrack[[Holdback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35" s="504">
        <f ca="1">SUMIFS(CostTrack[[Value]:[Value]],CostTrack[[PA ID]:[PA ID]],$B35,CostTrack[[Vendor - Contract]:[Vendor - Contract]],$H35,CostTrack[[Holdback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35" s="504">
        <f ca="1">SUMIFS(CostTrack[[Value]:[Value]],CostTrack[[PA ID]:[PA ID]],$B35,CostTrack[[Vendor - Contract]:[Vendor - Contract]],$H35,CostTrack[[Holdback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35" s="504">
        <f ca="1">SUMIFS(CostTrack[[Value]:[Value]],CostTrack[[PA ID]:[PA ID]],$B35,CostTrack[[Vendor - Contract]:[Vendor - Contract]],$H35,CostTrack[[Holdback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35" s="504">
        <f ca="1">SUMIFS(CostTrack[[Value]:[Value]],CostTrack[[PA ID]:[PA ID]],$B35,CostTrack[[Vendor - Contract]:[Vendor - Contract]],$H35,CostTrack[[Holdback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35" s="506">
        <f t="shared" ca="1" si="16"/>
        <v>0</v>
      </c>
      <c r="AI35" s="504">
        <f ca="1">SUMIFS(CostTrack[[Value]:[Value]],CostTrack[[PA ID]:[PA ID]],$B35,CostTrack[[Vendor - Contract]:[Vendor - Contract]],$H35,CostTrack[[Holdback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35" s="504">
        <f ca="1">SUMIFS(CostTrack[[Value]:[Value]],CostTrack[[PA ID]:[PA ID]],$B35,CostTrack[[Vendor - Contract]:[Vendor - Contract]],$H35,CostTrack[[Holdback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35" s="504">
        <f ca="1">SUMIFS(CostTrack[[Value]:[Value]],CostTrack[[PA ID]:[PA ID]],$B35,CostTrack[[Vendor - Contract]:[Vendor - Contract]],$H35,CostTrack[[Holdback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35" s="504">
        <f ca="1">SUMIFS(CostTrack[[Value]:[Value]],CostTrack[[PA ID]:[PA ID]],$B35,CostTrack[[Vendor - Contract]:[Vendor - Contract]],$H35,CostTrack[[Holdback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35" s="504">
        <f ca="1">SUMIFS(CostTrack[[Value]:[Value]],CostTrack[[PA ID]:[PA ID]],$B35,CostTrack[[Vendor - Contract]:[Vendor - Contract]],$H35,CostTrack[[Holdback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35" s="504">
        <f ca="1">SUMIFS(CostTrack[[Value]:[Value]],CostTrack[[PA ID]:[PA ID]],$B35,CostTrack[[Vendor - Contract]:[Vendor - Contract]],$H35,CostTrack[[Holdback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35" s="504">
        <f ca="1">SUMIFS(CostTrack[[Value]:[Value]],CostTrack[[PA ID]:[PA ID]],$B35,CostTrack[[Vendor - Contract]:[Vendor - Contract]],$H35,CostTrack[[Holdback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35" s="504">
        <f ca="1">SUMIFS(CostTrack[[Value]:[Value]],CostTrack[[PA ID]:[PA ID]],$B35,CostTrack[[Vendor - Contract]:[Vendor - Contract]],$H35,CostTrack[[Holdback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35" s="504">
        <f ca="1">SUMIFS(CostTrack[[Value]:[Value]],CostTrack[[PA ID]:[PA ID]],$B35,CostTrack[[Vendor - Contract]:[Vendor - Contract]],$H35,CostTrack[[Holdback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35" s="504">
        <f ca="1">SUMIFS(CostTrack[[Value]:[Value]],CostTrack[[PA ID]:[PA ID]],$B35,CostTrack[[Vendor - Contract]:[Vendor - Contract]],$H35,CostTrack[[Holdback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35" s="504">
        <f ca="1">SUMIFS(CostTrack[[Value]:[Value]],CostTrack[[PA ID]:[PA ID]],$B35,CostTrack[[Vendor - Contract]:[Vendor - Contract]],$H35,CostTrack[[Holdback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35" s="504">
        <f ca="1">SUMIFS(CostTrack[[Value]:[Value]],CostTrack[[PA ID]:[PA ID]],$B35,CostTrack[[Vendor - Contract]:[Vendor - Contract]],$H35,CostTrack[[Holdback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35" s="512">
        <f t="shared" ca="1" si="17"/>
        <v>0</v>
      </c>
      <c r="AW35" s="504">
        <f ca="1">SUMIFS(CostTrack[[Value]:[Value]],CostTrack[[PA ID]:[PA ID]],$B35,CostTrack[[Vendor - Contract]:[Vendor - Contract]],$H35,CostTrack[[Holdback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35" s="504">
        <f ca="1">SUMIFS(CostTrack[[Value]:[Value]],CostTrack[[PA ID]:[PA ID]],$B35,CostTrack[[Vendor - Contract]:[Vendor - Contract]],$H35,CostTrack[[Holdback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35" s="504">
        <f ca="1">SUMIFS(CostTrack[[Value]:[Value]],CostTrack[[PA ID]:[PA ID]],$B35,CostTrack[[Vendor - Contract]:[Vendor - Contract]],$H35,CostTrack[[Holdback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35" s="504">
        <f ca="1">SUMIFS(CostTrack[[Value]:[Value]],CostTrack[[PA ID]:[PA ID]],$B35,CostTrack[[Vendor - Contract]:[Vendor - Contract]],$H35,CostTrack[[Holdback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35" s="504">
        <f ca="1">SUMIFS(CostTrack[[Value]:[Value]],CostTrack[[PA ID]:[PA ID]],$B35,CostTrack[[Vendor - Contract]:[Vendor - Contract]],$H35,CostTrack[[Holdback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35" s="504">
        <f ca="1">SUMIFS(CostTrack[[Value]:[Value]],CostTrack[[PA ID]:[PA ID]],$B35,CostTrack[[Vendor - Contract]:[Vendor - Contract]],$H35,CostTrack[[Holdback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35" s="504">
        <f ca="1">SUMIFS(CostTrack[[Value]:[Value]],CostTrack[[PA ID]:[PA ID]],$B35,CostTrack[[Vendor - Contract]:[Vendor - Contract]],$H35,CostTrack[[Holdback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35" s="504">
        <f ca="1">SUMIFS(CostTrack[[Value]:[Value]],CostTrack[[PA ID]:[PA ID]],$B35,CostTrack[[Vendor - Contract]:[Vendor - Contract]],$H35,CostTrack[[Holdback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35" s="504">
        <f ca="1">SUMIFS(CostTrack[[Value]:[Value]],CostTrack[[PA ID]:[PA ID]],$B35,CostTrack[[Vendor - Contract]:[Vendor - Contract]],$H35,CostTrack[[Holdback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35" s="504">
        <f ca="1">SUMIFS(CostTrack[[Value]:[Value]],CostTrack[[PA ID]:[PA ID]],$B35,CostTrack[[Vendor - Contract]:[Vendor - Contract]],$H35,CostTrack[[Holdback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35" s="504">
        <f ca="1">SUMIFS(CostTrack[[Value]:[Value]],CostTrack[[PA ID]:[PA ID]],$B35,CostTrack[[Vendor - Contract]:[Vendor - Contract]],$H35,CostTrack[[Holdback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35" s="504">
        <f ca="1">SUMIFS(CostTrack[[Value]:[Value]],CostTrack[[PA ID]:[PA ID]],$B35,CostTrack[[Vendor - Contract]:[Vendor - Contract]],$H35,CostTrack[[Holdback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35" s="512">
        <f t="shared" ca="1" si="18"/>
        <v>0</v>
      </c>
      <c r="BK35" s="504">
        <f ca="1">SUMIFS(CostTrack[[Value]:[Value]],CostTrack[[PA ID]:[PA ID]],$B35,CostTrack[[Vendor - Contract]:[Vendor - Contract]],$H35,CostTrack[[Holdback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35" s="504">
        <f ca="1">SUMIFS(CostTrack[[Value]:[Value]],CostTrack[[PA ID]:[PA ID]],$B35,CostTrack[[Vendor - Contract]:[Vendor - Contract]],$H35,CostTrack[[Holdback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35" s="504">
        <f ca="1">SUMIFS(CostTrack[[Value]:[Value]],CostTrack[[PA ID]:[PA ID]],$B35,CostTrack[[Vendor - Contract]:[Vendor - Contract]],$H35,CostTrack[[Holdback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35" s="504">
        <f ca="1">SUMIFS(CostTrack[[Value]:[Value]],CostTrack[[PA ID]:[PA ID]],$B35,CostTrack[[Vendor - Contract]:[Vendor - Contract]],$H35,CostTrack[[Holdback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35" s="504">
        <f ca="1">SUMIFS(CostTrack[[Value]:[Value]],CostTrack[[PA ID]:[PA ID]],$B35,CostTrack[[Vendor - Contract]:[Vendor - Contract]],$H35,CostTrack[[Holdback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35" s="504">
        <f ca="1">SUMIFS(CostTrack[[Value]:[Value]],CostTrack[[PA ID]:[PA ID]],$B35,CostTrack[[Vendor - Contract]:[Vendor - Contract]],$H35,CostTrack[[Holdback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35" s="504">
        <f ca="1">SUMIFS(CostTrack[[Value]:[Value]],CostTrack[[PA ID]:[PA ID]],$B35,CostTrack[[Vendor - Contract]:[Vendor - Contract]],$H35,CostTrack[[Holdback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35" s="504">
        <f ca="1">SUMIFS(CostTrack[[Value]:[Value]],CostTrack[[PA ID]:[PA ID]],$B35,CostTrack[[Vendor - Contract]:[Vendor - Contract]],$H35,CostTrack[[Holdback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35" s="504">
        <f ca="1">SUMIFS(CostTrack[[Value]:[Value]],CostTrack[[PA ID]:[PA ID]],$B35,CostTrack[[Vendor - Contract]:[Vendor - Contract]],$H35,CostTrack[[Holdback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35" s="504">
        <f ca="1">SUMIFS(CostTrack[[Value]:[Value]],CostTrack[[PA ID]:[PA ID]],$B35,CostTrack[[Vendor - Contract]:[Vendor - Contract]],$H35,CostTrack[[Holdback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35" s="504">
        <f ca="1">SUMIFS(CostTrack[[Value]:[Value]],CostTrack[[PA ID]:[PA ID]],$B35,CostTrack[[Vendor - Contract]:[Vendor - Contract]],$H35,CostTrack[[Holdback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35" s="504">
        <f ca="1">SUMIFS(CostTrack[[Value]:[Value]],CostTrack[[PA ID]:[PA ID]],$B35,CostTrack[[Vendor - Contract]:[Vendor - Contract]],$H35,CostTrack[[Holdback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35" s="512">
        <f t="shared" ca="1" si="19"/>
        <v>0</v>
      </c>
      <c r="BY35" s="504">
        <f ca="1">SUMIFS(CostTrack[[Value]:[Value]],CostTrack[[PA ID]:[PA ID]],$B35,CostTrack[[Vendor - Contract]:[Vendor - Contract]],$H35,CostTrack[[Holdback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35" s="504">
        <f ca="1">SUMIFS(CostTrack[[Value]:[Value]],CostTrack[[PA ID]:[PA ID]],$B35,CostTrack[[Vendor - Contract]:[Vendor - Contract]],$H35,CostTrack[[Holdback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35" s="504">
        <f ca="1">SUMIFS(CostTrack[[Value]:[Value]],CostTrack[[PA ID]:[PA ID]],$B35,CostTrack[[Vendor - Contract]:[Vendor - Contract]],$H35,CostTrack[[Holdback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35" s="504">
        <f ca="1">SUMIFS(CostTrack[[Value]:[Value]],CostTrack[[PA ID]:[PA ID]],$B35,CostTrack[[Vendor - Contract]:[Vendor - Contract]],$H35,CostTrack[[Holdback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35" s="504">
        <f ca="1">SUMIFS(CostTrack[[Value]:[Value]],CostTrack[[PA ID]:[PA ID]],$B35,CostTrack[[Vendor - Contract]:[Vendor - Contract]],$H35,CostTrack[[Holdback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35" s="504">
        <f ca="1">SUMIFS(CostTrack[[Value]:[Value]],CostTrack[[PA ID]:[PA ID]],$B35,CostTrack[[Vendor - Contract]:[Vendor - Contract]],$H35,CostTrack[[Holdback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35" s="504">
        <f ca="1">SUMIFS(CostTrack[[Value]:[Value]],CostTrack[[PA ID]:[PA ID]],$B35,CostTrack[[Vendor - Contract]:[Vendor - Contract]],$H35,CostTrack[[Holdback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35" s="504">
        <f ca="1">SUMIFS(CostTrack[[Value]:[Value]],CostTrack[[PA ID]:[PA ID]],$B35,CostTrack[[Vendor - Contract]:[Vendor - Contract]],$H35,CostTrack[[Holdback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35" s="504">
        <f ca="1">SUMIFS(CostTrack[[Value]:[Value]],CostTrack[[PA ID]:[PA ID]],$B35,CostTrack[[Vendor - Contract]:[Vendor - Contract]],$H35,CostTrack[[Holdback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35" s="504">
        <f ca="1">SUMIFS(CostTrack[[Value]:[Value]],CostTrack[[PA ID]:[PA ID]],$B35,CostTrack[[Vendor - Contract]:[Vendor - Contract]],$H35,CostTrack[[Holdback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35" s="504">
        <f ca="1">SUMIFS(CostTrack[[Value]:[Value]],CostTrack[[PA ID]:[PA ID]],$B35,CostTrack[[Vendor - Contract]:[Vendor - Contract]],$H35,CostTrack[[Holdback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35" s="504">
        <f ca="1">SUMIFS(CostTrack[[Value]:[Value]],CostTrack[[PA ID]:[PA ID]],$B35,CostTrack[[Vendor - Contract]:[Vendor - Contract]],$H35,CostTrack[[Holdback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35" s="512">
        <f t="shared" ca="1" si="20"/>
        <v>0</v>
      </c>
      <c r="CM35" s="504">
        <f ca="1">SUMIFS(CostTrack[[Value]:[Value]],CostTrack[[PA ID]:[PA ID]],$B35,CostTrack[[Vendor - Contract]:[Vendor - Contract]],$H35,CostTrack[[Holdback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35" s="504">
        <f ca="1">SUMIFS(CostTrack[[Value]:[Value]],CostTrack[[PA ID]:[PA ID]],$B35,CostTrack[[Vendor - Contract]:[Vendor - Contract]],$H35,CostTrack[[Holdback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35" s="504">
        <f ca="1">SUMIFS(CostTrack[[Value]:[Value]],CostTrack[[PA ID]:[PA ID]],$B35,CostTrack[[Vendor - Contract]:[Vendor - Contract]],$H35,CostTrack[[Holdback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35" s="504">
        <f ca="1">SUMIFS(CostTrack[[Value]:[Value]],CostTrack[[PA ID]:[PA ID]],$B35,CostTrack[[Vendor - Contract]:[Vendor - Contract]],$H35,CostTrack[[Holdback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35" s="504">
        <f ca="1">SUMIFS(CostTrack[[Value]:[Value]],CostTrack[[PA ID]:[PA ID]],$B35,CostTrack[[Vendor - Contract]:[Vendor - Contract]],$H35,CostTrack[[Holdback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35" s="504">
        <f ca="1">SUMIFS(CostTrack[[Value]:[Value]],CostTrack[[PA ID]:[PA ID]],$B35,CostTrack[[Vendor - Contract]:[Vendor - Contract]],$H35,CostTrack[[Holdback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35" s="504">
        <f ca="1">SUMIFS(CostTrack[[Value]:[Value]],CostTrack[[PA ID]:[PA ID]],$B35,CostTrack[[Vendor - Contract]:[Vendor - Contract]],$H35,CostTrack[[Holdback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35" s="504">
        <f ca="1">SUMIFS(CostTrack[[Value]:[Value]],CostTrack[[PA ID]:[PA ID]],$B35,CostTrack[[Vendor - Contract]:[Vendor - Contract]],$H35,CostTrack[[Holdback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35" s="504">
        <f ca="1">SUMIFS(CostTrack[[Value]:[Value]],CostTrack[[PA ID]:[PA ID]],$B35,CostTrack[[Vendor - Contract]:[Vendor - Contract]],$H35,CostTrack[[Holdback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35" s="504">
        <f ca="1">SUMIFS(CostTrack[[Value]:[Value]],CostTrack[[PA ID]:[PA ID]],$B35,CostTrack[[Vendor - Contract]:[Vendor - Contract]],$H35,CostTrack[[Holdback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35" s="504">
        <f ca="1">SUMIFS(CostTrack[[Value]:[Value]],CostTrack[[PA ID]:[PA ID]],$B35,CostTrack[[Vendor - Contract]:[Vendor - Contract]],$H35,CostTrack[[Holdback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35" s="504">
        <f ca="1">SUMIFS(CostTrack[[Value]:[Value]],CostTrack[[PA ID]:[PA ID]],$B35,CostTrack[[Vendor - Contract]:[Vendor - Contract]],$H35,CostTrack[[Holdback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35" s="512">
        <f t="shared" ca="1" si="21"/>
        <v>0</v>
      </c>
      <c r="DA35" s="504">
        <f ca="1">SUMIFS(CostTrack[[Value]:[Value]],CostTrack[[PA ID]:[PA ID]],$B35,CostTrack[[Vendor - Contract]:[Vendor - Contract]],$H35,CostTrack[[Holdback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35" s="504">
        <f ca="1">SUMIFS(CostTrack[[Value]:[Value]],CostTrack[[PA ID]:[PA ID]],$B35,CostTrack[[Vendor - Contract]:[Vendor - Contract]],$H35,CostTrack[[Holdback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35" s="504">
        <f ca="1">SUMIFS(CostTrack[[Value]:[Value]],CostTrack[[PA ID]:[PA ID]],$B35,CostTrack[[Vendor - Contract]:[Vendor - Contract]],$H35,CostTrack[[Holdback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35" s="504">
        <f ca="1">SUMIFS(CostTrack[[Value]:[Value]],CostTrack[[PA ID]:[PA ID]],$B35,CostTrack[[Vendor - Contract]:[Vendor - Contract]],$H35,CostTrack[[Holdback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35" s="504">
        <f ca="1">SUMIFS(CostTrack[[Value]:[Value]],CostTrack[[PA ID]:[PA ID]],$B35,CostTrack[[Vendor - Contract]:[Vendor - Contract]],$H35,CostTrack[[Holdback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35" s="504">
        <f ca="1">SUMIFS(CostTrack[[Value]:[Value]],CostTrack[[PA ID]:[PA ID]],$B35,CostTrack[[Vendor - Contract]:[Vendor - Contract]],$H35,CostTrack[[Holdback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35" s="504">
        <f ca="1">SUMIFS(CostTrack[[Value]:[Value]],CostTrack[[PA ID]:[PA ID]],$B35,CostTrack[[Vendor - Contract]:[Vendor - Contract]],$H35,CostTrack[[Holdback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35" s="504">
        <f ca="1">SUMIFS(CostTrack[[Value]:[Value]],CostTrack[[PA ID]:[PA ID]],$B35,CostTrack[[Vendor - Contract]:[Vendor - Contract]],$H35,CostTrack[[Holdback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35" s="504">
        <f ca="1">SUMIFS(CostTrack[[Value]:[Value]],CostTrack[[PA ID]:[PA ID]],$B35,CostTrack[[Vendor - Contract]:[Vendor - Contract]],$H35,CostTrack[[Holdback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35" s="504">
        <f ca="1">SUMIFS(CostTrack[[Value]:[Value]],CostTrack[[PA ID]:[PA ID]],$B35,CostTrack[[Vendor - Contract]:[Vendor - Contract]],$H35,CostTrack[[Holdback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35" s="504">
        <f ca="1">SUMIFS(CostTrack[[Value]:[Value]],CostTrack[[PA ID]:[PA ID]],$B35,CostTrack[[Vendor - Contract]:[Vendor - Contract]],$H35,CostTrack[[Holdback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35" s="504">
        <f ca="1">SUMIFS(CostTrack[[Value]:[Value]],CostTrack[[PA ID]:[PA ID]],$B35,CostTrack[[Vendor - Contract]:[Vendor - Contract]],$H35,CostTrack[[Holdback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35" s="512">
        <f t="shared" ca="1" si="22"/>
        <v>0</v>
      </c>
      <c r="DO35" s="504">
        <f ca="1">SUMIFS(CostTrack[[Value]:[Value]],CostTrack[[PA ID]:[PA ID]],$B35,CostTrack[[Vendor - Contract]:[Vendor - Contract]],$H35,CostTrack[[Holdback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35" s="504">
        <f ca="1">SUMIFS(CostTrack[[Value]:[Value]],CostTrack[[PA ID]:[PA ID]],$B35,CostTrack[[Vendor - Contract]:[Vendor - Contract]],$H35,CostTrack[[Holdback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35" s="504">
        <f ca="1">SUMIFS(CostTrack[[Value]:[Value]],CostTrack[[PA ID]:[PA ID]],$B35,CostTrack[[Vendor - Contract]:[Vendor - Contract]],$H35,CostTrack[[Holdback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35" s="504">
        <f ca="1">SUMIFS(CostTrack[[Value]:[Value]],CostTrack[[PA ID]:[PA ID]],$B35,CostTrack[[Vendor - Contract]:[Vendor - Contract]],$H35,CostTrack[[Holdback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35" s="504">
        <f ca="1">SUMIFS(CostTrack[[Value]:[Value]],CostTrack[[PA ID]:[PA ID]],$B35,CostTrack[[Vendor - Contract]:[Vendor - Contract]],$H35,CostTrack[[Holdback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35" s="504">
        <f ca="1">SUMIFS(CostTrack[[Value]:[Value]],CostTrack[[PA ID]:[PA ID]],$B35,CostTrack[[Vendor - Contract]:[Vendor - Contract]],$H35,CostTrack[[Holdback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35" s="504">
        <f ca="1">SUMIFS(CostTrack[[Value]:[Value]],CostTrack[[PA ID]:[PA ID]],$B35,CostTrack[[Vendor - Contract]:[Vendor - Contract]],$H35,CostTrack[[Holdback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35" s="504">
        <f ca="1">SUMIFS(CostTrack[[Value]:[Value]],CostTrack[[PA ID]:[PA ID]],$B35,CostTrack[[Vendor - Contract]:[Vendor - Contract]],$H35,CostTrack[[Holdback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35" s="504">
        <f ca="1">SUMIFS(CostTrack[[Value]:[Value]],CostTrack[[PA ID]:[PA ID]],$B35,CostTrack[[Vendor - Contract]:[Vendor - Contract]],$H35,CostTrack[[Holdback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35" s="504">
        <f ca="1">SUMIFS(CostTrack[[Value]:[Value]],CostTrack[[PA ID]:[PA ID]],$B35,CostTrack[[Vendor - Contract]:[Vendor - Contract]],$H35,CostTrack[[Holdback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35" s="504">
        <f ca="1">SUMIFS(CostTrack[[Value]:[Value]],CostTrack[[PA ID]:[PA ID]],$B35,CostTrack[[Vendor - Contract]:[Vendor - Contract]],$H35,CostTrack[[Holdback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35" s="504">
        <f ca="1">SUMIFS(CostTrack[[Value]:[Value]],CostTrack[[PA ID]:[PA ID]],$B35,CostTrack[[Vendor - Contract]:[Vendor - Contract]],$H35,CostTrack[[Holdback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166795.76999999999</v>
      </c>
      <c r="EA35" s="512">
        <f t="shared" ca="1" si="23"/>
        <v>166795.76999999999</v>
      </c>
      <c r="EC35" s="504">
        <f ca="1">SUMIFS(CostTrack[[Value]:[Value]],CostTrack[[PA ID]:[PA ID]],$B35,CostTrack[[Vendor - Contract]:[Vendor - Contract]],$H35,CostTrack[[Holdback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35" s="505"/>
      <c r="EE35" s="505"/>
      <c r="EF35" s="505"/>
      <c r="EG35" s="505"/>
      <c r="EH35" s="505"/>
      <c r="EI35" s="505"/>
      <c r="EJ35" s="505"/>
      <c r="EK35" s="505"/>
      <c r="EL35" s="505"/>
      <c r="EM35" s="505"/>
      <c r="EN35" s="505"/>
      <c r="EO35" s="512">
        <f t="shared" ca="1" si="24"/>
        <v>0</v>
      </c>
      <c r="EQ35" s="505"/>
      <c r="ER35" s="505"/>
      <c r="ES35" s="505"/>
      <c r="ET35" s="505"/>
      <c r="EU35" s="505"/>
      <c r="EV35" s="505"/>
      <c r="EW35" s="505"/>
      <c r="EX35" s="505"/>
      <c r="EY35" s="505"/>
      <c r="EZ35" s="505"/>
      <c r="FA35" s="505"/>
      <c r="FB35" s="505"/>
      <c r="FC35" s="512">
        <f t="shared" si="25"/>
        <v>0</v>
      </c>
      <c r="FE35" s="505"/>
      <c r="FF35" s="505"/>
      <c r="FG35" s="505"/>
      <c r="FH35" s="505"/>
      <c r="FI35" s="505"/>
      <c r="FJ35" s="505"/>
      <c r="FK35" s="505"/>
      <c r="FL35" s="505"/>
      <c r="FM35" s="505"/>
      <c r="FN35" s="505"/>
      <c r="FO35" s="505"/>
      <c r="FP35" s="505"/>
      <c r="FQ35" s="512">
        <f t="shared" si="26"/>
        <v>0</v>
      </c>
      <c r="FS35" s="504">
        <f t="shared" ca="1" si="27"/>
        <v>166795.76999999999</v>
      </c>
    </row>
    <row r="36" spans="1:176">
      <c r="A36" s="216">
        <v>29</v>
      </c>
      <c r="B36" s="219" t="str">
        <f ca="1">INDEX(EAC[PA ID],MATCH($A36,EAC[Row],0))</f>
        <v>400.030.F1</v>
      </c>
      <c r="C36" s="218" t="str">
        <f ca="1">INDEX(EAC[Primary Category],MATCH($A36,EAC[Row],0))</f>
        <v>FE_IT</v>
      </c>
      <c r="D36" s="218" t="str">
        <f ca="1">INDEX(EAC[Secondary Category],MATCH($A36,EAC[Row],0))</f>
        <v>Movers</v>
      </c>
      <c r="E36" s="109" t="str">
        <f ca="1">INDEX(EAC[Phase / Subproject],MATCH($A36,EAC[Row],0))</f>
        <v>--</v>
      </c>
      <c r="F36" s="109" t="str">
        <f ca="1">INDEX(EAC[Phase / Subproject 2],MATCH($A36,EAC[Row],0))</f>
        <v>--</v>
      </c>
      <c r="G36" s="109" t="str">
        <f ca="1">INDEX(EAC[Funding Source],MATCH($A36,EAC[Row],0))</f>
        <v>P-002360</v>
      </c>
      <c r="H36" s="146" t="str">
        <f ca="1">INDEX(EAC[Vendor / Org. with Contract ID],MATCH($A36,EAC[Row],0))</f>
        <v>Future / Not Awarded</v>
      </c>
      <c r="I36" s="502">
        <f ca="1">INDEX(EAC[Estimate At Completion],MATCH($A36,EAC[Row],0))</f>
        <v>0</v>
      </c>
      <c r="J36" s="502">
        <f ca="1">SUMIFS(CostTrack[Value],CostTrack[Vendor - Contract],$H36,CostTrack[PA ID],$B36,CostTrack[Holdback (Y/N/R)],"&lt;&gt;Release",CostTrack[Status],"Approved")</f>
        <v>0</v>
      </c>
      <c r="K36" s="503">
        <f t="shared" ca="1" si="14"/>
        <v>0</v>
      </c>
      <c r="M36" s="504">
        <f t="shared" ca="1" si="15"/>
        <v>0</v>
      </c>
      <c r="O36" s="504">
        <f t="shared" ref="O36:O62" ca="1" si="31">SUMIF($U$6:$FQ$6,"Previous Fiscal",AG36:FQ36)</f>
        <v>0</v>
      </c>
      <c r="P36" s="504">
        <f t="array" aca="1" ref="P36" ca="1">SUM($U36:$FQ36*_xlfn.ISFORMULA($U36:$FQ36)*ISNUMBER($U$7:$FQ$7)*--(INDEX($U$6:$FQ$6,N(IF({1},COLUMN($U$6:$FQ$6)-COLUMN($T$6)))-MOD(N(IF({1},COLUMN($U$6:$FQ$6)-COLUMN($U$6))),14))="Current Fiscal"))</f>
        <v>0</v>
      </c>
      <c r="Q36" s="504">
        <f t="array" aca="1" ref="Q36" ca="1">SUM($U36:$FQ36*NOT(_xlfn.ISFORMULA($U36:$FQ36))*ISNUMBER($U$7:$FQ$7)*--(INDEX($U$6:$FQ$6,N(IF({1},COLUMN($U$6:$FQ$6)-COLUMN($T$6)))-MOD(N(IF({1},COLUMN($U$6:$FQ$6)-COLUMN($U$6))),14))="Current Fiscal"))</f>
        <v>0</v>
      </c>
      <c r="R36" s="504">
        <f t="shared" ref="R36:R62" ca="1" si="32">SUMIF($U$6:$FQ$6,"Current Fiscal",AG36:FQ36)</f>
        <v>0</v>
      </c>
      <c r="S36" s="504">
        <f t="shared" ref="S36:S62" ca="1" si="33">SUMIF($U$6:$FQ$6,"Future Fiscal",AG36:FQ36)</f>
        <v>0</v>
      </c>
      <c r="U36" s="504">
        <f ca="1">SUMIFS(CostTrack[[Value]:[Value]],CostTrack[[PA ID]:[PA ID]],$B36,CostTrack[[Vendor - Contract]:[Vendor - Contract]],$H36,CostTrack[[Holdback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36" s="504">
        <f ca="1">SUMIFS(CostTrack[[Value]:[Value]],CostTrack[[PA ID]:[PA ID]],$B36,CostTrack[[Vendor - Contract]:[Vendor - Contract]],$H36,CostTrack[[Holdback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36" s="504">
        <f ca="1">SUMIFS(CostTrack[[Value]:[Value]],CostTrack[[PA ID]:[PA ID]],$B36,CostTrack[[Vendor - Contract]:[Vendor - Contract]],$H36,CostTrack[[Holdback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36" s="504">
        <f ca="1">SUMIFS(CostTrack[[Value]:[Value]],CostTrack[[PA ID]:[PA ID]],$B36,CostTrack[[Vendor - Contract]:[Vendor - Contract]],$H36,CostTrack[[Holdback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36" s="504">
        <f ca="1">SUMIFS(CostTrack[[Value]:[Value]],CostTrack[[PA ID]:[PA ID]],$B36,CostTrack[[Vendor - Contract]:[Vendor - Contract]],$H36,CostTrack[[Holdback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36" s="504">
        <f ca="1">SUMIFS(CostTrack[[Value]:[Value]],CostTrack[[PA ID]:[PA ID]],$B36,CostTrack[[Vendor - Contract]:[Vendor - Contract]],$H36,CostTrack[[Holdback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36" s="504">
        <f ca="1">SUMIFS(CostTrack[[Value]:[Value]],CostTrack[[PA ID]:[PA ID]],$B36,CostTrack[[Vendor - Contract]:[Vendor - Contract]],$H36,CostTrack[[Holdback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36" s="504">
        <f ca="1">SUMIFS(CostTrack[[Value]:[Value]],CostTrack[[PA ID]:[PA ID]],$B36,CostTrack[[Vendor - Contract]:[Vendor - Contract]],$H36,CostTrack[[Holdback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36" s="504">
        <f ca="1">SUMIFS(CostTrack[[Value]:[Value]],CostTrack[[PA ID]:[PA ID]],$B36,CostTrack[[Vendor - Contract]:[Vendor - Contract]],$H36,CostTrack[[Holdback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36" s="504">
        <f ca="1">SUMIFS(CostTrack[[Value]:[Value]],CostTrack[[PA ID]:[PA ID]],$B36,CostTrack[[Vendor - Contract]:[Vendor - Contract]],$H36,CostTrack[[Holdback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36" s="504">
        <f ca="1">SUMIFS(CostTrack[[Value]:[Value]],CostTrack[[PA ID]:[PA ID]],$B36,CostTrack[[Vendor - Contract]:[Vendor - Contract]],$H36,CostTrack[[Holdback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36" s="504">
        <f ca="1">SUMIFS(CostTrack[[Value]:[Value]],CostTrack[[PA ID]:[PA ID]],$B36,CostTrack[[Vendor - Contract]:[Vendor - Contract]],$H36,CostTrack[[Holdback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36" s="506">
        <f t="shared" ref="AG36:AG63" ca="1" si="34">SUM(U36:AF36)</f>
        <v>0</v>
      </c>
      <c r="AI36" s="504">
        <f ca="1">SUMIFS(CostTrack[[Value]:[Value]],CostTrack[[PA ID]:[PA ID]],$B36,CostTrack[[Vendor - Contract]:[Vendor - Contract]],$H36,CostTrack[[Holdback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36" s="504">
        <f ca="1">SUMIFS(CostTrack[[Value]:[Value]],CostTrack[[PA ID]:[PA ID]],$B36,CostTrack[[Vendor - Contract]:[Vendor - Contract]],$H36,CostTrack[[Holdback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36" s="504">
        <f ca="1">SUMIFS(CostTrack[[Value]:[Value]],CostTrack[[PA ID]:[PA ID]],$B36,CostTrack[[Vendor - Contract]:[Vendor - Contract]],$H36,CostTrack[[Holdback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36" s="504">
        <f ca="1">SUMIFS(CostTrack[[Value]:[Value]],CostTrack[[PA ID]:[PA ID]],$B36,CostTrack[[Vendor - Contract]:[Vendor - Contract]],$H36,CostTrack[[Holdback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36" s="504">
        <f ca="1">SUMIFS(CostTrack[[Value]:[Value]],CostTrack[[PA ID]:[PA ID]],$B36,CostTrack[[Vendor - Contract]:[Vendor - Contract]],$H36,CostTrack[[Holdback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36" s="504">
        <f ca="1">SUMIFS(CostTrack[[Value]:[Value]],CostTrack[[PA ID]:[PA ID]],$B36,CostTrack[[Vendor - Contract]:[Vendor - Contract]],$H36,CostTrack[[Holdback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36" s="504">
        <f ca="1">SUMIFS(CostTrack[[Value]:[Value]],CostTrack[[PA ID]:[PA ID]],$B36,CostTrack[[Vendor - Contract]:[Vendor - Contract]],$H36,CostTrack[[Holdback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36" s="504">
        <f ca="1">SUMIFS(CostTrack[[Value]:[Value]],CostTrack[[PA ID]:[PA ID]],$B36,CostTrack[[Vendor - Contract]:[Vendor - Contract]],$H36,CostTrack[[Holdback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36" s="504">
        <f ca="1">SUMIFS(CostTrack[[Value]:[Value]],CostTrack[[PA ID]:[PA ID]],$B36,CostTrack[[Vendor - Contract]:[Vendor - Contract]],$H36,CostTrack[[Holdback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36" s="504">
        <f ca="1">SUMIFS(CostTrack[[Value]:[Value]],CostTrack[[PA ID]:[PA ID]],$B36,CostTrack[[Vendor - Contract]:[Vendor - Contract]],$H36,CostTrack[[Holdback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36" s="504">
        <f ca="1">SUMIFS(CostTrack[[Value]:[Value]],CostTrack[[PA ID]:[PA ID]],$B36,CostTrack[[Vendor - Contract]:[Vendor - Contract]],$H36,CostTrack[[Holdback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36" s="504">
        <f ca="1">SUMIFS(CostTrack[[Value]:[Value]],CostTrack[[PA ID]:[PA ID]],$B36,CostTrack[[Vendor - Contract]:[Vendor - Contract]],$H36,CostTrack[[Holdback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36" s="512">
        <f t="shared" ref="AU36:AU67" ca="1" si="35">SUM(AI36:AT36)</f>
        <v>0</v>
      </c>
      <c r="AW36" s="504">
        <f ca="1">SUMIFS(CostTrack[[Value]:[Value]],CostTrack[[PA ID]:[PA ID]],$B36,CostTrack[[Vendor - Contract]:[Vendor - Contract]],$H36,CostTrack[[Holdback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36" s="504">
        <f ca="1">SUMIFS(CostTrack[[Value]:[Value]],CostTrack[[PA ID]:[PA ID]],$B36,CostTrack[[Vendor - Contract]:[Vendor - Contract]],$H36,CostTrack[[Holdback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36" s="504">
        <f ca="1">SUMIFS(CostTrack[[Value]:[Value]],CostTrack[[PA ID]:[PA ID]],$B36,CostTrack[[Vendor - Contract]:[Vendor - Contract]],$H36,CostTrack[[Holdback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36" s="504">
        <f ca="1">SUMIFS(CostTrack[[Value]:[Value]],CostTrack[[PA ID]:[PA ID]],$B36,CostTrack[[Vendor - Contract]:[Vendor - Contract]],$H36,CostTrack[[Holdback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36" s="504">
        <f ca="1">SUMIFS(CostTrack[[Value]:[Value]],CostTrack[[PA ID]:[PA ID]],$B36,CostTrack[[Vendor - Contract]:[Vendor - Contract]],$H36,CostTrack[[Holdback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36" s="504">
        <f ca="1">SUMIFS(CostTrack[[Value]:[Value]],CostTrack[[PA ID]:[PA ID]],$B36,CostTrack[[Vendor - Contract]:[Vendor - Contract]],$H36,CostTrack[[Holdback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36" s="504">
        <f ca="1">SUMIFS(CostTrack[[Value]:[Value]],CostTrack[[PA ID]:[PA ID]],$B36,CostTrack[[Vendor - Contract]:[Vendor - Contract]],$H36,CostTrack[[Holdback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36" s="504">
        <f ca="1">SUMIFS(CostTrack[[Value]:[Value]],CostTrack[[PA ID]:[PA ID]],$B36,CostTrack[[Vendor - Contract]:[Vendor - Contract]],$H36,CostTrack[[Holdback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36" s="504">
        <f ca="1">SUMIFS(CostTrack[[Value]:[Value]],CostTrack[[PA ID]:[PA ID]],$B36,CostTrack[[Vendor - Contract]:[Vendor - Contract]],$H36,CostTrack[[Holdback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36" s="504">
        <f ca="1">SUMIFS(CostTrack[[Value]:[Value]],CostTrack[[PA ID]:[PA ID]],$B36,CostTrack[[Vendor - Contract]:[Vendor - Contract]],$H36,CostTrack[[Holdback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36" s="504">
        <f ca="1">SUMIFS(CostTrack[[Value]:[Value]],CostTrack[[PA ID]:[PA ID]],$B36,CostTrack[[Vendor - Contract]:[Vendor - Contract]],$H36,CostTrack[[Holdback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36" s="504">
        <f ca="1">SUMIFS(CostTrack[[Value]:[Value]],CostTrack[[PA ID]:[PA ID]],$B36,CostTrack[[Vendor - Contract]:[Vendor - Contract]],$H36,CostTrack[[Holdback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36" s="512">
        <f t="shared" ref="BI36:BI67" ca="1" si="36">SUM(AW36:BH36)</f>
        <v>0</v>
      </c>
      <c r="BK36" s="504">
        <f ca="1">SUMIFS(CostTrack[[Value]:[Value]],CostTrack[[PA ID]:[PA ID]],$B36,CostTrack[[Vendor - Contract]:[Vendor - Contract]],$H36,CostTrack[[Holdback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36" s="504">
        <f ca="1">SUMIFS(CostTrack[[Value]:[Value]],CostTrack[[PA ID]:[PA ID]],$B36,CostTrack[[Vendor - Contract]:[Vendor - Contract]],$H36,CostTrack[[Holdback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36" s="504">
        <f ca="1">SUMIFS(CostTrack[[Value]:[Value]],CostTrack[[PA ID]:[PA ID]],$B36,CostTrack[[Vendor - Contract]:[Vendor - Contract]],$H36,CostTrack[[Holdback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36" s="504">
        <f ca="1">SUMIFS(CostTrack[[Value]:[Value]],CostTrack[[PA ID]:[PA ID]],$B36,CostTrack[[Vendor - Contract]:[Vendor - Contract]],$H36,CostTrack[[Holdback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36" s="504">
        <f ca="1">SUMIFS(CostTrack[[Value]:[Value]],CostTrack[[PA ID]:[PA ID]],$B36,CostTrack[[Vendor - Contract]:[Vendor - Contract]],$H36,CostTrack[[Holdback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36" s="504">
        <f ca="1">SUMIFS(CostTrack[[Value]:[Value]],CostTrack[[PA ID]:[PA ID]],$B36,CostTrack[[Vendor - Contract]:[Vendor - Contract]],$H36,CostTrack[[Holdback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36" s="504">
        <f ca="1">SUMIFS(CostTrack[[Value]:[Value]],CostTrack[[PA ID]:[PA ID]],$B36,CostTrack[[Vendor - Contract]:[Vendor - Contract]],$H36,CostTrack[[Holdback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36" s="504">
        <f ca="1">SUMIFS(CostTrack[[Value]:[Value]],CostTrack[[PA ID]:[PA ID]],$B36,CostTrack[[Vendor - Contract]:[Vendor - Contract]],$H36,CostTrack[[Holdback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36" s="504">
        <f ca="1">SUMIFS(CostTrack[[Value]:[Value]],CostTrack[[PA ID]:[PA ID]],$B36,CostTrack[[Vendor - Contract]:[Vendor - Contract]],$H36,CostTrack[[Holdback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36" s="504">
        <f ca="1">SUMIFS(CostTrack[[Value]:[Value]],CostTrack[[PA ID]:[PA ID]],$B36,CostTrack[[Vendor - Contract]:[Vendor - Contract]],$H36,CostTrack[[Holdback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36" s="504">
        <f ca="1">SUMIFS(CostTrack[[Value]:[Value]],CostTrack[[PA ID]:[PA ID]],$B36,CostTrack[[Vendor - Contract]:[Vendor - Contract]],$H36,CostTrack[[Holdback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36" s="504">
        <f ca="1">SUMIFS(CostTrack[[Value]:[Value]],CostTrack[[PA ID]:[PA ID]],$B36,CostTrack[[Vendor - Contract]:[Vendor - Contract]],$H36,CostTrack[[Holdback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36" s="512">
        <f t="shared" ref="BW36:BW67" ca="1" si="37">SUM(BK36:BV36)</f>
        <v>0</v>
      </c>
      <c r="BY36" s="504">
        <f ca="1">SUMIFS(CostTrack[[Value]:[Value]],CostTrack[[PA ID]:[PA ID]],$B36,CostTrack[[Vendor - Contract]:[Vendor - Contract]],$H36,CostTrack[[Holdback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36" s="504">
        <f ca="1">SUMIFS(CostTrack[[Value]:[Value]],CostTrack[[PA ID]:[PA ID]],$B36,CostTrack[[Vendor - Contract]:[Vendor - Contract]],$H36,CostTrack[[Holdback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36" s="504">
        <f ca="1">SUMIFS(CostTrack[[Value]:[Value]],CostTrack[[PA ID]:[PA ID]],$B36,CostTrack[[Vendor - Contract]:[Vendor - Contract]],$H36,CostTrack[[Holdback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36" s="504">
        <f ca="1">SUMIFS(CostTrack[[Value]:[Value]],CostTrack[[PA ID]:[PA ID]],$B36,CostTrack[[Vendor - Contract]:[Vendor - Contract]],$H36,CostTrack[[Holdback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36" s="504">
        <f ca="1">SUMIFS(CostTrack[[Value]:[Value]],CostTrack[[PA ID]:[PA ID]],$B36,CostTrack[[Vendor - Contract]:[Vendor - Contract]],$H36,CostTrack[[Holdback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36" s="504">
        <f ca="1">SUMIFS(CostTrack[[Value]:[Value]],CostTrack[[PA ID]:[PA ID]],$B36,CostTrack[[Vendor - Contract]:[Vendor - Contract]],$H36,CostTrack[[Holdback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36" s="504">
        <f ca="1">SUMIFS(CostTrack[[Value]:[Value]],CostTrack[[PA ID]:[PA ID]],$B36,CostTrack[[Vendor - Contract]:[Vendor - Contract]],$H36,CostTrack[[Holdback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36" s="504">
        <f ca="1">SUMIFS(CostTrack[[Value]:[Value]],CostTrack[[PA ID]:[PA ID]],$B36,CostTrack[[Vendor - Contract]:[Vendor - Contract]],$H36,CostTrack[[Holdback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36" s="504">
        <f ca="1">SUMIFS(CostTrack[[Value]:[Value]],CostTrack[[PA ID]:[PA ID]],$B36,CostTrack[[Vendor - Contract]:[Vendor - Contract]],$H36,CostTrack[[Holdback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36" s="504">
        <f ca="1">SUMIFS(CostTrack[[Value]:[Value]],CostTrack[[PA ID]:[PA ID]],$B36,CostTrack[[Vendor - Contract]:[Vendor - Contract]],$H36,CostTrack[[Holdback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36" s="504">
        <f ca="1">SUMIFS(CostTrack[[Value]:[Value]],CostTrack[[PA ID]:[PA ID]],$B36,CostTrack[[Vendor - Contract]:[Vendor - Contract]],$H36,CostTrack[[Holdback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36" s="504">
        <f ca="1">SUMIFS(CostTrack[[Value]:[Value]],CostTrack[[PA ID]:[PA ID]],$B36,CostTrack[[Vendor - Contract]:[Vendor - Contract]],$H36,CostTrack[[Holdback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36" s="512">
        <f t="shared" ref="CK36:CK67" ca="1" si="38">SUM(BY36:CJ36)</f>
        <v>0</v>
      </c>
      <c r="CM36" s="504">
        <f ca="1">SUMIFS(CostTrack[[Value]:[Value]],CostTrack[[PA ID]:[PA ID]],$B36,CostTrack[[Vendor - Contract]:[Vendor - Contract]],$H36,CostTrack[[Holdback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36" s="504">
        <f ca="1">SUMIFS(CostTrack[[Value]:[Value]],CostTrack[[PA ID]:[PA ID]],$B36,CostTrack[[Vendor - Contract]:[Vendor - Contract]],$H36,CostTrack[[Holdback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36" s="504">
        <f ca="1">SUMIFS(CostTrack[[Value]:[Value]],CostTrack[[PA ID]:[PA ID]],$B36,CostTrack[[Vendor - Contract]:[Vendor - Contract]],$H36,CostTrack[[Holdback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36" s="504">
        <f ca="1">SUMIFS(CostTrack[[Value]:[Value]],CostTrack[[PA ID]:[PA ID]],$B36,CostTrack[[Vendor - Contract]:[Vendor - Contract]],$H36,CostTrack[[Holdback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36" s="504">
        <f ca="1">SUMIFS(CostTrack[[Value]:[Value]],CostTrack[[PA ID]:[PA ID]],$B36,CostTrack[[Vendor - Contract]:[Vendor - Contract]],$H36,CostTrack[[Holdback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36" s="504">
        <f ca="1">SUMIFS(CostTrack[[Value]:[Value]],CostTrack[[PA ID]:[PA ID]],$B36,CostTrack[[Vendor - Contract]:[Vendor - Contract]],$H36,CostTrack[[Holdback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36" s="504">
        <f ca="1">SUMIFS(CostTrack[[Value]:[Value]],CostTrack[[PA ID]:[PA ID]],$B36,CostTrack[[Vendor - Contract]:[Vendor - Contract]],$H36,CostTrack[[Holdback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36" s="504">
        <f ca="1">SUMIFS(CostTrack[[Value]:[Value]],CostTrack[[PA ID]:[PA ID]],$B36,CostTrack[[Vendor - Contract]:[Vendor - Contract]],$H36,CostTrack[[Holdback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36" s="504">
        <f ca="1">SUMIFS(CostTrack[[Value]:[Value]],CostTrack[[PA ID]:[PA ID]],$B36,CostTrack[[Vendor - Contract]:[Vendor - Contract]],$H36,CostTrack[[Holdback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36" s="504">
        <f ca="1">SUMIFS(CostTrack[[Value]:[Value]],CostTrack[[PA ID]:[PA ID]],$B36,CostTrack[[Vendor - Contract]:[Vendor - Contract]],$H36,CostTrack[[Holdback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36" s="504">
        <f ca="1">SUMIFS(CostTrack[[Value]:[Value]],CostTrack[[PA ID]:[PA ID]],$B36,CostTrack[[Vendor - Contract]:[Vendor - Contract]],$H36,CostTrack[[Holdback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36" s="504">
        <f ca="1">SUMIFS(CostTrack[[Value]:[Value]],CostTrack[[PA ID]:[PA ID]],$B36,CostTrack[[Vendor - Contract]:[Vendor - Contract]],$H36,CostTrack[[Holdback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36" s="512">
        <f t="shared" ref="CY36:CY67" ca="1" si="39">SUM(CM36:CX36)</f>
        <v>0</v>
      </c>
      <c r="DA36" s="504">
        <f ca="1">SUMIFS(CostTrack[[Value]:[Value]],CostTrack[[PA ID]:[PA ID]],$B36,CostTrack[[Vendor - Contract]:[Vendor - Contract]],$H36,CostTrack[[Holdback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36" s="504">
        <f ca="1">SUMIFS(CostTrack[[Value]:[Value]],CostTrack[[PA ID]:[PA ID]],$B36,CostTrack[[Vendor - Contract]:[Vendor - Contract]],$H36,CostTrack[[Holdback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36" s="504">
        <f ca="1">SUMIFS(CostTrack[[Value]:[Value]],CostTrack[[PA ID]:[PA ID]],$B36,CostTrack[[Vendor - Contract]:[Vendor - Contract]],$H36,CostTrack[[Holdback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36" s="504">
        <f ca="1">SUMIFS(CostTrack[[Value]:[Value]],CostTrack[[PA ID]:[PA ID]],$B36,CostTrack[[Vendor - Contract]:[Vendor - Contract]],$H36,CostTrack[[Holdback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36" s="504">
        <f ca="1">SUMIFS(CostTrack[[Value]:[Value]],CostTrack[[PA ID]:[PA ID]],$B36,CostTrack[[Vendor - Contract]:[Vendor - Contract]],$H36,CostTrack[[Holdback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36" s="504">
        <f ca="1">SUMIFS(CostTrack[[Value]:[Value]],CostTrack[[PA ID]:[PA ID]],$B36,CostTrack[[Vendor - Contract]:[Vendor - Contract]],$H36,CostTrack[[Holdback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36" s="504">
        <f ca="1">SUMIFS(CostTrack[[Value]:[Value]],CostTrack[[PA ID]:[PA ID]],$B36,CostTrack[[Vendor - Contract]:[Vendor - Contract]],$H36,CostTrack[[Holdback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36" s="504">
        <f ca="1">SUMIFS(CostTrack[[Value]:[Value]],CostTrack[[PA ID]:[PA ID]],$B36,CostTrack[[Vendor - Contract]:[Vendor - Contract]],$H36,CostTrack[[Holdback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36" s="504">
        <f ca="1">SUMIFS(CostTrack[[Value]:[Value]],CostTrack[[PA ID]:[PA ID]],$B36,CostTrack[[Vendor - Contract]:[Vendor - Contract]],$H36,CostTrack[[Holdback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36" s="504">
        <f ca="1">SUMIFS(CostTrack[[Value]:[Value]],CostTrack[[PA ID]:[PA ID]],$B36,CostTrack[[Vendor - Contract]:[Vendor - Contract]],$H36,CostTrack[[Holdback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36" s="504">
        <f ca="1">SUMIFS(CostTrack[[Value]:[Value]],CostTrack[[PA ID]:[PA ID]],$B36,CostTrack[[Vendor - Contract]:[Vendor - Contract]],$H36,CostTrack[[Holdback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36" s="504">
        <f ca="1">SUMIFS(CostTrack[[Value]:[Value]],CostTrack[[PA ID]:[PA ID]],$B36,CostTrack[[Vendor - Contract]:[Vendor - Contract]],$H36,CostTrack[[Holdback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36" s="512">
        <f t="shared" ref="DM36:DM67" ca="1" si="40">SUM(DA36:DL36)</f>
        <v>0</v>
      </c>
      <c r="DO36" s="504">
        <f ca="1">SUMIFS(CostTrack[[Value]:[Value]],CostTrack[[PA ID]:[PA ID]],$B36,CostTrack[[Vendor - Contract]:[Vendor - Contract]],$H36,CostTrack[[Holdback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36" s="504">
        <f ca="1">SUMIFS(CostTrack[[Value]:[Value]],CostTrack[[PA ID]:[PA ID]],$B36,CostTrack[[Vendor - Contract]:[Vendor - Contract]],$H36,CostTrack[[Holdback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36" s="504">
        <f ca="1">SUMIFS(CostTrack[[Value]:[Value]],CostTrack[[PA ID]:[PA ID]],$B36,CostTrack[[Vendor - Contract]:[Vendor - Contract]],$H36,CostTrack[[Holdback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36" s="504">
        <f ca="1">SUMIFS(CostTrack[[Value]:[Value]],CostTrack[[PA ID]:[PA ID]],$B36,CostTrack[[Vendor - Contract]:[Vendor - Contract]],$H36,CostTrack[[Holdback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36" s="504">
        <f ca="1">SUMIFS(CostTrack[[Value]:[Value]],CostTrack[[PA ID]:[PA ID]],$B36,CostTrack[[Vendor - Contract]:[Vendor - Contract]],$H36,CostTrack[[Holdback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36" s="504">
        <f ca="1">SUMIFS(CostTrack[[Value]:[Value]],CostTrack[[PA ID]:[PA ID]],$B36,CostTrack[[Vendor - Contract]:[Vendor - Contract]],$H36,CostTrack[[Holdback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36" s="504">
        <f ca="1">SUMIFS(CostTrack[[Value]:[Value]],CostTrack[[PA ID]:[PA ID]],$B36,CostTrack[[Vendor - Contract]:[Vendor - Contract]],$H36,CostTrack[[Holdback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36" s="504">
        <f ca="1">SUMIFS(CostTrack[[Value]:[Value]],CostTrack[[PA ID]:[PA ID]],$B36,CostTrack[[Vendor - Contract]:[Vendor - Contract]],$H36,CostTrack[[Holdback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36" s="504">
        <f ca="1">SUMIFS(CostTrack[[Value]:[Value]],CostTrack[[PA ID]:[PA ID]],$B36,CostTrack[[Vendor - Contract]:[Vendor - Contract]],$H36,CostTrack[[Holdback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36" s="504">
        <f ca="1">SUMIFS(CostTrack[[Value]:[Value]],CostTrack[[PA ID]:[PA ID]],$B36,CostTrack[[Vendor - Contract]:[Vendor - Contract]],$H36,CostTrack[[Holdback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36" s="504">
        <f ca="1">SUMIFS(CostTrack[[Value]:[Value]],CostTrack[[PA ID]:[PA ID]],$B36,CostTrack[[Vendor - Contract]:[Vendor - Contract]],$H36,CostTrack[[Holdback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36" s="504">
        <f ca="1">SUMIFS(CostTrack[[Value]:[Value]],CostTrack[[PA ID]:[PA ID]],$B36,CostTrack[[Vendor - Contract]:[Vendor - Contract]],$H36,CostTrack[[Holdback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36" s="512">
        <f t="shared" ref="EA36:EA67" ca="1" si="41">SUM(DO36:DZ36)</f>
        <v>0</v>
      </c>
      <c r="EC36" s="504">
        <f ca="1">SUMIFS(CostTrack[[Value]:[Value]],CostTrack[[PA ID]:[PA ID]],$B36,CostTrack[[Vendor - Contract]:[Vendor - Contract]],$H36,CostTrack[[Holdback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36" s="505"/>
      <c r="EE36" s="505"/>
      <c r="EF36" s="505"/>
      <c r="EG36" s="505"/>
      <c r="EH36" s="505"/>
      <c r="EI36" s="505"/>
      <c r="EJ36" s="505"/>
      <c r="EK36" s="505"/>
      <c r="EL36" s="505"/>
      <c r="EM36" s="505"/>
      <c r="EN36" s="505"/>
      <c r="EO36" s="512">
        <f t="shared" ref="EO36:EO67" ca="1" si="42">SUM(EC36:EN36)</f>
        <v>0</v>
      </c>
      <c r="EQ36" s="505"/>
      <c r="ER36" s="505"/>
      <c r="ES36" s="505"/>
      <c r="ET36" s="505"/>
      <c r="EU36" s="505"/>
      <c r="EV36" s="505"/>
      <c r="EW36" s="505"/>
      <c r="EX36" s="505"/>
      <c r="EY36" s="505"/>
      <c r="EZ36" s="505"/>
      <c r="FA36" s="505"/>
      <c r="FB36" s="505"/>
      <c r="FC36" s="512">
        <f t="shared" ref="FC36:FC67" si="43">SUM(EQ36:FB36)</f>
        <v>0</v>
      </c>
      <c r="FE36" s="505"/>
      <c r="FF36" s="505"/>
      <c r="FG36" s="505"/>
      <c r="FH36" s="505"/>
      <c r="FI36" s="505"/>
      <c r="FJ36" s="505"/>
      <c r="FK36" s="505"/>
      <c r="FL36" s="505"/>
      <c r="FM36" s="505"/>
      <c r="FN36" s="505"/>
      <c r="FO36" s="505"/>
      <c r="FP36" s="505"/>
      <c r="FQ36" s="512">
        <f t="shared" ref="FQ36:FQ67" si="44">SUM(FE36:FP36)</f>
        <v>0</v>
      </c>
      <c r="FS36" s="504">
        <f t="shared" ref="FS36:FS67" ca="1" si="45">AG36+AU36+BI36+BW36+CK36+CY36+DM36+EA36+EO36+FC36+FQ36</f>
        <v>0</v>
      </c>
    </row>
    <row r="37" spans="1:176">
      <c r="A37" s="216">
        <v>30</v>
      </c>
      <c r="B37" s="219" t="str">
        <f ca="1">INDEX(EAC[PA ID],MATCH($A37,EAC[Row],0))</f>
        <v>500.010.F1</v>
      </c>
      <c r="C37" s="218" t="str">
        <f ca="1">INDEX(EAC[Primary Category],MATCH($A37,EAC[Row],0))</f>
        <v>Land</v>
      </c>
      <c r="D37" s="218" t="str">
        <f ca="1">INDEX(EAC[Secondary Category],MATCH($A37,EAC[Row],0))</f>
        <v>Land Purchase</v>
      </c>
      <c r="E37" s="109" t="str">
        <f ca="1">INDEX(EAC[Phase / Subproject],MATCH($A37,EAC[Row],0))</f>
        <v>--</v>
      </c>
      <c r="F37" s="109" t="str">
        <f ca="1">INDEX(EAC[Phase / Subproject 2],MATCH($A37,EAC[Row],0))</f>
        <v>--</v>
      </c>
      <c r="G37" s="109" t="str">
        <f ca="1">INDEX(EAC[Funding Source],MATCH($A37,EAC[Row],0))</f>
        <v>P-002360</v>
      </c>
      <c r="H37" s="146" t="str">
        <f ca="1">INDEX(EAC[Vendor / Org. with Contract ID],MATCH($A37,EAC[Row],0))</f>
        <v>City of Red Deer-Direct Pay</v>
      </c>
      <c r="I37" s="502">
        <f ca="1">INDEX(EAC[Estimate At Completion],MATCH($A37,EAC[Row],0))</f>
        <v>3683259</v>
      </c>
      <c r="J37" s="502">
        <f ca="1">SUMIFS(CostTrack[Value],CostTrack[Vendor - Contract],$H37,CostTrack[PA ID],$B37,CostTrack[Holdback (Y/N/R)],"&lt;&gt;Release",CostTrack[Status],"Approved")</f>
        <v>3683259</v>
      </c>
      <c r="K37" s="503">
        <f t="shared" ca="1" si="14"/>
        <v>0</v>
      </c>
      <c r="M37" s="504">
        <f t="shared" ca="1" si="15"/>
        <v>0</v>
      </c>
      <c r="O37" s="504">
        <f t="shared" ca="1" si="31"/>
        <v>3683259</v>
      </c>
      <c r="P37" s="504">
        <f t="array" aca="1" ref="P37" ca="1">SUM($U37:$FQ37*_xlfn.ISFORMULA($U37:$FQ37)*ISNUMBER($U$7:$FQ$7)*--(INDEX($U$6:$FQ$6,N(IF({1},COLUMN($U$6:$FQ$6)-COLUMN($T$6)))-MOD(N(IF({1},COLUMN($U$6:$FQ$6)-COLUMN($U$6))),14))="Current Fiscal"))</f>
        <v>0</v>
      </c>
      <c r="Q37" s="504">
        <f t="array" aca="1" ref="Q37" ca="1">SUM($U37:$FQ37*NOT(_xlfn.ISFORMULA($U37:$FQ37))*ISNUMBER($U$7:$FQ$7)*--(INDEX($U$6:$FQ$6,N(IF({1},COLUMN($U$6:$FQ$6)-COLUMN($T$6)))-MOD(N(IF({1},COLUMN($U$6:$FQ$6)-COLUMN($U$6))),14))="Current Fiscal"))</f>
        <v>0</v>
      </c>
      <c r="R37" s="504">
        <f t="shared" ca="1" si="32"/>
        <v>0</v>
      </c>
      <c r="S37" s="504">
        <f t="shared" ca="1" si="33"/>
        <v>0</v>
      </c>
      <c r="U37" s="504">
        <f ca="1">SUMIFS(CostTrack[[Value]:[Value]],CostTrack[[PA ID]:[PA ID]],$B37,CostTrack[[Vendor - Contract]:[Vendor - Contract]],$H37,CostTrack[[Holdback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37" s="504">
        <f ca="1">SUMIFS(CostTrack[[Value]:[Value]],CostTrack[[PA ID]:[PA ID]],$B37,CostTrack[[Vendor - Contract]:[Vendor - Contract]],$H37,CostTrack[[Holdback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37" s="504">
        <f ca="1">SUMIFS(CostTrack[[Value]:[Value]],CostTrack[[PA ID]:[PA ID]],$B37,CostTrack[[Vendor - Contract]:[Vendor - Contract]],$H37,CostTrack[[Holdback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37" s="504">
        <f ca="1">SUMIFS(CostTrack[[Value]:[Value]],CostTrack[[PA ID]:[PA ID]],$B37,CostTrack[[Vendor - Contract]:[Vendor - Contract]],$H37,CostTrack[[Holdback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37" s="504">
        <f ca="1">SUMIFS(CostTrack[[Value]:[Value]],CostTrack[[PA ID]:[PA ID]],$B37,CostTrack[[Vendor - Contract]:[Vendor - Contract]],$H37,CostTrack[[Holdback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37" s="504">
        <f ca="1">SUMIFS(CostTrack[[Value]:[Value]],CostTrack[[PA ID]:[PA ID]],$B37,CostTrack[[Vendor - Contract]:[Vendor - Contract]],$H37,CostTrack[[Holdback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37" s="504">
        <f ca="1">SUMIFS(CostTrack[[Value]:[Value]],CostTrack[[PA ID]:[PA ID]],$B37,CostTrack[[Vendor - Contract]:[Vendor - Contract]],$H37,CostTrack[[Holdback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37" s="504">
        <f ca="1">SUMIFS(CostTrack[[Value]:[Value]],CostTrack[[PA ID]:[PA ID]],$B37,CostTrack[[Vendor - Contract]:[Vendor - Contract]],$H37,CostTrack[[Holdback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37" s="504">
        <f ca="1">SUMIFS(CostTrack[[Value]:[Value]],CostTrack[[PA ID]:[PA ID]],$B37,CostTrack[[Vendor - Contract]:[Vendor - Contract]],$H37,CostTrack[[Holdback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37" s="504">
        <f ca="1">SUMIFS(CostTrack[[Value]:[Value]],CostTrack[[PA ID]:[PA ID]],$B37,CostTrack[[Vendor - Contract]:[Vendor - Contract]],$H37,CostTrack[[Holdback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3319089</v>
      </c>
      <c r="AE37" s="504">
        <f ca="1">SUMIFS(CostTrack[[Value]:[Value]],CostTrack[[PA ID]:[PA ID]],$B37,CostTrack[[Vendor - Contract]:[Vendor - Contract]],$H37,CostTrack[[Holdback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37" s="504">
        <f ca="1">SUMIFS(CostTrack[[Value]:[Value]],CostTrack[[PA ID]:[PA ID]],$B37,CostTrack[[Vendor - Contract]:[Vendor - Contract]],$H37,CostTrack[[Holdback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37" s="506">
        <f t="shared" ca="1" si="34"/>
        <v>3319089</v>
      </c>
      <c r="AI37" s="504">
        <f ca="1">SUMIFS(CostTrack[[Value]:[Value]],CostTrack[[PA ID]:[PA ID]],$B37,CostTrack[[Vendor - Contract]:[Vendor - Contract]],$H37,CostTrack[[Holdback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37" s="504">
        <f ca="1">SUMIFS(CostTrack[[Value]:[Value]],CostTrack[[PA ID]:[PA ID]],$B37,CostTrack[[Vendor - Contract]:[Vendor - Contract]],$H37,CostTrack[[Holdback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304170</v>
      </c>
      <c r="AK37" s="504">
        <f ca="1">SUMIFS(CostTrack[[Value]:[Value]],CostTrack[[PA ID]:[PA ID]],$B37,CostTrack[[Vendor - Contract]:[Vendor - Contract]],$H37,CostTrack[[Holdback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37" s="504">
        <f ca="1">SUMIFS(CostTrack[[Value]:[Value]],CostTrack[[PA ID]:[PA ID]],$B37,CostTrack[[Vendor - Contract]:[Vendor - Contract]],$H37,CostTrack[[Holdback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37" s="504">
        <f ca="1">SUMIFS(CostTrack[[Value]:[Value]],CostTrack[[PA ID]:[PA ID]],$B37,CostTrack[[Vendor - Contract]:[Vendor - Contract]],$H37,CostTrack[[Holdback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37" s="504">
        <f ca="1">SUMIFS(CostTrack[[Value]:[Value]],CostTrack[[PA ID]:[PA ID]],$B37,CostTrack[[Vendor - Contract]:[Vendor - Contract]],$H37,CostTrack[[Holdback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37" s="504">
        <f ca="1">SUMIFS(CostTrack[[Value]:[Value]],CostTrack[[PA ID]:[PA ID]],$B37,CostTrack[[Vendor - Contract]:[Vendor - Contract]],$H37,CostTrack[[Holdback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37" s="504">
        <f ca="1">SUMIFS(CostTrack[[Value]:[Value]],CostTrack[[PA ID]:[PA ID]],$B37,CostTrack[[Vendor - Contract]:[Vendor - Contract]],$H37,CostTrack[[Holdback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37" s="504">
        <f ca="1">SUMIFS(CostTrack[[Value]:[Value]],CostTrack[[PA ID]:[PA ID]],$B37,CostTrack[[Vendor - Contract]:[Vendor - Contract]],$H37,CostTrack[[Holdback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37" s="504">
        <f ca="1">SUMIFS(CostTrack[[Value]:[Value]],CostTrack[[PA ID]:[PA ID]],$B37,CostTrack[[Vendor - Contract]:[Vendor - Contract]],$H37,CostTrack[[Holdback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37" s="504">
        <f ca="1">SUMIFS(CostTrack[[Value]:[Value]],CostTrack[[PA ID]:[PA ID]],$B37,CostTrack[[Vendor - Contract]:[Vendor - Contract]],$H37,CostTrack[[Holdback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60000</v>
      </c>
      <c r="AT37" s="504">
        <f ca="1">SUMIFS(CostTrack[[Value]:[Value]],CostTrack[[PA ID]:[PA ID]],$B37,CostTrack[[Vendor - Contract]:[Vendor - Contract]],$H37,CostTrack[[Holdback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37" s="512">
        <f t="shared" ca="1" si="35"/>
        <v>364170</v>
      </c>
      <c r="AW37" s="504">
        <f ca="1">SUMIFS(CostTrack[[Value]:[Value]],CostTrack[[PA ID]:[PA ID]],$B37,CostTrack[[Vendor - Contract]:[Vendor - Contract]],$H37,CostTrack[[Holdback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37" s="504">
        <f ca="1">SUMIFS(CostTrack[[Value]:[Value]],CostTrack[[PA ID]:[PA ID]],$B37,CostTrack[[Vendor - Contract]:[Vendor - Contract]],$H37,CostTrack[[Holdback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37" s="504">
        <f ca="1">SUMIFS(CostTrack[[Value]:[Value]],CostTrack[[PA ID]:[PA ID]],$B37,CostTrack[[Vendor - Contract]:[Vendor - Contract]],$H37,CostTrack[[Holdback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37" s="504">
        <f ca="1">SUMIFS(CostTrack[[Value]:[Value]],CostTrack[[PA ID]:[PA ID]],$B37,CostTrack[[Vendor - Contract]:[Vendor - Contract]],$H37,CostTrack[[Holdback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37" s="504">
        <f ca="1">SUMIFS(CostTrack[[Value]:[Value]],CostTrack[[PA ID]:[PA ID]],$B37,CostTrack[[Vendor - Contract]:[Vendor - Contract]],$H37,CostTrack[[Holdback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37" s="504">
        <f ca="1">SUMIFS(CostTrack[[Value]:[Value]],CostTrack[[PA ID]:[PA ID]],$B37,CostTrack[[Vendor - Contract]:[Vendor - Contract]],$H37,CostTrack[[Holdback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37" s="504">
        <f ca="1">SUMIFS(CostTrack[[Value]:[Value]],CostTrack[[PA ID]:[PA ID]],$B37,CostTrack[[Vendor - Contract]:[Vendor - Contract]],$H37,CostTrack[[Holdback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37" s="504">
        <f ca="1">SUMIFS(CostTrack[[Value]:[Value]],CostTrack[[PA ID]:[PA ID]],$B37,CostTrack[[Vendor - Contract]:[Vendor - Contract]],$H37,CostTrack[[Holdback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37" s="504">
        <f ca="1">SUMIFS(CostTrack[[Value]:[Value]],CostTrack[[PA ID]:[PA ID]],$B37,CostTrack[[Vendor - Contract]:[Vendor - Contract]],$H37,CostTrack[[Holdback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37" s="504">
        <f ca="1">SUMIFS(CostTrack[[Value]:[Value]],CostTrack[[PA ID]:[PA ID]],$B37,CostTrack[[Vendor - Contract]:[Vendor - Contract]],$H37,CostTrack[[Holdback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37" s="504">
        <f ca="1">SUMIFS(CostTrack[[Value]:[Value]],CostTrack[[PA ID]:[PA ID]],$B37,CostTrack[[Vendor - Contract]:[Vendor - Contract]],$H37,CostTrack[[Holdback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37" s="504">
        <f ca="1">SUMIFS(CostTrack[[Value]:[Value]],CostTrack[[PA ID]:[PA ID]],$B37,CostTrack[[Vendor - Contract]:[Vendor - Contract]],$H37,CostTrack[[Holdback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37" s="512">
        <f t="shared" ca="1" si="36"/>
        <v>0</v>
      </c>
      <c r="BK37" s="504">
        <f ca="1">SUMIFS(CostTrack[[Value]:[Value]],CostTrack[[PA ID]:[PA ID]],$B37,CostTrack[[Vendor - Contract]:[Vendor - Contract]],$H37,CostTrack[[Holdback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37" s="504">
        <f ca="1">SUMIFS(CostTrack[[Value]:[Value]],CostTrack[[PA ID]:[PA ID]],$B37,CostTrack[[Vendor - Contract]:[Vendor - Contract]],$H37,CostTrack[[Holdback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37" s="504">
        <f ca="1">SUMIFS(CostTrack[[Value]:[Value]],CostTrack[[PA ID]:[PA ID]],$B37,CostTrack[[Vendor - Contract]:[Vendor - Contract]],$H37,CostTrack[[Holdback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37" s="504">
        <f ca="1">SUMIFS(CostTrack[[Value]:[Value]],CostTrack[[PA ID]:[PA ID]],$B37,CostTrack[[Vendor - Contract]:[Vendor - Contract]],$H37,CostTrack[[Holdback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37" s="504">
        <f ca="1">SUMIFS(CostTrack[[Value]:[Value]],CostTrack[[PA ID]:[PA ID]],$B37,CostTrack[[Vendor - Contract]:[Vendor - Contract]],$H37,CostTrack[[Holdback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37" s="504">
        <f ca="1">SUMIFS(CostTrack[[Value]:[Value]],CostTrack[[PA ID]:[PA ID]],$B37,CostTrack[[Vendor - Contract]:[Vendor - Contract]],$H37,CostTrack[[Holdback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37" s="504">
        <f ca="1">SUMIFS(CostTrack[[Value]:[Value]],CostTrack[[PA ID]:[PA ID]],$B37,CostTrack[[Vendor - Contract]:[Vendor - Contract]],$H37,CostTrack[[Holdback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37" s="504">
        <f ca="1">SUMIFS(CostTrack[[Value]:[Value]],CostTrack[[PA ID]:[PA ID]],$B37,CostTrack[[Vendor - Contract]:[Vendor - Contract]],$H37,CostTrack[[Holdback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37" s="504">
        <f ca="1">SUMIFS(CostTrack[[Value]:[Value]],CostTrack[[PA ID]:[PA ID]],$B37,CostTrack[[Vendor - Contract]:[Vendor - Contract]],$H37,CostTrack[[Holdback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37" s="504">
        <f ca="1">SUMIFS(CostTrack[[Value]:[Value]],CostTrack[[PA ID]:[PA ID]],$B37,CostTrack[[Vendor - Contract]:[Vendor - Contract]],$H37,CostTrack[[Holdback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37" s="504">
        <f ca="1">SUMIFS(CostTrack[[Value]:[Value]],CostTrack[[PA ID]:[PA ID]],$B37,CostTrack[[Vendor - Contract]:[Vendor - Contract]],$H37,CostTrack[[Holdback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37" s="504">
        <f ca="1">SUMIFS(CostTrack[[Value]:[Value]],CostTrack[[PA ID]:[PA ID]],$B37,CostTrack[[Vendor - Contract]:[Vendor - Contract]],$H37,CostTrack[[Holdback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37" s="512">
        <f t="shared" ca="1" si="37"/>
        <v>0</v>
      </c>
      <c r="BY37" s="504">
        <f ca="1">SUMIFS(CostTrack[[Value]:[Value]],CostTrack[[PA ID]:[PA ID]],$B37,CostTrack[[Vendor - Contract]:[Vendor - Contract]],$H37,CostTrack[[Holdback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37" s="504">
        <f ca="1">SUMIFS(CostTrack[[Value]:[Value]],CostTrack[[PA ID]:[PA ID]],$B37,CostTrack[[Vendor - Contract]:[Vendor - Contract]],$H37,CostTrack[[Holdback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37" s="504">
        <f ca="1">SUMIFS(CostTrack[[Value]:[Value]],CostTrack[[PA ID]:[PA ID]],$B37,CostTrack[[Vendor - Contract]:[Vendor - Contract]],$H37,CostTrack[[Holdback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37" s="504">
        <f ca="1">SUMIFS(CostTrack[[Value]:[Value]],CostTrack[[PA ID]:[PA ID]],$B37,CostTrack[[Vendor - Contract]:[Vendor - Contract]],$H37,CostTrack[[Holdback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37" s="504">
        <f ca="1">SUMIFS(CostTrack[[Value]:[Value]],CostTrack[[PA ID]:[PA ID]],$B37,CostTrack[[Vendor - Contract]:[Vendor - Contract]],$H37,CostTrack[[Holdback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37" s="504">
        <f ca="1">SUMIFS(CostTrack[[Value]:[Value]],CostTrack[[PA ID]:[PA ID]],$B37,CostTrack[[Vendor - Contract]:[Vendor - Contract]],$H37,CostTrack[[Holdback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37" s="504">
        <f ca="1">SUMIFS(CostTrack[[Value]:[Value]],CostTrack[[PA ID]:[PA ID]],$B37,CostTrack[[Vendor - Contract]:[Vendor - Contract]],$H37,CostTrack[[Holdback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37" s="504">
        <f ca="1">SUMIFS(CostTrack[[Value]:[Value]],CostTrack[[PA ID]:[PA ID]],$B37,CostTrack[[Vendor - Contract]:[Vendor - Contract]],$H37,CostTrack[[Holdback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37" s="504">
        <f ca="1">SUMIFS(CostTrack[[Value]:[Value]],CostTrack[[PA ID]:[PA ID]],$B37,CostTrack[[Vendor - Contract]:[Vendor - Contract]],$H37,CostTrack[[Holdback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37" s="504">
        <f ca="1">SUMIFS(CostTrack[[Value]:[Value]],CostTrack[[PA ID]:[PA ID]],$B37,CostTrack[[Vendor - Contract]:[Vendor - Contract]],$H37,CostTrack[[Holdback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37" s="504">
        <f ca="1">SUMIFS(CostTrack[[Value]:[Value]],CostTrack[[PA ID]:[PA ID]],$B37,CostTrack[[Vendor - Contract]:[Vendor - Contract]],$H37,CostTrack[[Holdback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37" s="504">
        <f ca="1">SUMIFS(CostTrack[[Value]:[Value]],CostTrack[[PA ID]:[PA ID]],$B37,CostTrack[[Vendor - Contract]:[Vendor - Contract]],$H37,CostTrack[[Holdback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37" s="512">
        <f t="shared" ca="1" si="38"/>
        <v>0</v>
      </c>
      <c r="CM37" s="504">
        <f ca="1">SUMIFS(CostTrack[[Value]:[Value]],CostTrack[[PA ID]:[PA ID]],$B37,CostTrack[[Vendor - Contract]:[Vendor - Contract]],$H37,CostTrack[[Holdback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37" s="504">
        <f ca="1">SUMIFS(CostTrack[[Value]:[Value]],CostTrack[[PA ID]:[PA ID]],$B37,CostTrack[[Vendor - Contract]:[Vendor - Contract]],$H37,CostTrack[[Holdback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37" s="504">
        <f ca="1">SUMIFS(CostTrack[[Value]:[Value]],CostTrack[[PA ID]:[PA ID]],$B37,CostTrack[[Vendor - Contract]:[Vendor - Contract]],$H37,CostTrack[[Holdback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37" s="504">
        <f ca="1">SUMIFS(CostTrack[[Value]:[Value]],CostTrack[[PA ID]:[PA ID]],$B37,CostTrack[[Vendor - Contract]:[Vendor - Contract]],$H37,CostTrack[[Holdback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37" s="504">
        <f ca="1">SUMIFS(CostTrack[[Value]:[Value]],CostTrack[[PA ID]:[PA ID]],$B37,CostTrack[[Vendor - Contract]:[Vendor - Contract]],$H37,CostTrack[[Holdback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37" s="504">
        <f ca="1">SUMIFS(CostTrack[[Value]:[Value]],CostTrack[[PA ID]:[PA ID]],$B37,CostTrack[[Vendor - Contract]:[Vendor - Contract]],$H37,CostTrack[[Holdback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37" s="504">
        <f ca="1">SUMIFS(CostTrack[[Value]:[Value]],CostTrack[[PA ID]:[PA ID]],$B37,CostTrack[[Vendor - Contract]:[Vendor - Contract]],$H37,CostTrack[[Holdback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37" s="504">
        <f ca="1">SUMIFS(CostTrack[[Value]:[Value]],CostTrack[[PA ID]:[PA ID]],$B37,CostTrack[[Vendor - Contract]:[Vendor - Contract]],$H37,CostTrack[[Holdback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37" s="504">
        <f ca="1">SUMIFS(CostTrack[[Value]:[Value]],CostTrack[[PA ID]:[PA ID]],$B37,CostTrack[[Vendor - Contract]:[Vendor - Contract]],$H37,CostTrack[[Holdback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37" s="504">
        <f ca="1">SUMIFS(CostTrack[[Value]:[Value]],CostTrack[[PA ID]:[PA ID]],$B37,CostTrack[[Vendor - Contract]:[Vendor - Contract]],$H37,CostTrack[[Holdback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37" s="504">
        <f ca="1">SUMIFS(CostTrack[[Value]:[Value]],CostTrack[[PA ID]:[PA ID]],$B37,CostTrack[[Vendor - Contract]:[Vendor - Contract]],$H37,CostTrack[[Holdback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37" s="504">
        <f ca="1">SUMIFS(CostTrack[[Value]:[Value]],CostTrack[[PA ID]:[PA ID]],$B37,CostTrack[[Vendor - Contract]:[Vendor - Contract]],$H37,CostTrack[[Holdback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37" s="512">
        <f t="shared" ca="1" si="39"/>
        <v>0</v>
      </c>
      <c r="DA37" s="504">
        <f ca="1">SUMIFS(CostTrack[[Value]:[Value]],CostTrack[[PA ID]:[PA ID]],$B37,CostTrack[[Vendor - Contract]:[Vendor - Contract]],$H37,CostTrack[[Holdback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37" s="504">
        <f ca="1">SUMIFS(CostTrack[[Value]:[Value]],CostTrack[[PA ID]:[PA ID]],$B37,CostTrack[[Vendor - Contract]:[Vendor - Contract]],$H37,CostTrack[[Holdback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37" s="504">
        <f ca="1">SUMIFS(CostTrack[[Value]:[Value]],CostTrack[[PA ID]:[PA ID]],$B37,CostTrack[[Vendor - Contract]:[Vendor - Contract]],$H37,CostTrack[[Holdback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37" s="504">
        <f ca="1">SUMIFS(CostTrack[[Value]:[Value]],CostTrack[[PA ID]:[PA ID]],$B37,CostTrack[[Vendor - Contract]:[Vendor - Contract]],$H37,CostTrack[[Holdback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37" s="504">
        <f ca="1">SUMIFS(CostTrack[[Value]:[Value]],CostTrack[[PA ID]:[PA ID]],$B37,CostTrack[[Vendor - Contract]:[Vendor - Contract]],$H37,CostTrack[[Holdback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37" s="504">
        <f ca="1">SUMIFS(CostTrack[[Value]:[Value]],CostTrack[[PA ID]:[PA ID]],$B37,CostTrack[[Vendor - Contract]:[Vendor - Contract]],$H37,CostTrack[[Holdback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37" s="504">
        <f ca="1">SUMIFS(CostTrack[[Value]:[Value]],CostTrack[[PA ID]:[PA ID]],$B37,CostTrack[[Vendor - Contract]:[Vendor - Contract]],$H37,CostTrack[[Holdback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37" s="504">
        <f ca="1">SUMIFS(CostTrack[[Value]:[Value]],CostTrack[[PA ID]:[PA ID]],$B37,CostTrack[[Vendor - Contract]:[Vendor - Contract]],$H37,CostTrack[[Holdback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37" s="504">
        <f ca="1">SUMIFS(CostTrack[[Value]:[Value]],CostTrack[[PA ID]:[PA ID]],$B37,CostTrack[[Vendor - Contract]:[Vendor - Contract]],$H37,CostTrack[[Holdback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37" s="504">
        <f ca="1">SUMIFS(CostTrack[[Value]:[Value]],CostTrack[[PA ID]:[PA ID]],$B37,CostTrack[[Vendor - Contract]:[Vendor - Contract]],$H37,CostTrack[[Holdback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37" s="504">
        <f ca="1">SUMIFS(CostTrack[[Value]:[Value]],CostTrack[[PA ID]:[PA ID]],$B37,CostTrack[[Vendor - Contract]:[Vendor - Contract]],$H37,CostTrack[[Holdback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37" s="504">
        <f ca="1">SUMIFS(CostTrack[[Value]:[Value]],CostTrack[[PA ID]:[PA ID]],$B37,CostTrack[[Vendor - Contract]:[Vendor - Contract]],$H37,CostTrack[[Holdback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37" s="512">
        <f t="shared" ca="1" si="40"/>
        <v>0</v>
      </c>
      <c r="DO37" s="504">
        <f ca="1">SUMIFS(CostTrack[[Value]:[Value]],CostTrack[[PA ID]:[PA ID]],$B37,CostTrack[[Vendor - Contract]:[Vendor - Contract]],$H37,CostTrack[[Holdback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37" s="504">
        <f ca="1">SUMIFS(CostTrack[[Value]:[Value]],CostTrack[[PA ID]:[PA ID]],$B37,CostTrack[[Vendor - Contract]:[Vendor - Contract]],$H37,CostTrack[[Holdback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37" s="504">
        <f ca="1">SUMIFS(CostTrack[[Value]:[Value]],CostTrack[[PA ID]:[PA ID]],$B37,CostTrack[[Vendor - Contract]:[Vendor - Contract]],$H37,CostTrack[[Holdback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37" s="504">
        <f ca="1">SUMIFS(CostTrack[[Value]:[Value]],CostTrack[[PA ID]:[PA ID]],$B37,CostTrack[[Vendor - Contract]:[Vendor - Contract]],$H37,CostTrack[[Holdback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37" s="504">
        <f ca="1">SUMIFS(CostTrack[[Value]:[Value]],CostTrack[[PA ID]:[PA ID]],$B37,CostTrack[[Vendor - Contract]:[Vendor - Contract]],$H37,CostTrack[[Holdback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37" s="504">
        <f ca="1">SUMIFS(CostTrack[[Value]:[Value]],CostTrack[[PA ID]:[PA ID]],$B37,CostTrack[[Vendor - Contract]:[Vendor - Contract]],$H37,CostTrack[[Holdback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37" s="504">
        <f ca="1">SUMIFS(CostTrack[[Value]:[Value]],CostTrack[[PA ID]:[PA ID]],$B37,CostTrack[[Vendor - Contract]:[Vendor - Contract]],$H37,CostTrack[[Holdback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37" s="504">
        <f ca="1">SUMIFS(CostTrack[[Value]:[Value]],CostTrack[[PA ID]:[PA ID]],$B37,CostTrack[[Vendor - Contract]:[Vendor - Contract]],$H37,CostTrack[[Holdback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37" s="504">
        <f ca="1">SUMIFS(CostTrack[[Value]:[Value]],CostTrack[[PA ID]:[PA ID]],$B37,CostTrack[[Vendor - Contract]:[Vendor - Contract]],$H37,CostTrack[[Holdback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37" s="504">
        <f ca="1">SUMIFS(CostTrack[[Value]:[Value]],CostTrack[[PA ID]:[PA ID]],$B37,CostTrack[[Vendor - Contract]:[Vendor - Contract]],$H37,CostTrack[[Holdback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37" s="504">
        <f ca="1">SUMIFS(CostTrack[[Value]:[Value]],CostTrack[[PA ID]:[PA ID]],$B37,CostTrack[[Vendor - Contract]:[Vendor - Contract]],$H37,CostTrack[[Holdback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37" s="504">
        <f ca="1">SUMIFS(CostTrack[[Value]:[Value]],CostTrack[[PA ID]:[PA ID]],$B37,CostTrack[[Vendor - Contract]:[Vendor - Contract]],$H37,CostTrack[[Holdback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37" s="512">
        <f t="shared" ca="1" si="41"/>
        <v>0</v>
      </c>
      <c r="EC37" s="504">
        <f ca="1">SUMIFS(CostTrack[[Value]:[Value]],CostTrack[[PA ID]:[PA ID]],$B37,CostTrack[[Vendor - Contract]:[Vendor - Contract]],$H37,CostTrack[[Holdback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37" s="505"/>
      <c r="EE37" s="505"/>
      <c r="EF37" s="505"/>
      <c r="EG37" s="505"/>
      <c r="EH37" s="505"/>
      <c r="EI37" s="505"/>
      <c r="EJ37" s="505"/>
      <c r="EK37" s="505"/>
      <c r="EL37" s="505"/>
      <c r="EM37" s="505"/>
      <c r="EN37" s="505"/>
      <c r="EO37" s="512">
        <f t="shared" ca="1" si="42"/>
        <v>0</v>
      </c>
      <c r="EQ37" s="505"/>
      <c r="ER37" s="505"/>
      <c r="ES37" s="505"/>
      <c r="ET37" s="505"/>
      <c r="EU37" s="505"/>
      <c r="EV37" s="505"/>
      <c r="EW37" s="505"/>
      <c r="EX37" s="505"/>
      <c r="EY37" s="505"/>
      <c r="EZ37" s="505"/>
      <c r="FA37" s="505"/>
      <c r="FB37" s="505"/>
      <c r="FC37" s="512">
        <f t="shared" si="43"/>
        <v>0</v>
      </c>
      <c r="FE37" s="505"/>
      <c r="FF37" s="505"/>
      <c r="FG37" s="505"/>
      <c r="FH37" s="505"/>
      <c r="FI37" s="505"/>
      <c r="FJ37" s="505"/>
      <c r="FK37" s="505"/>
      <c r="FL37" s="505"/>
      <c r="FM37" s="505"/>
      <c r="FN37" s="505"/>
      <c r="FO37" s="505"/>
      <c r="FP37" s="505"/>
      <c r="FQ37" s="512">
        <f t="shared" si="44"/>
        <v>0</v>
      </c>
      <c r="FS37" s="504">
        <f t="shared" ca="1" si="45"/>
        <v>3683259</v>
      </c>
      <c r="FT37" s="1" t="s">
        <v>1587</v>
      </c>
    </row>
    <row r="38" spans="1:176">
      <c r="A38" s="216">
        <v>31</v>
      </c>
      <c r="B38" s="219" t="str">
        <f ca="1">INDEX(EAC[PA ID],MATCH($A38,EAC[Row],0))</f>
        <v>500.010.F1</v>
      </c>
      <c r="C38" s="218" t="str">
        <f ca="1">INDEX(EAC[Primary Category],MATCH($A38,EAC[Row],0))</f>
        <v>Land</v>
      </c>
      <c r="D38" s="218" t="str">
        <f ca="1">INDEX(EAC[Secondary Category],MATCH($A38,EAC[Row],0))</f>
        <v>Land Purchase</v>
      </c>
      <c r="E38" s="109" t="str">
        <f ca="1">INDEX(EAC[Phase / Subproject],MATCH($A38,EAC[Row],0))</f>
        <v>--</v>
      </c>
      <c r="F38" s="109" t="str">
        <f ca="1">INDEX(EAC[Phase / Subproject 2],MATCH($A38,EAC[Row],0))</f>
        <v>--</v>
      </c>
      <c r="G38" s="109" t="str">
        <f ca="1">INDEX(EAC[Funding Source],MATCH($A38,EAC[Row],0))</f>
        <v>P-002360</v>
      </c>
      <c r="H38" s="146" t="str">
        <f ca="1">INDEX(EAC[Vendor / Org. with Contract ID],MATCH($A38,EAC[Row],0))</f>
        <v>Fire Sail Holdings-Direct Pay</v>
      </c>
      <c r="I38" s="502">
        <f ca="1">INDEX(EAC[Estimate At Completion],MATCH($A38,EAC[Row],0))</f>
        <v>1005352.97</v>
      </c>
      <c r="J38" s="502">
        <f ca="1">SUMIFS(CostTrack[Value],CostTrack[Vendor - Contract],$H38,CostTrack[PA ID],$B38,CostTrack[Holdback (Y/N/R)],"&lt;&gt;Release",CostTrack[Status],"Approved")</f>
        <v>1005352.97</v>
      </c>
      <c r="K38" s="503">
        <f t="shared" ca="1" si="14"/>
        <v>0</v>
      </c>
      <c r="M38" s="504">
        <f t="shared" ca="1" si="15"/>
        <v>0</v>
      </c>
      <c r="O38" s="504">
        <f t="shared" ca="1" si="31"/>
        <v>1005352.97</v>
      </c>
      <c r="P38" s="504">
        <f t="array" aca="1" ref="P38" ca="1">SUM($U38:$FQ38*_xlfn.ISFORMULA($U38:$FQ38)*ISNUMBER($U$7:$FQ$7)*--(INDEX($U$6:$FQ$6,N(IF({1},COLUMN($U$6:$FQ$6)-COLUMN($T$6)))-MOD(N(IF({1},COLUMN($U$6:$FQ$6)-COLUMN($U$6))),14))="Current Fiscal"))</f>
        <v>0</v>
      </c>
      <c r="Q38" s="504">
        <f t="array" aca="1" ref="Q38" ca="1">SUM($U38:$FQ38*NOT(_xlfn.ISFORMULA($U38:$FQ38))*ISNUMBER($U$7:$FQ$7)*--(INDEX($U$6:$FQ$6,N(IF({1},COLUMN($U$6:$FQ$6)-COLUMN($T$6)))-MOD(N(IF({1},COLUMN($U$6:$FQ$6)-COLUMN($U$6))),14))="Current Fiscal"))</f>
        <v>0</v>
      </c>
      <c r="R38" s="504">
        <f t="shared" ca="1" si="32"/>
        <v>0</v>
      </c>
      <c r="S38" s="504">
        <f t="shared" ca="1" si="33"/>
        <v>0</v>
      </c>
      <c r="U38" s="504">
        <f ca="1">SUMIFS(CostTrack[[Value]:[Value]],CostTrack[[PA ID]:[PA ID]],$B38,CostTrack[[Vendor - Contract]:[Vendor - Contract]],$H38,CostTrack[[Holdback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38" s="504">
        <f ca="1">SUMIFS(CostTrack[[Value]:[Value]],CostTrack[[PA ID]:[PA ID]],$B38,CostTrack[[Vendor - Contract]:[Vendor - Contract]],$H38,CostTrack[[Holdback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38" s="504">
        <f ca="1">SUMIFS(CostTrack[[Value]:[Value]],CostTrack[[PA ID]:[PA ID]],$B38,CostTrack[[Vendor - Contract]:[Vendor - Contract]],$H38,CostTrack[[Holdback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38" s="504">
        <f ca="1">SUMIFS(CostTrack[[Value]:[Value]],CostTrack[[PA ID]:[PA ID]],$B38,CostTrack[[Vendor - Contract]:[Vendor - Contract]],$H38,CostTrack[[Holdback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38" s="504">
        <f ca="1">SUMIFS(CostTrack[[Value]:[Value]],CostTrack[[PA ID]:[PA ID]],$B38,CostTrack[[Vendor - Contract]:[Vendor - Contract]],$H38,CostTrack[[Holdback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38" s="504">
        <f ca="1">SUMIFS(CostTrack[[Value]:[Value]],CostTrack[[PA ID]:[PA ID]],$B38,CostTrack[[Vendor - Contract]:[Vendor - Contract]],$H38,CostTrack[[Holdback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38" s="504">
        <f ca="1">SUMIFS(CostTrack[[Value]:[Value]],CostTrack[[PA ID]:[PA ID]],$B38,CostTrack[[Vendor - Contract]:[Vendor - Contract]],$H38,CostTrack[[Holdback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38" s="504">
        <f ca="1">SUMIFS(CostTrack[[Value]:[Value]],CostTrack[[PA ID]:[PA ID]],$B38,CostTrack[[Vendor - Contract]:[Vendor - Contract]],$H38,CostTrack[[Holdback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38" s="504">
        <f ca="1">SUMIFS(CostTrack[[Value]:[Value]],CostTrack[[PA ID]:[PA ID]],$B38,CostTrack[[Vendor - Contract]:[Vendor - Contract]],$H38,CostTrack[[Holdback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38" s="504">
        <f ca="1">SUMIFS(CostTrack[[Value]:[Value]],CostTrack[[PA ID]:[PA ID]],$B38,CostTrack[[Vendor - Contract]:[Vendor - Contract]],$H38,CostTrack[[Holdback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38" s="504">
        <f ca="1">SUMIFS(CostTrack[[Value]:[Value]],CostTrack[[PA ID]:[PA ID]],$B38,CostTrack[[Vendor - Contract]:[Vendor - Contract]],$H38,CostTrack[[Holdback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38" s="504">
        <f ca="1">SUMIFS(CostTrack[[Value]:[Value]],CostTrack[[PA ID]:[PA ID]],$B38,CostTrack[[Vendor - Contract]:[Vendor - Contract]],$H38,CostTrack[[Holdback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38" s="506">
        <f t="shared" ca="1" si="34"/>
        <v>0</v>
      </c>
      <c r="AI38" s="504">
        <f ca="1">SUMIFS(CostTrack[[Value]:[Value]],CostTrack[[PA ID]:[PA ID]],$B38,CostTrack[[Vendor - Contract]:[Vendor - Contract]],$H38,CostTrack[[Holdback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38" s="504">
        <f ca="1">SUMIFS(CostTrack[[Value]:[Value]],CostTrack[[PA ID]:[PA ID]],$B38,CostTrack[[Vendor - Contract]:[Vendor - Contract]],$H38,CostTrack[[Holdback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38" s="504">
        <f ca="1">SUMIFS(CostTrack[[Value]:[Value]],CostTrack[[PA ID]:[PA ID]],$B38,CostTrack[[Vendor - Contract]:[Vendor - Contract]],$H38,CostTrack[[Holdback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1005352.97</v>
      </c>
      <c r="AL38" s="504">
        <f ca="1">SUMIFS(CostTrack[[Value]:[Value]],CostTrack[[PA ID]:[PA ID]],$B38,CostTrack[[Vendor - Contract]:[Vendor - Contract]],$H38,CostTrack[[Holdback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38" s="504">
        <f ca="1">SUMIFS(CostTrack[[Value]:[Value]],CostTrack[[PA ID]:[PA ID]],$B38,CostTrack[[Vendor - Contract]:[Vendor - Contract]],$H38,CostTrack[[Holdback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38" s="504">
        <f ca="1">SUMIFS(CostTrack[[Value]:[Value]],CostTrack[[PA ID]:[PA ID]],$B38,CostTrack[[Vendor - Contract]:[Vendor - Contract]],$H38,CostTrack[[Holdback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38" s="504">
        <f ca="1">SUMIFS(CostTrack[[Value]:[Value]],CostTrack[[PA ID]:[PA ID]],$B38,CostTrack[[Vendor - Contract]:[Vendor - Contract]],$H38,CostTrack[[Holdback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38" s="504">
        <f ca="1">SUMIFS(CostTrack[[Value]:[Value]],CostTrack[[PA ID]:[PA ID]],$B38,CostTrack[[Vendor - Contract]:[Vendor - Contract]],$H38,CostTrack[[Holdback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38" s="504">
        <f ca="1">SUMIFS(CostTrack[[Value]:[Value]],CostTrack[[PA ID]:[PA ID]],$B38,CostTrack[[Vendor - Contract]:[Vendor - Contract]],$H38,CostTrack[[Holdback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38" s="504">
        <f ca="1">SUMIFS(CostTrack[[Value]:[Value]],CostTrack[[PA ID]:[PA ID]],$B38,CostTrack[[Vendor - Contract]:[Vendor - Contract]],$H38,CostTrack[[Holdback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38" s="504">
        <f ca="1">SUMIFS(CostTrack[[Value]:[Value]],CostTrack[[PA ID]:[PA ID]],$B38,CostTrack[[Vendor - Contract]:[Vendor - Contract]],$H38,CostTrack[[Holdback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38" s="504">
        <f ca="1">SUMIFS(CostTrack[[Value]:[Value]],CostTrack[[PA ID]:[PA ID]],$B38,CostTrack[[Vendor - Contract]:[Vendor - Contract]],$H38,CostTrack[[Holdback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38" s="512">
        <f t="shared" ca="1" si="35"/>
        <v>1005352.97</v>
      </c>
      <c r="AW38" s="504">
        <f ca="1">SUMIFS(CostTrack[[Value]:[Value]],CostTrack[[PA ID]:[PA ID]],$B38,CostTrack[[Vendor - Contract]:[Vendor - Contract]],$H38,CostTrack[[Holdback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38" s="504">
        <f ca="1">SUMIFS(CostTrack[[Value]:[Value]],CostTrack[[PA ID]:[PA ID]],$B38,CostTrack[[Vendor - Contract]:[Vendor - Contract]],$H38,CostTrack[[Holdback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38" s="504">
        <f ca="1">SUMIFS(CostTrack[[Value]:[Value]],CostTrack[[PA ID]:[PA ID]],$B38,CostTrack[[Vendor - Contract]:[Vendor - Contract]],$H38,CostTrack[[Holdback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38" s="504">
        <f ca="1">SUMIFS(CostTrack[[Value]:[Value]],CostTrack[[PA ID]:[PA ID]],$B38,CostTrack[[Vendor - Contract]:[Vendor - Contract]],$H38,CostTrack[[Holdback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38" s="504">
        <f ca="1">SUMIFS(CostTrack[[Value]:[Value]],CostTrack[[PA ID]:[PA ID]],$B38,CostTrack[[Vendor - Contract]:[Vendor - Contract]],$H38,CostTrack[[Holdback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38" s="504">
        <f ca="1">SUMIFS(CostTrack[[Value]:[Value]],CostTrack[[PA ID]:[PA ID]],$B38,CostTrack[[Vendor - Contract]:[Vendor - Contract]],$H38,CostTrack[[Holdback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38" s="504">
        <f ca="1">SUMIFS(CostTrack[[Value]:[Value]],CostTrack[[PA ID]:[PA ID]],$B38,CostTrack[[Vendor - Contract]:[Vendor - Contract]],$H38,CostTrack[[Holdback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38" s="504">
        <f ca="1">SUMIFS(CostTrack[[Value]:[Value]],CostTrack[[PA ID]:[PA ID]],$B38,CostTrack[[Vendor - Contract]:[Vendor - Contract]],$H38,CostTrack[[Holdback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38" s="504">
        <f ca="1">SUMIFS(CostTrack[[Value]:[Value]],CostTrack[[PA ID]:[PA ID]],$B38,CostTrack[[Vendor - Contract]:[Vendor - Contract]],$H38,CostTrack[[Holdback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38" s="504">
        <f ca="1">SUMIFS(CostTrack[[Value]:[Value]],CostTrack[[PA ID]:[PA ID]],$B38,CostTrack[[Vendor - Contract]:[Vendor - Contract]],$H38,CostTrack[[Holdback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38" s="504">
        <f ca="1">SUMIFS(CostTrack[[Value]:[Value]],CostTrack[[PA ID]:[PA ID]],$B38,CostTrack[[Vendor - Contract]:[Vendor - Contract]],$H38,CostTrack[[Holdback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38" s="504">
        <f ca="1">SUMIFS(CostTrack[[Value]:[Value]],CostTrack[[PA ID]:[PA ID]],$B38,CostTrack[[Vendor - Contract]:[Vendor - Contract]],$H38,CostTrack[[Holdback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38" s="512">
        <f t="shared" ca="1" si="36"/>
        <v>0</v>
      </c>
      <c r="BK38" s="504">
        <f ca="1">SUMIFS(CostTrack[[Value]:[Value]],CostTrack[[PA ID]:[PA ID]],$B38,CostTrack[[Vendor - Contract]:[Vendor - Contract]],$H38,CostTrack[[Holdback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38" s="504">
        <f ca="1">SUMIFS(CostTrack[[Value]:[Value]],CostTrack[[PA ID]:[PA ID]],$B38,CostTrack[[Vendor - Contract]:[Vendor - Contract]],$H38,CostTrack[[Holdback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38" s="504">
        <f ca="1">SUMIFS(CostTrack[[Value]:[Value]],CostTrack[[PA ID]:[PA ID]],$B38,CostTrack[[Vendor - Contract]:[Vendor - Contract]],$H38,CostTrack[[Holdback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38" s="504">
        <f ca="1">SUMIFS(CostTrack[[Value]:[Value]],CostTrack[[PA ID]:[PA ID]],$B38,CostTrack[[Vendor - Contract]:[Vendor - Contract]],$H38,CostTrack[[Holdback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38" s="504">
        <f ca="1">SUMIFS(CostTrack[[Value]:[Value]],CostTrack[[PA ID]:[PA ID]],$B38,CostTrack[[Vendor - Contract]:[Vendor - Contract]],$H38,CostTrack[[Holdback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38" s="504">
        <f ca="1">SUMIFS(CostTrack[[Value]:[Value]],CostTrack[[PA ID]:[PA ID]],$B38,CostTrack[[Vendor - Contract]:[Vendor - Contract]],$H38,CostTrack[[Holdback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38" s="504">
        <f ca="1">SUMIFS(CostTrack[[Value]:[Value]],CostTrack[[PA ID]:[PA ID]],$B38,CostTrack[[Vendor - Contract]:[Vendor - Contract]],$H38,CostTrack[[Holdback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38" s="504">
        <f ca="1">SUMIFS(CostTrack[[Value]:[Value]],CostTrack[[PA ID]:[PA ID]],$B38,CostTrack[[Vendor - Contract]:[Vendor - Contract]],$H38,CostTrack[[Holdback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38" s="504">
        <f ca="1">SUMIFS(CostTrack[[Value]:[Value]],CostTrack[[PA ID]:[PA ID]],$B38,CostTrack[[Vendor - Contract]:[Vendor - Contract]],$H38,CostTrack[[Holdback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38" s="504">
        <f ca="1">SUMIFS(CostTrack[[Value]:[Value]],CostTrack[[PA ID]:[PA ID]],$B38,CostTrack[[Vendor - Contract]:[Vendor - Contract]],$H38,CostTrack[[Holdback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38" s="504">
        <f ca="1">SUMIFS(CostTrack[[Value]:[Value]],CostTrack[[PA ID]:[PA ID]],$B38,CostTrack[[Vendor - Contract]:[Vendor - Contract]],$H38,CostTrack[[Holdback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38" s="504">
        <f ca="1">SUMIFS(CostTrack[[Value]:[Value]],CostTrack[[PA ID]:[PA ID]],$B38,CostTrack[[Vendor - Contract]:[Vendor - Contract]],$H38,CostTrack[[Holdback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38" s="512">
        <f t="shared" ca="1" si="37"/>
        <v>0</v>
      </c>
      <c r="BY38" s="504">
        <f ca="1">SUMIFS(CostTrack[[Value]:[Value]],CostTrack[[PA ID]:[PA ID]],$B38,CostTrack[[Vendor - Contract]:[Vendor - Contract]],$H38,CostTrack[[Holdback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38" s="504">
        <f ca="1">SUMIFS(CostTrack[[Value]:[Value]],CostTrack[[PA ID]:[PA ID]],$B38,CostTrack[[Vendor - Contract]:[Vendor - Contract]],$H38,CostTrack[[Holdback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38" s="504">
        <f ca="1">SUMIFS(CostTrack[[Value]:[Value]],CostTrack[[PA ID]:[PA ID]],$B38,CostTrack[[Vendor - Contract]:[Vendor - Contract]],$H38,CostTrack[[Holdback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38" s="504">
        <f ca="1">SUMIFS(CostTrack[[Value]:[Value]],CostTrack[[PA ID]:[PA ID]],$B38,CostTrack[[Vendor - Contract]:[Vendor - Contract]],$H38,CostTrack[[Holdback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38" s="504">
        <f ca="1">SUMIFS(CostTrack[[Value]:[Value]],CostTrack[[PA ID]:[PA ID]],$B38,CostTrack[[Vendor - Contract]:[Vendor - Contract]],$H38,CostTrack[[Holdback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38" s="504">
        <f ca="1">SUMIFS(CostTrack[[Value]:[Value]],CostTrack[[PA ID]:[PA ID]],$B38,CostTrack[[Vendor - Contract]:[Vendor - Contract]],$H38,CostTrack[[Holdback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38" s="504">
        <f ca="1">SUMIFS(CostTrack[[Value]:[Value]],CostTrack[[PA ID]:[PA ID]],$B38,CostTrack[[Vendor - Contract]:[Vendor - Contract]],$H38,CostTrack[[Holdback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38" s="504">
        <f ca="1">SUMIFS(CostTrack[[Value]:[Value]],CostTrack[[PA ID]:[PA ID]],$B38,CostTrack[[Vendor - Contract]:[Vendor - Contract]],$H38,CostTrack[[Holdback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38" s="504">
        <f ca="1">SUMIFS(CostTrack[[Value]:[Value]],CostTrack[[PA ID]:[PA ID]],$B38,CostTrack[[Vendor - Contract]:[Vendor - Contract]],$H38,CostTrack[[Holdback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38" s="504">
        <f ca="1">SUMIFS(CostTrack[[Value]:[Value]],CostTrack[[PA ID]:[PA ID]],$B38,CostTrack[[Vendor - Contract]:[Vendor - Contract]],$H38,CostTrack[[Holdback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38" s="504">
        <f ca="1">SUMIFS(CostTrack[[Value]:[Value]],CostTrack[[PA ID]:[PA ID]],$B38,CostTrack[[Vendor - Contract]:[Vendor - Contract]],$H38,CostTrack[[Holdback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38" s="504">
        <f ca="1">SUMIFS(CostTrack[[Value]:[Value]],CostTrack[[PA ID]:[PA ID]],$B38,CostTrack[[Vendor - Contract]:[Vendor - Contract]],$H38,CostTrack[[Holdback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38" s="512">
        <f t="shared" ca="1" si="38"/>
        <v>0</v>
      </c>
      <c r="CM38" s="504">
        <f ca="1">SUMIFS(CostTrack[[Value]:[Value]],CostTrack[[PA ID]:[PA ID]],$B38,CostTrack[[Vendor - Contract]:[Vendor - Contract]],$H38,CostTrack[[Holdback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38" s="504">
        <f ca="1">SUMIFS(CostTrack[[Value]:[Value]],CostTrack[[PA ID]:[PA ID]],$B38,CostTrack[[Vendor - Contract]:[Vendor - Contract]],$H38,CostTrack[[Holdback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38" s="504">
        <f ca="1">SUMIFS(CostTrack[[Value]:[Value]],CostTrack[[PA ID]:[PA ID]],$B38,CostTrack[[Vendor - Contract]:[Vendor - Contract]],$H38,CostTrack[[Holdback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38" s="504">
        <f ca="1">SUMIFS(CostTrack[[Value]:[Value]],CostTrack[[PA ID]:[PA ID]],$B38,CostTrack[[Vendor - Contract]:[Vendor - Contract]],$H38,CostTrack[[Holdback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38" s="504">
        <f ca="1">SUMIFS(CostTrack[[Value]:[Value]],CostTrack[[PA ID]:[PA ID]],$B38,CostTrack[[Vendor - Contract]:[Vendor - Contract]],$H38,CostTrack[[Holdback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38" s="504">
        <f ca="1">SUMIFS(CostTrack[[Value]:[Value]],CostTrack[[PA ID]:[PA ID]],$B38,CostTrack[[Vendor - Contract]:[Vendor - Contract]],$H38,CostTrack[[Holdback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38" s="504">
        <f ca="1">SUMIFS(CostTrack[[Value]:[Value]],CostTrack[[PA ID]:[PA ID]],$B38,CostTrack[[Vendor - Contract]:[Vendor - Contract]],$H38,CostTrack[[Holdback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38" s="504">
        <f ca="1">SUMIFS(CostTrack[[Value]:[Value]],CostTrack[[PA ID]:[PA ID]],$B38,CostTrack[[Vendor - Contract]:[Vendor - Contract]],$H38,CostTrack[[Holdback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38" s="504">
        <f ca="1">SUMIFS(CostTrack[[Value]:[Value]],CostTrack[[PA ID]:[PA ID]],$B38,CostTrack[[Vendor - Contract]:[Vendor - Contract]],$H38,CostTrack[[Holdback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38" s="504">
        <f ca="1">SUMIFS(CostTrack[[Value]:[Value]],CostTrack[[PA ID]:[PA ID]],$B38,CostTrack[[Vendor - Contract]:[Vendor - Contract]],$H38,CostTrack[[Holdback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38" s="504">
        <f ca="1">SUMIFS(CostTrack[[Value]:[Value]],CostTrack[[PA ID]:[PA ID]],$B38,CostTrack[[Vendor - Contract]:[Vendor - Contract]],$H38,CostTrack[[Holdback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38" s="504">
        <f ca="1">SUMIFS(CostTrack[[Value]:[Value]],CostTrack[[PA ID]:[PA ID]],$B38,CostTrack[[Vendor - Contract]:[Vendor - Contract]],$H38,CostTrack[[Holdback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38" s="512">
        <f t="shared" ca="1" si="39"/>
        <v>0</v>
      </c>
      <c r="DA38" s="504">
        <f ca="1">SUMIFS(CostTrack[[Value]:[Value]],CostTrack[[PA ID]:[PA ID]],$B38,CostTrack[[Vendor - Contract]:[Vendor - Contract]],$H38,CostTrack[[Holdback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38" s="504">
        <f ca="1">SUMIFS(CostTrack[[Value]:[Value]],CostTrack[[PA ID]:[PA ID]],$B38,CostTrack[[Vendor - Contract]:[Vendor - Contract]],$H38,CostTrack[[Holdback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38" s="504">
        <f ca="1">SUMIFS(CostTrack[[Value]:[Value]],CostTrack[[PA ID]:[PA ID]],$B38,CostTrack[[Vendor - Contract]:[Vendor - Contract]],$H38,CostTrack[[Holdback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38" s="504">
        <f ca="1">SUMIFS(CostTrack[[Value]:[Value]],CostTrack[[PA ID]:[PA ID]],$B38,CostTrack[[Vendor - Contract]:[Vendor - Contract]],$H38,CostTrack[[Holdback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38" s="504">
        <f ca="1">SUMIFS(CostTrack[[Value]:[Value]],CostTrack[[PA ID]:[PA ID]],$B38,CostTrack[[Vendor - Contract]:[Vendor - Contract]],$H38,CostTrack[[Holdback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38" s="504">
        <f ca="1">SUMIFS(CostTrack[[Value]:[Value]],CostTrack[[PA ID]:[PA ID]],$B38,CostTrack[[Vendor - Contract]:[Vendor - Contract]],$H38,CostTrack[[Holdback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38" s="504">
        <f ca="1">SUMIFS(CostTrack[[Value]:[Value]],CostTrack[[PA ID]:[PA ID]],$B38,CostTrack[[Vendor - Contract]:[Vendor - Contract]],$H38,CostTrack[[Holdback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38" s="504">
        <f ca="1">SUMIFS(CostTrack[[Value]:[Value]],CostTrack[[PA ID]:[PA ID]],$B38,CostTrack[[Vendor - Contract]:[Vendor - Contract]],$H38,CostTrack[[Holdback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38" s="504">
        <f ca="1">SUMIFS(CostTrack[[Value]:[Value]],CostTrack[[PA ID]:[PA ID]],$B38,CostTrack[[Vendor - Contract]:[Vendor - Contract]],$H38,CostTrack[[Holdback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38" s="504">
        <f ca="1">SUMIFS(CostTrack[[Value]:[Value]],CostTrack[[PA ID]:[PA ID]],$B38,CostTrack[[Vendor - Contract]:[Vendor - Contract]],$H38,CostTrack[[Holdback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38" s="504">
        <f ca="1">SUMIFS(CostTrack[[Value]:[Value]],CostTrack[[PA ID]:[PA ID]],$B38,CostTrack[[Vendor - Contract]:[Vendor - Contract]],$H38,CostTrack[[Holdback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38" s="504">
        <f ca="1">SUMIFS(CostTrack[[Value]:[Value]],CostTrack[[PA ID]:[PA ID]],$B38,CostTrack[[Vendor - Contract]:[Vendor - Contract]],$H38,CostTrack[[Holdback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38" s="512">
        <f t="shared" ca="1" si="40"/>
        <v>0</v>
      </c>
      <c r="DO38" s="504">
        <f ca="1">SUMIFS(CostTrack[[Value]:[Value]],CostTrack[[PA ID]:[PA ID]],$B38,CostTrack[[Vendor - Contract]:[Vendor - Contract]],$H38,CostTrack[[Holdback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38" s="504">
        <f ca="1">SUMIFS(CostTrack[[Value]:[Value]],CostTrack[[PA ID]:[PA ID]],$B38,CostTrack[[Vendor - Contract]:[Vendor - Contract]],$H38,CostTrack[[Holdback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38" s="504">
        <f ca="1">SUMIFS(CostTrack[[Value]:[Value]],CostTrack[[PA ID]:[PA ID]],$B38,CostTrack[[Vendor - Contract]:[Vendor - Contract]],$H38,CostTrack[[Holdback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38" s="504">
        <f ca="1">SUMIFS(CostTrack[[Value]:[Value]],CostTrack[[PA ID]:[PA ID]],$B38,CostTrack[[Vendor - Contract]:[Vendor - Contract]],$H38,CostTrack[[Holdback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38" s="504">
        <f ca="1">SUMIFS(CostTrack[[Value]:[Value]],CostTrack[[PA ID]:[PA ID]],$B38,CostTrack[[Vendor - Contract]:[Vendor - Contract]],$H38,CostTrack[[Holdback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38" s="504">
        <f ca="1">SUMIFS(CostTrack[[Value]:[Value]],CostTrack[[PA ID]:[PA ID]],$B38,CostTrack[[Vendor - Contract]:[Vendor - Contract]],$H38,CostTrack[[Holdback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38" s="504">
        <f ca="1">SUMIFS(CostTrack[[Value]:[Value]],CostTrack[[PA ID]:[PA ID]],$B38,CostTrack[[Vendor - Contract]:[Vendor - Contract]],$H38,CostTrack[[Holdback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38" s="504">
        <f ca="1">SUMIFS(CostTrack[[Value]:[Value]],CostTrack[[PA ID]:[PA ID]],$B38,CostTrack[[Vendor - Contract]:[Vendor - Contract]],$H38,CostTrack[[Holdback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38" s="504">
        <f ca="1">SUMIFS(CostTrack[[Value]:[Value]],CostTrack[[PA ID]:[PA ID]],$B38,CostTrack[[Vendor - Contract]:[Vendor - Contract]],$H38,CostTrack[[Holdback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38" s="504">
        <f ca="1">SUMIFS(CostTrack[[Value]:[Value]],CostTrack[[PA ID]:[PA ID]],$B38,CostTrack[[Vendor - Contract]:[Vendor - Contract]],$H38,CostTrack[[Holdback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38" s="504">
        <f ca="1">SUMIFS(CostTrack[[Value]:[Value]],CostTrack[[PA ID]:[PA ID]],$B38,CostTrack[[Vendor - Contract]:[Vendor - Contract]],$H38,CostTrack[[Holdback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38" s="504">
        <f ca="1">SUMIFS(CostTrack[[Value]:[Value]],CostTrack[[PA ID]:[PA ID]],$B38,CostTrack[[Vendor - Contract]:[Vendor - Contract]],$H38,CostTrack[[Holdback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38" s="512">
        <f t="shared" ca="1" si="41"/>
        <v>0</v>
      </c>
      <c r="EC38" s="504">
        <f ca="1">SUMIFS(CostTrack[[Value]:[Value]],CostTrack[[PA ID]:[PA ID]],$B38,CostTrack[[Vendor - Contract]:[Vendor - Contract]],$H38,CostTrack[[Holdback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38" s="505"/>
      <c r="EE38" s="505"/>
      <c r="EF38" s="505"/>
      <c r="EG38" s="505"/>
      <c r="EH38" s="505"/>
      <c r="EI38" s="505"/>
      <c r="EJ38" s="505"/>
      <c r="EK38" s="505"/>
      <c r="EL38" s="505"/>
      <c r="EM38" s="505"/>
      <c r="EN38" s="505"/>
      <c r="EO38" s="512">
        <f t="shared" ca="1" si="42"/>
        <v>0</v>
      </c>
      <c r="EQ38" s="505"/>
      <c r="ER38" s="505"/>
      <c r="ES38" s="505"/>
      <c r="ET38" s="505"/>
      <c r="EU38" s="505"/>
      <c r="EV38" s="505"/>
      <c r="EW38" s="505"/>
      <c r="EX38" s="505"/>
      <c r="EY38" s="505"/>
      <c r="EZ38" s="505"/>
      <c r="FA38" s="505"/>
      <c r="FB38" s="505"/>
      <c r="FC38" s="512">
        <f t="shared" si="43"/>
        <v>0</v>
      </c>
      <c r="FE38" s="505"/>
      <c r="FF38" s="505"/>
      <c r="FG38" s="505"/>
      <c r="FH38" s="505"/>
      <c r="FI38" s="505"/>
      <c r="FJ38" s="505"/>
      <c r="FK38" s="505"/>
      <c r="FL38" s="505"/>
      <c r="FM38" s="505"/>
      <c r="FN38" s="505"/>
      <c r="FO38" s="505"/>
      <c r="FP38" s="505"/>
      <c r="FQ38" s="512">
        <f t="shared" si="44"/>
        <v>0</v>
      </c>
      <c r="FS38" s="504">
        <f t="shared" ca="1" si="45"/>
        <v>1005352.97</v>
      </c>
    </row>
    <row r="39" spans="1:176">
      <c r="A39" s="216">
        <v>32</v>
      </c>
      <c r="B39" s="219" t="str">
        <f ca="1">INDEX(EAC[PA ID],MATCH($A39,EAC[Row],0))</f>
        <v>300.040.F1</v>
      </c>
      <c r="C39" s="218" t="str">
        <f ca="1">INDEX(EAC[Primary Category],MATCH($A39,EAC[Row],0))</f>
        <v>Construction</v>
      </c>
      <c r="D39" s="218" t="str">
        <f ca="1">INDEX(EAC[Secondary Category],MATCH($A39,EAC[Row],0))</f>
        <v>Other Contractor</v>
      </c>
      <c r="E39" s="109" t="str">
        <f ca="1">INDEX(EAC[Phase / Subproject],MATCH($A39,EAC[Row],0))</f>
        <v>--</v>
      </c>
      <c r="F39" s="109" t="str">
        <f ca="1">INDEX(EAC[Phase / Subproject 2],MATCH($A39,EAC[Row],0))</f>
        <v>--</v>
      </c>
      <c r="G39" s="109" t="str">
        <f ca="1">INDEX(EAC[Funding Source],MATCH($A39,EAC[Row],0))</f>
        <v>P-002360</v>
      </c>
      <c r="H39" s="146" t="str">
        <f ca="1">INDEX(EAC[Vendor / Org. with Contract ID],MATCH($A39,EAC[Row],0))</f>
        <v>Future / Not Awarded</v>
      </c>
      <c r="I39" s="502">
        <f ca="1">INDEX(EAC[Estimate At Completion],MATCH($A39,EAC[Row],0))</f>
        <v>0</v>
      </c>
      <c r="J39" s="502">
        <f ca="1">SUMIFS(CostTrack[Value],CostTrack[Vendor - Contract],$H39,CostTrack[PA ID],$B39,CostTrack[Holdback (Y/N/R)],"&lt;&gt;Release",CostTrack[Status],"Approved")</f>
        <v>0</v>
      </c>
      <c r="K39" s="503">
        <f t="shared" ca="1" si="14"/>
        <v>0</v>
      </c>
      <c r="M39" s="504">
        <f t="shared" ca="1" si="15"/>
        <v>0</v>
      </c>
      <c r="O39" s="504">
        <f t="shared" ca="1" si="31"/>
        <v>0</v>
      </c>
      <c r="P39" s="504">
        <f t="array" aca="1" ref="P39" ca="1">SUM($U39:$FQ39*_xlfn.ISFORMULA($U39:$FQ39)*ISNUMBER($U$7:$FQ$7)*--(INDEX($U$6:$FQ$6,N(IF({1},COLUMN($U$6:$FQ$6)-COLUMN($T$6)))-MOD(N(IF({1},COLUMN($U$6:$FQ$6)-COLUMN($U$6))),14))="Current Fiscal"))</f>
        <v>0</v>
      </c>
      <c r="Q39" s="504">
        <f t="array" aca="1" ref="Q39" ca="1">SUM($U39:$FQ39*NOT(_xlfn.ISFORMULA($U39:$FQ39))*ISNUMBER($U$7:$FQ$7)*--(INDEX($U$6:$FQ$6,N(IF({1},COLUMN($U$6:$FQ$6)-COLUMN($T$6)))-MOD(N(IF({1},COLUMN($U$6:$FQ$6)-COLUMN($U$6))),14))="Current Fiscal"))</f>
        <v>0</v>
      </c>
      <c r="R39" s="504">
        <f t="shared" ca="1" si="32"/>
        <v>0</v>
      </c>
      <c r="S39" s="504">
        <f t="shared" ca="1" si="33"/>
        <v>0</v>
      </c>
      <c r="U39" s="504">
        <f ca="1">SUMIFS(CostTrack[[Value]:[Value]],CostTrack[[PA ID]:[PA ID]],$B39,CostTrack[[Vendor - Contract]:[Vendor - Contract]],$H39,CostTrack[[Holdback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39" s="504">
        <f ca="1">SUMIFS(CostTrack[[Value]:[Value]],CostTrack[[PA ID]:[PA ID]],$B39,CostTrack[[Vendor - Contract]:[Vendor - Contract]],$H39,CostTrack[[Holdback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39" s="504">
        <f ca="1">SUMIFS(CostTrack[[Value]:[Value]],CostTrack[[PA ID]:[PA ID]],$B39,CostTrack[[Vendor - Contract]:[Vendor - Contract]],$H39,CostTrack[[Holdback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39" s="504">
        <f ca="1">SUMIFS(CostTrack[[Value]:[Value]],CostTrack[[PA ID]:[PA ID]],$B39,CostTrack[[Vendor - Contract]:[Vendor - Contract]],$H39,CostTrack[[Holdback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39" s="504">
        <f ca="1">SUMIFS(CostTrack[[Value]:[Value]],CostTrack[[PA ID]:[PA ID]],$B39,CostTrack[[Vendor - Contract]:[Vendor - Contract]],$H39,CostTrack[[Holdback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39" s="504">
        <f ca="1">SUMIFS(CostTrack[[Value]:[Value]],CostTrack[[PA ID]:[PA ID]],$B39,CostTrack[[Vendor - Contract]:[Vendor - Contract]],$H39,CostTrack[[Holdback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39" s="504">
        <f ca="1">SUMIFS(CostTrack[[Value]:[Value]],CostTrack[[PA ID]:[PA ID]],$B39,CostTrack[[Vendor - Contract]:[Vendor - Contract]],$H39,CostTrack[[Holdback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39" s="504">
        <f ca="1">SUMIFS(CostTrack[[Value]:[Value]],CostTrack[[PA ID]:[PA ID]],$B39,CostTrack[[Vendor - Contract]:[Vendor - Contract]],$H39,CostTrack[[Holdback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39" s="504">
        <f ca="1">SUMIFS(CostTrack[[Value]:[Value]],CostTrack[[PA ID]:[PA ID]],$B39,CostTrack[[Vendor - Contract]:[Vendor - Contract]],$H39,CostTrack[[Holdback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39" s="504">
        <f ca="1">SUMIFS(CostTrack[[Value]:[Value]],CostTrack[[PA ID]:[PA ID]],$B39,CostTrack[[Vendor - Contract]:[Vendor - Contract]],$H39,CostTrack[[Holdback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39" s="504">
        <f ca="1">SUMIFS(CostTrack[[Value]:[Value]],CostTrack[[PA ID]:[PA ID]],$B39,CostTrack[[Vendor - Contract]:[Vendor - Contract]],$H39,CostTrack[[Holdback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39" s="504">
        <f ca="1">SUMIFS(CostTrack[[Value]:[Value]],CostTrack[[PA ID]:[PA ID]],$B39,CostTrack[[Vendor - Contract]:[Vendor - Contract]],$H39,CostTrack[[Holdback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39" s="506">
        <f t="shared" ca="1" si="34"/>
        <v>0</v>
      </c>
      <c r="AI39" s="504">
        <f ca="1">SUMIFS(CostTrack[[Value]:[Value]],CostTrack[[PA ID]:[PA ID]],$B39,CostTrack[[Vendor - Contract]:[Vendor - Contract]],$H39,CostTrack[[Holdback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39" s="504">
        <f ca="1">SUMIFS(CostTrack[[Value]:[Value]],CostTrack[[PA ID]:[PA ID]],$B39,CostTrack[[Vendor - Contract]:[Vendor - Contract]],$H39,CostTrack[[Holdback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39" s="504">
        <f ca="1">SUMIFS(CostTrack[[Value]:[Value]],CostTrack[[PA ID]:[PA ID]],$B39,CostTrack[[Vendor - Contract]:[Vendor - Contract]],$H39,CostTrack[[Holdback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39" s="504">
        <f ca="1">SUMIFS(CostTrack[[Value]:[Value]],CostTrack[[PA ID]:[PA ID]],$B39,CostTrack[[Vendor - Contract]:[Vendor - Contract]],$H39,CostTrack[[Holdback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39" s="504">
        <f ca="1">SUMIFS(CostTrack[[Value]:[Value]],CostTrack[[PA ID]:[PA ID]],$B39,CostTrack[[Vendor - Contract]:[Vendor - Contract]],$H39,CostTrack[[Holdback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39" s="504">
        <f ca="1">SUMIFS(CostTrack[[Value]:[Value]],CostTrack[[PA ID]:[PA ID]],$B39,CostTrack[[Vendor - Contract]:[Vendor - Contract]],$H39,CostTrack[[Holdback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39" s="504">
        <f ca="1">SUMIFS(CostTrack[[Value]:[Value]],CostTrack[[PA ID]:[PA ID]],$B39,CostTrack[[Vendor - Contract]:[Vendor - Contract]],$H39,CostTrack[[Holdback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39" s="504">
        <f ca="1">SUMIFS(CostTrack[[Value]:[Value]],CostTrack[[PA ID]:[PA ID]],$B39,CostTrack[[Vendor - Contract]:[Vendor - Contract]],$H39,CostTrack[[Holdback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39" s="504">
        <f ca="1">SUMIFS(CostTrack[[Value]:[Value]],CostTrack[[PA ID]:[PA ID]],$B39,CostTrack[[Vendor - Contract]:[Vendor - Contract]],$H39,CostTrack[[Holdback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39" s="504">
        <f ca="1">SUMIFS(CostTrack[[Value]:[Value]],CostTrack[[PA ID]:[PA ID]],$B39,CostTrack[[Vendor - Contract]:[Vendor - Contract]],$H39,CostTrack[[Holdback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39" s="504">
        <f ca="1">SUMIFS(CostTrack[[Value]:[Value]],CostTrack[[PA ID]:[PA ID]],$B39,CostTrack[[Vendor - Contract]:[Vendor - Contract]],$H39,CostTrack[[Holdback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39" s="504">
        <f ca="1">SUMIFS(CostTrack[[Value]:[Value]],CostTrack[[PA ID]:[PA ID]],$B39,CostTrack[[Vendor - Contract]:[Vendor - Contract]],$H39,CostTrack[[Holdback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39" s="512">
        <f t="shared" ca="1" si="35"/>
        <v>0</v>
      </c>
      <c r="AW39" s="504">
        <f ca="1">SUMIFS(CostTrack[[Value]:[Value]],CostTrack[[PA ID]:[PA ID]],$B39,CostTrack[[Vendor - Contract]:[Vendor - Contract]],$H39,CostTrack[[Holdback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39" s="504">
        <f ca="1">SUMIFS(CostTrack[[Value]:[Value]],CostTrack[[PA ID]:[PA ID]],$B39,CostTrack[[Vendor - Contract]:[Vendor - Contract]],$H39,CostTrack[[Holdback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39" s="504">
        <f ca="1">SUMIFS(CostTrack[[Value]:[Value]],CostTrack[[PA ID]:[PA ID]],$B39,CostTrack[[Vendor - Contract]:[Vendor - Contract]],$H39,CostTrack[[Holdback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39" s="504">
        <f ca="1">SUMIFS(CostTrack[[Value]:[Value]],CostTrack[[PA ID]:[PA ID]],$B39,CostTrack[[Vendor - Contract]:[Vendor - Contract]],$H39,CostTrack[[Holdback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39" s="504">
        <f ca="1">SUMIFS(CostTrack[[Value]:[Value]],CostTrack[[PA ID]:[PA ID]],$B39,CostTrack[[Vendor - Contract]:[Vendor - Contract]],$H39,CostTrack[[Holdback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39" s="504">
        <f ca="1">SUMIFS(CostTrack[[Value]:[Value]],CostTrack[[PA ID]:[PA ID]],$B39,CostTrack[[Vendor - Contract]:[Vendor - Contract]],$H39,CostTrack[[Holdback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39" s="504">
        <f ca="1">SUMIFS(CostTrack[[Value]:[Value]],CostTrack[[PA ID]:[PA ID]],$B39,CostTrack[[Vendor - Contract]:[Vendor - Contract]],$H39,CostTrack[[Holdback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39" s="504">
        <f ca="1">SUMIFS(CostTrack[[Value]:[Value]],CostTrack[[PA ID]:[PA ID]],$B39,CostTrack[[Vendor - Contract]:[Vendor - Contract]],$H39,CostTrack[[Holdback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39" s="504">
        <f ca="1">SUMIFS(CostTrack[[Value]:[Value]],CostTrack[[PA ID]:[PA ID]],$B39,CostTrack[[Vendor - Contract]:[Vendor - Contract]],$H39,CostTrack[[Holdback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39" s="504">
        <f ca="1">SUMIFS(CostTrack[[Value]:[Value]],CostTrack[[PA ID]:[PA ID]],$B39,CostTrack[[Vendor - Contract]:[Vendor - Contract]],$H39,CostTrack[[Holdback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39" s="504">
        <f ca="1">SUMIFS(CostTrack[[Value]:[Value]],CostTrack[[PA ID]:[PA ID]],$B39,CostTrack[[Vendor - Contract]:[Vendor - Contract]],$H39,CostTrack[[Holdback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39" s="504">
        <f ca="1">SUMIFS(CostTrack[[Value]:[Value]],CostTrack[[PA ID]:[PA ID]],$B39,CostTrack[[Vendor - Contract]:[Vendor - Contract]],$H39,CostTrack[[Holdback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39" s="512">
        <f t="shared" ca="1" si="36"/>
        <v>0</v>
      </c>
      <c r="BK39" s="504">
        <f ca="1">SUMIFS(CostTrack[[Value]:[Value]],CostTrack[[PA ID]:[PA ID]],$B39,CostTrack[[Vendor - Contract]:[Vendor - Contract]],$H39,CostTrack[[Holdback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39" s="504">
        <f ca="1">SUMIFS(CostTrack[[Value]:[Value]],CostTrack[[PA ID]:[PA ID]],$B39,CostTrack[[Vendor - Contract]:[Vendor - Contract]],$H39,CostTrack[[Holdback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39" s="504">
        <f ca="1">SUMIFS(CostTrack[[Value]:[Value]],CostTrack[[PA ID]:[PA ID]],$B39,CostTrack[[Vendor - Contract]:[Vendor - Contract]],$H39,CostTrack[[Holdback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39" s="504">
        <f ca="1">SUMIFS(CostTrack[[Value]:[Value]],CostTrack[[PA ID]:[PA ID]],$B39,CostTrack[[Vendor - Contract]:[Vendor - Contract]],$H39,CostTrack[[Holdback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39" s="504">
        <f ca="1">SUMIFS(CostTrack[[Value]:[Value]],CostTrack[[PA ID]:[PA ID]],$B39,CostTrack[[Vendor - Contract]:[Vendor - Contract]],$H39,CostTrack[[Holdback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39" s="504">
        <f ca="1">SUMIFS(CostTrack[[Value]:[Value]],CostTrack[[PA ID]:[PA ID]],$B39,CostTrack[[Vendor - Contract]:[Vendor - Contract]],$H39,CostTrack[[Holdback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39" s="504">
        <f ca="1">SUMIFS(CostTrack[[Value]:[Value]],CostTrack[[PA ID]:[PA ID]],$B39,CostTrack[[Vendor - Contract]:[Vendor - Contract]],$H39,CostTrack[[Holdback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39" s="504">
        <f ca="1">SUMIFS(CostTrack[[Value]:[Value]],CostTrack[[PA ID]:[PA ID]],$B39,CostTrack[[Vendor - Contract]:[Vendor - Contract]],$H39,CostTrack[[Holdback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39" s="504">
        <f ca="1">SUMIFS(CostTrack[[Value]:[Value]],CostTrack[[PA ID]:[PA ID]],$B39,CostTrack[[Vendor - Contract]:[Vendor - Contract]],$H39,CostTrack[[Holdback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39" s="504">
        <f ca="1">SUMIFS(CostTrack[[Value]:[Value]],CostTrack[[PA ID]:[PA ID]],$B39,CostTrack[[Vendor - Contract]:[Vendor - Contract]],$H39,CostTrack[[Holdback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39" s="504">
        <f ca="1">SUMIFS(CostTrack[[Value]:[Value]],CostTrack[[PA ID]:[PA ID]],$B39,CostTrack[[Vendor - Contract]:[Vendor - Contract]],$H39,CostTrack[[Holdback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39" s="504">
        <f ca="1">SUMIFS(CostTrack[[Value]:[Value]],CostTrack[[PA ID]:[PA ID]],$B39,CostTrack[[Vendor - Contract]:[Vendor - Contract]],$H39,CostTrack[[Holdback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39" s="512">
        <f t="shared" ca="1" si="37"/>
        <v>0</v>
      </c>
      <c r="BY39" s="504">
        <f ca="1">SUMIFS(CostTrack[[Value]:[Value]],CostTrack[[PA ID]:[PA ID]],$B39,CostTrack[[Vendor - Contract]:[Vendor - Contract]],$H39,CostTrack[[Holdback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39" s="504">
        <f ca="1">SUMIFS(CostTrack[[Value]:[Value]],CostTrack[[PA ID]:[PA ID]],$B39,CostTrack[[Vendor - Contract]:[Vendor - Contract]],$H39,CostTrack[[Holdback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39" s="504">
        <f ca="1">SUMIFS(CostTrack[[Value]:[Value]],CostTrack[[PA ID]:[PA ID]],$B39,CostTrack[[Vendor - Contract]:[Vendor - Contract]],$H39,CostTrack[[Holdback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39" s="504">
        <f ca="1">SUMIFS(CostTrack[[Value]:[Value]],CostTrack[[PA ID]:[PA ID]],$B39,CostTrack[[Vendor - Contract]:[Vendor - Contract]],$H39,CostTrack[[Holdback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39" s="504">
        <f ca="1">SUMIFS(CostTrack[[Value]:[Value]],CostTrack[[PA ID]:[PA ID]],$B39,CostTrack[[Vendor - Contract]:[Vendor - Contract]],$H39,CostTrack[[Holdback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39" s="504">
        <f ca="1">SUMIFS(CostTrack[[Value]:[Value]],CostTrack[[PA ID]:[PA ID]],$B39,CostTrack[[Vendor - Contract]:[Vendor - Contract]],$H39,CostTrack[[Holdback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39" s="504">
        <f ca="1">SUMIFS(CostTrack[[Value]:[Value]],CostTrack[[PA ID]:[PA ID]],$B39,CostTrack[[Vendor - Contract]:[Vendor - Contract]],$H39,CostTrack[[Holdback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39" s="504">
        <f ca="1">SUMIFS(CostTrack[[Value]:[Value]],CostTrack[[PA ID]:[PA ID]],$B39,CostTrack[[Vendor - Contract]:[Vendor - Contract]],$H39,CostTrack[[Holdback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39" s="504">
        <f ca="1">SUMIFS(CostTrack[[Value]:[Value]],CostTrack[[PA ID]:[PA ID]],$B39,CostTrack[[Vendor - Contract]:[Vendor - Contract]],$H39,CostTrack[[Holdback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39" s="504">
        <f ca="1">SUMIFS(CostTrack[[Value]:[Value]],CostTrack[[PA ID]:[PA ID]],$B39,CostTrack[[Vendor - Contract]:[Vendor - Contract]],$H39,CostTrack[[Holdback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39" s="504">
        <f ca="1">SUMIFS(CostTrack[[Value]:[Value]],CostTrack[[PA ID]:[PA ID]],$B39,CostTrack[[Vendor - Contract]:[Vendor - Contract]],$H39,CostTrack[[Holdback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39" s="504">
        <f ca="1">SUMIFS(CostTrack[[Value]:[Value]],CostTrack[[PA ID]:[PA ID]],$B39,CostTrack[[Vendor - Contract]:[Vendor - Contract]],$H39,CostTrack[[Holdback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39" s="512">
        <f t="shared" ca="1" si="38"/>
        <v>0</v>
      </c>
      <c r="CM39" s="504">
        <f ca="1">SUMIFS(CostTrack[[Value]:[Value]],CostTrack[[PA ID]:[PA ID]],$B39,CostTrack[[Vendor - Contract]:[Vendor - Contract]],$H39,CostTrack[[Holdback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39" s="504">
        <f ca="1">SUMIFS(CostTrack[[Value]:[Value]],CostTrack[[PA ID]:[PA ID]],$B39,CostTrack[[Vendor - Contract]:[Vendor - Contract]],$H39,CostTrack[[Holdback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39" s="504">
        <f ca="1">SUMIFS(CostTrack[[Value]:[Value]],CostTrack[[PA ID]:[PA ID]],$B39,CostTrack[[Vendor - Contract]:[Vendor - Contract]],$H39,CostTrack[[Holdback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39" s="504">
        <f ca="1">SUMIFS(CostTrack[[Value]:[Value]],CostTrack[[PA ID]:[PA ID]],$B39,CostTrack[[Vendor - Contract]:[Vendor - Contract]],$H39,CostTrack[[Holdback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39" s="504">
        <f ca="1">SUMIFS(CostTrack[[Value]:[Value]],CostTrack[[PA ID]:[PA ID]],$B39,CostTrack[[Vendor - Contract]:[Vendor - Contract]],$H39,CostTrack[[Holdback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39" s="504">
        <f ca="1">SUMIFS(CostTrack[[Value]:[Value]],CostTrack[[PA ID]:[PA ID]],$B39,CostTrack[[Vendor - Contract]:[Vendor - Contract]],$H39,CostTrack[[Holdback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39" s="504">
        <f ca="1">SUMIFS(CostTrack[[Value]:[Value]],CostTrack[[PA ID]:[PA ID]],$B39,CostTrack[[Vendor - Contract]:[Vendor - Contract]],$H39,CostTrack[[Holdback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39" s="504">
        <f ca="1">SUMIFS(CostTrack[[Value]:[Value]],CostTrack[[PA ID]:[PA ID]],$B39,CostTrack[[Vendor - Contract]:[Vendor - Contract]],$H39,CostTrack[[Holdback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39" s="504">
        <f ca="1">SUMIFS(CostTrack[[Value]:[Value]],CostTrack[[PA ID]:[PA ID]],$B39,CostTrack[[Vendor - Contract]:[Vendor - Contract]],$H39,CostTrack[[Holdback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39" s="504">
        <f ca="1">SUMIFS(CostTrack[[Value]:[Value]],CostTrack[[PA ID]:[PA ID]],$B39,CostTrack[[Vendor - Contract]:[Vendor - Contract]],$H39,CostTrack[[Holdback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39" s="504">
        <f ca="1">SUMIFS(CostTrack[[Value]:[Value]],CostTrack[[PA ID]:[PA ID]],$B39,CostTrack[[Vendor - Contract]:[Vendor - Contract]],$H39,CostTrack[[Holdback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39" s="504">
        <f ca="1">SUMIFS(CostTrack[[Value]:[Value]],CostTrack[[PA ID]:[PA ID]],$B39,CostTrack[[Vendor - Contract]:[Vendor - Contract]],$H39,CostTrack[[Holdback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39" s="512">
        <f t="shared" ca="1" si="39"/>
        <v>0</v>
      </c>
      <c r="DA39" s="504">
        <f ca="1">SUMIFS(CostTrack[[Value]:[Value]],CostTrack[[PA ID]:[PA ID]],$B39,CostTrack[[Vendor - Contract]:[Vendor - Contract]],$H39,CostTrack[[Holdback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39" s="504">
        <f ca="1">SUMIFS(CostTrack[[Value]:[Value]],CostTrack[[PA ID]:[PA ID]],$B39,CostTrack[[Vendor - Contract]:[Vendor - Contract]],$H39,CostTrack[[Holdback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39" s="504">
        <f ca="1">SUMIFS(CostTrack[[Value]:[Value]],CostTrack[[PA ID]:[PA ID]],$B39,CostTrack[[Vendor - Contract]:[Vendor - Contract]],$H39,CostTrack[[Holdback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39" s="504">
        <f ca="1">SUMIFS(CostTrack[[Value]:[Value]],CostTrack[[PA ID]:[PA ID]],$B39,CostTrack[[Vendor - Contract]:[Vendor - Contract]],$H39,CostTrack[[Holdback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39" s="504">
        <f ca="1">SUMIFS(CostTrack[[Value]:[Value]],CostTrack[[PA ID]:[PA ID]],$B39,CostTrack[[Vendor - Contract]:[Vendor - Contract]],$H39,CostTrack[[Holdback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39" s="504">
        <f ca="1">SUMIFS(CostTrack[[Value]:[Value]],CostTrack[[PA ID]:[PA ID]],$B39,CostTrack[[Vendor - Contract]:[Vendor - Contract]],$H39,CostTrack[[Holdback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39" s="504">
        <f ca="1">SUMIFS(CostTrack[[Value]:[Value]],CostTrack[[PA ID]:[PA ID]],$B39,CostTrack[[Vendor - Contract]:[Vendor - Contract]],$H39,CostTrack[[Holdback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39" s="504">
        <f ca="1">SUMIFS(CostTrack[[Value]:[Value]],CostTrack[[PA ID]:[PA ID]],$B39,CostTrack[[Vendor - Contract]:[Vendor - Contract]],$H39,CostTrack[[Holdback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39" s="504">
        <f ca="1">SUMIFS(CostTrack[[Value]:[Value]],CostTrack[[PA ID]:[PA ID]],$B39,CostTrack[[Vendor - Contract]:[Vendor - Contract]],$H39,CostTrack[[Holdback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39" s="504">
        <f ca="1">SUMIFS(CostTrack[[Value]:[Value]],CostTrack[[PA ID]:[PA ID]],$B39,CostTrack[[Vendor - Contract]:[Vendor - Contract]],$H39,CostTrack[[Holdback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39" s="504">
        <f ca="1">SUMIFS(CostTrack[[Value]:[Value]],CostTrack[[PA ID]:[PA ID]],$B39,CostTrack[[Vendor - Contract]:[Vendor - Contract]],$H39,CostTrack[[Holdback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39" s="504">
        <f ca="1">SUMIFS(CostTrack[[Value]:[Value]],CostTrack[[PA ID]:[PA ID]],$B39,CostTrack[[Vendor - Contract]:[Vendor - Contract]],$H39,CostTrack[[Holdback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39" s="512">
        <f t="shared" ca="1" si="40"/>
        <v>0</v>
      </c>
      <c r="DO39" s="504">
        <f ca="1">SUMIFS(CostTrack[[Value]:[Value]],CostTrack[[PA ID]:[PA ID]],$B39,CostTrack[[Vendor - Contract]:[Vendor - Contract]],$H39,CostTrack[[Holdback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39" s="504">
        <f ca="1">SUMIFS(CostTrack[[Value]:[Value]],CostTrack[[PA ID]:[PA ID]],$B39,CostTrack[[Vendor - Contract]:[Vendor - Contract]],$H39,CostTrack[[Holdback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39" s="504">
        <f ca="1">SUMIFS(CostTrack[[Value]:[Value]],CostTrack[[PA ID]:[PA ID]],$B39,CostTrack[[Vendor - Contract]:[Vendor - Contract]],$H39,CostTrack[[Holdback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39" s="504">
        <f ca="1">SUMIFS(CostTrack[[Value]:[Value]],CostTrack[[PA ID]:[PA ID]],$B39,CostTrack[[Vendor - Contract]:[Vendor - Contract]],$H39,CostTrack[[Holdback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39" s="504">
        <f ca="1">SUMIFS(CostTrack[[Value]:[Value]],CostTrack[[PA ID]:[PA ID]],$B39,CostTrack[[Vendor - Contract]:[Vendor - Contract]],$H39,CostTrack[[Holdback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39" s="504">
        <f ca="1">SUMIFS(CostTrack[[Value]:[Value]],CostTrack[[PA ID]:[PA ID]],$B39,CostTrack[[Vendor - Contract]:[Vendor - Contract]],$H39,CostTrack[[Holdback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39" s="504">
        <f ca="1">SUMIFS(CostTrack[[Value]:[Value]],CostTrack[[PA ID]:[PA ID]],$B39,CostTrack[[Vendor - Contract]:[Vendor - Contract]],$H39,CostTrack[[Holdback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39" s="504">
        <f ca="1">SUMIFS(CostTrack[[Value]:[Value]],CostTrack[[PA ID]:[PA ID]],$B39,CostTrack[[Vendor - Contract]:[Vendor - Contract]],$H39,CostTrack[[Holdback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39" s="504">
        <f ca="1">SUMIFS(CostTrack[[Value]:[Value]],CostTrack[[PA ID]:[PA ID]],$B39,CostTrack[[Vendor - Contract]:[Vendor - Contract]],$H39,CostTrack[[Holdback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39" s="504">
        <f ca="1">SUMIFS(CostTrack[[Value]:[Value]],CostTrack[[PA ID]:[PA ID]],$B39,CostTrack[[Vendor - Contract]:[Vendor - Contract]],$H39,CostTrack[[Holdback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39" s="504">
        <f ca="1">SUMIFS(CostTrack[[Value]:[Value]],CostTrack[[PA ID]:[PA ID]],$B39,CostTrack[[Vendor - Contract]:[Vendor - Contract]],$H39,CostTrack[[Holdback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39" s="504">
        <f ca="1">SUMIFS(CostTrack[[Value]:[Value]],CostTrack[[PA ID]:[PA ID]],$B39,CostTrack[[Vendor - Contract]:[Vendor - Contract]],$H39,CostTrack[[Holdback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39" s="512">
        <f t="shared" ca="1" si="41"/>
        <v>0</v>
      </c>
      <c r="EC39" s="504">
        <f ca="1">SUMIFS(CostTrack[[Value]:[Value]],CostTrack[[PA ID]:[PA ID]],$B39,CostTrack[[Vendor - Contract]:[Vendor - Contract]],$H39,CostTrack[[Holdback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39" s="505"/>
      <c r="EE39" s="505"/>
      <c r="EF39" s="505"/>
      <c r="EG39" s="505"/>
      <c r="EH39" s="505"/>
      <c r="EI39" s="505"/>
      <c r="EJ39" s="505"/>
      <c r="EK39" s="505"/>
      <c r="EL39" s="505"/>
      <c r="EM39" s="505"/>
      <c r="EN39" s="505"/>
      <c r="EO39" s="512">
        <f t="shared" ca="1" si="42"/>
        <v>0</v>
      </c>
      <c r="EQ39" s="505"/>
      <c r="ER39" s="505"/>
      <c r="ES39" s="505"/>
      <c r="ET39" s="505"/>
      <c r="EU39" s="505"/>
      <c r="EV39" s="505"/>
      <c r="EW39" s="505"/>
      <c r="EX39" s="505"/>
      <c r="EY39" s="505"/>
      <c r="EZ39" s="505"/>
      <c r="FA39" s="505"/>
      <c r="FB39" s="505"/>
      <c r="FC39" s="512">
        <f t="shared" si="43"/>
        <v>0</v>
      </c>
      <c r="FE39" s="505"/>
      <c r="FF39" s="505"/>
      <c r="FG39" s="505"/>
      <c r="FH39" s="505"/>
      <c r="FI39" s="505"/>
      <c r="FJ39" s="505"/>
      <c r="FK39" s="505"/>
      <c r="FL39" s="505"/>
      <c r="FM39" s="505"/>
      <c r="FN39" s="505"/>
      <c r="FO39" s="505"/>
      <c r="FP39" s="505"/>
      <c r="FQ39" s="512">
        <f t="shared" si="44"/>
        <v>0</v>
      </c>
      <c r="FS39" s="504">
        <f t="shared" ca="1" si="45"/>
        <v>0</v>
      </c>
      <c r="FT39" s="1" t="s">
        <v>1588</v>
      </c>
    </row>
    <row r="40" spans="1:176">
      <c r="A40" s="216">
        <v>33</v>
      </c>
      <c r="B40" s="219" t="str">
        <f ca="1">INDEX(EAC[PA ID],MATCH($A40,EAC[Row],0))</f>
        <v>100.050.F1</v>
      </c>
      <c r="C40" s="218" t="str">
        <f ca="1">INDEX(EAC[Primary Category],MATCH($A40,EAC[Row],0))</f>
        <v>Administration</v>
      </c>
      <c r="D40" s="218" t="str">
        <f ca="1">INDEX(EAC[Secondary Category],MATCH($A40,EAC[Row],0))</f>
        <v>Other Administration</v>
      </c>
      <c r="E40" s="109" t="str">
        <f ca="1">INDEX(EAC[Phase / Subproject],MATCH($A40,EAC[Row],0))</f>
        <v>--</v>
      </c>
      <c r="F40" s="109" t="str">
        <f ca="1">INDEX(EAC[Phase / Subproject 2],MATCH($A40,EAC[Row],0))</f>
        <v>--</v>
      </c>
      <c r="G40" s="109" t="str">
        <f ca="1">INDEX(EAC[Funding Source],MATCH($A40,EAC[Row],0))</f>
        <v>P-002360</v>
      </c>
      <c r="H40" s="146" t="str">
        <f ca="1">INDEX(EAC[Vendor / Org. with Contract ID],MATCH($A40,EAC[Row],0))</f>
        <v>Harrison Bowker Real Estate AP-Direct Pay</v>
      </c>
      <c r="I40" s="502">
        <f ca="1">INDEX(EAC[Estimate At Completion],MATCH($A40,EAC[Row],0))</f>
        <v>5985</v>
      </c>
      <c r="J40" s="502">
        <f ca="1">SUMIFS(CostTrack[Value],CostTrack[Vendor - Contract],$H40,CostTrack[PA ID],$B40,CostTrack[Holdback (Y/N/R)],"&lt;&gt;Release",CostTrack[Status],"Approved")</f>
        <v>5985</v>
      </c>
      <c r="K40" s="503">
        <f t="shared" ca="1" si="14"/>
        <v>0</v>
      </c>
      <c r="M40" s="504">
        <f t="shared" ca="1" si="15"/>
        <v>0</v>
      </c>
      <c r="O40" s="504">
        <f t="shared" ca="1" si="31"/>
        <v>5985</v>
      </c>
      <c r="P40" s="504">
        <f t="array" aca="1" ref="P40" ca="1">SUM($U40:$FQ40*_xlfn.ISFORMULA($U40:$FQ40)*ISNUMBER($U$7:$FQ$7)*--(INDEX($U$6:$FQ$6,N(IF({1},COLUMN($U$6:$FQ$6)-COLUMN($T$6)))-MOD(N(IF({1},COLUMN($U$6:$FQ$6)-COLUMN($U$6))),14))="Current Fiscal"))</f>
        <v>0</v>
      </c>
      <c r="Q40" s="504">
        <f t="array" aca="1" ref="Q40" ca="1">SUM($U40:$FQ40*NOT(_xlfn.ISFORMULA($U40:$FQ40))*ISNUMBER($U$7:$FQ$7)*--(INDEX($U$6:$FQ$6,N(IF({1},COLUMN($U$6:$FQ$6)-COLUMN($T$6)))-MOD(N(IF({1},COLUMN($U$6:$FQ$6)-COLUMN($U$6))),14))="Current Fiscal"))</f>
        <v>0</v>
      </c>
      <c r="R40" s="504">
        <f t="shared" ca="1" si="32"/>
        <v>0</v>
      </c>
      <c r="S40" s="504">
        <f t="shared" ca="1" si="33"/>
        <v>0</v>
      </c>
      <c r="U40" s="504">
        <f ca="1">SUMIFS(CostTrack[[Value]:[Value]],CostTrack[[PA ID]:[PA ID]],$B40,CostTrack[[Vendor - Contract]:[Vendor - Contract]],$H40,CostTrack[[Holdback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40" s="504">
        <f ca="1">SUMIFS(CostTrack[[Value]:[Value]],CostTrack[[PA ID]:[PA ID]],$B40,CostTrack[[Vendor - Contract]:[Vendor - Contract]],$H40,CostTrack[[Holdback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40" s="504">
        <f ca="1">SUMIFS(CostTrack[[Value]:[Value]],CostTrack[[PA ID]:[PA ID]],$B40,CostTrack[[Vendor - Contract]:[Vendor - Contract]],$H40,CostTrack[[Holdback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40" s="504">
        <f ca="1">SUMIFS(CostTrack[[Value]:[Value]],CostTrack[[PA ID]:[PA ID]],$B40,CostTrack[[Vendor - Contract]:[Vendor - Contract]],$H40,CostTrack[[Holdback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40" s="504">
        <f ca="1">SUMIFS(CostTrack[[Value]:[Value]],CostTrack[[PA ID]:[PA ID]],$B40,CostTrack[[Vendor - Contract]:[Vendor - Contract]],$H40,CostTrack[[Holdback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40" s="504">
        <f ca="1">SUMIFS(CostTrack[[Value]:[Value]],CostTrack[[PA ID]:[PA ID]],$B40,CostTrack[[Vendor - Contract]:[Vendor - Contract]],$H40,CostTrack[[Holdback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40" s="504">
        <f ca="1">SUMIFS(CostTrack[[Value]:[Value]],CostTrack[[PA ID]:[PA ID]],$B40,CostTrack[[Vendor - Contract]:[Vendor - Contract]],$H40,CostTrack[[Holdback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40" s="504">
        <f ca="1">SUMIFS(CostTrack[[Value]:[Value]],CostTrack[[PA ID]:[PA ID]],$B40,CostTrack[[Vendor - Contract]:[Vendor - Contract]],$H40,CostTrack[[Holdback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40" s="504">
        <f ca="1">SUMIFS(CostTrack[[Value]:[Value]],CostTrack[[PA ID]:[PA ID]],$B40,CostTrack[[Vendor - Contract]:[Vendor - Contract]],$H40,CostTrack[[Holdback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40" s="504">
        <f ca="1">SUMIFS(CostTrack[[Value]:[Value]],CostTrack[[PA ID]:[PA ID]],$B40,CostTrack[[Vendor - Contract]:[Vendor - Contract]],$H40,CostTrack[[Holdback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40" s="504">
        <f ca="1">SUMIFS(CostTrack[[Value]:[Value]],CostTrack[[PA ID]:[PA ID]],$B40,CostTrack[[Vendor - Contract]:[Vendor - Contract]],$H40,CostTrack[[Holdback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40" s="504">
        <f ca="1">SUMIFS(CostTrack[[Value]:[Value]],CostTrack[[PA ID]:[PA ID]],$B40,CostTrack[[Vendor - Contract]:[Vendor - Contract]],$H40,CostTrack[[Holdback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5985</v>
      </c>
      <c r="AG40" s="506">
        <f t="shared" ca="1" si="34"/>
        <v>5985</v>
      </c>
      <c r="AI40" s="504">
        <f ca="1">SUMIFS(CostTrack[[Value]:[Value]],CostTrack[[PA ID]:[PA ID]],$B40,CostTrack[[Vendor - Contract]:[Vendor - Contract]],$H40,CostTrack[[Holdback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40" s="504">
        <f ca="1">SUMIFS(CostTrack[[Value]:[Value]],CostTrack[[PA ID]:[PA ID]],$B40,CostTrack[[Vendor - Contract]:[Vendor - Contract]],$H40,CostTrack[[Holdback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40" s="504">
        <f ca="1">SUMIFS(CostTrack[[Value]:[Value]],CostTrack[[PA ID]:[PA ID]],$B40,CostTrack[[Vendor - Contract]:[Vendor - Contract]],$H40,CostTrack[[Holdback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40" s="504">
        <f ca="1">SUMIFS(CostTrack[[Value]:[Value]],CostTrack[[PA ID]:[PA ID]],$B40,CostTrack[[Vendor - Contract]:[Vendor - Contract]],$H40,CostTrack[[Holdback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40" s="504">
        <f ca="1">SUMIFS(CostTrack[[Value]:[Value]],CostTrack[[PA ID]:[PA ID]],$B40,CostTrack[[Vendor - Contract]:[Vendor - Contract]],$H40,CostTrack[[Holdback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40" s="504">
        <f ca="1">SUMIFS(CostTrack[[Value]:[Value]],CostTrack[[PA ID]:[PA ID]],$B40,CostTrack[[Vendor - Contract]:[Vendor - Contract]],$H40,CostTrack[[Holdback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40" s="504">
        <f ca="1">SUMIFS(CostTrack[[Value]:[Value]],CostTrack[[PA ID]:[PA ID]],$B40,CostTrack[[Vendor - Contract]:[Vendor - Contract]],$H40,CostTrack[[Holdback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40" s="504">
        <f ca="1">SUMIFS(CostTrack[[Value]:[Value]],CostTrack[[PA ID]:[PA ID]],$B40,CostTrack[[Vendor - Contract]:[Vendor - Contract]],$H40,CostTrack[[Holdback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40" s="504">
        <f ca="1">SUMIFS(CostTrack[[Value]:[Value]],CostTrack[[PA ID]:[PA ID]],$B40,CostTrack[[Vendor - Contract]:[Vendor - Contract]],$H40,CostTrack[[Holdback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40" s="504">
        <f ca="1">SUMIFS(CostTrack[[Value]:[Value]],CostTrack[[PA ID]:[PA ID]],$B40,CostTrack[[Vendor - Contract]:[Vendor - Contract]],$H40,CostTrack[[Holdback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40" s="504">
        <f ca="1">SUMIFS(CostTrack[[Value]:[Value]],CostTrack[[PA ID]:[PA ID]],$B40,CostTrack[[Vendor - Contract]:[Vendor - Contract]],$H40,CostTrack[[Holdback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40" s="504">
        <f ca="1">SUMIFS(CostTrack[[Value]:[Value]],CostTrack[[PA ID]:[PA ID]],$B40,CostTrack[[Vendor - Contract]:[Vendor - Contract]],$H40,CostTrack[[Holdback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40" s="512">
        <f t="shared" ca="1" si="35"/>
        <v>0</v>
      </c>
      <c r="AW40" s="504">
        <f ca="1">SUMIFS(CostTrack[[Value]:[Value]],CostTrack[[PA ID]:[PA ID]],$B40,CostTrack[[Vendor - Contract]:[Vendor - Contract]],$H40,CostTrack[[Holdback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40" s="504">
        <f ca="1">SUMIFS(CostTrack[[Value]:[Value]],CostTrack[[PA ID]:[PA ID]],$B40,CostTrack[[Vendor - Contract]:[Vendor - Contract]],$H40,CostTrack[[Holdback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40" s="504">
        <f ca="1">SUMIFS(CostTrack[[Value]:[Value]],CostTrack[[PA ID]:[PA ID]],$B40,CostTrack[[Vendor - Contract]:[Vendor - Contract]],$H40,CostTrack[[Holdback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40" s="504">
        <f ca="1">SUMIFS(CostTrack[[Value]:[Value]],CostTrack[[PA ID]:[PA ID]],$B40,CostTrack[[Vendor - Contract]:[Vendor - Contract]],$H40,CostTrack[[Holdback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40" s="504">
        <f ca="1">SUMIFS(CostTrack[[Value]:[Value]],CostTrack[[PA ID]:[PA ID]],$B40,CostTrack[[Vendor - Contract]:[Vendor - Contract]],$H40,CostTrack[[Holdback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40" s="504">
        <f ca="1">SUMIFS(CostTrack[[Value]:[Value]],CostTrack[[PA ID]:[PA ID]],$B40,CostTrack[[Vendor - Contract]:[Vendor - Contract]],$H40,CostTrack[[Holdback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40" s="504">
        <f ca="1">SUMIFS(CostTrack[[Value]:[Value]],CostTrack[[PA ID]:[PA ID]],$B40,CostTrack[[Vendor - Contract]:[Vendor - Contract]],$H40,CostTrack[[Holdback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40" s="504">
        <f ca="1">SUMIFS(CostTrack[[Value]:[Value]],CostTrack[[PA ID]:[PA ID]],$B40,CostTrack[[Vendor - Contract]:[Vendor - Contract]],$H40,CostTrack[[Holdback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40" s="504">
        <f ca="1">SUMIFS(CostTrack[[Value]:[Value]],CostTrack[[PA ID]:[PA ID]],$B40,CostTrack[[Vendor - Contract]:[Vendor - Contract]],$H40,CostTrack[[Holdback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40" s="504">
        <f ca="1">SUMIFS(CostTrack[[Value]:[Value]],CostTrack[[PA ID]:[PA ID]],$B40,CostTrack[[Vendor - Contract]:[Vendor - Contract]],$H40,CostTrack[[Holdback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40" s="504">
        <f ca="1">SUMIFS(CostTrack[[Value]:[Value]],CostTrack[[PA ID]:[PA ID]],$B40,CostTrack[[Vendor - Contract]:[Vendor - Contract]],$H40,CostTrack[[Holdback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40" s="504">
        <f ca="1">SUMIFS(CostTrack[[Value]:[Value]],CostTrack[[PA ID]:[PA ID]],$B40,CostTrack[[Vendor - Contract]:[Vendor - Contract]],$H40,CostTrack[[Holdback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40" s="512">
        <f t="shared" ca="1" si="36"/>
        <v>0</v>
      </c>
      <c r="BK40" s="504">
        <f ca="1">SUMIFS(CostTrack[[Value]:[Value]],CostTrack[[PA ID]:[PA ID]],$B40,CostTrack[[Vendor - Contract]:[Vendor - Contract]],$H40,CostTrack[[Holdback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40" s="504">
        <f ca="1">SUMIFS(CostTrack[[Value]:[Value]],CostTrack[[PA ID]:[PA ID]],$B40,CostTrack[[Vendor - Contract]:[Vendor - Contract]],$H40,CostTrack[[Holdback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40" s="504">
        <f ca="1">SUMIFS(CostTrack[[Value]:[Value]],CostTrack[[PA ID]:[PA ID]],$B40,CostTrack[[Vendor - Contract]:[Vendor - Contract]],$H40,CostTrack[[Holdback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40" s="504">
        <f ca="1">SUMIFS(CostTrack[[Value]:[Value]],CostTrack[[PA ID]:[PA ID]],$B40,CostTrack[[Vendor - Contract]:[Vendor - Contract]],$H40,CostTrack[[Holdback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40" s="504">
        <f ca="1">SUMIFS(CostTrack[[Value]:[Value]],CostTrack[[PA ID]:[PA ID]],$B40,CostTrack[[Vendor - Contract]:[Vendor - Contract]],$H40,CostTrack[[Holdback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40" s="504">
        <f ca="1">SUMIFS(CostTrack[[Value]:[Value]],CostTrack[[PA ID]:[PA ID]],$B40,CostTrack[[Vendor - Contract]:[Vendor - Contract]],$H40,CostTrack[[Holdback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40" s="504">
        <f ca="1">SUMIFS(CostTrack[[Value]:[Value]],CostTrack[[PA ID]:[PA ID]],$B40,CostTrack[[Vendor - Contract]:[Vendor - Contract]],$H40,CostTrack[[Holdback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40" s="504">
        <f ca="1">SUMIFS(CostTrack[[Value]:[Value]],CostTrack[[PA ID]:[PA ID]],$B40,CostTrack[[Vendor - Contract]:[Vendor - Contract]],$H40,CostTrack[[Holdback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40" s="504">
        <f ca="1">SUMIFS(CostTrack[[Value]:[Value]],CostTrack[[PA ID]:[PA ID]],$B40,CostTrack[[Vendor - Contract]:[Vendor - Contract]],$H40,CostTrack[[Holdback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40" s="504">
        <f ca="1">SUMIFS(CostTrack[[Value]:[Value]],CostTrack[[PA ID]:[PA ID]],$B40,CostTrack[[Vendor - Contract]:[Vendor - Contract]],$H40,CostTrack[[Holdback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40" s="504">
        <f ca="1">SUMIFS(CostTrack[[Value]:[Value]],CostTrack[[PA ID]:[PA ID]],$B40,CostTrack[[Vendor - Contract]:[Vendor - Contract]],$H40,CostTrack[[Holdback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40" s="504">
        <f ca="1">SUMIFS(CostTrack[[Value]:[Value]],CostTrack[[PA ID]:[PA ID]],$B40,CostTrack[[Vendor - Contract]:[Vendor - Contract]],$H40,CostTrack[[Holdback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40" s="512">
        <f t="shared" ca="1" si="37"/>
        <v>0</v>
      </c>
      <c r="BY40" s="504">
        <f ca="1">SUMIFS(CostTrack[[Value]:[Value]],CostTrack[[PA ID]:[PA ID]],$B40,CostTrack[[Vendor - Contract]:[Vendor - Contract]],$H40,CostTrack[[Holdback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40" s="504">
        <f ca="1">SUMIFS(CostTrack[[Value]:[Value]],CostTrack[[PA ID]:[PA ID]],$B40,CostTrack[[Vendor - Contract]:[Vendor - Contract]],$H40,CostTrack[[Holdback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40" s="504">
        <f ca="1">SUMIFS(CostTrack[[Value]:[Value]],CostTrack[[PA ID]:[PA ID]],$B40,CostTrack[[Vendor - Contract]:[Vendor - Contract]],$H40,CostTrack[[Holdback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40" s="504">
        <f ca="1">SUMIFS(CostTrack[[Value]:[Value]],CostTrack[[PA ID]:[PA ID]],$B40,CostTrack[[Vendor - Contract]:[Vendor - Contract]],$H40,CostTrack[[Holdback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40" s="504">
        <f ca="1">SUMIFS(CostTrack[[Value]:[Value]],CostTrack[[PA ID]:[PA ID]],$B40,CostTrack[[Vendor - Contract]:[Vendor - Contract]],$H40,CostTrack[[Holdback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40" s="504">
        <f ca="1">SUMIFS(CostTrack[[Value]:[Value]],CostTrack[[PA ID]:[PA ID]],$B40,CostTrack[[Vendor - Contract]:[Vendor - Contract]],$H40,CostTrack[[Holdback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40" s="504">
        <f ca="1">SUMIFS(CostTrack[[Value]:[Value]],CostTrack[[PA ID]:[PA ID]],$B40,CostTrack[[Vendor - Contract]:[Vendor - Contract]],$H40,CostTrack[[Holdback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40" s="504">
        <f ca="1">SUMIFS(CostTrack[[Value]:[Value]],CostTrack[[PA ID]:[PA ID]],$B40,CostTrack[[Vendor - Contract]:[Vendor - Contract]],$H40,CostTrack[[Holdback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40" s="504">
        <f ca="1">SUMIFS(CostTrack[[Value]:[Value]],CostTrack[[PA ID]:[PA ID]],$B40,CostTrack[[Vendor - Contract]:[Vendor - Contract]],$H40,CostTrack[[Holdback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40" s="504">
        <f ca="1">SUMIFS(CostTrack[[Value]:[Value]],CostTrack[[PA ID]:[PA ID]],$B40,CostTrack[[Vendor - Contract]:[Vendor - Contract]],$H40,CostTrack[[Holdback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40" s="504">
        <f ca="1">SUMIFS(CostTrack[[Value]:[Value]],CostTrack[[PA ID]:[PA ID]],$B40,CostTrack[[Vendor - Contract]:[Vendor - Contract]],$H40,CostTrack[[Holdback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40" s="504">
        <f ca="1">SUMIFS(CostTrack[[Value]:[Value]],CostTrack[[PA ID]:[PA ID]],$B40,CostTrack[[Vendor - Contract]:[Vendor - Contract]],$H40,CostTrack[[Holdback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40" s="512">
        <f t="shared" ca="1" si="38"/>
        <v>0</v>
      </c>
      <c r="CM40" s="504">
        <f ca="1">SUMIFS(CostTrack[[Value]:[Value]],CostTrack[[PA ID]:[PA ID]],$B40,CostTrack[[Vendor - Contract]:[Vendor - Contract]],$H40,CostTrack[[Holdback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40" s="504">
        <f ca="1">SUMIFS(CostTrack[[Value]:[Value]],CostTrack[[PA ID]:[PA ID]],$B40,CostTrack[[Vendor - Contract]:[Vendor - Contract]],$H40,CostTrack[[Holdback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40" s="504">
        <f ca="1">SUMIFS(CostTrack[[Value]:[Value]],CostTrack[[PA ID]:[PA ID]],$B40,CostTrack[[Vendor - Contract]:[Vendor - Contract]],$H40,CostTrack[[Holdback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40" s="504">
        <f ca="1">SUMIFS(CostTrack[[Value]:[Value]],CostTrack[[PA ID]:[PA ID]],$B40,CostTrack[[Vendor - Contract]:[Vendor - Contract]],$H40,CostTrack[[Holdback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40" s="504">
        <f ca="1">SUMIFS(CostTrack[[Value]:[Value]],CostTrack[[PA ID]:[PA ID]],$B40,CostTrack[[Vendor - Contract]:[Vendor - Contract]],$H40,CostTrack[[Holdback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40" s="504">
        <f ca="1">SUMIFS(CostTrack[[Value]:[Value]],CostTrack[[PA ID]:[PA ID]],$B40,CostTrack[[Vendor - Contract]:[Vendor - Contract]],$H40,CostTrack[[Holdback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40" s="504">
        <f ca="1">SUMIFS(CostTrack[[Value]:[Value]],CostTrack[[PA ID]:[PA ID]],$B40,CostTrack[[Vendor - Contract]:[Vendor - Contract]],$H40,CostTrack[[Holdback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40" s="504">
        <f ca="1">SUMIFS(CostTrack[[Value]:[Value]],CostTrack[[PA ID]:[PA ID]],$B40,CostTrack[[Vendor - Contract]:[Vendor - Contract]],$H40,CostTrack[[Holdback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40" s="504">
        <f ca="1">SUMIFS(CostTrack[[Value]:[Value]],CostTrack[[PA ID]:[PA ID]],$B40,CostTrack[[Vendor - Contract]:[Vendor - Contract]],$H40,CostTrack[[Holdback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40" s="504">
        <f ca="1">SUMIFS(CostTrack[[Value]:[Value]],CostTrack[[PA ID]:[PA ID]],$B40,CostTrack[[Vendor - Contract]:[Vendor - Contract]],$H40,CostTrack[[Holdback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40" s="504">
        <f ca="1">SUMIFS(CostTrack[[Value]:[Value]],CostTrack[[PA ID]:[PA ID]],$B40,CostTrack[[Vendor - Contract]:[Vendor - Contract]],$H40,CostTrack[[Holdback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40" s="504">
        <f ca="1">SUMIFS(CostTrack[[Value]:[Value]],CostTrack[[PA ID]:[PA ID]],$B40,CostTrack[[Vendor - Contract]:[Vendor - Contract]],$H40,CostTrack[[Holdback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40" s="512">
        <f t="shared" ca="1" si="39"/>
        <v>0</v>
      </c>
      <c r="DA40" s="504">
        <f ca="1">SUMIFS(CostTrack[[Value]:[Value]],CostTrack[[PA ID]:[PA ID]],$B40,CostTrack[[Vendor - Contract]:[Vendor - Contract]],$H40,CostTrack[[Holdback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40" s="504">
        <f ca="1">SUMIFS(CostTrack[[Value]:[Value]],CostTrack[[PA ID]:[PA ID]],$B40,CostTrack[[Vendor - Contract]:[Vendor - Contract]],$H40,CostTrack[[Holdback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40" s="504">
        <f ca="1">SUMIFS(CostTrack[[Value]:[Value]],CostTrack[[PA ID]:[PA ID]],$B40,CostTrack[[Vendor - Contract]:[Vendor - Contract]],$H40,CostTrack[[Holdback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40" s="504">
        <f ca="1">SUMIFS(CostTrack[[Value]:[Value]],CostTrack[[PA ID]:[PA ID]],$B40,CostTrack[[Vendor - Contract]:[Vendor - Contract]],$H40,CostTrack[[Holdback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40" s="504">
        <f ca="1">SUMIFS(CostTrack[[Value]:[Value]],CostTrack[[PA ID]:[PA ID]],$B40,CostTrack[[Vendor - Contract]:[Vendor - Contract]],$H40,CostTrack[[Holdback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40" s="504">
        <f ca="1">SUMIFS(CostTrack[[Value]:[Value]],CostTrack[[PA ID]:[PA ID]],$B40,CostTrack[[Vendor - Contract]:[Vendor - Contract]],$H40,CostTrack[[Holdback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40" s="504">
        <f ca="1">SUMIFS(CostTrack[[Value]:[Value]],CostTrack[[PA ID]:[PA ID]],$B40,CostTrack[[Vendor - Contract]:[Vendor - Contract]],$H40,CostTrack[[Holdback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40" s="504">
        <f ca="1">SUMIFS(CostTrack[[Value]:[Value]],CostTrack[[PA ID]:[PA ID]],$B40,CostTrack[[Vendor - Contract]:[Vendor - Contract]],$H40,CostTrack[[Holdback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40" s="504">
        <f ca="1">SUMIFS(CostTrack[[Value]:[Value]],CostTrack[[PA ID]:[PA ID]],$B40,CostTrack[[Vendor - Contract]:[Vendor - Contract]],$H40,CostTrack[[Holdback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40" s="504">
        <f ca="1">SUMIFS(CostTrack[[Value]:[Value]],CostTrack[[PA ID]:[PA ID]],$B40,CostTrack[[Vendor - Contract]:[Vendor - Contract]],$H40,CostTrack[[Holdback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40" s="504">
        <f ca="1">SUMIFS(CostTrack[[Value]:[Value]],CostTrack[[PA ID]:[PA ID]],$B40,CostTrack[[Vendor - Contract]:[Vendor - Contract]],$H40,CostTrack[[Holdback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40" s="504">
        <f ca="1">SUMIFS(CostTrack[[Value]:[Value]],CostTrack[[PA ID]:[PA ID]],$B40,CostTrack[[Vendor - Contract]:[Vendor - Contract]],$H40,CostTrack[[Holdback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40" s="512">
        <f t="shared" ca="1" si="40"/>
        <v>0</v>
      </c>
      <c r="DO40" s="504">
        <f ca="1">SUMIFS(CostTrack[[Value]:[Value]],CostTrack[[PA ID]:[PA ID]],$B40,CostTrack[[Vendor - Contract]:[Vendor - Contract]],$H40,CostTrack[[Holdback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40" s="504">
        <f ca="1">SUMIFS(CostTrack[[Value]:[Value]],CostTrack[[PA ID]:[PA ID]],$B40,CostTrack[[Vendor - Contract]:[Vendor - Contract]],$H40,CostTrack[[Holdback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40" s="504">
        <f ca="1">SUMIFS(CostTrack[[Value]:[Value]],CostTrack[[PA ID]:[PA ID]],$B40,CostTrack[[Vendor - Contract]:[Vendor - Contract]],$H40,CostTrack[[Holdback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40" s="504">
        <f ca="1">SUMIFS(CostTrack[[Value]:[Value]],CostTrack[[PA ID]:[PA ID]],$B40,CostTrack[[Vendor - Contract]:[Vendor - Contract]],$H40,CostTrack[[Holdback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40" s="504">
        <f ca="1">SUMIFS(CostTrack[[Value]:[Value]],CostTrack[[PA ID]:[PA ID]],$B40,CostTrack[[Vendor - Contract]:[Vendor - Contract]],$H40,CostTrack[[Holdback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40" s="504">
        <f ca="1">SUMIFS(CostTrack[[Value]:[Value]],CostTrack[[PA ID]:[PA ID]],$B40,CostTrack[[Vendor - Contract]:[Vendor - Contract]],$H40,CostTrack[[Holdback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40" s="504">
        <f ca="1">SUMIFS(CostTrack[[Value]:[Value]],CostTrack[[PA ID]:[PA ID]],$B40,CostTrack[[Vendor - Contract]:[Vendor - Contract]],$H40,CostTrack[[Holdback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40" s="504">
        <f ca="1">SUMIFS(CostTrack[[Value]:[Value]],CostTrack[[PA ID]:[PA ID]],$B40,CostTrack[[Vendor - Contract]:[Vendor - Contract]],$H40,CostTrack[[Holdback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40" s="504">
        <f ca="1">SUMIFS(CostTrack[[Value]:[Value]],CostTrack[[PA ID]:[PA ID]],$B40,CostTrack[[Vendor - Contract]:[Vendor - Contract]],$H40,CostTrack[[Holdback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40" s="504">
        <f ca="1">SUMIFS(CostTrack[[Value]:[Value]],CostTrack[[PA ID]:[PA ID]],$B40,CostTrack[[Vendor - Contract]:[Vendor - Contract]],$H40,CostTrack[[Holdback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40" s="504">
        <f ca="1">SUMIFS(CostTrack[[Value]:[Value]],CostTrack[[PA ID]:[PA ID]],$B40,CostTrack[[Vendor - Contract]:[Vendor - Contract]],$H40,CostTrack[[Holdback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40" s="504">
        <f ca="1">SUMIFS(CostTrack[[Value]:[Value]],CostTrack[[PA ID]:[PA ID]],$B40,CostTrack[[Vendor - Contract]:[Vendor - Contract]],$H40,CostTrack[[Holdback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40" s="512">
        <f t="shared" ca="1" si="41"/>
        <v>0</v>
      </c>
      <c r="EC40" s="504">
        <f ca="1">SUMIFS(CostTrack[[Value]:[Value]],CostTrack[[PA ID]:[PA ID]],$B40,CostTrack[[Vendor - Contract]:[Vendor - Contract]],$H40,CostTrack[[Holdback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40" s="505"/>
      <c r="EE40" s="505"/>
      <c r="EF40" s="505"/>
      <c r="EG40" s="505"/>
      <c r="EH40" s="505"/>
      <c r="EI40" s="505"/>
      <c r="EJ40" s="505"/>
      <c r="EK40" s="505"/>
      <c r="EL40" s="505"/>
      <c r="EM40" s="505"/>
      <c r="EN40" s="505"/>
      <c r="EO40" s="512">
        <f t="shared" ca="1" si="42"/>
        <v>0</v>
      </c>
      <c r="EQ40" s="505"/>
      <c r="ER40" s="505"/>
      <c r="ES40" s="505"/>
      <c r="ET40" s="505"/>
      <c r="EU40" s="505"/>
      <c r="EV40" s="505"/>
      <c r="EW40" s="505"/>
      <c r="EX40" s="505"/>
      <c r="EY40" s="505"/>
      <c r="EZ40" s="505"/>
      <c r="FA40" s="505"/>
      <c r="FB40" s="505"/>
      <c r="FC40" s="512">
        <f t="shared" si="43"/>
        <v>0</v>
      </c>
      <c r="FE40" s="505"/>
      <c r="FF40" s="505"/>
      <c r="FG40" s="505"/>
      <c r="FH40" s="505"/>
      <c r="FI40" s="505"/>
      <c r="FJ40" s="505"/>
      <c r="FK40" s="505"/>
      <c r="FL40" s="505"/>
      <c r="FM40" s="505"/>
      <c r="FN40" s="505"/>
      <c r="FO40" s="505"/>
      <c r="FP40" s="505"/>
      <c r="FQ40" s="512">
        <f t="shared" si="44"/>
        <v>0</v>
      </c>
      <c r="FS40" s="504">
        <f t="shared" ca="1" si="45"/>
        <v>5985</v>
      </c>
    </row>
    <row r="41" spans="1:176">
      <c r="A41" s="216">
        <v>34</v>
      </c>
      <c r="B41" s="219" t="str">
        <f ca="1">INDEX(EAC[PA ID],MATCH($A41,EAC[Row],0))</f>
        <v>100.050.F1</v>
      </c>
      <c r="C41" s="218" t="str">
        <f ca="1">INDEX(EAC[Primary Category],MATCH($A41,EAC[Row],0))</f>
        <v>Administration</v>
      </c>
      <c r="D41" s="218" t="str">
        <f ca="1">INDEX(EAC[Secondary Category],MATCH($A41,EAC[Row],0))</f>
        <v>Other Administration</v>
      </c>
      <c r="E41" s="109" t="str">
        <f ca="1">INDEX(EAC[Phase / Subproject],MATCH($A41,EAC[Row],0))</f>
        <v>--</v>
      </c>
      <c r="F41" s="109" t="str">
        <f ca="1">INDEX(EAC[Phase / Subproject 2],MATCH($A41,EAC[Row],0))</f>
        <v>--</v>
      </c>
      <c r="G41" s="109" t="str">
        <f ca="1">INDEX(EAC[Funding Source],MATCH($A41,EAC[Row],0))</f>
        <v>P-002360</v>
      </c>
      <c r="H41" s="146" t="str">
        <f ca="1">INDEX(EAC[Vendor / Org. with Contract ID],MATCH($A41,EAC[Row],0))</f>
        <v>CarbonCopy Digital-Direct Pay</v>
      </c>
      <c r="I41" s="502">
        <f ca="1">INDEX(EAC[Estimate At Completion],MATCH($A41,EAC[Row],0))</f>
        <v>166.55</v>
      </c>
      <c r="J41" s="502">
        <f ca="1">SUMIFS(CostTrack[Value],CostTrack[Vendor - Contract],$H41,CostTrack[PA ID],$B41,CostTrack[Holdback (Y/N/R)],"&lt;&gt;Release",CostTrack[Status],"Approved")</f>
        <v>166.55</v>
      </c>
      <c r="K41" s="503">
        <f t="shared" ca="1" si="14"/>
        <v>0</v>
      </c>
      <c r="M41" s="504">
        <f t="shared" ca="1" si="15"/>
        <v>0</v>
      </c>
      <c r="O41" s="504">
        <f t="shared" ca="1" si="31"/>
        <v>166.55</v>
      </c>
      <c r="P41" s="504">
        <f t="array" aca="1" ref="P41" ca="1">SUM($U41:$FQ41*_xlfn.ISFORMULA($U41:$FQ41)*ISNUMBER($U$7:$FQ$7)*--(INDEX($U$6:$FQ$6,N(IF({1},COLUMN($U$6:$FQ$6)-COLUMN($T$6)))-MOD(N(IF({1},COLUMN($U$6:$FQ$6)-COLUMN($U$6))),14))="Current Fiscal"))</f>
        <v>0</v>
      </c>
      <c r="Q41" s="504">
        <f t="array" aca="1" ref="Q41" ca="1">SUM($U41:$FQ41*NOT(_xlfn.ISFORMULA($U41:$FQ41))*ISNUMBER($U$7:$FQ$7)*--(INDEX($U$6:$FQ$6,N(IF({1},COLUMN($U$6:$FQ$6)-COLUMN($T$6)))-MOD(N(IF({1},COLUMN($U$6:$FQ$6)-COLUMN($U$6))),14))="Current Fiscal"))</f>
        <v>0</v>
      </c>
      <c r="R41" s="504">
        <f t="shared" ca="1" si="32"/>
        <v>0</v>
      </c>
      <c r="S41" s="504">
        <f t="shared" ca="1" si="33"/>
        <v>0</v>
      </c>
      <c r="U41" s="504">
        <f ca="1">SUMIFS(CostTrack[[Value]:[Value]],CostTrack[[PA ID]:[PA ID]],$B41,CostTrack[[Vendor - Contract]:[Vendor - Contract]],$H41,CostTrack[[Holdback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41" s="504">
        <f ca="1">SUMIFS(CostTrack[[Value]:[Value]],CostTrack[[PA ID]:[PA ID]],$B41,CostTrack[[Vendor - Contract]:[Vendor - Contract]],$H41,CostTrack[[Holdback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41" s="504">
        <f ca="1">SUMIFS(CostTrack[[Value]:[Value]],CostTrack[[PA ID]:[PA ID]],$B41,CostTrack[[Vendor - Contract]:[Vendor - Contract]],$H41,CostTrack[[Holdback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41" s="504">
        <f ca="1">SUMIFS(CostTrack[[Value]:[Value]],CostTrack[[PA ID]:[PA ID]],$B41,CostTrack[[Vendor - Contract]:[Vendor - Contract]],$H41,CostTrack[[Holdback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41" s="504">
        <f ca="1">SUMIFS(CostTrack[[Value]:[Value]],CostTrack[[PA ID]:[PA ID]],$B41,CostTrack[[Vendor - Contract]:[Vendor - Contract]],$H41,CostTrack[[Holdback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41" s="504">
        <f ca="1">SUMIFS(CostTrack[[Value]:[Value]],CostTrack[[PA ID]:[PA ID]],$B41,CostTrack[[Vendor - Contract]:[Vendor - Contract]],$H41,CostTrack[[Holdback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41" s="504">
        <f ca="1">SUMIFS(CostTrack[[Value]:[Value]],CostTrack[[PA ID]:[PA ID]],$B41,CostTrack[[Vendor - Contract]:[Vendor - Contract]],$H41,CostTrack[[Holdback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41" s="504">
        <f ca="1">SUMIFS(CostTrack[[Value]:[Value]],CostTrack[[PA ID]:[PA ID]],$B41,CostTrack[[Vendor - Contract]:[Vendor - Contract]],$H41,CostTrack[[Holdback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41" s="504">
        <f ca="1">SUMIFS(CostTrack[[Value]:[Value]],CostTrack[[PA ID]:[PA ID]],$B41,CostTrack[[Vendor - Contract]:[Vendor - Contract]],$H41,CostTrack[[Holdback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41" s="504">
        <f ca="1">SUMIFS(CostTrack[[Value]:[Value]],CostTrack[[PA ID]:[PA ID]],$B41,CostTrack[[Vendor - Contract]:[Vendor - Contract]],$H41,CostTrack[[Holdback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41" s="504">
        <f ca="1">SUMIFS(CostTrack[[Value]:[Value]],CostTrack[[PA ID]:[PA ID]],$B41,CostTrack[[Vendor - Contract]:[Vendor - Contract]],$H41,CostTrack[[Holdback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41" s="504">
        <f ca="1">SUMIFS(CostTrack[[Value]:[Value]],CostTrack[[PA ID]:[PA ID]],$B41,CostTrack[[Vendor - Contract]:[Vendor - Contract]],$H41,CostTrack[[Holdback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166.55</v>
      </c>
      <c r="AG41" s="506">
        <f t="shared" ca="1" si="34"/>
        <v>166.55</v>
      </c>
      <c r="AI41" s="504">
        <f ca="1">SUMIFS(CostTrack[[Value]:[Value]],CostTrack[[PA ID]:[PA ID]],$B41,CostTrack[[Vendor - Contract]:[Vendor - Contract]],$H41,CostTrack[[Holdback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41" s="504">
        <f ca="1">SUMIFS(CostTrack[[Value]:[Value]],CostTrack[[PA ID]:[PA ID]],$B41,CostTrack[[Vendor - Contract]:[Vendor - Contract]],$H41,CostTrack[[Holdback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41" s="504">
        <f ca="1">SUMIFS(CostTrack[[Value]:[Value]],CostTrack[[PA ID]:[PA ID]],$B41,CostTrack[[Vendor - Contract]:[Vendor - Contract]],$H41,CostTrack[[Holdback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41" s="504">
        <f ca="1">SUMIFS(CostTrack[[Value]:[Value]],CostTrack[[PA ID]:[PA ID]],$B41,CostTrack[[Vendor - Contract]:[Vendor - Contract]],$H41,CostTrack[[Holdback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41" s="504">
        <f ca="1">SUMIFS(CostTrack[[Value]:[Value]],CostTrack[[PA ID]:[PA ID]],$B41,CostTrack[[Vendor - Contract]:[Vendor - Contract]],$H41,CostTrack[[Holdback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41" s="504">
        <f ca="1">SUMIFS(CostTrack[[Value]:[Value]],CostTrack[[PA ID]:[PA ID]],$B41,CostTrack[[Vendor - Contract]:[Vendor - Contract]],$H41,CostTrack[[Holdback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41" s="504">
        <f ca="1">SUMIFS(CostTrack[[Value]:[Value]],CostTrack[[PA ID]:[PA ID]],$B41,CostTrack[[Vendor - Contract]:[Vendor - Contract]],$H41,CostTrack[[Holdback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41" s="504">
        <f ca="1">SUMIFS(CostTrack[[Value]:[Value]],CostTrack[[PA ID]:[PA ID]],$B41,CostTrack[[Vendor - Contract]:[Vendor - Contract]],$H41,CostTrack[[Holdback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41" s="504">
        <f ca="1">SUMIFS(CostTrack[[Value]:[Value]],CostTrack[[PA ID]:[PA ID]],$B41,CostTrack[[Vendor - Contract]:[Vendor - Contract]],$H41,CostTrack[[Holdback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41" s="504">
        <f ca="1">SUMIFS(CostTrack[[Value]:[Value]],CostTrack[[PA ID]:[PA ID]],$B41,CostTrack[[Vendor - Contract]:[Vendor - Contract]],$H41,CostTrack[[Holdback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41" s="504">
        <f ca="1">SUMIFS(CostTrack[[Value]:[Value]],CostTrack[[PA ID]:[PA ID]],$B41,CostTrack[[Vendor - Contract]:[Vendor - Contract]],$H41,CostTrack[[Holdback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41" s="504">
        <f ca="1">SUMIFS(CostTrack[[Value]:[Value]],CostTrack[[PA ID]:[PA ID]],$B41,CostTrack[[Vendor - Contract]:[Vendor - Contract]],$H41,CostTrack[[Holdback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41" s="512">
        <f t="shared" ca="1" si="35"/>
        <v>0</v>
      </c>
      <c r="AW41" s="504">
        <f ca="1">SUMIFS(CostTrack[[Value]:[Value]],CostTrack[[PA ID]:[PA ID]],$B41,CostTrack[[Vendor - Contract]:[Vendor - Contract]],$H41,CostTrack[[Holdback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41" s="504">
        <f ca="1">SUMIFS(CostTrack[[Value]:[Value]],CostTrack[[PA ID]:[PA ID]],$B41,CostTrack[[Vendor - Contract]:[Vendor - Contract]],$H41,CostTrack[[Holdback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41" s="504">
        <f ca="1">SUMIFS(CostTrack[[Value]:[Value]],CostTrack[[PA ID]:[PA ID]],$B41,CostTrack[[Vendor - Contract]:[Vendor - Contract]],$H41,CostTrack[[Holdback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41" s="504">
        <f ca="1">SUMIFS(CostTrack[[Value]:[Value]],CostTrack[[PA ID]:[PA ID]],$B41,CostTrack[[Vendor - Contract]:[Vendor - Contract]],$H41,CostTrack[[Holdback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41" s="504">
        <f ca="1">SUMIFS(CostTrack[[Value]:[Value]],CostTrack[[PA ID]:[PA ID]],$B41,CostTrack[[Vendor - Contract]:[Vendor - Contract]],$H41,CostTrack[[Holdback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41" s="504">
        <f ca="1">SUMIFS(CostTrack[[Value]:[Value]],CostTrack[[PA ID]:[PA ID]],$B41,CostTrack[[Vendor - Contract]:[Vendor - Contract]],$H41,CostTrack[[Holdback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41" s="504">
        <f ca="1">SUMIFS(CostTrack[[Value]:[Value]],CostTrack[[PA ID]:[PA ID]],$B41,CostTrack[[Vendor - Contract]:[Vendor - Contract]],$H41,CostTrack[[Holdback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41" s="504">
        <f ca="1">SUMIFS(CostTrack[[Value]:[Value]],CostTrack[[PA ID]:[PA ID]],$B41,CostTrack[[Vendor - Contract]:[Vendor - Contract]],$H41,CostTrack[[Holdback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41" s="504">
        <f ca="1">SUMIFS(CostTrack[[Value]:[Value]],CostTrack[[PA ID]:[PA ID]],$B41,CostTrack[[Vendor - Contract]:[Vendor - Contract]],$H41,CostTrack[[Holdback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41" s="504">
        <f ca="1">SUMIFS(CostTrack[[Value]:[Value]],CostTrack[[PA ID]:[PA ID]],$B41,CostTrack[[Vendor - Contract]:[Vendor - Contract]],$H41,CostTrack[[Holdback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41" s="504">
        <f ca="1">SUMIFS(CostTrack[[Value]:[Value]],CostTrack[[PA ID]:[PA ID]],$B41,CostTrack[[Vendor - Contract]:[Vendor - Contract]],$H41,CostTrack[[Holdback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41" s="504">
        <f ca="1">SUMIFS(CostTrack[[Value]:[Value]],CostTrack[[PA ID]:[PA ID]],$B41,CostTrack[[Vendor - Contract]:[Vendor - Contract]],$H41,CostTrack[[Holdback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41" s="512">
        <f t="shared" ca="1" si="36"/>
        <v>0</v>
      </c>
      <c r="BK41" s="504">
        <f ca="1">SUMIFS(CostTrack[[Value]:[Value]],CostTrack[[PA ID]:[PA ID]],$B41,CostTrack[[Vendor - Contract]:[Vendor - Contract]],$H41,CostTrack[[Holdback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41" s="504">
        <f ca="1">SUMIFS(CostTrack[[Value]:[Value]],CostTrack[[PA ID]:[PA ID]],$B41,CostTrack[[Vendor - Contract]:[Vendor - Contract]],$H41,CostTrack[[Holdback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41" s="504">
        <f ca="1">SUMIFS(CostTrack[[Value]:[Value]],CostTrack[[PA ID]:[PA ID]],$B41,CostTrack[[Vendor - Contract]:[Vendor - Contract]],$H41,CostTrack[[Holdback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41" s="504">
        <f ca="1">SUMIFS(CostTrack[[Value]:[Value]],CostTrack[[PA ID]:[PA ID]],$B41,CostTrack[[Vendor - Contract]:[Vendor - Contract]],$H41,CostTrack[[Holdback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41" s="504">
        <f ca="1">SUMIFS(CostTrack[[Value]:[Value]],CostTrack[[PA ID]:[PA ID]],$B41,CostTrack[[Vendor - Contract]:[Vendor - Contract]],$H41,CostTrack[[Holdback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41" s="504">
        <f ca="1">SUMIFS(CostTrack[[Value]:[Value]],CostTrack[[PA ID]:[PA ID]],$B41,CostTrack[[Vendor - Contract]:[Vendor - Contract]],$H41,CostTrack[[Holdback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41" s="504">
        <f ca="1">SUMIFS(CostTrack[[Value]:[Value]],CostTrack[[PA ID]:[PA ID]],$B41,CostTrack[[Vendor - Contract]:[Vendor - Contract]],$H41,CostTrack[[Holdback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41" s="504">
        <f ca="1">SUMIFS(CostTrack[[Value]:[Value]],CostTrack[[PA ID]:[PA ID]],$B41,CostTrack[[Vendor - Contract]:[Vendor - Contract]],$H41,CostTrack[[Holdback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41" s="504">
        <f ca="1">SUMIFS(CostTrack[[Value]:[Value]],CostTrack[[PA ID]:[PA ID]],$B41,CostTrack[[Vendor - Contract]:[Vendor - Contract]],$H41,CostTrack[[Holdback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41" s="504">
        <f ca="1">SUMIFS(CostTrack[[Value]:[Value]],CostTrack[[PA ID]:[PA ID]],$B41,CostTrack[[Vendor - Contract]:[Vendor - Contract]],$H41,CostTrack[[Holdback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41" s="504">
        <f ca="1">SUMIFS(CostTrack[[Value]:[Value]],CostTrack[[PA ID]:[PA ID]],$B41,CostTrack[[Vendor - Contract]:[Vendor - Contract]],$H41,CostTrack[[Holdback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41" s="504">
        <f ca="1">SUMIFS(CostTrack[[Value]:[Value]],CostTrack[[PA ID]:[PA ID]],$B41,CostTrack[[Vendor - Contract]:[Vendor - Contract]],$H41,CostTrack[[Holdback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41" s="512">
        <f t="shared" ca="1" si="37"/>
        <v>0</v>
      </c>
      <c r="BY41" s="504">
        <f ca="1">SUMIFS(CostTrack[[Value]:[Value]],CostTrack[[PA ID]:[PA ID]],$B41,CostTrack[[Vendor - Contract]:[Vendor - Contract]],$H41,CostTrack[[Holdback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41" s="504">
        <f ca="1">SUMIFS(CostTrack[[Value]:[Value]],CostTrack[[PA ID]:[PA ID]],$B41,CostTrack[[Vendor - Contract]:[Vendor - Contract]],$H41,CostTrack[[Holdback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41" s="504">
        <f ca="1">SUMIFS(CostTrack[[Value]:[Value]],CostTrack[[PA ID]:[PA ID]],$B41,CostTrack[[Vendor - Contract]:[Vendor - Contract]],$H41,CostTrack[[Holdback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41" s="504">
        <f ca="1">SUMIFS(CostTrack[[Value]:[Value]],CostTrack[[PA ID]:[PA ID]],$B41,CostTrack[[Vendor - Contract]:[Vendor - Contract]],$H41,CostTrack[[Holdback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41" s="504">
        <f ca="1">SUMIFS(CostTrack[[Value]:[Value]],CostTrack[[PA ID]:[PA ID]],$B41,CostTrack[[Vendor - Contract]:[Vendor - Contract]],$H41,CostTrack[[Holdback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41" s="504">
        <f ca="1">SUMIFS(CostTrack[[Value]:[Value]],CostTrack[[PA ID]:[PA ID]],$B41,CostTrack[[Vendor - Contract]:[Vendor - Contract]],$H41,CostTrack[[Holdback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41" s="504">
        <f ca="1">SUMIFS(CostTrack[[Value]:[Value]],CostTrack[[PA ID]:[PA ID]],$B41,CostTrack[[Vendor - Contract]:[Vendor - Contract]],$H41,CostTrack[[Holdback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41" s="504">
        <f ca="1">SUMIFS(CostTrack[[Value]:[Value]],CostTrack[[PA ID]:[PA ID]],$B41,CostTrack[[Vendor - Contract]:[Vendor - Contract]],$H41,CostTrack[[Holdback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41" s="504">
        <f ca="1">SUMIFS(CostTrack[[Value]:[Value]],CostTrack[[PA ID]:[PA ID]],$B41,CostTrack[[Vendor - Contract]:[Vendor - Contract]],$H41,CostTrack[[Holdback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41" s="504">
        <f ca="1">SUMIFS(CostTrack[[Value]:[Value]],CostTrack[[PA ID]:[PA ID]],$B41,CostTrack[[Vendor - Contract]:[Vendor - Contract]],$H41,CostTrack[[Holdback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41" s="504">
        <f ca="1">SUMIFS(CostTrack[[Value]:[Value]],CostTrack[[PA ID]:[PA ID]],$B41,CostTrack[[Vendor - Contract]:[Vendor - Contract]],$H41,CostTrack[[Holdback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41" s="504">
        <f ca="1">SUMIFS(CostTrack[[Value]:[Value]],CostTrack[[PA ID]:[PA ID]],$B41,CostTrack[[Vendor - Contract]:[Vendor - Contract]],$H41,CostTrack[[Holdback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41" s="512">
        <f t="shared" ca="1" si="38"/>
        <v>0</v>
      </c>
      <c r="CM41" s="504">
        <f ca="1">SUMIFS(CostTrack[[Value]:[Value]],CostTrack[[PA ID]:[PA ID]],$B41,CostTrack[[Vendor - Contract]:[Vendor - Contract]],$H41,CostTrack[[Holdback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41" s="504">
        <f ca="1">SUMIFS(CostTrack[[Value]:[Value]],CostTrack[[PA ID]:[PA ID]],$B41,CostTrack[[Vendor - Contract]:[Vendor - Contract]],$H41,CostTrack[[Holdback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41" s="504">
        <f ca="1">SUMIFS(CostTrack[[Value]:[Value]],CostTrack[[PA ID]:[PA ID]],$B41,CostTrack[[Vendor - Contract]:[Vendor - Contract]],$H41,CostTrack[[Holdback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41" s="504">
        <f ca="1">SUMIFS(CostTrack[[Value]:[Value]],CostTrack[[PA ID]:[PA ID]],$B41,CostTrack[[Vendor - Contract]:[Vendor - Contract]],$H41,CostTrack[[Holdback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41" s="504">
        <f ca="1">SUMIFS(CostTrack[[Value]:[Value]],CostTrack[[PA ID]:[PA ID]],$B41,CostTrack[[Vendor - Contract]:[Vendor - Contract]],$H41,CostTrack[[Holdback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41" s="504">
        <f ca="1">SUMIFS(CostTrack[[Value]:[Value]],CostTrack[[PA ID]:[PA ID]],$B41,CostTrack[[Vendor - Contract]:[Vendor - Contract]],$H41,CostTrack[[Holdback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41" s="504">
        <f ca="1">SUMIFS(CostTrack[[Value]:[Value]],CostTrack[[PA ID]:[PA ID]],$B41,CostTrack[[Vendor - Contract]:[Vendor - Contract]],$H41,CostTrack[[Holdback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41" s="504">
        <f ca="1">SUMIFS(CostTrack[[Value]:[Value]],CostTrack[[PA ID]:[PA ID]],$B41,CostTrack[[Vendor - Contract]:[Vendor - Contract]],$H41,CostTrack[[Holdback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41" s="504">
        <f ca="1">SUMIFS(CostTrack[[Value]:[Value]],CostTrack[[PA ID]:[PA ID]],$B41,CostTrack[[Vendor - Contract]:[Vendor - Contract]],$H41,CostTrack[[Holdback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41" s="504">
        <f ca="1">SUMIFS(CostTrack[[Value]:[Value]],CostTrack[[PA ID]:[PA ID]],$B41,CostTrack[[Vendor - Contract]:[Vendor - Contract]],$H41,CostTrack[[Holdback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41" s="504">
        <f ca="1">SUMIFS(CostTrack[[Value]:[Value]],CostTrack[[PA ID]:[PA ID]],$B41,CostTrack[[Vendor - Contract]:[Vendor - Contract]],$H41,CostTrack[[Holdback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41" s="504">
        <f ca="1">SUMIFS(CostTrack[[Value]:[Value]],CostTrack[[PA ID]:[PA ID]],$B41,CostTrack[[Vendor - Contract]:[Vendor - Contract]],$H41,CostTrack[[Holdback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41" s="512">
        <f t="shared" ca="1" si="39"/>
        <v>0</v>
      </c>
      <c r="DA41" s="504">
        <f ca="1">SUMIFS(CostTrack[[Value]:[Value]],CostTrack[[PA ID]:[PA ID]],$B41,CostTrack[[Vendor - Contract]:[Vendor - Contract]],$H41,CostTrack[[Holdback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41" s="504">
        <f ca="1">SUMIFS(CostTrack[[Value]:[Value]],CostTrack[[PA ID]:[PA ID]],$B41,CostTrack[[Vendor - Contract]:[Vendor - Contract]],$H41,CostTrack[[Holdback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41" s="504">
        <f ca="1">SUMIFS(CostTrack[[Value]:[Value]],CostTrack[[PA ID]:[PA ID]],$B41,CostTrack[[Vendor - Contract]:[Vendor - Contract]],$H41,CostTrack[[Holdback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41" s="504">
        <f ca="1">SUMIFS(CostTrack[[Value]:[Value]],CostTrack[[PA ID]:[PA ID]],$B41,CostTrack[[Vendor - Contract]:[Vendor - Contract]],$H41,CostTrack[[Holdback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41" s="504">
        <f ca="1">SUMIFS(CostTrack[[Value]:[Value]],CostTrack[[PA ID]:[PA ID]],$B41,CostTrack[[Vendor - Contract]:[Vendor - Contract]],$H41,CostTrack[[Holdback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41" s="504">
        <f ca="1">SUMIFS(CostTrack[[Value]:[Value]],CostTrack[[PA ID]:[PA ID]],$B41,CostTrack[[Vendor - Contract]:[Vendor - Contract]],$H41,CostTrack[[Holdback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41" s="504">
        <f ca="1">SUMIFS(CostTrack[[Value]:[Value]],CostTrack[[PA ID]:[PA ID]],$B41,CostTrack[[Vendor - Contract]:[Vendor - Contract]],$H41,CostTrack[[Holdback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41" s="504">
        <f ca="1">SUMIFS(CostTrack[[Value]:[Value]],CostTrack[[PA ID]:[PA ID]],$B41,CostTrack[[Vendor - Contract]:[Vendor - Contract]],$H41,CostTrack[[Holdback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41" s="504">
        <f ca="1">SUMIFS(CostTrack[[Value]:[Value]],CostTrack[[PA ID]:[PA ID]],$B41,CostTrack[[Vendor - Contract]:[Vendor - Contract]],$H41,CostTrack[[Holdback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41" s="504">
        <f ca="1">SUMIFS(CostTrack[[Value]:[Value]],CostTrack[[PA ID]:[PA ID]],$B41,CostTrack[[Vendor - Contract]:[Vendor - Contract]],$H41,CostTrack[[Holdback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41" s="504">
        <f ca="1">SUMIFS(CostTrack[[Value]:[Value]],CostTrack[[PA ID]:[PA ID]],$B41,CostTrack[[Vendor - Contract]:[Vendor - Contract]],$H41,CostTrack[[Holdback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41" s="504">
        <f ca="1">SUMIFS(CostTrack[[Value]:[Value]],CostTrack[[PA ID]:[PA ID]],$B41,CostTrack[[Vendor - Contract]:[Vendor - Contract]],$H41,CostTrack[[Holdback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41" s="512">
        <f t="shared" ca="1" si="40"/>
        <v>0</v>
      </c>
      <c r="DO41" s="504">
        <f ca="1">SUMIFS(CostTrack[[Value]:[Value]],CostTrack[[PA ID]:[PA ID]],$B41,CostTrack[[Vendor - Contract]:[Vendor - Contract]],$H41,CostTrack[[Holdback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41" s="504">
        <f ca="1">SUMIFS(CostTrack[[Value]:[Value]],CostTrack[[PA ID]:[PA ID]],$B41,CostTrack[[Vendor - Contract]:[Vendor - Contract]],$H41,CostTrack[[Holdback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41" s="504">
        <f ca="1">SUMIFS(CostTrack[[Value]:[Value]],CostTrack[[PA ID]:[PA ID]],$B41,CostTrack[[Vendor - Contract]:[Vendor - Contract]],$H41,CostTrack[[Holdback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41" s="504">
        <f ca="1">SUMIFS(CostTrack[[Value]:[Value]],CostTrack[[PA ID]:[PA ID]],$B41,CostTrack[[Vendor - Contract]:[Vendor - Contract]],$H41,CostTrack[[Holdback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41" s="504">
        <f ca="1">SUMIFS(CostTrack[[Value]:[Value]],CostTrack[[PA ID]:[PA ID]],$B41,CostTrack[[Vendor - Contract]:[Vendor - Contract]],$H41,CostTrack[[Holdback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41" s="504">
        <f ca="1">SUMIFS(CostTrack[[Value]:[Value]],CostTrack[[PA ID]:[PA ID]],$B41,CostTrack[[Vendor - Contract]:[Vendor - Contract]],$H41,CostTrack[[Holdback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41" s="504">
        <f ca="1">SUMIFS(CostTrack[[Value]:[Value]],CostTrack[[PA ID]:[PA ID]],$B41,CostTrack[[Vendor - Contract]:[Vendor - Contract]],$H41,CostTrack[[Holdback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41" s="504">
        <f ca="1">SUMIFS(CostTrack[[Value]:[Value]],CostTrack[[PA ID]:[PA ID]],$B41,CostTrack[[Vendor - Contract]:[Vendor - Contract]],$H41,CostTrack[[Holdback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41" s="504">
        <f ca="1">SUMIFS(CostTrack[[Value]:[Value]],CostTrack[[PA ID]:[PA ID]],$B41,CostTrack[[Vendor - Contract]:[Vendor - Contract]],$H41,CostTrack[[Holdback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41" s="504">
        <f ca="1">SUMIFS(CostTrack[[Value]:[Value]],CostTrack[[PA ID]:[PA ID]],$B41,CostTrack[[Vendor - Contract]:[Vendor - Contract]],$H41,CostTrack[[Holdback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41" s="504">
        <f ca="1">SUMIFS(CostTrack[[Value]:[Value]],CostTrack[[PA ID]:[PA ID]],$B41,CostTrack[[Vendor - Contract]:[Vendor - Contract]],$H41,CostTrack[[Holdback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41" s="504">
        <f ca="1">SUMIFS(CostTrack[[Value]:[Value]],CostTrack[[PA ID]:[PA ID]],$B41,CostTrack[[Vendor - Contract]:[Vendor - Contract]],$H41,CostTrack[[Holdback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41" s="512">
        <f t="shared" ca="1" si="41"/>
        <v>0</v>
      </c>
      <c r="EC41" s="504">
        <f ca="1">SUMIFS(CostTrack[[Value]:[Value]],CostTrack[[PA ID]:[PA ID]],$B41,CostTrack[[Vendor - Contract]:[Vendor - Contract]],$H41,CostTrack[[Holdback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41" s="505"/>
      <c r="EE41" s="505"/>
      <c r="EF41" s="505"/>
      <c r="EG41" s="505"/>
      <c r="EH41" s="505"/>
      <c r="EI41" s="505"/>
      <c r="EJ41" s="505"/>
      <c r="EK41" s="505"/>
      <c r="EL41" s="505"/>
      <c r="EM41" s="505"/>
      <c r="EN41" s="505"/>
      <c r="EO41" s="512">
        <f t="shared" ca="1" si="42"/>
        <v>0</v>
      </c>
      <c r="EQ41" s="505"/>
      <c r="ER41" s="505"/>
      <c r="ES41" s="505"/>
      <c r="ET41" s="505"/>
      <c r="EU41" s="505"/>
      <c r="EV41" s="505"/>
      <c r="EW41" s="505"/>
      <c r="EX41" s="505"/>
      <c r="EY41" s="505"/>
      <c r="EZ41" s="505"/>
      <c r="FA41" s="505"/>
      <c r="FB41" s="505"/>
      <c r="FC41" s="512">
        <f t="shared" si="43"/>
        <v>0</v>
      </c>
      <c r="FE41" s="505"/>
      <c r="FF41" s="505"/>
      <c r="FG41" s="505"/>
      <c r="FH41" s="505"/>
      <c r="FI41" s="505"/>
      <c r="FJ41" s="505"/>
      <c r="FK41" s="505"/>
      <c r="FL41" s="505"/>
      <c r="FM41" s="505"/>
      <c r="FN41" s="505"/>
      <c r="FO41" s="505"/>
      <c r="FP41" s="505"/>
      <c r="FQ41" s="512">
        <f t="shared" si="44"/>
        <v>0</v>
      </c>
      <c r="FS41" s="504">
        <f t="shared" ca="1" si="45"/>
        <v>166.55</v>
      </c>
    </row>
    <row r="42" spans="1:176">
      <c r="A42" s="216">
        <v>35</v>
      </c>
      <c r="B42" s="219" t="str">
        <f ca="1">INDEX(EAC[PA ID],MATCH($A42,EAC[Row],0))</f>
        <v>300.040.F1</v>
      </c>
      <c r="C42" s="218" t="str">
        <f ca="1">INDEX(EAC[Primary Category],MATCH($A42,EAC[Row],0))</f>
        <v>Construction</v>
      </c>
      <c r="D42" s="218" t="str">
        <f ca="1">INDEX(EAC[Secondary Category],MATCH($A42,EAC[Row],0))</f>
        <v>Other Contractor</v>
      </c>
      <c r="E42" s="109" t="str">
        <f ca="1">INDEX(EAC[Phase / Subproject],MATCH($A42,EAC[Row],0))</f>
        <v>--</v>
      </c>
      <c r="F42" s="109" t="str">
        <f ca="1">INDEX(EAC[Phase / Subproject 2],MATCH($A42,EAC[Row],0))</f>
        <v>--</v>
      </c>
      <c r="G42" s="109" t="str">
        <f ca="1">INDEX(EAC[Funding Source],MATCH($A42,EAC[Row],0))</f>
        <v>P-002360</v>
      </c>
      <c r="H42" s="146" t="str">
        <f ca="1">INDEX(EAC[Vendor / Org. with Contract ID],MATCH($A42,EAC[Row],0))</f>
        <v>Future / Not Awarded</v>
      </c>
      <c r="I42" s="502">
        <f ca="1">INDEX(EAC[Estimate At Completion],MATCH($A42,EAC[Row],0))</f>
        <v>0</v>
      </c>
      <c r="J42" s="502">
        <f ca="1">SUMIFS(CostTrack[Value],CostTrack[Vendor - Contract],$H42,CostTrack[PA ID],$B42,CostTrack[Holdback (Y/N/R)],"&lt;&gt;Release",CostTrack[Status],"Approved")</f>
        <v>0</v>
      </c>
      <c r="K42" s="503">
        <f t="shared" ca="1" si="14"/>
        <v>0</v>
      </c>
      <c r="M42" s="504">
        <f t="shared" ca="1" si="15"/>
        <v>0</v>
      </c>
      <c r="O42" s="504">
        <f t="shared" ca="1" si="31"/>
        <v>0</v>
      </c>
      <c r="P42" s="504">
        <f t="array" aca="1" ref="P42" ca="1">SUM($U42:$FQ42*_xlfn.ISFORMULA($U42:$FQ42)*ISNUMBER($U$7:$FQ$7)*--(INDEX($U$6:$FQ$6,N(IF({1},COLUMN($U$6:$FQ$6)-COLUMN($T$6)))-MOD(N(IF({1},COLUMN($U$6:$FQ$6)-COLUMN($U$6))),14))="Current Fiscal"))</f>
        <v>0</v>
      </c>
      <c r="Q42" s="504">
        <f t="array" aca="1" ref="Q42" ca="1">SUM($U42:$FQ42*NOT(_xlfn.ISFORMULA($U42:$FQ42))*ISNUMBER($U$7:$FQ$7)*--(INDEX($U$6:$FQ$6,N(IF({1},COLUMN($U$6:$FQ$6)-COLUMN($T$6)))-MOD(N(IF({1},COLUMN($U$6:$FQ$6)-COLUMN($U$6))),14))="Current Fiscal"))</f>
        <v>0</v>
      </c>
      <c r="R42" s="504">
        <f t="shared" ca="1" si="32"/>
        <v>0</v>
      </c>
      <c r="S42" s="504">
        <f t="shared" ca="1" si="33"/>
        <v>0</v>
      </c>
      <c r="U42" s="504">
        <f ca="1">SUMIFS(CostTrack[[Value]:[Value]],CostTrack[[PA ID]:[PA ID]],$B42,CostTrack[[Vendor - Contract]:[Vendor - Contract]],$H42,CostTrack[[Holdback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42" s="504">
        <f ca="1">SUMIFS(CostTrack[[Value]:[Value]],CostTrack[[PA ID]:[PA ID]],$B42,CostTrack[[Vendor - Contract]:[Vendor - Contract]],$H42,CostTrack[[Holdback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42" s="504">
        <f ca="1">SUMIFS(CostTrack[[Value]:[Value]],CostTrack[[PA ID]:[PA ID]],$B42,CostTrack[[Vendor - Contract]:[Vendor - Contract]],$H42,CostTrack[[Holdback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42" s="504">
        <f ca="1">SUMIFS(CostTrack[[Value]:[Value]],CostTrack[[PA ID]:[PA ID]],$B42,CostTrack[[Vendor - Contract]:[Vendor - Contract]],$H42,CostTrack[[Holdback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42" s="504">
        <f ca="1">SUMIFS(CostTrack[[Value]:[Value]],CostTrack[[PA ID]:[PA ID]],$B42,CostTrack[[Vendor - Contract]:[Vendor - Contract]],$H42,CostTrack[[Holdback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42" s="504">
        <f ca="1">SUMIFS(CostTrack[[Value]:[Value]],CostTrack[[PA ID]:[PA ID]],$B42,CostTrack[[Vendor - Contract]:[Vendor - Contract]],$H42,CostTrack[[Holdback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42" s="504">
        <f ca="1">SUMIFS(CostTrack[[Value]:[Value]],CostTrack[[PA ID]:[PA ID]],$B42,CostTrack[[Vendor - Contract]:[Vendor - Contract]],$H42,CostTrack[[Holdback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42" s="504">
        <f ca="1">SUMIFS(CostTrack[[Value]:[Value]],CostTrack[[PA ID]:[PA ID]],$B42,CostTrack[[Vendor - Contract]:[Vendor - Contract]],$H42,CostTrack[[Holdback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42" s="504">
        <f ca="1">SUMIFS(CostTrack[[Value]:[Value]],CostTrack[[PA ID]:[PA ID]],$B42,CostTrack[[Vendor - Contract]:[Vendor - Contract]],$H42,CostTrack[[Holdback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42" s="504">
        <f ca="1">SUMIFS(CostTrack[[Value]:[Value]],CostTrack[[PA ID]:[PA ID]],$B42,CostTrack[[Vendor - Contract]:[Vendor - Contract]],$H42,CostTrack[[Holdback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42" s="504">
        <f ca="1">SUMIFS(CostTrack[[Value]:[Value]],CostTrack[[PA ID]:[PA ID]],$B42,CostTrack[[Vendor - Contract]:[Vendor - Contract]],$H42,CostTrack[[Holdback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42" s="504">
        <f ca="1">SUMIFS(CostTrack[[Value]:[Value]],CostTrack[[PA ID]:[PA ID]],$B42,CostTrack[[Vendor - Contract]:[Vendor - Contract]],$H42,CostTrack[[Holdback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42" s="506">
        <f t="shared" ca="1" si="34"/>
        <v>0</v>
      </c>
      <c r="AI42" s="504">
        <f ca="1">SUMIFS(CostTrack[[Value]:[Value]],CostTrack[[PA ID]:[PA ID]],$B42,CostTrack[[Vendor - Contract]:[Vendor - Contract]],$H42,CostTrack[[Holdback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42" s="504">
        <f ca="1">SUMIFS(CostTrack[[Value]:[Value]],CostTrack[[PA ID]:[PA ID]],$B42,CostTrack[[Vendor - Contract]:[Vendor - Contract]],$H42,CostTrack[[Holdback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42" s="504">
        <f ca="1">SUMIFS(CostTrack[[Value]:[Value]],CostTrack[[PA ID]:[PA ID]],$B42,CostTrack[[Vendor - Contract]:[Vendor - Contract]],$H42,CostTrack[[Holdback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42" s="504">
        <f ca="1">SUMIFS(CostTrack[[Value]:[Value]],CostTrack[[PA ID]:[PA ID]],$B42,CostTrack[[Vendor - Contract]:[Vendor - Contract]],$H42,CostTrack[[Holdback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42" s="504">
        <f ca="1">SUMIFS(CostTrack[[Value]:[Value]],CostTrack[[PA ID]:[PA ID]],$B42,CostTrack[[Vendor - Contract]:[Vendor - Contract]],$H42,CostTrack[[Holdback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42" s="504">
        <f ca="1">SUMIFS(CostTrack[[Value]:[Value]],CostTrack[[PA ID]:[PA ID]],$B42,CostTrack[[Vendor - Contract]:[Vendor - Contract]],$H42,CostTrack[[Holdback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42" s="504">
        <f ca="1">SUMIFS(CostTrack[[Value]:[Value]],CostTrack[[PA ID]:[PA ID]],$B42,CostTrack[[Vendor - Contract]:[Vendor - Contract]],$H42,CostTrack[[Holdback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42" s="504">
        <f ca="1">SUMIFS(CostTrack[[Value]:[Value]],CostTrack[[PA ID]:[PA ID]],$B42,CostTrack[[Vendor - Contract]:[Vendor - Contract]],$H42,CostTrack[[Holdback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42" s="504">
        <f ca="1">SUMIFS(CostTrack[[Value]:[Value]],CostTrack[[PA ID]:[PA ID]],$B42,CostTrack[[Vendor - Contract]:[Vendor - Contract]],$H42,CostTrack[[Holdback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42" s="504">
        <f ca="1">SUMIFS(CostTrack[[Value]:[Value]],CostTrack[[PA ID]:[PA ID]],$B42,CostTrack[[Vendor - Contract]:[Vendor - Contract]],$H42,CostTrack[[Holdback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42" s="504">
        <f ca="1">SUMIFS(CostTrack[[Value]:[Value]],CostTrack[[PA ID]:[PA ID]],$B42,CostTrack[[Vendor - Contract]:[Vendor - Contract]],$H42,CostTrack[[Holdback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42" s="504">
        <f ca="1">SUMIFS(CostTrack[[Value]:[Value]],CostTrack[[PA ID]:[PA ID]],$B42,CostTrack[[Vendor - Contract]:[Vendor - Contract]],$H42,CostTrack[[Holdback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42" s="512">
        <f t="shared" ca="1" si="35"/>
        <v>0</v>
      </c>
      <c r="AW42" s="504">
        <f ca="1">SUMIFS(CostTrack[[Value]:[Value]],CostTrack[[PA ID]:[PA ID]],$B42,CostTrack[[Vendor - Contract]:[Vendor - Contract]],$H42,CostTrack[[Holdback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42" s="504">
        <f ca="1">SUMIFS(CostTrack[[Value]:[Value]],CostTrack[[PA ID]:[PA ID]],$B42,CostTrack[[Vendor - Contract]:[Vendor - Contract]],$H42,CostTrack[[Holdback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42" s="504">
        <f ca="1">SUMIFS(CostTrack[[Value]:[Value]],CostTrack[[PA ID]:[PA ID]],$B42,CostTrack[[Vendor - Contract]:[Vendor - Contract]],$H42,CostTrack[[Holdback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42" s="504">
        <f ca="1">SUMIFS(CostTrack[[Value]:[Value]],CostTrack[[PA ID]:[PA ID]],$B42,CostTrack[[Vendor - Contract]:[Vendor - Contract]],$H42,CostTrack[[Holdback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42" s="504">
        <f ca="1">SUMIFS(CostTrack[[Value]:[Value]],CostTrack[[PA ID]:[PA ID]],$B42,CostTrack[[Vendor - Contract]:[Vendor - Contract]],$H42,CostTrack[[Holdback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42" s="504">
        <f ca="1">SUMIFS(CostTrack[[Value]:[Value]],CostTrack[[PA ID]:[PA ID]],$B42,CostTrack[[Vendor - Contract]:[Vendor - Contract]],$H42,CostTrack[[Holdback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42" s="504">
        <f ca="1">SUMIFS(CostTrack[[Value]:[Value]],CostTrack[[PA ID]:[PA ID]],$B42,CostTrack[[Vendor - Contract]:[Vendor - Contract]],$H42,CostTrack[[Holdback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42" s="504">
        <f ca="1">SUMIFS(CostTrack[[Value]:[Value]],CostTrack[[PA ID]:[PA ID]],$B42,CostTrack[[Vendor - Contract]:[Vendor - Contract]],$H42,CostTrack[[Holdback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42" s="504">
        <f ca="1">SUMIFS(CostTrack[[Value]:[Value]],CostTrack[[PA ID]:[PA ID]],$B42,CostTrack[[Vendor - Contract]:[Vendor - Contract]],$H42,CostTrack[[Holdback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42" s="504">
        <f ca="1">SUMIFS(CostTrack[[Value]:[Value]],CostTrack[[PA ID]:[PA ID]],$B42,CostTrack[[Vendor - Contract]:[Vendor - Contract]],$H42,CostTrack[[Holdback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42" s="504">
        <f ca="1">SUMIFS(CostTrack[[Value]:[Value]],CostTrack[[PA ID]:[PA ID]],$B42,CostTrack[[Vendor - Contract]:[Vendor - Contract]],$H42,CostTrack[[Holdback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42" s="504">
        <f ca="1">SUMIFS(CostTrack[[Value]:[Value]],CostTrack[[PA ID]:[PA ID]],$B42,CostTrack[[Vendor - Contract]:[Vendor - Contract]],$H42,CostTrack[[Holdback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42" s="512">
        <f t="shared" ca="1" si="36"/>
        <v>0</v>
      </c>
      <c r="BK42" s="504">
        <f ca="1">SUMIFS(CostTrack[[Value]:[Value]],CostTrack[[PA ID]:[PA ID]],$B42,CostTrack[[Vendor - Contract]:[Vendor - Contract]],$H42,CostTrack[[Holdback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42" s="504">
        <f ca="1">SUMIFS(CostTrack[[Value]:[Value]],CostTrack[[PA ID]:[PA ID]],$B42,CostTrack[[Vendor - Contract]:[Vendor - Contract]],$H42,CostTrack[[Holdback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42" s="504">
        <f ca="1">SUMIFS(CostTrack[[Value]:[Value]],CostTrack[[PA ID]:[PA ID]],$B42,CostTrack[[Vendor - Contract]:[Vendor - Contract]],$H42,CostTrack[[Holdback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42" s="504">
        <f ca="1">SUMIFS(CostTrack[[Value]:[Value]],CostTrack[[PA ID]:[PA ID]],$B42,CostTrack[[Vendor - Contract]:[Vendor - Contract]],$H42,CostTrack[[Holdback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42" s="504">
        <f ca="1">SUMIFS(CostTrack[[Value]:[Value]],CostTrack[[PA ID]:[PA ID]],$B42,CostTrack[[Vendor - Contract]:[Vendor - Contract]],$H42,CostTrack[[Holdback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42" s="504">
        <f ca="1">SUMIFS(CostTrack[[Value]:[Value]],CostTrack[[PA ID]:[PA ID]],$B42,CostTrack[[Vendor - Contract]:[Vendor - Contract]],$H42,CostTrack[[Holdback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42" s="504">
        <f ca="1">SUMIFS(CostTrack[[Value]:[Value]],CostTrack[[PA ID]:[PA ID]],$B42,CostTrack[[Vendor - Contract]:[Vendor - Contract]],$H42,CostTrack[[Holdback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42" s="504">
        <f ca="1">SUMIFS(CostTrack[[Value]:[Value]],CostTrack[[PA ID]:[PA ID]],$B42,CostTrack[[Vendor - Contract]:[Vendor - Contract]],$H42,CostTrack[[Holdback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42" s="504">
        <f ca="1">SUMIFS(CostTrack[[Value]:[Value]],CostTrack[[PA ID]:[PA ID]],$B42,CostTrack[[Vendor - Contract]:[Vendor - Contract]],$H42,CostTrack[[Holdback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42" s="504">
        <f ca="1">SUMIFS(CostTrack[[Value]:[Value]],CostTrack[[PA ID]:[PA ID]],$B42,CostTrack[[Vendor - Contract]:[Vendor - Contract]],$H42,CostTrack[[Holdback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42" s="504">
        <f ca="1">SUMIFS(CostTrack[[Value]:[Value]],CostTrack[[PA ID]:[PA ID]],$B42,CostTrack[[Vendor - Contract]:[Vendor - Contract]],$H42,CostTrack[[Holdback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42" s="504">
        <f ca="1">SUMIFS(CostTrack[[Value]:[Value]],CostTrack[[PA ID]:[PA ID]],$B42,CostTrack[[Vendor - Contract]:[Vendor - Contract]],$H42,CostTrack[[Holdback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42" s="512">
        <f t="shared" ca="1" si="37"/>
        <v>0</v>
      </c>
      <c r="BY42" s="504">
        <f ca="1">SUMIFS(CostTrack[[Value]:[Value]],CostTrack[[PA ID]:[PA ID]],$B42,CostTrack[[Vendor - Contract]:[Vendor - Contract]],$H42,CostTrack[[Holdback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42" s="504">
        <f ca="1">SUMIFS(CostTrack[[Value]:[Value]],CostTrack[[PA ID]:[PA ID]],$B42,CostTrack[[Vendor - Contract]:[Vendor - Contract]],$H42,CostTrack[[Holdback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42" s="504">
        <f ca="1">SUMIFS(CostTrack[[Value]:[Value]],CostTrack[[PA ID]:[PA ID]],$B42,CostTrack[[Vendor - Contract]:[Vendor - Contract]],$H42,CostTrack[[Holdback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42" s="504">
        <f ca="1">SUMIFS(CostTrack[[Value]:[Value]],CostTrack[[PA ID]:[PA ID]],$B42,CostTrack[[Vendor - Contract]:[Vendor - Contract]],$H42,CostTrack[[Holdback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42" s="504">
        <f ca="1">SUMIFS(CostTrack[[Value]:[Value]],CostTrack[[PA ID]:[PA ID]],$B42,CostTrack[[Vendor - Contract]:[Vendor - Contract]],$H42,CostTrack[[Holdback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42" s="504">
        <f ca="1">SUMIFS(CostTrack[[Value]:[Value]],CostTrack[[PA ID]:[PA ID]],$B42,CostTrack[[Vendor - Contract]:[Vendor - Contract]],$H42,CostTrack[[Holdback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42" s="504">
        <f ca="1">SUMIFS(CostTrack[[Value]:[Value]],CostTrack[[PA ID]:[PA ID]],$B42,CostTrack[[Vendor - Contract]:[Vendor - Contract]],$H42,CostTrack[[Holdback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42" s="504">
        <f ca="1">SUMIFS(CostTrack[[Value]:[Value]],CostTrack[[PA ID]:[PA ID]],$B42,CostTrack[[Vendor - Contract]:[Vendor - Contract]],$H42,CostTrack[[Holdback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42" s="504">
        <f ca="1">SUMIFS(CostTrack[[Value]:[Value]],CostTrack[[PA ID]:[PA ID]],$B42,CostTrack[[Vendor - Contract]:[Vendor - Contract]],$H42,CostTrack[[Holdback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42" s="504">
        <f ca="1">SUMIFS(CostTrack[[Value]:[Value]],CostTrack[[PA ID]:[PA ID]],$B42,CostTrack[[Vendor - Contract]:[Vendor - Contract]],$H42,CostTrack[[Holdback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42" s="504">
        <f ca="1">SUMIFS(CostTrack[[Value]:[Value]],CostTrack[[PA ID]:[PA ID]],$B42,CostTrack[[Vendor - Contract]:[Vendor - Contract]],$H42,CostTrack[[Holdback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42" s="504">
        <f ca="1">SUMIFS(CostTrack[[Value]:[Value]],CostTrack[[PA ID]:[PA ID]],$B42,CostTrack[[Vendor - Contract]:[Vendor - Contract]],$H42,CostTrack[[Holdback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42" s="512">
        <f t="shared" ca="1" si="38"/>
        <v>0</v>
      </c>
      <c r="CM42" s="504">
        <f ca="1">SUMIFS(CostTrack[[Value]:[Value]],CostTrack[[PA ID]:[PA ID]],$B42,CostTrack[[Vendor - Contract]:[Vendor - Contract]],$H42,CostTrack[[Holdback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42" s="504">
        <f ca="1">SUMIFS(CostTrack[[Value]:[Value]],CostTrack[[PA ID]:[PA ID]],$B42,CostTrack[[Vendor - Contract]:[Vendor - Contract]],$H42,CostTrack[[Holdback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42" s="504">
        <f ca="1">SUMIFS(CostTrack[[Value]:[Value]],CostTrack[[PA ID]:[PA ID]],$B42,CostTrack[[Vendor - Contract]:[Vendor - Contract]],$H42,CostTrack[[Holdback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42" s="504">
        <f ca="1">SUMIFS(CostTrack[[Value]:[Value]],CostTrack[[PA ID]:[PA ID]],$B42,CostTrack[[Vendor - Contract]:[Vendor - Contract]],$H42,CostTrack[[Holdback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42" s="504">
        <f ca="1">SUMIFS(CostTrack[[Value]:[Value]],CostTrack[[PA ID]:[PA ID]],$B42,CostTrack[[Vendor - Contract]:[Vendor - Contract]],$H42,CostTrack[[Holdback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42" s="504">
        <f ca="1">SUMIFS(CostTrack[[Value]:[Value]],CostTrack[[PA ID]:[PA ID]],$B42,CostTrack[[Vendor - Contract]:[Vendor - Contract]],$H42,CostTrack[[Holdback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42" s="504">
        <f ca="1">SUMIFS(CostTrack[[Value]:[Value]],CostTrack[[PA ID]:[PA ID]],$B42,CostTrack[[Vendor - Contract]:[Vendor - Contract]],$H42,CostTrack[[Holdback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42" s="504">
        <f ca="1">SUMIFS(CostTrack[[Value]:[Value]],CostTrack[[PA ID]:[PA ID]],$B42,CostTrack[[Vendor - Contract]:[Vendor - Contract]],$H42,CostTrack[[Holdback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42" s="504">
        <f ca="1">SUMIFS(CostTrack[[Value]:[Value]],CostTrack[[PA ID]:[PA ID]],$B42,CostTrack[[Vendor - Contract]:[Vendor - Contract]],$H42,CostTrack[[Holdback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42" s="504">
        <f ca="1">SUMIFS(CostTrack[[Value]:[Value]],CostTrack[[PA ID]:[PA ID]],$B42,CostTrack[[Vendor - Contract]:[Vendor - Contract]],$H42,CostTrack[[Holdback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42" s="504">
        <f ca="1">SUMIFS(CostTrack[[Value]:[Value]],CostTrack[[PA ID]:[PA ID]],$B42,CostTrack[[Vendor - Contract]:[Vendor - Contract]],$H42,CostTrack[[Holdback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42" s="504">
        <f ca="1">SUMIFS(CostTrack[[Value]:[Value]],CostTrack[[PA ID]:[PA ID]],$B42,CostTrack[[Vendor - Contract]:[Vendor - Contract]],$H42,CostTrack[[Holdback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42" s="512">
        <f t="shared" ca="1" si="39"/>
        <v>0</v>
      </c>
      <c r="DA42" s="504">
        <f ca="1">SUMIFS(CostTrack[[Value]:[Value]],CostTrack[[PA ID]:[PA ID]],$B42,CostTrack[[Vendor - Contract]:[Vendor - Contract]],$H42,CostTrack[[Holdback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42" s="504">
        <f ca="1">SUMIFS(CostTrack[[Value]:[Value]],CostTrack[[PA ID]:[PA ID]],$B42,CostTrack[[Vendor - Contract]:[Vendor - Contract]],$H42,CostTrack[[Holdback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42" s="504">
        <f ca="1">SUMIFS(CostTrack[[Value]:[Value]],CostTrack[[PA ID]:[PA ID]],$B42,CostTrack[[Vendor - Contract]:[Vendor - Contract]],$H42,CostTrack[[Holdback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42" s="504">
        <f ca="1">SUMIFS(CostTrack[[Value]:[Value]],CostTrack[[PA ID]:[PA ID]],$B42,CostTrack[[Vendor - Contract]:[Vendor - Contract]],$H42,CostTrack[[Holdback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42" s="504">
        <f ca="1">SUMIFS(CostTrack[[Value]:[Value]],CostTrack[[PA ID]:[PA ID]],$B42,CostTrack[[Vendor - Contract]:[Vendor - Contract]],$H42,CostTrack[[Holdback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42" s="504">
        <f ca="1">SUMIFS(CostTrack[[Value]:[Value]],CostTrack[[PA ID]:[PA ID]],$B42,CostTrack[[Vendor - Contract]:[Vendor - Contract]],$H42,CostTrack[[Holdback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42" s="504">
        <f ca="1">SUMIFS(CostTrack[[Value]:[Value]],CostTrack[[PA ID]:[PA ID]],$B42,CostTrack[[Vendor - Contract]:[Vendor - Contract]],$H42,CostTrack[[Holdback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42" s="504">
        <f ca="1">SUMIFS(CostTrack[[Value]:[Value]],CostTrack[[PA ID]:[PA ID]],$B42,CostTrack[[Vendor - Contract]:[Vendor - Contract]],$H42,CostTrack[[Holdback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42" s="504">
        <f ca="1">SUMIFS(CostTrack[[Value]:[Value]],CostTrack[[PA ID]:[PA ID]],$B42,CostTrack[[Vendor - Contract]:[Vendor - Contract]],$H42,CostTrack[[Holdback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42" s="504">
        <f ca="1">SUMIFS(CostTrack[[Value]:[Value]],CostTrack[[PA ID]:[PA ID]],$B42,CostTrack[[Vendor - Contract]:[Vendor - Contract]],$H42,CostTrack[[Holdback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42" s="504">
        <f ca="1">SUMIFS(CostTrack[[Value]:[Value]],CostTrack[[PA ID]:[PA ID]],$B42,CostTrack[[Vendor - Contract]:[Vendor - Contract]],$H42,CostTrack[[Holdback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42" s="504">
        <f ca="1">SUMIFS(CostTrack[[Value]:[Value]],CostTrack[[PA ID]:[PA ID]],$B42,CostTrack[[Vendor - Contract]:[Vendor - Contract]],$H42,CostTrack[[Holdback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42" s="512">
        <f t="shared" ca="1" si="40"/>
        <v>0</v>
      </c>
      <c r="DO42" s="504">
        <f ca="1">SUMIFS(CostTrack[[Value]:[Value]],CostTrack[[PA ID]:[PA ID]],$B42,CostTrack[[Vendor - Contract]:[Vendor - Contract]],$H42,CostTrack[[Holdback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42" s="504">
        <f ca="1">SUMIFS(CostTrack[[Value]:[Value]],CostTrack[[PA ID]:[PA ID]],$B42,CostTrack[[Vendor - Contract]:[Vendor - Contract]],$H42,CostTrack[[Holdback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42" s="504">
        <f ca="1">SUMIFS(CostTrack[[Value]:[Value]],CostTrack[[PA ID]:[PA ID]],$B42,CostTrack[[Vendor - Contract]:[Vendor - Contract]],$H42,CostTrack[[Holdback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42" s="504">
        <f ca="1">SUMIFS(CostTrack[[Value]:[Value]],CostTrack[[PA ID]:[PA ID]],$B42,CostTrack[[Vendor - Contract]:[Vendor - Contract]],$H42,CostTrack[[Holdback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42" s="504">
        <f ca="1">SUMIFS(CostTrack[[Value]:[Value]],CostTrack[[PA ID]:[PA ID]],$B42,CostTrack[[Vendor - Contract]:[Vendor - Contract]],$H42,CostTrack[[Holdback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42" s="504">
        <f ca="1">SUMIFS(CostTrack[[Value]:[Value]],CostTrack[[PA ID]:[PA ID]],$B42,CostTrack[[Vendor - Contract]:[Vendor - Contract]],$H42,CostTrack[[Holdback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42" s="504">
        <f ca="1">SUMIFS(CostTrack[[Value]:[Value]],CostTrack[[PA ID]:[PA ID]],$B42,CostTrack[[Vendor - Contract]:[Vendor - Contract]],$H42,CostTrack[[Holdback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42" s="504">
        <f ca="1">SUMIFS(CostTrack[[Value]:[Value]],CostTrack[[PA ID]:[PA ID]],$B42,CostTrack[[Vendor - Contract]:[Vendor - Contract]],$H42,CostTrack[[Holdback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42" s="504">
        <f ca="1">SUMIFS(CostTrack[[Value]:[Value]],CostTrack[[PA ID]:[PA ID]],$B42,CostTrack[[Vendor - Contract]:[Vendor - Contract]],$H42,CostTrack[[Holdback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42" s="504">
        <f ca="1">SUMIFS(CostTrack[[Value]:[Value]],CostTrack[[PA ID]:[PA ID]],$B42,CostTrack[[Vendor - Contract]:[Vendor - Contract]],$H42,CostTrack[[Holdback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42" s="504">
        <f ca="1">SUMIFS(CostTrack[[Value]:[Value]],CostTrack[[PA ID]:[PA ID]],$B42,CostTrack[[Vendor - Contract]:[Vendor - Contract]],$H42,CostTrack[[Holdback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42" s="504">
        <f ca="1">SUMIFS(CostTrack[[Value]:[Value]],CostTrack[[PA ID]:[PA ID]],$B42,CostTrack[[Vendor - Contract]:[Vendor - Contract]],$H42,CostTrack[[Holdback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42" s="512">
        <f t="shared" ca="1" si="41"/>
        <v>0</v>
      </c>
      <c r="EC42" s="504">
        <f ca="1">SUMIFS(CostTrack[[Value]:[Value]],CostTrack[[PA ID]:[PA ID]],$B42,CostTrack[[Vendor - Contract]:[Vendor - Contract]],$H42,CostTrack[[Holdback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42" s="505"/>
      <c r="EE42" s="505"/>
      <c r="EF42" s="505"/>
      <c r="EG42" s="505"/>
      <c r="EH42" s="505"/>
      <c r="EI42" s="505"/>
      <c r="EJ42" s="505"/>
      <c r="EK42" s="505"/>
      <c r="EL42" s="505"/>
      <c r="EM42" s="505"/>
      <c r="EN42" s="505"/>
      <c r="EO42" s="512">
        <f t="shared" ca="1" si="42"/>
        <v>0</v>
      </c>
      <c r="EQ42" s="505"/>
      <c r="ER42" s="505"/>
      <c r="ES42" s="505"/>
      <c r="ET42" s="505"/>
      <c r="EU42" s="505"/>
      <c r="EV42" s="505"/>
      <c r="EW42" s="505"/>
      <c r="EX42" s="505"/>
      <c r="EY42" s="505"/>
      <c r="EZ42" s="505"/>
      <c r="FA42" s="505"/>
      <c r="FB42" s="505"/>
      <c r="FC42" s="512">
        <f t="shared" si="43"/>
        <v>0</v>
      </c>
      <c r="FE42" s="505"/>
      <c r="FF42" s="505"/>
      <c r="FG42" s="505"/>
      <c r="FH42" s="505"/>
      <c r="FI42" s="505"/>
      <c r="FJ42" s="505"/>
      <c r="FK42" s="505"/>
      <c r="FL42" s="505"/>
      <c r="FM42" s="505"/>
      <c r="FN42" s="505"/>
      <c r="FO42" s="505"/>
      <c r="FP42" s="505"/>
      <c r="FQ42" s="512">
        <f t="shared" si="44"/>
        <v>0</v>
      </c>
      <c r="FS42" s="504">
        <f t="shared" ca="1" si="45"/>
        <v>0</v>
      </c>
    </row>
    <row r="43" spans="1:176">
      <c r="A43" s="216">
        <v>36</v>
      </c>
      <c r="B43" s="219" t="str">
        <f ca="1">INDEX(EAC[PA ID],MATCH($A43,EAC[Row],0))</f>
        <v>300.020.F1</v>
      </c>
      <c r="C43" s="218" t="str">
        <f ca="1">INDEX(EAC[Primary Category],MATCH($A43,EAC[Row],0))</f>
        <v>Construction</v>
      </c>
      <c r="D43" s="218" t="str">
        <f ca="1">INDEX(EAC[Secondary Category],MATCH($A43,EAC[Row],0))</f>
        <v>Utilities</v>
      </c>
      <c r="E43" s="109" t="str">
        <f ca="1">INDEX(EAC[Phase / Subproject],MATCH($A43,EAC[Row],0))</f>
        <v>--</v>
      </c>
      <c r="F43" s="109" t="str">
        <f ca="1">INDEX(EAC[Phase / Subproject 2],MATCH($A43,EAC[Row],0))</f>
        <v>--</v>
      </c>
      <c r="G43" s="109" t="str">
        <f ca="1">INDEX(EAC[Funding Source],MATCH($A43,EAC[Row],0))</f>
        <v>P-002360</v>
      </c>
      <c r="H43" s="146" t="str">
        <f ca="1">INDEX(EAC[Vendor / Org. with Contract ID],MATCH($A43,EAC[Row],0))</f>
        <v>Future / Not Awarded</v>
      </c>
      <c r="I43" s="502">
        <f ca="1">INDEX(EAC[Estimate At Completion],MATCH($A43,EAC[Row],0))</f>
        <v>0</v>
      </c>
      <c r="J43" s="502">
        <f ca="1">SUMIFS(CostTrack[Value],CostTrack[Vendor - Contract],$H43,CostTrack[PA ID],$B43,CostTrack[Holdback (Y/N/R)],"&lt;&gt;Release",CostTrack[Status],"Approved")</f>
        <v>0</v>
      </c>
      <c r="K43" s="503">
        <f t="shared" ca="1" si="14"/>
        <v>0</v>
      </c>
      <c r="M43" s="504">
        <f t="shared" ca="1" si="15"/>
        <v>0</v>
      </c>
      <c r="O43" s="504">
        <f t="shared" ca="1" si="31"/>
        <v>0</v>
      </c>
      <c r="P43" s="504">
        <f t="array" aca="1" ref="P43" ca="1">SUM($U43:$FQ43*_xlfn.ISFORMULA($U43:$FQ43)*ISNUMBER($U$7:$FQ$7)*--(INDEX($U$6:$FQ$6,N(IF({1},COLUMN($U$6:$FQ$6)-COLUMN($T$6)))-MOD(N(IF({1},COLUMN($U$6:$FQ$6)-COLUMN($U$6))),14))="Current Fiscal"))</f>
        <v>0</v>
      </c>
      <c r="Q43" s="504">
        <f t="array" aca="1" ref="Q43" ca="1">SUM($U43:$FQ43*NOT(_xlfn.ISFORMULA($U43:$FQ43))*ISNUMBER($U$7:$FQ$7)*--(INDEX($U$6:$FQ$6,N(IF({1},COLUMN($U$6:$FQ$6)-COLUMN($T$6)))-MOD(N(IF({1},COLUMN($U$6:$FQ$6)-COLUMN($U$6))),14))="Current Fiscal"))</f>
        <v>0</v>
      </c>
      <c r="R43" s="504">
        <f t="shared" ca="1" si="32"/>
        <v>0</v>
      </c>
      <c r="S43" s="504">
        <f t="shared" ca="1" si="33"/>
        <v>0</v>
      </c>
      <c r="U43" s="504">
        <f ca="1">SUMIFS(CostTrack[[Value]:[Value]],CostTrack[[PA ID]:[PA ID]],$B43,CostTrack[[Vendor - Contract]:[Vendor - Contract]],$H43,CostTrack[[Holdback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43" s="504">
        <f ca="1">SUMIFS(CostTrack[[Value]:[Value]],CostTrack[[PA ID]:[PA ID]],$B43,CostTrack[[Vendor - Contract]:[Vendor - Contract]],$H43,CostTrack[[Holdback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43" s="504">
        <f ca="1">SUMIFS(CostTrack[[Value]:[Value]],CostTrack[[PA ID]:[PA ID]],$B43,CostTrack[[Vendor - Contract]:[Vendor - Contract]],$H43,CostTrack[[Holdback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43" s="504">
        <f ca="1">SUMIFS(CostTrack[[Value]:[Value]],CostTrack[[PA ID]:[PA ID]],$B43,CostTrack[[Vendor - Contract]:[Vendor - Contract]],$H43,CostTrack[[Holdback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43" s="504">
        <f ca="1">SUMIFS(CostTrack[[Value]:[Value]],CostTrack[[PA ID]:[PA ID]],$B43,CostTrack[[Vendor - Contract]:[Vendor - Contract]],$H43,CostTrack[[Holdback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43" s="504">
        <f ca="1">SUMIFS(CostTrack[[Value]:[Value]],CostTrack[[PA ID]:[PA ID]],$B43,CostTrack[[Vendor - Contract]:[Vendor - Contract]],$H43,CostTrack[[Holdback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43" s="504">
        <f ca="1">SUMIFS(CostTrack[[Value]:[Value]],CostTrack[[PA ID]:[PA ID]],$B43,CostTrack[[Vendor - Contract]:[Vendor - Contract]],$H43,CostTrack[[Holdback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43" s="504">
        <f ca="1">SUMIFS(CostTrack[[Value]:[Value]],CostTrack[[PA ID]:[PA ID]],$B43,CostTrack[[Vendor - Contract]:[Vendor - Contract]],$H43,CostTrack[[Holdback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43" s="504">
        <f ca="1">SUMIFS(CostTrack[[Value]:[Value]],CostTrack[[PA ID]:[PA ID]],$B43,CostTrack[[Vendor - Contract]:[Vendor - Contract]],$H43,CostTrack[[Holdback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43" s="504">
        <f ca="1">SUMIFS(CostTrack[[Value]:[Value]],CostTrack[[PA ID]:[PA ID]],$B43,CostTrack[[Vendor - Contract]:[Vendor - Contract]],$H43,CostTrack[[Holdback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43" s="504">
        <f ca="1">SUMIFS(CostTrack[[Value]:[Value]],CostTrack[[PA ID]:[PA ID]],$B43,CostTrack[[Vendor - Contract]:[Vendor - Contract]],$H43,CostTrack[[Holdback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43" s="504">
        <f ca="1">SUMIFS(CostTrack[[Value]:[Value]],CostTrack[[PA ID]:[PA ID]],$B43,CostTrack[[Vendor - Contract]:[Vendor - Contract]],$H43,CostTrack[[Holdback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43" s="506">
        <f t="shared" ca="1" si="34"/>
        <v>0</v>
      </c>
      <c r="AI43" s="504">
        <f ca="1">SUMIFS(CostTrack[[Value]:[Value]],CostTrack[[PA ID]:[PA ID]],$B43,CostTrack[[Vendor - Contract]:[Vendor - Contract]],$H43,CostTrack[[Holdback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43" s="504">
        <f ca="1">SUMIFS(CostTrack[[Value]:[Value]],CostTrack[[PA ID]:[PA ID]],$B43,CostTrack[[Vendor - Contract]:[Vendor - Contract]],$H43,CostTrack[[Holdback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43" s="504">
        <f ca="1">SUMIFS(CostTrack[[Value]:[Value]],CostTrack[[PA ID]:[PA ID]],$B43,CostTrack[[Vendor - Contract]:[Vendor - Contract]],$H43,CostTrack[[Holdback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43" s="504">
        <f ca="1">SUMIFS(CostTrack[[Value]:[Value]],CostTrack[[PA ID]:[PA ID]],$B43,CostTrack[[Vendor - Contract]:[Vendor - Contract]],$H43,CostTrack[[Holdback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43" s="504">
        <f ca="1">SUMIFS(CostTrack[[Value]:[Value]],CostTrack[[PA ID]:[PA ID]],$B43,CostTrack[[Vendor - Contract]:[Vendor - Contract]],$H43,CostTrack[[Holdback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43" s="504">
        <f ca="1">SUMIFS(CostTrack[[Value]:[Value]],CostTrack[[PA ID]:[PA ID]],$B43,CostTrack[[Vendor - Contract]:[Vendor - Contract]],$H43,CostTrack[[Holdback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43" s="504">
        <f ca="1">SUMIFS(CostTrack[[Value]:[Value]],CostTrack[[PA ID]:[PA ID]],$B43,CostTrack[[Vendor - Contract]:[Vendor - Contract]],$H43,CostTrack[[Holdback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43" s="504">
        <f ca="1">SUMIFS(CostTrack[[Value]:[Value]],CostTrack[[PA ID]:[PA ID]],$B43,CostTrack[[Vendor - Contract]:[Vendor - Contract]],$H43,CostTrack[[Holdback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43" s="504">
        <f ca="1">SUMIFS(CostTrack[[Value]:[Value]],CostTrack[[PA ID]:[PA ID]],$B43,CostTrack[[Vendor - Contract]:[Vendor - Contract]],$H43,CostTrack[[Holdback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43" s="504">
        <f ca="1">SUMIFS(CostTrack[[Value]:[Value]],CostTrack[[PA ID]:[PA ID]],$B43,CostTrack[[Vendor - Contract]:[Vendor - Contract]],$H43,CostTrack[[Holdback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43" s="504">
        <f ca="1">SUMIFS(CostTrack[[Value]:[Value]],CostTrack[[PA ID]:[PA ID]],$B43,CostTrack[[Vendor - Contract]:[Vendor - Contract]],$H43,CostTrack[[Holdback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43" s="504">
        <f ca="1">SUMIFS(CostTrack[[Value]:[Value]],CostTrack[[PA ID]:[PA ID]],$B43,CostTrack[[Vendor - Contract]:[Vendor - Contract]],$H43,CostTrack[[Holdback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43" s="512">
        <f t="shared" ca="1" si="35"/>
        <v>0</v>
      </c>
      <c r="AW43" s="504">
        <f ca="1">SUMIFS(CostTrack[[Value]:[Value]],CostTrack[[PA ID]:[PA ID]],$B43,CostTrack[[Vendor - Contract]:[Vendor - Contract]],$H43,CostTrack[[Holdback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43" s="504">
        <f ca="1">SUMIFS(CostTrack[[Value]:[Value]],CostTrack[[PA ID]:[PA ID]],$B43,CostTrack[[Vendor - Contract]:[Vendor - Contract]],$H43,CostTrack[[Holdback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43" s="504">
        <f ca="1">SUMIFS(CostTrack[[Value]:[Value]],CostTrack[[PA ID]:[PA ID]],$B43,CostTrack[[Vendor - Contract]:[Vendor - Contract]],$H43,CostTrack[[Holdback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43" s="504">
        <f ca="1">SUMIFS(CostTrack[[Value]:[Value]],CostTrack[[PA ID]:[PA ID]],$B43,CostTrack[[Vendor - Contract]:[Vendor - Contract]],$H43,CostTrack[[Holdback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43" s="504">
        <f ca="1">SUMIFS(CostTrack[[Value]:[Value]],CostTrack[[PA ID]:[PA ID]],$B43,CostTrack[[Vendor - Contract]:[Vendor - Contract]],$H43,CostTrack[[Holdback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43" s="504">
        <f ca="1">SUMIFS(CostTrack[[Value]:[Value]],CostTrack[[PA ID]:[PA ID]],$B43,CostTrack[[Vendor - Contract]:[Vendor - Contract]],$H43,CostTrack[[Holdback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43" s="504">
        <f ca="1">SUMIFS(CostTrack[[Value]:[Value]],CostTrack[[PA ID]:[PA ID]],$B43,CostTrack[[Vendor - Contract]:[Vendor - Contract]],$H43,CostTrack[[Holdback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43" s="504">
        <f ca="1">SUMIFS(CostTrack[[Value]:[Value]],CostTrack[[PA ID]:[PA ID]],$B43,CostTrack[[Vendor - Contract]:[Vendor - Contract]],$H43,CostTrack[[Holdback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43" s="504">
        <f ca="1">SUMIFS(CostTrack[[Value]:[Value]],CostTrack[[PA ID]:[PA ID]],$B43,CostTrack[[Vendor - Contract]:[Vendor - Contract]],$H43,CostTrack[[Holdback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43" s="504">
        <f ca="1">SUMIFS(CostTrack[[Value]:[Value]],CostTrack[[PA ID]:[PA ID]],$B43,CostTrack[[Vendor - Contract]:[Vendor - Contract]],$H43,CostTrack[[Holdback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43" s="504">
        <f ca="1">SUMIFS(CostTrack[[Value]:[Value]],CostTrack[[PA ID]:[PA ID]],$B43,CostTrack[[Vendor - Contract]:[Vendor - Contract]],$H43,CostTrack[[Holdback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43" s="504">
        <f ca="1">SUMIFS(CostTrack[[Value]:[Value]],CostTrack[[PA ID]:[PA ID]],$B43,CostTrack[[Vendor - Contract]:[Vendor - Contract]],$H43,CostTrack[[Holdback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43" s="512">
        <f t="shared" ca="1" si="36"/>
        <v>0</v>
      </c>
      <c r="BK43" s="504">
        <f ca="1">SUMIFS(CostTrack[[Value]:[Value]],CostTrack[[PA ID]:[PA ID]],$B43,CostTrack[[Vendor - Contract]:[Vendor - Contract]],$H43,CostTrack[[Holdback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43" s="504">
        <f ca="1">SUMIFS(CostTrack[[Value]:[Value]],CostTrack[[PA ID]:[PA ID]],$B43,CostTrack[[Vendor - Contract]:[Vendor - Contract]],$H43,CostTrack[[Holdback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43" s="504">
        <f ca="1">SUMIFS(CostTrack[[Value]:[Value]],CostTrack[[PA ID]:[PA ID]],$B43,CostTrack[[Vendor - Contract]:[Vendor - Contract]],$H43,CostTrack[[Holdback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43" s="504">
        <f ca="1">SUMIFS(CostTrack[[Value]:[Value]],CostTrack[[PA ID]:[PA ID]],$B43,CostTrack[[Vendor - Contract]:[Vendor - Contract]],$H43,CostTrack[[Holdback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43" s="504">
        <f ca="1">SUMIFS(CostTrack[[Value]:[Value]],CostTrack[[PA ID]:[PA ID]],$B43,CostTrack[[Vendor - Contract]:[Vendor - Contract]],$H43,CostTrack[[Holdback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43" s="504">
        <f ca="1">SUMIFS(CostTrack[[Value]:[Value]],CostTrack[[PA ID]:[PA ID]],$B43,CostTrack[[Vendor - Contract]:[Vendor - Contract]],$H43,CostTrack[[Holdback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43" s="504">
        <f ca="1">SUMIFS(CostTrack[[Value]:[Value]],CostTrack[[PA ID]:[PA ID]],$B43,CostTrack[[Vendor - Contract]:[Vendor - Contract]],$H43,CostTrack[[Holdback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43" s="504">
        <f ca="1">SUMIFS(CostTrack[[Value]:[Value]],CostTrack[[PA ID]:[PA ID]],$B43,CostTrack[[Vendor - Contract]:[Vendor - Contract]],$H43,CostTrack[[Holdback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43" s="504">
        <f ca="1">SUMIFS(CostTrack[[Value]:[Value]],CostTrack[[PA ID]:[PA ID]],$B43,CostTrack[[Vendor - Contract]:[Vendor - Contract]],$H43,CostTrack[[Holdback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43" s="504">
        <f ca="1">SUMIFS(CostTrack[[Value]:[Value]],CostTrack[[PA ID]:[PA ID]],$B43,CostTrack[[Vendor - Contract]:[Vendor - Contract]],$H43,CostTrack[[Holdback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43" s="504">
        <f ca="1">SUMIFS(CostTrack[[Value]:[Value]],CostTrack[[PA ID]:[PA ID]],$B43,CostTrack[[Vendor - Contract]:[Vendor - Contract]],$H43,CostTrack[[Holdback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43" s="504">
        <f ca="1">SUMIFS(CostTrack[[Value]:[Value]],CostTrack[[PA ID]:[PA ID]],$B43,CostTrack[[Vendor - Contract]:[Vendor - Contract]],$H43,CostTrack[[Holdback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43" s="512">
        <f t="shared" ca="1" si="37"/>
        <v>0</v>
      </c>
      <c r="BY43" s="504">
        <f ca="1">SUMIFS(CostTrack[[Value]:[Value]],CostTrack[[PA ID]:[PA ID]],$B43,CostTrack[[Vendor - Contract]:[Vendor - Contract]],$H43,CostTrack[[Holdback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43" s="504">
        <f ca="1">SUMIFS(CostTrack[[Value]:[Value]],CostTrack[[PA ID]:[PA ID]],$B43,CostTrack[[Vendor - Contract]:[Vendor - Contract]],$H43,CostTrack[[Holdback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43" s="504">
        <f ca="1">SUMIFS(CostTrack[[Value]:[Value]],CostTrack[[PA ID]:[PA ID]],$B43,CostTrack[[Vendor - Contract]:[Vendor - Contract]],$H43,CostTrack[[Holdback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43" s="504">
        <f ca="1">SUMIFS(CostTrack[[Value]:[Value]],CostTrack[[PA ID]:[PA ID]],$B43,CostTrack[[Vendor - Contract]:[Vendor - Contract]],$H43,CostTrack[[Holdback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43" s="504">
        <f ca="1">SUMIFS(CostTrack[[Value]:[Value]],CostTrack[[PA ID]:[PA ID]],$B43,CostTrack[[Vendor - Contract]:[Vendor - Contract]],$H43,CostTrack[[Holdback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43" s="504">
        <f ca="1">SUMIFS(CostTrack[[Value]:[Value]],CostTrack[[PA ID]:[PA ID]],$B43,CostTrack[[Vendor - Contract]:[Vendor - Contract]],$H43,CostTrack[[Holdback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43" s="504">
        <f ca="1">SUMIFS(CostTrack[[Value]:[Value]],CostTrack[[PA ID]:[PA ID]],$B43,CostTrack[[Vendor - Contract]:[Vendor - Contract]],$H43,CostTrack[[Holdback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43" s="504">
        <f ca="1">SUMIFS(CostTrack[[Value]:[Value]],CostTrack[[PA ID]:[PA ID]],$B43,CostTrack[[Vendor - Contract]:[Vendor - Contract]],$H43,CostTrack[[Holdback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43" s="504">
        <f ca="1">SUMIFS(CostTrack[[Value]:[Value]],CostTrack[[PA ID]:[PA ID]],$B43,CostTrack[[Vendor - Contract]:[Vendor - Contract]],$H43,CostTrack[[Holdback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43" s="504">
        <f ca="1">SUMIFS(CostTrack[[Value]:[Value]],CostTrack[[PA ID]:[PA ID]],$B43,CostTrack[[Vendor - Contract]:[Vendor - Contract]],$H43,CostTrack[[Holdback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43" s="504">
        <f ca="1">SUMIFS(CostTrack[[Value]:[Value]],CostTrack[[PA ID]:[PA ID]],$B43,CostTrack[[Vendor - Contract]:[Vendor - Contract]],$H43,CostTrack[[Holdback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43" s="504">
        <f ca="1">SUMIFS(CostTrack[[Value]:[Value]],CostTrack[[PA ID]:[PA ID]],$B43,CostTrack[[Vendor - Contract]:[Vendor - Contract]],$H43,CostTrack[[Holdback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43" s="512">
        <f t="shared" ca="1" si="38"/>
        <v>0</v>
      </c>
      <c r="CM43" s="504">
        <f ca="1">SUMIFS(CostTrack[[Value]:[Value]],CostTrack[[PA ID]:[PA ID]],$B43,CostTrack[[Vendor - Contract]:[Vendor - Contract]],$H43,CostTrack[[Holdback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43" s="504">
        <f ca="1">SUMIFS(CostTrack[[Value]:[Value]],CostTrack[[PA ID]:[PA ID]],$B43,CostTrack[[Vendor - Contract]:[Vendor - Contract]],$H43,CostTrack[[Holdback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43" s="504">
        <f ca="1">SUMIFS(CostTrack[[Value]:[Value]],CostTrack[[PA ID]:[PA ID]],$B43,CostTrack[[Vendor - Contract]:[Vendor - Contract]],$H43,CostTrack[[Holdback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43" s="504">
        <f ca="1">SUMIFS(CostTrack[[Value]:[Value]],CostTrack[[PA ID]:[PA ID]],$B43,CostTrack[[Vendor - Contract]:[Vendor - Contract]],$H43,CostTrack[[Holdback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43" s="504">
        <f ca="1">SUMIFS(CostTrack[[Value]:[Value]],CostTrack[[PA ID]:[PA ID]],$B43,CostTrack[[Vendor - Contract]:[Vendor - Contract]],$H43,CostTrack[[Holdback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43" s="504">
        <f ca="1">SUMIFS(CostTrack[[Value]:[Value]],CostTrack[[PA ID]:[PA ID]],$B43,CostTrack[[Vendor - Contract]:[Vendor - Contract]],$H43,CostTrack[[Holdback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43" s="504">
        <f ca="1">SUMIFS(CostTrack[[Value]:[Value]],CostTrack[[PA ID]:[PA ID]],$B43,CostTrack[[Vendor - Contract]:[Vendor - Contract]],$H43,CostTrack[[Holdback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43" s="504">
        <f ca="1">SUMIFS(CostTrack[[Value]:[Value]],CostTrack[[PA ID]:[PA ID]],$B43,CostTrack[[Vendor - Contract]:[Vendor - Contract]],$H43,CostTrack[[Holdback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43" s="504">
        <f ca="1">SUMIFS(CostTrack[[Value]:[Value]],CostTrack[[PA ID]:[PA ID]],$B43,CostTrack[[Vendor - Contract]:[Vendor - Contract]],$H43,CostTrack[[Holdback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43" s="504">
        <f ca="1">SUMIFS(CostTrack[[Value]:[Value]],CostTrack[[PA ID]:[PA ID]],$B43,CostTrack[[Vendor - Contract]:[Vendor - Contract]],$H43,CostTrack[[Holdback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43" s="504">
        <f ca="1">SUMIFS(CostTrack[[Value]:[Value]],CostTrack[[PA ID]:[PA ID]],$B43,CostTrack[[Vendor - Contract]:[Vendor - Contract]],$H43,CostTrack[[Holdback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43" s="504">
        <f ca="1">SUMIFS(CostTrack[[Value]:[Value]],CostTrack[[PA ID]:[PA ID]],$B43,CostTrack[[Vendor - Contract]:[Vendor - Contract]],$H43,CostTrack[[Holdback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43" s="512">
        <f t="shared" ca="1" si="39"/>
        <v>0</v>
      </c>
      <c r="DA43" s="504">
        <f ca="1">SUMIFS(CostTrack[[Value]:[Value]],CostTrack[[PA ID]:[PA ID]],$B43,CostTrack[[Vendor - Contract]:[Vendor - Contract]],$H43,CostTrack[[Holdback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43" s="504">
        <f ca="1">SUMIFS(CostTrack[[Value]:[Value]],CostTrack[[PA ID]:[PA ID]],$B43,CostTrack[[Vendor - Contract]:[Vendor - Contract]],$H43,CostTrack[[Holdback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43" s="504">
        <f ca="1">SUMIFS(CostTrack[[Value]:[Value]],CostTrack[[PA ID]:[PA ID]],$B43,CostTrack[[Vendor - Contract]:[Vendor - Contract]],$H43,CostTrack[[Holdback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43" s="504">
        <f ca="1">SUMIFS(CostTrack[[Value]:[Value]],CostTrack[[PA ID]:[PA ID]],$B43,CostTrack[[Vendor - Contract]:[Vendor - Contract]],$H43,CostTrack[[Holdback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43" s="504">
        <f ca="1">SUMIFS(CostTrack[[Value]:[Value]],CostTrack[[PA ID]:[PA ID]],$B43,CostTrack[[Vendor - Contract]:[Vendor - Contract]],$H43,CostTrack[[Holdback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43" s="504">
        <f ca="1">SUMIFS(CostTrack[[Value]:[Value]],CostTrack[[PA ID]:[PA ID]],$B43,CostTrack[[Vendor - Contract]:[Vendor - Contract]],$H43,CostTrack[[Holdback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43" s="504">
        <f ca="1">SUMIFS(CostTrack[[Value]:[Value]],CostTrack[[PA ID]:[PA ID]],$B43,CostTrack[[Vendor - Contract]:[Vendor - Contract]],$H43,CostTrack[[Holdback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43" s="504">
        <f ca="1">SUMIFS(CostTrack[[Value]:[Value]],CostTrack[[PA ID]:[PA ID]],$B43,CostTrack[[Vendor - Contract]:[Vendor - Contract]],$H43,CostTrack[[Holdback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43" s="504">
        <f ca="1">SUMIFS(CostTrack[[Value]:[Value]],CostTrack[[PA ID]:[PA ID]],$B43,CostTrack[[Vendor - Contract]:[Vendor - Contract]],$H43,CostTrack[[Holdback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43" s="504">
        <f ca="1">SUMIFS(CostTrack[[Value]:[Value]],CostTrack[[PA ID]:[PA ID]],$B43,CostTrack[[Vendor - Contract]:[Vendor - Contract]],$H43,CostTrack[[Holdback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43" s="504">
        <f ca="1">SUMIFS(CostTrack[[Value]:[Value]],CostTrack[[PA ID]:[PA ID]],$B43,CostTrack[[Vendor - Contract]:[Vendor - Contract]],$H43,CostTrack[[Holdback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43" s="504">
        <f ca="1">SUMIFS(CostTrack[[Value]:[Value]],CostTrack[[PA ID]:[PA ID]],$B43,CostTrack[[Vendor - Contract]:[Vendor - Contract]],$H43,CostTrack[[Holdback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43" s="512">
        <f t="shared" ca="1" si="40"/>
        <v>0</v>
      </c>
      <c r="DO43" s="504">
        <f ca="1">SUMIFS(CostTrack[[Value]:[Value]],CostTrack[[PA ID]:[PA ID]],$B43,CostTrack[[Vendor - Contract]:[Vendor - Contract]],$H43,CostTrack[[Holdback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43" s="504">
        <f ca="1">SUMIFS(CostTrack[[Value]:[Value]],CostTrack[[PA ID]:[PA ID]],$B43,CostTrack[[Vendor - Contract]:[Vendor - Contract]],$H43,CostTrack[[Holdback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43" s="504">
        <f ca="1">SUMIFS(CostTrack[[Value]:[Value]],CostTrack[[PA ID]:[PA ID]],$B43,CostTrack[[Vendor - Contract]:[Vendor - Contract]],$H43,CostTrack[[Holdback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43" s="504">
        <f ca="1">SUMIFS(CostTrack[[Value]:[Value]],CostTrack[[PA ID]:[PA ID]],$B43,CostTrack[[Vendor - Contract]:[Vendor - Contract]],$H43,CostTrack[[Holdback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43" s="504">
        <f ca="1">SUMIFS(CostTrack[[Value]:[Value]],CostTrack[[PA ID]:[PA ID]],$B43,CostTrack[[Vendor - Contract]:[Vendor - Contract]],$H43,CostTrack[[Holdback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43" s="504">
        <f ca="1">SUMIFS(CostTrack[[Value]:[Value]],CostTrack[[PA ID]:[PA ID]],$B43,CostTrack[[Vendor - Contract]:[Vendor - Contract]],$H43,CostTrack[[Holdback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43" s="504">
        <f ca="1">SUMIFS(CostTrack[[Value]:[Value]],CostTrack[[PA ID]:[PA ID]],$B43,CostTrack[[Vendor - Contract]:[Vendor - Contract]],$H43,CostTrack[[Holdback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43" s="504">
        <f ca="1">SUMIFS(CostTrack[[Value]:[Value]],CostTrack[[PA ID]:[PA ID]],$B43,CostTrack[[Vendor - Contract]:[Vendor - Contract]],$H43,CostTrack[[Holdback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43" s="504">
        <f ca="1">SUMIFS(CostTrack[[Value]:[Value]],CostTrack[[PA ID]:[PA ID]],$B43,CostTrack[[Vendor - Contract]:[Vendor - Contract]],$H43,CostTrack[[Holdback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43" s="504">
        <f ca="1">SUMIFS(CostTrack[[Value]:[Value]],CostTrack[[PA ID]:[PA ID]],$B43,CostTrack[[Vendor - Contract]:[Vendor - Contract]],$H43,CostTrack[[Holdback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43" s="504">
        <f ca="1">SUMIFS(CostTrack[[Value]:[Value]],CostTrack[[PA ID]:[PA ID]],$B43,CostTrack[[Vendor - Contract]:[Vendor - Contract]],$H43,CostTrack[[Holdback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43" s="504">
        <f ca="1">SUMIFS(CostTrack[[Value]:[Value]],CostTrack[[PA ID]:[PA ID]],$B43,CostTrack[[Vendor - Contract]:[Vendor - Contract]],$H43,CostTrack[[Holdback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43" s="512">
        <f t="shared" ca="1" si="41"/>
        <v>0</v>
      </c>
      <c r="EC43" s="504">
        <f ca="1">SUMIFS(CostTrack[[Value]:[Value]],CostTrack[[PA ID]:[PA ID]],$B43,CostTrack[[Vendor - Contract]:[Vendor - Contract]],$H43,CostTrack[[Holdback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43" s="505"/>
      <c r="EE43" s="505"/>
      <c r="EF43" s="505"/>
      <c r="EG43" s="505"/>
      <c r="EH43" s="505"/>
      <c r="EI43" s="505"/>
      <c r="EJ43" s="505"/>
      <c r="EK43" s="505"/>
      <c r="EL43" s="505"/>
      <c r="EM43" s="505"/>
      <c r="EN43" s="505"/>
      <c r="EO43" s="512">
        <f t="shared" ca="1" si="42"/>
        <v>0</v>
      </c>
      <c r="EQ43" s="505"/>
      <c r="ER43" s="505"/>
      <c r="ES43" s="505"/>
      <c r="ET43" s="505"/>
      <c r="EU43" s="505"/>
      <c r="EV43" s="505"/>
      <c r="EW43" s="505"/>
      <c r="EX43" s="505"/>
      <c r="EY43" s="505"/>
      <c r="EZ43" s="505"/>
      <c r="FA43" s="505"/>
      <c r="FB43" s="505"/>
      <c r="FC43" s="512">
        <f t="shared" si="43"/>
        <v>0</v>
      </c>
      <c r="FE43" s="505"/>
      <c r="FF43" s="505"/>
      <c r="FG43" s="505"/>
      <c r="FH43" s="505"/>
      <c r="FI43" s="505"/>
      <c r="FJ43" s="505"/>
      <c r="FK43" s="505"/>
      <c r="FL43" s="505"/>
      <c r="FM43" s="505"/>
      <c r="FN43" s="505"/>
      <c r="FO43" s="505"/>
      <c r="FP43" s="505"/>
      <c r="FQ43" s="512">
        <f t="shared" si="44"/>
        <v>0</v>
      </c>
      <c r="FS43" s="504">
        <f t="shared" ca="1" si="45"/>
        <v>0</v>
      </c>
    </row>
    <row r="44" spans="1:176">
      <c r="A44" s="216">
        <v>37</v>
      </c>
      <c r="B44" s="219" t="str">
        <f ca="1">INDEX(EAC[PA ID],MATCH($A44,EAC[Row],0))</f>
        <v>300.020.F1</v>
      </c>
      <c r="C44" s="218" t="str">
        <f ca="1">INDEX(EAC[Primary Category],MATCH($A44,EAC[Row],0))</f>
        <v>Construction</v>
      </c>
      <c r="D44" s="218" t="str">
        <f ca="1">INDEX(EAC[Secondary Category],MATCH($A44,EAC[Row],0))</f>
        <v>Utilities</v>
      </c>
      <c r="E44" s="109" t="str">
        <f ca="1">INDEX(EAC[Phase / Subproject],MATCH($A44,EAC[Row],0))</f>
        <v>--</v>
      </c>
      <c r="F44" s="109" t="str">
        <f ca="1">INDEX(EAC[Phase / Subproject 2],MATCH($A44,EAC[Row],0))</f>
        <v>--</v>
      </c>
      <c r="G44" s="109" t="str">
        <f ca="1">INDEX(EAC[Funding Source],MATCH($A44,EAC[Row],0))</f>
        <v>P-002360</v>
      </c>
      <c r="H44" s="146" t="str">
        <f ca="1">INDEX(EAC[Vendor / Org. with Contract ID],MATCH($A44,EAC[Row],0))</f>
        <v>Future / Not Awarded</v>
      </c>
      <c r="I44" s="502">
        <f ca="1">INDEX(EAC[Estimate At Completion],MATCH($A44,EAC[Row],0))</f>
        <v>0</v>
      </c>
      <c r="J44" s="502">
        <f ca="1">SUMIFS(CostTrack[Value],CostTrack[Vendor - Contract],$H44,CostTrack[PA ID],$B44,CostTrack[Holdback (Y/N/R)],"&lt;&gt;Release",CostTrack[Status],"Approved")</f>
        <v>0</v>
      </c>
      <c r="K44" s="503">
        <f t="shared" ca="1" si="14"/>
        <v>0</v>
      </c>
      <c r="M44" s="504">
        <f t="shared" ca="1" si="15"/>
        <v>0</v>
      </c>
      <c r="O44" s="504">
        <f t="shared" ca="1" si="31"/>
        <v>0</v>
      </c>
      <c r="P44" s="504">
        <f t="array" aca="1" ref="P44" ca="1">SUM($U44:$FQ44*_xlfn.ISFORMULA($U44:$FQ44)*ISNUMBER($U$7:$FQ$7)*--(INDEX($U$6:$FQ$6,N(IF({1},COLUMN($U$6:$FQ$6)-COLUMN($T$6)))-MOD(N(IF({1},COLUMN($U$6:$FQ$6)-COLUMN($U$6))),14))="Current Fiscal"))</f>
        <v>0</v>
      </c>
      <c r="Q44" s="504">
        <f t="array" aca="1" ref="Q44" ca="1">SUM($U44:$FQ44*NOT(_xlfn.ISFORMULA($U44:$FQ44))*ISNUMBER($U$7:$FQ$7)*--(INDEX($U$6:$FQ$6,N(IF({1},COLUMN($U$6:$FQ$6)-COLUMN($T$6)))-MOD(N(IF({1},COLUMN($U$6:$FQ$6)-COLUMN($U$6))),14))="Current Fiscal"))</f>
        <v>0</v>
      </c>
      <c r="R44" s="504">
        <f t="shared" ca="1" si="32"/>
        <v>0</v>
      </c>
      <c r="S44" s="504">
        <f t="shared" ca="1" si="33"/>
        <v>0</v>
      </c>
      <c r="U44" s="504">
        <f ca="1">SUMIFS(CostTrack[[Value]:[Value]],CostTrack[[PA ID]:[PA ID]],$B44,CostTrack[[Vendor - Contract]:[Vendor - Contract]],$H44,CostTrack[[Holdback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44" s="504">
        <f ca="1">SUMIFS(CostTrack[[Value]:[Value]],CostTrack[[PA ID]:[PA ID]],$B44,CostTrack[[Vendor - Contract]:[Vendor - Contract]],$H44,CostTrack[[Holdback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44" s="504">
        <f ca="1">SUMIFS(CostTrack[[Value]:[Value]],CostTrack[[PA ID]:[PA ID]],$B44,CostTrack[[Vendor - Contract]:[Vendor - Contract]],$H44,CostTrack[[Holdback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44" s="504">
        <f ca="1">SUMIFS(CostTrack[[Value]:[Value]],CostTrack[[PA ID]:[PA ID]],$B44,CostTrack[[Vendor - Contract]:[Vendor - Contract]],$H44,CostTrack[[Holdback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44" s="504">
        <f ca="1">SUMIFS(CostTrack[[Value]:[Value]],CostTrack[[PA ID]:[PA ID]],$B44,CostTrack[[Vendor - Contract]:[Vendor - Contract]],$H44,CostTrack[[Holdback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44" s="504">
        <f ca="1">SUMIFS(CostTrack[[Value]:[Value]],CostTrack[[PA ID]:[PA ID]],$B44,CostTrack[[Vendor - Contract]:[Vendor - Contract]],$H44,CostTrack[[Holdback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44" s="504">
        <f ca="1">SUMIFS(CostTrack[[Value]:[Value]],CostTrack[[PA ID]:[PA ID]],$B44,CostTrack[[Vendor - Contract]:[Vendor - Contract]],$H44,CostTrack[[Holdback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44" s="504">
        <f ca="1">SUMIFS(CostTrack[[Value]:[Value]],CostTrack[[PA ID]:[PA ID]],$B44,CostTrack[[Vendor - Contract]:[Vendor - Contract]],$H44,CostTrack[[Holdback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44" s="504">
        <f ca="1">SUMIFS(CostTrack[[Value]:[Value]],CostTrack[[PA ID]:[PA ID]],$B44,CostTrack[[Vendor - Contract]:[Vendor - Contract]],$H44,CostTrack[[Holdback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44" s="504">
        <f ca="1">SUMIFS(CostTrack[[Value]:[Value]],CostTrack[[PA ID]:[PA ID]],$B44,CostTrack[[Vendor - Contract]:[Vendor - Contract]],$H44,CostTrack[[Holdback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44" s="504">
        <f ca="1">SUMIFS(CostTrack[[Value]:[Value]],CostTrack[[PA ID]:[PA ID]],$B44,CostTrack[[Vendor - Contract]:[Vendor - Contract]],$H44,CostTrack[[Holdback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44" s="504">
        <f ca="1">SUMIFS(CostTrack[[Value]:[Value]],CostTrack[[PA ID]:[PA ID]],$B44,CostTrack[[Vendor - Contract]:[Vendor - Contract]],$H44,CostTrack[[Holdback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44" s="506">
        <f t="shared" ca="1" si="34"/>
        <v>0</v>
      </c>
      <c r="AI44" s="504">
        <f ca="1">SUMIFS(CostTrack[[Value]:[Value]],CostTrack[[PA ID]:[PA ID]],$B44,CostTrack[[Vendor - Contract]:[Vendor - Contract]],$H44,CostTrack[[Holdback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44" s="504">
        <f ca="1">SUMIFS(CostTrack[[Value]:[Value]],CostTrack[[PA ID]:[PA ID]],$B44,CostTrack[[Vendor - Contract]:[Vendor - Contract]],$H44,CostTrack[[Holdback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44" s="504">
        <f ca="1">SUMIFS(CostTrack[[Value]:[Value]],CostTrack[[PA ID]:[PA ID]],$B44,CostTrack[[Vendor - Contract]:[Vendor - Contract]],$H44,CostTrack[[Holdback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44" s="504">
        <f ca="1">SUMIFS(CostTrack[[Value]:[Value]],CostTrack[[PA ID]:[PA ID]],$B44,CostTrack[[Vendor - Contract]:[Vendor - Contract]],$H44,CostTrack[[Holdback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44" s="504">
        <f ca="1">SUMIFS(CostTrack[[Value]:[Value]],CostTrack[[PA ID]:[PA ID]],$B44,CostTrack[[Vendor - Contract]:[Vendor - Contract]],$H44,CostTrack[[Holdback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44" s="504">
        <f ca="1">SUMIFS(CostTrack[[Value]:[Value]],CostTrack[[PA ID]:[PA ID]],$B44,CostTrack[[Vendor - Contract]:[Vendor - Contract]],$H44,CostTrack[[Holdback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44" s="504">
        <f ca="1">SUMIFS(CostTrack[[Value]:[Value]],CostTrack[[PA ID]:[PA ID]],$B44,CostTrack[[Vendor - Contract]:[Vendor - Contract]],$H44,CostTrack[[Holdback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44" s="504">
        <f ca="1">SUMIFS(CostTrack[[Value]:[Value]],CostTrack[[PA ID]:[PA ID]],$B44,CostTrack[[Vendor - Contract]:[Vendor - Contract]],$H44,CostTrack[[Holdback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44" s="504">
        <f ca="1">SUMIFS(CostTrack[[Value]:[Value]],CostTrack[[PA ID]:[PA ID]],$B44,CostTrack[[Vendor - Contract]:[Vendor - Contract]],$H44,CostTrack[[Holdback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44" s="504">
        <f ca="1">SUMIFS(CostTrack[[Value]:[Value]],CostTrack[[PA ID]:[PA ID]],$B44,CostTrack[[Vendor - Contract]:[Vendor - Contract]],$H44,CostTrack[[Holdback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44" s="504">
        <f ca="1">SUMIFS(CostTrack[[Value]:[Value]],CostTrack[[PA ID]:[PA ID]],$B44,CostTrack[[Vendor - Contract]:[Vendor - Contract]],$H44,CostTrack[[Holdback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44" s="504">
        <f ca="1">SUMIFS(CostTrack[[Value]:[Value]],CostTrack[[PA ID]:[PA ID]],$B44,CostTrack[[Vendor - Contract]:[Vendor - Contract]],$H44,CostTrack[[Holdback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44" s="512">
        <f t="shared" ca="1" si="35"/>
        <v>0</v>
      </c>
      <c r="AW44" s="504">
        <f ca="1">SUMIFS(CostTrack[[Value]:[Value]],CostTrack[[PA ID]:[PA ID]],$B44,CostTrack[[Vendor - Contract]:[Vendor - Contract]],$H44,CostTrack[[Holdback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44" s="504">
        <f ca="1">SUMIFS(CostTrack[[Value]:[Value]],CostTrack[[PA ID]:[PA ID]],$B44,CostTrack[[Vendor - Contract]:[Vendor - Contract]],$H44,CostTrack[[Holdback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44" s="504">
        <f ca="1">SUMIFS(CostTrack[[Value]:[Value]],CostTrack[[PA ID]:[PA ID]],$B44,CostTrack[[Vendor - Contract]:[Vendor - Contract]],$H44,CostTrack[[Holdback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44" s="504">
        <f ca="1">SUMIFS(CostTrack[[Value]:[Value]],CostTrack[[PA ID]:[PA ID]],$B44,CostTrack[[Vendor - Contract]:[Vendor - Contract]],$H44,CostTrack[[Holdback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44" s="504">
        <f ca="1">SUMIFS(CostTrack[[Value]:[Value]],CostTrack[[PA ID]:[PA ID]],$B44,CostTrack[[Vendor - Contract]:[Vendor - Contract]],$H44,CostTrack[[Holdback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44" s="504">
        <f ca="1">SUMIFS(CostTrack[[Value]:[Value]],CostTrack[[PA ID]:[PA ID]],$B44,CostTrack[[Vendor - Contract]:[Vendor - Contract]],$H44,CostTrack[[Holdback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44" s="504">
        <f ca="1">SUMIFS(CostTrack[[Value]:[Value]],CostTrack[[PA ID]:[PA ID]],$B44,CostTrack[[Vendor - Contract]:[Vendor - Contract]],$H44,CostTrack[[Holdback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44" s="504">
        <f ca="1">SUMIFS(CostTrack[[Value]:[Value]],CostTrack[[PA ID]:[PA ID]],$B44,CostTrack[[Vendor - Contract]:[Vendor - Contract]],$H44,CostTrack[[Holdback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44" s="504">
        <f ca="1">SUMIFS(CostTrack[[Value]:[Value]],CostTrack[[PA ID]:[PA ID]],$B44,CostTrack[[Vendor - Contract]:[Vendor - Contract]],$H44,CostTrack[[Holdback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44" s="504">
        <f ca="1">SUMIFS(CostTrack[[Value]:[Value]],CostTrack[[PA ID]:[PA ID]],$B44,CostTrack[[Vendor - Contract]:[Vendor - Contract]],$H44,CostTrack[[Holdback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44" s="504">
        <f ca="1">SUMIFS(CostTrack[[Value]:[Value]],CostTrack[[PA ID]:[PA ID]],$B44,CostTrack[[Vendor - Contract]:[Vendor - Contract]],$H44,CostTrack[[Holdback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44" s="504">
        <f ca="1">SUMIFS(CostTrack[[Value]:[Value]],CostTrack[[PA ID]:[PA ID]],$B44,CostTrack[[Vendor - Contract]:[Vendor - Contract]],$H44,CostTrack[[Holdback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44" s="512">
        <f t="shared" ca="1" si="36"/>
        <v>0</v>
      </c>
      <c r="BK44" s="504">
        <f ca="1">SUMIFS(CostTrack[[Value]:[Value]],CostTrack[[PA ID]:[PA ID]],$B44,CostTrack[[Vendor - Contract]:[Vendor - Contract]],$H44,CostTrack[[Holdback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44" s="504">
        <f ca="1">SUMIFS(CostTrack[[Value]:[Value]],CostTrack[[PA ID]:[PA ID]],$B44,CostTrack[[Vendor - Contract]:[Vendor - Contract]],$H44,CostTrack[[Holdback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44" s="504">
        <f ca="1">SUMIFS(CostTrack[[Value]:[Value]],CostTrack[[PA ID]:[PA ID]],$B44,CostTrack[[Vendor - Contract]:[Vendor - Contract]],$H44,CostTrack[[Holdback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44" s="504">
        <f ca="1">SUMIFS(CostTrack[[Value]:[Value]],CostTrack[[PA ID]:[PA ID]],$B44,CostTrack[[Vendor - Contract]:[Vendor - Contract]],$H44,CostTrack[[Holdback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44" s="504">
        <f ca="1">SUMIFS(CostTrack[[Value]:[Value]],CostTrack[[PA ID]:[PA ID]],$B44,CostTrack[[Vendor - Contract]:[Vendor - Contract]],$H44,CostTrack[[Holdback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44" s="504">
        <f ca="1">SUMIFS(CostTrack[[Value]:[Value]],CostTrack[[PA ID]:[PA ID]],$B44,CostTrack[[Vendor - Contract]:[Vendor - Contract]],$H44,CostTrack[[Holdback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44" s="504">
        <f ca="1">SUMIFS(CostTrack[[Value]:[Value]],CostTrack[[PA ID]:[PA ID]],$B44,CostTrack[[Vendor - Contract]:[Vendor - Contract]],$H44,CostTrack[[Holdback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44" s="504">
        <f ca="1">SUMIFS(CostTrack[[Value]:[Value]],CostTrack[[PA ID]:[PA ID]],$B44,CostTrack[[Vendor - Contract]:[Vendor - Contract]],$H44,CostTrack[[Holdback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44" s="504">
        <f ca="1">SUMIFS(CostTrack[[Value]:[Value]],CostTrack[[PA ID]:[PA ID]],$B44,CostTrack[[Vendor - Contract]:[Vendor - Contract]],$H44,CostTrack[[Holdback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44" s="504">
        <f ca="1">SUMIFS(CostTrack[[Value]:[Value]],CostTrack[[PA ID]:[PA ID]],$B44,CostTrack[[Vendor - Contract]:[Vendor - Contract]],$H44,CostTrack[[Holdback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44" s="504">
        <f ca="1">SUMIFS(CostTrack[[Value]:[Value]],CostTrack[[PA ID]:[PA ID]],$B44,CostTrack[[Vendor - Contract]:[Vendor - Contract]],$H44,CostTrack[[Holdback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44" s="504">
        <f ca="1">SUMIFS(CostTrack[[Value]:[Value]],CostTrack[[PA ID]:[PA ID]],$B44,CostTrack[[Vendor - Contract]:[Vendor - Contract]],$H44,CostTrack[[Holdback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44" s="512">
        <f t="shared" ca="1" si="37"/>
        <v>0</v>
      </c>
      <c r="BY44" s="504">
        <f ca="1">SUMIFS(CostTrack[[Value]:[Value]],CostTrack[[PA ID]:[PA ID]],$B44,CostTrack[[Vendor - Contract]:[Vendor - Contract]],$H44,CostTrack[[Holdback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44" s="504">
        <f ca="1">SUMIFS(CostTrack[[Value]:[Value]],CostTrack[[PA ID]:[PA ID]],$B44,CostTrack[[Vendor - Contract]:[Vendor - Contract]],$H44,CostTrack[[Holdback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44" s="504">
        <f ca="1">SUMIFS(CostTrack[[Value]:[Value]],CostTrack[[PA ID]:[PA ID]],$B44,CostTrack[[Vendor - Contract]:[Vendor - Contract]],$H44,CostTrack[[Holdback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44" s="504">
        <f ca="1">SUMIFS(CostTrack[[Value]:[Value]],CostTrack[[PA ID]:[PA ID]],$B44,CostTrack[[Vendor - Contract]:[Vendor - Contract]],$H44,CostTrack[[Holdback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44" s="504">
        <f ca="1">SUMIFS(CostTrack[[Value]:[Value]],CostTrack[[PA ID]:[PA ID]],$B44,CostTrack[[Vendor - Contract]:[Vendor - Contract]],$H44,CostTrack[[Holdback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44" s="504">
        <f ca="1">SUMIFS(CostTrack[[Value]:[Value]],CostTrack[[PA ID]:[PA ID]],$B44,CostTrack[[Vendor - Contract]:[Vendor - Contract]],$H44,CostTrack[[Holdback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44" s="504">
        <f ca="1">SUMIFS(CostTrack[[Value]:[Value]],CostTrack[[PA ID]:[PA ID]],$B44,CostTrack[[Vendor - Contract]:[Vendor - Contract]],$H44,CostTrack[[Holdback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44" s="504">
        <f ca="1">SUMIFS(CostTrack[[Value]:[Value]],CostTrack[[PA ID]:[PA ID]],$B44,CostTrack[[Vendor - Contract]:[Vendor - Contract]],$H44,CostTrack[[Holdback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44" s="504">
        <f ca="1">SUMIFS(CostTrack[[Value]:[Value]],CostTrack[[PA ID]:[PA ID]],$B44,CostTrack[[Vendor - Contract]:[Vendor - Contract]],$H44,CostTrack[[Holdback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44" s="504">
        <f ca="1">SUMIFS(CostTrack[[Value]:[Value]],CostTrack[[PA ID]:[PA ID]],$B44,CostTrack[[Vendor - Contract]:[Vendor - Contract]],$H44,CostTrack[[Holdback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44" s="504">
        <f ca="1">SUMIFS(CostTrack[[Value]:[Value]],CostTrack[[PA ID]:[PA ID]],$B44,CostTrack[[Vendor - Contract]:[Vendor - Contract]],$H44,CostTrack[[Holdback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44" s="504">
        <f ca="1">SUMIFS(CostTrack[[Value]:[Value]],CostTrack[[PA ID]:[PA ID]],$B44,CostTrack[[Vendor - Contract]:[Vendor - Contract]],$H44,CostTrack[[Holdback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44" s="512">
        <f t="shared" ca="1" si="38"/>
        <v>0</v>
      </c>
      <c r="CM44" s="504">
        <f ca="1">SUMIFS(CostTrack[[Value]:[Value]],CostTrack[[PA ID]:[PA ID]],$B44,CostTrack[[Vendor - Contract]:[Vendor - Contract]],$H44,CostTrack[[Holdback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44" s="504">
        <f ca="1">SUMIFS(CostTrack[[Value]:[Value]],CostTrack[[PA ID]:[PA ID]],$B44,CostTrack[[Vendor - Contract]:[Vendor - Contract]],$H44,CostTrack[[Holdback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44" s="504">
        <f ca="1">SUMIFS(CostTrack[[Value]:[Value]],CostTrack[[PA ID]:[PA ID]],$B44,CostTrack[[Vendor - Contract]:[Vendor - Contract]],$H44,CostTrack[[Holdback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44" s="504">
        <f ca="1">SUMIFS(CostTrack[[Value]:[Value]],CostTrack[[PA ID]:[PA ID]],$B44,CostTrack[[Vendor - Contract]:[Vendor - Contract]],$H44,CostTrack[[Holdback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44" s="504">
        <f ca="1">SUMIFS(CostTrack[[Value]:[Value]],CostTrack[[PA ID]:[PA ID]],$B44,CostTrack[[Vendor - Contract]:[Vendor - Contract]],$H44,CostTrack[[Holdback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44" s="504">
        <f ca="1">SUMIFS(CostTrack[[Value]:[Value]],CostTrack[[PA ID]:[PA ID]],$B44,CostTrack[[Vendor - Contract]:[Vendor - Contract]],$H44,CostTrack[[Holdback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44" s="504">
        <f ca="1">SUMIFS(CostTrack[[Value]:[Value]],CostTrack[[PA ID]:[PA ID]],$B44,CostTrack[[Vendor - Contract]:[Vendor - Contract]],$H44,CostTrack[[Holdback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44" s="504">
        <f ca="1">SUMIFS(CostTrack[[Value]:[Value]],CostTrack[[PA ID]:[PA ID]],$B44,CostTrack[[Vendor - Contract]:[Vendor - Contract]],$H44,CostTrack[[Holdback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44" s="504">
        <f ca="1">SUMIFS(CostTrack[[Value]:[Value]],CostTrack[[PA ID]:[PA ID]],$B44,CostTrack[[Vendor - Contract]:[Vendor - Contract]],$H44,CostTrack[[Holdback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44" s="504">
        <f ca="1">SUMIFS(CostTrack[[Value]:[Value]],CostTrack[[PA ID]:[PA ID]],$B44,CostTrack[[Vendor - Contract]:[Vendor - Contract]],$H44,CostTrack[[Holdback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44" s="504">
        <f ca="1">SUMIFS(CostTrack[[Value]:[Value]],CostTrack[[PA ID]:[PA ID]],$B44,CostTrack[[Vendor - Contract]:[Vendor - Contract]],$H44,CostTrack[[Holdback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44" s="504">
        <f ca="1">SUMIFS(CostTrack[[Value]:[Value]],CostTrack[[PA ID]:[PA ID]],$B44,CostTrack[[Vendor - Contract]:[Vendor - Contract]],$H44,CostTrack[[Holdback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44" s="512">
        <f t="shared" ca="1" si="39"/>
        <v>0</v>
      </c>
      <c r="DA44" s="504">
        <f ca="1">SUMIFS(CostTrack[[Value]:[Value]],CostTrack[[PA ID]:[PA ID]],$B44,CostTrack[[Vendor - Contract]:[Vendor - Contract]],$H44,CostTrack[[Holdback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44" s="504">
        <f ca="1">SUMIFS(CostTrack[[Value]:[Value]],CostTrack[[PA ID]:[PA ID]],$B44,CostTrack[[Vendor - Contract]:[Vendor - Contract]],$H44,CostTrack[[Holdback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44" s="504">
        <f ca="1">SUMIFS(CostTrack[[Value]:[Value]],CostTrack[[PA ID]:[PA ID]],$B44,CostTrack[[Vendor - Contract]:[Vendor - Contract]],$H44,CostTrack[[Holdback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44" s="504">
        <f ca="1">SUMIFS(CostTrack[[Value]:[Value]],CostTrack[[PA ID]:[PA ID]],$B44,CostTrack[[Vendor - Contract]:[Vendor - Contract]],$H44,CostTrack[[Holdback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44" s="504">
        <f ca="1">SUMIFS(CostTrack[[Value]:[Value]],CostTrack[[PA ID]:[PA ID]],$B44,CostTrack[[Vendor - Contract]:[Vendor - Contract]],$H44,CostTrack[[Holdback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44" s="504">
        <f ca="1">SUMIFS(CostTrack[[Value]:[Value]],CostTrack[[PA ID]:[PA ID]],$B44,CostTrack[[Vendor - Contract]:[Vendor - Contract]],$H44,CostTrack[[Holdback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44" s="504">
        <f ca="1">SUMIFS(CostTrack[[Value]:[Value]],CostTrack[[PA ID]:[PA ID]],$B44,CostTrack[[Vendor - Contract]:[Vendor - Contract]],$H44,CostTrack[[Holdback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44" s="504">
        <f ca="1">SUMIFS(CostTrack[[Value]:[Value]],CostTrack[[PA ID]:[PA ID]],$B44,CostTrack[[Vendor - Contract]:[Vendor - Contract]],$H44,CostTrack[[Holdback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44" s="504">
        <f ca="1">SUMIFS(CostTrack[[Value]:[Value]],CostTrack[[PA ID]:[PA ID]],$B44,CostTrack[[Vendor - Contract]:[Vendor - Contract]],$H44,CostTrack[[Holdback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44" s="504">
        <f ca="1">SUMIFS(CostTrack[[Value]:[Value]],CostTrack[[PA ID]:[PA ID]],$B44,CostTrack[[Vendor - Contract]:[Vendor - Contract]],$H44,CostTrack[[Holdback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44" s="504">
        <f ca="1">SUMIFS(CostTrack[[Value]:[Value]],CostTrack[[PA ID]:[PA ID]],$B44,CostTrack[[Vendor - Contract]:[Vendor - Contract]],$H44,CostTrack[[Holdback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44" s="504">
        <f ca="1">SUMIFS(CostTrack[[Value]:[Value]],CostTrack[[PA ID]:[PA ID]],$B44,CostTrack[[Vendor - Contract]:[Vendor - Contract]],$H44,CostTrack[[Holdback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44" s="512">
        <f t="shared" ca="1" si="40"/>
        <v>0</v>
      </c>
      <c r="DO44" s="504">
        <f ca="1">SUMIFS(CostTrack[[Value]:[Value]],CostTrack[[PA ID]:[PA ID]],$B44,CostTrack[[Vendor - Contract]:[Vendor - Contract]],$H44,CostTrack[[Holdback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44" s="504">
        <f ca="1">SUMIFS(CostTrack[[Value]:[Value]],CostTrack[[PA ID]:[PA ID]],$B44,CostTrack[[Vendor - Contract]:[Vendor - Contract]],$H44,CostTrack[[Holdback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44" s="504">
        <f ca="1">SUMIFS(CostTrack[[Value]:[Value]],CostTrack[[PA ID]:[PA ID]],$B44,CostTrack[[Vendor - Contract]:[Vendor - Contract]],$H44,CostTrack[[Holdback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44" s="504">
        <f ca="1">SUMIFS(CostTrack[[Value]:[Value]],CostTrack[[PA ID]:[PA ID]],$B44,CostTrack[[Vendor - Contract]:[Vendor - Contract]],$H44,CostTrack[[Holdback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44" s="504">
        <f ca="1">SUMIFS(CostTrack[[Value]:[Value]],CostTrack[[PA ID]:[PA ID]],$B44,CostTrack[[Vendor - Contract]:[Vendor - Contract]],$H44,CostTrack[[Holdback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44" s="504">
        <f ca="1">SUMIFS(CostTrack[[Value]:[Value]],CostTrack[[PA ID]:[PA ID]],$B44,CostTrack[[Vendor - Contract]:[Vendor - Contract]],$H44,CostTrack[[Holdback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44" s="504">
        <f ca="1">SUMIFS(CostTrack[[Value]:[Value]],CostTrack[[PA ID]:[PA ID]],$B44,CostTrack[[Vendor - Contract]:[Vendor - Contract]],$H44,CostTrack[[Holdback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44" s="504">
        <f ca="1">SUMIFS(CostTrack[[Value]:[Value]],CostTrack[[PA ID]:[PA ID]],$B44,CostTrack[[Vendor - Contract]:[Vendor - Contract]],$H44,CostTrack[[Holdback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44" s="504">
        <f ca="1">SUMIFS(CostTrack[[Value]:[Value]],CostTrack[[PA ID]:[PA ID]],$B44,CostTrack[[Vendor - Contract]:[Vendor - Contract]],$H44,CostTrack[[Holdback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44" s="504">
        <f ca="1">SUMIFS(CostTrack[[Value]:[Value]],CostTrack[[PA ID]:[PA ID]],$B44,CostTrack[[Vendor - Contract]:[Vendor - Contract]],$H44,CostTrack[[Holdback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44" s="504">
        <f ca="1">SUMIFS(CostTrack[[Value]:[Value]],CostTrack[[PA ID]:[PA ID]],$B44,CostTrack[[Vendor - Contract]:[Vendor - Contract]],$H44,CostTrack[[Holdback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44" s="504">
        <f ca="1">SUMIFS(CostTrack[[Value]:[Value]],CostTrack[[PA ID]:[PA ID]],$B44,CostTrack[[Vendor - Contract]:[Vendor - Contract]],$H44,CostTrack[[Holdback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44" s="512">
        <f t="shared" ca="1" si="41"/>
        <v>0</v>
      </c>
      <c r="EC44" s="504">
        <f ca="1">SUMIFS(CostTrack[[Value]:[Value]],CostTrack[[PA ID]:[PA ID]],$B44,CostTrack[[Vendor - Contract]:[Vendor - Contract]],$H44,CostTrack[[Holdback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44" s="505"/>
      <c r="EE44" s="505"/>
      <c r="EF44" s="505"/>
      <c r="EG44" s="505"/>
      <c r="EH44" s="505"/>
      <c r="EI44" s="505"/>
      <c r="EJ44" s="505"/>
      <c r="EK44" s="505"/>
      <c r="EL44" s="505"/>
      <c r="EM44" s="505"/>
      <c r="EN44" s="505"/>
      <c r="EO44" s="512">
        <f t="shared" ca="1" si="42"/>
        <v>0</v>
      </c>
      <c r="EQ44" s="505"/>
      <c r="ER44" s="505"/>
      <c r="ES44" s="505"/>
      <c r="ET44" s="505"/>
      <c r="EU44" s="505"/>
      <c r="EV44" s="505"/>
      <c r="EW44" s="505"/>
      <c r="EX44" s="505"/>
      <c r="EY44" s="505"/>
      <c r="EZ44" s="505"/>
      <c r="FA44" s="505"/>
      <c r="FB44" s="505"/>
      <c r="FC44" s="512">
        <f t="shared" si="43"/>
        <v>0</v>
      </c>
      <c r="FE44" s="505"/>
      <c r="FF44" s="505"/>
      <c r="FG44" s="505"/>
      <c r="FH44" s="505"/>
      <c r="FI44" s="505"/>
      <c r="FJ44" s="505"/>
      <c r="FK44" s="505"/>
      <c r="FL44" s="505"/>
      <c r="FM44" s="505"/>
      <c r="FN44" s="505"/>
      <c r="FO44" s="505"/>
      <c r="FP44" s="505"/>
      <c r="FQ44" s="512">
        <f t="shared" si="44"/>
        <v>0</v>
      </c>
      <c r="FS44" s="504">
        <f t="shared" ca="1" si="45"/>
        <v>0</v>
      </c>
    </row>
    <row r="45" spans="1:176">
      <c r="A45" s="216">
        <v>38</v>
      </c>
      <c r="B45" s="219" t="str">
        <f ca="1">INDEX(EAC[PA ID],MATCH($A45,EAC[Row],0))</f>
        <v>100.050.F1</v>
      </c>
      <c r="C45" s="218" t="str">
        <f ca="1">INDEX(EAC[Primary Category],MATCH($A45,EAC[Row],0))</f>
        <v>Administration</v>
      </c>
      <c r="D45" s="218" t="str">
        <f ca="1">INDEX(EAC[Secondary Category],MATCH($A45,EAC[Row],0))</f>
        <v>Other Administration</v>
      </c>
      <c r="E45" s="109" t="str">
        <f ca="1">INDEX(EAC[Phase / Subproject],MATCH($A45,EAC[Row],0))</f>
        <v>--</v>
      </c>
      <c r="F45" s="109" t="str">
        <f ca="1">INDEX(EAC[Phase / Subproject 2],MATCH($A45,EAC[Row],0))</f>
        <v>--</v>
      </c>
      <c r="G45" s="109" t="str">
        <f ca="1">INDEX(EAC[Funding Source],MATCH($A45,EAC[Row],0))</f>
        <v>P-002360</v>
      </c>
      <c r="H45" s="146" t="str">
        <f ca="1">INDEX(EAC[Vendor / Org. with Contract ID],MATCH($A45,EAC[Row],0))</f>
        <v>WDC Consulting-Direct Pay</v>
      </c>
      <c r="I45" s="502">
        <f ca="1">INDEX(EAC[Estimate At Completion],MATCH($A45,EAC[Row],0))</f>
        <v>3324.04</v>
      </c>
      <c r="J45" s="502">
        <f ca="1">SUMIFS(CostTrack[Value],CostTrack[Vendor - Contract],$H45,CostTrack[PA ID],$B45,CostTrack[Holdback (Y/N/R)],"&lt;&gt;Release",CostTrack[Status],"Approved")</f>
        <v>3324.04</v>
      </c>
      <c r="K45" s="503">
        <f t="shared" ca="1" si="14"/>
        <v>0</v>
      </c>
      <c r="M45" s="504">
        <f t="shared" ca="1" si="15"/>
        <v>0</v>
      </c>
      <c r="O45" s="504">
        <f t="shared" ca="1" si="31"/>
        <v>3324.04</v>
      </c>
      <c r="P45" s="504">
        <f t="array" aca="1" ref="P45" ca="1">SUM($U45:$FQ45*_xlfn.ISFORMULA($U45:$FQ45)*ISNUMBER($U$7:$FQ$7)*--(INDEX($U$6:$FQ$6,N(IF({1},COLUMN($U$6:$FQ$6)-COLUMN($T$6)))-MOD(N(IF({1},COLUMN($U$6:$FQ$6)-COLUMN($U$6))),14))="Current Fiscal"))</f>
        <v>0</v>
      </c>
      <c r="Q45" s="504">
        <f t="array" aca="1" ref="Q45" ca="1">SUM($U45:$FQ45*NOT(_xlfn.ISFORMULA($U45:$FQ45))*ISNUMBER($U$7:$FQ$7)*--(INDEX($U$6:$FQ$6,N(IF({1},COLUMN($U$6:$FQ$6)-COLUMN($T$6)))-MOD(N(IF({1},COLUMN($U$6:$FQ$6)-COLUMN($U$6))),14))="Current Fiscal"))</f>
        <v>0</v>
      </c>
      <c r="R45" s="504">
        <f t="shared" ca="1" si="32"/>
        <v>0</v>
      </c>
      <c r="S45" s="504">
        <f t="shared" ca="1" si="33"/>
        <v>0</v>
      </c>
      <c r="U45" s="504">
        <f ca="1">SUMIFS(CostTrack[[Value]:[Value]],CostTrack[[PA ID]:[PA ID]],$B45,CostTrack[[Vendor - Contract]:[Vendor - Contract]],$H45,CostTrack[[Holdback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45" s="504">
        <f ca="1">SUMIFS(CostTrack[[Value]:[Value]],CostTrack[[PA ID]:[PA ID]],$B45,CostTrack[[Vendor - Contract]:[Vendor - Contract]],$H45,CostTrack[[Holdback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45" s="504">
        <f ca="1">SUMIFS(CostTrack[[Value]:[Value]],CostTrack[[PA ID]:[PA ID]],$B45,CostTrack[[Vendor - Contract]:[Vendor - Contract]],$H45,CostTrack[[Holdback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45" s="504">
        <f ca="1">SUMIFS(CostTrack[[Value]:[Value]],CostTrack[[PA ID]:[PA ID]],$B45,CostTrack[[Vendor - Contract]:[Vendor - Contract]],$H45,CostTrack[[Holdback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45" s="504">
        <f ca="1">SUMIFS(CostTrack[[Value]:[Value]],CostTrack[[PA ID]:[PA ID]],$B45,CostTrack[[Vendor - Contract]:[Vendor - Contract]],$H45,CostTrack[[Holdback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45" s="504">
        <f ca="1">SUMIFS(CostTrack[[Value]:[Value]],CostTrack[[PA ID]:[PA ID]],$B45,CostTrack[[Vendor - Contract]:[Vendor - Contract]],$H45,CostTrack[[Holdback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45" s="504">
        <f ca="1">SUMIFS(CostTrack[[Value]:[Value]],CostTrack[[PA ID]:[PA ID]],$B45,CostTrack[[Vendor - Contract]:[Vendor - Contract]],$H45,CostTrack[[Holdback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45" s="504">
        <f ca="1">SUMIFS(CostTrack[[Value]:[Value]],CostTrack[[PA ID]:[PA ID]],$B45,CostTrack[[Vendor - Contract]:[Vendor - Contract]],$H45,CostTrack[[Holdback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45" s="504">
        <f ca="1">SUMIFS(CostTrack[[Value]:[Value]],CostTrack[[PA ID]:[PA ID]],$B45,CostTrack[[Vendor - Contract]:[Vendor - Contract]],$H45,CostTrack[[Holdback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45" s="504">
        <f ca="1">SUMIFS(CostTrack[[Value]:[Value]],CostTrack[[PA ID]:[PA ID]],$B45,CostTrack[[Vendor - Contract]:[Vendor - Contract]],$H45,CostTrack[[Holdback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45" s="504">
        <f ca="1">SUMIFS(CostTrack[[Value]:[Value]],CostTrack[[PA ID]:[PA ID]],$B45,CostTrack[[Vendor - Contract]:[Vendor - Contract]],$H45,CostTrack[[Holdback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45" s="504">
        <f ca="1">SUMIFS(CostTrack[[Value]:[Value]],CostTrack[[PA ID]:[PA ID]],$B45,CostTrack[[Vendor - Contract]:[Vendor - Contract]],$H45,CostTrack[[Holdback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45" s="506">
        <f t="shared" ca="1" si="34"/>
        <v>0</v>
      </c>
      <c r="AI45" s="504">
        <f ca="1">SUMIFS(CostTrack[[Value]:[Value]],CostTrack[[PA ID]:[PA ID]],$B45,CostTrack[[Vendor - Contract]:[Vendor - Contract]],$H45,CostTrack[[Holdback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45" s="504">
        <f ca="1">SUMIFS(CostTrack[[Value]:[Value]],CostTrack[[PA ID]:[PA ID]],$B45,CostTrack[[Vendor - Contract]:[Vendor - Contract]],$H45,CostTrack[[Holdback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45" s="504">
        <f ca="1">SUMIFS(CostTrack[[Value]:[Value]],CostTrack[[PA ID]:[PA ID]],$B45,CostTrack[[Vendor - Contract]:[Vendor - Contract]],$H45,CostTrack[[Holdback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45" s="504">
        <f ca="1">SUMIFS(CostTrack[[Value]:[Value]],CostTrack[[PA ID]:[PA ID]],$B45,CostTrack[[Vendor - Contract]:[Vendor - Contract]],$H45,CostTrack[[Holdback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45" s="504">
        <f ca="1">SUMIFS(CostTrack[[Value]:[Value]],CostTrack[[PA ID]:[PA ID]],$B45,CostTrack[[Vendor - Contract]:[Vendor - Contract]],$H45,CostTrack[[Holdback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45" s="504">
        <f ca="1">SUMIFS(CostTrack[[Value]:[Value]],CostTrack[[PA ID]:[PA ID]],$B45,CostTrack[[Vendor - Contract]:[Vendor - Contract]],$H45,CostTrack[[Holdback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45" s="504">
        <f ca="1">SUMIFS(CostTrack[[Value]:[Value]],CostTrack[[PA ID]:[PA ID]],$B45,CostTrack[[Vendor - Contract]:[Vendor - Contract]],$H45,CostTrack[[Holdback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45" s="504">
        <f ca="1">SUMIFS(CostTrack[[Value]:[Value]],CostTrack[[PA ID]:[PA ID]],$B45,CostTrack[[Vendor - Contract]:[Vendor - Contract]],$H45,CostTrack[[Holdback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45" s="504">
        <f ca="1">SUMIFS(CostTrack[[Value]:[Value]],CostTrack[[PA ID]:[PA ID]],$B45,CostTrack[[Vendor - Contract]:[Vendor - Contract]],$H45,CostTrack[[Holdback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45" s="504">
        <f ca="1">SUMIFS(CostTrack[[Value]:[Value]],CostTrack[[PA ID]:[PA ID]],$B45,CostTrack[[Vendor - Contract]:[Vendor - Contract]],$H45,CostTrack[[Holdback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45" s="504">
        <f ca="1">SUMIFS(CostTrack[[Value]:[Value]],CostTrack[[PA ID]:[PA ID]],$B45,CostTrack[[Vendor - Contract]:[Vendor - Contract]],$H45,CostTrack[[Holdback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45" s="504">
        <f ca="1">SUMIFS(CostTrack[[Value]:[Value]],CostTrack[[PA ID]:[PA ID]],$B45,CostTrack[[Vendor - Contract]:[Vendor - Contract]],$H45,CostTrack[[Holdback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45" s="512">
        <f t="shared" ca="1" si="35"/>
        <v>0</v>
      </c>
      <c r="AW45" s="504">
        <f ca="1">SUMIFS(CostTrack[[Value]:[Value]],CostTrack[[PA ID]:[PA ID]],$B45,CostTrack[[Vendor - Contract]:[Vendor - Contract]],$H45,CostTrack[[Holdback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45" s="504">
        <f ca="1">SUMIFS(CostTrack[[Value]:[Value]],CostTrack[[PA ID]:[PA ID]],$B45,CostTrack[[Vendor - Contract]:[Vendor - Contract]],$H45,CostTrack[[Holdback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3324.04</v>
      </c>
      <c r="AY45" s="504">
        <f ca="1">SUMIFS(CostTrack[[Value]:[Value]],CostTrack[[PA ID]:[PA ID]],$B45,CostTrack[[Vendor - Contract]:[Vendor - Contract]],$H45,CostTrack[[Holdback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45" s="504">
        <f ca="1">SUMIFS(CostTrack[[Value]:[Value]],CostTrack[[PA ID]:[PA ID]],$B45,CostTrack[[Vendor - Contract]:[Vendor - Contract]],$H45,CostTrack[[Holdback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45" s="504">
        <f ca="1">SUMIFS(CostTrack[[Value]:[Value]],CostTrack[[PA ID]:[PA ID]],$B45,CostTrack[[Vendor - Contract]:[Vendor - Contract]],$H45,CostTrack[[Holdback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45" s="504">
        <f ca="1">SUMIFS(CostTrack[[Value]:[Value]],CostTrack[[PA ID]:[PA ID]],$B45,CostTrack[[Vendor - Contract]:[Vendor - Contract]],$H45,CostTrack[[Holdback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45" s="504">
        <f ca="1">SUMIFS(CostTrack[[Value]:[Value]],CostTrack[[PA ID]:[PA ID]],$B45,CostTrack[[Vendor - Contract]:[Vendor - Contract]],$H45,CostTrack[[Holdback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45" s="504">
        <f ca="1">SUMIFS(CostTrack[[Value]:[Value]],CostTrack[[PA ID]:[PA ID]],$B45,CostTrack[[Vendor - Contract]:[Vendor - Contract]],$H45,CostTrack[[Holdback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45" s="504">
        <f ca="1">SUMIFS(CostTrack[[Value]:[Value]],CostTrack[[PA ID]:[PA ID]],$B45,CostTrack[[Vendor - Contract]:[Vendor - Contract]],$H45,CostTrack[[Holdback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45" s="504">
        <f ca="1">SUMIFS(CostTrack[[Value]:[Value]],CostTrack[[PA ID]:[PA ID]],$B45,CostTrack[[Vendor - Contract]:[Vendor - Contract]],$H45,CostTrack[[Holdback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45" s="504">
        <f ca="1">SUMIFS(CostTrack[[Value]:[Value]],CostTrack[[PA ID]:[PA ID]],$B45,CostTrack[[Vendor - Contract]:[Vendor - Contract]],$H45,CostTrack[[Holdback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45" s="504">
        <f ca="1">SUMIFS(CostTrack[[Value]:[Value]],CostTrack[[PA ID]:[PA ID]],$B45,CostTrack[[Vendor - Contract]:[Vendor - Contract]],$H45,CostTrack[[Holdback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45" s="512">
        <f t="shared" ca="1" si="36"/>
        <v>3324.04</v>
      </c>
      <c r="BK45" s="504">
        <f ca="1">SUMIFS(CostTrack[[Value]:[Value]],CostTrack[[PA ID]:[PA ID]],$B45,CostTrack[[Vendor - Contract]:[Vendor - Contract]],$H45,CostTrack[[Holdback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45" s="504">
        <f ca="1">SUMIFS(CostTrack[[Value]:[Value]],CostTrack[[PA ID]:[PA ID]],$B45,CostTrack[[Vendor - Contract]:[Vendor - Contract]],$H45,CostTrack[[Holdback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45" s="504">
        <f ca="1">SUMIFS(CostTrack[[Value]:[Value]],CostTrack[[PA ID]:[PA ID]],$B45,CostTrack[[Vendor - Contract]:[Vendor - Contract]],$H45,CostTrack[[Holdback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45" s="504">
        <f ca="1">SUMIFS(CostTrack[[Value]:[Value]],CostTrack[[PA ID]:[PA ID]],$B45,CostTrack[[Vendor - Contract]:[Vendor - Contract]],$H45,CostTrack[[Holdback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45" s="504">
        <f ca="1">SUMIFS(CostTrack[[Value]:[Value]],CostTrack[[PA ID]:[PA ID]],$B45,CostTrack[[Vendor - Contract]:[Vendor - Contract]],$H45,CostTrack[[Holdback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45" s="504">
        <f ca="1">SUMIFS(CostTrack[[Value]:[Value]],CostTrack[[PA ID]:[PA ID]],$B45,CostTrack[[Vendor - Contract]:[Vendor - Contract]],$H45,CostTrack[[Holdback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45" s="504">
        <f ca="1">SUMIFS(CostTrack[[Value]:[Value]],CostTrack[[PA ID]:[PA ID]],$B45,CostTrack[[Vendor - Contract]:[Vendor - Contract]],$H45,CostTrack[[Holdback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45" s="504">
        <f ca="1">SUMIFS(CostTrack[[Value]:[Value]],CostTrack[[PA ID]:[PA ID]],$B45,CostTrack[[Vendor - Contract]:[Vendor - Contract]],$H45,CostTrack[[Holdback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45" s="504">
        <f ca="1">SUMIFS(CostTrack[[Value]:[Value]],CostTrack[[PA ID]:[PA ID]],$B45,CostTrack[[Vendor - Contract]:[Vendor - Contract]],$H45,CostTrack[[Holdback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45" s="504">
        <f ca="1">SUMIFS(CostTrack[[Value]:[Value]],CostTrack[[PA ID]:[PA ID]],$B45,CostTrack[[Vendor - Contract]:[Vendor - Contract]],$H45,CostTrack[[Holdback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45" s="504">
        <f ca="1">SUMIFS(CostTrack[[Value]:[Value]],CostTrack[[PA ID]:[PA ID]],$B45,CostTrack[[Vendor - Contract]:[Vendor - Contract]],$H45,CostTrack[[Holdback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45" s="504">
        <f ca="1">SUMIFS(CostTrack[[Value]:[Value]],CostTrack[[PA ID]:[PA ID]],$B45,CostTrack[[Vendor - Contract]:[Vendor - Contract]],$H45,CostTrack[[Holdback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45" s="512">
        <f t="shared" ca="1" si="37"/>
        <v>0</v>
      </c>
      <c r="BY45" s="504">
        <f ca="1">SUMIFS(CostTrack[[Value]:[Value]],CostTrack[[PA ID]:[PA ID]],$B45,CostTrack[[Vendor - Contract]:[Vendor - Contract]],$H45,CostTrack[[Holdback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45" s="504">
        <f ca="1">SUMIFS(CostTrack[[Value]:[Value]],CostTrack[[PA ID]:[PA ID]],$B45,CostTrack[[Vendor - Contract]:[Vendor - Contract]],$H45,CostTrack[[Holdback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45" s="504">
        <f ca="1">SUMIFS(CostTrack[[Value]:[Value]],CostTrack[[PA ID]:[PA ID]],$B45,CostTrack[[Vendor - Contract]:[Vendor - Contract]],$H45,CostTrack[[Holdback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45" s="504">
        <f ca="1">SUMIFS(CostTrack[[Value]:[Value]],CostTrack[[PA ID]:[PA ID]],$B45,CostTrack[[Vendor - Contract]:[Vendor - Contract]],$H45,CostTrack[[Holdback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45" s="504">
        <f ca="1">SUMIFS(CostTrack[[Value]:[Value]],CostTrack[[PA ID]:[PA ID]],$B45,CostTrack[[Vendor - Contract]:[Vendor - Contract]],$H45,CostTrack[[Holdback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45" s="504">
        <f ca="1">SUMIFS(CostTrack[[Value]:[Value]],CostTrack[[PA ID]:[PA ID]],$B45,CostTrack[[Vendor - Contract]:[Vendor - Contract]],$H45,CostTrack[[Holdback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45" s="504">
        <f ca="1">SUMIFS(CostTrack[[Value]:[Value]],CostTrack[[PA ID]:[PA ID]],$B45,CostTrack[[Vendor - Contract]:[Vendor - Contract]],$H45,CostTrack[[Holdback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45" s="504">
        <f ca="1">SUMIFS(CostTrack[[Value]:[Value]],CostTrack[[PA ID]:[PA ID]],$B45,CostTrack[[Vendor - Contract]:[Vendor - Contract]],$H45,CostTrack[[Holdback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45" s="504">
        <f ca="1">SUMIFS(CostTrack[[Value]:[Value]],CostTrack[[PA ID]:[PA ID]],$B45,CostTrack[[Vendor - Contract]:[Vendor - Contract]],$H45,CostTrack[[Holdback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45" s="504">
        <f ca="1">SUMIFS(CostTrack[[Value]:[Value]],CostTrack[[PA ID]:[PA ID]],$B45,CostTrack[[Vendor - Contract]:[Vendor - Contract]],$H45,CostTrack[[Holdback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45" s="504">
        <f ca="1">SUMIFS(CostTrack[[Value]:[Value]],CostTrack[[PA ID]:[PA ID]],$B45,CostTrack[[Vendor - Contract]:[Vendor - Contract]],$H45,CostTrack[[Holdback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45" s="504">
        <f ca="1">SUMIFS(CostTrack[[Value]:[Value]],CostTrack[[PA ID]:[PA ID]],$B45,CostTrack[[Vendor - Contract]:[Vendor - Contract]],$H45,CostTrack[[Holdback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45" s="512">
        <f t="shared" ca="1" si="38"/>
        <v>0</v>
      </c>
      <c r="CM45" s="504">
        <f ca="1">SUMIFS(CostTrack[[Value]:[Value]],CostTrack[[PA ID]:[PA ID]],$B45,CostTrack[[Vendor - Contract]:[Vendor - Contract]],$H45,CostTrack[[Holdback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45" s="504">
        <f ca="1">SUMIFS(CostTrack[[Value]:[Value]],CostTrack[[PA ID]:[PA ID]],$B45,CostTrack[[Vendor - Contract]:[Vendor - Contract]],$H45,CostTrack[[Holdback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45" s="504">
        <f ca="1">SUMIFS(CostTrack[[Value]:[Value]],CostTrack[[PA ID]:[PA ID]],$B45,CostTrack[[Vendor - Contract]:[Vendor - Contract]],$H45,CostTrack[[Holdback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45" s="504">
        <f ca="1">SUMIFS(CostTrack[[Value]:[Value]],CostTrack[[PA ID]:[PA ID]],$B45,CostTrack[[Vendor - Contract]:[Vendor - Contract]],$H45,CostTrack[[Holdback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45" s="504">
        <f ca="1">SUMIFS(CostTrack[[Value]:[Value]],CostTrack[[PA ID]:[PA ID]],$B45,CostTrack[[Vendor - Contract]:[Vendor - Contract]],$H45,CostTrack[[Holdback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45" s="504">
        <f ca="1">SUMIFS(CostTrack[[Value]:[Value]],CostTrack[[PA ID]:[PA ID]],$B45,CostTrack[[Vendor - Contract]:[Vendor - Contract]],$H45,CostTrack[[Holdback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45" s="504">
        <f ca="1">SUMIFS(CostTrack[[Value]:[Value]],CostTrack[[PA ID]:[PA ID]],$B45,CostTrack[[Vendor - Contract]:[Vendor - Contract]],$H45,CostTrack[[Holdback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45" s="504">
        <f ca="1">SUMIFS(CostTrack[[Value]:[Value]],CostTrack[[PA ID]:[PA ID]],$B45,CostTrack[[Vendor - Contract]:[Vendor - Contract]],$H45,CostTrack[[Holdback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45" s="504">
        <f ca="1">SUMIFS(CostTrack[[Value]:[Value]],CostTrack[[PA ID]:[PA ID]],$B45,CostTrack[[Vendor - Contract]:[Vendor - Contract]],$H45,CostTrack[[Holdback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45" s="504">
        <f ca="1">SUMIFS(CostTrack[[Value]:[Value]],CostTrack[[PA ID]:[PA ID]],$B45,CostTrack[[Vendor - Contract]:[Vendor - Contract]],$H45,CostTrack[[Holdback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45" s="504">
        <f ca="1">SUMIFS(CostTrack[[Value]:[Value]],CostTrack[[PA ID]:[PA ID]],$B45,CostTrack[[Vendor - Contract]:[Vendor - Contract]],$H45,CostTrack[[Holdback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45" s="504">
        <f ca="1">SUMIFS(CostTrack[[Value]:[Value]],CostTrack[[PA ID]:[PA ID]],$B45,CostTrack[[Vendor - Contract]:[Vendor - Contract]],$H45,CostTrack[[Holdback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45" s="512">
        <f t="shared" ca="1" si="39"/>
        <v>0</v>
      </c>
      <c r="DA45" s="504">
        <f ca="1">SUMIFS(CostTrack[[Value]:[Value]],CostTrack[[PA ID]:[PA ID]],$B45,CostTrack[[Vendor - Contract]:[Vendor - Contract]],$H45,CostTrack[[Holdback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45" s="504">
        <f ca="1">SUMIFS(CostTrack[[Value]:[Value]],CostTrack[[PA ID]:[PA ID]],$B45,CostTrack[[Vendor - Contract]:[Vendor - Contract]],$H45,CostTrack[[Holdback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45" s="504">
        <f ca="1">SUMIFS(CostTrack[[Value]:[Value]],CostTrack[[PA ID]:[PA ID]],$B45,CostTrack[[Vendor - Contract]:[Vendor - Contract]],$H45,CostTrack[[Holdback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45" s="504">
        <f ca="1">SUMIFS(CostTrack[[Value]:[Value]],CostTrack[[PA ID]:[PA ID]],$B45,CostTrack[[Vendor - Contract]:[Vendor - Contract]],$H45,CostTrack[[Holdback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45" s="504">
        <f ca="1">SUMIFS(CostTrack[[Value]:[Value]],CostTrack[[PA ID]:[PA ID]],$B45,CostTrack[[Vendor - Contract]:[Vendor - Contract]],$H45,CostTrack[[Holdback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45" s="504">
        <f ca="1">SUMIFS(CostTrack[[Value]:[Value]],CostTrack[[PA ID]:[PA ID]],$B45,CostTrack[[Vendor - Contract]:[Vendor - Contract]],$H45,CostTrack[[Holdback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45" s="504">
        <f ca="1">SUMIFS(CostTrack[[Value]:[Value]],CostTrack[[PA ID]:[PA ID]],$B45,CostTrack[[Vendor - Contract]:[Vendor - Contract]],$H45,CostTrack[[Holdback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45" s="504">
        <f ca="1">SUMIFS(CostTrack[[Value]:[Value]],CostTrack[[PA ID]:[PA ID]],$B45,CostTrack[[Vendor - Contract]:[Vendor - Contract]],$H45,CostTrack[[Holdback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45" s="504">
        <f ca="1">SUMIFS(CostTrack[[Value]:[Value]],CostTrack[[PA ID]:[PA ID]],$B45,CostTrack[[Vendor - Contract]:[Vendor - Contract]],$H45,CostTrack[[Holdback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45" s="504">
        <f ca="1">SUMIFS(CostTrack[[Value]:[Value]],CostTrack[[PA ID]:[PA ID]],$B45,CostTrack[[Vendor - Contract]:[Vendor - Contract]],$H45,CostTrack[[Holdback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45" s="504">
        <f ca="1">SUMIFS(CostTrack[[Value]:[Value]],CostTrack[[PA ID]:[PA ID]],$B45,CostTrack[[Vendor - Contract]:[Vendor - Contract]],$H45,CostTrack[[Holdback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45" s="504">
        <f ca="1">SUMIFS(CostTrack[[Value]:[Value]],CostTrack[[PA ID]:[PA ID]],$B45,CostTrack[[Vendor - Contract]:[Vendor - Contract]],$H45,CostTrack[[Holdback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45" s="512">
        <f t="shared" ca="1" si="40"/>
        <v>0</v>
      </c>
      <c r="DO45" s="504">
        <f ca="1">SUMIFS(CostTrack[[Value]:[Value]],CostTrack[[PA ID]:[PA ID]],$B45,CostTrack[[Vendor - Contract]:[Vendor - Contract]],$H45,CostTrack[[Holdback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45" s="504">
        <f ca="1">SUMIFS(CostTrack[[Value]:[Value]],CostTrack[[PA ID]:[PA ID]],$B45,CostTrack[[Vendor - Contract]:[Vendor - Contract]],$H45,CostTrack[[Holdback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45" s="504">
        <f ca="1">SUMIFS(CostTrack[[Value]:[Value]],CostTrack[[PA ID]:[PA ID]],$B45,CostTrack[[Vendor - Contract]:[Vendor - Contract]],$H45,CostTrack[[Holdback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45" s="504">
        <f ca="1">SUMIFS(CostTrack[[Value]:[Value]],CostTrack[[PA ID]:[PA ID]],$B45,CostTrack[[Vendor - Contract]:[Vendor - Contract]],$H45,CostTrack[[Holdback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45" s="504">
        <f ca="1">SUMIFS(CostTrack[[Value]:[Value]],CostTrack[[PA ID]:[PA ID]],$B45,CostTrack[[Vendor - Contract]:[Vendor - Contract]],$H45,CostTrack[[Holdback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45" s="504">
        <f ca="1">SUMIFS(CostTrack[[Value]:[Value]],CostTrack[[PA ID]:[PA ID]],$B45,CostTrack[[Vendor - Contract]:[Vendor - Contract]],$H45,CostTrack[[Holdback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45" s="504">
        <f ca="1">SUMIFS(CostTrack[[Value]:[Value]],CostTrack[[PA ID]:[PA ID]],$B45,CostTrack[[Vendor - Contract]:[Vendor - Contract]],$H45,CostTrack[[Holdback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45" s="504">
        <f ca="1">SUMIFS(CostTrack[[Value]:[Value]],CostTrack[[PA ID]:[PA ID]],$B45,CostTrack[[Vendor - Contract]:[Vendor - Contract]],$H45,CostTrack[[Holdback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45" s="504">
        <f ca="1">SUMIFS(CostTrack[[Value]:[Value]],CostTrack[[PA ID]:[PA ID]],$B45,CostTrack[[Vendor - Contract]:[Vendor - Contract]],$H45,CostTrack[[Holdback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45" s="504">
        <f ca="1">SUMIFS(CostTrack[[Value]:[Value]],CostTrack[[PA ID]:[PA ID]],$B45,CostTrack[[Vendor - Contract]:[Vendor - Contract]],$H45,CostTrack[[Holdback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45" s="504">
        <f ca="1">SUMIFS(CostTrack[[Value]:[Value]],CostTrack[[PA ID]:[PA ID]],$B45,CostTrack[[Vendor - Contract]:[Vendor - Contract]],$H45,CostTrack[[Holdback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45" s="504">
        <f ca="1">SUMIFS(CostTrack[[Value]:[Value]],CostTrack[[PA ID]:[PA ID]],$B45,CostTrack[[Vendor - Contract]:[Vendor - Contract]],$H45,CostTrack[[Holdback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45" s="512">
        <f t="shared" ca="1" si="41"/>
        <v>0</v>
      </c>
      <c r="EC45" s="504">
        <f ca="1">SUMIFS(CostTrack[[Value]:[Value]],CostTrack[[PA ID]:[PA ID]],$B45,CostTrack[[Vendor - Contract]:[Vendor - Contract]],$H45,CostTrack[[Holdback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45" s="505"/>
      <c r="EE45" s="505"/>
      <c r="EF45" s="505"/>
      <c r="EG45" s="505"/>
      <c r="EH45" s="505"/>
      <c r="EI45" s="505"/>
      <c r="EJ45" s="505"/>
      <c r="EK45" s="505"/>
      <c r="EL45" s="505"/>
      <c r="EM45" s="505"/>
      <c r="EN45" s="505"/>
      <c r="EO45" s="512">
        <f t="shared" ca="1" si="42"/>
        <v>0</v>
      </c>
      <c r="EQ45" s="505"/>
      <c r="ER45" s="505"/>
      <c r="ES45" s="505"/>
      <c r="ET45" s="505"/>
      <c r="EU45" s="505"/>
      <c r="EV45" s="505"/>
      <c r="EW45" s="505"/>
      <c r="EX45" s="505"/>
      <c r="EY45" s="505"/>
      <c r="EZ45" s="505"/>
      <c r="FA45" s="505"/>
      <c r="FB45" s="505"/>
      <c r="FC45" s="512">
        <f t="shared" si="43"/>
        <v>0</v>
      </c>
      <c r="FE45" s="505"/>
      <c r="FF45" s="505"/>
      <c r="FG45" s="505"/>
      <c r="FH45" s="505"/>
      <c r="FI45" s="505"/>
      <c r="FJ45" s="505"/>
      <c r="FK45" s="505"/>
      <c r="FL45" s="505"/>
      <c r="FM45" s="505"/>
      <c r="FN45" s="505"/>
      <c r="FO45" s="505"/>
      <c r="FP45" s="505"/>
      <c r="FQ45" s="512">
        <f t="shared" si="44"/>
        <v>0</v>
      </c>
      <c r="FS45" s="504">
        <f t="shared" ca="1" si="45"/>
        <v>3324.04</v>
      </c>
    </row>
    <row r="46" spans="1:176">
      <c r="A46" s="216">
        <v>39</v>
      </c>
      <c r="B46" s="219" t="str">
        <f ca="1">INDEX(EAC[PA ID],MATCH($A46,EAC[Row],0))</f>
        <v>300.040.F1</v>
      </c>
      <c r="C46" s="218" t="str">
        <f ca="1">INDEX(EAC[Primary Category],MATCH($A46,EAC[Row],0))</f>
        <v>Construction</v>
      </c>
      <c r="D46" s="218" t="str">
        <f ca="1">INDEX(EAC[Secondary Category],MATCH($A46,EAC[Row],0))</f>
        <v>Other Contractor</v>
      </c>
      <c r="E46" s="109" t="str">
        <f ca="1">INDEX(EAC[Phase / Subproject],MATCH($A46,EAC[Row],0))</f>
        <v>--</v>
      </c>
      <c r="F46" s="109" t="str">
        <f ca="1">INDEX(EAC[Phase / Subproject 2],MATCH($A46,EAC[Row],0))</f>
        <v>--</v>
      </c>
      <c r="G46" s="109" t="str">
        <f ca="1">INDEX(EAC[Funding Source],MATCH($A46,EAC[Row],0))</f>
        <v>P-002360</v>
      </c>
      <c r="H46" s="146" t="str">
        <f ca="1">INDEX(EAC[Vendor / Org. with Contract ID],MATCH($A46,EAC[Row],0))</f>
        <v>Future / Not Awarded</v>
      </c>
      <c r="I46" s="502">
        <f ca="1">INDEX(EAC[Estimate At Completion],MATCH($A46,EAC[Row],0))</f>
        <v>0</v>
      </c>
      <c r="J46" s="502">
        <f ca="1">SUMIFS(CostTrack[Value],CostTrack[Vendor - Contract],$H46,CostTrack[PA ID],$B46,CostTrack[Holdback (Y/N/R)],"&lt;&gt;Release",CostTrack[Status],"Approved")</f>
        <v>0</v>
      </c>
      <c r="K46" s="503">
        <f t="shared" ca="1" si="14"/>
        <v>0</v>
      </c>
      <c r="M46" s="504">
        <f t="shared" ca="1" si="15"/>
        <v>0</v>
      </c>
      <c r="O46" s="504">
        <f t="shared" ca="1" si="31"/>
        <v>0</v>
      </c>
      <c r="P46" s="504">
        <f t="array" aca="1" ref="P46" ca="1">SUM($U46:$FQ46*_xlfn.ISFORMULA($U46:$FQ46)*ISNUMBER($U$7:$FQ$7)*--(INDEX($U$6:$FQ$6,N(IF({1},COLUMN($U$6:$FQ$6)-COLUMN($T$6)))-MOD(N(IF({1},COLUMN($U$6:$FQ$6)-COLUMN($U$6))),14))="Current Fiscal"))</f>
        <v>0</v>
      </c>
      <c r="Q46" s="504">
        <f t="array" aca="1" ref="Q46" ca="1">SUM($U46:$FQ46*NOT(_xlfn.ISFORMULA($U46:$FQ46))*ISNUMBER($U$7:$FQ$7)*--(INDEX($U$6:$FQ$6,N(IF({1},COLUMN($U$6:$FQ$6)-COLUMN($T$6)))-MOD(N(IF({1},COLUMN($U$6:$FQ$6)-COLUMN($U$6))),14))="Current Fiscal"))</f>
        <v>0</v>
      </c>
      <c r="R46" s="504">
        <f t="shared" ca="1" si="32"/>
        <v>0</v>
      </c>
      <c r="S46" s="504">
        <f t="shared" ca="1" si="33"/>
        <v>0</v>
      </c>
      <c r="U46" s="504">
        <f ca="1">SUMIFS(CostTrack[[Value]:[Value]],CostTrack[[PA ID]:[PA ID]],$B46,CostTrack[[Vendor - Contract]:[Vendor - Contract]],$H46,CostTrack[[Holdback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46" s="504">
        <f ca="1">SUMIFS(CostTrack[[Value]:[Value]],CostTrack[[PA ID]:[PA ID]],$B46,CostTrack[[Vendor - Contract]:[Vendor - Contract]],$H46,CostTrack[[Holdback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46" s="504">
        <f ca="1">SUMIFS(CostTrack[[Value]:[Value]],CostTrack[[PA ID]:[PA ID]],$B46,CostTrack[[Vendor - Contract]:[Vendor - Contract]],$H46,CostTrack[[Holdback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46" s="504">
        <f ca="1">SUMIFS(CostTrack[[Value]:[Value]],CostTrack[[PA ID]:[PA ID]],$B46,CostTrack[[Vendor - Contract]:[Vendor - Contract]],$H46,CostTrack[[Holdback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46" s="504">
        <f ca="1">SUMIFS(CostTrack[[Value]:[Value]],CostTrack[[PA ID]:[PA ID]],$B46,CostTrack[[Vendor - Contract]:[Vendor - Contract]],$H46,CostTrack[[Holdback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46" s="504">
        <f ca="1">SUMIFS(CostTrack[[Value]:[Value]],CostTrack[[PA ID]:[PA ID]],$B46,CostTrack[[Vendor - Contract]:[Vendor - Contract]],$H46,CostTrack[[Holdback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46" s="504">
        <f ca="1">SUMIFS(CostTrack[[Value]:[Value]],CostTrack[[PA ID]:[PA ID]],$B46,CostTrack[[Vendor - Contract]:[Vendor - Contract]],$H46,CostTrack[[Holdback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46" s="504">
        <f ca="1">SUMIFS(CostTrack[[Value]:[Value]],CostTrack[[PA ID]:[PA ID]],$B46,CostTrack[[Vendor - Contract]:[Vendor - Contract]],$H46,CostTrack[[Holdback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46" s="504">
        <f ca="1">SUMIFS(CostTrack[[Value]:[Value]],CostTrack[[PA ID]:[PA ID]],$B46,CostTrack[[Vendor - Contract]:[Vendor - Contract]],$H46,CostTrack[[Holdback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46" s="504">
        <f ca="1">SUMIFS(CostTrack[[Value]:[Value]],CostTrack[[PA ID]:[PA ID]],$B46,CostTrack[[Vendor - Contract]:[Vendor - Contract]],$H46,CostTrack[[Holdback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46" s="504">
        <f ca="1">SUMIFS(CostTrack[[Value]:[Value]],CostTrack[[PA ID]:[PA ID]],$B46,CostTrack[[Vendor - Contract]:[Vendor - Contract]],$H46,CostTrack[[Holdback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46" s="504">
        <f ca="1">SUMIFS(CostTrack[[Value]:[Value]],CostTrack[[PA ID]:[PA ID]],$B46,CostTrack[[Vendor - Contract]:[Vendor - Contract]],$H46,CostTrack[[Holdback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46" s="506">
        <f t="shared" ca="1" si="34"/>
        <v>0</v>
      </c>
      <c r="AI46" s="504">
        <f ca="1">SUMIFS(CostTrack[[Value]:[Value]],CostTrack[[PA ID]:[PA ID]],$B46,CostTrack[[Vendor - Contract]:[Vendor - Contract]],$H46,CostTrack[[Holdback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46" s="504">
        <f ca="1">SUMIFS(CostTrack[[Value]:[Value]],CostTrack[[PA ID]:[PA ID]],$B46,CostTrack[[Vendor - Contract]:[Vendor - Contract]],$H46,CostTrack[[Holdback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46" s="504">
        <f ca="1">SUMIFS(CostTrack[[Value]:[Value]],CostTrack[[PA ID]:[PA ID]],$B46,CostTrack[[Vendor - Contract]:[Vendor - Contract]],$H46,CostTrack[[Holdback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46" s="504">
        <f ca="1">SUMIFS(CostTrack[[Value]:[Value]],CostTrack[[PA ID]:[PA ID]],$B46,CostTrack[[Vendor - Contract]:[Vendor - Contract]],$H46,CostTrack[[Holdback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46" s="504">
        <f ca="1">SUMIFS(CostTrack[[Value]:[Value]],CostTrack[[PA ID]:[PA ID]],$B46,CostTrack[[Vendor - Contract]:[Vendor - Contract]],$H46,CostTrack[[Holdback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46" s="504">
        <f ca="1">SUMIFS(CostTrack[[Value]:[Value]],CostTrack[[PA ID]:[PA ID]],$B46,CostTrack[[Vendor - Contract]:[Vendor - Contract]],$H46,CostTrack[[Holdback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46" s="504">
        <f ca="1">SUMIFS(CostTrack[[Value]:[Value]],CostTrack[[PA ID]:[PA ID]],$B46,CostTrack[[Vendor - Contract]:[Vendor - Contract]],$H46,CostTrack[[Holdback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46" s="504">
        <f ca="1">SUMIFS(CostTrack[[Value]:[Value]],CostTrack[[PA ID]:[PA ID]],$B46,CostTrack[[Vendor - Contract]:[Vendor - Contract]],$H46,CostTrack[[Holdback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46" s="504">
        <f ca="1">SUMIFS(CostTrack[[Value]:[Value]],CostTrack[[PA ID]:[PA ID]],$B46,CostTrack[[Vendor - Contract]:[Vendor - Contract]],$H46,CostTrack[[Holdback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46" s="504">
        <f ca="1">SUMIFS(CostTrack[[Value]:[Value]],CostTrack[[PA ID]:[PA ID]],$B46,CostTrack[[Vendor - Contract]:[Vendor - Contract]],$H46,CostTrack[[Holdback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46" s="504">
        <f ca="1">SUMIFS(CostTrack[[Value]:[Value]],CostTrack[[PA ID]:[PA ID]],$B46,CostTrack[[Vendor - Contract]:[Vendor - Contract]],$H46,CostTrack[[Holdback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46" s="504">
        <f ca="1">SUMIFS(CostTrack[[Value]:[Value]],CostTrack[[PA ID]:[PA ID]],$B46,CostTrack[[Vendor - Contract]:[Vendor - Contract]],$H46,CostTrack[[Holdback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46" s="512">
        <f t="shared" ca="1" si="35"/>
        <v>0</v>
      </c>
      <c r="AW46" s="504">
        <f ca="1">SUMIFS(CostTrack[[Value]:[Value]],CostTrack[[PA ID]:[PA ID]],$B46,CostTrack[[Vendor - Contract]:[Vendor - Contract]],$H46,CostTrack[[Holdback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46" s="504">
        <f ca="1">SUMIFS(CostTrack[[Value]:[Value]],CostTrack[[PA ID]:[PA ID]],$B46,CostTrack[[Vendor - Contract]:[Vendor - Contract]],$H46,CostTrack[[Holdback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46" s="504">
        <f ca="1">SUMIFS(CostTrack[[Value]:[Value]],CostTrack[[PA ID]:[PA ID]],$B46,CostTrack[[Vendor - Contract]:[Vendor - Contract]],$H46,CostTrack[[Holdback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46" s="504">
        <f ca="1">SUMIFS(CostTrack[[Value]:[Value]],CostTrack[[PA ID]:[PA ID]],$B46,CostTrack[[Vendor - Contract]:[Vendor - Contract]],$H46,CostTrack[[Holdback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46" s="504">
        <f ca="1">SUMIFS(CostTrack[[Value]:[Value]],CostTrack[[PA ID]:[PA ID]],$B46,CostTrack[[Vendor - Contract]:[Vendor - Contract]],$H46,CostTrack[[Holdback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46" s="504">
        <f ca="1">SUMIFS(CostTrack[[Value]:[Value]],CostTrack[[PA ID]:[PA ID]],$B46,CostTrack[[Vendor - Contract]:[Vendor - Contract]],$H46,CostTrack[[Holdback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46" s="504">
        <f ca="1">SUMIFS(CostTrack[[Value]:[Value]],CostTrack[[PA ID]:[PA ID]],$B46,CostTrack[[Vendor - Contract]:[Vendor - Contract]],$H46,CostTrack[[Holdback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46" s="504">
        <f ca="1">SUMIFS(CostTrack[[Value]:[Value]],CostTrack[[PA ID]:[PA ID]],$B46,CostTrack[[Vendor - Contract]:[Vendor - Contract]],$H46,CostTrack[[Holdback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46" s="504">
        <f ca="1">SUMIFS(CostTrack[[Value]:[Value]],CostTrack[[PA ID]:[PA ID]],$B46,CostTrack[[Vendor - Contract]:[Vendor - Contract]],$H46,CostTrack[[Holdback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46" s="504">
        <f ca="1">SUMIFS(CostTrack[[Value]:[Value]],CostTrack[[PA ID]:[PA ID]],$B46,CostTrack[[Vendor - Contract]:[Vendor - Contract]],$H46,CostTrack[[Holdback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46" s="504">
        <f ca="1">SUMIFS(CostTrack[[Value]:[Value]],CostTrack[[PA ID]:[PA ID]],$B46,CostTrack[[Vendor - Contract]:[Vendor - Contract]],$H46,CostTrack[[Holdback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46" s="504">
        <f ca="1">SUMIFS(CostTrack[[Value]:[Value]],CostTrack[[PA ID]:[PA ID]],$B46,CostTrack[[Vendor - Contract]:[Vendor - Contract]],$H46,CostTrack[[Holdback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46" s="512">
        <f t="shared" ca="1" si="36"/>
        <v>0</v>
      </c>
      <c r="BK46" s="504">
        <f ca="1">SUMIFS(CostTrack[[Value]:[Value]],CostTrack[[PA ID]:[PA ID]],$B46,CostTrack[[Vendor - Contract]:[Vendor - Contract]],$H46,CostTrack[[Holdback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46" s="504">
        <f ca="1">SUMIFS(CostTrack[[Value]:[Value]],CostTrack[[PA ID]:[PA ID]],$B46,CostTrack[[Vendor - Contract]:[Vendor - Contract]],$H46,CostTrack[[Holdback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46" s="504">
        <f ca="1">SUMIFS(CostTrack[[Value]:[Value]],CostTrack[[PA ID]:[PA ID]],$B46,CostTrack[[Vendor - Contract]:[Vendor - Contract]],$H46,CostTrack[[Holdback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46" s="504">
        <f ca="1">SUMIFS(CostTrack[[Value]:[Value]],CostTrack[[PA ID]:[PA ID]],$B46,CostTrack[[Vendor - Contract]:[Vendor - Contract]],$H46,CostTrack[[Holdback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46" s="504">
        <f ca="1">SUMIFS(CostTrack[[Value]:[Value]],CostTrack[[PA ID]:[PA ID]],$B46,CostTrack[[Vendor - Contract]:[Vendor - Contract]],$H46,CostTrack[[Holdback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46" s="504">
        <f ca="1">SUMIFS(CostTrack[[Value]:[Value]],CostTrack[[PA ID]:[PA ID]],$B46,CostTrack[[Vendor - Contract]:[Vendor - Contract]],$H46,CostTrack[[Holdback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46" s="504">
        <f ca="1">SUMIFS(CostTrack[[Value]:[Value]],CostTrack[[PA ID]:[PA ID]],$B46,CostTrack[[Vendor - Contract]:[Vendor - Contract]],$H46,CostTrack[[Holdback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46" s="504">
        <f ca="1">SUMIFS(CostTrack[[Value]:[Value]],CostTrack[[PA ID]:[PA ID]],$B46,CostTrack[[Vendor - Contract]:[Vendor - Contract]],$H46,CostTrack[[Holdback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46" s="504">
        <f ca="1">SUMIFS(CostTrack[[Value]:[Value]],CostTrack[[PA ID]:[PA ID]],$B46,CostTrack[[Vendor - Contract]:[Vendor - Contract]],$H46,CostTrack[[Holdback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46" s="504">
        <f ca="1">SUMIFS(CostTrack[[Value]:[Value]],CostTrack[[PA ID]:[PA ID]],$B46,CostTrack[[Vendor - Contract]:[Vendor - Contract]],$H46,CostTrack[[Holdback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46" s="504">
        <f ca="1">SUMIFS(CostTrack[[Value]:[Value]],CostTrack[[PA ID]:[PA ID]],$B46,CostTrack[[Vendor - Contract]:[Vendor - Contract]],$H46,CostTrack[[Holdback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46" s="504">
        <f ca="1">SUMIFS(CostTrack[[Value]:[Value]],CostTrack[[PA ID]:[PA ID]],$B46,CostTrack[[Vendor - Contract]:[Vendor - Contract]],$H46,CostTrack[[Holdback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46" s="512">
        <f t="shared" ca="1" si="37"/>
        <v>0</v>
      </c>
      <c r="BY46" s="504">
        <f ca="1">SUMIFS(CostTrack[[Value]:[Value]],CostTrack[[PA ID]:[PA ID]],$B46,CostTrack[[Vendor - Contract]:[Vendor - Contract]],$H46,CostTrack[[Holdback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46" s="504">
        <f ca="1">SUMIFS(CostTrack[[Value]:[Value]],CostTrack[[PA ID]:[PA ID]],$B46,CostTrack[[Vendor - Contract]:[Vendor - Contract]],$H46,CostTrack[[Holdback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46" s="504">
        <f ca="1">SUMIFS(CostTrack[[Value]:[Value]],CostTrack[[PA ID]:[PA ID]],$B46,CostTrack[[Vendor - Contract]:[Vendor - Contract]],$H46,CostTrack[[Holdback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46" s="504">
        <f ca="1">SUMIFS(CostTrack[[Value]:[Value]],CostTrack[[PA ID]:[PA ID]],$B46,CostTrack[[Vendor - Contract]:[Vendor - Contract]],$H46,CostTrack[[Holdback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46" s="504">
        <f ca="1">SUMIFS(CostTrack[[Value]:[Value]],CostTrack[[PA ID]:[PA ID]],$B46,CostTrack[[Vendor - Contract]:[Vendor - Contract]],$H46,CostTrack[[Holdback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46" s="504">
        <f ca="1">SUMIFS(CostTrack[[Value]:[Value]],CostTrack[[PA ID]:[PA ID]],$B46,CostTrack[[Vendor - Contract]:[Vendor - Contract]],$H46,CostTrack[[Holdback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46" s="504">
        <f ca="1">SUMIFS(CostTrack[[Value]:[Value]],CostTrack[[PA ID]:[PA ID]],$B46,CostTrack[[Vendor - Contract]:[Vendor - Contract]],$H46,CostTrack[[Holdback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46" s="504">
        <f ca="1">SUMIFS(CostTrack[[Value]:[Value]],CostTrack[[PA ID]:[PA ID]],$B46,CostTrack[[Vendor - Contract]:[Vendor - Contract]],$H46,CostTrack[[Holdback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46" s="504">
        <f ca="1">SUMIFS(CostTrack[[Value]:[Value]],CostTrack[[PA ID]:[PA ID]],$B46,CostTrack[[Vendor - Contract]:[Vendor - Contract]],$H46,CostTrack[[Holdback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46" s="504">
        <f ca="1">SUMIFS(CostTrack[[Value]:[Value]],CostTrack[[PA ID]:[PA ID]],$B46,CostTrack[[Vendor - Contract]:[Vendor - Contract]],$H46,CostTrack[[Holdback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46" s="504">
        <f ca="1">SUMIFS(CostTrack[[Value]:[Value]],CostTrack[[PA ID]:[PA ID]],$B46,CostTrack[[Vendor - Contract]:[Vendor - Contract]],$H46,CostTrack[[Holdback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46" s="504">
        <f ca="1">SUMIFS(CostTrack[[Value]:[Value]],CostTrack[[PA ID]:[PA ID]],$B46,CostTrack[[Vendor - Contract]:[Vendor - Contract]],$H46,CostTrack[[Holdback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46" s="512">
        <f t="shared" ca="1" si="38"/>
        <v>0</v>
      </c>
      <c r="CM46" s="504">
        <f ca="1">SUMIFS(CostTrack[[Value]:[Value]],CostTrack[[PA ID]:[PA ID]],$B46,CostTrack[[Vendor - Contract]:[Vendor - Contract]],$H46,CostTrack[[Holdback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46" s="504">
        <f ca="1">SUMIFS(CostTrack[[Value]:[Value]],CostTrack[[PA ID]:[PA ID]],$B46,CostTrack[[Vendor - Contract]:[Vendor - Contract]],$H46,CostTrack[[Holdback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46" s="504">
        <f ca="1">SUMIFS(CostTrack[[Value]:[Value]],CostTrack[[PA ID]:[PA ID]],$B46,CostTrack[[Vendor - Contract]:[Vendor - Contract]],$H46,CostTrack[[Holdback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46" s="504">
        <f ca="1">SUMIFS(CostTrack[[Value]:[Value]],CostTrack[[PA ID]:[PA ID]],$B46,CostTrack[[Vendor - Contract]:[Vendor - Contract]],$H46,CostTrack[[Holdback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46" s="504">
        <f ca="1">SUMIFS(CostTrack[[Value]:[Value]],CostTrack[[PA ID]:[PA ID]],$B46,CostTrack[[Vendor - Contract]:[Vendor - Contract]],$H46,CostTrack[[Holdback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46" s="504">
        <f ca="1">SUMIFS(CostTrack[[Value]:[Value]],CostTrack[[PA ID]:[PA ID]],$B46,CostTrack[[Vendor - Contract]:[Vendor - Contract]],$H46,CostTrack[[Holdback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46" s="504">
        <f ca="1">SUMIFS(CostTrack[[Value]:[Value]],CostTrack[[PA ID]:[PA ID]],$B46,CostTrack[[Vendor - Contract]:[Vendor - Contract]],$H46,CostTrack[[Holdback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46" s="504">
        <f ca="1">SUMIFS(CostTrack[[Value]:[Value]],CostTrack[[PA ID]:[PA ID]],$B46,CostTrack[[Vendor - Contract]:[Vendor - Contract]],$H46,CostTrack[[Holdback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46" s="504">
        <f ca="1">SUMIFS(CostTrack[[Value]:[Value]],CostTrack[[PA ID]:[PA ID]],$B46,CostTrack[[Vendor - Contract]:[Vendor - Contract]],$H46,CostTrack[[Holdback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46" s="504">
        <f ca="1">SUMIFS(CostTrack[[Value]:[Value]],CostTrack[[PA ID]:[PA ID]],$B46,CostTrack[[Vendor - Contract]:[Vendor - Contract]],$H46,CostTrack[[Holdback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46" s="504">
        <f ca="1">SUMIFS(CostTrack[[Value]:[Value]],CostTrack[[PA ID]:[PA ID]],$B46,CostTrack[[Vendor - Contract]:[Vendor - Contract]],$H46,CostTrack[[Holdback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46" s="504">
        <f ca="1">SUMIFS(CostTrack[[Value]:[Value]],CostTrack[[PA ID]:[PA ID]],$B46,CostTrack[[Vendor - Contract]:[Vendor - Contract]],$H46,CostTrack[[Holdback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46" s="512">
        <f t="shared" ca="1" si="39"/>
        <v>0</v>
      </c>
      <c r="DA46" s="504">
        <f ca="1">SUMIFS(CostTrack[[Value]:[Value]],CostTrack[[PA ID]:[PA ID]],$B46,CostTrack[[Vendor - Contract]:[Vendor - Contract]],$H46,CostTrack[[Holdback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46" s="504">
        <f ca="1">SUMIFS(CostTrack[[Value]:[Value]],CostTrack[[PA ID]:[PA ID]],$B46,CostTrack[[Vendor - Contract]:[Vendor - Contract]],$H46,CostTrack[[Holdback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46" s="504">
        <f ca="1">SUMIFS(CostTrack[[Value]:[Value]],CostTrack[[PA ID]:[PA ID]],$B46,CostTrack[[Vendor - Contract]:[Vendor - Contract]],$H46,CostTrack[[Holdback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46" s="504">
        <f ca="1">SUMIFS(CostTrack[[Value]:[Value]],CostTrack[[PA ID]:[PA ID]],$B46,CostTrack[[Vendor - Contract]:[Vendor - Contract]],$H46,CostTrack[[Holdback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46" s="504">
        <f ca="1">SUMIFS(CostTrack[[Value]:[Value]],CostTrack[[PA ID]:[PA ID]],$B46,CostTrack[[Vendor - Contract]:[Vendor - Contract]],$H46,CostTrack[[Holdback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46" s="504">
        <f ca="1">SUMIFS(CostTrack[[Value]:[Value]],CostTrack[[PA ID]:[PA ID]],$B46,CostTrack[[Vendor - Contract]:[Vendor - Contract]],$H46,CostTrack[[Holdback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46" s="504">
        <f ca="1">SUMIFS(CostTrack[[Value]:[Value]],CostTrack[[PA ID]:[PA ID]],$B46,CostTrack[[Vendor - Contract]:[Vendor - Contract]],$H46,CostTrack[[Holdback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46" s="504">
        <f ca="1">SUMIFS(CostTrack[[Value]:[Value]],CostTrack[[PA ID]:[PA ID]],$B46,CostTrack[[Vendor - Contract]:[Vendor - Contract]],$H46,CostTrack[[Holdback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46" s="504">
        <f ca="1">SUMIFS(CostTrack[[Value]:[Value]],CostTrack[[PA ID]:[PA ID]],$B46,CostTrack[[Vendor - Contract]:[Vendor - Contract]],$H46,CostTrack[[Holdback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46" s="504">
        <f ca="1">SUMIFS(CostTrack[[Value]:[Value]],CostTrack[[PA ID]:[PA ID]],$B46,CostTrack[[Vendor - Contract]:[Vendor - Contract]],$H46,CostTrack[[Holdback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46" s="504">
        <f ca="1">SUMIFS(CostTrack[[Value]:[Value]],CostTrack[[PA ID]:[PA ID]],$B46,CostTrack[[Vendor - Contract]:[Vendor - Contract]],$H46,CostTrack[[Holdback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46" s="504">
        <f ca="1">SUMIFS(CostTrack[[Value]:[Value]],CostTrack[[PA ID]:[PA ID]],$B46,CostTrack[[Vendor - Contract]:[Vendor - Contract]],$H46,CostTrack[[Holdback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46" s="512">
        <f t="shared" ca="1" si="40"/>
        <v>0</v>
      </c>
      <c r="DO46" s="504">
        <f ca="1">SUMIFS(CostTrack[[Value]:[Value]],CostTrack[[PA ID]:[PA ID]],$B46,CostTrack[[Vendor - Contract]:[Vendor - Contract]],$H46,CostTrack[[Holdback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46" s="504">
        <f ca="1">SUMIFS(CostTrack[[Value]:[Value]],CostTrack[[PA ID]:[PA ID]],$B46,CostTrack[[Vendor - Contract]:[Vendor - Contract]],$H46,CostTrack[[Holdback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46" s="504">
        <f ca="1">SUMIFS(CostTrack[[Value]:[Value]],CostTrack[[PA ID]:[PA ID]],$B46,CostTrack[[Vendor - Contract]:[Vendor - Contract]],$H46,CostTrack[[Holdback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46" s="504">
        <f ca="1">SUMIFS(CostTrack[[Value]:[Value]],CostTrack[[PA ID]:[PA ID]],$B46,CostTrack[[Vendor - Contract]:[Vendor - Contract]],$H46,CostTrack[[Holdback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46" s="504">
        <f ca="1">SUMIFS(CostTrack[[Value]:[Value]],CostTrack[[PA ID]:[PA ID]],$B46,CostTrack[[Vendor - Contract]:[Vendor - Contract]],$H46,CostTrack[[Holdback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46" s="504">
        <f ca="1">SUMIFS(CostTrack[[Value]:[Value]],CostTrack[[PA ID]:[PA ID]],$B46,CostTrack[[Vendor - Contract]:[Vendor - Contract]],$H46,CostTrack[[Holdback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46" s="504">
        <f ca="1">SUMIFS(CostTrack[[Value]:[Value]],CostTrack[[PA ID]:[PA ID]],$B46,CostTrack[[Vendor - Contract]:[Vendor - Contract]],$H46,CostTrack[[Holdback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46" s="504">
        <f ca="1">SUMIFS(CostTrack[[Value]:[Value]],CostTrack[[PA ID]:[PA ID]],$B46,CostTrack[[Vendor - Contract]:[Vendor - Contract]],$H46,CostTrack[[Holdback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46" s="504">
        <f ca="1">SUMIFS(CostTrack[[Value]:[Value]],CostTrack[[PA ID]:[PA ID]],$B46,CostTrack[[Vendor - Contract]:[Vendor - Contract]],$H46,CostTrack[[Holdback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46" s="504">
        <f ca="1">SUMIFS(CostTrack[[Value]:[Value]],CostTrack[[PA ID]:[PA ID]],$B46,CostTrack[[Vendor - Contract]:[Vendor - Contract]],$H46,CostTrack[[Holdback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46" s="504">
        <f ca="1">SUMIFS(CostTrack[[Value]:[Value]],CostTrack[[PA ID]:[PA ID]],$B46,CostTrack[[Vendor - Contract]:[Vendor - Contract]],$H46,CostTrack[[Holdback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46" s="504">
        <f ca="1">SUMIFS(CostTrack[[Value]:[Value]],CostTrack[[PA ID]:[PA ID]],$B46,CostTrack[[Vendor - Contract]:[Vendor - Contract]],$H46,CostTrack[[Holdback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46" s="512">
        <f t="shared" ca="1" si="41"/>
        <v>0</v>
      </c>
      <c r="EC46" s="504">
        <f ca="1">SUMIFS(CostTrack[[Value]:[Value]],CostTrack[[PA ID]:[PA ID]],$B46,CostTrack[[Vendor - Contract]:[Vendor - Contract]],$H46,CostTrack[[Holdback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46" s="505"/>
      <c r="EE46" s="505"/>
      <c r="EF46" s="505"/>
      <c r="EG46" s="505"/>
      <c r="EH46" s="505"/>
      <c r="EI46" s="505"/>
      <c r="EJ46" s="505"/>
      <c r="EK46" s="505"/>
      <c r="EL46" s="505"/>
      <c r="EM46" s="505"/>
      <c r="EN46" s="505"/>
      <c r="EO46" s="512">
        <f t="shared" ca="1" si="42"/>
        <v>0</v>
      </c>
      <c r="EQ46" s="505"/>
      <c r="ER46" s="505"/>
      <c r="ES46" s="505"/>
      <c r="ET46" s="505"/>
      <c r="EU46" s="505"/>
      <c r="EV46" s="505"/>
      <c r="EW46" s="505"/>
      <c r="EX46" s="505"/>
      <c r="EY46" s="505"/>
      <c r="EZ46" s="505"/>
      <c r="FA46" s="505"/>
      <c r="FB46" s="505"/>
      <c r="FC46" s="512">
        <f t="shared" si="43"/>
        <v>0</v>
      </c>
      <c r="FE46" s="505"/>
      <c r="FF46" s="505"/>
      <c r="FG46" s="505"/>
      <c r="FH46" s="505"/>
      <c r="FI46" s="505"/>
      <c r="FJ46" s="505"/>
      <c r="FK46" s="505"/>
      <c r="FL46" s="505"/>
      <c r="FM46" s="505"/>
      <c r="FN46" s="505"/>
      <c r="FO46" s="505"/>
      <c r="FP46" s="505"/>
      <c r="FQ46" s="512">
        <f t="shared" si="44"/>
        <v>0</v>
      </c>
      <c r="FS46" s="504">
        <f t="shared" ca="1" si="45"/>
        <v>0</v>
      </c>
    </row>
    <row r="47" spans="1:176">
      <c r="A47" s="216">
        <v>40</v>
      </c>
      <c r="B47" s="219" t="str">
        <f ca="1">INDEX(EAC[PA ID],MATCH($A47,EAC[Row],0))</f>
        <v>300.060.F1</v>
      </c>
      <c r="C47" s="218" t="str">
        <f ca="1">INDEX(EAC[Primary Category],MATCH($A47,EAC[Row],0))</f>
        <v>Construction</v>
      </c>
      <c r="D47" s="218" t="str">
        <f ca="1">INDEX(EAC[Secondary Category],MATCH($A47,EAC[Row],0))</f>
        <v>Contingency - Const. Phase</v>
      </c>
      <c r="E47" s="109" t="str">
        <f ca="1">INDEX(EAC[Phase / Subproject],MATCH($A47,EAC[Row],0))</f>
        <v>--</v>
      </c>
      <c r="F47" s="109" t="str">
        <f ca="1">INDEX(EAC[Phase / Subproject 2],MATCH($A47,EAC[Row],0))</f>
        <v>--</v>
      </c>
      <c r="G47" s="109" t="str">
        <f ca="1">INDEX(EAC[Funding Source],MATCH($A47,EAC[Row],0))</f>
        <v>P-002360</v>
      </c>
      <c r="H47" s="146" t="str">
        <f ca="1">INDEX(EAC[Vendor / Org. with Contract ID],MATCH($A47,EAC[Row],0))</f>
        <v>Future / Not Awarded</v>
      </c>
      <c r="I47" s="502">
        <f ca="1">INDEX(EAC[Estimate At Completion],MATCH($A47,EAC[Row],0))</f>
        <v>0</v>
      </c>
      <c r="J47" s="502">
        <f ca="1">SUMIFS(CostTrack[Value],CostTrack[Vendor - Contract],$H47,CostTrack[PA ID],$B47,CostTrack[Holdback (Y/N/R)],"&lt;&gt;Release",CostTrack[Status],"Approved")</f>
        <v>0</v>
      </c>
      <c r="K47" s="503">
        <f t="shared" ca="1" si="14"/>
        <v>0</v>
      </c>
      <c r="M47" s="504">
        <f t="shared" ca="1" si="15"/>
        <v>0</v>
      </c>
      <c r="O47" s="504">
        <f t="shared" ca="1" si="31"/>
        <v>0</v>
      </c>
      <c r="P47" s="504">
        <f t="array" aca="1" ref="P47" ca="1">SUM($U47:$FQ47*_xlfn.ISFORMULA($U47:$FQ47)*ISNUMBER($U$7:$FQ$7)*--(INDEX($U$6:$FQ$6,N(IF({1},COLUMN($U$6:$FQ$6)-COLUMN($T$6)))-MOD(N(IF({1},COLUMN($U$6:$FQ$6)-COLUMN($U$6))),14))="Current Fiscal"))</f>
        <v>0</v>
      </c>
      <c r="Q47" s="504">
        <f t="array" aca="1" ref="Q47" ca="1">SUM($U47:$FQ47*NOT(_xlfn.ISFORMULA($U47:$FQ47))*ISNUMBER($U$7:$FQ$7)*--(INDEX($U$6:$FQ$6,N(IF({1},COLUMN($U$6:$FQ$6)-COLUMN($T$6)))-MOD(N(IF({1},COLUMN($U$6:$FQ$6)-COLUMN($U$6))),14))="Current Fiscal"))</f>
        <v>0</v>
      </c>
      <c r="R47" s="504">
        <f t="shared" ca="1" si="32"/>
        <v>0</v>
      </c>
      <c r="S47" s="504">
        <f t="shared" ca="1" si="33"/>
        <v>0</v>
      </c>
      <c r="U47" s="504">
        <f ca="1">SUMIFS(CostTrack[[Value]:[Value]],CostTrack[[PA ID]:[PA ID]],$B47,CostTrack[[Vendor - Contract]:[Vendor - Contract]],$H47,CostTrack[[Holdback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47" s="504">
        <f ca="1">SUMIFS(CostTrack[[Value]:[Value]],CostTrack[[PA ID]:[PA ID]],$B47,CostTrack[[Vendor - Contract]:[Vendor - Contract]],$H47,CostTrack[[Holdback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47" s="504">
        <f ca="1">SUMIFS(CostTrack[[Value]:[Value]],CostTrack[[PA ID]:[PA ID]],$B47,CostTrack[[Vendor - Contract]:[Vendor - Contract]],$H47,CostTrack[[Holdback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47" s="504">
        <f ca="1">SUMIFS(CostTrack[[Value]:[Value]],CostTrack[[PA ID]:[PA ID]],$B47,CostTrack[[Vendor - Contract]:[Vendor - Contract]],$H47,CostTrack[[Holdback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47" s="504">
        <f ca="1">SUMIFS(CostTrack[[Value]:[Value]],CostTrack[[PA ID]:[PA ID]],$B47,CostTrack[[Vendor - Contract]:[Vendor - Contract]],$H47,CostTrack[[Holdback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47" s="504">
        <f ca="1">SUMIFS(CostTrack[[Value]:[Value]],CostTrack[[PA ID]:[PA ID]],$B47,CostTrack[[Vendor - Contract]:[Vendor - Contract]],$H47,CostTrack[[Holdback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47" s="504">
        <f ca="1">SUMIFS(CostTrack[[Value]:[Value]],CostTrack[[PA ID]:[PA ID]],$B47,CostTrack[[Vendor - Contract]:[Vendor - Contract]],$H47,CostTrack[[Holdback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47" s="504">
        <f ca="1">SUMIFS(CostTrack[[Value]:[Value]],CostTrack[[PA ID]:[PA ID]],$B47,CostTrack[[Vendor - Contract]:[Vendor - Contract]],$H47,CostTrack[[Holdback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47" s="504">
        <f ca="1">SUMIFS(CostTrack[[Value]:[Value]],CostTrack[[PA ID]:[PA ID]],$B47,CostTrack[[Vendor - Contract]:[Vendor - Contract]],$H47,CostTrack[[Holdback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47" s="504">
        <f ca="1">SUMIFS(CostTrack[[Value]:[Value]],CostTrack[[PA ID]:[PA ID]],$B47,CostTrack[[Vendor - Contract]:[Vendor - Contract]],$H47,CostTrack[[Holdback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47" s="504">
        <f ca="1">SUMIFS(CostTrack[[Value]:[Value]],CostTrack[[PA ID]:[PA ID]],$B47,CostTrack[[Vendor - Contract]:[Vendor - Contract]],$H47,CostTrack[[Holdback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47" s="504">
        <f ca="1">SUMIFS(CostTrack[[Value]:[Value]],CostTrack[[PA ID]:[PA ID]],$B47,CostTrack[[Vendor - Contract]:[Vendor - Contract]],$H47,CostTrack[[Holdback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47" s="506">
        <f t="shared" ca="1" si="34"/>
        <v>0</v>
      </c>
      <c r="AI47" s="504">
        <f ca="1">SUMIFS(CostTrack[[Value]:[Value]],CostTrack[[PA ID]:[PA ID]],$B47,CostTrack[[Vendor - Contract]:[Vendor - Contract]],$H47,CostTrack[[Holdback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47" s="504">
        <f ca="1">SUMIFS(CostTrack[[Value]:[Value]],CostTrack[[PA ID]:[PA ID]],$B47,CostTrack[[Vendor - Contract]:[Vendor - Contract]],$H47,CostTrack[[Holdback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47" s="504">
        <f ca="1">SUMIFS(CostTrack[[Value]:[Value]],CostTrack[[PA ID]:[PA ID]],$B47,CostTrack[[Vendor - Contract]:[Vendor - Contract]],$H47,CostTrack[[Holdback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47" s="504">
        <f ca="1">SUMIFS(CostTrack[[Value]:[Value]],CostTrack[[PA ID]:[PA ID]],$B47,CostTrack[[Vendor - Contract]:[Vendor - Contract]],$H47,CostTrack[[Holdback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47" s="504">
        <f ca="1">SUMIFS(CostTrack[[Value]:[Value]],CostTrack[[PA ID]:[PA ID]],$B47,CostTrack[[Vendor - Contract]:[Vendor - Contract]],$H47,CostTrack[[Holdback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47" s="504">
        <f ca="1">SUMIFS(CostTrack[[Value]:[Value]],CostTrack[[PA ID]:[PA ID]],$B47,CostTrack[[Vendor - Contract]:[Vendor - Contract]],$H47,CostTrack[[Holdback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47" s="504">
        <f ca="1">SUMIFS(CostTrack[[Value]:[Value]],CostTrack[[PA ID]:[PA ID]],$B47,CostTrack[[Vendor - Contract]:[Vendor - Contract]],$H47,CostTrack[[Holdback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47" s="504">
        <f ca="1">SUMIFS(CostTrack[[Value]:[Value]],CostTrack[[PA ID]:[PA ID]],$B47,CostTrack[[Vendor - Contract]:[Vendor - Contract]],$H47,CostTrack[[Holdback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47" s="504">
        <f ca="1">SUMIFS(CostTrack[[Value]:[Value]],CostTrack[[PA ID]:[PA ID]],$B47,CostTrack[[Vendor - Contract]:[Vendor - Contract]],$H47,CostTrack[[Holdback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47" s="504">
        <f ca="1">SUMIFS(CostTrack[[Value]:[Value]],CostTrack[[PA ID]:[PA ID]],$B47,CostTrack[[Vendor - Contract]:[Vendor - Contract]],$H47,CostTrack[[Holdback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47" s="504">
        <f ca="1">SUMIFS(CostTrack[[Value]:[Value]],CostTrack[[PA ID]:[PA ID]],$B47,CostTrack[[Vendor - Contract]:[Vendor - Contract]],$H47,CostTrack[[Holdback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47" s="504">
        <f ca="1">SUMIFS(CostTrack[[Value]:[Value]],CostTrack[[PA ID]:[PA ID]],$B47,CostTrack[[Vendor - Contract]:[Vendor - Contract]],$H47,CostTrack[[Holdback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47" s="512">
        <f t="shared" ca="1" si="35"/>
        <v>0</v>
      </c>
      <c r="AW47" s="504">
        <f ca="1">SUMIFS(CostTrack[[Value]:[Value]],CostTrack[[PA ID]:[PA ID]],$B47,CostTrack[[Vendor - Contract]:[Vendor - Contract]],$H47,CostTrack[[Holdback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47" s="504">
        <f ca="1">SUMIFS(CostTrack[[Value]:[Value]],CostTrack[[PA ID]:[PA ID]],$B47,CostTrack[[Vendor - Contract]:[Vendor - Contract]],$H47,CostTrack[[Holdback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47" s="504">
        <f ca="1">SUMIFS(CostTrack[[Value]:[Value]],CostTrack[[PA ID]:[PA ID]],$B47,CostTrack[[Vendor - Contract]:[Vendor - Contract]],$H47,CostTrack[[Holdback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47" s="504">
        <f ca="1">SUMIFS(CostTrack[[Value]:[Value]],CostTrack[[PA ID]:[PA ID]],$B47,CostTrack[[Vendor - Contract]:[Vendor - Contract]],$H47,CostTrack[[Holdback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47" s="504">
        <f ca="1">SUMIFS(CostTrack[[Value]:[Value]],CostTrack[[PA ID]:[PA ID]],$B47,CostTrack[[Vendor - Contract]:[Vendor - Contract]],$H47,CostTrack[[Holdback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47" s="504">
        <f ca="1">SUMIFS(CostTrack[[Value]:[Value]],CostTrack[[PA ID]:[PA ID]],$B47,CostTrack[[Vendor - Contract]:[Vendor - Contract]],$H47,CostTrack[[Holdback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47" s="504">
        <f ca="1">SUMIFS(CostTrack[[Value]:[Value]],CostTrack[[PA ID]:[PA ID]],$B47,CostTrack[[Vendor - Contract]:[Vendor - Contract]],$H47,CostTrack[[Holdback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47" s="504">
        <f ca="1">SUMIFS(CostTrack[[Value]:[Value]],CostTrack[[PA ID]:[PA ID]],$B47,CostTrack[[Vendor - Contract]:[Vendor - Contract]],$H47,CostTrack[[Holdback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47" s="504">
        <f ca="1">SUMIFS(CostTrack[[Value]:[Value]],CostTrack[[PA ID]:[PA ID]],$B47,CostTrack[[Vendor - Contract]:[Vendor - Contract]],$H47,CostTrack[[Holdback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47" s="504">
        <f ca="1">SUMIFS(CostTrack[[Value]:[Value]],CostTrack[[PA ID]:[PA ID]],$B47,CostTrack[[Vendor - Contract]:[Vendor - Contract]],$H47,CostTrack[[Holdback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47" s="504">
        <f ca="1">SUMIFS(CostTrack[[Value]:[Value]],CostTrack[[PA ID]:[PA ID]],$B47,CostTrack[[Vendor - Contract]:[Vendor - Contract]],$H47,CostTrack[[Holdback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47" s="504">
        <f ca="1">SUMIFS(CostTrack[[Value]:[Value]],CostTrack[[PA ID]:[PA ID]],$B47,CostTrack[[Vendor - Contract]:[Vendor - Contract]],$H47,CostTrack[[Holdback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47" s="512">
        <f t="shared" ca="1" si="36"/>
        <v>0</v>
      </c>
      <c r="BK47" s="504">
        <f ca="1">SUMIFS(CostTrack[[Value]:[Value]],CostTrack[[PA ID]:[PA ID]],$B47,CostTrack[[Vendor - Contract]:[Vendor - Contract]],$H47,CostTrack[[Holdback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47" s="504">
        <f ca="1">SUMIFS(CostTrack[[Value]:[Value]],CostTrack[[PA ID]:[PA ID]],$B47,CostTrack[[Vendor - Contract]:[Vendor - Contract]],$H47,CostTrack[[Holdback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47" s="504">
        <f ca="1">SUMIFS(CostTrack[[Value]:[Value]],CostTrack[[PA ID]:[PA ID]],$B47,CostTrack[[Vendor - Contract]:[Vendor - Contract]],$H47,CostTrack[[Holdback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47" s="504">
        <f ca="1">SUMIFS(CostTrack[[Value]:[Value]],CostTrack[[PA ID]:[PA ID]],$B47,CostTrack[[Vendor - Contract]:[Vendor - Contract]],$H47,CostTrack[[Holdback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47" s="504">
        <f ca="1">SUMIFS(CostTrack[[Value]:[Value]],CostTrack[[PA ID]:[PA ID]],$B47,CostTrack[[Vendor - Contract]:[Vendor - Contract]],$H47,CostTrack[[Holdback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47" s="504">
        <f ca="1">SUMIFS(CostTrack[[Value]:[Value]],CostTrack[[PA ID]:[PA ID]],$B47,CostTrack[[Vendor - Contract]:[Vendor - Contract]],$H47,CostTrack[[Holdback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47" s="504">
        <f ca="1">SUMIFS(CostTrack[[Value]:[Value]],CostTrack[[PA ID]:[PA ID]],$B47,CostTrack[[Vendor - Contract]:[Vendor - Contract]],$H47,CostTrack[[Holdback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47" s="504">
        <f ca="1">SUMIFS(CostTrack[[Value]:[Value]],CostTrack[[PA ID]:[PA ID]],$B47,CostTrack[[Vendor - Contract]:[Vendor - Contract]],$H47,CostTrack[[Holdback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47" s="504">
        <f ca="1">SUMIFS(CostTrack[[Value]:[Value]],CostTrack[[PA ID]:[PA ID]],$B47,CostTrack[[Vendor - Contract]:[Vendor - Contract]],$H47,CostTrack[[Holdback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47" s="504">
        <f ca="1">SUMIFS(CostTrack[[Value]:[Value]],CostTrack[[PA ID]:[PA ID]],$B47,CostTrack[[Vendor - Contract]:[Vendor - Contract]],$H47,CostTrack[[Holdback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47" s="504">
        <f ca="1">SUMIFS(CostTrack[[Value]:[Value]],CostTrack[[PA ID]:[PA ID]],$B47,CostTrack[[Vendor - Contract]:[Vendor - Contract]],$H47,CostTrack[[Holdback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47" s="504">
        <f ca="1">SUMIFS(CostTrack[[Value]:[Value]],CostTrack[[PA ID]:[PA ID]],$B47,CostTrack[[Vendor - Contract]:[Vendor - Contract]],$H47,CostTrack[[Holdback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47" s="512">
        <f t="shared" ca="1" si="37"/>
        <v>0</v>
      </c>
      <c r="BY47" s="504">
        <f ca="1">SUMIFS(CostTrack[[Value]:[Value]],CostTrack[[PA ID]:[PA ID]],$B47,CostTrack[[Vendor - Contract]:[Vendor - Contract]],$H47,CostTrack[[Holdback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47" s="504">
        <f ca="1">SUMIFS(CostTrack[[Value]:[Value]],CostTrack[[PA ID]:[PA ID]],$B47,CostTrack[[Vendor - Contract]:[Vendor - Contract]],$H47,CostTrack[[Holdback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47" s="504">
        <f ca="1">SUMIFS(CostTrack[[Value]:[Value]],CostTrack[[PA ID]:[PA ID]],$B47,CostTrack[[Vendor - Contract]:[Vendor - Contract]],$H47,CostTrack[[Holdback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47" s="504">
        <f ca="1">SUMIFS(CostTrack[[Value]:[Value]],CostTrack[[PA ID]:[PA ID]],$B47,CostTrack[[Vendor - Contract]:[Vendor - Contract]],$H47,CostTrack[[Holdback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47" s="504">
        <f ca="1">SUMIFS(CostTrack[[Value]:[Value]],CostTrack[[PA ID]:[PA ID]],$B47,CostTrack[[Vendor - Contract]:[Vendor - Contract]],$H47,CostTrack[[Holdback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47" s="504">
        <f ca="1">SUMIFS(CostTrack[[Value]:[Value]],CostTrack[[PA ID]:[PA ID]],$B47,CostTrack[[Vendor - Contract]:[Vendor - Contract]],$H47,CostTrack[[Holdback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47" s="504">
        <f ca="1">SUMIFS(CostTrack[[Value]:[Value]],CostTrack[[PA ID]:[PA ID]],$B47,CostTrack[[Vendor - Contract]:[Vendor - Contract]],$H47,CostTrack[[Holdback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47" s="504">
        <f ca="1">SUMIFS(CostTrack[[Value]:[Value]],CostTrack[[PA ID]:[PA ID]],$B47,CostTrack[[Vendor - Contract]:[Vendor - Contract]],$H47,CostTrack[[Holdback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47" s="504">
        <f ca="1">SUMIFS(CostTrack[[Value]:[Value]],CostTrack[[PA ID]:[PA ID]],$B47,CostTrack[[Vendor - Contract]:[Vendor - Contract]],$H47,CostTrack[[Holdback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47" s="504">
        <f ca="1">SUMIFS(CostTrack[[Value]:[Value]],CostTrack[[PA ID]:[PA ID]],$B47,CostTrack[[Vendor - Contract]:[Vendor - Contract]],$H47,CostTrack[[Holdback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47" s="504">
        <f ca="1">SUMIFS(CostTrack[[Value]:[Value]],CostTrack[[PA ID]:[PA ID]],$B47,CostTrack[[Vendor - Contract]:[Vendor - Contract]],$H47,CostTrack[[Holdback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47" s="504">
        <f ca="1">SUMIFS(CostTrack[[Value]:[Value]],CostTrack[[PA ID]:[PA ID]],$B47,CostTrack[[Vendor - Contract]:[Vendor - Contract]],$H47,CostTrack[[Holdback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47" s="512">
        <f t="shared" ca="1" si="38"/>
        <v>0</v>
      </c>
      <c r="CM47" s="504">
        <f ca="1">SUMIFS(CostTrack[[Value]:[Value]],CostTrack[[PA ID]:[PA ID]],$B47,CostTrack[[Vendor - Contract]:[Vendor - Contract]],$H47,CostTrack[[Holdback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47" s="504">
        <f ca="1">SUMIFS(CostTrack[[Value]:[Value]],CostTrack[[PA ID]:[PA ID]],$B47,CostTrack[[Vendor - Contract]:[Vendor - Contract]],$H47,CostTrack[[Holdback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47" s="504">
        <f ca="1">SUMIFS(CostTrack[[Value]:[Value]],CostTrack[[PA ID]:[PA ID]],$B47,CostTrack[[Vendor - Contract]:[Vendor - Contract]],$H47,CostTrack[[Holdback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47" s="504">
        <f ca="1">SUMIFS(CostTrack[[Value]:[Value]],CostTrack[[PA ID]:[PA ID]],$B47,CostTrack[[Vendor - Contract]:[Vendor - Contract]],$H47,CostTrack[[Holdback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47" s="504">
        <f ca="1">SUMIFS(CostTrack[[Value]:[Value]],CostTrack[[PA ID]:[PA ID]],$B47,CostTrack[[Vendor - Contract]:[Vendor - Contract]],$H47,CostTrack[[Holdback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47" s="504">
        <f ca="1">SUMIFS(CostTrack[[Value]:[Value]],CostTrack[[PA ID]:[PA ID]],$B47,CostTrack[[Vendor - Contract]:[Vendor - Contract]],$H47,CostTrack[[Holdback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47" s="504">
        <f ca="1">SUMIFS(CostTrack[[Value]:[Value]],CostTrack[[PA ID]:[PA ID]],$B47,CostTrack[[Vendor - Contract]:[Vendor - Contract]],$H47,CostTrack[[Holdback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47" s="504">
        <f ca="1">SUMIFS(CostTrack[[Value]:[Value]],CostTrack[[PA ID]:[PA ID]],$B47,CostTrack[[Vendor - Contract]:[Vendor - Contract]],$H47,CostTrack[[Holdback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47" s="504">
        <f ca="1">SUMIFS(CostTrack[[Value]:[Value]],CostTrack[[PA ID]:[PA ID]],$B47,CostTrack[[Vendor - Contract]:[Vendor - Contract]],$H47,CostTrack[[Holdback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47" s="504">
        <f ca="1">SUMIFS(CostTrack[[Value]:[Value]],CostTrack[[PA ID]:[PA ID]],$B47,CostTrack[[Vendor - Contract]:[Vendor - Contract]],$H47,CostTrack[[Holdback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47" s="504">
        <f ca="1">SUMIFS(CostTrack[[Value]:[Value]],CostTrack[[PA ID]:[PA ID]],$B47,CostTrack[[Vendor - Contract]:[Vendor - Contract]],$H47,CostTrack[[Holdback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47" s="504">
        <f ca="1">SUMIFS(CostTrack[[Value]:[Value]],CostTrack[[PA ID]:[PA ID]],$B47,CostTrack[[Vendor - Contract]:[Vendor - Contract]],$H47,CostTrack[[Holdback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47" s="512">
        <f t="shared" ca="1" si="39"/>
        <v>0</v>
      </c>
      <c r="DA47" s="504">
        <f ca="1">SUMIFS(CostTrack[[Value]:[Value]],CostTrack[[PA ID]:[PA ID]],$B47,CostTrack[[Vendor - Contract]:[Vendor - Contract]],$H47,CostTrack[[Holdback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47" s="504">
        <f ca="1">SUMIFS(CostTrack[[Value]:[Value]],CostTrack[[PA ID]:[PA ID]],$B47,CostTrack[[Vendor - Contract]:[Vendor - Contract]],$H47,CostTrack[[Holdback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47" s="504">
        <f ca="1">SUMIFS(CostTrack[[Value]:[Value]],CostTrack[[PA ID]:[PA ID]],$B47,CostTrack[[Vendor - Contract]:[Vendor - Contract]],$H47,CostTrack[[Holdback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47" s="504">
        <f ca="1">SUMIFS(CostTrack[[Value]:[Value]],CostTrack[[PA ID]:[PA ID]],$B47,CostTrack[[Vendor - Contract]:[Vendor - Contract]],$H47,CostTrack[[Holdback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47" s="504">
        <f ca="1">SUMIFS(CostTrack[[Value]:[Value]],CostTrack[[PA ID]:[PA ID]],$B47,CostTrack[[Vendor - Contract]:[Vendor - Contract]],$H47,CostTrack[[Holdback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47" s="504">
        <f ca="1">SUMIFS(CostTrack[[Value]:[Value]],CostTrack[[PA ID]:[PA ID]],$B47,CostTrack[[Vendor - Contract]:[Vendor - Contract]],$H47,CostTrack[[Holdback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47" s="504">
        <f ca="1">SUMIFS(CostTrack[[Value]:[Value]],CostTrack[[PA ID]:[PA ID]],$B47,CostTrack[[Vendor - Contract]:[Vendor - Contract]],$H47,CostTrack[[Holdback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47" s="504">
        <f ca="1">SUMIFS(CostTrack[[Value]:[Value]],CostTrack[[PA ID]:[PA ID]],$B47,CostTrack[[Vendor - Contract]:[Vendor - Contract]],$H47,CostTrack[[Holdback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47" s="504">
        <f ca="1">SUMIFS(CostTrack[[Value]:[Value]],CostTrack[[PA ID]:[PA ID]],$B47,CostTrack[[Vendor - Contract]:[Vendor - Contract]],$H47,CostTrack[[Holdback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47" s="504">
        <f ca="1">SUMIFS(CostTrack[[Value]:[Value]],CostTrack[[PA ID]:[PA ID]],$B47,CostTrack[[Vendor - Contract]:[Vendor - Contract]],$H47,CostTrack[[Holdback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47" s="504">
        <f ca="1">SUMIFS(CostTrack[[Value]:[Value]],CostTrack[[PA ID]:[PA ID]],$B47,CostTrack[[Vendor - Contract]:[Vendor - Contract]],$H47,CostTrack[[Holdback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47" s="504">
        <f ca="1">SUMIFS(CostTrack[[Value]:[Value]],CostTrack[[PA ID]:[PA ID]],$B47,CostTrack[[Vendor - Contract]:[Vendor - Contract]],$H47,CostTrack[[Holdback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47" s="512">
        <f t="shared" ca="1" si="40"/>
        <v>0</v>
      </c>
      <c r="DO47" s="504">
        <f ca="1">SUMIFS(CostTrack[[Value]:[Value]],CostTrack[[PA ID]:[PA ID]],$B47,CostTrack[[Vendor - Contract]:[Vendor - Contract]],$H47,CostTrack[[Holdback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47" s="504">
        <f ca="1">SUMIFS(CostTrack[[Value]:[Value]],CostTrack[[PA ID]:[PA ID]],$B47,CostTrack[[Vendor - Contract]:[Vendor - Contract]],$H47,CostTrack[[Holdback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47" s="504">
        <f ca="1">SUMIFS(CostTrack[[Value]:[Value]],CostTrack[[PA ID]:[PA ID]],$B47,CostTrack[[Vendor - Contract]:[Vendor - Contract]],$H47,CostTrack[[Holdback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47" s="504">
        <f ca="1">SUMIFS(CostTrack[[Value]:[Value]],CostTrack[[PA ID]:[PA ID]],$B47,CostTrack[[Vendor - Contract]:[Vendor - Contract]],$H47,CostTrack[[Holdback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47" s="504">
        <f ca="1">SUMIFS(CostTrack[[Value]:[Value]],CostTrack[[PA ID]:[PA ID]],$B47,CostTrack[[Vendor - Contract]:[Vendor - Contract]],$H47,CostTrack[[Holdback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47" s="504">
        <f ca="1">SUMIFS(CostTrack[[Value]:[Value]],CostTrack[[PA ID]:[PA ID]],$B47,CostTrack[[Vendor - Contract]:[Vendor - Contract]],$H47,CostTrack[[Holdback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47" s="504">
        <f ca="1">SUMIFS(CostTrack[[Value]:[Value]],CostTrack[[PA ID]:[PA ID]],$B47,CostTrack[[Vendor - Contract]:[Vendor - Contract]],$H47,CostTrack[[Holdback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47" s="504">
        <f ca="1">SUMIFS(CostTrack[[Value]:[Value]],CostTrack[[PA ID]:[PA ID]],$B47,CostTrack[[Vendor - Contract]:[Vendor - Contract]],$H47,CostTrack[[Holdback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47" s="504">
        <f ca="1">SUMIFS(CostTrack[[Value]:[Value]],CostTrack[[PA ID]:[PA ID]],$B47,CostTrack[[Vendor - Contract]:[Vendor - Contract]],$H47,CostTrack[[Holdback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47" s="504">
        <f ca="1">SUMIFS(CostTrack[[Value]:[Value]],CostTrack[[PA ID]:[PA ID]],$B47,CostTrack[[Vendor - Contract]:[Vendor - Contract]],$H47,CostTrack[[Holdback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47" s="504">
        <f ca="1">SUMIFS(CostTrack[[Value]:[Value]],CostTrack[[PA ID]:[PA ID]],$B47,CostTrack[[Vendor - Contract]:[Vendor - Contract]],$H47,CostTrack[[Holdback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47" s="504">
        <f ca="1">SUMIFS(CostTrack[[Value]:[Value]],CostTrack[[PA ID]:[PA ID]],$B47,CostTrack[[Vendor - Contract]:[Vendor - Contract]],$H47,CostTrack[[Holdback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47" s="512">
        <f t="shared" ca="1" si="41"/>
        <v>0</v>
      </c>
      <c r="EC47" s="504">
        <f ca="1">SUMIFS(CostTrack[[Value]:[Value]],CostTrack[[PA ID]:[PA ID]],$B47,CostTrack[[Vendor - Contract]:[Vendor - Contract]],$H47,CostTrack[[Holdback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47" s="505"/>
      <c r="EE47" s="505"/>
      <c r="EF47" s="505"/>
      <c r="EG47" s="505"/>
      <c r="EH47" s="505"/>
      <c r="EI47" s="505"/>
      <c r="EJ47" s="505"/>
      <c r="EK47" s="505"/>
      <c r="EL47" s="505"/>
      <c r="EM47" s="505"/>
      <c r="EN47" s="505"/>
      <c r="EO47" s="512">
        <f t="shared" ca="1" si="42"/>
        <v>0</v>
      </c>
      <c r="EQ47" s="505"/>
      <c r="ER47" s="505"/>
      <c r="ES47" s="505"/>
      <c r="ET47" s="505"/>
      <c r="EU47" s="505"/>
      <c r="EV47" s="505"/>
      <c r="EW47" s="505"/>
      <c r="EX47" s="505"/>
      <c r="EY47" s="505"/>
      <c r="EZ47" s="505"/>
      <c r="FA47" s="505"/>
      <c r="FB47" s="505"/>
      <c r="FC47" s="512">
        <f t="shared" si="43"/>
        <v>0</v>
      </c>
      <c r="FE47" s="505"/>
      <c r="FF47" s="505"/>
      <c r="FG47" s="505"/>
      <c r="FH47" s="505"/>
      <c r="FI47" s="505"/>
      <c r="FJ47" s="505"/>
      <c r="FK47" s="505"/>
      <c r="FL47" s="505"/>
      <c r="FM47" s="505"/>
      <c r="FN47" s="505"/>
      <c r="FO47" s="505"/>
      <c r="FP47" s="505"/>
      <c r="FQ47" s="512">
        <f t="shared" si="44"/>
        <v>0</v>
      </c>
      <c r="FS47" s="504">
        <f t="shared" ca="1" si="45"/>
        <v>0</v>
      </c>
    </row>
    <row r="48" spans="1:176">
      <c r="A48" s="216">
        <v>41</v>
      </c>
      <c r="B48" s="219" t="str">
        <f ca="1">INDEX(EAC[PA ID],MATCH($A48,EAC[Row],0))</f>
        <v>600.010.F1</v>
      </c>
      <c r="C48" s="218" t="str">
        <f ca="1">INDEX(EAC[Primary Category],MATCH($A48,EAC[Row],0))</f>
        <v>Management Reserve</v>
      </c>
      <c r="D48" s="218" t="str">
        <f ca="1">INDEX(EAC[Secondary Category],MATCH($A48,EAC[Row],0))</f>
        <v>Management Reserve</v>
      </c>
      <c r="E48" s="109" t="str">
        <f ca="1">INDEX(EAC[Phase / Subproject],MATCH($A48,EAC[Row],0))</f>
        <v>--</v>
      </c>
      <c r="F48" s="109" t="str">
        <f ca="1">INDEX(EAC[Phase / Subproject 2],MATCH($A48,EAC[Row],0))</f>
        <v>--</v>
      </c>
      <c r="G48" s="109" t="str">
        <f ca="1">INDEX(EAC[Funding Source],MATCH($A48,EAC[Row],0))</f>
        <v>P-002360</v>
      </c>
      <c r="H48" s="146" t="str">
        <f ca="1">INDEX(EAC[Vendor / Org. with Contract ID],MATCH($A48,EAC[Row],0))</f>
        <v>Future / Not Awarded</v>
      </c>
      <c r="I48" s="502">
        <f ca="1">INDEX(EAC[Estimate At Completion],MATCH($A48,EAC[Row],0))</f>
        <v>0</v>
      </c>
      <c r="J48" s="502">
        <f ca="1">SUMIFS(CostTrack[Value],CostTrack[Vendor - Contract],$H48,CostTrack[PA ID],$B48,CostTrack[Holdback (Y/N/R)],"&lt;&gt;Release",CostTrack[Status],"Approved")</f>
        <v>0</v>
      </c>
      <c r="K48" s="503">
        <f t="shared" ca="1" si="14"/>
        <v>0</v>
      </c>
      <c r="M48" s="504">
        <f t="shared" ca="1" si="15"/>
        <v>0</v>
      </c>
      <c r="O48" s="504">
        <f t="shared" ca="1" si="31"/>
        <v>0</v>
      </c>
      <c r="P48" s="504">
        <f t="array" aca="1" ref="P48" ca="1">SUM($U48:$FQ48*_xlfn.ISFORMULA($U48:$FQ48)*ISNUMBER($U$7:$FQ$7)*--(INDEX($U$6:$FQ$6,N(IF({1},COLUMN($U$6:$FQ$6)-COLUMN($T$6)))-MOD(N(IF({1},COLUMN($U$6:$FQ$6)-COLUMN($U$6))),14))="Current Fiscal"))</f>
        <v>0</v>
      </c>
      <c r="Q48" s="504">
        <f t="array" aca="1" ref="Q48" ca="1">SUM($U48:$FQ48*NOT(_xlfn.ISFORMULA($U48:$FQ48))*ISNUMBER($U$7:$FQ$7)*--(INDEX($U$6:$FQ$6,N(IF({1},COLUMN($U$6:$FQ$6)-COLUMN($T$6)))-MOD(N(IF({1},COLUMN($U$6:$FQ$6)-COLUMN($U$6))),14))="Current Fiscal"))</f>
        <v>0</v>
      </c>
      <c r="R48" s="504">
        <f t="shared" ca="1" si="32"/>
        <v>0</v>
      </c>
      <c r="S48" s="504">
        <f t="shared" ca="1" si="33"/>
        <v>0</v>
      </c>
      <c r="U48" s="504">
        <f ca="1">SUMIFS(CostTrack[[Value]:[Value]],CostTrack[[PA ID]:[PA ID]],$B48,CostTrack[[Vendor - Contract]:[Vendor - Contract]],$H48,CostTrack[[Holdback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48" s="504">
        <f ca="1">SUMIFS(CostTrack[[Value]:[Value]],CostTrack[[PA ID]:[PA ID]],$B48,CostTrack[[Vendor - Contract]:[Vendor - Contract]],$H48,CostTrack[[Holdback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48" s="504">
        <f ca="1">SUMIFS(CostTrack[[Value]:[Value]],CostTrack[[PA ID]:[PA ID]],$B48,CostTrack[[Vendor - Contract]:[Vendor - Contract]],$H48,CostTrack[[Holdback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48" s="504">
        <f ca="1">SUMIFS(CostTrack[[Value]:[Value]],CostTrack[[PA ID]:[PA ID]],$B48,CostTrack[[Vendor - Contract]:[Vendor - Contract]],$H48,CostTrack[[Holdback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48" s="504">
        <f ca="1">SUMIFS(CostTrack[[Value]:[Value]],CostTrack[[PA ID]:[PA ID]],$B48,CostTrack[[Vendor - Contract]:[Vendor - Contract]],$H48,CostTrack[[Holdback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48" s="504">
        <f ca="1">SUMIFS(CostTrack[[Value]:[Value]],CostTrack[[PA ID]:[PA ID]],$B48,CostTrack[[Vendor - Contract]:[Vendor - Contract]],$H48,CostTrack[[Holdback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48" s="504">
        <f ca="1">SUMIFS(CostTrack[[Value]:[Value]],CostTrack[[PA ID]:[PA ID]],$B48,CostTrack[[Vendor - Contract]:[Vendor - Contract]],$H48,CostTrack[[Holdback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48" s="504">
        <f ca="1">SUMIFS(CostTrack[[Value]:[Value]],CostTrack[[PA ID]:[PA ID]],$B48,CostTrack[[Vendor - Contract]:[Vendor - Contract]],$H48,CostTrack[[Holdback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48" s="504">
        <f ca="1">SUMIFS(CostTrack[[Value]:[Value]],CostTrack[[PA ID]:[PA ID]],$B48,CostTrack[[Vendor - Contract]:[Vendor - Contract]],$H48,CostTrack[[Holdback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48" s="504">
        <f ca="1">SUMIFS(CostTrack[[Value]:[Value]],CostTrack[[PA ID]:[PA ID]],$B48,CostTrack[[Vendor - Contract]:[Vendor - Contract]],$H48,CostTrack[[Holdback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48" s="504">
        <f ca="1">SUMIFS(CostTrack[[Value]:[Value]],CostTrack[[PA ID]:[PA ID]],$B48,CostTrack[[Vendor - Contract]:[Vendor - Contract]],$H48,CostTrack[[Holdback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48" s="504">
        <f ca="1">SUMIFS(CostTrack[[Value]:[Value]],CostTrack[[PA ID]:[PA ID]],$B48,CostTrack[[Vendor - Contract]:[Vendor - Contract]],$H48,CostTrack[[Holdback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48" s="506">
        <f t="shared" ca="1" si="34"/>
        <v>0</v>
      </c>
      <c r="AI48" s="504">
        <f ca="1">SUMIFS(CostTrack[[Value]:[Value]],CostTrack[[PA ID]:[PA ID]],$B48,CostTrack[[Vendor - Contract]:[Vendor - Contract]],$H48,CostTrack[[Holdback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48" s="504">
        <f ca="1">SUMIFS(CostTrack[[Value]:[Value]],CostTrack[[PA ID]:[PA ID]],$B48,CostTrack[[Vendor - Contract]:[Vendor - Contract]],$H48,CostTrack[[Holdback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48" s="504">
        <f ca="1">SUMIFS(CostTrack[[Value]:[Value]],CostTrack[[PA ID]:[PA ID]],$B48,CostTrack[[Vendor - Contract]:[Vendor - Contract]],$H48,CostTrack[[Holdback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48" s="504">
        <f ca="1">SUMIFS(CostTrack[[Value]:[Value]],CostTrack[[PA ID]:[PA ID]],$B48,CostTrack[[Vendor - Contract]:[Vendor - Contract]],$H48,CostTrack[[Holdback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48" s="504">
        <f ca="1">SUMIFS(CostTrack[[Value]:[Value]],CostTrack[[PA ID]:[PA ID]],$B48,CostTrack[[Vendor - Contract]:[Vendor - Contract]],$H48,CostTrack[[Holdback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48" s="504">
        <f ca="1">SUMIFS(CostTrack[[Value]:[Value]],CostTrack[[PA ID]:[PA ID]],$B48,CostTrack[[Vendor - Contract]:[Vendor - Contract]],$H48,CostTrack[[Holdback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48" s="504">
        <f ca="1">SUMIFS(CostTrack[[Value]:[Value]],CostTrack[[PA ID]:[PA ID]],$B48,CostTrack[[Vendor - Contract]:[Vendor - Contract]],$H48,CostTrack[[Holdback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48" s="504">
        <f ca="1">SUMIFS(CostTrack[[Value]:[Value]],CostTrack[[PA ID]:[PA ID]],$B48,CostTrack[[Vendor - Contract]:[Vendor - Contract]],$H48,CostTrack[[Holdback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48" s="504">
        <f ca="1">SUMIFS(CostTrack[[Value]:[Value]],CostTrack[[PA ID]:[PA ID]],$B48,CostTrack[[Vendor - Contract]:[Vendor - Contract]],$H48,CostTrack[[Holdback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48" s="504">
        <f ca="1">SUMIFS(CostTrack[[Value]:[Value]],CostTrack[[PA ID]:[PA ID]],$B48,CostTrack[[Vendor - Contract]:[Vendor - Contract]],$H48,CostTrack[[Holdback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48" s="504">
        <f ca="1">SUMIFS(CostTrack[[Value]:[Value]],CostTrack[[PA ID]:[PA ID]],$B48,CostTrack[[Vendor - Contract]:[Vendor - Contract]],$H48,CostTrack[[Holdback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48" s="504">
        <f ca="1">SUMIFS(CostTrack[[Value]:[Value]],CostTrack[[PA ID]:[PA ID]],$B48,CostTrack[[Vendor - Contract]:[Vendor - Contract]],$H48,CostTrack[[Holdback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48" s="512">
        <f t="shared" ca="1" si="35"/>
        <v>0</v>
      </c>
      <c r="AW48" s="504">
        <f ca="1">SUMIFS(CostTrack[[Value]:[Value]],CostTrack[[PA ID]:[PA ID]],$B48,CostTrack[[Vendor - Contract]:[Vendor - Contract]],$H48,CostTrack[[Holdback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48" s="504">
        <f ca="1">SUMIFS(CostTrack[[Value]:[Value]],CostTrack[[PA ID]:[PA ID]],$B48,CostTrack[[Vendor - Contract]:[Vendor - Contract]],$H48,CostTrack[[Holdback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48" s="504">
        <f ca="1">SUMIFS(CostTrack[[Value]:[Value]],CostTrack[[PA ID]:[PA ID]],$B48,CostTrack[[Vendor - Contract]:[Vendor - Contract]],$H48,CostTrack[[Holdback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48" s="504">
        <f ca="1">SUMIFS(CostTrack[[Value]:[Value]],CostTrack[[PA ID]:[PA ID]],$B48,CostTrack[[Vendor - Contract]:[Vendor - Contract]],$H48,CostTrack[[Holdback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48" s="504">
        <f ca="1">SUMIFS(CostTrack[[Value]:[Value]],CostTrack[[PA ID]:[PA ID]],$B48,CostTrack[[Vendor - Contract]:[Vendor - Contract]],$H48,CostTrack[[Holdback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48" s="504">
        <f ca="1">SUMIFS(CostTrack[[Value]:[Value]],CostTrack[[PA ID]:[PA ID]],$B48,CostTrack[[Vendor - Contract]:[Vendor - Contract]],$H48,CostTrack[[Holdback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48" s="504">
        <f ca="1">SUMIFS(CostTrack[[Value]:[Value]],CostTrack[[PA ID]:[PA ID]],$B48,CostTrack[[Vendor - Contract]:[Vendor - Contract]],$H48,CostTrack[[Holdback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48" s="504">
        <f ca="1">SUMIFS(CostTrack[[Value]:[Value]],CostTrack[[PA ID]:[PA ID]],$B48,CostTrack[[Vendor - Contract]:[Vendor - Contract]],$H48,CostTrack[[Holdback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48" s="504">
        <f ca="1">SUMIFS(CostTrack[[Value]:[Value]],CostTrack[[PA ID]:[PA ID]],$B48,CostTrack[[Vendor - Contract]:[Vendor - Contract]],$H48,CostTrack[[Holdback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48" s="504">
        <f ca="1">SUMIFS(CostTrack[[Value]:[Value]],CostTrack[[PA ID]:[PA ID]],$B48,CostTrack[[Vendor - Contract]:[Vendor - Contract]],$H48,CostTrack[[Holdback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48" s="504">
        <f ca="1">SUMIFS(CostTrack[[Value]:[Value]],CostTrack[[PA ID]:[PA ID]],$B48,CostTrack[[Vendor - Contract]:[Vendor - Contract]],$H48,CostTrack[[Holdback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48" s="504">
        <f ca="1">SUMIFS(CostTrack[[Value]:[Value]],CostTrack[[PA ID]:[PA ID]],$B48,CostTrack[[Vendor - Contract]:[Vendor - Contract]],$H48,CostTrack[[Holdback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48" s="512">
        <f t="shared" ca="1" si="36"/>
        <v>0</v>
      </c>
      <c r="BK48" s="504">
        <f ca="1">SUMIFS(CostTrack[[Value]:[Value]],CostTrack[[PA ID]:[PA ID]],$B48,CostTrack[[Vendor - Contract]:[Vendor - Contract]],$H48,CostTrack[[Holdback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48" s="504">
        <f ca="1">SUMIFS(CostTrack[[Value]:[Value]],CostTrack[[PA ID]:[PA ID]],$B48,CostTrack[[Vendor - Contract]:[Vendor - Contract]],$H48,CostTrack[[Holdback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48" s="504">
        <f ca="1">SUMIFS(CostTrack[[Value]:[Value]],CostTrack[[PA ID]:[PA ID]],$B48,CostTrack[[Vendor - Contract]:[Vendor - Contract]],$H48,CostTrack[[Holdback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48" s="504">
        <f ca="1">SUMIFS(CostTrack[[Value]:[Value]],CostTrack[[PA ID]:[PA ID]],$B48,CostTrack[[Vendor - Contract]:[Vendor - Contract]],$H48,CostTrack[[Holdback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48" s="504">
        <f ca="1">SUMIFS(CostTrack[[Value]:[Value]],CostTrack[[PA ID]:[PA ID]],$B48,CostTrack[[Vendor - Contract]:[Vendor - Contract]],$H48,CostTrack[[Holdback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48" s="504">
        <f ca="1">SUMIFS(CostTrack[[Value]:[Value]],CostTrack[[PA ID]:[PA ID]],$B48,CostTrack[[Vendor - Contract]:[Vendor - Contract]],$H48,CostTrack[[Holdback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48" s="504">
        <f ca="1">SUMIFS(CostTrack[[Value]:[Value]],CostTrack[[PA ID]:[PA ID]],$B48,CostTrack[[Vendor - Contract]:[Vendor - Contract]],$H48,CostTrack[[Holdback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48" s="504">
        <f ca="1">SUMIFS(CostTrack[[Value]:[Value]],CostTrack[[PA ID]:[PA ID]],$B48,CostTrack[[Vendor - Contract]:[Vendor - Contract]],$H48,CostTrack[[Holdback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48" s="504">
        <f ca="1">SUMIFS(CostTrack[[Value]:[Value]],CostTrack[[PA ID]:[PA ID]],$B48,CostTrack[[Vendor - Contract]:[Vendor - Contract]],$H48,CostTrack[[Holdback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48" s="504">
        <f ca="1">SUMIFS(CostTrack[[Value]:[Value]],CostTrack[[PA ID]:[PA ID]],$B48,CostTrack[[Vendor - Contract]:[Vendor - Contract]],$H48,CostTrack[[Holdback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48" s="504">
        <f ca="1">SUMIFS(CostTrack[[Value]:[Value]],CostTrack[[PA ID]:[PA ID]],$B48,CostTrack[[Vendor - Contract]:[Vendor - Contract]],$H48,CostTrack[[Holdback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48" s="504">
        <f ca="1">SUMIFS(CostTrack[[Value]:[Value]],CostTrack[[PA ID]:[PA ID]],$B48,CostTrack[[Vendor - Contract]:[Vendor - Contract]],$H48,CostTrack[[Holdback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48" s="512">
        <f t="shared" ca="1" si="37"/>
        <v>0</v>
      </c>
      <c r="BY48" s="504">
        <f ca="1">SUMIFS(CostTrack[[Value]:[Value]],CostTrack[[PA ID]:[PA ID]],$B48,CostTrack[[Vendor - Contract]:[Vendor - Contract]],$H48,CostTrack[[Holdback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48" s="504">
        <f ca="1">SUMIFS(CostTrack[[Value]:[Value]],CostTrack[[PA ID]:[PA ID]],$B48,CostTrack[[Vendor - Contract]:[Vendor - Contract]],$H48,CostTrack[[Holdback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48" s="504">
        <f ca="1">SUMIFS(CostTrack[[Value]:[Value]],CostTrack[[PA ID]:[PA ID]],$B48,CostTrack[[Vendor - Contract]:[Vendor - Contract]],$H48,CostTrack[[Holdback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48" s="504">
        <f ca="1">SUMIFS(CostTrack[[Value]:[Value]],CostTrack[[PA ID]:[PA ID]],$B48,CostTrack[[Vendor - Contract]:[Vendor - Contract]],$H48,CostTrack[[Holdback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48" s="504">
        <f ca="1">SUMIFS(CostTrack[[Value]:[Value]],CostTrack[[PA ID]:[PA ID]],$B48,CostTrack[[Vendor - Contract]:[Vendor - Contract]],$H48,CostTrack[[Holdback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48" s="504">
        <f ca="1">SUMIFS(CostTrack[[Value]:[Value]],CostTrack[[PA ID]:[PA ID]],$B48,CostTrack[[Vendor - Contract]:[Vendor - Contract]],$H48,CostTrack[[Holdback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48" s="504">
        <f ca="1">SUMIFS(CostTrack[[Value]:[Value]],CostTrack[[PA ID]:[PA ID]],$B48,CostTrack[[Vendor - Contract]:[Vendor - Contract]],$H48,CostTrack[[Holdback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48" s="504">
        <f ca="1">SUMIFS(CostTrack[[Value]:[Value]],CostTrack[[PA ID]:[PA ID]],$B48,CostTrack[[Vendor - Contract]:[Vendor - Contract]],$H48,CostTrack[[Holdback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48" s="504">
        <f ca="1">SUMIFS(CostTrack[[Value]:[Value]],CostTrack[[PA ID]:[PA ID]],$B48,CostTrack[[Vendor - Contract]:[Vendor - Contract]],$H48,CostTrack[[Holdback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48" s="504">
        <f ca="1">SUMIFS(CostTrack[[Value]:[Value]],CostTrack[[PA ID]:[PA ID]],$B48,CostTrack[[Vendor - Contract]:[Vendor - Contract]],$H48,CostTrack[[Holdback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48" s="504">
        <f ca="1">SUMIFS(CostTrack[[Value]:[Value]],CostTrack[[PA ID]:[PA ID]],$B48,CostTrack[[Vendor - Contract]:[Vendor - Contract]],$H48,CostTrack[[Holdback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48" s="504">
        <f ca="1">SUMIFS(CostTrack[[Value]:[Value]],CostTrack[[PA ID]:[PA ID]],$B48,CostTrack[[Vendor - Contract]:[Vendor - Contract]],$H48,CostTrack[[Holdback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48" s="512">
        <f t="shared" ca="1" si="38"/>
        <v>0</v>
      </c>
      <c r="CM48" s="504">
        <f ca="1">SUMIFS(CostTrack[[Value]:[Value]],CostTrack[[PA ID]:[PA ID]],$B48,CostTrack[[Vendor - Contract]:[Vendor - Contract]],$H48,CostTrack[[Holdback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48" s="504">
        <f ca="1">SUMIFS(CostTrack[[Value]:[Value]],CostTrack[[PA ID]:[PA ID]],$B48,CostTrack[[Vendor - Contract]:[Vendor - Contract]],$H48,CostTrack[[Holdback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48" s="504">
        <f ca="1">SUMIFS(CostTrack[[Value]:[Value]],CostTrack[[PA ID]:[PA ID]],$B48,CostTrack[[Vendor - Contract]:[Vendor - Contract]],$H48,CostTrack[[Holdback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48" s="504">
        <f ca="1">SUMIFS(CostTrack[[Value]:[Value]],CostTrack[[PA ID]:[PA ID]],$B48,CostTrack[[Vendor - Contract]:[Vendor - Contract]],$H48,CostTrack[[Holdback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48" s="504">
        <f ca="1">SUMIFS(CostTrack[[Value]:[Value]],CostTrack[[PA ID]:[PA ID]],$B48,CostTrack[[Vendor - Contract]:[Vendor - Contract]],$H48,CostTrack[[Holdback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48" s="504">
        <f ca="1">SUMIFS(CostTrack[[Value]:[Value]],CostTrack[[PA ID]:[PA ID]],$B48,CostTrack[[Vendor - Contract]:[Vendor - Contract]],$H48,CostTrack[[Holdback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48" s="504">
        <f ca="1">SUMIFS(CostTrack[[Value]:[Value]],CostTrack[[PA ID]:[PA ID]],$B48,CostTrack[[Vendor - Contract]:[Vendor - Contract]],$H48,CostTrack[[Holdback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48" s="504">
        <f ca="1">SUMIFS(CostTrack[[Value]:[Value]],CostTrack[[PA ID]:[PA ID]],$B48,CostTrack[[Vendor - Contract]:[Vendor - Contract]],$H48,CostTrack[[Holdback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48" s="504">
        <f ca="1">SUMIFS(CostTrack[[Value]:[Value]],CostTrack[[PA ID]:[PA ID]],$B48,CostTrack[[Vendor - Contract]:[Vendor - Contract]],$H48,CostTrack[[Holdback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48" s="504">
        <f ca="1">SUMIFS(CostTrack[[Value]:[Value]],CostTrack[[PA ID]:[PA ID]],$B48,CostTrack[[Vendor - Contract]:[Vendor - Contract]],$H48,CostTrack[[Holdback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48" s="504">
        <f ca="1">SUMIFS(CostTrack[[Value]:[Value]],CostTrack[[PA ID]:[PA ID]],$B48,CostTrack[[Vendor - Contract]:[Vendor - Contract]],$H48,CostTrack[[Holdback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48" s="504">
        <f ca="1">SUMIFS(CostTrack[[Value]:[Value]],CostTrack[[PA ID]:[PA ID]],$B48,CostTrack[[Vendor - Contract]:[Vendor - Contract]],$H48,CostTrack[[Holdback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48" s="512">
        <f t="shared" ca="1" si="39"/>
        <v>0</v>
      </c>
      <c r="DA48" s="504">
        <f ca="1">SUMIFS(CostTrack[[Value]:[Value]],CostTrack[[PA ID]:[PA ID]],$B48,CostTrack[[Vendor - Contract]:[Vendor - Contract]],$H48,CostTrack[[Holdback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48" s="504">
        <f ca="1">SUMIFS(CostTrack[[Value]:[Value]],CostTrack[[PA ID]:[PA ID]],$B48,CostTrack[[Vendor - Contract]:[Vendor - Contract]],$H48,CostTrack[[Holdback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48" s="504">
        <f ca="1">SUMIFS(CostTrack[[Value]:[Value]],CostTrack[[PA ID]:[PA ID]],$B48,CostTrack[[Vendor - Contract]:[Vendor - Contract]],$H48,CostTrack[[Holdback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48" s="504">
        <f ca="1">SUMIFS(CostTrack[[Value]:[Value]],CostTrack[[PA ID]:[PA ID]],$B48,CostTrack[[Vendor - Contract]:[Vendor - Contract]],$H48,CostTrack[[Holdback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48" s="504">
        <f ca="1">SUMIFS(CostTrack[[Value]:[Value]],CostTrack[[PA ID]:[PA ID]],$B48,CostTrack[[Vendor - Contract]:[Vendor - Contract]],$H48,CostTrack[[Holdback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48" s="504">
        <f ca="1">SUMIFS(CostTrack[[Value]:[Value]],CostTrack[[PA ID]:[PA ID]],$B48,CostTrack[[Vendor - Contract]:[Vendor - Contract]],$H48,CostTrack[[Holdback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48" s="504">
        <f ca="1">SUMIFS(CostTrack[[Value]:[Value]],CostTrack[[PA ID]:[PA ID]],$B48,CostTrack[[Vendor - Contract]:[Vendor - Contract]],$H48,CostTrack[[Holdback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48" s="504">
        <f ca="1">SUMIFS(CostTrack[[Value]:[Value]],CostTrack[[PA ID]:[PA ID]],$B48,CostTrack[[Vendor - Contract]:[Vendor - Contract]],$H48,CostTrack[[Holdback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48" s="504">
        <f ca="1">SUMIFS(CostTrack[[Value]:[Value]],CostTrack[[PA ID]:[PA ID]],$B48,CostTrack[[Vendor - Contract]:[Vendor - Contract]],$H48,CostTrack[[Holdback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48" s="504">
        <f ca="1">SUMIFS(CostTrack[[Value]:[Value]],CostTrack[[PA ID]:[PA ID]],$B48,CostTrack[[Vendor - Contract]:[Vendor - Contract]],$H48,CostTrack[[Holdback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48" s="504">
        <f ca="1">SUMIFS(CostTrack[[Value]:[Value]],CostTrack[[PA ID]:[PA ID]],$B48,CostTrack[[Vendor - Contract]:[Vendor - Contract]],$H48,CostTrack[[Holdback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48" s="504">
        <f ca="1">SUMIFS(CostTrack[[Value]:[Value]],CostTrack[[PA ID]:[PA ID]],$B48,CostTrack[[Vendor - Contract]:[Vendor - Contract]],$H48,CostTrack[[Holdback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48" s="512">
        <f t="shared" ca="1" si="40"/>
        <v>0</v>
      </c>
      <c r="DO48" s="504">
        <f ca="1">SUMIFS(CostTrack[[Value]:[Value]],CostTrack[[PA ID]:[PA ID]],$B48,CostTrack[[Vendor - Contract]:[Vendor - Contract]],$H48,CostTrack[[Holdback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48" s="504">
        <f ca="1">SUMIFS(CostTrack[[Value]:[Value]],CostTrack[[PA ID]:[PA ID]],$B48,CostTrack[[Vendor - Contract]:[Vendor - Contract]],$H48,CostTrack[[Holdback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48" s="504">
        <f ca="1">SUMIFS(CostTrack[[Value]:[Value]],CostTrack[[PA ID]:[PA ID]],$B48,CostTrack[[Vendor - Contract]:[Vendor - Contract]],$H48,CostTrack[[Holdback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48" s="504">
        <f ca="1">SUMIFS(CostTrack[[Value]:[Value]],CostTrack[[PA ID]:[PA ID]],$B48,CostTrack[[Vendor - Contract]:[Vendor - Contract]],$H48,CostTrack[[Holdback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48" s="504">
        <f ca="1">SUMIFS(CostTrack[[Value]:[Value]],CostTrack[[PA ID]:[PA ID]],$B48,CostTrack[[Vendor - Contract]:[Vendor - Contract]],$H48,CostTrack[[Holdback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48" s="504">
        <f ca="1">SUMIFS(CostTrack[[Value]:[Value]],CostTrack[[PA ID]:[PA ID]],$B48,CostTrack[[Vendor - Contract]:[Vendor - Contract]],$H48,CostTrack[[Holdback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48" s="504">
        <f ca="1">SUMIFS(CostTrack[[Value]:[Value]],CostTrack[[PA ID]:[PA ID]],$B48,CostTrack[[Vendor - Contract]:[Vendor - Contract]],$H48,CostTrack[[Holdback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48" s="504">
        <f ca="1">SUMIFS(CostTrack[[Value]:[Value]],CostTrack[[PA ID]:[PA ID]],$B48,CostTrack[[Vendor - Contract]:[Vendor - Contract]],$H48,CostTrack[[Holdback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48" s="504">
        <f ca="1">SUMIFS(CostTrack[[Value]:[Value]],CostTrack[[PA ID]:[PA ID]],$B48,CostTrack[[Vendor - Contract]:[Vendor - Contract]],$H48,CostTrack[[Holdback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48" s="504">
        <f ca="1">SUMIFS(CostTrack[[Value]:[Value]],CostTrack[[PA ID]:[PA ID]],$B48,CostTrack[[Vendor - Contract]:[Vendor - Contract]],$H48,CostTrack[[Holdback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48" s="504">
        <f ca="1">SUMIFS(CostTrack[[Value]:[Value]],CostTrack[[PA ID]:[PA ID]],$B48,CostTrack[[Vendor - Contract]:[Vendor - Contract]],$H48,CostTrack[[Holdback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48" s="504">
        <f ca="1">SUMIFS(CostTrack[[Value]:[Value]],CostTrack[[PA ID]:[PA ID]],$B48,CostTrack[[Vendor - Contract]:[Vendor - Contract]],$H48,CostTrack[[Holdback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48" s="512">
        <f t="shared" ca="1" si="41"/>
        <v>0</v>
      </c>
      <c r="EC48" s="504">
        <f ca="1">SUMIFS(CostTrack[[Value]:[Value]],CostTrack[[PA ID]:[PA ID]],$B48,CostTrack[[Vendor - Contract]:[Vendor - Contract]],$H48,CostTrack[[Holdback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48" s="505"/>
      <c r="EE48" s="505"/>
      <c r="EF48" s="505"/>
      <c r="EG48" s="505"/>
      <c r="EH48" s="505"/>
      <c r="EI48" s="505"/>
      <c r="EJ48" s="505"/>
      <c r="EK48" s="505"/>
      <c r="EL48" s="505"/>
      <c r="EM48" s="505"/>
      <c r="EN48" s="505"/>
      <c r="EO48" s="512">
        <f t="shared" ca="1" si="42"/>
        <v>0</v>
      </c>
      <c r="EQ48" s="505"/>
      <c r="ER48" s="505"/>
      <c r="ES48" s="505"/>
      <c r="ET48" s="505"/>
      <c r="EU48" s="505"/>
      <c r="EV48" s="505"/>
      <c r="EW48" s="505"/>
      <c r="EX48" s="505"/>
      <c r="EY48" s="505"/>
      <c r="EZ48" s="505"/>
      <c r="FA48" s="505"/>
      <c r="FB48" s="505"/>
      <c r="FC48" s="512">
        <f t="shared" si="43"/>
        <v>0</v>
      </c>
      <c r="FE48" s="505"/>
      <c r="FF48" s="505"/>
      <c r="FG48" s="505"/>
      <c r="FH48" s="505"/>
      <c r="FI48" s="505"/>
      <c r="FJ48" s="505"/>
      <c r="FK48" s="505"/>
      <c r="FL48" s="505"/>
      <c r="FM48" s="505"/>
      <c r="FN48" s="505"/>
      <c r="FO48" s="505"/>
      <c r="FP48" s="505"/>
      <c r="FQ48" s="512">
        <f t="shared" si="44"/>
        <v>0</v>
      </c>
      <c r="FS48" s="504">
        <f t="shared" ca="1" si="45"/>
        <v>0</v>
      </c>
    </row>
    <row r="49" spans="1:175">
      <c r="A49" s="216">
        <v>42</v>
      </c>
      <c r="B49" s="219" t="str">
        <f ca="1">INDEX(EAC[PA ID],MATCH($A49,EAC[Row],0))</f>
        <v>100.050.F1</v>
      </c>
      <c r="C49" s="218" t="str">
        <f ca="1">INDEX(EAC[Primary Category],MATCH($A49,EAC[Row],0))</f>
        <v>Administration</v>
      </c>
      <c r="D49" s="218" t="str">
        <f ca="1">INDEX(EAC[Secondary Category],MATCH($A49,EAC[Row],0))</f>
        <v>Other Administration</v>
      </c>
      <c r="E49" s="109" t="str">
        <f ca="1">INDEX(EAC[Phase / Subproject],MATCH($A49,EAC[Row],0))</f>
        <v>--</v>
      </c>
      <c r="F49" s="109" t="str">
        <f ca="1">INDEX(EAC[Phase / Subproject 2],MATCH($A49,EAC[Row],0))</f>
        <v>--</v>
      </c>
      <c r="G49" s="109" t="str">
        <f ca="1">INDEX(EAC[Funding Source],MATCH($A49,EAC[Row],0))</f>
        <v>P-002360</v>
      </c>
      <c r="H49" s="146" t="str">
        <f ca="1">INDEX(EAC[Vendor / Org. with Contract ID],MATCH($A49,EAC[Row],0))</f>
        <v>Chapman Riebeek LLP -Direct Pay</v>
      </c>
      <c r="I49" s="502">
        <f ca="1">INDEX(EAC[Estimate At Completion],MATCH($A49,EAC[Row],0))</f>
        <v>5000</v>
      </c>
      <c r="J49" s="502">
        <f ca="1">SUMIFS(CostTrack[Value],CostTrack[Vendor - Contract],$H49,CostTrack[PA ID],$B49,CostTrack[Holdback (Y/N/R)],"&lt;&gt;Release",CostTrack[Status],"Approved")</f>
        <v>5000</v>
      </c>
      <c r="K49" s="503">
        <f t="shared" ca="1" si="14"/>
        <v>0</v>
      </c>
      <c r="M49" s="504">
        <f t="shared" ca="1" si="15"/>
        <v>0</v>
      </c>
      <c r="O49" s="504">
        <f t="shared" ca="1" si="31"/>
        <v>5000</v>
      </c>
      <c r="P49" s="504">
        <f t="array" aca="1" ref="P49" ca="1">SUM($U49:$FQ49*_xlfn.ISFORMULA($U49:$FQ49)*ISNUMBER($U$7:$FQ$7)*--(INDEX($U$6:$FQ$6,N(IF({1},COLUMN($U$6:$FQ$6)-COLUMN($T$6)))-MOD(N(IF({1},COLUMN($U$6:$FQ$6)-COLUMN($U$6))),14))="Current Fiscal"))</f>
        <v>0</v>
      </c>
      <c r="Q49" s="504">
        <f t="array" aca="1" ref="Q49" ca="1">SUM($U49:$FQ49*NOT(_xlfn.ISFORMULA($U49:$FQ49))*ISNUMBER($U$7:$FQ$7)*--(INDEX($U$6:$FQ$6,N(IF({1},COLUMN($U$6:$FQ$6)-COLUMN($T$6)))-MOD(N(IF({1},COLUMN($U$6:$FQ$6)-COLUMN($U$6))),14))="Current Fiscal"))</f>
        <v>0</v>
      </c>
      <c r="R49" s="504">
        <f t="shared" ca="1" si="32"/>
        <v>0</v>
      </c>
      <c r="S49" s="504">
        <f t="shared" ca="1" si="33"/>
        <v>0</v>
      </c>
      <c r="U49" s="504">
        <f ca="1">SUMIFS(CostTrack[[Value]:[Value]],CostTrack[[PA ID]:[PA ID]],$B49,CostTrack[[Vendor - Contract]:[Vendor - Contract]],$H49,CostTrack[[Holdback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49" s="504">
        <f ca="1">SUMIFS(CostTrack[[Value]:[Value]],CostTrack[[PA ID]:[PA ID]],$B49,CostTrack[[Vendor - Contract]:[Vendor - Contract]],$H49,CostTrack[[Holdback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49" s="504">
        <f ca="1">SUMIFS(CostTrack[[Value]:[Value]],CostTrack[[PA ID]:[PA ID]],$B49,CostTrack[[Vendor - Contract]:[Vendor - Contract]],$H49,CostTrack[[Holdback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49" s="504">
        <f ca="1">SUMIFS(CostTrack[[Value]:[Value]],CostTrack[[PA ID]:[PA ID]],$B49,CostTrack[[Vendor - Contract]:[Vendor - Contract]],$H49,CostTrack[[Holdback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49" s="504">
        <f ca="1">SUMIFS(CostTrack[[Value]:[Value]],CostTrack[[PA ID]:[PA ID]],$B49,CostTrack[[Vendor - Contract]:[Vendor - Contract]],$H49,CostTrack[[Holdback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49" s="504">
        <f ca="1">SUMIFS(CostTrack[[Value]:[Value]],CostTrack[[PA ID]:[PA ID]],$B49,CostTrack[[Vendor - Contract]:[Vendor - Contract]],$H49,CostTrack[[Holdback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49" s="504">
        <f ca="1">SUMIFS(CostTrack[[Value]:[Value]],CostTrack[[PA ID]:[PA ID]],$B49,CostTrack[[Vendor - Contract]:[Vendor - Contract]],$H49,CostTrack[[Holdback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49" s="504">
        <f ca="1">SUMIFS(CostTrack[[Value]:[Value]],CostTrack[[PA ID]:[PA ID]],$B49,CostTrack[[Vendor - Contract]:[Vendor - Contract]],$H49,CostTrack[[Holdback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49" s="504">
        <f ca="1">SUMIFS(CostTrack[[Value]:[Value]],CostTrack[[PA ID]:[PA ID]],$B49,CostTrack[[Vendor - Contract]:[Vendor - Contract]],$H49,CostTrack[[Holdback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49" s="504">
        <f ca="1">SUMIFS(CostTrack[[Value]:[Value]],CostTrack[[PA ID]:[PA ID]],$B49,CostTrack[[Vendor - Contract]:[Vendor - Contract]],$H49,CostTrack[[Holdback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49" s="504">
        <f ca="1">SUMIFS(CostTrack[[Value]:[Value]],CostTrack[[PA ID]:[PA ID]],$B49,CostTrack[[Vendor - Contract]:[Vendor - Contract]],$H49,CostTrack[[Holdback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49" s="504">
        <f ca="1">SUMIFS(CostTrack[[Value]:[Value]],CostTrack[[PA ID]:[PA ID]],$B49,CostTrack[[Vendor - Contract]:[Vendor - Contract]],$H49,CostTrack[[Holdback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49" s="506">
        <f t="shared" ca="1" si="34"/>
        <v>0</v>
      </c>
      <c r="AI49" s="504">
        <f ca="1">SUMIFS(CostTrack[[Value]:[Value]],CostTrack[[PA ID]:[PA ID]],$B49,CostTrack[[Vendor - Contract]:[Vendor - Contract]],$H49,CostTrack[[Holdback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49" s="504">
        <f ca="1">SUMIFS(CostTrack[[Value]:[Value]],CostTrack[[PA ID]:[PA ID]],$B49,CostTrack[[Vendor - Contract]:[Vendor - Contract]],$H49,CostTrack[[Holdback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49" s="504">
        <f ca="1">SUMIFS(CostTrack[[Value]:[Value]],CostTrack[[PA ID]:[PA ID]],$B49,CostTrack[[Vendor - Contract]:[Vendor - Contract]],$H49,CostTrack[[Holdback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49" s="504">
        <f ca="1">SUMIFS(CostTrack[[Value]:[Value]],CostTrack[[PA ID]:[PA ID]],$B49,CostTrack[[Vendor - Contract]:[Vendor - Contract]],$H49,CostTrack[[Holdback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49" s="504">
        <f ca="1">SUMIFS(CostTrack[[Value]:[Value]],CostTrack[[PA ID]:[PA ID]],$B49,CostTrack[[Vendor - Contract]:[Vendor - Contract]],$H49,CostTrack[[Holdback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49" s="504">
        <f ca="1">SUMIFS(CostTrack[[Value]:[Value]],CostTrack[[PA ID]:[PA ID]],$B49,CostTrack[[Vendor - Contract]:[Vendor - Contract]],$H49,CostTrack[[Holdback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49" s="504">
        <f ca="1">SUMIFS(CostTrack[[Value]:[Value]],CostTrack[[PA ID]:[PA ID]],$B49,CostTrack[[Vendor - Contract]:[Vendor - Contract]],$H49,CostTrack[[Holdback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49" s="504">
        <f ca="1">SUMIFS(CostTrack[[Value]:[Value]],CostTrack[[PA ID]:[PA ID]],$B49,CostTrack[[Vendor - Contract]:[Vendor - Contract]],$H49,CostTrack[[Holdback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49" s="504">
        <f ca="1">SUMIFS(CostTrack[[Value]:[Value]],CostTrack[[PA ID]:[PA ID]],$B49,CostTrack[[Vendor - Contract]:[Vendor - Contract]],$H49,CostTrack[[Holdback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49" s="504">
        <f ca="1">SUMIFS(CostTrack[[Value]:[Value]],CostTrack[[PA ID]:[PA ID]],$B49,CostTrack[[Vendor - Contract]:[Vendor - Contract]],$H49,CostTrack[[Holdback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49" s="504">
        <f ca="1">SUMIFS(CostTrack[[Value]:[Value]],CostTrack[[PA ID]:[PA ID]],$B49,CostTrack[[Vendor - Contract]:[Vendor - Contract]],$H49,CostTrack[[Holdback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49" s="504">
        <f ca="1">SUMIFS(CostTrack[[Value]:[Value]],CostTrack[[PA ID]:[PA ID]],$B49,CostTrack[[Vendor - Contract]:[Vendor - Contract]],$H49,CostTrack[[Holdback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49" s="512">
        <f t="shared" ca="1" si="35"/>
        <v>0</v>
      </c>
      <c r="AW49" s="504">
        <f ca="1">SUMIFS(CostTrack[[Value]:[Value]],CostTrack[[PA ID]:[PA ID]],$B49,CostTrack[[Vendor - Contract]:[Vendor - Contract]],$H49,CostTrack[[Holdback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49" s="504">
        <f ca="1">SUMIFS(CostTrack[[Value]:[Value]],CostTrack[[PA ID]:[PA ID]],$B49,CostTrack[[Vendor - Contract]:[Vendor - Contract]],$H49,CostTrack[[Holdback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5000</v>
      </c>
      <c r="AY49" s="504">
        <f ca="1">SUMIFS(CostTrack[[Value]:[Value]],CostTrack[[PA ID]:[PA ID]],$B49,CostTrack[[Vendor - Contract]:[Vendor - Contract]],$H49,CostTrack[[Holdback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49" s="504">
        <f ca="1">SUMIFS(CostTrack[[Value]:[Value]],CostTrack[[PA ID]:[PA ID]],$B49,CostTrack[[Vendor - Contract]:[Vendor - Contract]],$H49,CostTrack[[Holdback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49" s="504">
        <f ca="1">SUMIFS(CostTrack[[Value]:[Value]],CostTrack[[PA ID]:[PA ID]],$B49,CostTrack[[Vendor - Contract]:[Vendor - Contract]],$H49,CostTrack[[Holdback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49" s="504">
        <f ca="1">SUMIFS(CostTrack[[Value]:[Value]],CostTrack[[PA ID]:[PA ID]],$B49,CostTrack[[Vendor - Contract]:[Vendor - Contract]],$H49,CostTrack[[Holdback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49" s="504">
        <f ca="1">SUMIFS(CostTrack[[Value]:[Value]],CostTrack[[PA ID]:[PA ID]],$B49,CostTrack[[Vendor - Contract]:[Vendor - Contract]],$H49,CostTrack[[Holdback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49" s="504">
        <f ca="1">SUMIFS(CostTrack[[Value]:[Value]],CostTrack[[PA ID]:[PA ID]],$B49,CostTrack[[Vendor - Contract]:[Vendor - Contract]],$H49,CostTrack[[Holdback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49" s="504">
        <f ca="1">SUMIFS(CostTrack[[Value]:[Value]],CostTrack[[PA ID]:[PA ID]],$B49,CostTrack[[Vendor - Contract]:[Vendor - Contract]],$H49,CostTrack[[Holdback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49" s="504">
        <f ca="1">SUMIFS(CostTrack[[Value]:[Value]],CostTrack[[PA ID]:[PA ID]],$B49,CostTrack[[Vendor - Contract]:[Vendor - Contract]],$H49,CostTrack[[Holdback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49" s="504">
        <f ca="1">SUMIFS(CostTrack[[Value]:[Value]],CostTrack[[PA ID]:[PA ID]],$B49,CostTrack[[Vendor - Contract]:[Vendor - Contract]],$H49,CostTrack[[Holdback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49" s="504">
        <f ca="1">SUMIFS(CostTrack[[Value]:[Value]],CostTrack[[PA ID]:[PA ID]],$B49,CostTrack[[Vendor - Contract]:[Vendor - Contract]],$H49,CostTrack[[Holdback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49" s="512">
        <f t="shared" ca="1" si="36"/>
        <v>5000</v>
      </c>
      <c r="BK49" s="504">
        <f ca="1">SUMIFS(CostTrack[[Value]:[Value]],CostTrack[[PA ID]:[PA ID]],$B49,CostTrack[[Vendor - Contract]:[Vendor - Contract]],$H49,CostTrack[[Holdback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49" s="504">
        <f ca="1">SUMIFS(CostTrack[[Value]:[Value]],CostTrack[[PA ID]:[PA ID]],$B49,CostTrack[[Vendor - Contract]:[Vendor - Contract]],$H49,CostTrack[[Holdback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49" s="504">
        <f ca="1">SUMIFS(CostTrack[[Value]:[Value]],CostTrack[[PA ID]:[PA ID]],$B49,CostTrack[[Vendor - Contract]:[Vendor - Contract]],$H49,CostTrack[[Holdback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49" s="504">
        <f ca="1">SUMIFS(CostTrack[[Value]:[Value]],CostTrack[[PA ID]:[PA ID]],$B49,CostTrack[[Vendor - Contract]:[Vendor - Contract]],$H49,CostTrack[[Holdback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49" s="504">
        <f ca="1">SUMIFS(CostTrack[[Value]:[Value]],CostTrack[[PA ID]:[PA ID]],$B49,CostTrack[[Vendor - Contract]:[Vendor - Contract]],$H49,CostTrack[[Holdback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49" s="504">
        <f ca="1">SUMIFS(CostTrack[[Value]:[Value]],CostTrack[[PA ID]:[PA ID]],$B49,CostTrack[[Vendor - Contract]:[Vendor - Contract]],$H49,CostTrack[[Holdback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49" s="504">
        <f ca="1">SUMIFS(CostTrack[[Value]:[Value]],CostTrack[[PA ID]:[PA ID]],$B49,CostTrack[[Vendor - Contract]:[Vendor - Contract]],$H49,CostTrack[[Holdback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49" s="504">
        <f ca="1">SUMIFS(CostTrack[[Value]:[Value]],CostTrack[[PA ID]:[PA ID]],$B49,CostTrack[[Vendor - Contract]:[Vendor - Contract]],$H49,CostTrack[[Holdback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49" s="504">
        <f ca="1">SUMIFS(CostTrack[[Value]:[Value]],CostTrack[[PA ID]:[PA ID]],$B49,CostTrack[[Vendor - Contract]:[Vendor - Contract]],$H49,CostTrack[[Holdback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49" s="504">
        <f ca="1">SUMIFS(CostTrack[[Value]:[Value]],CostTrack[[PA ID]:[PA ID]],$B49,CostTrack[[Vendor - Contract]:[Vendor - Contract]],$H49,CostTrack[[Holdback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49" s="504">
        <f ca="1">SUMIFS(CostTrack[[Value]:[Value]],CostTrack[[PA ID]:[PA ID]],$B49,CostTrack[[Vendor - Contract]:[Vendor - Contract]],$H49,CostTrack[[Holdback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49" s="504">
        <f ca="1">SUMIFS(CostTrack[[Value]:[Value]],CostTrack[[PA ID]:[PA ID]],$B49,CostTrack[[Vendor - Contract]:[Vendor - Contract]],$H49,CostTrack[[Holdback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49" s="512">
        <f t="shared" ca="1" si="37"/>
        <v>0</v>
      </c>
      <c r="BY49" s="504">
        <f ca="1">SUMIFS(CostTrack[[Value]:[Value]],CostTrack[[PA ID]:[PA ID]],$B49,CostTrack[[Vendor - Contract]:[Vendor - Contract]],$H49,CostTrack[[Holdback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49" s="504">
        <f ca="1">SUMIFS(CostTrack[[Value]:[Value]],CostTrack[[PA ID]:[PA ID]],$B49,CostTrack[[Vendor - Contract]:[Vendor - Contract]],$H49,CostTrack[[Holdback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49" s="504">
        <f ca="1">SUMIFS(CostTrack[[Value]:[Value]],CostTrack[[PA ID]:[PA ID]],$B49,CostTrack[[Vendor - Contract]:[Vendor - Contract]],$H49,CostTrack[[Holdback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49" s="504">
        <f ca="1">SUMIFS(CostTrack[[Value]:[Value]],CostTrack[[PA ID]:[PA ID]],$B49,CostTrack[[Vendor - Contract]:[Vendor - Contract]],$H49,CostTrack[[Holdback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49" s="504">
        <f ca="1">SUMIFS(CostTrack[[Value]:[Value]],CostTrack[[PA ID]:[PA ID]],$B49,CostTrack[[Vendor - Contract]:[Vendor - Contract]],$H49,CostTrack[[Holdback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49" s="504">
        <f ca="1">SUMIFS(CostTrack[[Value]:[Value]],CostTrack[[PA ID]:[PA ID]],$B49,CostTrack[[Vendor - Contract]:[Vendor - Contract]],$H49,CostTrack[[Holdback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49" s="504">
        <f ca="1">SUMIFS(CostTrack[[Value]:[Value]],CostTrack[[PA ID]:[PA ID]],$B49,CostTrack[[Vendor - Contract]:[Vendor - Contract]],$H49,CostTrack[[Holdback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49" s="504">
        <f ca="1">SUMIFS(CostTrack[[Value]:[Value]],CostTrack[[PA ID]:[PA ID]],$B49,CostTrack[[Vendor - Contract]:[Vendor - Contract]],$H49,CostTrack[[Holdback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49" s="504">
        <f ca="1">SUMIFS(CostTrack[[Value]:[Value]],CostTrack[[PA ID]:[PA ID]],$B49,CostTrack[[Vendor - Contract]:[Vendor - Contract]],$H49,CostTrack[[Holdback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49" s="504">
        <f ca="1">SUMIFS(CostTrack[[Value]:[Value]],CostTrack[[PA ID]:[PA ID]],$B49,CostTrack[[Vendor - Contract]:[Vendor - Contract]],$H49,CostTrack[[Holdback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49" s="504">
        <f ca="1">SUMIFS(CostTrack[[Value]:[Value]],CostTrack[[PA ID]:[PA ID]],$B49,CostTrack[[Vendor - Contract]:[Vendor - Contract]],$H49,CostTrack[[Holdback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49" s="504">
        <f ca="1">SUMIFS(CostTrack[[Value]:[Value]],CostTrack[[PA ID]:[PA ID]],$B49,CostTrack[[Vendor - Contract]:[Vendor - Contract]],$H49,CostTrack[[Holdback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49" s="512">
        <f t="shared" ca="1" si="38"/>
        <v>0</v>
      </c>
      <c r="CM49" s="504">
        <f ca="1">SUMIFS(CostTrack[[Value]:[Value]],CostTrack[[PA ID]:[PA ID]],$B49,CostTrack[[Vendor - Contract]:[Vendor - Contract]],$H49,CostTrack[[Holdback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49" s="504">
        <f ca="1">SUMIFS(CostTrack[[Value]:[Value]],CostTrack[[PA ID]:[PA ID]],$B49,CostTrack[[Vendor - Contract]:[Vendor - Contract]],$H49,CostTrack[[Holdback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49" s="504">
        <f ca="1">SUMIFS(CostTrack[[Value]:[Value]],CostTrack[[PA ID]:[PA ID]],$B49,CostTrack[[Vendor - Contract]:[Vendor - Contract]],$H49,CostTrack[[Holdback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49" s="504">
        <f ca="1">SUMIFS(CostTrack[[Value]:[Value]],CostTrack[[PA ID]:[PA ID]],$B49,CostTrack[[Vendor - Contract]:[Vendor - Contract]],$H49,CostTrack[[Holdback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49" s="504">
        <f ca="1">SUMIFS(CostTrack[[Value]:[Value]],CostTrack[[PA ID]:[PA ID]],$B49,CostTrack[[Vendor - Contract]:[Vendor - Contract]],$H49,CostTrack[[Holdback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49" s="504">
        <f ca="1">SUMIFS(CostTrack[[Value]:[Value]],CostTrack[[PA ID]:[PA ID]],$B49,CostTrack[[Vendor - Contract]:[Vendor - Contract]],$H49,CostTrack[[Holdback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49" s="504">
        <f ca="1">SUMIFS(CostTrack[[Value]:[Value]],CostTrack[[PA ID]:[PA ID]],$B49,CostTrack[[Vendor - Contract]:[Vendor - Contract]],$H49,CostTrack[[Holdback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49" s="504">
        <f ca="1">SUMIFS(CostTrack[[Value]:[Value]],CostTrack[[PA ID]:[PA ID]],$B49,CostTrack[[Vendor - Contract]:[Vendor - Contract]],$H49,CostTrack[[Holdback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49" s="504">
        <f ca="1">SUMIFS(CostTrack[[Value]:[Value]],CostTrack[[PA ID]:[PA ID]],$B49,CostTrack[[Vendor - Contract]:[Vendor - Contract]],$H49,CostTrack[[Holdback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49" s="504">
        <f ca="1">SUMIFS(CostTrack[[Value]:[Value]],CostTrack[[PA ID]:[PA ID]],$B49,CostTrack[[Vendor - Contract]:[Vendor - Contract]],$H49,CostTrack[[Holdback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49" s="504">
        <f ca="1">SUMIFS(CostTrack[[Value]:[Value]],CostTrack[[PA ID]:[PA ID]],$B49,CostTrack[[Vendor - Contract]:[Vendor - Contract]],$H49,CostTrack[[Holdback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49" s="504">
        <f ca="1">SUMIFS(CostTrack[[Value]:[Value]],CostTrack[[PA ID]:[PA ID]],$B49,CostTrack[[Vendor - Contract]:[Vendor - Contract]],$H49,CostTrack[[Holdback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49" s="512">
        <f t="shared" ca="1" si="39"/>
        <v>0</v>
      </c>
      <c r="DA49" s="504">
        <f ca="1">SUMIFS(CostTrack[[Value]:[Value]],CostTrack[[PA ID]:[PA ID]],$B49,CostTrack[[Vendor - Contract]:[Vendor - Contract]],$H49,CostTrack[[Holdback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49" s="504">
        <f ca="1">SUMIFS(CostTrack[[Value]:[Value]],CostTrack[[PA ID]:[PA ID]],$B49,CostTrack[[Vendor - Contract]:[Vendor - Contract]],$H49,CostTrack[[Holdback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49" s="504">
        <f ca="1">SUMIFS(CostTrack[[Value]:[Value]],CostTrack[[PA ID]:[PA ID]],$B49,CostTrack[[Vendor - Contract]:[Vendor - Contract]],$H49,CostTrack[[Holdback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49" s="504">
        <f ca="1">SUMIFS(CostTrack[[Value]:[Value]],CostTrack[[PA ID]:[PA ID]],$B49,CostTrack[[Vendor - Contract]:[Vendor - Contract]],$H49,CostTrack[[Holdback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49" s="504">
        <f ca="1">SUMIFS(CostTrack[[Value]:[Value]],CostTrack[[PA ID]:[PA ID]],$B49,CostTrack[[Vendor - Contract]:[Vendor - Contract]],$H49,CostTrack[[Holdback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49" s="504">
        <f ca="1">SUMIFS(CostTrack[[Value]:[Value]],CostTrack[[PA ID]:[PA ID]],$B49,CostTrack[[Vendor - Contract]:[Vendor - Contract]],$H49,CostTrack[[Holdback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49" s="504">
        <f ca="1">SUMIFS(CostTrack[[Value]:[Value]],CostTrack[[PA ID]:[PA ID]],$B49,CostTrack[[Vendor - Contract]:[Vendor - Contract]],$H49,CostTrack[[Holdback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49" s="504">
        <f ca="1">SUMIFS(CostTrack[[Value]:[Value]],CostTrack[[PA ID]:[PA ID]],$B49,CostTrack[[Vendor - Contract]:[Vendor - Contract]],$H49,CostTrack[[Holdback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49" s="504">
        <f ca="1">SUMIFS(CostTrack[[Value]:[Value]],CostTrack[[PA ID]:[PA ID]],$B49,CostTrack[[Vendor - Contract]:[Vendor - Contract]],$H49,CostTrack[[Holdback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49" s="504">
        <f ca="1">SUMIFS(CostTrack[[Value]:[Value]],CostTrack[[PA ID]:[PA ID]],$B49,CostTrack[[Vendor - Contract]:[Vendor - Contract]],$H49,CostTrack[[Holdback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49" s="504">
        <f ca="1">SUMIFS(CostTrack[[Value]:[Value]],CostTrack[[PA ID]:[PA ID]],$B49,CostTrack[[Vendor - Contract]:[Vendor - Contract]],$H49,CostTrack[[Holdback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49" s="504">
        <f ca="1">SUMIFS(CostTrack[[Value]:[Value]],CostTrack[[PA ID]:[PA ID]],$B49,CostTrack[[Vendor - Contract]:[Vendor - Contract]],$H49,CostTrack[[Holdback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49" s="512">
        <f t="shared" ca="1" si="40"/>
        <v>0</v>
      </c>
      <c r="DO49" s="504">
        <f ca="1">SUMIFS(CostTrack[[Value]:[Value]],CostTrack[[PA ID]:[PA ID]],$B49,CostTrack[[Vendor - Contract]:[Vendor - Contract]],$H49,CostTrack[[Holdback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49" s="504">
        <f ca="1">SUMIFS(CostTrack[[Value]:[Value]],CostTrack[[PA ID]:[PA ID]],$B49,CostTrack[[Vendor - Contract]:[Vendor - Contract]],$H49,CostTrack[[Holdback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49" s="504">
        <f ca="1">SUMIFS(CostTrack[[Value]:[Value]],CostTrack[[PA ID]:[PA ID]],$B49,CostTrack[[Vendor - Contract]:[Vendor - Contract]],$H49,CostTrack[[Holdback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49" s="504">
        <f ca="1">SUMIFS(CostTrack[[Value]:[Value]],CostTrack[[PA ID]:[PA ID]],$B49,CostTrack[[Vendor - Contract]:[Vendor - Contract]],$H49,CostTrack[[Holdback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49" s="504">
        <f ca="1">SUMIFS(CostTrack[[Value]:[Value]],CostTrack[[PA ID]:[PA ID]],$B49,CostTrack[[Vendor - Contract]:[Vendor - Contract]],$H49,CostTrack[[Holdback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49" s="504">
        <f ca="1">SUMIFS(CostTrack[[Value]:[Value]],CostTrack[[PA ID]:[PA ID]],$B49,CostTrack[[Vendor - Contract]:[Vendor - Contract]],$H49,CostTrack[[Holdback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49" s="504">
        <f ca="1">SUMIFS(CostTrack[[Value]:[Value]],CostTrack[[PA ID]:[PA ID]],$B49,CostTrack[[Vendor - Contract]:[Vendor - Contract]],$H49,CostTrack[[Holdback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49" s="504">
        <f ca="1">SUMIFS(CostTrack[[Value]:[Value]],CostTrack[[PA ID]:[PA ID]],$B49,CostTrack[[Vendor - Contract]:[Vendor - Contract]],$H49,CostTrack[[Holdback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49" s="504">
        <f ca="1">SUMIFS(CostTrack[[Value]:[Value]],CostTrack[[PA ID]:[PA ID]],$B49,CostTrack[[Vendor - Contract]:[Vendor - Contract]],$H49,CostTrack[[Holdback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49" s="504">
        <f ca="1">SUMIFS(CostTrack[[Value]:[Value]],CostTrack[[PA ID]:[PA ID]],$B49,CostTrack[[Vendor - Contract]:[Vendor - Contract]],$H49,CostTrack[[Holdback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49" s="504">
        <f ca="1">SUMIFS(CostTrack[[Value]:[Value]],CostTrack[[PA ID]:[PA ID]],$B49,CostTrack[[Vendor - Contract]:[Vendor - Contract]],$H49,CostTrack[[Holdback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49" s="504">
        <f ca="1">SUMIFS(CostTrack[[Value]:[Value]],CostTrack[[PA ID]:[PA ID]],$B49,CostTrack[[Vendor - Contract]:[Vendor - Contract]],$H49,CostTrack[[Holdback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49" s="512">
        <f t="shared" ca="1" si="41"/>
        <v>0</v>
      </c>
      <c r="EC49" s="504">
        <f ca="1">SUMIFS(CostTrack[[Value]:[Value]],CostTrack[[PA ID]:[PA ID]],$B49,CostTrack[[Vendor - Contract]:[Vendor - Contract]],$H49,CostTrack[[Holdback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49" s="505"/>
      <c r="EE49" s="505"/>
      <c r="EF49" s="505"/>
      <c r="EG49" s="505"/>
      <c r="EH49" s="505"/>
      <c r="EI49" s="505"/>
      <c r="EJ49" s="505"/>
      <c r="EK49" s="505"/>
      <c r="EL49" s="505"/>
      <c r="EM49" s="505"/>
      <c r="EN49" s="505"/>
      <c r="EO49" s="512">
        <f t="shared" ca="1" si="42"/>
        <v>0</v>
      </c>
      <c r="EQ49" s="505"/>
      <c r="ER49" s="505"/>
      <c r="ES49" s="505"/>
      <c r="ET49" s="505"/>
      <c r="EU49" s="505"/>
      <c r="EV49" s="505"/>
      <c r="EW49" s="505"/>
      <c r="EX49" s="505"/>
      <c r="EY49" s="505"/>
      <c r="EZ49" s="505"/>
      <c r="FA49" s="505"/>
      <c r="FB49" s="505"/>
      <c r="FC49" s="512">
        <f t="shared" si="43"/>
        <v>0</v>
      </c>
      <c r="FE49" s="505"/>
      <c r="FF49" s="505"/>
      <c r="FG49" s="505"/>
      <c r="FH49" s="505"/>
      <c r="FI49" s="505"/>
      <c r="FJ49" s="505"/>
      <c r="FK49" s="505"/>
      <c r="FL49" s="505"/>
      <c r="FM49" s="505"/>
      <c r="FN49" s="505"/>
      <c r="FO49" s="505"/>
      <c r="FP49" s="505"/>
      <c r="FQ49" s="512">
        <f t="shared" si="44"/>
        <v>0</v>
      </c>
      <c r="FS49" s="504">
        <f t="shared" ca="1" si="45"/>
        <v>5000</v>
      </c>
    </row>
    <row r="50" spans="1:175">
      <c r="A50" s="216">
        <v>43</v>
      </c>
      <c r="B50" s="219" t="str">
        <f ca="1">INDEX(EAC[PA ID],MATCH($A50,EAC[Row],0))</f>
        <v>300.040.F1</v>
      </c>
      <c r="C50" s="218" t="str">
        <f ca="1">INDEX(EAC[Primary Category],MATCH($A50,EAC[Row],0))</f>
        <v>Construction</v>
      </c>
      <c r="D50" s="218" t="str">
        <f ca="1">INDEX(EAC[Secondary Category],MATCH($A50,EAC[Row],0))</f>
        <v>Other Contractor</v>
      </c>
      <c r="E50" s="109" t="str">
        <f ca="1">INDEX(EAC[Phase / Subproject],MATCH($A50,EAC[Row],0))</f>
        <v>--</v>
      </c>
      <c r="F50" s="109" t="str">
        <f ca="1">INDEX(EAC[Phase / Subproject 2],MATCH($A50,EAC[Row],0))</f>
        <v>--</v>
      </c>
      <c r="G50" s="109" t="str">
        <f ca="1">INDEX(EAC[Funding Source],MATCH($A50,EAC[Row],0))</f>
        <v>P-002360</v>
      </c>
      <c r="H50" s="146" t="str">
        <f ca="1">INDEX(EAC[Vendor / Org. with Contract ID],MATCH($A50,EAC[Row],0))</f>
        <v>City of Red Deer-Sorensen Station-38249</v>
      </c>
      <c r="I50" s="502">
        <f ca="1">INDEX(EAC[Estimate At Completion],MATCH($A50,EAC[Row],0))</f>
        <v>397065.97</v>
      </c>
      <c r="J50" s="502">
        <f ca="1">SUMIFS(CostTrack[Value],CostTrack[Vendor - Contract],$H50,CostTrack[PA ID],$B50,CostTrack[Holdback (Y/N/R)],"&lt;&gt;Release",CostTrack[Status],"Approved")</f>
        <v>397065.97000000003</v>
      </c>
      <c r="K50" s="503">
        <f t="shared" ca="1" si="14"/>
        <v>-5.8207660913467407E-11</v>
      </c>
      <c r="M50" s="504">
        <f t="shared" ca="1" si="15"/>
        <v>0</v>
      </c>
      <c r="O50" s="504">
        <f t="shared" ca="1" si="31"/>
        <v>397065.97</v>
      </c>
      <c r="P50" s="504">
        <f t="array" aca="1" ref="P50" ca="1">SUM($U50:$FQ50*_xlfn.ISFORMULA($U50:$FQ50)*ISNUMBER($U$7:$FQ$7)*--(INDEX($U$6:$FQ$6,N(IF({1},COLUMN($U$6:$FQ$6)-COLUMN($T$6)))-MOD(N(IF({1},COLUMN($U$6:$FQ$6)-COLUMN($U$6))),14))="Current Fiscal"))</f>
        <v>0</v>
      </c>
      <c r="Q50" s="504">
        <f t="array" aca="1" ref="Q50" ca="1">SUM($U50:$FQ50*NOT(_xlfn.ISFORMULA($U50:$FQ50))*ISNUMBER($U$7:$FQ$7)*--(INDEX($U$6:$FQ$6,N(IF({1},COLUMN($U$6:$FQ$6)-COLUMN($T$6)))-MOD(N(IF({1},COLUMN($U$6:$FQ$6)-COLUMN($U$6))),14))="Current Fiscal"))</f>
        <v>0</v>
      </c>
      <c r="R50" s="504">
        <f t="shared" ca="1" si="32"/>
        <v>0</v>
      </c>
      <c r="S50" s="504">
        <f t="shared" ca="1" si="33"/>
        <v>0</v>
      </c>
      <c r="U50" s="504">
        <f ca="1">SUMIFS(CostTrack[[Value]:[Value]],CostTrack[[PA ID]:[PA ID]],$B50,CostTrack[[Vendor - Contract]:[Vendor - Contract]],$H50,CostTrack[[Holdback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50" s="504">
        <f ca="1">SUMIFS(CostTrack[[Value]:[Value]],CostTrack[[PA ID]:[PA ID]],$B50,CostTrack[[Vendor - Contract]:[Vendor - Contract]],$H50,CostTrack[[Holdback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50" s="504">
        <f ca="1">SUMIFS(CostTrack[[Value]:[Value]],CostTrack[[PA ID]:[PA ID]],$B50,CostTrack[[Vendor - Contract]:[Vendor - Contract]],$H50,CostTrack[[Holdback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50" s="504">
        <f ca="1">SUMIFS(CostTrack[[Value]:[Value]],CostTrack[[PA ID]:[PA ID]],$B50,CostTrack[[Vendor - Contract]:[Vendor - Contract]],$H50,CostTrack[[Holdback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50" s="504">
        <f ca="1">SUMIFS(CostTrack[[Value]:[Value]],CostTrack[[PA ID]:[PA ID]],$B50,CostTrack[[Vendor - Contract]:[Vendor - Contract]],$H50,CostTrack[[Holdback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50" s="504">
        <f ca="1">SUMIFS(CostTrack[[Value]:[Value]],CostTrack[[PA ID]:[PA ID]],$B50,CostTrack[[Vendor - Contract]:[Vendor - Contract]],$H50,CostTrack[[Holdback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50" s="504">
        <f ca="1">SUMIFS(CostTrack[[Value]:[Value]],CostTrack[[PA ID]:[PA ID]],$B50,CostTrack[[Vendor - Contract]:[Vendor - Contract]],$H50,CostTrack[[Holdback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50" s="504">
        <f ca="1">SUMIFS(CostTrack[[Value]:[Value]],CostTrack[[PA ID]:[PA ID]],$B50,CostTrack[[Vendor - Contract]:[Vendor - Contract]],$H50,CostTrack[[Holdback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50" s="504">
        <f ca="1">SUMIFS(CostTrack[[Value]:[Value]],CostTrack[[PA ID]:[PA ID]],$B50,CostTrack[[Vendor - Contract]:[Vendor - Contract]],$H50,CostTrack[[Holdback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50" s="504">
        <f ca="1">SUMIFS(CostTrack[[Value]:[Value]],CostTrack[[PA ID]:[PA ID]],$B50,CostTrack[[Vendor - Contract]:[Vendor - Contract]],$H50,CostTrack[[Holdback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50" s="504">
        <f ca="1">SUMIFS(CostTrack[[Value]:[Value]],CostTrack[[PA ID]:[PA ID]],$B50,CostTrack[[Vendor - Contract]:[Vendor - Contract]],$H50,CostTrack[[Holdback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50" s="504">
        <f ca="1">SUMIFS(CostTrack[[Value]:[Value]],CostTrack[[PA ID]:[PA ID]],$B50,CostTrack[[Vendor - Contract]:[Vendor - Contract]],$H50,CostTrack[[Holdback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50" s="506">
        <f t="shared" ca="1" si="34"/>
        <v>0</v>
      </c>
      <c r="AI50" s="504">
        <f ca="1">SUMIFS(CostTrack[[Value]:[Value]],CostTrack[[PA ID]:[PA ID]],$B50,CostTrack[[Vendor - Contract]:[Vendor - Contract]],$H50,CostTrack[[Holdback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50" s="504">
        <f ca="1">SUMIFS(CostTrack[[Value]:[Value]],CostTrack[[PA ID]:[PA ID]],$B50,CostTrack[[Vendor - Contract]:[Vendor - Contract]],$H50,CostTrack[[Holdback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50" s="504">
        <f ca="1">SUMIFS(CostTrack[[Value]:[Value]],CostTrack[[PA ID]:[PA ID]],$B50,CostTrack[[Vendor - Contract]:[Vendor - Contract]],$H50,CostTrack[[Holdback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50" s="504">
        <f ca="1">SUMIFS(CostTrack[[Value]:[Value]],CostTrack[[PA ID]:[PA ID]],$B50,CostTrack[[Vendor - Contract]:[Vendor - Contract]],$H50,CostTrack[[Holdback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50" s="504">
        <f ca="1">SUMIFS(CostTrack[[Value]:[Value]],CostTrack[[PA ID]:[PA ID]],$B50,CostTrack[[Vendor - Contract]:[Vendor - Contract]],$H50,CostTrack[[Holdback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50" s="504">
        <f ca="1">SUMIFS(CostTrack[[Value]:[Value]],CostTrack[[PA ID]:[PA ID]],$B50,CostTrack[[Vendor - Contract]:[Vendor - Contract]],$H50,CostTrack[[Holdback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50" s="504">
        <f ca="1">SUMIFS(CostTrack[[Value]:[Value]],CostTrack[[PA ID]:[PA ID]],$B50,CostTrack[[Vendor - Contract]:[Vendor - Contract]],$H50,CostTrack[[Holdback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50" s="504">
        <f ca="1">SUMIFS(CostTrack[[Value]:[Value]],CostTrack[[PA ID]:[PA ID]],$B50,CostTrack[[Vendor - Contract]:[Vendor - Contract]],$H50,CostTrack[[Holdback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50" s="504">
        <f ca="1">SUMIFS(CostTrack[[Value]:[Value]],CostTrack[[PA ID]:[PA ID]],$B50,CostTrack[[Vendor - Contract]:[Vendor - Contract]],$H50,CostTrack[[Holdback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50" s="504">
        <f ca="1">SUMIFS(CostTrack[[Value]:[Value]],CostTrack[[PA ID]:[PA ID]],$B50,CostTrack[[Vendor - Contract]:[Vendor - Contract]],$H50,CostTrack[[Holdback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50" s="504">
        <f ca="1">SUMIFS(CostTrack[[Value]:[Value]],CostTrack[[PA ID]:[PA ID]],$B50,CostTrack[[Vendor - Contract]:[Vendor - Contract]],$H50,CostTrack[[Holdback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50" s="504">
        <f ca="1">SUMIFS(CostTrack[[Value]:[Value]],CostTrack[[PA ID]:[PA ID]],$B50,CostTrack[[Vendor - Contract]:[Vendor - Contract]],$H50,CostTrack[[Holdback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50" s="512">
        <f t="shared" ca="1" si="35"/>
        <v>0</v>
      </c>
      <c r="AW50" s="504">
        <f ca="1">SUMIFS(CostTrack[[Value]:[Value]],CostTrack[[PA ID]:[PA ID]],$B50,CostTrack[[Vendor - Contract]:[Vendor - Contract]],$H50,CostTrack[[Holdback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50" s="504">
        <f ca="1">SUMIFS(CostTrack[[Value]:[Value]],CostTrack[[PA ID]:[PA ID]],$B50,CostTrack[[Vendor - Contract]:[Vendor - Contract]],$H50,CostTrack[[Holdback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50" s="504">
        <f ca="1">SUMIFS(CostTrack[[Value]:[Value]],CostTrack[[PA ID]:[PA ID]],$B50,CostTrack[[Vendor - Contract]:[Vendor - Contract]],$H50,CostTrack[[Holdback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50" s="504">
        <f ca="1">SUMIFS(CostTrack[[Value]:[Value]],CostTrack[[PA ID]:[PA ID]],$B50,CostTrack[[Vendor - Contract]:[Vendor - Contract]],$H50,CostTrack[[Holdback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50" s="504">
        <f ca="1">SUMIFS(CostTrack[[Value]:[Value]],CostTrack[[PA ID]:[PA ID]],$B50,CostTrack[[Vendor - Contract]:[Vendor - Contract]],$H50,CostTrack[[Holdback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50" s="504">
        <f ca="1">SUMIFS(CostTrack[[Value]:[Value]],CostTrack[[PA ID]:[PA ID]],$B50,CostTrack[[Vendor - Contract]:[Vendor - Contract]],$H50,CostTrack[[Holdback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50" s="504">
        <f ca="1">SUMIFS(CostTrack[[Value]:[Value]],CostTrack[[PA ID]:[PA ID]],$B50,CostTrack[[Vendor - Contract]:[Vendor - Contract]],$H50,CostTrack[[Holdback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50" s="504">
        <f ca="1">SUMIFS(CostTrack[[Value]:[Value]],CostTrack[[PA ID]:[PA ID]],$B50,CostTrack[[Vendor - Contract]:[Vendor - Contract]],$H50,CostTrack[[Holdback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7400</v>
      </c>
      <c r="BE50" s="504">
        <f ca="1">SUMIFS(CostTrack[[Value]:[Value]],CostTrack[[PA ID]:[PA ID]],$B50,CostTrack[[Vendor - Contract]:[Vendor - Contract]],$H50,CostTrack[[Holdback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50" s="504">
        <f ca="1">SUMIFS(CostTrack[[Value]:[Value]],CostTrack[[PA ID]:[PA ID]],$B50,CostTrack[[Vendor - Contract]:[Vendor - Contract]],$H50,CostTrack[[Holdback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1660</v>
      </c>
      <c r="BG50" s="504">
        <f ca="1">SUMIFS(CostTrack[[Value]:[Value]],CostTrack[[PA ID]:[PA ID]],$B50,CostTrack[[Vendor - Contract]:[Vendor - Contract]],$H50,CostTrack[[Holdback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50" s="504">
        <f ca="1">SUMIFS(CostTrack[[Value]:[Value]],CostTrack[[PA ID]:[PA ID]],$B50,CostTrack[[Vendor - Contract]:[Vendor - Contract]],$H50,CostTrack[[Holdback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50" s="512">
        <f t="shared" ca="1" si="36"/>
        <v>9060</v>
      </c>
      <c r="BK50" s="504">
        <f ca="1">SUMIFS(CostTrack[[Value]:[Value]],CostTrack[[PA ID]:[PA ID]],$B50,CostTrack[[Vendor - Contract]:[Vendor - Contract]],$H50,CostTrack[[Holdback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50" s="504">
        <f ca="1">SUMIFS(CostTrack[[Value]:[Value]],CostTrack[[PA ID]:[PA ID]],$B50,CostTrack[[Vendor - Contract]:[Vendor - Contract]],$H50,CostTrack[[Holdback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50" s="504">
        <f ca="1">SUMIFS(CostTrack[[Value]:[Value]],CostTrack[[PA ID]:[PA ID]],$B50,CostTrack[[Vendor - Contract]:[Vendor - Contract]],$H50,CostTrack[[Holdback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50" s="504">
        <f ca="1">SUMIFS(CostTrack[[Value]:[Value]],CostTrack[[PA ID]:[PA ID]],$B50,CostTrack[[Vendor - Contract]:[Vendor - Contract]],$H50,CostTrack[[Holdback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50" s="504">
        <f ca="1">SUMIFS(CostTrack[[Value]:[Value]],CostTrack[[PA ID]:[PA ID]],$B50,CostTrack[[Vendor - Contract]:[Vendor - Contract]],$H50,CostTrack[[Holdback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50" s="504">
        <f ca="1">SUMIFS(CostTrack[[Value]:[Value]],CostTrack[[PA ID]:[PA ID]],$B50,CostTrack[[Vendor - Contract]:[Vendor - Contract]],$H50,CostTrack[[Holdback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50" s="504">
        <f ca="1">SUMIFS(CostTrack[[Value]:[Value]],CostTrack[[PA ID]:[PA ID]],$B50,CostTrack[[Vendor - Contract]:[Vendor - Contract]],$H50,CostTrack[[Holdback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14526.27</v>
      </c>
      <c r="BR50" s="504">
        <f ca="1">SUMIFS(CostTrack[[Value]:[Value]],CostTrack[[PA ID]:[PA ID]],$B50,CostTrack[[Vendor - Contract]:[Vendor - Contract]],$H50,CostTrack[[Holdback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50" s="504">
        <f ca="1">SUMIFS(CostTrack[[Value]:[Value]],CostTrack[[PA ID]:[PA ID]],$B50,CostTrack[[Vendor - Contract]:[Vendor - Contract]],$H50,CostTrack[[Holdback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50" s="504">
        <f ca="1">SUMIFS(CostTrack[[Value]:[Value]],CostTrack[[PA ID]:[PA ID]],$B50,CostTrack[[Vendor - Contract]:[Vendor - Contract]],$H50,CostTrack[[Holdback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50" s="504">
        <f ca="1">SUMIFS(CostTrack[[Value]:[Value]],CostTrack[[PA ID]:[PA ID]],$B50,CostTrack[[Vendor - Contract]:[Vendor - Contract]],$H50,CostTrack[[Holdback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50" s="504">
        <f ca="1">SUMIFS(CostTrack[[Value]:[Value]],CostTrack[[PA ID]:[PA ID]],$B50,CostTrack[[Vendor - Contract]:[Vendor - Contract]],$H50,CostTrack[[Holdback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2461.04</v>
      </c>
      <c r="BW50" s="512">
        <f t="shared" ca="1" si="37"/>
        <v>16987.310000000001</v>
      </c>
      <c r="BY50" s="504">
        <f ca="1">SUMIFS(CostTrack[[Value]:[Value]],CostTrack[[PA ID]:[PA ID]],$B50,CostTrack[[Vendor - Contract]:[Vendor - Contract]],$H50,CostTrack[[Holdback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50" s="504">
        <f ca="1">SUMIFS(CostTrack[[Value]:[Value]],CostTrack[[PA ID]:[PA ID]],$B50,CostTrack[[Vendor - Contract]:[Vendor - Contract]],$H50,CostTrack[[Holdback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50" s="504">
        <f ca="1">SUMIFS(CostTrack[[Value]:[Value]],CostTrack[[PA ID]:[PA ID]],$B50,CostTrack[[Vendor - Contract]:[Vendor - Contract]],$H50,CostTrack[[Holdback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50" s="504">
        <f ca="1">SUMIFS(CostTrack[[Value]:[Value]],CostTrack[[PA ID]:[PA ID]],$B50,CostTrack[[Vendor - Contract]:[Vendor - Contract]],$H50,CostTrack[[Holdback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50" s="504">
        <f ca="1">SUMIFS(CostTrack[[Value]:[Value]],CostTrack[[PA ID]:[PA ID]],$B50,CostTrack[[Vendor - Contract]:[Vendor - Contract]],$H50,CostTrack[[Holdback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50" s="504">
        <f ca="1">SUMIFS(CostTrack[[Value]:[Value]],CostTrack[[PA ID]:[PA ID]],$B50,CostTrack[[Vendor - Contract]:[Vendor - Contract]],$H50,CostTrack[[Holdback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50" s="504">
        <f ca="1">SUMIFS(CostTrack[[Value]:[Value]],CostTrack[[PA ID]:[PA ID]],$B50,CostTrack[[Vendor - Contract]:[Vendor - Contract]],$H50,CostTrack[[Holdback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50" s="504">
        <f ca="1">SUMIFS(CostTrack[[Value]:[Value]],CostTrack[[PA ID]:[PA ID]],$B50,CostTrack[[Vendor - Contract]:[Vendor - Contract]],$H50,CostTrack[[Holdback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50" s="504">
        <f ca="1">SUMIFS(CostTrack[[Value]:[Value]],CostTrack[[PA ID]:[PA ID]],$B50,CostTrack[[Vendor - Contract]:[Vendor - Contract]],$H50,CostTrack[[Holdback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50" s="504">
        <f ca="1">SUMIFS(CostTrack[[Value]:[Value]],CostTrack[[PA ID]:[PA ID]],$B50,CostTrack[[Vendor - Contract]:[Vendor - Contract]],$H50,CostTrack[[Holdback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50" s="504">
        <f ca="1">SUMIFS(CostTrack[[Value]:[Value]],CostTrack[[PA ID]:[PA ID]],$B50,CostTrack[[Vendor - Contract]:[Vendor - Contract]],$H50,CostTrack[[Holdback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50" s="504">
        <f ca="1">SUMIFS(CostTrack[[Value]:[Value]],CostTrack[[PA ID]:[PA ID]],$B50,CostTrack[[Vendor - Contract]:[Vendor - Contract]],$H50,CostTrack[[Holdback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50" s="512">
        <f t="shared" ca="1" si="38"/>
        <v>0</v>
      </c>
      <c r="CM50" s="504">
        <f ca="1">SUMIFS(CostTrack[[Value]:[Value]],CostTrack[[PA ID]:[PA ID]],$B50,CostTrack[[Vendor - Contract]:[Vendor - Contract]],$H50,CostTrack[[Holdback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50" s="504">
        <f ca="1">SUMIFS(CostTrack[[Value]:[Value]],CostTrack[[PA ID]:[PA ID]],$B50,CostTrack[[Vendor - Contract]:[Vendor - Contract]],$H50,CostTrack[[Holdback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50" s="504">
        <f ca="1">SUMIFS(CostTrack[[Value]:[Value]],CostTrack[[PA ID]:[PA ID]],$B50,CostTrack[[Vendor - Contract]:[Vendor - Contract]],$H50,CostTrack[[Holdback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50" s="504">
        <f ca="1">SUMIFS(CostTrack[[Value]:[Value]],CostTrack[[PA ID]:[PA ID]],$B50,CostTrack[[Vendor - Contract]:[Vendor - Contract]],$H50,CostTrack[[Holdback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50" s="504">
        <f ca="1">SUMIFS(CostTrack[[Value]:[Value]],CostTrack[[PA ID]:[PA ID]],$B50,CostTrack[[Vendor - Contract]:[Vendor - Contract]],$H50,CostTrack[[Holdback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50" s="504">
        <f ca="1">SUMIFS(CostTrack[[Value]:[Value]],CostTrack[[PA ID]:[PA ID]],$B50,CostTrack[[Vendor - Contract]:[Vendor - Contract]],$H50,CostTrack[[Holdback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50" s="504">
        <f ca="1">SUMIFS(CostTrack[[Value]:[Value]],CostTrack[[PA ID]:[PA ID]],$B50,CostTrack[[Vendor - Contract]:[Vendor - Contract]],$H50,CostTrack[[Holdback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50" s="504">
        <f ca="1">SUMIFS(CostTrack[[Value]:[Value]],CostTrack[[PA ID]:[PA ID]],$B50,CostTrack[[Vendor - Contract]:[Vendor - Contract]],$H50,CostTrack[[Holdback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50" s="504">
        <f ca="1">SUMIFS(CostTrack[[Value]:[Value]],CostTrack[[PA ID]:[PA ID]],$B50,CostTrack[[Vendor - Contract]:[Vendor - Contract]],$H50,CostTrack[[Holdback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50" s="504">
        <f ca="1">SUMIFS(CostTrack[[Value]:[Value]],CostTrack[[PA ID]:[PA ID]],$B50,CostTrack[[Vendor - Contract]:[Vendor - Contract]],$H50,CostTrack[[Holdback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50" s="504">
        <f ca="1">SUMIFS(CostTrack[[Value]:[Value]],CostTrack[[PA ID]:[PA ID]],$B50,CostTrack[[Vendor - Contract]:[Vendor - Contract]],$H50,CostTrack[[Holdback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50" s="504">
        <f ca="1">SUMIFS(CostTrack[[Value]:[Value]],CostTrack[[PA ID]:[PA ID]],$B50,CostTrack[[Vendor - Contract]:[Vendor - Contract]],$H50,CostTrack[[Holdback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50" s="512">
        <f t="shared" ca="1" si="39"/>
        <v>0</v>
      </c>
      <c r="DA50" s="504">
        <f ca="1">SUMIFS(CostTrack[[Value]:[Value]],CostTrack[[PA ID]:[PA ID]],$B50,CostTrack[[Vendor - Contract]:[Vendor - Contract]],$H50,CostTrack[[Holdback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50" s="504">
        <f ca="1">SUMIFS(CostTrack[[Value]:[Value]],CostTrack[[PA ID]:[PA ID]],$B50,CostTrack[[Vendor - Contract]:[Vendor - Contract]],$H50,CostTrack[[Holdback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50" s="504">
        <f ca="1">SUMIFS(CostTrack[[Value]:[Value]],CostTrack[[PA ID]:[PA ID]],$B50,CostTrack[[Vendor - Contract]:[Vendor - Contract]],$H50,CostTrack[[Holdback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50" s="504">
        <f ca="1">SUMIFS(CostTrack[[Value]:[Value]],CostTrack[[PA ID]:[PA ID]],$B50,CostTrack[[Vendor - Contract]:[Vendor - Contract]],$H50,CostTrack[[Holdback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50" s="504">
        <f ca="1">SUMIFS(CostTrack[[Value]:[Value]],CostTrack[[PA ID]:[PA ID]],$B50,CostTrack[[Vendor - Contract]:[Vendor - Contract]],$H50,CostTrack[[Holdback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50" s="504">
        <f ca="1">SUMIFS(CostTrack[[Value]:[Value]],CostTrack[[PA ID]:[PA ID]],$B50,CostTrack[[Vendor - Contract]:[Vendor - Contract]],$H50,CostTrack[[Holdback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50" s="504">
        <f ca="1">SUMIFS(CostTrack[[Value]:[Value]],CostTrack[[PA ID]:[PA ID]],$B50,CostTrack[[Vendor - Contract]:[Vendor - Contract]],$H50,CostTrack[[Holdback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85350</v>
      </c>
      <c r="DH50" s="504">
        <f ca="1">SUMIFS(CostTrack[[Value]:[Value]],CostTrack[[PA ID]:[PA ID]],$B50,CostTrack[[Vendor - Contract]:[Vendor - Contract]],$H50,CostTrack[[Holdback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50" s="504">
        <f ca="1">SUMIFS(CostTrack[[Value]:[Value]],CostTrack[[PA ID]:[PA ID]],$B50,CostTrack[[Vendor - Contract]:[Vendor - Contract]],$H50,CostTrack[[Holdback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50" s="504">
        <f ca="1">SUMIFS(CostTrack[[Value]:[Value]],CostTrack[[PA ID]:[PA ID]],$B50,CostTrack[[Vendor - Contract]:[Vendor - Contract]],$H50,CostTrack[[Holdback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31412</v>
      </c>
      <c r="DK50" s="504">
        <f ca="1">SUMIFS(CostTrack[[Value]:[Value]],CostTrack[[PA ID]:[PA ID]],$B50,CostTrack[[Vendor - Contract]:[Vendor - Contract]],$H50,CostTrack[[Holdback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50" s="504">
        <f ca="1">SUMIFS(CostTrack[[Value]:[Value]],CostTrack[[PA ID]:[PA ID]],$B50,CostTrack[[Vendor - Contract]:[Vendor - Contract]],$H50,CostTrack[[Holdback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50" s="512">
        <f t="shared" ca="1" si="40"/>
        <v>116762</v>
      </c>
      <c r="DO50" s="504">
        <f ca="1">SUMIFS(CostTrack[[Value]:[Value]],CostTrack[[PA ID]:[PA ID]],$B50,CostTrack[[Vendor - Contract]:[Vendor - Contract]],$H50,CostTrack[[Holdback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50" s="504">
        <f ca="1">SUMIFS(CostTrack[[Value]:[Value]],CostTrack[[PA ID]:[PA ID]],$B50,CostTrack[[Vendor - Contract]:[Vendor - Contract]],$H50,CostTrack[[Holdback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50" s="504">
        <f ca="1">SUMIFS(CostTrack[[Value]:[Value]],CostTrack[[PA ID]:[PA ID]],$B50,CostTrack[[Vendor - Contract]:[Vendor - Contract]],$H50,CostTrack[[Holdback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50" s="504">
        <f ca="1">SUMIFS(CostTrack[[Value]:[Value]],CostTrack[[PA ID]:[PA ID]],$B50,CostTrack[[Vendor - Contract]:[Vendor - Contract]],$H50,CostTrack[[Holdback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253481.76</v>
      </c>
      <c r="DS50" s="504">
        <f ca="1">SUMIFS(CostTrack[[Value]:[Value]],CostTrack[[PA ID]:[PA ID]],$B50,CostTrack[[Vendor - Contract]:[Vendor - Contract]],$H50,CostTrack[[Holdback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50" s="504">
        <f ca="1">SUMIFS(CostTrack[[Value]:[Value]],CostTrack[[PA ID]:[PA ID]],$B50,CostTrack[[Vendor - Contract]:[Vendor - Contract]],$H50,CostTrack[[Holdback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50" s="504">
        <f ca="1">SUMIFS(CostTrack[[Value]:[Value]],CostTrack[[PA ID]:[PA ID]],$B50,CostTrack[[Vendor - Contract]:[Vendor - Contract]],$H50,CostTrack[[Holdback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50" s="504">
        <f ca="1">SUMIFS(CostTrack[[Value]:[Value]],CostTrack[[PA ID]:[PA ID]],$B50,CostTrack[[Vendor - Contract]:[Vendor - Contract]],$H50,CostTrack[[Holdback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50" s="504">
        <f ca="1">SUMIFS(CostTrack[[Value]:[Value]],CostTrack[[PA ID]:[PA ID]],$B50,CostTrack[[Vendor - Contract]:[Vendor - Contract]],$H50,CostTrack[[Holdback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774.9</v>
      </c>
      <c r="DX50" s="504">
        <f ca="1">SUMIFS(CostTrack[[Value]:[Value]],CostTrack[[PA ID]:[PA ID]],$B50,CostTrack[[Vendor - Contract]:[Vendor - Contract]],$H50,CostTrack[[Holdback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50" s="504">
        <f ca="1">SUMIFS(CostTrack[[Value]:[Value]],CostTrack[[PA ID]:[PA ID]],$B50,CostTrack[[Vendor - Contract]:[Vendor - Contract]],$H50,CostTrack[[Holdback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50" s="504">
        <f ca="1">SUMIFS(CostTrack[[Value]:[Value]],CostTrack[[PA ID]:[PA ID]],$B50,CostTrack[[Vendor - Contract]:[Vendor - Contract]],$H50,CostTrack[[Holdback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50" s="512">
        <f t="shared" ca="1" si="41"/>
        <v>254256.66</v>
      </c>
      <c r="EC50" s="504">
        <f ca="1">SUMIFS(CostTrack[[Value]:[Value]],CostTrack[[PA ID]:[PA ID]],$B50,CostTrack[[Vendor - Contract]:[Vendor - Contract]],$H50,CostTrack[[Holdback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50" s="505"/>
      <c r="EE50" s="505"/>
      <c r="EF50" s="505"/>
      <c r="EG50" s="505"/>
      <c r="EH50" s="505"/>
      <c r="EI50" s="505"/>
      <c r="EJ50" s="505"/>
      <c r="EK50" s="505"/>
      <c r="EL50" s="505"/>
      <c r="EM50" s="505"/>
      <c r="EN50" s="505"/>
      <c r="EO50" s="512">
        <f t="shared" ca="1" si="42"/>
        <v>0</v>
      </c>
      <c r="EQ50" s="505"/>
      <c r="ER50" s="505"/>
      <c r="ES50" s="505"/>
      <c r="ET50" s="505"/>
      <c r="EU50" s="505"/>
      <c r="EV50" s="505"/>
      <c r="EW50" s="505"/>
      <c r="EX50" s="505"/>
      <c r="EY50" s="505"/>
      <c r="EZ50" s="505"/>
      <c r="FA50" s="505"/>
      <c r="FB50" s="505"/>
      <c r="FC50" s="512">
        <f t="shared" si="43"/>
        <v>0</v>
      </c>
      <c r="FE50" s="505"/>
      <c r="FF50" s="505"/>
      <c r="FG50" s="505"/>
      <c r="FH50" s="505"/>
      <c r="FI50" s="505"/>
      <c r="FJ50" s="505"/>
      <c r="FK50" s="505"/>
      <c r="FL50" s="505"/>
      <c r="FM50" s="505"/>
      <c r="FN50" s="505"/>
      <c r="FO50" s="505"/>
      <c r="FP50" s="505"/>
      <c r="FQ50" s="512">
        <f t="shared" si="44"/>
        <v>0</v>
      </c>
      <c r="FS50" s="504">
        <f t="shared" ca="1" si="45"/>
        <v>397065.97</v>
      </c>
    </row>
    <row r="51" spans="1:175">
      <c r="A51" s="216">
        <v>44</v>
      </c>
      <c r="B51" s="219" t="str">
        <f ca="1">INDEX(EAC[PA ID],MATCH($A51,EAC[Row],0))</f>
        <v>300.020.F1</v>
      </c>
      <c r="C51" s="218" t="str">
        <f ca="1">INDEX(EAC[Primary Category],MATCH($A51,EAC[Row],0))</f>
        <v>Construction</v>
      </c>
      <c r="D51" s="218" t="str">
        <f ca="1">INDEX(EAC[Secondary Category],MATCH($A51,EAC[Row],0))</f>
        <v>Utilities</v>
      </c>
      <c r="E51" s="109" t="str">
        <f ca="1">INDEX(EAC[Phase / Subproject],MATCH($A51,EAC[Row],0))</f>
        <v>--</v>
      </c>
      <c r="F51" s="109" t="str">
        <f ca="1">INDEX(EAC[Phase / Subproject 2],MATCH($A51,EAC[Row],0))</f>
        <v>--</v>
      </c>
      <c r="G51" s="109" t="str">
        <f ca="1">INDEX(EAC[Funding Source],MATCH($A51,EAC[Row],0))</f>
        <v>P-002360</v>
      </c>
      <c r="H51" s="146" t="str">
        <f ca="1">INDEX(EAC[Vendor / Org. with Contract ID],MATCH($A51,EAC[Row],0))</f>
        <v>ATCO-36789</v>
      </c>
      <c r="I51" s="502">
        <f ca="1">INDEX(EAC[Estimate At Completion],MATCH($A51,EAC[Row],0))</f>
        <v>26504.9</v>
      </c>
      <c r="J51" s="502">
        <f ca="1">SUMIFS(CostTrack[Value],CostTrack[Vendor - Contract],$H51,CostTrack[PA ID],$B51,CostTrack[Holdback (Y/N/R)],"&lt;&gt;Release",CostTrack[Status],"Approved")</f>
        <v>26504.9</v>
      </c>
      <c r="K51" s="503">
        <f t="shared" ca="1" si="14"/>
        <v>0</v>
      </c>
      <c r="M51" s="504">
        <f t="shared" ca="1" si="15"/>
        <v>0</v>
      </c>
      <c r="O51" s="504">
        <f t="shared" ca="1" si="31"/>
        <v>26504.9</v>
      </c>
      <c r="P51" s="504">
        <f t="array" aca="1" ref="P51" ca="1">SUM($U51:$FQ51*_xlfn.ISFORMULA($U51:$FQ51)*ISNUMBER($U$7:$FQ$7)*--(INDEX($U$6:$FQ$6,N(IF({1},COLUMN($U$6:$FQ$6)-COLUMN($T$6)))-MOD(N(IF({1},COLUMN($U$6:$FQ$6)-COLUMN($U$6))),14))="Current Fiscal"))</f>
        <v>0</v>
      </c>
      <c r="Q51" s="504">
        <f t="array" aca="1" ref="Q51" ca="1">SUM($U51:$FQ51*NOT(_xlfn.ISFORMULA($U51:$FQ51))*ISNUMBER($U$7:$FQ$7)*--(INDEX($U$6:$FQ$6,N(IF({1},COLUMN($U$6:$FQ$6)-COLUMN($T$6)))-MOD(N(IF({1},COLUMN($U$6:$FQ$6)-COLUMN($U$6))),14))="Current Fiscal"))</f>
        <v>0</v>
      </c>
      <c r="R51" s="504">
        <f t="shared" ca="1" si="32"/>
        <v>0</v>
      </c>
      <c r="S51" s="504">
        <f t="shared" ca="1" si="33"/>
        <v>0</v>
      </c>
      <c r="U51" s="504">
        <f ca="1">SUMIFS(CostTrack[[Value]:[Value]],CostTrack[[PA ID]:[PA ID]],$B51,CostTrack[[Vendor - Contract]:[Vendor - Contract]],$H51,CostTrack[[Holdback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51" s="504">
        <f ca="1">SUMIFS(CostTrack[[Value]:[Value]],CostTrack[[PA ID]:[PA ID]],$B51,CostTrack[[Vendor - Contract]:[Vendor - Contract]],$H51,CostTrack[[Holdback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51" s="504">
        <f ca="1">SUMIFS(CostTrack[[Value]:[Value]],CostTrack[[PA ID]:[PA ID]],$B51,CostTrack[[Vendor - Contract]:[Vendor - Contract]],$H51,CostTrack[[Holdback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51" s="504">
        <f ca="1">SUMIFS(CostTrack[[Value]:[Value]],CostTrack[[PA ID]:[PA ID]],$B51,CostTrack[[Vendor - Contract]:[Vendor - Contract]],$H51,CostTrack[[Holdback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51" s="504">
        <f ca="1">SUMIFS(CostTrack[[Value]:[Value]],CostTrack[[PA ID]:[PA ID]],$B51,CostTrack[[Vendor - Contract]:[Vendor - Contract]],$H51,CostTrack[[Holdback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51" s="504">
        <f ca="1">SUMIFS(CostTrack[[Value]:[Value]],CostTrack[[PA ID]:[PA ID]],$B51,CostTrack[[Vendor - Contract]:[Vendor - Contract]],$H51,CostTrack[[Holdback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51" s="504">
        <f ca="1">SUMIFS(CostTrack[[Value]:[Value]],CostTrack[[PA ID]:[PA ID]],$B51,CostTrack[[Vendor - Contract]:[Vendor - Contract]],$H51,CostTrack[[Holdback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51" s="504">
        <f ca="1">SUMIFS(CostTrack[[Value]:[Value]],CostTrack[[PA ID]:[PA ID]],$B51,CostTrack[[Vendor - Contract]:[Vendor - Contract]],$H51,CostTrack[[Holdback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51" s="504">
        <f ca="1">SUMIFS(CostTrack[[Value]:[Value]],CostTrack[[PA ID]:[PA ID]],$B51,CostTrack[[Vendor - Contract]:[Vendor - Contract]],$H51,CostTrack[[Holdback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51" s="504">
        <f ca="1">SUMIFS(CostTrack[[Value]:[Value]],CostTrack[[PA ID]:[PA ID]],$B51,CostTrack[[Vendor - Contract]:[Vendor - Contract]],$H51,CostTrack[[Holdback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51" s="504">
        <f ca="1">SUMIFS(CostTrack[[Value]:[Value]],CostTrack[[PA ID]:[PA ID]],$B51,CostTrack[[Vendor - Contract]:[Vendor - Contract]],$H51,CostTrack[[Holdback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51" s="504">
        <f ca="1">SUMIFS(CostTrack[[Value]:[Value]],CostTrack[[PA ID]:[PA ID]],$B51,CostTrack[[Vendor - Contract]:[Vendor - Contract]],$H51,CostTrack[[Holdback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51" s="506">
        <f t="shared" ca="1" si="34"/>
        <v>0</v>
      </c>
      <c r="AI51" s="504">
        <f ca="1">SUMIFS(CostTrack[[Value]:[Value]],CostTrack[[PA ID]:[PA ID]],$B51,CostTrack[[Vendor - Contract]:[Vendor - Contract]],$H51,CostTrack[[Holdback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51" s="504">
        <f ca="1">SUMIFS(CostTrack[[Value]:[Value]],CostTrack[[PA ID]:[PA ID]],$B51,CostTrack[[Vendor - Contract]:[Vendor - Contract]],$H51,CostTrack[[Holdback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51" s="504">
        <f ca="1">SUMIFS(CostTrack[[Value]:[Value]],CostTrack[[PA ID]:[PA ID]],$B51,CostTrack[[Vendor - Contract]:[Vendor - Contract]],$H51,CostTrack[[Holdback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51" s="504">
        <f ca="1">SUMIFS(CostTrack[[Value]:[Value]],CostTrack[[PA ID]:[PA ID]],$B51,CostTrack[[Vendor - Contract]:[Vendor - Contract]],$H51,CostTrack[[Holdback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51" s="504">
        <f ca="1">SUMIFS(CostTrack[[Value]:[Value]],CostTrack[[PA ID]:[PA ID]],$B51,CostTrack[[Vendor - Contract]:[Vendor - Contract]],$H51,CostTrack[[Holdback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51" s="504">
        <f ca="1">SUMIFS(CostTrack[[Value]:[Value]],CostTrack[[PA ID]:[PA ID]],$B51,CostTrack[[Vendor - Contract]:[Vendor - Contract]],$H51,CostTrack[[Holdback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51" s="504">
        <f ca="1">SUMIFS(CostTrack[[Value]:[Value]],CostTrack[[PA ID]:[PA ID]],$B51,CostTrack[[Vendor - Contract]:[Vendor - Contract]],$H51,CostTrack[[Holdback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51" s="504">
        <f ca="1">SUMIFS(CostTrack[[Value]:[Value]],CostTrack[[PA ID]:[PA ID]],$B51,CostTrack[[Vendor - Contract]:[Vendor - Contract]],$H51,CostTrack[[Holdback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51" s="504">
        <f ca="1">SUMIFS(CostTrack[[Value]:[Value]],CostTrack[[PA ID]:[PA ID]],$B51,CostTrack[[Vendor - Contract]:[Vendor - Contract]],$H51,CostTrack[[Holdback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51" s="504">
        <f ca="1">SUMIFS(CostTrack[[Value]:[Value]],CostTrack[[PA ID]:[PA ID]],$B51,CostTrack[[Vendor - Contract]:[Vendor - Contract]],$H51,CostTrack[[Holdback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51" s="504">
        <f ca="1">SUMIFS(CostTrack[[Value]:[Value]],CostTrack[[PA ID]:[PA ID]],$B51,CostTrack[[Vendor - Contract]:[Vendor - Contract]],$H51,CostTrack[[Holdback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51" s="504">
        <f ca="1">SUMIFS(CostTrack[[Value]:[Value]],CostTrack[[PA ID]:[PA ID]],$B51,CostTrack[[Vendor - Contract]:[Vendor - Contract]],$H51,CostTrack[[Holdback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51" s="512">
        <f t="shared" ca="1" si="35"/>
        <v>0</v>
      </c>
      <c r="AW51" s="504">
        <f ca="1">SUMIFS(CostTrack[[Value]:[Value]],CostTrack[[PA ID]:[PA ID]],$B51,CostTrack[[Vendor - Contract]:[Vendor - Contract]],$H51,CostTrack[[Holdback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51" s="504">
        <f ca="1">SUMIFS(CostTrack[[Value]:[Value]],CostTrack[[PA ID]:[PA ID]],$B51,CostTrack[[Vendor - Contract]:[Vendor - Contract]],$H51,CostTrack[[Holdback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51" s="504">
        <f ca="1">SUMIFS(CostTrack[[Value]:[Value]],CostTrack[[PA ID]:[PA ID]],$B51,CostTrack[[Vendor - Contract]:[Vendor - Contract]],$H51,CostTrack[[Holdback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51" s="504">
        <f ca="1">SUMIFS(CostTrack[[Value]:[Value]],CostTrack[[PA ID]:[PA ID]],$B51,CostTrack[[Vendor - Contract]:[Vendor - Contract]],$H51,CostTrack[[Holdback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51" s="504">
        <f ca="1">SUMIFS(CostTrack[[Value]:[Value]],CostTrack[[PA ID]:[PA ID]],$B51,CostTrack[[Vendor - Contract]:[Vendor - Contract]],$H51,CostTrack[[Holdback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51" s="504">
        <f ca="1">SUMIFS(CostTrack[[Value]:[Value]],CostTrack[[PA ID]:[PA ID]],$B51,CostTrack[[Vendor - Contract]:[Vendor - Contract]],$H51,CostTrack[[Holdback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51" s="504">
        <f ca="1">SUMIFS(CostTrack[[Value]:[Value]],CostTrack[[PA ID]:[PA ID]],$B51,CostTrack[[Vendor - Contract]:[Vendor - Contract]],$H51,CostTrack[[Holdback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51" s="504">
        <f ca="1">SUMIFS(CostTrack[[Value]:[Value]],CostTrack[[PA ID]:[PA ID]],$B51,CostTrack[[Vendor - Contract]:[Vendor - Contract]],$H51,CostTrack[[Holdback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51" s="504">
        <f ca="1">SUMIFS(CostTrack[[Value]:[Value]],CostTrack[[PA ID]:[PA ID]],$B51,CostTrack[[Vendor - Contract]:[Vendor - Contract]],$H51,CostTrack[[Holdback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51" s="504">
        <f ca="1">SUMIFS(CostTrack[[Value]:[Value]],CostTrack[[PA ID]:[PA ID]],$B51,CostTrack[[Vendor - Contract]:[Vendor - Contract]],$H51,CostTrack[[Holdback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51" s="504">
        <f ca="1">SUMIFS(CostTrack[[Value]:[Value]],CostTrack[[PA ID]:[PA ID]],$B51,CostTrack[[Vendor - Contract]:[Vendor - Contract]],$H51,CostTrack[[Holdback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51" s="504">
        <f ca="1">SUMIFS(CostTrack[[Value]:[Value]],CostTrack[[PA ID]:[PA ID]],$B51,CostTrack[[Vendor - Contract]:[Vendor - Contract]],$H51,CostTrack[[Holdback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26504.9</v>
      </c>
      <c r="BI51" s="512">
        <f t="shared" ca="1" si="36"/>
        <v>26504.9</v>
      </c>
      <c r="BK51" s="504">
        <f ca="1">SUMIFS(CostTrack[[Value]:[Value]],CostTrack[[PA ID]:[PA ID]],$B51,CostTrack[[Vendor - Contract]:[Vendor - Contract]],$H51,CostTrack[[Holdback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51" s="504">
        <f ca="1">SUMIFS(CostTrack[[Value]:[Value]],CostTrack[[PA ID]:[PA ID]],$B51,CostTrack[[Vendor - Contract]:[Vendor - Contract]],$H51,CostTrack[[Holdback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51" s="504">
        <f ca="1">SUMIFS(CostTrack[[Value]:[Value]],CostTrack[[PA ID]:[PA ID]],$B51,CostTrack[[Vendor - Contract]:[Vendor - Contract]],$H51,CostTrack[[Holdback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51" s="504">
        <f ca="1">SUMIFS(CostTrack[[Value]:[Value]],CostTrack[[PA ID]:[PA ID]],$B51,CostTrack[[Vendor - Contract]:[Vendor - Contract]],$H51,CostTrack[[Holdback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51" s="504">
        <f ca="1">SUMIFS(CostTrack[[Value]:[Value]],CostTrack[[PA ID]:[PA ID]],$B51,CostTrack[[Vendor - Contract]:[Vendor - Contract]],$H51,CostTrack[[Holdback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51" s="504">
        <f ca="1">SUMIFS(CostTrack[[Value]:[Value]],CostTrack[[PA ID]:[PA ID]],$B51,CostTrack[[Vendor - Contract]:[Vendor - Contract]],$H51,CostTrack[[Holdback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51" s="504">
        <f ca="1">SUMIFS(CostTrack[[Value]:[Value]],CostTrack[[PA ID]:[PA ID]],$B51,CostTrack[[Vendor - Contract]:[Vendor - Contract]],$H51,CostTrack[[Holdback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51" s="504">
        <f ca="1">SUMIFS(CostTrack[[Value]:[Value]],CostTrack[[PA ID]:[PA ID]],$B51,CostTrack[[Vendor - Contract]:[Vendor - Contract]],$H51,CostTrack[[Holdback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51" s="504">
        <f ca="1">SUMIFS(CostTrack[[Value]:[Value]],CostTrack[[PA ID]:[PA ID]],$B51,CostTrack[[Vendor - Contract]:[Vendor - Contract]],$H51,CostTrack[[Holdback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51" s="504">
        <f ca="1">SUMIFS(CostTrack[[Value]:[Value]],CostTrack[[PA ID]:[PA ID]],$B51,CostTrack[[Vendor - Contract]:[Vendor - Contract]],$H51,CostTrack[[Holdback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51" s="504">
        <f ca="1">SUMIFS(CostTrack[[Value]:[Value]],CostTrack[[PA ID]:[PA ID]],$B51,CostTrack[[Vendor - Contract]:[Vendor - Contract]],$H51,CostTrack[[Holdback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51" s="504">
        <f ca="1">SUMIFS(CostTrack[[Value]:[Value]],CostTrack[[PA ID]:[PA ID]],$B51,CostTrack[[Vendor - Contract]:[Vendor - Contract]],$H51,CostTrack[[Holdback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51" s="512">
        <f t="shared" ca="1" si="37"/>
        <v>0</v>
      </c>
      <c r="BY51" s="504">
        <f ca="1">SUMIFS(CostTrack[[Value]:[Value]],CostTrack[[PA ID]:[PA ID]],$B51,CostTrack[[Vendor - Contract]:[Vendor - Contract]],$H51,CostTrack[[Holdback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51" s="504">
        <f ca="1">SUMIFS(CostTrack[[Value]:[Value]],CostTrack[[PA ID]:[PA ID]],$B51,CostTrack[[Vendor - Contract]:[Vendor - Contract]],$H51,CostTrack[[Holdback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51" s="504">
        <f ca="1">SUMIFS(CostTrack[[Value]:[Value]],CostTrack[[PA ID]:[PA ID]],$B51,CostTrack[[Vendor - Contract]:[Vendor - Contract]],$H51,CostTrack[[Holdback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51" s="504">
        <f ca="1">SUMIFS(CostTrack[[Value]:[Value]],CostTrack[[PA ID]:[PA ID]],$B51,CostTrack[[Vendor - Contract]:[Vendor - Contract]],$H51,CostTrack[[Holdback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51" s="504">
        <f ca="1">SUMIFS(CostTrack[[Value]:[Value]],CostTrack[[PA ID]:[PA ID]],$B51,CostTrack[[Vendor - Contract]:[Vendor - Contract]],$H51,CostTrack[[Holdback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51" s="504">
        <f ca="1">SUMIFS(CostTrack[[Value]:[Value]],CostTrack[[PA ID]:[PA ID]],$B51,CostTrack[[Vendor - Contract]:[Vendor - Contract]],$H51,CostTrack[[Holdback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51" s="504">
        <f ca="1">SUMIFS(CostTrack[[Value]:[Value]],CostTrack[[PA ID]:[PA ID]],$B51,CostTrack[[Vendor - Contract]:[Vendor - Contract]],$H51,CostTrack[[Holdback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51" s="504">
        <f ca="1">SUMIFS(CostTrack[[Value]:[Value]],CostTrack[[PA ID]:[PA ID]],$B51,CostTrack[[Vendor - Contract]:[Vendor - Contract]],$H51,CostTrack[[Holdback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51" s="504">
        <f ca="1">SUMIFS(CostTrack[[Value]:[Value]],CostTrack[[PA ID]:[PA ID]],$B51,CostTrack[[Vendor - Contract]:[Vendor - Contract]],$H51,CostTrack[[Holdback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51" s="504">
        <f ca="1">SUMIFS(CostTrack[[Value]:[Value]],CostTrack[[PA ID]:[PA ID]],$B51,CostTrack[[Vendor - Contract]:[Vendor - Contract]],$H51,CostTrack[[Holdback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51" s="504">
        <f ca="1">SUMIFS(CostTrack[[Value]:[Value]],CostTrack[[PA ID]:[PA ID]],$B51,CostTrack[[Vendor - Contract]:[Vendor - Contract]],$H51,CostTrack[[Holdback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51" s="504">
        <f ca="1">SUMIFS(CostTrack[[Value]:[Value]],CostTrack[[PA ID]:[PA ID]],$B51,CostTrack[[Vendor - Contract]:[Vendor - Contract]],$H51,CostTrack[[Holdback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51" s="512">
        <f t="shared" ca="1" si="38"/>
        <v>0</v>
      </c>
      <c r="CM51" s="504">
        <f ca="1">SUMIFS(CostTrack[[Value]:[Value]],CostTrack[[PA ID]:[PA ID]],$B51,CostTrack[[Vendor - Contract]:[Vendor - Contract]],$H51,CostTrack[[Holdback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51" s="504">
        <f ca="1">SUMIFS(CostTrack[[Value]:[Value]],CostTrack[[PA ID]:[PA ID]],$B51,CostTrack[[Vendor - Contract]:[Vendor - Contract]],$H51,CostTrack[[Holdback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51" s="504">
        <f ca="1">SUMIFS(CostTrack[[Value]:[Value]],CostTrack[[PA ID]:[PA ID]],$B51,CostTrack[[Vendor - Contract]:[Vendor - Contract]],$H51,CostTrack[[Holdback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51" s="504">
        <f ca="1">SUMIFS(CostTrack[[Value]:[Value]],CostTrack[[PA ID]:[PA ID]],$B51,CostTrack[[Vendor - Contract]:[Vendor - Contract]],$H51,CostTrack[[Holdback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51" s="504">
        <f ca="1">SUMIFS(CostTrack[[Value]:[Value]],CostTrack[[PA ID]:[PA ID]],$B51,CostTrack[[Vendor - Contract]:[Vendor - Contract]],$H51,CostTrack[[Holdback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51" s="504">
        <f ca="1">SUMIFS(CostTrack[[Value]:[Value]],CostTrack[[PA ID]:[PA ID]],$B51,CostTrack[[Vendor - Contract]:[Vendor - Contract]],$H51,CostTrack[[Holdback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51" s="504">
        <f ca="1">SUMIFS(CostTrack[[Value]:[Value]],CostTrack[[PA ID]:[PA ID]],$B51,CostTrack[[Vendor - Contract]:[Vendor - Contract]],$H51,CostTrack[[Holdback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51" s="504">
        <f ca="1">SUMIFS(CostTrack[[Value]:[Value]],CostTrack[[PA ID]:[PA ID]],$B51,CostTrack[[Vendor - Contract]:[Vendor - Contract]],$H51,CostTrack[[Holdback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51" s="504">
        <f ca="1">SUMIFS(CostTrack[[Value]:[Value]],CostTrack[[PA ID]:[PA ID]],$B51,CostTrack[[Vendor - Contract]:[Vendor - Contract]],$H51,CostTrack[[Holdback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51" s="504">
        <f ca="1">SUMIFS(CostTrack[[Value]:[Value]],CostTrack[[PA ID]:[PA ID]],$B51,CostTrack[[Vendor - Contract]:[Vendor - Contract]],$H51,CostTrack[[Holdback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51" s="504">
        <f ca="1">SUMIFS(CostTrack[[Value]:[Value]],CostTrack[[PA ID]:[PA ID]],$B51,CostTrack[[Vendor - Contract]:[Vendor - Contract]],$H51,CostTrack[[Holdback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51" s="504">
        <f ca="1">SUMIFS(CostTrack[[Value]:[Value]],CostTrack[[PA ID]:[PA ID]],$B51,CostTrack[[Vendor - Contract]:[Vendor - Contract]],$H51,CostTrack[[Holdback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51" s="512">
        <f t="shared" ca="1" si="39"/>
        <v>0</v>
      </c>
      <c r="DA51" s="504">
        <f ca="1">SUMIFS(CostTrack[[Value]:[Value]],CostTrack[[PA ID]:[PA ID]],$B51,CostTrack[[Vendor - Contract]:[Vendor - Contract]],$H51,CostTrack[[Holdback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51" s="504">
        <f ca="1">SUMIFS(CostTrack[[Value]:[Value]],CostTrack[[PA ID]:[PA ID]],$B51,CostTrack[[Vendor - Contract]:[Vendor - Contract]],$H51,CostTrack[[Holdback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51" s="504">
        <f ca="1">SUMIFS(CostTrack[[Value]:[Value]],CostTrack[[PA ID]:[PA ID]],$B51,CostTrack[[Vendor - Contract]:[Vendor - Contract]],$H51,CostTrack[[Holdback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51" s="504">
        <f ca="1">SUMIFS(CostTrack[[Value]:[Value]],CostTrack[[PA ID]:[PA ID]],$B51,CostTrack[[Vendor - Contract]:[Vendor - Contract]],$H51,CostTrack[[Holdback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51" s="504">
        <f ca="1">SUMIFS(CostTrack[[Value]:[Value]],CostTrack[[PA ID]:[PA ID]],$B51,CostTrack[[Vendor - Contract]:[Vendor - Contract]],$H51,CostTrack[[Holdback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51" s="504">
        <f ca="1">SUMIFS(CostTrack[[Value]:[Value]],CostTrack[[PA ID]:[PA ID]],$B51,CostTrack[[Vendor - Contract]:[Vendor - Contract]],$H51,CostTrack[[Holdback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51" s="504">
        <f ca="1">SUMIFS(CostTrack[[Value]:[Value]],CostTrack[[PA ID]:[PA ID]],$B51,CostTrack[[Vendor - Contract]:[Vendor - Contract]],$H51,CostTrack[[Holdback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51" s="504">
        <f ca="1">SUMIFS(CostTrack[[Value]:[Value]],CostTrack[[PA ID]:[PA ID]],$B51,CostTrack[[Vendor - Contract]:[Vendor - Contract]],$H51,CostTrack[[Holdback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51" s="504">
        <f ca="1">SUMIFS(CostTrack[[Value]:[Value]],CostTrack[[PA ID]:[PA ID]],$B51,CostTrack[[Vendor - Contract]:[Vendor - Contract]],$H51,CostTrack[[Holdback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51" s="504">
        <f ca="1">SUMIFS(CostTrack[[Value]:[Value]],CostTrack[[PA ID]:[PA ID]],$B51,CostTrack[[Vendor - Contract]:[Vendor - Contract]],$H51,CostTrack[[Holdback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51" s="504">
        <f ca="1">SUMIFS(CostTrack[[Value]:[Value]],CostTrack[[PA ID]:[PA ID]],$B51,CostTrack[[Vendor - Contract]:[Vendor - Contract]],$H51,CostTrack[[Holdback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51" s="504">
        <f ca="1">SUMIFS(CostTrack[[Value]:[Value]],CostTrack[[PA ID]:[PA ID]],$B51,CostTrack[[Vendor - Contract]:[Vendor - Contract]],$H51,CostTrack[[Holdback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51" s="512">
        <f t="shared" ca="1" si="40"/>
        <v>0</v>
      </c>
      <c r="DO51" s="504">
        <f ca="1">SUMIFS(CostTrack[[Value]:[Value]],CostTrack[[PA ID]:[PA ID]],$B51,CostTrack[[Vendor - Contract]:[Vendor - Contract]],$H51,CostTrack[[Holdback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51" s="504">
        <f ca="1">SUMIFS(CostTrack[[Value]:[Value]],CostTrack[[PA ID]:[PA ID]],$B51,CostTrack[[Vendor - Contract]:[Vendor - Contract]],$H51,CostTrack[[Holdback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51" s="504">
        <f ca="1">SUMIFS(CostTrack[[Value]:[Value]],CostTrack[[PA ID]:[PA ID]],$B51,CostTrack[[Vendor - Contract]:[Vendor - Contract]],$H51,CostTrack[[Holdback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51" s="504">
        <f ca="1">SUMIFS(CostTrack[[Value]:[Value]],CostTrack[[PA ID]:[PA ID]],$B51,CostTrack[[Vendor - Contract]:[Vendor - Contract]],$H51,CostTrack[[Holdback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51" s="504">
        <f ca="1">SUMIFS(CostTrack[[Value]:[Value]],CostTrack[[PA ID]:[PA ID]],$B51,CostTrack[[Vendor - Contract]:[Vendor - Contract]],$H51,CostTrack[[Holdback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51" s="504">
        <f ca="1">SUMIFS(CostTrack[[Value]:[Value]],CostTrack[[PA ID]:[PA ID]],$B51,CostTrack[[Vendor - Contract]:[Vendor - Contract]],$H51,CostTrack[[Holdback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51" s="504">
        <f ca="1">SUMIFS(CostTrack[[Value]:[Value]],CostTrack[[PA ID]:[PA ID]],$B51,CostTrack[[Vendor - Contract]:[Vendor - Contract]],$H51,CostTrack[[Holdback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51" s="504">
        <f ca="1">SUMIFS(CostTrack[[Value]:[Value]],CostTrack[[PA ID]:[PA ID]],$B51,CostTrack[[Vendor - Contract]:[Vendor - Contract]],$H51,CostTrack[[Holdback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51" s="504">
        <f ca="1">SUMIFS(CostTrack[[Value]:[Value]],CostTrack[[PA ID]:[PA ID]],$B51,CostTrack[[Vendor - Contract]:[Vendor - Contract]],$H51,CostTrack[[Holdback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51" s="504">
        <f ca="1">SUMIFS(CostTrack[[Value]:[Value]],CostTrack[[PA ID]:[PA ID]],$B51,CostTrack[[Vendor - Contract]:[Vendor - Contract]],$H51,CostTrack[[Holdback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51" s="504">
        <f ca="1">SUMIFS(CostTrack[[Value]:[Value]],CostTrack[[PA ID]:[PA ID]],$B51,CostTrack[[Vendor - Contract]:[Vendor - Contract]],$H51,CostTrack[[Holdback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51" s="504">
        <f ca="1">SUMIFS(CostTrack[[Value]:[Value]],CostTrack[[PA ID]:[PA ID]],$B51,CostTrack[[Vendor - Contract]:[Vendor - Contract]],$H51,CostTrack[[Holdback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51" s="512">
        <f t="shared" ca="1" si="41"/>
        <v>0</v>
      </c>
      <c r="EC51" s="504">
        <f ca="1">SUMIFS(CostTrack[[Value]:[Value]],CostTrack[[PA ID]:[PA ID]],$B51,CostTrack[[Vendor - Contract]:[Vendor - Contract]],$H51,CostTrack[[Holdback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51" s="505"/>
      <c r="EE51" s="505"/>
      <c r="EF51" s="505"/>
      <c r="EG51" s="505"/>
      <c r="EH51" s="505"/>
      <c r="EI51" s="505"/>
      <c r="EJ51" s="505"/>
      <c r="EK51" s="505"/>
      <c r="EL51" s="505"/>
      <c r="EM51" s="505"/>
      <c r="EN51" s="505"/>
      <c r="EO51" s="512">
        <f t="shared" ca="1" si="42"/>
        <v>0</v>
      </c>
      <c r="EQ51" s="505"/>
      <c r="ER51" s="505"/>
      <c r="ES51" s="505"/>
      <c r="ET51" s="505"/>
      <c r="EU51" s="505"/>
      <c r="EV51" s="505"/>
      <c r="EW51" s="505"/>
      <c r="EX51" s="505"/>
      <c r="EY51" s="505"/>
      <c r="EZ51" s="505"/>
      <c r="FA51" s="505"/>
      <c r="FB51" s="505"/>
      <c r="FC51" s="512">
        <f t="shared" si="43"/>
        <v>0</v>
      </c>
      <c r="FE51" s="505"/>
      <c r="FF51" s="505"/>
      <c r="FG51" s="505"/>
      <c r="FH51" s="505"/>
      <c r="FI51" s="505"/>
      <c r="FJ51" s="505"/>
      <c r="FK51" s="505"/>
      <c r="FL51" s="505"/>
      <c r="FM51" s="505"/>
      <c r="FN51" s="505"/>
      <c r="FO51" s="505"/>
      <c r="FP51" s="505"/>
      <c r="FQ51" s="512">
        <f t="shared" si="44"/>
        <v>0</v>
      </c>
      <c r="FS51" s="504">
        <f t="shared" ca="1" si="45"/>
        <v>26504.9</v>
      </c>
    </row>
    <row r="52" spans="1:175">
      <c r="A52" s="216">
        <v>45</v>
      </c>
      <c r="B52" s="219" t="str">
        <f ca="1">INDEX(EAC[PA ID],MATCH($A52,EAC[Row],0))</f>
        <v>300.020.F1</v>
      </c>
      <c r="C52" s="218" t="str">
        <f ca="1">INDEX(EAC[Primary Category],MATCH($A52,EAC[Row],0))</f>
        <v>Construction</v>
      </c>
      <c r="D52" s="218" t="str">
        <f ca="1">INDEX(EAC[Secondary Category],MATCH($A52,EAC[Row],0))</f>
        <v>Utilities</v>
      </c>
      <c r="E52" s="109" t="str">
        <f ca="1">INDEX(EAC[Phase / Subproject],MATCH($A52,EAC[Row],0))</f>
        <v>--</v>
      </c>
      <c r="F52" s="109" t="str">
        <f ca="1">INDEX(EAC[Phase / Subproject 2],MATCH($A52,EAC[Row],0))</f>
        <v>--</v>
      </c>
      <c r="G52" s="109" t="str">
        <f ca="1">INDEX(EAC[Funding Source],MATCH($A52,EAC[Row],0))</f>
        <v>P-002360</v>
      </c>
      <c r="H52" s="146" t="str">
        <f ca="1">INDEX(EAC[Vendor / Org. with Contract ID],MATCH($A52,EAC[Row],0))</f>
        <v>TELUS-Service Removal-Direct Pay</v>
      </c>
      <c r="I52" s="502">
        <f ca="1">INDEX(EAC[Estimate At Completion],MATCH($A52,EAC[Row],0))</f>
        <v>13440.95</v>
      </c>
      <c r="J52" s="502">
        <f ca="1">SUMIFS(CostTrack[Value],CostTrack[Vendor - Contract],$H52,CostTrack[PA ID],$B52,CostTrack[Holdback (Y/N/R)],"&lt;&gt;Release",CostTrack[Status],"Approved")</f>
        <v>13440.95</v>
      </c>
      <c r="K52" s="503">
        <f t="shared" ca="1" si="14"/>
        <v>0</v>
      </c>
      <c r="M52" s="504">
        <f t="shared" ca="1" si="15"/>
        <v>0</v>
      </c>
      <c r="O52" s="504">
        <f t="shared" ca="1" si="31"/>
        <v>13440.95</v>
      </c>
      <c r="P52" s="504">
        <f t="array" aca="1" ref="P52" ca="1">SUM($U52:$FQ52*_xlfn.ISFORMULA($U52:$FQ52)*ISNUMBER($U$7:$FQ$7)*--(INDEX($U$6:$FQ$6,N(IF({1},COLUMN($U$6:$FQ$6)-COLUMN($T$6)))-MOD(N(IF({1},COLUMN($U$6:$FQ$6)-COLUMN($U$6))),14))="Current Fiscal"))</f>
        <v>0</v>
      </c>
      <c r="Q52" s="504">
        <f t="array" aca="1" ref="Q52" ca="1">SUM($U52:$FQ52*NOT(_xlfn.ISFORMULA($U52:$FQ52))*ISNUMBER($U$7:$FQ$7)*--(INDEX($U$6:$FQ$6,N(IF({1},COLUMN($U$6:$FQ$6)-COLUMN($T$6)))-MOD(N(IF({1},COLUMN($U$6:$FQ$6)-COLUMN($U$6))),14))="Current Fiscal"))</f>
        <v>0</v>
      </c>
      <c r="R52" s="504">
        <f t="shared" ca="1" si="32"/>
        <v>0</v>
      </c>
      <c r="S52" s="504">
        <f t="shared" ca="1" si="33"/>
        <v>0</v>
      </c>
      <c r="U52" s="504">
        <f ca="1">SUMIFS(CostTrack[[Value]:[Value]],CostTrack[[PA ID]:[PA ID]],$B52,CostTrack[[Vendor - Contract]:[Vendor - Contract]],$H52,CostTrack[[Holdback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52" s="504">
        <f ca="1">SUMIFS(CostTrack[[Value]:[Value]],CostTrack[[PA ID]:[PA ID]],$B52,CostTrack[[Vendor - Contract]:[Vendor - Contract]],$H52,CostTrack[[Holdback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52" s="504">
        <f ca="1">SUMIFS(CostTrack[[Value]:[Value]],CostTrack[[PA ID]:[PA ID]],$B52,CostTrack[[Vendor - Contract]:[Vendor - Contract]],$H52,CostTrack[[Holdback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52" s="504">
        <f ca="1">SUMIFS(CostTrack[[Value]:[Value]],CostTrack[[PA ID]:[PA ID]],$B52,CostTrack[[Vendor - Contract]:[Vendor - Contract]],$H52,CostTrack[[Holdback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52" s="504">
        <f ca="1">SUMIFS(CostTrack[[Value]:[Value]],CostTrack[[PA ID]:[PA ID]],$B52,CostTrack[[Vendor - Contract]:[Vendor - Contract]],$H52,CostTrack[[Holdback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52" s="504">
        <f ca="1">SUMIFS(CostTrack[[Value]:[Value]],CostTrack[[PA ID]:[PA ID]],$B52,CostTrack[[Vendor - Contract]:[Vendor - Contract]],$H52,CostTrack[[Holdback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52" s="504">
        <f ca="1">SUMIFS(CostTrack[[Value]:[Value]],CostTrack[[PA ID]:[PA ID]],$B52,CostTrack[[Vendor - Contract]:[Vendor - Contract]],$H52,CostTrack[[Holdback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52" s="504">
        <f ca="1">SUMIFS(CostTrack[[Value]:[Value]],CostTrack[[PA ID]:[PA ID]],$B52,CostTrack[[Vendor - Contract]:[Vendor - Contract]],$H52,CostTrack[[Holdback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52" s="504">
        <f ca="1">SUMIFS(CostTrack[[Value]:[Value]],CostTrack[[PA ID]:[PA ID]],$B52,CostTrack[[Vendor - Contract]:[Vendor - Contract]],$H52,CostTrack[[Holdback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52" s="504">
        <f ca="1">SUMIFS(CostTrack[[Value]:[Value]],CostTrack[[PA ID]:[PA ID]],$B52,CostTrack[[Vendor - Contract]:[Vendor - Contract]],$H52,CostTrack[[Holdback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52" s="504">
        <f ca="1">SUMIFS(CostTrack[[Value]:[Value]],CostTrack[[PA ID]:[PA ID]],$B52,CostTrack[[Vendor - Contract]:[Vendor - Contract]],$H52,CostTrack[[Holdback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52" s="504">
        <f ca="1">SUMIFS(CostTrack[[Value]:[Value]],CostTrack[[PA ID]:[PA ID]],$B52,CostTrack[[Vendor - Contract]:[Vendor - Contract]],$H52,CostTrack[[Holdback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52" s="506">
        <f t="shared" ca="1" si="34"/>
        <v>0</v>
      </c>
      <c r="AI52" s="504">
        <f ca="1">SUMIFS(CostTrack[[Value]:[Value]],CostTrack[[PA ID]:[PA ID]],$B52,CostTrack[[Vendor - Contract]:[Vendor - Contract]],$H52,CostTrack[[Holdback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52" s="504">
        <f ca="1">SUMIFS(CostTrack[[Value]:[Value]],CostTrack[[PA ID]:[PA ID]],$B52,CostTrack[[Vendor - Contract]:[Vendor - Contract]],$H52,CostTrack[[Holdback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52" s="504">
        <f ca="1">SUMIFS(CostTrack[[Value]:[Value]],CostTrack[[PA ID]:[PA ID]],$B52,CostTrack[[Vendor - Contract]:[Vendor - Contract]],$H52,CostTrack[[Holdback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52" s="504">
        <f ca="1">SUMIFS(CostTrack[[Value]:[Value]],CostTrack[[PA ID]:[PA ID]],$B52,CostTrack[[Vendor - Contract]:[Vendor - Contract]],$H52,CostTrack[[Holdback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52" s="504">
        <f ca="1">SUMIFS(CostTrack[[Value]:[Value]],CostTrack[[PA ID]:[PA ID]],$B52,CostTrack[[Vendor - Contract]:[Vendor - Contract]],$H52,CostTrack[[Holdback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52" s="504">
        <f ca="1">SUMIFS(CostTrack[[Value]:[Value]],CostTrack[[PA ID]:[PA ID]],$B52,CostTrack[[Vendor - Contract]:[Vendor - Contract]],$H52,CostTrack[[Holdback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52" s="504">
        <f ca="1">SUMIFS(CostTrack[[Value]:[Value]],CostTrack[[PA ID]:[PA ID]],$B52,CostTrack[[Vendor - Contract]:[Vendor - Contract]],$H52,CostTrack[[Holdback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52" s="504">
        <f ca="1">SUMIFS(CostTrack[[Value]:[Value]],CostTrack[[PA ID]:[PA ID]],$B52,CostTrack[[Vendor - Contract]:[Vendor - Contract]],$H52,CostTrack[[Holdback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52" s="504">
        <f ca="1">SUMIFS(CostTrack[[Value]:[Value]],CostTrack[[PA ID]:[PA ID]],$B52,CostTrack[[Vendor - Contract]:[Vendor - Contract]],$H52,CostTrack[[Holdback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52" s="504">
        <f ca="1">SUMIFS(CostTrack[[Value]:[Value]],CostTrack[[PA ID]:[PA ID]],$B52,CostTrack[[Vendor - Contract]:[Vendor - Contract]],$H52,CostTrack[[Holdback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52" s="504">
        <f ca="1">SUMIFS(CostTrack[[Value]:[Value]],CostTrack[[PA ID]:[PA ID]],$B52,CostTrack[[Vendor - Contract]:[Vendor - Contract]],$H52,CostTrack[[Holdback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52" s="504">
        <f ca="1">SUMIFS(CostTrack[[Value]:[Value]],CostTrack[[PA ID]:[PA ID]],$B52,CostTrack[[Vendor - Contract]:[Vendor - Contract]],$H52,CostTrack[[Holdback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52" s="512">
        <f t="shared" ca="1" si="35"/>
        <v>0</v>
      </c>
      <c r="AW52" s="504">
        <f ca="1">SUMIFS(CostTrack[[Value]:[Value]],CostTrack[[PA ID]:[PA ID]],$B52,CostTrack[[Vendor - Contract]:[Vendor - Contract]],$H52,CostTrack[[Holdback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52" s="504">
        <f ca="1">SUMIFS(CostTrack[[Value]:[Value]],CostTrack[[PA ID]:[PA ID]],$B52,CostTrack[[Vendor - Contract]:[Vendor - Contract]],$H52,CostTrack[[Holdback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52" s="504">
        <f ca="1">SUMIFS(CostTrack[[Value]:[Value]],CostTrack[[PA ID]:[PA ID]],$B52,CostTrack[[Vendor - Contract]:[Vendor - Contract]],$H52,CostTrack[[Holdback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52" s="504">
        <f ca="1">SUMIFS(CostTrack[[Value]:[Value]],CostTrack[[PA ID]:[PA ID]],$B52,CostTrack[[Vendor - Contract]:[Vendor - Contract]],$H52,CostTrack[[Holdback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52" s="504">
        <f ca="1">SUMIFS(CostTrack[[Value]:[Value]],CostTrack[[PA ID]:[PA ID]],$B52,CostTrack[[Vendor - Contract]:[Vendor - Contract]],$H52,CostTrack[[Holdback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52" s="504">
        <f ca="1">SUMIFS(CostTrack[[Value]:[Value]],CostTrack[[PA ID]:[PA ID]],$B52,CostTrack[[Vendor - Contract]:[Vendor - Contract]],$H52,CostTrack[[Holdback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52" s="504">
        <f ca="1">SUMIFS(CostTrack[[Value]:[Value]],CostTrack[[PA ID]:[PA ID]],$B52,CostTrack[[Vendor - Contract]:[Vendor - Contract]],$H52,CostTrack[[Holdback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52" s="504">
        <f ca="1">SUMIFS(CostTrack[[Value]:[Value]],CostTrack[[PA ID]:[PA ID]],$B52,CostTrack[[Vendor - Contract]:[Vendor - Contract]],$H52,CostTrack[[Holdback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13440.95</v>
      </c>
      <c r="BE52" s="504">
        <f ca="1">SUMIFS(CostTrack[[Value]:[Value]],CostTrack[[PA ID]:[PA ID]],$B52,CostTrack[[Vendor - Contract]:[Vendor - Contract]],$H52,CostTrack[[Holdback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52" s="504">
        <f ca="1">SUMIFS(CostTrack[[Value]:[Value]],CostTrack[[PA ID]:[PA ID]],$B52,CostTrack[[Vendor - Contract]:[Vendor - Contract]],$H52,CostTrack[[Holdback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52" s="504">
        <f ca="1">SUMIFS(CostTrack[[Value]:[Value]],CostTrack[[PA ID]:[PA ID]],$B52,CostTrack[[Vendor - Contract]:[Vendor - Contract]],$H52,CostTrack[[Holdback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52" s="504">
        <f ca="1">SUMIFS(CostTrack[[Value]:[Value]],CostTrack[[PA ID]:[PA ID]],$B52,CostTrack[[Vendor - Contract]:[Vendor - Contract]],$H52,CostTrack[[Holdback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52" s="512">
        <f t="shared" ca="1" si="36"/>
        <v>13440.95</v>
      </c>
      <c r="BK52" s="504">
        <f ca="1">SUMIFS(CostTrack[[Value]:[Value]],CostTrack[[PA ID]:[PA ID]],$B52,CostTrack[[Vendor - Contract]:[Vendor - Contract]],$H52,CostTrack[[Holdback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52" s="504">
        <f ca="1">SUMIFS(CostTrack[[Value]:[Value]],CostTrack[[PA ID]:[PA ID]],$B52,CostTrack[[Vendor - Contract]:[Vendor - Contract]],$H52,CostTrack[[Holdback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52" s="504">
        <f ca="1">SUMIFS(CostTrack[[Value]:[Value]],CostTrack[[PA ID]:[PA ID]],$B52,CostTrack[[Vendor - Contract]:[Vendor - Contract]],$H52,CostTrack[[Holdback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52" s="504">
        <f ca="1">SUMIFS(CostTrack[[Value]:[Value]],CostTrack[[PA ID]:[PA ID]],$B52,CostTrack[[Vendor - Contract]:[Vendor - Contract]],$H52,CostTrack[[Holdback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52" s="504">
        <f ca="1">SUMIFS(CostTrack[[Value]:[Value]],CostTrack[[PA ID]:[PA ID]],$B52,CostTrack[[Vendor - Contract]:[Vendor - Contract]],$H52,CostTrack[[Holdback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52" s="504">
        <f ca="1">SUMIFS(CostTrack[[Value]:[Value]],CostTrack[[PA ID]:[PA ID]],$B52,CostTrack[[Vendor - Contract]:[Vendor - Contract]],$H52,CostTrack[[Holdback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52" s="504">
        <f ca="1">SUMIFS(CostTrack[[Value]:[Value]],CostTrack[[PA ID]:[PA ID]],$B52,CostTrack[[Vendor - Contract]:[Vendor - Contract]],$H52,CostTrack[[Holdback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52" s="504">
        <f ca="1">SUMIFS(CostTrack[[Value]:[Value]],CostTrack[[PA ID]:[PA ID]],$B52,CostTrack[[Vendor - Contract]:[Vendor - Contract]],$H52,CostTrack[[Holdback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52" s="504">
        <f ca="1">SUMIFS(CostTrack[[Value]:[Value]],CostTrack[[PA ID]:[PA ID]],$B52,CostTrack[[Vendor - Contract]:[Vendor - Contract]],$H52,CostTrack[[Holdback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52" s="504">
        <f ca="1">SUMIFS(CostTrack[[Value]:[Value]],CostTrack[[PA ID]:[PA ID]],$B52,CostTrack[[Vendor - Contract]:[Vendor - Contract]],$H52,CostTrack[[Holdback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52" s="504">
        <f ca="1">SUMIFS(CostTrack[[Value]:[Value]],CostTrack[[PA ID]:[PA ID]],$B52,CostTrack[[Vendor - Contract]:[Vendor - Contract]],$H52,CostTrack[[Holdback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52" s="504">
        <f ca="1">SUMIFS(CostTrack[[Value]:[Value]],CostTrack[[PA ID]:[PA ID]],$B52,CostTrack[[Vendor - Contract]:[Vendor - Contract]],$H52,CostTrack[[Holdback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52" s="512">
        <f t="shared" ca="1" si="37"/>
        <v>0</v>
      </c>
      <c r="BY52" s="504">
        <f ca="1">SUMIFS(CostTrack[[Value]:[Value]],CostTrack[[PA ID]:[PA ID]],$B52,CostTrack[[Vendor - Contract]:[Vendor - Contract]],$H52,CostTrack[[Holdback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52" s="504">
        <f ca="1">SUMIFS(CostTrack[[Value]:[Value]],CostTrack[[PA ID]:[PA ID]],$B52,CostTrack[[Vendor - Contract]:[Vendor - Contract]],$H52,CostTrack[[Holdback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52" s="504">
        <f ca="1">SUMIFS(CostTrack[[Value]:[Value]],CostTrack[[PA ID]:[PA ID]],$B52,CostTrack[[Vendor - Contract]:[Vendor - Contract]],$H52,CostTrack[[Holdback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52" s="504">
        <f ca="1">SUMIFS(CostTrack[[Value]:[Value]],CostTrack[[PA ID]:[PA ID]],$B52,CostTrack[[Vendor - Contract]:[Vendor - Contract]],$H52,CostTrack[[Holdback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52" s="504">
        <f ca="1">SUMIFS(CostTrack[[Value]:[Value]],CostTrack[[PA ID]:[PA ID]],$B52,CostTrack[[Vendor - Contract]:[Vendor - Contract]],$H52,CostTrack[[Holdback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52" s="504">
        <f ca="1">SUMIFS(CostTrack[[Value]:[Value]],CostTrack[[PA ID]:[PA ID]],$B52,CostTrack[[Vendor - Contract]:[Vendor - Contract]],$H52,CostTrack[[Holdback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52" s="504">
        <f ca="1">SUMIFS(CostTrack[[Value]:[Value]],CostTrack[[PA ID]:[PA ID]],$B52,CostTrack[[Vendor - Contract]:[Vendor - Contract]],$H52,CostTrack[[Holdback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52" s="504">
        <f ca="1">SUMIFS(CostTrack[[Value]:[Value]],CostTrack[[PA ID]:[PA ID]],$B52,CostTrack[[Vendor - Contract]:[Vendor - Contract]],$H52,CostTrack[[Holdback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52" s="504">
        <f ca="1">SUMIFS(CostTrack[[Value]:[Value]],CostTrack[[PA ID]:[PA ID]],$B52,CostTrack[[Vendor - Contract]:[Vendor - Contract]],$H52,CostTrack[[Holdback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52" s="504">
        <f ca="1">SUMIFS(CostTrack[[Value]:[Value]],CostTrack[[PA ID]:[PA ID]],$B52,CostTrack[[Vendor - Contract]:[Vendor - Contract]],$H52,CostTrack[[Holdback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52" s="504">
        <f ca="1">SUMIFS(CostTrack[[Value]:[Value]],CostTrack[[PA ID]:[PA ID]],$B52,CostTrack[[Vendor - Contract]:[Vendor - Contract]],$H52,CostTrack[[Holdback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52" s="504">
        <f ca="1">SUMIFS(CostTrack[[Value]:[Value]],CostTrack[[PA ID]:[PA ID]],$B52,CostTrack[[Vendor - Contract]:[Vendor - Contract]],$H52,CostTrack[[Holdback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52" s="512">
        <f t="shared" ca="1" si="38"/>
        <v>0</v>
      </c>
      <c r="CM52" s="504">
        <f ca="1">SUMIFS(CostTrack[[Value]:[Value]],CostTrack[[PA ID]:[PA ID]],$B52,CostTrack[[Vendor - Contract]:[Vendor - Contract]],$H52,CostTrack[[Holdback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52" s="504">
        <f ca="1">SUMIFS(CostTrack[[Value]:[Value]],CostTrack[[PA ID]:[PA ID]],$B52,CostTrack[[Vendor - Contract]:[Vendor - Contract]],$H52,CostTrack[[Holdback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52" s="504">
        <f ca="1">SUMIFS(CostTrack[[Value]:[Value]],CostTrack[[PA ID]:[PA ID]],$B52,CostTrack[[Vendor - Contract]:[Vendor - Contract]],$H52,CostTrack[[Holdback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52" s="504">
        <f ca="1">SUMIFS(CostTrack[[Value]:[Value]],CostTrack[[PA ID]:[PA ID]],$B52,CostTrack[[Vendor - Contract]:[Vendor - Contract]],$H52,CostTrack[[Holdback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52" s="504">
        <f ca="1">SUMIFS(CostTrack[[Value]:[Value]],CostTrack[[PA ID]:[PA ID]],$B52,CostTrack[[Vendor - Contract]:[Vendor - Contract]],$H52,CostTrack[[Holdback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52" s="504">
        <f ca="1">SUMIFS(CostTrack[[Value]:[Value]],CostTrack[[PA ID]:[PA ID]],$B52,CostTrack[[Vendor - Contract]:[Vendor - Contract]],$H52,CostTrack[[Holdback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52" s="504">
        <f ca="1">SUMIFS(CostTrack[[Value]:[Value]],CostTrack[[PA ID]:[PA ID]],$B52,CostTrack[[Vendor - Contract]:[Vendor - Contract]],$H52,CostTrack[[Holdback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52" s="504">
        <f ca="1">SUMIFS(CostTrack[[Value]:[Value]],CostTrack[[PA ID]:[PA ID]],$B52,CostTrack[[Vendor - Contract]:[Vendor - Contract]],$H52,CostTrack[[Holdback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52" s="504">
        <f ca="1">SUMIFS(CostTrack[[Value]:[Value]],CostTrack[[PA ID]:[PA ID]],$B52,CostTrack[[Vendor - Contract]:[Vendor - Contract]],$H52,CostTrack[[Holdback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52" s="504">
        <f ca="1">SUMIFS(CostTrack[[Value]:[Value]],CostTrack[[PA ID]:[PA ID]],$B52,CostTrack[[Vendor - Contract]:[Vendor - Contract]],$H52,CostTrack[[Holdback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52" s="504">
        <f ca="1">SUMIFS(CostTrack[[Value]:[Value]],CostTrack[[PA ID]:[PA ID]],$B52,CostTrack[[Vendor - Contract]:[Vendor - Contract]],$H52,CostTrack[[Holdback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52" s="504">
        <f ca="1">SUMIFS(CostTrack[[Value]:[Value]],CostTrack[[PA ID]:[PA ID]],$B52,CostTrack[[Vendor - Contract]:[Vendor - Contract]],$H52,CostTrack[[Holdback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52" s="512">
        <f t="shared" ca="1" si="39"/>
        <v>0</v>
      </c>
      <c r="DA52" s="504">
        <f ca="1">SUMIFS(CostTrack[[Value]:[Value]],CostTrack[[PA ID]:[PA ID]],$B52,CostTrack[[Vendor - Contract]:[Vendor - Contract]],$H52,CostTrack[[Holdback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52" s="504">
        <f ca="1">SUMIFS(CostTrack[[Value]:[Value]],CostTrack[[PA ID]:[PA ID]],$B52,CostTrack[[Vendor - Contract]:[Vendor - Contract]],$H52,CostTrack[[Holdback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52" s="504">
        <f ca="1">SUMIFS(CostTrack[[Value]:[Value]],CostTrack[[PA ID]:[PA ID]],$B52,CostTrack[[Vendor - Contract]:[Vendor - Contract]],$H52,CostTrack[[Holdback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52" s="504">
        <f ca="1">SUMIFS(CostTrack[[Value]:[Value]],CostTrack[[PA ID]:[PA ID]],$B52,CostTrack[[Vendor - Contract]:[Vendor - Contract]],$H52,CostTrack[[Holdback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52" s="504">
        <f ca="1">SUMIFS(CostTrack[[Value]:[Value]],CostTrack[[PA ID]:[PA ID]],$B52,CostTrack[[Vendor - Contract]:[Vendor - Contract]],$H52,CostTrack[[Holdback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52" s="504">
        <f ca="1">SUMIFS(CostTrack[[Value]:[Value]],CostTrack[[PA ID]:[PA ID]],$B52,CostTrack[[Vendor - Contract]:[Vendor - Contract]],$H52,CostTrack[[Holdback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52" s="504">
        <f ca="1">SUMIFS(CostTrack[[Value]:[Value]],CostTrack[[PA ID]:[PA ID]],$B52,CostTrack[[Vendor - Contract]:[Vendor - Contract]],$H52,CostTrack[[Holdback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52" s="504">
        <f ca="1">SUMIFS(CostTrack[[Value]:[Value]],CostTrack[[PA ID]:[PA ID]],$B52,CostTrack[[Vendor - Contract]:[Vendor - Contract]],$H52,CostTrack[[Holdback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52" s="504">
        <f ca="1">SUMIFS(CostTrack[[Value]:[Value]],CostTrack[[PA ID]:[PA ID]],$B52,CostTrack[[Vendor - Contract]:[Vendor - Contract]],$H52,CostTrack[[Holdback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52" s="504">
        <f ca="1">SUMIFS(CostTrack[[Value]:[Value]],CostTrack[[PA ID]:[PA ID]],$B52,CostTrack[[Vendor - Contract]:[Vendor - Contract]],$H52,CostTrack[[Holdback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52" s="504">
        <f ca="1">SUMIFS(CostTrack[[Value]:[Value]],CostTrack[[PA ID]:[PA ID]],$B52,CostTrack[[Vendor - Contract]:[Vendor - Contract]],$H52,CostTrack[[Holdback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52" s="504">
        <f ca="1">SUMIFS(CostTrack[[Value]:[Value]],CostTrack[[PA ID]:[PA ID]],$B52,CostTrack[[Vendor - Contract]:[Vendor - Contract]],$H52,CostTrack[[Holdback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52" s="512">
        <f t="shared" ca="1" si="40"/>
        <v>0</v>
      </c>
      <c r="DO52" s="504">
        <f ca="1">SUMIFS(CostTrack[[Value]:[Value]],CostTrack[[PA ID]:[PA ID]],$B52,CostTrack[[Vendor - Contract]:[Vendor - Contract]],$H52,CostTrack[[Holdback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52" s="504">
        <f ca="1">SUMIFS(CostTrack[[Value]:[Value]],CostTrack[[PA ID]:[PA ID]],$B52,CostTrack[[Vendor - Contract]:[Vendor - Contract]],$H52,CostTrack[[Holdback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52" s="504">
        <f ca="1">SUMIFS(CostTrack[[Value]:[Value]],CostTrack[[PA ID]:[PA ID]],$B52,CostTrack[[Vendor - Contract]:[Vendor - Contract]],$H52,CostTrack[[Holdback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52" s="504">
        <f ca="1">SUMIFS(CostTrack[[Value]:[Value]],CostTrack[[PA ID]:[PA ID]],$B52,CostTrack[[Vendor - Contract]:[Vendor - Contract]],$H52,CostTrack[[Holdback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52" s="504">
        <f ca="1">SUMIFS(CostTrack[[Value]:[Value]],CostTrack[[PA ID]:[PA ID]],$B52,CostTrack[[Vendor - Contract]:[Vendor - Contract]],$H52,CostTrack[[Holdback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52" s="504">
        <f ca="1">SUMIFS(CostTrack[[Value]:[Value]],CostTrack[[PA ID]:[PA ID]],$B52,CostTrack[[Vendor - Contract]:[Vendor - Contract]],$H52,CostTrack[[Holdback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52" s="504">
        <f ca="1">SUMIFS(CostTrack[[Value]:[Value]],CostTrack[[PA ID]:[PA ID]],$B52,CostTrack[[Vendor - Contract]:[Vendor - Contract]],$H52,CostTrack[[Holdback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52" s="504">
        <f ca="1">SUMIFS(CostTrack[[Value]:[Value]],CostTrack[[PA ID]:[PA ID]],$B52,CostTrack[[Vendor - Contract]:[Vendor - Contract]],$H52,CostTrack[[Holdback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52" s="504">
        <f ca="1">SUMIFS(CostTrack[[Value]:[Value]],CostTrack[[PA ID]:[PA ID]],$B52,CostTrack[[Vendor - Contract]:[Vendor - Contract]],$H52,CostTrack[[Holdback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52" s="504">
        <f ca="1">SUMIFS(CostTrack[[Value]:[Value]],CostTrack[[PA ID]:[PA ID]],$B52,CostTrack[[Vendor - Contract]:[Vendor - Contract]],$H52,CostTrack[[Holdback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52" s="504">
        <f ca="1">SUMIFS(CostTrack[[Value]:[Value]],CostTrack[[PA ID]:[PA ID]],$B52,CostTrack[[Vendor - Contract]:[Vendor - Contract]],$H52,CostTrack[[Holdback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52" s="504">
        <f ca="1">SUMIFS(CostTrack[[Value]:[Value]],CostTrack[[PA ID]:[PA ID]],$B52,CostTrack[[Vendor - Contract]:[Vendor - Contract]],$H52,CostTrack[[Holdback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52" s="512">
        <f t="shared" ca="1" si="41"/>
        <v>0</v>
      </c>
      <c r="EC52" s="504">
        <f ca="1">SUMIFS(CostTrack[[Value]:[Value]],CostTrack[[PA ID]:[PA ID]],$B52,CostTrack[[Vendor - Contract]:[Vendor - Contract]],$H52,CostTrack[[Holdback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52" s="505"/>
      <c r="EE52" s="505"/>
      <c r="EF52" s="505"/>
      <c r="EG52" s="505"/>
      <c r="EH52" s="505"/>
      <c r="EI52" s="505"/>
      <c r="EJ52" s="505"/>
      <c r="EK52" s="505"/>
      <c r="EL52" s="505"/>
      <c r="EM52" s="505"/>
      <c r="EN52" s="505"/>
      <c r="EO52" s="512">
        <f t="shared" ca="1" si="42"/>
        <v>0</v>
      </c>
      <c r="EQ52" s="505"/>
      <c r="ER52" s="505"/>
      <c r="ES52" s="505"/>
      <c r="ET52" s="505"/>
      <c r="EU52" s="505"/>
      <c r="EV52" s="505"/>
      <c r="EW52" s="505"/>
      <c r="EX52" s="505"/>
      <c r="EY52" s="505"/>
      <c r="EZ52" s="505"/>
      <c r="FA52" s="505"/>
      <c r="FB52" s="505"/>
      <c r="FC52" s="512">
        <f t="shared" si="43"/>
        <v>0</v>
      </c>
      <c r="FE52" s="505"/>
      <c r="FF52" s="505"/>
      <c r="FG52" s="505"/>
      <c r="FH52" s="505"/>
      <c r="FI52" s="505"/>
      <c r="FJ52" s="505"/>
      <c r="FK52" s="505"/>
      <c r="FL52" s="505"/>
      <c r="FM52" s="505"/>
      <c r="FN52" s="505"/>
      <c r="FO52" s="505"/>
      <c r="FP52" s="505"/>
      <c r="FQ52" s="512">
        <f t="shared" si="44"/>
        <v>0</v>
      </c>
      <c r="FS52" s="504">
        <f t="shared" ca="1" si="45"/>
        <v>13440.95</v>
      </c>
    </row>
    <row r="53" spans="1:175">
      <c r="A53" s="216">
        <v>46</v>
      </c>
      <c r="B53" s="219" t="str">
        <f ca="1">INDEX(EAC[PA ID],MATCH($A53,EAC[Row],0))</f>
        <v>100.050.F1</v>
      </c>
      <c r="C53" s="218" t="str">
        <f ca="1">INDEX(EAC[Primary Category],MATCH($A53,EAC[Row],0))</f>
        <v>Administration</v>
      </c>
      <c r="D53" s="218" t="str">
        <f ca="1">INDEX(EAC[Secondary Category],MATCH($A53,EAC[Row],0))</f>
        <v>Other Administration</v>
      </c>
      <c r="E53" s="109" t="str">
        <f ca="1">INDEX(EAC[Phase / Subproject],MATCH($A53,EAC[Row],0))</f>
        <v>--</v>
      </c>
      <c r="F53" s="109" t="str">
        <f ca="1">INDEX(EAC[Phase / Subproject 2],MATCH($A53,EAC[Row],0))</f>
        <v>--</v>
      </c>
      <c r="G53" s="109" t="str">
        <f ca="1">INDEX(EAC[Funding Source],MATCH($A53,EAC[Row],0))</f>
        <v>P-002360</v>
      </c>
      <c r="H53" s="146" t="str">
        <f ca="1">INDEX(EAC[Vendor / Org. with Contract ID],MATCH($A53,EAC[Row],0))</f>
        <v>Travel Expenses-John-Direct Pay</v>
      </c>
      <c r="I53" s="502">
        <f ca="1">INDEX(EAC[Estimate At Completion],MATCH($A53,EAC[Row],0))</f>
        <v>5342</v>
      </c>
      <c r="J53" s="502">
        <f ca="1">SUMIFS(CostTrack[Value],CostTrack[Vendor - Contract],$H53,CostTrack[PA ID],$B53,CostTrack[Holdback (Y/N/R)],"&lt;&gt;Release",CostTrack[Status],"Approved")</f>
        <v>5328.67</v>
      </c>
      <c r="K53" s="503">
        <f t="shared" ca="1" si="14"/>
        <v>13.329999999999927</v>
      </c>
      <c r="M53" s="504">
        <f t="shared" ca="1" si="15"/>
        <v>0</v>
      </c>
      <c r="O53" s="504">
        <f t="shared" ca="1" si="31"/>
        <v>5328.67</v>
      </c>
      <c r="P53" s="504">
        <f t="array" aca="1" ref="P53" ca="1">SUM($U53:$FQ53*_xlfn.ISFORMULA($U53:$FQ53)*ISNUMBER($U$7:$FQ$7)*--(INDEX($U$6:$FQ$6,N(IF({1},COLUMN($U$6:$FQ$6)-COLUMN($T$6)))-MOD(N(IF({1},COLUMN($U$6:$FQ$6)-COLUMN($U$6))),14))="Current Fiscal"))</f>
        <v>0</v>
      </c>
      <c r="Q53" s="504">
        <f t="array" aca="1" ref="Q53" ca="1">SUM($U53:$FQ53*NOT(_xlfn.ISFORMULA($U53:$FQ53))*ISNUMBER($U$7:$FQ$7)*--(INDEX($U$6:$FQ$6,N(IF({1},COLUMN($U$6:$FQ$6)-COLUMN($T$6)))-MOD(N(IF({1},COLUMN($U$6:$FQ$6)-COLUMN($U$6))),14))="Current Fiscal"))</f>
        <v>13.33</v>
      </c>
      <c r="R53" s="504">
        <f t="shared" ca="1" si="32"/>
        <v>13.33</v>
      </c>
      <c r="S53" s="504">
        <f t="shared" ca="1" si="33"/>
        <v>0</v>
      </c>
      <c r="U53" s="504">
        <f ca="1">SUMIFS(CostTrack[[Value]:[Value]],CostTrack[[PA ID]:[PA ID]],$B53,CostTrack[[Vendor - Contract]:[Vendor - Contract]],$H53,CostTrack[[Holdback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53" s="504">
        <f ca="1">SUMIFS(CostTrack[[Value]:[Value]],CostTrack[[PA ID]:[PA ID]],$B53,CostTrack[[Vendor - Contract]:[Vendor - Contract]],$H53,CostTrack[[Holdback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53" s="504">
        <f ca="1">SUMIFS(CostTrack[[Value]:[Value]],CostTrack[[PA ID]:[PA ID]],$B53,CostTrack[[Vendor - Contract]:[Vendor - Contract]],$H53,CostTrack[[Holdback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53" s="504">
        <f ca="1">SUMIFS(CostTrack[[Value]:[Value]],CostTrack[[PA ID]:[PA ID]],$B53,CostTrack[[Vendor - Contract]:[Vendor - Contract]],$H53,CostTrack[[Holdback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53" s="504">
        <f ca="1">SUMIFS(CostTrack[[Value]:[Value]],CostTrack[[PA ID]:[PA ID]],$B53,CostTrack[[Vendor - Contract]:[Vendor - Contract]],$H53,CostTrack[[Holdback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53" s="504">
        <f ca="1">SUMIFS(CostTrack[[Value]:[Value]],CostTrack[[PA ID]:[PA ID]],$B53,CostTrack[[Vendor - Contract]:[Vendor - Contract]],$H53,CostTrack[[Holdback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53" s="504">
        <f ca="1">SUMIFS(CostTrack[[Value]:[Value]],CostTrack[[PA ID]:[PA ID]],$B53,CostTrack[[Vendor - Contract]:[Vendor - Contract]],$H53,CostTrack[[Holdback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53" s="504">
        <f ca="1">SUMIFS(CostTrack[[Value]:[Value]],CostTrack[[PA ID]:[PA ID]],$B53,CostTrack[[Vendor - Contract]:[Vendor - Contract]],$H53,CostTrack[[Holdback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53" s="504">
        <f ca="1">SUMIFS(CostTrack[[Value]:[Value]],CostTrack[[PA ID]:[PA ID]],$B53,CostTrack[[Vendor - Contract]:[Vendor - Contract]],$H53,CostTrack[[Holdback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53" s="504">
        <f ca="1">SUMIFS(CostTrack[[Value]:[Value]],CostTrack[[PA ID]:[PA ID]],$B53,CostTrack[[Vendor - Contract]:[Vendor - Contract]],$H53,CostTrack[[Holdback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53" s="504">
        <f ca="1">SUMIFS(CostTrack[[Value]:[Value]],CostTrack[[PA ID]:[PA ID]],$B53,CostTrack[[Vendor - Contract]:[Vendor - Contract]],$H53,CostTrack[[Holdback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53" s="504">
        <f ca="1">SUMIFS(CostTrack[[Value]:[Value]],CostTrack[[PA ID]:[PA ID]],$B53,CostTrack[[Vendor - Contract]:[Vendor - Contract]],$H53,CostTrack[[Holdback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53" s="506">
        <f t="shared" ca="1" si="34"/>
        <v>0</v>
      </c>
      <c r="AI53" s="504">
        <f ca="1">SUMIFS(CostTrack[[Value]:[Value]],CostTrack[[PA ID]:[PA ID]],$B53,CostTrack[[Vendor - Contract]:[Vendor - Contract]],$H53,CostTrack[[Holdback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53" s="504">
        <f ca="1">SUMIFS(CostTrack[[Value]:[Value]],CostTrack[[PA ID]:[PA ID]],$B53,CostTrack[[Vendor - Contract]:[Vendor - Contract]],$H53,CostTrack[[Holdback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53" s="504">
        <f ca="1">SUMIFS(CostTrack[[Value]:[Value]],CostTrack[[PA ID]:[PA ID]],$B53,CostTrack[[Vendor - Contract]:[Vendor - Contract]],$H53,CostTrack[[Holdback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53" s="504">
        <f ca="1">SUMIFS(CostTrack[[Value]:[Value]],CostTrack[[PA ID]:[PA ID]],$B53,CostTrack[[Vendor - Contract]:[Vendor - Contract]],$H53,CostTrack[[Holdback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53" s="504">
        <f ca="1">SUMIFS(CostTrack[[Value]:[Value]],CostTrack[[PA ID]:[PA ID]],$B53,CostTrack[[Vendor - Contract]:[Vendor - Contract]],$H53,CostTrack[[Holdback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53" s="504">
        <f ca="1">SUMIFS(CostTrack[[Value]:[Value]],CostTrack[[PA ID]:[PA ID]],$B53,CostTrack[[Vendor - Contract]:[Vendor - Contract]],$H53,CostTrack[[Holdback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53" s="504">
        <f ca="1">SUMIFS(CostTrack[[Value]:[Value]],CostTrack[[PA ID]:[PA ID]],$B53,CostTrack[[Vendor - Contract]:[Vendor - Contract]],$H53,CostTrack[[Holdback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53" s="504">
        <f ca="1">SUMIFS(CostTrack[[Value]:[Value]],CostTrack[[PA ID]:[PA ID]],$B53,CostTrack[[Vendor - Contract]:[Vendor - Contract]],$H53,CostTrack[[Holdback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53" s="504">
        <f ca="1">SUMIFS(CostTrack[[Value]:[Value]],CostTrack[[PA ID]:[PA ID]],$B53,CostTrack[[Vendor - Contract]:[Vendor - Contract]],$H53,CostTrack[[Holdback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53" s="504">
        <f ca="1">SUMIFS(CostTrack[[Value]:[Value]],CostTrack[[PA ID]:[PA ID]],$B53,CostTrack[[Vendor - Contract]:[Vendor - Contract]],$H53,CostTrack[[Holdback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53" s="504">
        <f ca="1">SUMIFS(CostTrack[[Value]:[Value]],CostTrack[[PA ID]:[PA ID]],$B53,CostTrack[[Vendor - Contract]:[Vendor - Contract]],$H53,CostTrack[[Holdback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53" s="504">
        <f ca="1">SUMIFS(CostTrack[[Value]:[Value]],CostTrack[[PA ID]:[PA ID]],$B53,CostTrack[[Vendor - Contract]:[Vendor - Contract]],$H53,CostTrack[[Holdback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53" s="512">
        <f t="shared" ca="1" si="35"/>
        <v>0</v>
      </c>
      <c r="AW53" s="504">
        <f ca="1">SUMIFS(CostTrack[[Value]:[Value]],CostTrack[[PA ID]:[PA ID]],$B53,CostTrack[[Vendor - Contract]:[Vendor - Contract]],$H53,CostTrack[[Holdback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503.71</v>
      </c>
      <c r="AX53" s="504">
        <f ca="1">SUMIFS(CostTrack[[Value]:[Value]],CostTrack[[PA ID]:[PA ID]],$B53,CostTrack[[Vendor - Contract]:[Vendor - Contract]],$H53,CostTrack[[Holdback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196.60999999999999</v>
      </c>
      <c r="AY53" s="504">
        <f ca="1">SUMIFS(CostTrack[[Value]:[Value]],CostTrack[[PA ID]:[PA ID]],$B53,CostTrack[[Vendor - Contract]:[Vendor - Contract]],$H53,CostTrack[[Holdback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167.51000000000002</v>
      </c>
      <c r="AZ53" s="504">
        <f ca="1">SUMIFS(CostTrack[[Value]:[Value]],CostTrack[[PA ID]:[PA ID]],$B53,CostTrack[[Vendor - Contract]:[Vendor - Contract]],$H53,CostTrack[[Holdback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53" s="504">
        <f ca="1">SUMIFS(CostTrack[[Value]:[Value]],CostTrack[[PA ID]:[PA ID]],$B53,CostTrack[[Vendor - Contract]:[Vendor - Contract]],$H53,CostTrack[[Holdback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53" s="504">
        <f ca="1">SUMIFS(CostTrack[[Value]:[Value]],CostTrack[[PA ID]:[PA ID]],$B53,CostTrack[[Vendor - Contract]:[Vendor - Contract]],$H53,CostTrack[[Holdback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53" s="504">
        <f ca="1">SUMIFS(CostTrack[[Value]:[Value]],CostTrack[[PA ID]:[PA ID]],$B53,CostTrack[[Vendor - Contract]:[Vendor - Contract]],$H53,CostTrack[[Holdback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306.67</v>
      </c>
      <c r="BD53" s="504">
        <f ca="1">SUMIFS(CostTrack[[Value]:[Value]],CostTrack[[PA ID]:[PA ID]],$B53,CostTrack[[Vendor - Contract]:[Vendor - Contract]],$H53,CostTrack[[Holdback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53" s="504">
        <f ca="1">SUMIFS(CostTrack[[Value]:[Value]],CostTrack[[PA ID]:[PA ID]],$B53,CostTrack[[Vendor - Contract]:[Vendor - Contract]],$H53,CostTrack[[Holdback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53" s="504">
        <f ca="1">SUMIFS(CostTrack[[Value]:[Value]],CostTrack[[PA ID]:[PA ID]],$B53,CostTrack[[Vendor - Contract]:[Vendor - Contract]],$H53,CostTrack[[Holdback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53" s="504">
        <f ca="1">SUMIFS(CostTrack[[Value]:[Value]],CostTrack[[PA ID]:[PA ID]],$B53,CostTrack[[Vendor - Contract]:[Vendor - Contract]],$H53,CostTrack[[Holdback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53" s="504">
        <f ca="1">SUMIFS(CostTrack[[Value]:[Value]],CostTrack[[PA ID]:[PA ID]],$B53,CostTrack[[Vendor - Contract]:[Vendor - Contract]],$H53,CostTrack[[Holdback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129.36000000000001</v>
      </c>
      <c r="BI53" s="512">
        <f t="shared" ca="1" si="36"/>
        <v>1303.8600000000001</v>
      </c>
      <c r="BK53" s="504">
        <f ca="1">SUMIFS(CostTrack[[Value]:[Value]],CostTrack[[PA ID]:[PA ID]],$B53,CostTrack[[Vendor - Contract]:[Vendor - Contract]],$H53,CostTrack[[Holdback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53" s="504">
        <f ca="1">SUMIFS(CostTrack[[Value]:[Value]],CostTrack[[PA ID]:[PA ID]],$B53,CostTrack[[Vendor - Contract]:[Vendor - Contract]],$H53,CostTrack[[Holdback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53" s="504">
        <f ca="1">SUMIFS(CostTrack[[Value]:[Value]],CostTrack[[PA ID]:[PA ID]],$B53,CostTrack[[Vendor - Contract]:[Vendor - Contract]],$H53,CostTrack[[Holdback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53" s="504">
        <f ca="1">SUMIFS(CostTrack[[Value]:[Value]],CostTrack[[PA ID]:[PA ID]],$B53,CostTrack[[Vendor - Contract]:[Vendor - Contract]],$H53,CostTrack[[Holdback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53" s="504">
        <f ca="1">SUMIFS(CostTrack[[Value]:[Value]],CostTrack[[PA ID]:[PA ID]],$B53,CostTrack[[Vendor - Contract]:[Vendor - Contract]],$H53,CostTrack[[Holdback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53" s="504">
        <f ca="1">SUMIFS(CostTrack[[Value]:[Value]],CostTrack[[PA ID]:[PA ID]],$B53,CostTrack[[Vendor - Contract]:[Vendor - Contract]],$H53,CostTrack[[Holdback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53" s="504">
        <f ca="1">SUMIFS(CostTrack[[Value]:[Value]],CostTrack[[PA ID]:[PA ID]],$B53,CostTrack[[Vendor - Contract]:[Vendor - Contract]],$H53,CostTrack[[Holdback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496.81</v>
      </c>
      <c r="BR53" s="504">
        <f ca="1">SUMIFS(CostTrack[[Value]:[Value]],CostTrack[[PA ID]:[PA ID]],$B53,CostTrack[[Vendor - Contract]:[Vendor - Contract]],$H53,CostTrack[[Holdback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53" s="504">
        <f ca="1">SUMIFS(CostTrack[[Value]:[Value]],CostTrack[[PA ID]:[PA ID]],$B53,CostTrack[[Vendor - Contract]:[Vendor - Contract]],$H53,CostTrack[[Holdback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53" s="504">
        <f ca="1">SUMIFS(CostTrack[[Value]:[Value]],CostTrack[[PA ID]:[PA ID]],$B53,CostTrack[[Vendor - Contract]:[Vendor - Contract]],$H53,CostTrack[[Holdback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53" s="504">
        <f ca="1">SUMIFS(CostTrack[[Value]:[Value]],CostTrack[[PA ID]:[PA ID]],$B53,CostTrack[[Vendor - Contract]:[Vendor - Contract]],$H53,CostTrack[[Holdback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53" s="504">
        <f ca="1">SUMIFS(CostTrack[[Value]:[Value]],CostTrack[[PA ID]:[PA ID]],$B53,CostTrack[[Vendor - Contract]:[Vendor - Contract]],$H53,CostTrack[[Holdback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18.34</v>
      </c>
      <c r="BW53" s="512">
        <f t="shared" ca="1" si="37"/>
        <v>515.15</v>
      </c>
      <c r="BY53" s="504">
        <f ca="1">SUMIFS(CostTrack[[Value]:[Value]],CostTrack[[PA ID]:[PA ID]],$B53,CostTrack[[Vendor - Contract]:[Vendor - Contract]],$H53,CostTrack[[Holdback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53" s="504">
        <f ca="1">SUMIFS(CostTrack[[Value]:[Value]],CostTrack[[PA ID]:[PA ID]],$B53,CostTrack[[Vendor - Contract]:[Vendor - Contract]],$H53,CostTrack[[Holdback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53" s="504">
        <f ca="1">SUMIFS(CostTrack[[Value]:[Value]],CostTrack[[PA ID]:[PA ID]],$B53,CostTrack[[Vendor - Contract]:[Vendor - Contract]],$H53,CostTrack[[Holdback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53" s="504">
        <f ca="1">SUMIFS(CostTrack[[Value]:[Value]],CostTrack[[PA ID]:[PA ID]],$B53,CostTrack[[Vendor - Contract]:[Vendor - Contract]],$H53,CostTrack[[Holdback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53" s="504">
        <f ca="1">SUMIFS(CostTrack[[Value]:[Value]],CostTrack[[PA ID]:[PA ID]],$B53,CostTrack[[Vendor - Contract]:[Vendor - Contract]],$H53,CostTrack[[Holdback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53" s="504">
        <f ca="1">SUMIFS(CostTrack[[Value]:[Value]],CostTrack[[PA ID]:[PA ID]],$B53,CostTrack[[Vendor - Contract]:[Vendor - Contract]],$H53,CostTrack[[Holdback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53" s="504">
        <f ca="1">SUMIFS(CostTrack[[Value]:[Value]],CostTrack[[PA ID]:[PA ID]],$B53,CostTrack[[Vendor - Contract]:[Vendor - Contract]],$H53,CostTrack[[Holdback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53" s="504">
        <f ca="1">SUMIFS(CostTrack[[Value]:[Value]],CostTrack[[PA ID]:[PA ID]],$B53,CostTrack[[Vendor - Contract]:[Vendor - Contract]],$H53,CostTrack[[Holdback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53" s="504">
        <f ca="1">SUMIFS(CostTrack[[Value]:[Value]],CostTrack[[PA ID]:[PA ID]],$B53,CostTrack[[Vendor - Contract]:[Vendor - Contract]],$H53,CostTrack[[Holdback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53" s="504">
        <f ca="1">SUMIFS(CostTrack[[Value]:[Value]],CostTrack[[PA ID]:[PA ID]],$B53,CostTrack[[Vendor - Contract]:[Vendor - Contract]],$H53,CostTrack[[Holdback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53" s="504">
        <f ca="1">SUMIFS(CostTrack[[Value]:[Value]],CostTrack[[PA ID]:[PA ID]],$B53,CostTrack[[Vendor - Contract]:[Vendor - Contract]],$H53,CostTrack[[Holdback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606.09</v>
      </c>
      <c r="CJ53" s="504">
        <f ca="1">SUMIFS(CostTrack[[Value]:[Value]],CostTrack[[PA ID]:[PA ID]],$B53,CostTrack[[Vendor - Contract]:[Vendor - Contract]],$H53,CostTrack[[Holdback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118.71000000000001</v>
      </c>
      <c r="CK53" s="512">
        <f t="shared" ca="1" si="38"/>
        <v>724.80000000000007</v>
      </c>
      <c r="CM53" s="504">
        <f ca="1">SUMIFS(CostTrack[[Value]:[Value]],CostTrack[[PA ID]:[PA ID]],$B53,CostTrack[[Vendor - Contract]:[Vendor - Contract]],$H53,CostTrack[[Holdback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53" s="504">
        <f ca="1">SUMIFS(CostTrack[[Value]:[Value]],CostTrack[[PA ID]:[PA ID]],$B53,CostTrack[[Vendor - Contract]:[Vendor - Contract]],$H53,CostTrack[[Holdback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53" s="504">
        <f ca="1">SUMIFS(CostTrack[[Value]:[Value]],CostTrack[[PA ID]:[PA ID]],$B53,CostTrack[[Vendor - Contract]:[Vendor - Contract]],$H53,CostTrack[[Holdback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53" s="504">
        <f ca="1">SUMIFS(CostTrack[[Value]:[Value]],CostTrack[[PA ID]:[PA ID]],$B53,CostTrack[[Vendor - Contract]:[Vendor - Contract]],$H53,CostTrack[[Holdback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53" s="504">
        <f ca="1">SUMIFS(CostTrack[[Value]:[Value]],CostTrack[[PA ID]:[PA ID]],$B53,CostTrack[[Vendor - Contract]:[Vendor - Contract]],$H53,CostTrack[[Holdback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53" s="504">
        <f ca="1">SUMIFS(CostTrack[[Value]:[Value]],CostTrack[[PA ID]:[PA ID]],$B53,CostTrack[[Vendor - Contract]:[Vendor - Contract]],$H53,CostTrack[[Holdback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53" s="504">
        <f ca="1">SUMIFS(CostTrack[[Value]:[Value]],CostTrack[[PA ID]:[PA ID]],$B53,CostTrack[[Vendor - Contract]:[Vendor - Contract]],$H53,CostTrack[[Holdback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53" s="504">
        <f ca="1">SUMIFS(CostTrack[[Value]:[Value]],CostTrack[[PA ID]:[PA ID]],$B53,CostTrack[[Vendor - Contract]:[Vendor - Contract]],$H53,CostTrack[[Holdback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53" s="504">
        <f ca="1">SUMIFS(CostTrack[[Value]:[Value]],CostTrack[[PA ID]:[PA ID]],$B53,CostTrack[[Vendor - Contract]:[Vendor - Contract]],$H53,CostTrack[[Holdback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53" s="504">
        <f ca="1">SUMIFS(CostTrack[[Value]:[Value]],CostTrack[[PA ID]:[PA ID]],$B53,CostTrack[[Vendor - Contract]:[Vendor - Contract]],$H53,CostTrack[[Holdback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53" s="504">
        <f ca="1">SUMIFS(CostTrack[[Value]:[Value]],CostTrack[[PA ID]:[PA ID]],$B53,CostTrack[[Vendor - Contract]:[Vendor - Contract]],$H53,CostTrack[[Holdback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53" s="504">
        <f ca="1">SUMIFS(CostTrack[[Value]:[Value]],CostTrack[[PA ID]:[PA ID]],$B53,CostTrack[[Vendor - Contract]:[Vendor - Contract]],$H53,CostTrack[[Holdback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1169.6499999999999</v>
      </c>
      <c r="CY53" s="512">
        <f t="shared" ca="1" si="39"/>
        <v>1169.6499999999999</v>
      </c>
      <c r="DA53" s="504">
        <f ca="1">SUMIFS(CostTrack[[Value]:[Value]],CostTrack[[PA ID]:[PA ID]],$B53,CostTrack[[Vendor - Contract]:[Vendor - Contract]],$H53,CostTrack[[Holdback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53" s="504">
        <f ca="1">SUMIFS(CostTrack[[Value]:[Value]],CostTrack[[PA ID]:[PA ID]],$B53,CostTrack[[Vendor - Contract]:[Vendor - Contract]],$H53,CostTrack[[Holdback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53" s="504">
        <f ca="1">SUMIFS(CostTrack[[Value]:[Value]],CostTrack[[PA ID]:[PA ID]],$B53,CostTrack[[Vendor - Contract]:[Vendor - Contract]],$H53,CostTrack[[Holdback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53" s="504">
        <f ca="1">SUMIFS(CostTrack[[Value]:[Value]],CostTrack[[PA ID]:[PA ID]],$B53,CostTrack[[Vendor - Contract]:[Vendor - Contract]],$H53,CostTrack[[Holdback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53" s="504">
        <f ca="1">SUMIFS(CostTrack[[Value]:[Value]],CostTrack[[PA ID]:[PA ID]],$B53,CostTrack[[Vendor - Contract]:[Vendor - Contract]],$H53,CostTrack[[Holdback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53" s="504">
        <f ca="1">SUMIFS(CostTrack[[Value]:[Value]],CostTrack[[PA ID]:[PA ID]],$B53,CostTrack[[Vendor - Contract]:[Vendor - Contract]],$H53,CostTrack[[Holdback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53" s="504">
        <f ca="1">SUMIFS(CostTrack[[Value]:[Value]],CostTrack[[PA ID]:[PA ID]],$B53,CostTrack[[Vendor - Contract]:[Vendor - Contract]],$H53,CostTrack[[Holdback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53" s="504">
        <f ca="1">SUMIFS(CostTrack[[Value]:[Value]],CostTrack[[PA ID]:[PA ID]],$B53,CostTrack[[Vendor - Contract]:[Vendor - Contract]],$H53,CostTrack[[Holdback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39.619999999999997</v>
      </c>
      <c r="DI53" s="504">
        <f ca="1">SUMIFS(CostTrack[[Value]:[Value]],CostTrack[[PA ID]:[PA ID]],$B53,CostTrack[[Vendor - Contract]:[Vendor - Contract]],$H53,CostTrack[[Holdback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53" s="504">
        <f ca="1">SUMIFS(CostTrack[[Value]:[Value]],CostTrack[[PA ID]:[PA ID]],$B53,CostTrack[[Vendor - Contract]:[Vendor - Contract]],$H53,CostTrack[[Holdback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53" s="504">
        <f ca="1">SUMIFS(CostTrack[[Value]:[Value]],CostTrack[[PA ID]:[PA ID]],$B53,CostTrack[[Vendor - Contract]:[Vendor - Contract]],$H53,CostTrack[[Holdback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53" s="504">
        <f ca="1">SUMIFS(CostTrack[[Value]:[Value]],CostTrack[[PA ID]:[PA ID]],$B53,CostTrack[[Vendor - Contract]:[Vendor - Contract]],$H53,CostTrack[[Holdback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1356.83</v>
      </c>
      <c r="DM53" s="512">
        <f t="shared" ca="1" si="40"/>
        <v>1396.4499999999998</v>
      </c>
      <c r="DO53" s="504">
        <f ca="1">SUMIFS(CostTrack[[Value]:[Value]],CostTrack[[PA ID]:[PA ID]],$B53,CostTrack[[Vendor - Contract]:[Vendor - Contract]],$H53,CostTrack[[Holdback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66.52</v>
      </c>
      <c r="DP53" s="504">
        <f ca="1">SUMIFS(CostTrack[[Value]:[Value]],CostTrack[[PA ID]:[PA ID]],$B53,CostTrack[[Vendor - Contract]:[Vendor - Contract]],$H53,CostTrack[[Holdback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53" s="504">
        <f ca="1">SUMIFS(CostTrack[[Value]:[Value]],CostTrack[[PA ID]:[PA ID]],$B53,CostTrack[[Vendor - Contract]:[Vendor - Contract]],$H53,CostTrack[[Holdback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53" s="504">
        <f ca="1">SUMIFS(CostTrack[[Value]:[Value]],CostTrack[[PA ID]:[PA ID]],$B53,CostTrack[[Vendor - Contract]:[Vendor - Contract]],$H53,CostTrack[[Holdback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53" s="504">
        <f ca="1">SUMIFS(CostTrack[[Value]:[Value]],CostTrack[[PA ID]:[PA ID]],$B53,CostTrack[[Vendor - Contract]:[Vendor - Contract]],$H53,CostTrack[[Holdback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53" s="504">
        <f ca="1">SUMIFS(CostTrack[[Value]:[Value]],CostTrack[[PA ID]:[PA ID]],$B53,CostTrack[[Vendor - Contract]:[Vendor - Contract]],$H53,CostTrack[[Holdback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53" s="504">
        <f ca="1">SUMIFS(CostTrack[[Value]:[Value]],CostTrack[[PA ID]:[PA ID]],$B53,CostTrack[[Vendor - Contract]:[Vendor - Contract]],$H53,CostTrack[[Holdback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53" s="504">
        <f ca="1">SUMIFS(CostTrack[[Value]:[Value]],CostTrack[[PA ID]:[PA ID]],$B53,CostTrack[[Vendor - Contract]:[Vendor - Contract]],$H53,CostTrack[[Holdback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53" s="504">
        <f ca="1">SUMIFS(CostTrack[[Value]:[Value]],CostTrack[[PA ID]:[PA ID]],$B53,CostTrack[[Vendor - Contract]:[Vendor - Contract]],$H53,CostTrack[[Holdback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53" s="504">
        <f ca="1">SUMIFS(CostTrack[[Value]:[Value]],CostTrack[[PA ID]:[PA ID]],$B53,CostTrack[[Vendor - Contract]:[Vendor - Contract]],$H53,CostTrack[[Holdback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53" s="504">
        <f ca="1">SUMIFS(CostTrack[[Value]:[Value]],CostTrack[[PA ID]:[PA ID]],$B53,CostTrack[[Vendor - Contract]:[Vendor - Contract]],$H53,CostTrack[[Holdback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53" s="504">
        <f ca="1">SUMIFS(CostTrack[[Value]:[Value]],CostTrack[[PA ID]:[PA ID]],$B53,CostTrack[[Vendor - Contract]:[Vendor - Contract]],$H53,CostTrack[[Holdback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152.24</v>
      </c>
      <c r="EA53" s="512">
        <f t="shared" ca="1" si="41"/>
        <v>218.76</v>
      </c>
      <c r="EC53" s="504">
        <f ca="1">SUMIFS(CostTrack[[Value]:[Value]],CostTrack[[PA ID]:[PA ID]],$B53,CostTrack[[Vendor - Contract]:[Vendor - Contract]],$H53,CostTrack[[Holdback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53" s="505"/>
      <c r="EE53" s="505"/>
      <c r="EF53" s="505"/>
      <c r="EG53" s="505"/>
      <c r="EH53" s="505"/>
      <c r="EI53" s="505"/>
      <c r="EJ53" s="505"/>
      <c r="EK53" s="505"/>
      <c r="EL53" s="505"/>
      <c r="EM53" s="505"/>
      <c r="EN53" s="505">
        <v>13.33</v>
      </c>
      <c r="EO53" s="512">
        <f t="shared" ca="1" si="42"/>
        <v>13.33</v>
      </c>
      <c r="EQ53" s="505"/>
      <c r="ER53" s="505"/>
      <c r="ES53" s="505"/>
      <c r="ET53" s="505"/>
      <c r="EU53" s="505"/>
      <c r="EV53" s="505"/>
      <c r="EW53" s="505"/>
      <c r="EX53" s="505"/>
      <c r="EY53" s="505"/>
      <c r="EZ53" s="505"/>
      <c r="FA53" s="505"/>
      <c r="FB53" s="505"/>
      <c r="FC53" s="512">
        <f t="shared" si="43"/>
        <v>0</v>
      </c>
      <c r="FE53" s="505"/>
      <c r="FF53" s="505"/>
      <c r="FG53" s="505"/>
      <c r="FH53" s="505"/>
      <c r="FI53" s="505"/>
      <c r="FJ53" s="505"/>
      <c r="FK53" s="505"/>
      <c r="FL53" s="505"/>
      <c r="FM53" s="505"/>
      <c r="FN53" s="505"/>
      <c r="FO53" s="505"/>
      <c r="FP53" s="505"/>
      <c r="FQ53" s="512">
        <f t="shared" si="44"/>
        <v>0</v>
      </c>
      <c r="FS53" s="504">
        <f t="shared" ca="1" si="45"/>
        <v>5342</v>
      </c>
    </row>
    <row r="54" spans="1:175">
      <c r="A54" s="216">
        <v>47</v>
      </c>
      <c r="B54" s="219" t="str">
        <f ca="1">INDEX(EAC[PA ID],MATCH($A54,EAC[Row],0))</f>
        <v>100.050.F1</v>
      </c>
      <c r="C54" s="218" t="str">
        <f ca="1">INDEX(EAC[Primary Category],MATCH($A54,EAC[Row],0))</f>
        <v>Administration</v>
      </c>
      <c r="D54" s="218" t="str">
        <f ca="1">INDEX(EAC[Secondary Category],MATCH($A54,EAC[Row],0))</f>
        <v>Other Administration</v>
      </c>
      <c r="E54" s="109" t="str">
        <f ca="1">INDEX(EAC[Phase / Subproject],MATCH($A54,EAC[Row],0))</f>
        <v>--</v>
      </c>
      <c r="F54" s="109" t="str">
        <f ca="1">INDEX(EAC[Phase / Subproject 2],MATCH($A54,EAC[Row],0))</f>
        <v>--</v>
      </c>
      <c r="G54" s="109" t="str">
        <f ca="1">INDEX(EAC[Funding Source],MATCH($A54,EAC[Row],0))</f>
        <v>P-002360</v>
      </c>
      <c r="H54" s="146" t="str">
        <f ca="1">INDEX(EAC[Vendor / Org. with Contract ID],MATCH($A54,EAC[Row],0))</f>
        <v>Travel Expenses-Malchuk-Direct Pay</v>
      </c>
      <c r="I54" s="502">
        <f ca="1">INDEX(EAC[Estimate At Completion],MATCH($A54,EAC[Row],0))</f>
        <v>1050</v>
      </c>
      <c r="J54" s="502">
        <f ca="1">SUMIFS(CostTrack[Value],CostTrack[Vendor - Contract],$H54,CostTrack[PA ID],$B54,CostTrack[Holdback (Y/N/R)],"&lt;&gt;Release",CostTrack[Status],"Approved")</f>
        <v>1017.7500000000001</v>
      </c>
      <c r="K54" s="503">
        <f t="shared" ca="1" si="14"/>
        <v>32.249999999999886</v>
      </c>
      <c r="M54" s="504">
        <f t="shared" ca="1" si="15"/>
        <v>0</v>
      </c>
      <c r="O54" s="504">
        <f t="shared" ca="1" si="31"/>
        <v>1017.7500000000001</v>
      </c>
      <c r="P54" s="504">
        <f t="array" aca="1" ref="P54" ca="1">SUM($U54:$FQ54*_xlfn.ISFORMULA($U54:$FQ54)*ISNUMBER($U$7:$FQ$7)*--(INDEX($U$6:$FQ$6,N(IF({1},COLUMN($U$6:$FQ$6)-COLUMN($T$6)))-MOD(N(IF({1},COLUMN($U$6:$FQ$6)-COLUMN($U$6))),14))="Current Fiscal"))</f>
        <v>0</v>
      </c>
      <c r="Q54" s="504">
        <f t="array" aca="1" ref="Q54" ca="1">SUM($U54:$FQ54*NOT(_xlfn.ISFORMULA($U54:$FQ54))*ISNUMBER($U$7:$FQ$7)*--(INDEX($U$6:$FQ$6,N(IF({1},COLUMN($U$6:$FQ$6)-COLUMN($T$6)))-MOD(N(IF({1},COLUMN($U$6:$FQ$6)-COLUMN($U$6))),14))="Current Fiscal"))</f>
        <v>32.25</v>
      </c>
      <c r="R54" s="504">
        <f t="shared" ca="1" si="32"/>
        <v>32.25</v>
      </c>
      <c r="S54" s="504">
        <f t="shared" ca="1" si="33"/>
        <v>0</v>
      </c>
      <c r="U54" s="504">
        <f ca="1">SUMIFS(CostTrack[[Value]:[Value]],CostTrack[[PA ID]:[PA ID]],$B54,CostTrack[[Vendor - Contract]:[Vendor - Contract]],$H54,CostTrack[[Holdback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54" s="504">
        <f ca="1">SUMIFS(CostTrack[[Value]:[Value]],CostTrack[[PA ID]:[PA ID]],$B54,CostTrack[[Vendor - Contract]:[Vendor - Contract]],$H54,CostTrack[[Holdback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54" s="504">
        <f ca="1">SUMIFS(CostTrack[[Value]:[Value]],CostTrack[[PA ID]:[PA ID]],$B54,CostTrack[[Vendor - Contract]:[Vendor - Contract]],$H54,CostTrack[[Holdback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54" s="504">
        <f ca="1">SUMIFS(CostTrack[[Value]:[Value]],CostTrack[[PA ID]:[PA ID]],$B54,CostTrack[[Vendor - Contract]:[Vendor - Contract]],$H54,CostTrack[[Holdback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54" s="504">
        <f ca="1">SUMIFS(CostTrack[[Value]:[Value]],CostTrack[[PA ID]:[PA ID]],$B54,CostTrack[[Vendor - Contract]:[Vendor - Contract]],$H54,CostTrack[[Holdback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54" s="504">
        <f ca="1">SUMIFS(CostTrack[[Value]:[Value]],CostTrack[[PA ID]:[PA ID]],$B54,CostTrack[[Vendor - Contract]:[Vendor - Contract]],$H54,CostTrack[[Holdback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54" s="504">
        <f ca="1">SUMIFS(CostTrack[[Value]:[Value]],CostTrack[[PA ID]:[PA ID]],$B54,CostTrack[[Vendor - Contract]:[Vendor - Contract]],$H54,CostTrack[[Holdback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54" s="504">
        <f ca="1">SUMIFS(CostTrack[[Value]:[Value]],CostTrack[[PA ID]:[PA ID]],$B54,CostTrack[[Vendor - Contract]:[Vendor - Contract]],$H54,CostTrack[[Holdback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54" s="504">
        <f ca="1">SUMIFS(CostTrack[[Value]:[Value]],CostTrack[[PA ID]:[PA ID]],$B54,CostTrack[[Vendor - Contract]:[Vendor - Contract]],$H54,CostTrack[[Holdback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54" s="504">
        <f ca="1">SUMIFS(CostTrack[[Value]:[Value]],CostTrack[[PA ID]:[PA ID]],$B54,CostTrack[[Vendor - Contract]:[Vendor - Contract]],$H54,CostTrack[[Holdback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54" s="504">
        <f ca="1">SUMIFS(CostTrack[[Value]:[Value]],CostTrack[[PA ID]:[PA ID]],$B54,CostTrack[[Vendor - Contract]:[Vendor - Contract]],$H54,CostTrack[[Holdback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54" s="504">
        <f ca="1">SUMIFS(CostTrack[[Value]:[Value]],CostTrack[[PA ID]:[PA ID]],$B54,CostTrack[[Vendor - Contract]:[Vendor - Contract]],$H54,CostTrack[[Holdback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54" s="506">
        <f t="shared" ca="1" si="34"/>
        <v>0</v>
      </c>
      <c r="AI54" s="504">
        <f ca="1">SUMIFS(CostTrack[[Value]:[Value]],CostTrack[[PA ID]:[PA ID]],$B54,CostTrack[[Vendor - Contract]:[Vendor - Contract]],$H54,CostTrack[[Holdback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54" s="504">
        <f ca="1">SUMIFS(CostTrack[[Value]:[Value]],CostTrack[[PA ID]:[PA ID]],$B54,CostTrack[[Vendor - Contract]:[Vendor - Contract]],$H54,CostTrack[[Holdback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54" s="504">
        <f ca="1">SUMIFS(CostTrack[[Value]:[Value]],CostTrack[[PA ID]:[PA ID]],$B54,CostTrack[[Vendor - Contract]:[Vendor - Contract]],$H54,CostTrack[[Holdback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54" s="504">
        <f ca="1">SUMIFS(CostTrack[[Value]:[Value]],CostTrack[[PA ID]:[PA ID]],$B54,CostTrack[[Vendor - Contract]:[Vendor - Contract]],$H54,CostTrack[[Holdback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54" s="504">
        <f ca="1">SUMIFS(CostTrack[[Value]:[Value]],CostTrack[[PA ID]:[PA ID]],$B54,CostTrack[[Vendor - Contract]:[Vendor - Contract]],$H54,CostTrack[[Holdback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54" s="504">
        <f ca="1">SUMIFS(CostTrack[[Value]:[Value]],CostTrack[[PA ID]:[PA ID]],$B54,CostTrack[[Vendor - Contract]:[Vendor - Contract]],$H54,CostTrack[[Holdback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54" s="504">
        <f ca="1">SUMIFS(CostTrack[[Value]:[Value]],CostTrack[[PA ID]:[PA ID]],$B54,CostTrack[[Vendor - Contract]:[Vendor - Contract]],$H54,CostTrack[[Holdback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54" s="504">
        <f ca="1">SUMIFS(CostTrack[[Value]:[Value]],CostTrack[[PA ID]:[PA ID]],$B54,CostTrack[[Vendor - Contract]:[Vendor - Contract]],$H54,CostTrack[[Holdback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54" s="504">
        <f ca="1">SUMIFS(CostTrack[[Value]:[Value]],CostTrack[[PA ID]:[PA ID]],$B54,CostTrack[[Vendor - Contract]:[Vendor - Contract]],$H54,CostTrack[[Holdback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54" s="504">
        <f ca="1">SUMIFS(CostTrack[[Value]:[Value]],CostTrack[[PA ID]:[PA ID]],$B54,CostTrack[[Vendor - Contract]:[Vendor - Contract]],$H54,CostTrack[[Holdback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54" s="504">
        <f ca="1">SUMIFS(CostTrack[[Value]:[Value]],CostTrack[[PA ID]:[PA ID]],$B54,CostTrack[[Vendor - Contract]:[Vendor - Contract]],$H54,CostTrack[[Holdback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54" s="504">
        <f ca="1">SUMIFS(CostTrack[[Value]:[Value]],CostTrack[[PA ID]:[PA ID]],$B54,CostTrack[[Vendor - Contract]:[Vendor - Contract]],$H54,CostTrack[[Holdback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54" s="512">
        <f t="shared" ca="1" si="35"/>
        <v>0</v>
      </c>
      <c r="AW54" s="504">
        <f ca="1">SUMIFS(CostTrack[[Value]:[Value]],CostTrack[[PA ID]:[PA ID]],$B54,CostTrack[[Vendor - Contract]:[Vendor - Contract]],$H54,CostTrack[[Holdback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348.69</v>
      </c>
      <c r="AX54" s="504">
        <f ca="1">SUMIFS(CostTrack[[Value]:[Value]],CostTrack[[PA ID]:[PA ID]],$B54,CostTrack[[Vendor - Contract]:[Vendor - Contract]],$H54,CostTrack[[Holdback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54" s="504">
        <f ca="1">SUMIFS(CostTrack[[Value]:[Value]],CostTrack[[PA ID]:[PA ID]],$B54,CostTrack[[Vendor - Contract]:[Vendor - Contract]],$H54,CostTrack[[Holdback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54" s="504">
        <f ca="1">SUMIFS(CostTrack[[Value]:[Value]],CostTrack[[PA ID]:[PA ID]],$B54,CostTrack[[Vendor - Contract]:[Vendor - Contract]],$H54,CostTrack[[Holdback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54" s="504">
        <f ca="1">SUMIFS(CostTrack[[Value]:[Value]],CostTrack[[PA ID]:[PA ID]],$B54,CostTrack[[Vendor - Contract]:[Vendor - Contract]],$H54,CostTrack[[Holdback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54" s="504">
        <f ca="1">SUMIFS(CostTrack[[Value]:[Value]],CostTrack[[PA ID]:[PA ID]],$B54,CostTrack[[Vendor - Contract]:[Vendor - Contract]],$H54,CostTrack[[Holdback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54" s="504">
        <f ca="1">SUMIFS(CostTrack[[Value]:[Value]],CostTrack[[PA ID]:[PA ID]],$B54,CostTrack[[Vendor - Contract]:[Vendor - Contract]],$H54,CostTrack[[Holdback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54" s="504">
        <f ca="1">SUMIFS(CostTrack[[Value]:[Value]],CostTrack[[PA ID]:[PA ID]],$B54,CostTrack[[Vendor - Contract]:[Vendor - Contract]],$H54,CostTrack[[Holdback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54" s="504">
        <f ca="1">SUMIFS(CostTrack[[Value]:[Value]],CostTrack[[PA ID]:[PA ID]],$B54,CostTrack[[Vendor - Contract]:[Vendor - Contract]],$H54,CostTrack[[Holdback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54" s="504">
        <f ca="1">SUMIFS(CostTrack[[Value]:[Value]],CostTrack[[PA ID]:[PA ID]],$B54,CostTrack[[Vendor - Contract]:[Vendor - Contract]],$H54,CostTrack[[Holdback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528.20000000000005</v>
      </c>
      <c r="BG54" s="504">
        <f ca="1">SUMIFS(CostTrack[[Value]:[Value]],CostTrack[[PA ID]:[PA ID]],$B54,CostTrack[[Vendor - Contract]:[Vendor - Contract]],$H54,CostTrack[[Holdback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54" s="504">
        <f ca="1">SUMIFS(CostTrack[[Value]:[Value]],CostTrack[[PA ID]:[PA ID]],$B54,CostTrack[[Vendor - Contract]:[Vendor - Contract]],$H54,CostTrack[[Holdback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54" s="512">
        <f t="shared" ca="1" si="36"/>
        <v>876.8900000000001</v>
      </c>
      <c r="BK54" s="504">
        <f ca="1">SUMIFS(CostTrack[[Value]:[Value]],CostTrack[[PA ID]:[PA ID]],$B54,CostTrack[[Vendor - Contract]:[Vendor - Contract]],$H54,CostTrack[[Holdback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54" s="504">
        <f ca="1">SUMIFS(CostTrack[[Value]:[Value]],CostTrack[[PA ID]:[PA ID]],$B54,CostTrack[[Vendor - Contract]:[Vendor - Contract]],$H54,CostTrack[[Holdback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54" s="504">
        <f ca="1">SUMIFS(CostTrack[[Value]:[Value]],CostTrack[[PA ID]:[PA ID]],$B54,CostTrack[[Vendor - Contract]:[Vendor - Contract]],$H54,CostTrack[[Holdback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54" s="504">
        <f ca="1">SUMIFS(CostTrack[[Value]:[Value]],CostTrack[[PA ID]:[PA ID]],$B54,CostTrack[[Vendor - Contract]:[Vendor - Contract]],$H54,CostTrack[[Holdback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54" s="504">
        <f ca="1">SUMIFS(CostTrack[[Value]:[Value]],CostTrack[[PA ID]:[PA ID]],$B54,CostTrack[[Vendor - Contract]:[Vendor - Contract]],$H54,CostTrack[[Holdback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54" s="504">
        <f ca="1">SUMIFS(CostTrack[[Value]:[Value]],CostTrack[[PA ID]:[PA ID]],$B54,CostTrack[[Vendor - Contract]:[Vendor - Contract]],$H54,CostTrack[[Holdback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54" s="504">
        <f ca="1">SUMIFS(CostTrack[[Value]:[Value]],CostTrack[[PA ID]:[PA ID]],$B54,CostTrack[[Vendor - Contract]:[Vendor - Contract]],$H54,CostTrack[[Holdback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54" s="504">
        <f ca="1">SUMIFS(CostTrack[[Value]:[Value]],CostTrack[[PA ID]:[PA ID]],$B54,CostTrack[[Vendor - Contract]:[Vendor - Contract]],$H54,CostTrack[[Holdback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54" s="504">
        <f ca="1">SUMIFS(CostTrack[[Value]:[Value]],CostTrack[[PA ID]:[PA ID]],$B54,CostTrack[[Vendor - Contract]:[Vendor - Contract]],$H54,CostTrack[[Holdback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54" s="504">
        <f ca="1">SUMIFS(CostTrack[[Value]:[Value]],CostTrack[[PA ID]:[PA ID]],$B54,CostTrack[[Vendor - Contract]:[Vendor - Contract]],$H54,CostTrack[[Holdback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54" s="504">
        <f ca="1">SUMIFS(CostTrack[[Value]:[Value]],CostTrack[[PA ID]:[PA ID]],$B54,CostTrack[[Vendor - Contract]:[Vendor - Contract]],$H54,CostTrack[[Holdback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54" s="504">
        <f ca="1">SUMIFS(CostTrack[[Value]:[Value]],CostTrack[[PA ID]:[PA ID]],$B54,CostTrack[[Vendor - Contract]:[Vendor - Contract]],$H54,CostTrack[[Holdback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54" s="512">
        <f t="shared" ca="1" si="37"/>
        <v>0</v>
      </c>
      <c r="BY54" s="504">
        <f ca="1">SUMIFS(CostTrack[[Value]:[Value]],CostTrack[[PA ID]:[PA ID]],$B54,CostTrack[[Vendor - Contract]:[Vendor - Contract]],$H54,CostTrack[[Holdback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54" s="504">
        <f ca="1">SUMIFS(CostTrack[[Value]:[Value]],CostTrack[[PA ID]:[PA ID]],$B54,CostTrack[[Vendor - Contract]:[Vendor - Contract]],$H54,CostTrack[[Holdback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54" s="504">
        <f ca="1">SUMIFS(CostTrack[[Value]:[Value]],CostTrack[[PA ID]:[PA ID]],$B54,CostTrack[[Vendor - Contract]:[Vendor - Contract]],$H54,CostTrack[[Holdback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54" s="504">
        <f ca="1">SUMIFS(CostTrack[[Value]:[Value]],CostTrack[[PA ID]:[PA ID]],$B54,CostTrack[[Vendor - Contract]:[Vendor - Contract]],$H54,CostTrack[[Holdback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54" s="504">
        <f ca="1">SUMIFS(CostTrack[[Value]:[Value]],CostTrack[[PA ID]:[PA ID]],$B54,CostTrack[[Vendor - Contract]:[Vendor - Contract]],$H54,CostTrack[[Holdback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54" s="504">
        <f ca="1">SUMIFS(CostTrack[[Value]:[Value]],CostTrack[[PA ID]:[PA ID]],$B54,CostTrack[[Vendor - Contract]:[Vendor - Contract]],$H54,CostTrack[[Holdback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54" s="504">
        <f ca="1">SUMIFS(CostTrack[[Value]:[Value]],CostTrack[[PA ID]:[PA ID]],$B54,CostTrack[[Vendor - Contract]:[Vendor - Contract]],$H54,CostTrack[[Holdback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54" s="504">
        <f ca="1">SUMIFS(CostTrack[[Value]:[Value]],CostTrack[[PA ID]:[PA ID]],$B54,CostTrack[[Vendor - Contract]:[Vendor - Contract]],$H54,CostTrack[[Holdback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54" s="504">
        <f ca="1">SUMIFS(CostTrack[[Value]:[Value]],CostTrack[[PA ID]:[PA ID]],$B54,CostTrack[[Vendor - Contract]:[Vendor - Contract]],$H54,CostTrack[[Holdback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54" s="504">
        <f ca="1">SUMIFS(CostTrack[[Value]:[Value]],CostTrack[[PA ID]:[PA ID]],$B54,CostTrack[[Vendor - Contract]:[Vendor - Contract]],$H54,CostTrack[[Holdback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54" s="504">
        <f ca="1">SUMIFS(CostTrack[[Value]:[Value]],CostTrack[[PA ID]:[PA ID]],$B54,CostTrack[[Vendor - Contract]:[Vendor - Contract]],$H54,CostTrack[[Holdback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54" s="504">
        <f ca="1">SUMIFS(CostTrack[[Value]:[Value]],CostTrack[[PA ID]:[PA ID]],$B54,CostTrack[[Vendor - Contract]:[Vendor - Contract]],$H54,CostTrack[[Holdback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54" s="512">
        <f t="shared" ca="1" si="38"/>
        <v>0</v>
      </c>
      <c r="CM54" s="504">
        <f ca="1">SUMIFS(CostTrack[[Value]:[Value]],CostTrack[[PA ID]:[PA ID]],$B54,CostTrack[[Vendor - Contract]:[Vendor - Contract]],$H54,CostTrack[[Holdback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54" s="504">
        <f ca="1">SUMIFS(CostTrack[[Value]:[Value]],CostTrack[[PA ID]:[PA ID]],$B54,CostTrack[[Vendor - Contract]:[Vendor - Contract]],$H54,CostTrack[[Holdback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54" s="504">
        <f ca="1">SUMIFS(CostTrack[[Value]:[Value]],CostTrack[[PA ID]:[PA ID]],$B54,CostTrack[[Vendor - Contract]:[Vendor - Contract]],$H54,CostTrack[[Holdback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54" s="504">
        <f ca="1">SUMIFS(CostTrack[[Value]:[Value]],CostTrack[[PA ID]:[PA ID]],$B54,CostTrack[[Vendor - Contract]:[Vendor - Contract]],$H54,CostTrack[[Holdback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54" s="504">
        <f ca="1">SUMIFS(CostTrack[[Value]:[Value]],CostTrack[[PA ID]:[PA ID]],$B54,CostTrack[[Vendor - Contract]:[Vendor - Contract]],$H54,CostTrack[[Holdback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54" s="504">
        <f ca="1">SUMIFS(CostTrack[[Value]:[Value]],CostTrack[[PA ID]:[PA ID]],$B54,CostTrack[[Vendor - Contract]:[Vendor - Contract]],$H54,CostTrack[[Holdback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54" s="504">
        <f ca="1">SUMIFS(CostTrack[[Value]:[Value]],CostTrack[[PA ID]:[PA ID]],$B54,CostTrack[[Vendor - Contract]:[Vendor - Contract]],$H54,CostTrack[[Holdback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54" s="504">
        <f ca="1">SUMIFS(CostTrack[[Value]:[Value]],CostTrack[[PA ID]:[PA ID]],$B54,CostTrack[[Vendor - Contract]:[Vendor - Contract]],$H54,CostTrack[[Holdback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54" s="504">
        <f ca="1">SUMIFS(CostTrack[[Value]:[Value]],CostTrack[[PA ID]:[PA ID]],$B54,CostTrack[[Vendor - Contract]:[Vendor - Contract]],$H54,CostTrack[[Holdback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54" s="504">
        <f ca="1">SUMIFS(CostTrack[[Value]:[Value]],CostTrack[[PA ID]:[PA ID]],$B54,CostTrack[[Vendor - Contract]:[Vendor - Contract]],$H54,CostTrack[[Holdback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54" s="504">
        <f ca="1">SUMIFS(CostTrack[[Value]:[Value]],CostTrack[[PA ID]:[PA ID]],$B54,CostTrack[[Vendor - Contract]:[Vendor - Contract]],$H54,CostTrack[[Holdback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54" s="504">
        <f ca="1">SUMIFS(CostTrack[[Value]:[Value]],CostTrack[[PA ID]:[PA ID]],$B54,CostTrack[[Vendor - Contract]:[Vendor - Contract]],$H54,CostTrack[[Holdback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140.86000000000001</v>
      </c>
      <c r="CY54" s="512">
        <f t="shared" ca="1" si="39"/>
        <v>140.86000000000001</v>
      </c>
      <c r="DA54" s="504">
        <f ca="1">SUMIFS(CostTrack[[Value]:[Value]],CostTrack[[PA ID]:[PA ID]],$B54,CostTrack[[Vendor - Contract]:[Vendor - Contract]],$H54,CostTrack[[Holdback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54" s="504">
        <f ca="1">SUMIFS(CostTrack[[Value]:[Value]],CostTrack[[PA ID]:[PA ID]],$B54,CostTrack[[Vendor - Contract]:[Vendor - Contract]],$H54,CostTrack[[Holdback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54" s="504">
        <f ca="1">SUMIFS(CostTrack[[Value]:[Value]],CostTrack[[PA ID]:[PA ID]],$B54,CostTrack[[Vendor - Contract]:[Vendor - Contract]],$H54,CostTrack[[Holdback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54" s="504">
        <f ca="1">SUMIFS(CostTrack[[Value]:[Value]],CostTrack[[PA ID]:[PA ID]],$B54,CostTrack[[Vendor - Contract]:[Vendor - Contract]],$H54,CostTrack[[Holdback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54" s="504">
        <f ca="1">SUMIFS(CostTrack[[Value]:[Value]],CostTrack[[PA ID]:[PA ID]],$B54,CostTrack[[Vendor - Contract]:[Vendor - Contract]],$H54,CostTrack[[Holdback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54" s="504">
        <f ca="1">SUMIFS(CostTrack[[Value]:[Value]],CostTrack[[PA ID]:[PA ID]],$B54,CostTrack[[Vendor - Contract]:[Vendor - Contract]],$H54,CostTrack[[Holdback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54" s="504">
        <f ca="1">SUMIFS(CostTrack[[Value]:[Value]],CostTrack[[PA ID]:[PA ID]],$B54,CostTrack[[Vendor - Contract]:[Vendor - Contract]],$H54,CostTrack[[Holdback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54" s="504">
        <f ca="1">SUMIFS(CostTrack[[Value]:[Value]],CostTrack[[PA ID]:[PA ID]],$B54,CostTrack[[Vendor - Contract]:[Vendor - Contract]],$H54,CostTrack[[Holdback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54" s="504">
        <f ca="1">SUMIFS(CostTrack[[Value]:[Value]],CostTrack[[PA ID]:[PA ID]],$B54,CostTrack[[Vendor - Contract]:[Vendor - Contract]],$H54,CostTrack[[Holdback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54" s="504">
        <f ca="1">SUMIFS(CostTrack[[Value]:[Value]],CostTrack[[PA ID]:[PA ID]],$B54,CostTrack[[Vendor - Contract]:[Vendor - Contract]],$H54,CostTrack[[Holdback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54" s="504">
        <f ca="1">SUMIFS(CostTrack[[Value]:[Value]],CostTrack[[PA ID]:[PA ID]],$B54,CostTrack[[Vendor - Contract]:[Vendor - Contract]],$H54,CostTrack[[Holdback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54" s="504">
        <f ca="1">SUMIFS(CostTrack[[Value]:[Value]],CostTrack[[PA ID]:[PA ID]],$B54,CostTrack[[Vendor - Contract]:[Vendor - Contract]],$H54,CostTrack[[Holdback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54" s="512">
        <f t="shared" ca="1" si="40"/>
        <v>0</v>
      </c>
      <c r="DO54" s="504">
        <f ca="1">SUMIFS(CostTrack[[Value]:[Value]],CostTrack[[PA ID]:[PA ID]],$B54,CostTrack[[Vendor - Contract]:[Vendor - Contract]],$H54,CostTrack[[Holdback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54" s="504">
        <f ca="1">SUMIFS(CostTrack[[Value]:[Value]],CostTrack[[PA ID]:[PA ID]],$B54,CostTrack[[Vendor - Contract]:[Vendor - Contract]],$H54,CostTrack[[Holdback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54" s="504">
        <f ca="1">SUMIFS(CostTrack[[Value]:[Value]],CostTrack[[PA ID]:[PA ID]],$B54,CostTrack[[Vendor - Contract]:[Vendor - Contract]],$H54,CostTrack[[Holdback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54" s="504">
        <f ca="1">SUMIFS(CostTrack[[Value]:[Value]],CostTrack[[PA ID]:[PA ID]],$B54,CostTrack[[Vendor - Contract]:[Vendor - Contract]],$H54,CostTrack[[Holdback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54" s="504">
        <f ca="1">SUMIFS(CostTrack[[Value]:[Value]],CostTrack[[PA ID]:[PA ID]],$B54,CostTrack[[Vendor - Contract]:[Vendor - Contract]],$H54,CostTrack[[Holdback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54" s="504">
        <f ca="1">SUMIFS(CostTrack[[Value]:[Value]],CostTrack[[PA ID]:[PA ID]],$B54,CostTrack[[Vendor - Contract]:[Vendor - Contract]],$H54,CostTrack[[Holdback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54" s="504">
        <f ca="1">SUMIFS(CostTrack[[Value]:[Value]],CostTrack[[PA ID]:[PA ID]],$B54,CostTrack[[Vendor - Contract]:[Vendor - Contract]],$H54,CostTrack[[Holdback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54" s="504">
        <f ca="1">SUMIFS(CostTrack[[Value]:[Value]],CostTrack[[PA ID]:[PA ID]],$B54,CostTrack[[Vendor - Contract]:[Vendor - Contract]],$H54,CostTrack[[Holdback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54" s="504">
        <f ca="1">SUMIFS(CostTrack[[Value]:[Value]],CostTrack[[PA ID]:[PA ID]],$B54,CostTrack[[Vendor - Contract]:[Vendor - Contract]],$H54,CostTrack[[Holdback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54" s="504">
        <f ca="1">SUMIFS(CostTrack[[Value]:[Value]],CostTrack[[PA ID]:[PA ID]],$B54,CostTrack[[Vendor - Contract]:[Vendor - Contract]],$H54,CostTrack[[Holdback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54" s="504">
        <f ca="1">SUMIFS(CostTrack[[Value]:[Value]],CostTrack[[PA ID]:[PA ID]],$B54,CostTrack[[Vendor - Contract]:[Vendor - Contract]],$H54,CostTrack[[Holdback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54" s="504">
        <f ca="1">SUMIFS(CostTrack[[Value]:[Value]],CostTrack[[PA ID]:[PA ID]],$B54,CostTrack[[Vendor - Contract]:[Vendor - Contract]],$H54,CostTrack[[Holdback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54" s="512">
        <f t="shared" ca="1" si="41"/>
        <v>0</v>
      </c>
      <c r="EC54" s="504">
        <f ca="1">SUMIFS(CostTrack[[Value]:[Value]],CostTrack[[PA ID]:[PA ID]],$B54,CostTrack[[Vendor - Contract]:[Vendor - Contract]],$H54,CostTrack[[Holdback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54" s="505"/>
      <c r="EE54" s="505"/>
      <c r="EF54" s="505"/>
      <c r="EG54" s="505"/>
      <c r="EH54" s="505"/>
      <c r="EI54" s="505"/>
      <c r="EJ54" s="505"/>
      <c r="EK54" s="505"/>
      <c r="EL54" s="505"/>
      <c r="EM54" s="505"/>
      <c r="EN54" s="505">
        <v>32.25</v>
      </c>
      <c r="EO54" s="512">
        <f t="shared" ca="1" si="42"/>
        <v>32.25</v>
      </c>
      <c r="EQ54" s="505"/>
      <c r="ER54" s="505"/>
      <c r="ES54" s="505"/>
      <c r="ET54" s="505"/>
      <c r="EU54" s="505"/>
      <c r="EV54" s="505"/>
      <c r="EW54" s="505"/>
      <c r="EX54" s="505"/>
      <c r="EY54" s="505"/>
      <c r="EZ54" s="505"/>
      <c r="FA54" s="505"/>
      <c r="FB54" s="505"/>
      <c r="FC54" s="512">
        <f t="shared" si="43"/>
        <v>0</v>
      </c>
      <c r="FE54" s="505"/>
      <c r="FF54" s="505"/>
      <c r="FG54" s="505"/>
      <c r="FH54" s="505"/>
      <c r="FI54" s="505"/>
      <c r="FJ54" s="505"/>
      <c r="FK54" s="505"/>
      <c r="FL54" s="505"/>
      <c r="FM54" s="505"/>
      <c r="FN54" s="505"/>
      <c r="FO54" s="505"/>
      <c r="FP54" s="505"/>
      <c r="FQ54" s="512">
        <f t="shared" si="44"/>
        <v>0</v>
      </c>
      <c r="FS54" s="504">
        <f t="shared" ca="1" si="45"/>
        <v>1050</v>
      </c>
    </row>
    <row r="55" spans="1:175">
      <c r="A55" s="216">
        <v>48</v>
      </c>
      <c r="B55" s="219" t="str">
        <f ca="1">INDEX(EAC[PA ID],MATCH($A55,EAC[Row],0))</f>
        <v>100.050.F1</v>
      </c>
      <c r="C55" s="218" t="str">
        <f ca="1">INDEX(EAC[Primary Category],MATCH($A55,EAC[Row],0))</f>
        <v>Administration</v>
      </c>
      <c r="D55" s="218" t="str">
        <f ca="1">INDEX(EAC[Secondary Category],MATCH($A55,EAC[Row],0))</f>
        <v>Other Administration</v>
      </c>
      <c r="E55" s="109" t="str">
        <f ca="1">INDEX(EAC[Phase / Subproject],MATCH($A55,EAC[Row],0))</f>
        <v>--</v>
      </c>
      <c r="F55" s="109" t="str">
        <f ca="1">INDEX(EAC[Phase / Subproject 2],MATCH($A55,EAC[Row],0))</f>
        <v>--</v>
      </c>
      <c r="G55" s="109" t="str">
        <f ca="1">INDEX(EAC[Funding Source],MATCH($A55,EAC[Row],0))</f>
        <v>P-002360</v>
      </c>
      <c r="H55" s="146" t="str">
        <f ca="1">INDEX(EAC[Vendor / Org. with Contract ID],MATCH($A55,EAC[Row],0))</f>
        <v>Travel Expenses-Misc-Direct Pay</v>
      </c>
      <c r="I55" s="502">
        <f ca="1">INDEX(EAC[Estimate At Completion],MATCH($A55,EAC[Row],0))</f>
        <v>599.61</v>
      </c>
      <c r="J55" s="502">
        <f ca="1">SUMIFS(CostTrack[Value],CostTrack[Vendor - Contract],$H55,CostTrack[PA ID],$B55,CostTrack[Holdback (Y/N/R)],"&lt;&gt;Release",CostTrack[Status],"Approved")</f>
        <v>589.23</v>
      </c>
      <c r="K55" s="503">
        <f t="shared" ca="1" si="14"/>
        <v>10.379999999999995</v>
      </c>
      <c r="M55" s="504">
        <f t="shared" ca="1" si="15"/>
        <v>0</v>
      </c>
      <c r="O55" s="504">
        <f t="shared" ca="1" si="31"/>
        <v>589.23</v>
      </c>
      <c r="P55" s="504">
        <f t="array" aca="1" ref="P55" ca="1">SUM($U55:$FQ55*_xlfn.ISFORMULA($U55:$FQ55)*ISNUMBER($U$7:$FQ$7)*--(INDEX($U$6:$FQ$6,N(IF({1},COLUMN($U$6:$FQ$6)-COLUMN($T$6)))-MOD(N(IF({1},COLUMN($U$6:$FQ$6)-COLUMN($U$6))),14))="Current Fiscal"))</f>
        <v>0</v>
      </c>
      <c r="Q55" s="504">
        <f t="array" aca="1" ref="Q55" ca="1">SUM($U55:$FQ55*NOT(_xlfn.ISFORMULA($U55:$FQ55))*ISNUMBER($U$7:$FQ$7)*--(INDEX($U$6:$FQ$6,N(IF({1},COLUMN($U$6:$FQ$6)-COLUMN($T$6)))-MOD(N(IF({1},COLUMN($U$6:$FQ$6)-COLUMN($U$6))),14))="Current Fiscal"))</f>
        <v>10.38</v>
      </c>
      <c r="R55" s="504">
        <f t="shared" ca="1" si="32"/>
        <v>10.38</v>
      </c>
      <c r="S55" s="504">
        <f t="shared" ca="1" si="33"/>
        <v>0</v>
      </c>
      <c r="U55" s="504">
        <f ca="1">SUMIFS(CostTrack[[Value]:[Value]],CostTrack[[PA ID]:[PA ID]],$B55,CostTrack[[Vendor - Contract]:[Vendor - Contract]],$H55,CostTrack[[Holdback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55" s="504">
        <f ca="1">SUMIFS(CostTrack[[Value]:[Value]],CostTrack[[PA ID]:[PA ID]],$B55,CostTrack[[Vendor - Contract]:[Vendor - Contract]],$H55,CostTrack[[Holdback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55" s="504">
        <f ca="1">SUMIFS(CostTrack[[Value]:[Value]],CostTrack[[PA ID]:[PA ID]],$B55,CostTrack[[Vendor - Contract]:[Vendor - Contract]],$H55,CostTrack[[Holdback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55" s="504">
        <f ca="1">SUMIFS(CostTrack[[Value]:[Value]],CostTrack[[PA ID]:[PA ID]],$B55,CostTrack[[Vendor - Contract]:[Vendor - Contract]],$H55,CostTrack[[Holdback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55" s="504">
        <f ca="1">SUMIFS(CostTrack[[Value]:[Value]],CostTrack[[PA ID]:[PA ID]],$B55,CostTrack[[Vendor - Contract]:[Vendor - Contract]],$H55,CostTrack[[Holdback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55" s="504">
        <f ca="1">SUMIFS(CostTrack[[Value]:[Value]],CostTrack[[PA ID]:[PA ID]],$B55,CostTrack[[Vendor - Contract]:[Vendor - Contract]],$H55,CostTrack[[Holdback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55" s="504">
        <f ca="1">SUMIFS(CostTrack[[Value]:[Value]],CostTrack[[PA ID]:[PA ID]],$B55,CostTrack[[Vendor - Contract]:[Vendor - Contract]],$H55,CostTrack[[Holdback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55" s="504">
        <f ca="1">SUMIFS(CostTrack[[Value]:[Value]],CostTrack[[PA ID]:[PA ID]],$B55,CostTrack[[Vendor - Contract]:[Vendor - Contract]],$H55,CostTrack[[Holdback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55" s="504">
        <f ca="1">SUMIFS(CostTrack[[Value]:[Value]],CostTrack[[PA ID]:[PA ID]],$B55,CostTrack[[Vendor - Contract]:[Vendor - Contract]],$H55,CostTrack[[Holdback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55" s="504">
        <f ca="1">SUMIFS(CostTrack[[Value]:[Value]],CostTrack[[PA ID]:[PA ID]],$B55,CostTrack[[Vendor - Contract]:[Vendor - Contract]],$H55,CostTrack[[Holdback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55" s="504">
        <f ca="1">SUMIFS(CostTrack[[Value]:[Value]],CostTrack[[PA ID]:[PA ID]],$B55,CostTrack[[Vendor - Contract]:[Vendor - Contract]],$H55,CostTrack[[Holdback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55" s="504">
        <f ca="1">SUMIFS(CostTrack[[Value]:[Value]],CostTrack[[PA ID]:[PA ID]],$B55,CostTrack[[Vendor - Contract]:[Vendor - Contract]],$H55,CostTrack[[Holdback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55" s="506">
        <f t="shared" ca="1" si="34"/>
        <v>0</v>
      </c>
      <c r="AI55" s="504">
        <f ca="1">SUMIFS(CostTrack[[Value]:[Value]],CostTrack[[PA ID]:[PA ID]],$B55,CostTrack[[Vendor - Contract]:[Vendor - Contract]],$H55,CostTrack[[Holdback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55" s="504">
        <f ca="1">SUMIFS(CostTrack[[Value]:[Value]],CostTrack[[PA ID]:[PA ID]],$B55,CostTrack[[Vendor - Contract]:[Vendor - Contract]],$H55,CostTrack[[Holdback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55" s="504">
        <f ca="1">SUMIFS(CostTrack[[Value]:[Value]],CostTrack[[PA ID]:[PA ID]],$B55,CostTrack[[Vendor - Contract]:[Vendor - Contract]],$H55,CostTrack[[Holdback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55" s="504">
        <f ca="1">SUMIFS(CostTrack[[Value]:[Value]],CostTrack[[PA ID]:[PA ID]],$B55,CostTrack[[Vendor - Contract]:[Vendor - Contract]],$H55,CostTrack[[Holdback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55" s="504">
        <f ca="1">SUMIFS(CostTrack[[Value]:[Value]],CostTrack[[PA ID]:[PA ID]],$B55,CostTrack[[Vendor - Contract]:[Vendor - Contract]],$H55,CostTrack[[Holdback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55" s="504">
        <f ca="1">SUMIFS(CostTrack[[Value]:[Value]],CostTrack[[PA ID]:[PA ID]],$B55,CostTrack[[Vendor - Contract]:[Vendor - Contract]],$H55,CostTrack[[Holdback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55" s="504">
        <f ca="1">SUMIFS(CostTrack[[Value]:[Value]],CostTrack[[PA ID]:[PA ID]],$B55,CostTrack[[Vendor - Contract]:[Vendor - Contract]],$H55,CostTrack[[Holdback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55" s="504">
        <f ca="1">SUMIFS(CostTrack[[Value]:[Value]],CostTrack[[PA ID]:[PA ID]],$B55,CostTrack[[Vendor - Contract]:[Vendor - Contract]],$H55,CostTrack[[Holdback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55" s="504">
        <f ca="1">SUMIFS(CostTrack[[Value]:[Value]],CostTrack[[PA ID]:[PA ID]],$B55,CostTrack[[Vendor - Contract]:[Vendor - Contract]],$H55,CostTrack[[Holdback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55" s="504">
        <f ca="1">SUMIFS(CostTrack[[Value]:[Value]],CostTrack[[PA ID]:[PA ID]],$B55,CostTrack[[Vendor - Contract]:[Vendor - Contract]],$H55,CostTrack[[Holdback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55" s="504">
        <f ca="1">SUMIFS(CostTrack[[Value]:[Value]],CostTrack[[PA ID]:[PA ID]],$B55,CostTrack[[Vendor - Contract]:[Vendor - Contract]],$H55,CostTrack[[Holdback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55" s="504">
        <f ca="1">SUMIFS(CostTrack[[Value]:[Value]],CostTrack[[PA ID]:[PA ID]],$B55,CostTrack[[Vendor - Contract]:[Vendor - Contract]],$H55,CostTrack[[Holdback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55" s="512">
        <f t="shared" ca="1" si="35"/>
        <v>0</v>
      </c>
      <c r="AW55" s="504">
        <f ca="1">SUMIFS(CostTrack[[Value]:[Value]],CostTrack[[PA ID]:[PA ID]],$B55,CostTrack[[Vendor - Contract]:[Vendor - Contract]],$H55,CostTrack[[Holdback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55" s="504">
        <f ca="1">SUMIFS(CostTrack[[Value]:[Value]],CostTrack[[PA ID]:[PA ID]],$B55,CostTrack[[Vendor - Contract]:[Vendor - Contract]],$H55,CostTrack[[Holdback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55" s="504">
        <f ca="1">SUMIFS(CostTrack[[Value]:[Value]],CostTrack[[PA ID]:[PA ID]],$B55,CostTrack[[Vendor - Contract]:[Vendor - Contract]],$H55,CostTrack[[Holdback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55" s="504">
        <f ca="1">SUMIFS(CostTrack[[Value]:[Value]],CostTrack[[PA ID]:[PA ID]],$B55,CostTrack[[Vendor - Contract]:[Vendor - Contract]],$H55,CostTrack[[Holdback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55" s="504">
        <f ca="1">SUMIFS(CostTrack[[Value]:[Value]],CostTrack[[PA ID]:[PA ID]],$B55,CostTrack[[Vendor - Contract]:[Vendor - Contract]],$H55,CostTrack[[Holdback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55" s="504">
        <f ca="1">SUMIFS(CostTrack[[Value]:[Value]],CostTrack[[PA ID]:[PA ID]],$B55,CostTrack[[Vendor - Contract]:[Vendor - Contract]],$H55,CostTrack[[Holdback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81.61</v>
      </c>
      <c r="BC55" s="504">
        <f ca="1">SUMIFS(CostTrack[[Value]:[Value]],CostTrack[[PA ID]:[PA ID]],$B55,CostTrack[[Vendor - Contract]:[Vendor - Contract]],$H55,CostTrack[[Holdback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55" s="504">
        <f ca="1">SUMIFS(CostTrack[[Value]:[Value]],CostTrack[[PA ID]:[PA ID]],$B55,CostTrack[[Vendor - Contract]:[Vendor - Contract]],$H55,CostTrack[[Holdback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55" s="504">
        <f ca="1">SUMIFS(CostTrack[[Value]:[Value]],CostTrack[[PA ID]:[PA ID]],$B55,CostTrack[[Vendor - Contract]:[Vendor - Contract]],$H55,CostTrack[[Holdback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55" s="504">
        <f ca="1">SUMIFS(CostTrack[[Value]:[Value]],CostTrack[[PA ID]:[PA ID]],$B55,CostTrack[[Vendor - Contract]:[Vendor - Contract]],$H55,CostTrack[[Holdback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55" s="504">
        <f ca="1">SUMIFS(CostTrack[[Value]:[Value]],CostTrack[[PA ID]:[PA ID]],$B55,CostTrack[[Vendor - Contract]:[Vendor - Contract]],$H55,CostTrack[[Holdback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55" s="504">
        <f ca="1">SUMIFS(CostTrack[[Value]:[Value]],CostTrack[[PA ID]:[PA ID]],$B55,CostTrack[[Vendor - Contract]:[Vendor - Contract]],$H55,CostTrack[[Holdback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55" s="512">
        <f t="shared" ca="1" si="36"/>
        <v>81.61</v>
      </c>
      <c r="BK55" s="504">
        <f ca="1">SUMIFS(CostTrack[[Value]:[Value]],CostTrack[[PA ID]:[PA ID]],$B55,CostTrack[[Vendor - Contract]:[Vendor - Contract]],$H55,CostTrack[[Holdback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55" s="504">
        <f ca="1">SUMIFS(CostTrack[[Value]:[Value]],CostTrack[[PA ID]:[PA ID]],$B55,CostTrack[[Vendor - Contract]:[Vendor - Contract]],$H55,CostTrack[[Holdback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55" s="504">
        <f ca="1">SUMIFS(CostTrack[[Value]:[Value]],CostTrack[[PA ID]:[PA ID]],$B55,CostTrack[[Vendor - Contract]:[Vendor - Contract]],$H55,CostTrack[[Holdback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55" s="504">
        <f ca="1">SUMIFS(CostTrack[[Value]:[Value]],CostTrack[[PA ID]:[PA ID]],$B55,CostTrack[[Vendor - Contract]:[Vendor - Contract]],$H55,CostTrack[[Holdback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55" s="504">
        <f ca="1">SUMIFS(CostTrack[[Value]:[Value]],CostTrack[[PA ID]:[PA ID]],$B55,CostTrack[[Vendor - Contract]:[Vendor - Contract]],$H55,CostTrack[[Holdback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55" s="504">
        <f ca="1">SUMIFS(CostTrack[[Value]:[Value]],CostTrack[[PA ID]:[PA ID]],$B55,CostTrack[[Vendor - Contract]:[Vendor - Contract]],$H55,CostTrack[[Holdback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55" s="504">
        <f ca="1">SUMIFS(CostTrack[[Value]:[Value]],CostTrack[[PA ID]:[PA ID]],$B55,CostTrack[[Vendor - Contract]:[Vendor - Contract]],$H55,CostTrack[[Holdback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55" s="504">
        <f ca="1">SUMIFS(CostTrack[[Value]:[Value]],CostTrack[[PA ID]:[PA ID]],$B55,CostTrack[[Vendor - Contract]:[Vendor - Contract]],$H55,CostTrack[[Holdback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55" s="504">
        <f ca="1">SUMIFS(CostTrack[[Value]:[Value]],CostTrack[[PA ID]:[PA ID]],$B55,CostTrack[[Vendor - Contract]:[Vendor - Contract]],$H55,CostTrack[[Holdback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55" s="504">
        <f ca="1">SUMIFS(CostTrack[[Value]:[Value]],CostTrack[[PA ID]:[PA ID]],$B55,CostTrack[[Vendor - Contract]:[Vendor - Contract]],$H55,CostTrack[[Holdback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55" s="504">
        <f ca="1">SUMIFS(CostTrack[[Value]:[Value]],CostTrack[[PA ID]:[PA ID]],$B55,CostTrack[[Vendor - Contract]:[Vendor - Contract]],$H55,CostTrack[[Holdback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55" s="504">
        <f ca="1">SUMIFS(CostTrack[[Value]:[Value]],CostTrack[[PA ID]:[PA ID]],$B55,CostTrack[[Vendor - Contract]:[Vendor - Contract]],$H55,CostTrack[[Holdback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55" s="512">
        <f t="shared" ca="1" si="37"/>
        <v>0</v>
      </c>
      <c r="BY55" s="504">
        <f ca="1">SUMIFS(CostTrack[[Value]:[Value]],CostTrack[[PA ID]:[PA ID]],$B55,CostTrack[[Vendor - Contract]:[Vendor - Contract]],$H55,CostTrack[[Holdback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55" s="504">
        <f ca="1">SUMIFS(CostTrack[[Value]:[Value]],CostTrack[[PA ID]:[PA ID]],$B55,CostTrack[[Vendor - Contract]:[Vendor - Contract]],$H55,CostTrack[[Holdback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55" s="504">
        <f ca="1">SUMIFS(CostTrack[[Value]:[Value]],CostTrack[[PA ID]:[PA ID]],$B55,CostTrack[[Vendor - Contract]:[Vendor - Contract]],$H55,CostTrack[[Holdback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55" s="504">
        <f ca="1">SUMIFS(CostTrack[[Value]:[Value]],CostTrack[[PA ID]:[PA ID]],$B55,CostTrack[[Vendor - Contract]:[Vendor - Contract]],$H55,CostTrack[[Holdback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55" s="504">
        <f ca="1">SUMIFS(CostTrack[[Value]:[Value]],CostTrack[[PA ID]:[PA ID]],$B55,CostTrack[[Vendor - Contract]:[Vendor - Contract]],$H55,CostTrack[[Holdback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55" s="504">
        <f ca="1">SUMIFS(CostTrack[[Value]:[Value]],CostTrack[[PA ID]:[PA ID]],$B55,CostTrack[[Vendor - Contract]:[Vendor - Contract]],$H55,CostTrack[[Holdback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55" s="504">
        <f ca="1">SUMIFS(CostTrack[[Value]:[Value]],CostTrack[[PA ID]:[PA ID]],$B55,CostTrack[[Vendor - Contract]:[Vendor - Contract]],$H55,CostTrack[[Holdback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55" s="504">
        <f ca="1">SUMIFS(CostTrack[[Value]:[Value]],CostTrack[[PA ID]:[PA ID]],$B55,CostTrack[[Vendor - Contract]:[Vendor - Contract]],$H55,CostTrack[[Holdback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55" s="504">
        <f ca="1">SUMIFS(CostTrack[[Value]:[Value]],CostTrack[[PA ID]:[PA ID]],$B55,CostTrack[[Vendor - Contract]:[Vendor - Contract]],$H55,CostTrack[[Holdback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55" s="504">
        <f ca="1">SUMIFS(CostTrack[[Value]:[Value]],CostTrack[[PA ID]:[PA ID]],$B55,CostTrack[[Vendor - Contract]:[Vendor - Contract]],$H55,CostTrack[[Holdback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55" s="504">
        <f ca="1">SUMIFS(CostTrack[[Value]:[Value]],CostTrack[[PA ID]:[PA ID]],$B55,CostTrack[[Vendor - Contract]:[Vendor - Contract]],$H55,CostTrack[[Holdback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55" s="504">
        <f ca="1">SUMIFS(CostTrack[[Value]:[Value]],CostTrack[[PA ID]:[PA ID]],$B55,CostTrack[[Vendor - Contract]:[Vendor - Contract]],$H55,CostTrack[[Holdback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55" s="512">
        <f t="shared" ca="1" si="38"/>
        <v>0</v>
      </c>
      <c r="CM55" s="504">
        <f ca="1">SUMIFS(CostTrack[[Value]:[Value]],CostTrack[[PA ID]:[PA ID]],$B55,CostTrack[[Vendor - Contract]:[Vendor - Contract]],$H55,CostTrack[[Holdback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55" s="504">
        <f ca="1">SUMIFS(CostTrack[[Value]:[Value]],CostTrack[[PA ID]:[PA ID]],$B55,CostTrack[[Vendor - Contract]:[Vendor - Contract]],$H55,CostTrack[[Holdback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55" s="504">
        <f ca="1">SUMIFS(CostTrack[[Value]:[Value]],CostTrack[[PA ID]:[PA ID]],$B55,CostTrack[[Vendor - Contract]:[Vendor - Contract]],$H55,CostTrack[[Holdback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55" s="504">
        <f ca="1">SUMIFS(CostTrack[[Value]:[Value]],CostTrack[[PA ID]:[PA ID]],$B55,CostTrack[[Vendor - Contract]:[Vendor - Contract]],$H55,CostTrack[[Holdback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55" s="504">
        <f ca="1">SUMIFS(CostTrack[[Value]:[Value]],CostTrack[[PA ID]:[PA ID]],$B55,CostTrack[[Vendor - Contract]:[Vendor - Contract]],$H55,CostTrack[[Holdback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55" s="504">
        <f ca="1">SUMIFS(CostTrack[[Value]:[Value]],CostTrack[[PA ID]:[PA ID]],$B55,CostTrack[[Vendor - Contract]:[Vendor - Contract]],$H55,CostTrack[[Holdback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55" s="504">
        <f ca="1">SUMIFS(CostTrack[[Value]:[Value]],CostTrack[[PA ID]:[PA ID]],$B55,CostTrack[[Vendor - Contract]:[Vendor - Contract]],$H55,CostTrack[[Holdback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55" s="504">
        <f ca="1">SUMIFS(CostTrack[[Value]:[Value]],CostTrack[[PA ID]:[PA ID]],$B55,CostTrack[[Vendor - Contract]:[Vendor - Contract]],$H55,CostTrack[[Holdback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55" s="504">
        <f ca="1">SUMIFS(CostTrack[[Value]:[Value]],CostTrack[[PA ID]:[PA ID]],$B55,CostTrack[[Vendor - Contract]:[Vendor - Contract]],$H55,CostTrack[[Holdback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55" s="504">
        <f ca="1">SUMIFS(CostTrack[[Value]:[Value]],CostTrack[[PA ID]:[PA ID]],$B55,CostTrack[[Vendor - Contract]:[Vendor - Contract]],$H55,CostTrack[[Holdback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55" s="504">
        <f ca="1">SUMIFS(CostTrack[[Value]:[Value]],CostTrack[[PA ID]:[PA ID]],$B55,CostTrack[[Vendor - Contract]:[Vendor - Contract]],$H55,CostTrack[[Holdback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55" s="504">
        <f ca="1">SUMIFS(CostTrack[[Value]:[Value]],CostTrack[[PA ID]:[PA ID]],$B55,CostTrack[[Vendor - Contract]:[Vendor - Contract]],$H55,CostTrack[[Holdback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55" s="512">
        <f t="shared" ca="1" si="39"/>
        <v>0</v>
      </c>
      <c r="DA55" s="504">
        <f ca="1">SUMIFS(CostTrack[[Value]:[Value]],CostTrack[[PA ID]:[PA ID]],$B55,CostTrack[[Vendor - Contract]:[Vendor - Contract]],$H55,CostTrack[[Holdback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55" s="504">
        <f ca="1">SUMIFS(CostTrack[[Value]:[Value]],CostTrack[[PA ID]:[PA ID]],$B55,CostTrack[[Vendor - Contract]:[Vendor - Contract]],$H55,CostTrack[[Holdback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55" s="504">
        <f ca="1">SUMIFS(CostTrack[[Value]:[Value]],CostTrack[[PA ID]:[PA ID]],$B55,CostTrack[[Vendor - Contract]:[Vendor - Contract]],$H55,CostTrack[[Holdback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55" s="504">
        <f ca="1">SUMIFS(CostTrack[[Value]:[Value]],CostTrack[[PA ID]:[PA ID]],$B55,CostTrack[[Vendor - Contract]:[Vendor - Contract]],$H55,CostTrack[[Holdback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55" s="504">
        <f ca="1">SUMIFS(CostTrack[[Value]:[Value]],CostTrack[[PA ID]:[PA ID]],$B55,CostTrack[[Vendor - Contract]:[Vendor - Contract]],$H55,CostTrack[[Holdback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55" s="504">
        <f ca="1">SUMIFS(CostTrack[[Value]:[Value]],CostTrack[[PA ID]:[PA ID]],$B55,CostTrack[[Vendor - Contract]:[Vendor - Contract]],$H55,CostTrack[[Holdback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55" s="504">
        <f ca="1">SUMIFS(CostTrack[[Value]:[Value]],CostTrack[[PA ID]:[PA ID]],$B55,CostTrack[[Vendor - Contract]:[Vendor - Contract]],$H55,CostTrack[[Holdback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55" s="504">
        <f ca="1">SUMIFS(CostTrack[[Value]:[Value]],CostTrack[[PA ID]:[PA ID]],$B55,CostTrack[[Vendor - Contract]:[Vendor - Contract]],$H55,CostTrack[[Holdback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55" s="504">
        <f ca="1">SUMIFS(CostTrack[[Value]:[Value]],CostTrack[[PA ID]:[PA ID]],$B55,CostTrack[[Vendor - Contract]:[Vendor - Contract]],$H55,CostTrack[[Holdback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55" s="504">
        <f ca="1">SUMIFS(CostTrack[[Value]:[Value]],CostTrack[[PA ID]:[PA ID]],$B55,CostTrack[[Vendor - Contract]:[Vendor - Contract]],$H55,CostTrack[[Holdback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55" s="504">
        <f ca="1">SUMIFS(CostTrack[[Value]:[Value]],CostTrack[[PA ID]:[PA ID]],$B55,CostTrack[[Vendor - Contract]:[Vendor - Contract]],$H55,CostTrack[[Holdback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336.96</v>
      </c>
      <c r="DL55" s="504">
        <f ca="1">SUMIFS(CostTrack[[Value]:[Value]],CostTrack[[PA ID]:[PA ID]],$B55,CostTrack[[Vendor - Contract]:[Vendor - Contract]],$H55,CostTrack[[Holdback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55" s="512">
        <f t="shared" ca="1" si="40"/>
        <v>336.96</v>
      </c>
      <c r="DO55" s="504">
        <f ca="1">SUMIFS(CostTrack[[Value]:[Value]],CostTrack[[PA ID]:[PA ID]],$B55,CostTrack[[Vendor - Contract]:[Vendor - Contract]],$H55,CostTrack[[Holdback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55" s="504">
        <f ca="1">SUMIFS(CostTrack[[Value]:[Value]],CostTrack[[PA ID]:[PA ID]],$B55,CostTrack[[Vendor - Contract]:[Vendor - Contract]],$H55,CostTrack[[Holdback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55" s="504">
        <f ca="1">SUMIFS(CostTrack[[Value]:[Value]],CostTrack[[PA ID]:[PA ID]],$B55,CostTrack[[Vendor - Contract]:[Vendor - Contract]],$H55,CostTrack[[Holdback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50.71</v>
      </c>
      <c r="DR55" s="504">
        <f ca="1">SUMIFS(CostTrack[[Value]:[Value]],CostTrack[[PA ID]:[PA ID]],$B55,CostTrack[[Vendor - Contract]:[Vendor - Contract]],$H55,CostTrack[[Holdback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55" s="504">
        <f ca="1">SUMIFS(CostTrack[[Value]:[Value]],CostTrack[[PA ID]:[PA ID]],$B55,CostTrack[[Vendor - Contract]:[Vendor - Contract]],$H55,CostTrack[[Holdback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55" s="504">
        <f ca="1">SUMIFS(CostTrack[[Value]:[Value]],CostTrack[[PA ID]:[PA ID]],$B55,CostTrack[[Vendor - Contract]:[Vendor - Contract]],$H55,CostTrack[[Holdback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55" s="504">
        <f ca="1">SUMIFS(CostTrack[[Value]:[Value]],CostTrack[[PA ID]:[PA ID]],$B55,CostTrack[[Vendor - Contract]:[Vendor - Contract]],$H55,CostTrack[[Holdback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55" s="504">
        <f ca="1">SUMIFS(CostTrack[[Value]:[Value]],CostTrack[[PA ID]:[PA ID]],$B55,CostTrack[[Vendor - Contract]:[Vendor - Contract]],$H55,CostTrack[[Holdback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63.46</v>
      </c>
      <c r="DW55" s="504">
        <f ca="1">SUMIFS(CostTrack[[Value]:[Value]],CostTrack[[PA ID]:[PA ID]],$B55,CostTrack[[Vendor - Contract]:[Vendor - Contract]],$H55,CostTrack[[Holdback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55" s="504">
        <f ca="1">SUMIFS(CostTrack[[Value]:[Value]],CostTrack[[PA ID]:[PA ID]],$B55,CostTrack[[Vendor - Contract]:[Vendor - Contract]],$H55,CostTrack[[Holdback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56.49</v>
      </c>
      <c r="DY55" s="504">
        <f ca="1">SUMIFS(CostTrack[[Value]:[Value]],CostTrack[[PA ID]:[PA ID]],$B55,CostTrack[[Vendor - Contract]:[Vendor - Contract]],$H55,CostTrack[[Holdback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55" s="504">
        <f ca="1">SUMIFS(CostTrack[[Value]:[Value]],CostTrack[[PA ID]:[PA ID]],$B55,CostTrack[[Vendor - Contract]:[Vendor - Contract]],$H55,CostTrack[[Holdback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55" s="512">
        <f t="shared" ca="1" si="41"/>
        <v>170.66</v>
      </c>
      <c r="EC55" s="504">
        <f ca="1">SUMIFS(CostTrack[[Value]:[Value]],CostTrack[[PA ID]:[PA ID]],$B55,CostTrack[[Vendor - Contract]:[Vendor - Contract]],$H55,CostTrack[[Holdback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55" s="505"/>
      <c r="EE55" s="505"/>
      <c r="EF55" s="505"/>
      <c r="EG55" s="505"/>
      <c r="EH55" s="505"/>
      <c r="EI55" s="505"/>
      <c r="EJ55" s="505"/>
      <c r="EK55" s="505"/>
      <c r="EL55" s="505"/>
      <c r="EM55" s="505"/>
      <c r="EN55" s="505">
        <v>10.38</v>
      </c>
      <c r="EO55" s="512">
        <f t="shared" ca="1" si="42"/>
        <v>10.38</v>
      </c>
      <c r="EQ55" s="505"/>
      <c r="ER55" s="505"/>
      <c r="ES55" s="505"/>
      <c r="ET55" s="505"/>
      <c r="EU55" s="505"/>
      <c r="EV55" s="505"/>
      <c r="EW55" s="505"/>
      <c r="EX55" s="505"/>
      <c r="EY55" s="505"/>
      <c r="EZ55" s="505"/>
      <c r="FA55" s="505"/>
      <c r="FB55" s="505"/>
      <c r="FC55" s="512">
        <f t="shared" si="43"/>
        <v>0</v>
      </c>
      <c r="FE55" s="505"/>
      <c r="FF55" s="505"/>
      <c r="FG55" s="505"/>
      <c r="FH55" s="505"/>
      <c r="FI55" s="505"/>
      <c r="FJ55" s="505"/>
      <c r="FK55" s="505"/>
      <c r="FL55" s="505"/>
      <c r="FM55" s="505"/>
      <c r="FN55" s="505"/>
      <c r="FO55" s="505"/>
      <c r="FP55" s="505"/>
      <c r="FQ55" s="512">
        <f t="shared" si="44"/>
        <v>0</v>
      </c>
      <c r="FS55" s="504">
        <f t="shared" ca="1" si="45"/>
        <v>599.61</v>
      </c>
    </row>
    <row r="56" spans="1:175">
      <c r="A56" s="216">
        <v>49</v>
      </c>
      <c r="B56" s="219" t="str">
        <f ca="1">INDEX(EAC[PA ID],MATCH($A56,EAC[Row],0))</f>
        <v>200.050.F1</v>
      </c>
      <c r="C56" s="218" t="str">
        <f ca="1">INDEX(EAC[Primary Category],MATCH($A56,EAC[Row],0))</f>
        <v>Professional Services</v>
      </c>
      <c r="D56" s="218" t="str">
        <f ca="1">INDEX(EAC[Secondary Category],MATCH($A56,EAC[Row],0))</f>
        <v>Other Professional Services</v>
      </c>
      <c r="E56" s="109" t="str">
        <f ca="1">INDEX(EAC[Phase / Subproject],MATCH($A56,EAC[Row],0))</f>
        <v>--</v>
      </c>
      <c r="F56" s="109" t="str">
        <f ca="1">INDEX(EAC[Phase / Subproject 2],MATCH($A56,EAC[Row],0))</f>
        <v>--</v>
      </c>
      <c r="G56" s="109" t="str">
        <f ca="1">INDEX(EAC[Funding Source],MATCH($A56,EAC[Row],0))</f>
        <v>P-002360</v>
      </c>
      <c r="H56" s="146" t="str">
        <f ca="1">INDEX(EAC[Vendor / Org. with Contract ID],MATCH($A56,EAC[Row],0))</f>
        <v>Navigation Surveys Ltd. -37137</v>
      </c>
      <c r="I56" s="502">
        <f ca="1">INDEX(EAC[Estimate At Completion],MATCH($A56,EAC[Row],0))</f>
        <v>7542.5</v>
      </c>
      <c r="J56" s="502">
        <f ca="1">SUMIFS(CostTrack[Value],CostTrack[Vendor - Contract],$H56,CostTrack[PA ID],$B56,CostTrack[Holdback (Y/N/R)],"&lt;&gt;Release",CostTrack[Status],"Approved")</f>
        <v>7542.5</v>
      </c>
      <c r="K56" s="503">
        <f t="shared" ca="1" si="14"/>
        <v>0</v>
      </c>
      <c r="M56" s="504">
        <f t="shared" ca="1" si="15"/>
        <v>0</v>
      </c>
      <c r="O56" s="504">
        <f t="shared" ca="1" si="31"/>
        <v>7542.5</v>
      </c>
      <c r="P56" s="504">
        <f t="array" aca="1" ref="P56" ca="1">SUM($U56:$FQ56*_xlfn.ISFORMULA($U56:$FQ56)*ISNUMBER($U$7:$FQ$7)*--(INDEX($U$6:$FQ$6,N(IF({1},COLUMN($U$6:$FQ$6)-COLUMN($T$6)))-MOD(N(IF({1},COLUMN($U$6:$FQ$6)-COLUMN($U$6))),14))="Current Fiscal"))</f>
        <v>0</v>
      </c>
      <c r="Q56" s="504">
        <f t="array" aca="1" ref="Q56" ca="1">SUM($U56:$FQ56*NOT(_xlfn.ISFORMULA($U56:$FQ56))*ISNUMBER($U$7:$FQ$7)*--(INDEX($U$6:$FQ$6,N(IF({1},COLUMN($U$6:$FQ$6)-COLUMN($T$6)))-MOD(N(IF({1},COLUMN($U$6:$FQ$6)-COLUMN($U$6))),14))="Current Fiscal"))</f>
        <v>0</v>
      </c>
      <c r="R56" s="504">
        <f t="shared" ca="1" si="32"/>
        <v>0</v>
      </c>
      <c r="S56" s="504">
        <f t="shared" ca="1" si="33"/>
        <v>0</v>
      </c>
      <c r="U56" s="504">
        <f ca="1">SUMIFS(CostTrack[[Value]:[Value]],CostTrack[[PA ID]:[PA ID]],$B56,CostTrack[[Vendor - Contract]:[Vendor - Contract]],$H56,CostTrack[[Holdback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56" s="504">
        <f ca="1">SUMIFS(CostTrack[[Value]:[Value]],CostTrack[[PA ID]:[PA ID]],$B56,CostTrack[[Vendor - Contract]:[Vendor - Contract]],$H56,CostTrack[[Holdback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56" s="504">
        <f ca="1">SUMIFS(CostTrack[[Value]:[Value]],CostTrack[[PA ID]:[PA ID]],$B56,CostTrack[[Vendor - Contract]:[Vendor - Contract]],$H56,CostTrack[[Holdback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56" s="504">
        <f ca="1">SUMIFS(CostTrack[[Value]:[Value]],CostTrack[[PA ID]:[PA ID]],$B56,CostTrack[[Vendor - Contract]:[Vendor - Contract]],$H56,CostTrack[[Holdback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56" s="504">
        <f ca="1">SUMIFS(CostTrack[[Value]:[Value]],CostTrack[[PA ID]:[PA ID]],$B56,CostTrack[[Vendor - Contract]:[Vendor - Contract]],$H56,CostTrack[[Holdback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56" s="504">
        <f ca="1">SUMIFS(CostTrack[[Value]:[Value]],CostTrack[[PA ID]:[PA ID]],$B56,CostTrack[[Vendor - Contract]:[Vendor - Contract]],$H56,CostTrack[[Holdback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56" s="504">
        <f ca="1">SUMIFS(CostTrack[[Value]:[Value]],CostTrack[[PA ID]:[PA ID]],$B56,CostTrack[[Vendor - Contract]:[Vendor - Contract]],$H56,CostTrack[[Holdback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56" s="504">
        <f ca="1">SUMIFS(CostTrack[[Value]:[Value]],CostTrack[[PA ID]:[PA ID]],$B56,CostTrack[[Vendor - Contract]:[Vendor - Contract]],$H56,CostTrack[[Holdback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56" s="504">
        <f ca="1">SUMIFS(CostTrack[[Value]:[Value]],CostTrack[[PA ID]:[PA ID]],$B56,CostTrack[[Vendor - Contract]:[Vendor - Contract]],$H56,CostTrack[[Holdback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56" s="504">
        <f ca="1">SUMIFS(CostTrack[[Value]:[Value]],CostTrack[[PA ID]:[PA ID]],$B56,CostTrack[[Vendor - Contract]:[Vendor - Contract]],$H56,CostTrack[[Holdback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56" s="504">
        <f ca="1">SUMIFS(CostTrack[[Value]:[Value]],CostTrack[[PA ID]:[PA ID]],$B56,CostTrack[[Vendor - Contract]:[Vendor - Contract]],$H56,CostTrack[[Holdback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56" s="504">
        <f ca="1">SUMIFS(CostTrack[[Value]:[Value]],CostTrack[[PA ID]:[PA ID]],$B56,CostTrack[[Vendor - Contract]:[Vendor - Contract]],$H56,CostTrack[[Holdback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56" s="506">
        <f t="shared" ca="1" si="34"/>
        <v>0</v>
      </c>
      <c r="AI56" s="504">
        <f ca="1">SUMIFS(CostTrack[[Value]:[Value]],CostTrack[[PA ID]:[PA ID]],$B56,CostTrack[[Vendor - Contract]:[Vendor - Contract]],$H56,CostTrack[[Holdback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56" s="504">
        <f ca="1">SUMIFS(CostTrack[[Value]:[Value]],CostTrack[[PA ID]:[PA ID]],$B56,CostTrack[[Vendor - Contract]:[Vendor - Contract]],$H56,CostTrack[[Holdback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56" s="504">
        <f ca="1">SUMIFS(CostTrack[[Value]:[Value]],CostTrack[[PA ID]:[PA ID]],$B56,CostTrack[[Vendor - Contract]:[Vendor - Contract]],$H56,CostTrack[[Holdback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56" s="504">
        <f ca="1">SUMIFS(CostTrack[[Value]:[Value]],CostTrack[[PA ID]:[PA ID]],$B56,CostTrack[[Vendor - Contract]:[Vendor - Contract]],$H56,CostTrack[[Holdback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56" s="504">
        <f ca="1">SUMIFS(CostTrack[[Value]:[Value]],CostTrack[[PA ID]:[PA ID]],$B56,CostTrack[[Vendor - Contract]:[Vendor - Contract]],$H56,CostTrack[[Holdback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56" s="504">
        <f ca="1">SUMIFS(CostTrack[[Value]:[Value]],CostTrack[[PA ID]:[PA ID]],$B56,CostTrack[[Vendor - Contract]:[Vendor - Contract]],$H56,CostTrack[[Holdback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56" s="504">
        <f ca="1">SUMIFS(CostTrack[[Value]:[Value]],CostTrack[[PA ID]:[PA ID]],$B56,CostTrack[[Vendor - Contract]:[Vendor - Contract]],$H56,CostTrack[[Holdback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56" s="504">
        <f ca="1">SUMIFS(CostTrack[[Value]:[Value]],CostTrack[[PA ID]:[PA ID]],$B56,CostTrack[[Vendor - Contract]:[Vendor - Contract]],$H56,CostTrack[[Holdback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56" s="504">
        <f ca="1">SUMIFS(CostTrack[[Value]:[Value]],CostTrack[[PA ID]:[PA ID]],$B56,CostTrack[[Vendor - Contract]:[Vendor - Contract]],$H56,CostTrack[[Holdback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56" s="504">
        <f ca="1">SUMIFS(CostTrack[[Value]:[Value]],CostTrack[[PA ID]:[PA ID]],$B56,CostTrack[[Vendor - Contract]:[Vendor - Contract]],$H56,CostTrack[[Holdback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56" s="504">
        <f ca="1">SUMIFS(CostTrack[[Value]:[Value]],CostTrack[[PA ID]:[PA ID]],$B56,CostTrack[[Vendor - Contract]:[Vendor - Contract]],$H56,CostTrack[[Holdback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56" s="504">
        <f ca="1">SUMIFS(CostTrack[[Value]:[Value]],CostTrack[[PA ID]:[PA ID]],$B56,CostTrack[[Vendor - Contract]:[Vendor - Contract]],$H56,CostTrack[[Holdback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56" s="512">
        <f t="shared" ca="1" si="35"/>
        <v>0</v>
      </c>
      <c r="AW56" s="504">
        <f ca="1">SUMIFS(CostTrack[[Value]:[Value]],CostTrack[[PA ID]:[PA ID]],$B56,CostTrack[[Vendor - Contract]:[Vendor - Contract]],$H56,CostTrack[[Holdback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56" s="504">
        <f ca="1">SUMIFS(CostTrack[[Value]:[Value]],CostTrack[[PA ID]:[PA ID]],$B56,CostTrack[[Vendor - Contract]:[Vendor - Contract]],$H56,CostTrack[[Holdback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56" s="504">
        <f ca="1">SUMIFS(CostTrack[[Value]:[Value]],CostTrack[[PA ID]:[PA ID]],$B56,CostTrack[[Vendor - Contract]:[Vendor - Contract]],$H56,CostTrack[[Holdback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56" s="504">
        <f ca="1">SUMIFS(CostTrack[[Value]:[Value]],CostTrack[[PA ID]:[PA ID]],$B56,CostTrack[[Vendor - Contract]:[Vendor - Contract]],$H56,CostTrack[[Holdback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56" s="504">
        <f ca="1">SUMIFS(CostTrack[[Value]:[Value]],CostTrack[[PA ID]:[PA ID]],$B56,CostTrack[[Vendor - Contract]:[Vendor - Contract]],$H56,CostTrack[[Holdback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56" s="504">
        <f ca="1">SUMIFS(CostTrack[[Value]:[Value]],CostTrack[[PA ID]:[PA ID]],$B56,CostTrack[[Vendor - Contract]:[Vendor - Contract]],$H56,CostTrack[[Holdback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56" s="504">
        <f ca="1">SUMIFS(CostTrack[[Value]:[Value]],CostTrack[[PA ID]:[PA ID]],$B56,CostTrack[[Vendor - Contract]:[Vendor - Contract]],$H56,CostTrack[[Holdback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56" s="504">
        <f ca="1">SUMIFS(CostTrack[[Value]:[Value]],CostTrack[[PA ID]:[PA ID]],$B56,CostTrack[[Vendor - Contract]:[Vendor - Contract]],$H56,CostTrack[[Holdback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56" s="504">
        <f ca="1">SUMIFS(CostTrack[[Value]:[Value]],CostTrack[[PA ID]:[PA ID]],$B56,CostTrack[[Vendor - Contract]:[Vendor - Contract]],$H56,CostTrack[[Holdback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2273</v>
      </c>
      <c r="BF56" s="504">
        <f ca="1">SUMIFS(CostTrack[[Value]:[Value]],CostTrack[[PA ID]:[PA ID]],$B56,CostTrack[[Vendor - Contract]:[Vendor - Contract]],$H56,CostTrack[[Holdback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56" s="504">
        <f ca="1">SUMIFS(CostTrack[[Value]:[Value]],CostTrack[[PA ID]:[PA ID]],$B56,CostTrack[[Vendor - Contract]:[Vendor - Contract]],$H56,CostTrack[[Holdback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450</v>
      </c>
      <c r="BH56" s="504">
        <f ca="1">SUMIFS(CostTrack[[Value]:[Value]],CostTrack[[PA ID]:[PA ID]],$B56,CostTrack[[Vendor - Contract]:[Vendor - Contract]],$H56,CostTrack[[Holdback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56" s="512">
        <f t="shared" ca="1" si="36"/>
        <v>2723</v>
      </c>
      <c r="BK56" s="504">
        <f ca="1">SUMIFS(CostTrack[[Value]:[Value]],CostTrack[[PA ID]:[PA ID]],$B56,CostTrack[[Vendor - Contract]:[Vendor - Contract]],$H56,CostTrack[[Holdback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56" s="504">
        <f ca="1">SUMIFS(CostTrack[[Value]:[Value]],CostTrack[[PA ID]:[PA ID]],$B56,CostTrack[[Vendor - Contract]:[Vendor - Contract]],$H56,CostTrack[[Holdback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56" s="504">
        <f ca="1">SUMIFS(CostTrack[[Value]:[Value]],CostTrack[[PA ID]:[PA ID]],$B56,CostTrack[[Vendor - Contract]:[Vendor - Contract]],$H56,CostTrack[[Holdback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842</v>
      </c>
      <c r="BN56" s="504">
        <f ca="1">SUMIFS(CostTrack[[Value]:[Value]],CostTrack[[PA ID]:[PA ID]],$B56,CostTrack[[Vendor - Contract]:[Vendor - Contract]],$H56,CostTrack[[Holdback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56" s="504">
        <f ca="1">SUMIFS(CostTrack[[Value]:[Value]],CostTrack[[PA ID]:[PA ID]],$B56,CostTrack[[Vendor - Contract]:[Vendor - Contract]],$H56,CostTrack[[Holdback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56" s="504">
        <f ca="1">SUMIFS(CostTrack[[Value]:[Value]],CostTrack[[PA ID]:[PA ID]],$B56,CostTrack[[Vendor - Contract]:[Vendor - Contract]],$H56,CostTrack[[Holdback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56" s="504">
        <f ca="1">SUMIFS(CostTrack[[Value]:[Value]],CostTrack[[PA ID]:[PA ID]],$B56,CostTrack[[Vendor - Contract]:[Vendor - Contract]],$H56,CostTrack[[Holdback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56" s="504">
        <f ca="1">SUMIFS(CostTrack[[Value]:[Value]],CostTrack[[PA ID]:[PA ID]],$B56,CostTrack[[Vendor - Contract]:[Vendor - Contract]],$H56,CostTrack[[Holdback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777.5</v>
      </c>
      <c r="BS56" s="504">
        <f ca="1">SUMIFS(CostTrack[[Value]:[Value]],CostTrack[[PA ID]:[PA ID]],$B56,CostTrack[[Vendor - Contract]:[Vendor - Contract]],$H56,CostTrack[[Holdback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56" s="504">
        <f ca="1">SUMIFS(CostTrack[[Value]:[Value]],CostTrack[[PA ID]:[PA ID]],$B56,CostTrack[[Vendor - Contract]:[Vendor - Contract]],$H56,CostTrack[[Holdback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56" s="504">
        <f ca="1">SUMIFS(CostTrack[[Value]:[Value]],CostTrack[[PA ID]:[PA ID]],$B56,CostTrack[[Vendor - Contract]:[Vendor - Contract]],$H56,CostTrack[[Holdback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56" s="504">
        <f ca="1">SUMIFS(CostTrack[[Value]:[Value]],CostTrack[[PA ID]:[PA ID]],$B56,CostTrack[[Vendor - Contract]:[Vendor - Contract]],$H56,CostTrack[[Holdback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56" s="512">
        <f t="shared" ca="1" si="37"/>
        <v>1619.5</v>
      </c>
      <c r="BY56" s="504">
        <f ca="1">SUMIFS(CostTrack[[Value]:[Value]],CostTrack[[PA ID]:[PA ID]],$B56,CostTrack[[Vendor - Contract]:[Vendor - Contract]],$H56,CostTrack[[Holdback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56" s="504">
        <f ca="1">SUMIFS(CostTrack[[Value]:[Value]],CostTrack[[PA ID]:[PA ID]],$B56,CostTrack[[Vendor - Contract]:[Vendor - Contract]],$H56,CostTrack[[Holdback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56" s="504">
        <f ca="1">SUMIFS(CostTrack[[Value]:[Value]],CostTrack[[PA ID]:[PA ID]],$B56,CostTrack[[Vendor - Contract]:[Vendor - Contract]],$H56,CostTrack[[Holdback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3200</v>
      </c>
      <c r="CB56" s="504">
        <f ca="1">SUMIFS(CostTrack[[Value]:[Value]],CostTrack[[PA ID]:[PA ID]],$B56,CostTrack[[Vendor - Contract]:[Vendor - Contract]],$H56,CostTrack[[Holdback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56" s="504">
        <f ca="1">SUMIFS(CostTrack[[Value]:[Value]],CostTrack[[PA ID]:[PA ID]],$B56,CostTrack[[Vendor - Contract]:[Vendor - Contract]],$H56,CostTrack[[Holdback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56" s="504">
        <f ca="1">SUMIFS(CostTrack[[Value]:[Value]],CostTrack[[PA ID]:[PA ID]],$B56,CostTrack[[Vendor - Contract]:[Vendor - Contract]],$H56,CostTrack[[Holdback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56" s="504">
        <f ca="1">SUMIFS(CostTrack[[Value]:[Value]],CostTrack[[PA ID]:[PA ID]],$B56,CostTrack[[Vendor - Contract]:[Vendor - Contract]],$H56,CostTrack[[Holdback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56" s="504">
        <f ca="1">SUMIFS(CostTrack[[Value]:[Value]],CostTrack[[PA ID]:[PA ID]],$B56,CostTrack[[Vendor - Contract]:[Vendor - Contract]],$H56,CostTrack[[Holdback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56" s="504">
        <f ca="1">SUMIFS(CostTrack[[Value]:[Value]],CostTrack[[PA ID]:[PA ID]],$B56,CostTrack[[Vendor - Contract]:[Vendor - Contract]],$H56,CostTrack[[Holdback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56" s="504">
        <f ca="1">SUMIFS(CostTrack[[Value]:[Value]],CostTrack[[PA ID]:[PA ID]],$B56,CostTrack[[Vendor - Contract]:[Vendor - Contract]],$H56,CostTrack[[Holdback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56" s="504">
        <f ca="1">SUMIFS(CostTrack[[Value]:[Value]],CostTrack[[PA ID]:[PA ID]],$B56,CostTrack[[Vendor - Contract]:[Vendor - Contract]],$H56,CostTrack[[Holdback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56" s="504">
        <f ca="1">SUMIFS(CostTrack[[Value]:[Value]],CostTrack[[PA ID]:[PA ID]],$B56,CostTrack[[Vendor - Contract]:[Vendor - Contract]],$H56,CostTrack[[Holdback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56" s="512">
        <f t="shared" ca="1" si="38"/>
        <v>3200</v>
      </c>
      <c r="CM56" s="504">
        <f ca="1">SUMIFS(CostTrack[[Value]:[Value]],CostTrack[[PA ID]:[PA ID]],$B56,CostTrack[[Vendor - Contract]:[Vendor - Contract]],$H56,CostTrack[[Holdback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56" s="504">
        <f ca="1">SUMIFS(CostTrack[[Value]:[Value]],CostTrack[[PA ID]:[PA ID]],$B56,CostTrack[[Vendor - Contract]:[Vendor - Contract]],$H56,CostTrack[[Holdback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56" s="504">
        <f ca="1">SUMIFS(CostTrack[[Value]:[Value]],CostTrack[[PA ID]:[PA ID]],$B56,CostTrack[[Vendor - Contract]:[Vendor - Contract]],$H56,CostTrack[[Holdback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56" s="504">
        <f ca="1">SUMIFS(CostTrack[[Value]:[Value]],CostTrack[[PA ID]:[PA ID]],$B56,CostTrack[[Vendor - Contract]:[Vendor - Contract]],$H56,CostTrack[[Holdback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56" s="504">
        <f ca="1">SUMIFS(CostTrack[[Value]:[Value]],CostTrack[[PA ID]:[PA ID]],$B56,CostTrack[[Vendor - Contract]:[Vendor - Contract]],$H56,CostTrack[[Holdback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56" s="504">
        <f ca="1">SUMIFS(CostTrack[[Value]:[Value]],CostTrack[[PA ID]:[PA ID]],$B56,CostTrack[[Vendor - Contract]:[Vendor - Contract]],$H56,CostTrack[[Holdback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56" s="504">
        <f ca="1">SUMIFS(CostTrack[[Value]:[Value]],CostTrack[[PA ID]:[PA ID]],$B56,CostTrack[[Vendor - Contract]:[Vendor - Contract]],$H56,CostTrack[[Holdback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56" s="504">
        <f ca="1">SUMIFS(CostTrack[[Value]:[Value]],CostTrack[[PA ID]:[PA ID]],$B56,CostTrack[[Vendor - Contract]:[Vendor - Contract]],$H56,CostTrack[[Holdback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56" s="504">
        <f ca="1">SUMIFS(CostTrack[[Value]:[Value]],CostTrack[[PA ID]:[PA ID]],$B56,CostTrack[[Vendor - Contract]:[Vendor - Contract]],$H56,CostTrack[[Holdback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56" s="504">
        <f ca="1">SUMIFS(CostTrack[[Value]:[Value]],CostTrack[[PA ID]:[PA ID]],$B56,CostTrack[[Vendor - Contract]:[Vendor - Contract]],$H56,CostTrack[[Holdback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56" s="504">
        <f ca="1">SUMIFS(CostTrack[[Value]:[Value]],CostTrack[[PA ID]:[PA ID]],$B56,CostTrack[[Vendor - Contract]:[Vendor - Contract]],$H56,CostTrack[[Holdback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56" s="504">
        <f ca="1">SUMIFS(CostTrack[[Value]:[Value]],CostTrack[[PA ID]:[PA ID]],$B56,CostTrack[[Vendor - Contract]:[Vendor - Contract]],$H56,CostTrack[[Holdback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56" s="512">
        <f t="shared" ca="1" si="39"/>
        <v>0</v>
      </c>
      <c r="DA56" s="504">
        <f ca="1">SUMIFS(CostTrack[[Value]:[Value]],CostTrack[[PA ID]:[PA ID]],$B56,CostTrack[[Vendor - Contract]:[Vendor - Contract]],$H56,CostTrack[[Holdback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56" s="504">
        <f ca="1">SUMIFS(CostTrack[[Value]:[Value]],CostTrack[[PA ID]:[PA ID]],$B56,CostTrack[[Vendor - Contract]:[Vendor - Contract]],$H56,CostTrack[[Holdback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56" s="504">
        <f ca="1">SUMIFS(CostTrack[[Value]:[Value]],CostTrack[[PA ID]:[PA ID]],$B56,CostTrack[[Vendor - Contract]:[Vendor - Contract]],$H56,CostTrack[[Holdback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56" s="504">
        <f ca="1">SUMIFS(CostTrack[[Value]:[Value]],CostTrack[[PA ID]:[PA ID]],$B56,CostTrack[[Vendor - Contract]:[Vendor - Contract]],$H56,CostTrack[[Holdback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56" s="504">
        <f ca="1">SUMIFS(CostTrack[[Value]:[Value]],CostTrack[[PA ID]:[PA ID]],$B56,CostTrack[[Vendor - Contract]:[Vendor - Contract]],$H56,CostTrack[[Holdback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56" s="504">
        <f ca="1">SUMIFS(CostTrack[[Value]:[Value]],CostTrack[[PA ID]:[PA ID]],$B56,CostTrack[[Vendor - Contract]:[Vendor - Contract]],$H56,CostTrack[[Holdback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56" s="504">
        <f ca="1">SUMIFS(CostTrack[[Value]:[Value]],CostTrack[[PA ID]:[PA ID]],$B56,CostTrack[[Vendor - Contract]:[Vendor - Contract]],$H56,CostTrack[[Holdback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56" s="504">
        <f ca="1">SUMIFS(CostTrack[[Value]:[Value]],CostTrack[[PA ID]:[PA ID]],$B56,CostTrack[[Vendor - Contract]:[Vendor - Contract]],$H56,CostTrack[[Holdback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56" s="504">
        <f ca="1">SUMIFS(CostTrack[[Value]:[Value]],CostTrack[[PA ID]:[PA ID]],$B56,CostTrack[[Vendor - Contract]:[Vendor - Contract]],$H56,CostTrack[[Holdback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56" s="504">
        <f ca="1">SUMIFS(CostTrack[[Value]:[Value]],CostTrack[[PA ID]:[PA ID]],$B56,CostTrack[[Vendor - Contract]:[Vendor - Contract]],$H56,CostTrack[[Holdback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56" s="504">
        <f ca="1">SUMIFS(CostTrack[[Value]:[Value]],CostTrack[[PA ID]:[PA ID]],$B56,CostTrack[[Vendor - Contract]:[Vendor - Contract]],$H56,CostTrack[[Holdback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56" s="504">
        <f ca="1">SUMIFS(CostTrack[[Value]:[Value]],CostTrack[[PA ID]:[PA ID]],$B56,CostTrack[[Vendor - Contract]:[Vendor - Contract]],$H56,CostTrack[[Holdback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56" s="512">
        <f t="shared" ca="1" si="40"/>
        <v>0</v>
      </c>
      <c r="DO56" s="504">
        <f ca="1">SUMIFS(CostTrack[[Value]:[Value]],CostTrack[[PA ID]:[PA ID]],$B56,CostTrack[[Vendor - Contract]:[Vendor - Contract]],$H56,CostTrack[[Holdback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56" s="504">
        <f ca="1">SUMIFS(CostTrack[[Value]:[Value]],CostTrack[[PA ID]:[PA ID]],$B56,CostTrack[[Vendor - Contract]:[Vendor - Contract]],$H56,CostTrack[[Holdback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56" s="504">
        <f ca="1">SUMIFS(CostTrack[[Value]:[Value]],CostTrack[[PA ID]:[PA ID]],$B56,CostTrack[[Vendor - Contract]:[Vendor - Contract]],$H56,CostTrack[[Holdback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56" s="504">
        <f ca="1">SUMIFS(CostTrack[[Value]:[Value]],CostTrack[[PA ID]:[PA ID]],$B56,CostTrack[[Vendor - Contract]:[Vendor - Contract]],$H56,CostTrack[[Holdback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56" s="504">
        <f ca="1">SUMIFS(CostTrack[[Value]:[Value]],CostTrack[[PA ID]:[PA ID]],$B56,CostTrack[[Vendor - Contract]:[Vendor - Contract]],$H56,CostTrack[[Holdback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56" s="504">
        <f ca="1">SUMIFS(CostTrack[[Value]:[Value]],CostTrack[[PA ID]:[PA ID]],$B56,CostTrack[[Vendor - Contract]:[Vendor - Contract]],$H56,CostTrack[[Holdback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56" s="504">
        <f ca="1">SUMIFS(CostTrack[[Value]:[Value]],CostTrack[[PA ID]:[PA ID]],$B56,CostTrack[[Vendor - Contract]:[Vendor - Contract]],$H56,CostTrack[[Holdback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56" s="504">
        <f ca="1">SUMIFS(CostTrack[[Value]:[Value]],CostTrack[[PA ID]:[PA ID]],$B56,CostTrack[[Vendor - Contract]:[Vendor - Contract]],$H56,CostTrack[[Holdback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56" s="504">
        <f ca="1">SUMIFS(CostTrack[[Value]:[Value]],CostTrack[[PA ID]:[PA ID]],$B56,CostTrack[[Vendor - Contract]:[Vendor - Contract]],$H56,CostTrack[[Holdback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56" s="504">
        <f ca="1">SUMIFS(CostTrack[[Value]:[Value]],CostTrack[[PA ID]:[PA ID]],$B56,CostTrack[[Vendor - Contract]:[Vendor - Contract]],$H56,CostTrack[[Holdback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56" s="504">
        <f ca="1">SUMIFS(CostTrack[[Value]:[Value]],CostTrack[[PA ID]:[PA ID]],$B56,CostTrack[[Vendor - Contract]:[Vendor - Contract]],$H56,CostTrack[[Holdback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56" s="504">
        <f ca="1">SUMIFS(CostTrack[[Value]:[Value]],CostTrack[[PA ID]:[PA ID]],$B56,CostTrack[[Vendor - Contract]:[Vendor - Contract]],$H56,CostTrack[[Holdback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56" s="512">
        <f t="shared" ca="1" si="41"/>
        <v>0</v>
      </c>
      <c r="EC56" s="504">
        <f ca="1">SUMIFS(CostTrack[[Value]:[Value]],CostTrack[[PA ID]:[PA ID]],$B56,CostTrack[[Vendor - Contract]:[Vendor - Contract]],$H56,CostTrack[[Holdback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56" s="505"/>
      <c r="EE56" s="505"/>
      <c r="EF56" s="505"/>
      <c r="EG56" s="505"/>
      <c r="EH56" s="505"/>
      <c r="EI56" s="505"/>
      <c r="EJ56" s="505"/>
      <c r="EK56" s="505"/>
      <c r="EL56" s="505"/>
      <c r="EM56" s="505"/>
      <c r="EN56" s="505"/>
      <c r="EO56" s="512">
        <f t="shared" ca="1" si="42"/>
        <v>0</v>
      </c>
      <c r="EQ56" s="505"/>
      <c r="ER56" s="505"/>
      <c r="ES56" s="505"/>
      <c r="ET56" s="505"/>
      <c r="EU56" s="505"/>
      <c r="EV56" s="505"/>
      <c r="EW56" s="505"/>
      <c r="EX56" s="505"/>
      <c r="EY56" s="505"/>
      <c r="EZ56" s="505"/>
      <c r="FA56" s="505"/>
      <c r="FB56" s="505"/>
      <c r="FC56" s="512">
        <f t="shared" si="43"/>
        <v>0</v>
      </c>
      <c r="FE56" s="505"/>
      <c r="FF56" s="505"/>
      <c r="FG56" s="505"/>
      <c r="FH56" s="505"/>
      <c r="FI56" s="505"/>
      <c r="FJ56" s="505"/>
      <c r="FK56" s="505"/>
      <c r="FL56" s="505"/>
      <c r="FM56" s="505"/>
      <c r="FN56" s="505"/>
      <c r="FO56" s="505"/>
      <c r="FP56" s="505"/>
      <c r="FQ56" s="512">
        <f t="shared" si="44"/>
        <v>0</v>
      </c>
      <c r="FS56" s="504">
        <f t="shared" ca="1" si="45"/>
        <v>7542.5</v>
      </c>
    </row>
    <row r="57" spans="1:175">
      <c r="A57" s="216">
        <v>50</v>
      </c>
      <c r="B57" s="219" t="str">
        <f ca="1">INDEX(EAC[PA ID],MATCH($A57,EAC[Row],0))</f>
        <v>300.020.F1</v>
      </c>
      <c r="C57" s="218" t="str">
        <f ca="1">INDEX(EAC[Primary Category],MATCH($A57,EAC[Row],0))</f>
        <v>Construction</v>
      </c>
      <c r="D57" s="218" t="str">
        <f ca="1">INDEX(EAC[Secondary Category],MATCH($A57,EAC[Row],0))</f>
        <v>Utilities</v>
      </c>
      <c r="E57" s="109" t="str">
        <f ca="1">INDEX(EAC[Phase / Subproject],MATCH($A57,EAC[Row],0))</f>
        <v>--</v>
      </c>
      <c r="F57" s="109" t="str">
        <f ca="1">INDEX(EAC[Phase / Subproject 2],MATCH($A57,EAC[Row],0))</f>
        <v>--</v>
      </c>
      <c r="G57" s="109" t="str">
        <f ca="1">INDEX(EAC[Funding Source],MATCH($A57,EAC[Row],0))</f>
        <v>P-002360</v>
      </c>
      <c r="H57" s="146" t="str">
        <f ca="1">INDEX(EAC[Vendor / Org. with Contract ID],MATCH($A57,EAC[Row],0))</f>
        <v>Future / Not Awarded</v>
      </c>
      <c r="I57" s="502">
        <f ca="1">INDEX(EAC[Estimate At Completion],MATCH($A57,EAC[Row],0))</f>
        <v>0</v>
      </c>
      <c r="J57" s="502">
        <f ca="1">SUMIFS(CostTrack[Value],CostTrack[Vendor - Contract],$H57,CostTrack[PA ID],$B57,CostTrack[Holdback (Y/N/R)],"&lt;&gt;Release",CostTrack[Status],"Approved")</f>
        <v>0</v>
      </c>
      <c r="K57" s="503">
        <f t="shared" ca="1" si="14"/>
        <v>0</v>
      </c>
      <c r="M57" s="504">
        <f t="shared" ca="1" si="15"/>
        <v>0</v>
      </c>
      <c r="O57" s="504">
        <f t="shared" ca="1" si="31"/>
        <v>0</v>
      </c>
      <c r="P57" s="504">
        <f t="array" aca="1" ref="P57" ca="1">SUM($U57:$FQ57*_xlfn.ISFORMULA($U57:$FQ57)*ISNUMBER($U$7:$FQ$7)*--(INDEX($U$6:$FQ$6,N(IF({1},COLUMN($U$6:$FQ$6)-COLUMN($T$6)))-MOD(N(IF({1},COLUMN($U$6:$FQ$6)-COLUMN($U$6))),14))="Current Fiscal"))</f>
        <v>0</v>
      </c>
      <c r="Q57" s="504">
        <f t="array" aca="1" ref="Q57" ca="1">SUM($U57:$FQ57*NOT(_xlfn.ISFORMULA($U57:$FQ57))*ISNUMBER($U$7:$FQ$7)*--(INDEX($U$6:$FQ$6,N(IF({1},COLUMN($U$6:$FQ$6)-COLUMN($T$6)))-MOD(N(IF({1},COLUMN($U$6:$FQ$6)-COLUMN($U$6))),14))="Current Fiscal"))</f>
        <v>0</v>
      </c>
      <c r="R57" s="504">
        <f t="shared" ca="1" si="32"/>
        <v>0</v>
      </c>
      <c r="S57" s="504">
        <f t="shared" ca="1" si="33"/>
        <v>0</v>
      </c>
      <c r="U57" s="504">
        <f ca="1">SUMIFS(CostTrack[[Value]:[Value]],CostTrack[[PA ID]:[PA ID]],$B57,CostTrack[[Vendor - Contract]:[Vendor - Contract]],$H57,CostTrack[[Holdback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57" s="504">
        <f ca="1">SUMIFS(CostTrack[[Value]:[Value]],CostTrack[[PA ID]:[PA ID]],$B57,CostTrack[[Vendor - Contract]:[Vendor - Contract]],$H57,CostTrack[[Holdback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57" s="504">
        <f ca="1">SUMIFS(CostTrack[[Value]:[Value]],CostTrack[[PA ID]:[PA ID]],$B57,CostTrack[[Vendor - Contract]:[Vendor - Contract]],$H57,CostTrack[[Holdback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57" s="504">
        <f ca="1">SUMIFS(CostTrack[[Value]:[Value]],CostTrack[[PA ID]:[PA ID]],$B57,CostTrack[[Vendor - Contract]:[Vendor - Contract]],$H57,CostTrack[[Holdback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57" s="504">
        <f ca="1">SUMIFS(CostTrack[[Value]:[Value]],CostTrack[[PA ID]:[PA ID]],$B57,CostTrack[[Vendor - Contract]:[Vendor - Contract]],$H57,CostTrack[[Holdback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57" s="504">
        <f ca="1">SUMIFS(CostTrack[[Value]:[Value]],CostTrack[[PA ID]:[PA ID]],$B57,CostTrack[[Vendor - Contract]:[Vendor - Contract]],$H57,CostTrack[[Holdback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57" s="504">
        <f ca="1">SUMIFS(CostTrack[[Value]:[Value]],CostTrack[[PA ID]:[PA ID]],$B57,CostTrack[[Vendor - Contract]:[Vendor - Contract]],$H57,CostTrack[[Holdback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57" s="504">
        <f ca="1">SUMIFS(CostTrack[[Value]:[Value]],CostTrack[[PA ID]:[PA ID]],$B57,CostTrack[[Vendor - Contract]:[Vendor - Contract]],$H57,CostTrack[[Holdback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57" s="504">
        <f ca="1">SUMIFS(CostTrack[[Value]:[Value]],CostTrack[[PA ID]:[PA ID]],$B57,CostTrack[[Vendor - Contract]:[Vendor - Contract]],$H57,CostTrack[[Holdback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57" s="504">
        <f ca="1">SUMIFS(CostTrack[[Value]:[Value]],CostTrack[[PA ID]:[PA ID]],$B57,CostTrack[[Vendor - Contract]:[Vendor - Contract]],$H57,CostTrack[[Holdback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57" s="504">
        <f ca="1">SUMIFS(CostTrack[[Value]:[Value]],CostTrack[[PA ID]:[PA ID]],$B57,CostTrack[[Vendor - Contract]:[Vendor - Contract]],$H57,CostTrack[[Holdback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57" s="504">
        <f ca="1">SUMIFS(CostTrack[[Value]:[Value]],CostTrack[[PA ID]:[PA ID]],$B57,CostTrack[[Vendor - Contract]:[Vendor - Contract]],$H57,CostTrack[[Holdback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57" s="506">
        <f t="shared" ca="1" si="34"/>
        <v>0</v>
      </c>
      <c r="AI57" s="504">
        <f ca="1">SUMIFS(CostTrack[[Value]:[Value]],CostTrack[[PA ID]:[PA ID]],$B57,CostTrack[[Vendor - Contract]:[Vendor - Contract]],$H57,CostTrack[[Holdback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57" s="504">
        <f ca="1">SUMIFS(CostTrack[[Value]:[Value]],CostTrack[[PA ID]:[PA ID]],$B57,CostTrack[[Vendor - Contract]:[Vendor - Contract]],$H57,CostTrack[[Holdback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57" s="504">
        <f ca="1">SUMIFS(CostTrack[[Value]:[Value]],CostTrack[[PA ID]:[PA ID]],$B57,CostTrack[[Vendor - Contract]:[Vendor - Contract]],$H57,CostTrack[[Holdback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57" s="504">
        <f ca="1">SUMIFS(CostTrack[[Value]:[Value]],CostTrack[[PA ID]:[PA ID]],$B57,CostTrack[[Vendor - Contract]:[Vendor - Contract]],$H57,CostTrack[[Holdback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57" s="504">
        <f ca="1">SUMIFS(CostTrack[[Value]:[Value]],CostTrack[[PA ID]:[PA ID]],$B57,CostTrack[[Vendor - Contract]:[Vendor - Contract]],$H57,CostTrack[[Holdback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57" s="504">
        <f ca="1">SUMIFS(CostTrack[[Value]:[Value]],CostTrack[[PA ID]:[PA ID]],$B57,CostTrack[[Vendor - Contract]:[Vendor - Contract]],$H57,CostTrack[[Holdback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57" s="504">
        <f ca="1">SUMIFS(CostTrack[[Value]:[Value]],CostTrack[[PA ID]:[PA ID]],$B57,CostTrack[[Vendor - Contract]:[Vendor - Contract]],$H57,CostTrack[[Holdback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57" s="504">
        <f ca="1">SUMIFS(CostTrack[[Value]:[Value]],CostTrack[[PA ID]:[PA ID]],$B57,CostTrack[[Vendor - Contract]:[Vendor - Contract]],$H57,CostTrack[[Holdback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57" s="504">
        <f ca="1">SUMIFS(CostTrack[[Value]:[Value]],CostTrack[[PA ID]:[PA ID]],$B57,CostTrack[[Vendor - Contract]:[Vendor - Contract]],$H57,CostTrack[[Holdback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57" s="504">
        <f ca="1">SUMIFS(CostTrack[[Value]:[Value]],CostTrack[[PA ID]:[PA ID]],$B57,CostTrack[[Vendor - Contract]:[Vendor - Contract]],$H57,CostTrack[[Holdback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57" s="504">
        <f ca="1">SUMIFS(CostTrack[[Value]:[Value]],CostTrack[[PA ID]:[PA ID]],$B57,CostTrack[[Vendor - Contract]:[Vendor - Contract]],$H57,CostTrack[[Holdback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57" s="504">
        <f ca="1">SUMIFS(CostTrack[[Value]:[Value]],CostTrack[[PA ID]:[PA ID]],$B57,CostTrack[[Vendor - Contract]:[Vendor - Contract]],$H57,CostTrack[[Holdback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57" s="512">
        <f t="shared" ca="1" si="35"/>
        <v>0</v>
      </c>
      <c r="AW57" s="504">
        <f ca="1">SUMIFS(CostTrack[[Value]:[Value]],CostTrack[[PA ID]:[PA ID]],$B57,CostTrack[[Vendor - Contract]:[Vendor - Contract]],$H57,CostTrack[[Holdback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57" s="504">
        <f ca="1">SUMIFS(CostTrack[[Value]:[Value]],CostTrack[[PA ID]:[PA ID]],$B57,CostTrack[[Vendor - Contract]:[Vendor - Contract]],$H57,CostTrack[[Holdback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57" s="504">
        <f ca="1">SUMIFS(CostTrack[[Value]:[Value]],CostTrack[[PA ID]:[PA ID]],$B57,CostTrack[[Vendor - Contract]:[Vendor - Contract]],$H57,CostTrack[[Holdback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57" s="504">
        <f ca="1">SUMIFS(CostTrack[[Value]:[Value]],CostTrack[[PA ID]:[PA ID]],$B57,CostTrack[[Vendor - Contract]:[Vendor - Contract]],$H57,CostTrack[[Holdback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57" s="504">
        <f ca="1">SUMIFS(CostTrack[[Value]:[Value]],CostTrack[[PA ID]:[PA ID]],$B57,CostTrack[[Vendor - Contract]:[Vendor - Contract]],$H57,CostTrack[[Holdback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57" s="504">
        <f ca="1">SUMIFS(CostTrack[[Value]:[Value]],CostTrack[[PA ID]:[PA ID]],$B57,CostTrack[[Vendor - Contract]:[Vendor - Contract]],$H57,CostTrack[[Holdback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57" s="504">
        <f ca="1">SUMIFS(CostTrack[[Value]:[Value]],CostTrack[[PA ID]:[PA ID]],$B57,CostTrack[[Vendor - Contract]:[Vendor - Contract]],$H57,CostTrack[[Holdback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57" s="504">
        <f ca="1">SUMIFS(CostTrack[[Value]:[Value]],CostTrack[[PA ID]:[PA ID]],$B57,CostTrack[[Vendor - Contract]:[Vendor - Contract]],$H57,CostTrack[[Holdback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57" s="504">
        <f ca="1">SUMIFS(CostTrack[[Value]:[Value]],CostTrack[[PA ID]:[PA ID]],$B57,CostTrack[[Vendor - Contract]:[Vendor - Contract]],$H57,CostTrack[[Holdback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57" s="504">
        <f ca="1">SUMIFS(CostTrack[[Value]:[Value]],CostTrack[[PA ID]:[PA ID]],$B57,CostTrack[[Vendor - Contract]:[Vendor - Contract]],$H57,CostTrack[[Holdback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57" s="504">
        <f ca="1">SUMIFS(CostTrack[[Value]:[Value]],CostTrack[[PA ID]:[PA ID]],$B57,CostTrack[[Vendor - Contract]:[Vendor - Contract]],$H57,CostTrack[[Holdback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57" s="504">
        <f ca="1">SUMIFS(CostTrack[[Value]:[Value]],CostTrack[[PA ID]:[PA ID]],$B57,CostTrack[[Vendor - Contract]:[Vendor - Contract]],$H57,CostTrack[[Holdback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57" s="512">
        <f t="shared" ca="1" si="36"/>
        <v>0</v>
      </c>
      <c r="BK57" s="504">
        <f ca="1">SUMIFS(CostTrack[[Value]:[Value]],CostTrack[[PA ID]:[PA ID]],$B57,CostTrack[[Vendor - Contract]:[Vendor - Contract]],$H57,CostTrack[[Holdback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57" s="504">
        <f ca="1">SUMIFS(CostTrack[[Value]:[Value]],CostTrack[[PA ID]:[PA ID]],$B57,CostTrack[[Vendor - Contract]:[Vendor - Contract]],$H57,CostTrack[[Holdback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57" s="504">
        <f ca="1">SUMIFS(CostTrack[[Value]:[Value]],CostTrack[[PA ID]:[PA ID]],$B57,CostTrack[[Vendor - Contract]:[Vendor - Contract]],$H57,CostTrack[[Holdback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57" s="504">
        <f ca="1">SUMIFS(CostTrack[[Value]:[Value]],CostTrack[[PA ID]:[PA ID]],$B57,CostTrack[[Vendor - Contract]:[Vendor - Contract]],$H57,CostTrack[[Holdback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57" s="504">
        <f ca="1">SUMIFS(CostTrack[[Value]:[Value]],CostTrack[[PA ID]:[PA ID]],$B57,CostTrack[[Vendor - Contract]:[Vendor - Contract]],$H57,CostTrack[[Holdback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57" s="504">
        <f ca="1">SUMIFS(CostTrack[[Value]:[Value]],CostTrack[[PA ID]:[PA ID]],$B57,CostTrack[[Vendor - Contract]:[Vendor - Contract]],$H57,CostTrack[[Holdback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57" s="504">
        <f ca="1">SUMIFS(CostTrack[[Value]:[Value]],CostTrack[[PA ID]:[PA ID]],$B57,CostTrack[[Vendor - Contract]:[Vendor - Contract]],$H57,CostTrack[[Holdback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57" s="504">
        <f ca="1">SUMIFS(CostTrack[[Value]:[Value]],CostTrack[[PA ID]:[PA ID]],$B57,CostTrack[[Vendor - Contract]:[Vendor - Contract]],$H57,CostTrack[[Holdback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57" s="504">
        <f ca="1">SUMIFS(CostTrack[[Value]:[Value]],CostTrack[[PA ID]:[PA ID]],$B57,CostTrack[[Vendor - Contract]:[Vendor - Contract]],$H57,CostTrack[[Holdback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57" s="504">
        <f ca="1">SUMIFS(CostTrack[[Value]:[Value]],CostTrack[[PA ID]:[PA ID]],$B57,CostTrack[[Vendor - Contract]:[Vendor - Contract]],$H57,CostTrack[[Holdback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57" s="504">
        <f ca="1">SUMIFS(CostTrack[[Value]:[Value]],CostTrack[[PA ID]:[PA ID]],$B57,CostTrack[[Vendor - Contract]:[Vendor - Contract]],$H57,CostTrack[[Holdback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57" s="504">
        <f ca="1">SUMIFS(CostTrack[[Value]:[Value]],CostTrack[[PA ID]:[PA ID]],$B57,CostTrack[[Vendor - Contract]:[Vendor - Contract]],$H57,CostTrack[[Holdback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57" s="512">
        <f t="shared" ca="1" si="37"/>
        <v>0</v>
      </c>
      <c r="BY57" s="504">
        <f ca="1">SUMIFS(CostTrack[[Value]:[Value]],CostTrack[[PA ID]:[PA ID]],$B57,CostTrack[[Vendor - Contract]:[Vendor - Contract]],$H57,CostTrack[[Holdback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57" s="504">
        <f ca="1">SUMIFS(CostTrack[[Value]:[Value]],CostTrack[[PA ID]:[PA ID]],$B57,CostTrack[[Vendor - Contract]:[Vendor - Contract]],$H57,CostTrack[[Holdback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57" s="504">
        <f ca="1">SUMIFS(CostTrack[[Value]:[Value]],CostTrack[[PA ID]:[PA ID]],$B57,CostTrack[[Vendor - Contract]:[Vendor - Contract]],$H57,CostTrack[[Holdback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57" s="504">
        <f ca="1">SUMIFS(CostTrack[[Value]:[Value]],CostTrack[[PA ID]:[PA ID]],$B57,CostTrack[[Vendor - Contract]:[Vendor - Contract]],$H57,CostTrack[[Holdback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57" s="504">
        <f ca="1">SUMIFS(CostTrack[[Value]:[Value]],CostTrack[[PA ID]:[PA ID]],$B57,CostTrack[[Vendor - Contract]:[Vendor - Contract]],$H57,CostTrack[[Holdback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57" s="504">
        <f ca="1">SUMIFS(CostTrack[[Value]:[Value]],CostTrack[[PA ID]:[PA ID]],$B57,CostTrack[[Vendor - Contract]:[Vendor - Contract]],$H57,CostTrack[[Holdback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57" s="504">
        <f ca="1">SUMIFS(CostTrack[[Value]:[Value]],CostTrack[[PA ID]:[PA ID]],$B57,CostTrack[[Vendor - Contract]:[Vendor - Contract]],$H57,CostTrack[[Holdback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57" s="504">
        <f ca="1">SUMIFS(CostTrack[[Value]:[Value]],CostTrack[[PA ID]:[PA ID]],$B57,CostTrack[[Vendor - Contract]:[Vendor - Contract]],$H57,CostTrack[[Holdback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57" s="504">
        <f ca="1">SUMIFS(CostTrack[[Value]:[Value]],CostTrack[[PA ID]:[PA ID]],$B57,CostTrack[[Vendor - Contract]:[Vendor - Contract]],$H57,CostTrack[[Holdback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57" s="504">
        <f ca="1">SUMIFS(CostTrack[[Value]:[Value]],CostTrack[[PA ID]:[PA ID]],$B57,CostTrack[[Vendor - Contract]:[Vendor - Contract]],$H57,CostTrack[[Holdback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57" s="504">
        <f ca="1">SUMIFS(CostTrack[[Value]:[Value]],CostTrack[[PA ID]:[PA ID]],$B57,CostTrack[[Vendor - Contract]:[Vendor - Contract]],$H57,CostTrack[[Holdback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57" s="504">
        <f ca="1">SUMIFS(CostTrack[[Value]:[Value]],CostTrack[[PA ID]:[PA ID]],$B57,CostTrack[[Vendor - Contract]:[Vendor - Contract]],$H57,CostTrack[[Holdback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57" s="512">
        <f t="shared" ca="1" si="38"/>
        <v>0</v>
      </c>
      <c r="CM57" s="504">
        <f ca="1">SUMIFS(CostTrack[[Value]:[Value]],CostTrack[[PA ID]:[PA ID]],$B57,CostTrack[[Vendor - Contract]:[Vendor - Contract]],$H57,CostTrack[[Holdback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57" s="504">
        <f ca="1">SUMIFS(CostTrack[[Value]:[Value]],CostTrack[[PA ID]:[PA ID]],$B57,CostTrack[[Vendor - Contract]:[Vendor - Contract]],$H57,CostTrack[[Holdback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57" s="504">
        <f ca="1">SUMIFS(CostTrack[[Value]:[Value]],CostTrack[[PA ID]:[PA ID]],$B57,CostTrack[[Vendor - Contract]:[Vendor - Contract]],$H57,CostTrack[[Holdback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57" s="504">
        <f ca="1">SUMIFS(CostTrack[[Value]:[Value]],CostTrack[[PA ID]:[PA ID]],$B57,CostTrack[[Vendor - Contract]:[Vendor - Contract]],$H57,CostTrack[[Holdback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57" s="504">
        <f ca="1">SUMIFS(CostTrack[[Value]:[Value]],CostTrack[[PA ID]:[PA ID]],$B57,CostTrack[[Vendor - Contract]:[Vendor - Contract]],$H57,CostTrack[[Holdback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57" s="504">
        <f ca="1">SUMIFS(CostTrack[[Value]:[Value]],CostTrack[[PA ID]:[PA ID]],$B57,CostTrack[[Vendor - Contract]:[Vendor - Contract]],$H57,CostTrack[[Holdback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57" s="504">
        <f ca="1">SUMIFS(CostTrack[[Value]:[Value]],CostTrack[[PA ID]:[PA ID]],$B57,CostTrack[[Vendor - Contract]:[Vendor - Contract]],$H57,CostTrack[[Holdback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57" s="504">
        <f ca="1">SUMIFS(CostTrack[[Value]:[Value]],CostTrack[[PA ID]:[PA ID]],$B57,CostTrack[[Vendor - Contract]:[Vendor - Contract]],$H57,CostTrack[[Holdback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57" s="504">
        <f ca="1">SUMIFS(CostTrack[[Value]:[Value]],CostTrack[[PA ID]:[PA ID]],$B57,CostTrack[[Vendor - Contract]:[Vendor - Contract]],$H57,CostTrack[[Holdback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57" s="504">
        <f ca="1">SUMIFS(CostTrack[[Value]:[Value]],CostTrack[[PA ID]:[PA ID]],$B57,CostTrack[[Vendor - Contract]:[Vendor - Contract]],$H57,CostTrack[[Holdback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57" s="504">
        <f ca="1">SUMIFS(CostTrack[[Value]:[Value]],CostTrack[[PA ID]:[PA ID]],$B57,CostTrack[[Vendor - Contract]:[Vendor - Contract]],$H57,CostTrack[[Holdback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57" s="504">
        <f ca="1">SUMIFS(CostTrack[[Value]:[Value]],CostTrack[[PA ID]:[PA ID]],$B57,CostTrack[[Vendor - Contract]:[Vendor - Contract]],$H57,CostTrack[[Holdback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57" s="512">
        <f t="shared" ca="1" si="39"/>
        <v>0</v>
      </c>
      <c r="DA57" s="504">
        <f ca="1">SUMIFS(CostTrack[[Value]:[Value]],CostTrack[[PA ID]:[PA ID]],$B57,CostTrack[[Vendor - Contract]:[Vendor - Contract]],$H57,CostTrack[[Holdback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57" s="504">
        <f ca="1">SUMIFS(CostTrack[[Value]:[Value]],CostTrack[[PA ID]:[PA ID]],$B57,CostTrack[[Vendor - Contract]:[Vendor - Contract]],$H57,CostTrack[[Holdback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57" s="504">
        <f ca="1">SUMIFS(CostTrack[[Value]:[Value]],CostTrack[[PA ID]:[PA ID]],$B57,CostTrack[[Vendor - Contract]:[Vendor - Contract]],$H57,CostTrack[[Holdback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57" s="504">
        <f ca="1">SUMIFS(CostTrack[[Value]:[Value]],CostTrack[[PA ID]:[PA ID]],$B57,CostTrack[[Vendor - Contract]:[Vendor - Contract]],$H57,CostTrack[[Holdback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57" s="504">
        <f ca="1">SUMIFS(CostTrack[[Value]:[Value]],CostTrack[[PA ID]:[PA ID]],$B57,CostTrack[[Vendor - Contract]:[Vendor - Contract]],$H57,CostTrack[[Holdback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57" s="504">
        <f ca="1">SUMIFS(CostTrack[[Value]:[Value]],CostTrack[[PA ID]:[PA ID]],$B57,CostTrack[[Vendor - Contract]:[Vendor - Contract]],$H57,CostTrack[[Holdback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57" s="504">
        <f ca="1">SUMIFS(CostTrack[[Value]:[Value]],CostTrack[[PA ID]:[PA ID]],$B57,CostTrack[[Vendor - Contract]:[Vendor - Contract]],$H57,CostTrack[[Holdback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57" s="504">
        <f ca="1">SUMIFS(CostTrack[[Value]:[Value]],CostTrack[[PA ID]:[PA ID]],$B57,CostTrack[[Vendor - Contract]:[Vendor - Contract]],$H57,CostTrack[[Holdback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57" s="504">
        <f ca="1">SUMIFS(CostTrack[[Value]:[Value]],CostTrack[[PA ID]:[PA ID]],$B57,CostTrack[[Vendor - Contract]:[Vendor - Contract]],$H57,CostTrack[[Holdback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57" s="504">
        <f ca="1">SUMIFS(CostTrack[[Value]:[Value]],CostTrack[[PA ID]:[PA ID]],$B57,CostTrack[[Vendor - Contract]:[Vendor - Contract]],$H57,CostTrack[[Holdback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57" s="504">
        <f ca="1">SUMIFS(CostTrack[[Value]:[Value]],CostTrack[[PA ID]:[PA ID]],$B57,CostTrack[[Vendor - Contract]:[Vendor - Contract]],$H57,CostTrack[[Holdback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57" s="504">
        <f ca="1">SUMIFS(CostTrack[[Value]:[Value]],CostTrack[[PA ID]:[PA ID]],$B57,CostTrack[[Vendor - Contract]:[Vendor - Contract]],$H57,CostTrack[[Holdback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57" s="512">
        <f t="shared" ca="1" si="40"/>
        <v>0</v>
      </c>
      <c r="DO57" s="504">
        <f ca="1">SUMIFS(CostTrack[[Value]:[Value]],CostTrack[[PA ID]:[PA ID]],$B57,CostTrack[[Vendor - Contract]:[Vendor - Contract]],$H57,CostTrack[[Holdback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57" s="504">
        <f ca="1">SUMIFS(CostTrack[[Value]:[Value]],CostTrack[[PA ID]:[PA ID]],$B57,CostTrack[[Vendor - Contract]:[Vendor - Contract]],$H57,CostTrack[[Holdback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57" s="504">
        <f ca="1">SUMIFS(CostTrack[[Value]:[Value]],CostTrack[[PA ID]:[PA ID]],$B57,CostTrack[[Vendor - Contract]:[Vendor - Contract]],$H57,CostTrack[[Holdback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57" s="504">
        <f ca="1">SUMIFS(CostTrack[[Value]:[Value]],CostTrack[[PA ID]:[PA ID]],$B57,CostTrack[[Vendor - Contract]:[Vendor - Contract]],$H57,CostTrack[[Holdback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57" s="504">
        <f ca="1">SUMIFS(CostTrack[[Value]:[Value]],CostTrack[[PA ID]:[PA ID]],$B57,CostTrack[[Vendor - Contract]:[Vendor - Contract]],$H57,CostTrack[[Holdback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57" s="504">
        <f ca="1">SUMIFS(CostTrack[[Value]:[Value]],CostTrack[[PA ID]:[PA ID]],$B57,CostTrack[[Vendor - Contract]:[Vendor - Contract]],$H57,CostTrack[[Holdback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57" s="504">
        <f ca="1">SUMIFS(CostTrack[[Value]:[Value]],CostTrack[[PA ID]:[PA ID]],$B57,CostTrack[[Vendor - Contract]:[Vendor - Contract]],$H57,CostTrack[[Holdback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57" s="504">
        <f ca="1">SUMIFS(CostTrack[[Value]:[Value]],CostTrack[[PA ID]:[PA ID]],$B57,CostTrack[[Vendor - Contract]:[Vendor - Contract]],$H57,CostTrack[[Holdback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57" s="504">
        <f ca="1">SUMIFS(CostTrack[[Value]:[Value]],CostTrack[[PA ID]:[PA ID]],$B57,CostTrack[[Vendor - Contract]:[Vendor - Contract]],$H57,CostTrack[[Holdback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57" s="504">
        <f ca="1">SUMIFS(CostTrack[[Value]:[Value]],CostTrack[[PA ID]:[PA ID]],$B57,CostTrack[[Vendor - Contract]:[Vendor - Contract]],$H57,CostTrack[[Holdback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57" s="504">
        <f ca="1">SUMIFS(CostTrack[[Value]:[Value]],CostTrack[[PA ID]:[PA ID]],$B57,CostTrack[[Vendor - Contract]:[Vendor - Contract]],$H57,CostTrack[[Holdback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57" s="504">
        <f ca="1">SUMIFS(CostTrack[[Value]:[Value]],CostTrack[[PA ID]:[PA ID]],$B57,CostTrack[[Vendor - Contract]:[Vendor - Contract]],$H57,CostTrack[[Holdback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57" s="512">
        <f t="shared" ca="1" si="41"/>
        <v>0</v>
      </c>
      <c r="EC57" s="504">
        <f ca="1">SUMIFS(CostTrack[[Value]:[Value]],CostTrack[[PA ID]:[PA ID]],$B57,CostTrack[[Vendor - Contract]:[Vendor - Contract]],$H57,CostTrack[[Holdback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57" s="505"/>
      <c r="EE57" s="505"/>
      <c r="EF57" s="505"/>
      <c r="EG57" s="505"/>
      <c r="EH57" s="505"/>
      <c r="EI57" s="505"/>
      <c r="EJ57" s="505"/>
      <c r="EK57" s="505"/>
      <c r="EL57" s="505"/>
      <c r="EM57" s="505"/>
      <c r="EN57" s="505"/>
      <c r="EO57" s="512">
        <f t="shared" ca="1" si="42"/>
        <v>0</v>
      </c>
      <c r="EQ57" s="505"/>
      <c r="ER57" s="505"/>
      <c r="ES57" s="505"/>
      <c r="ET57" s="505"/>
      <c r="EU57" s="505"/>
      <c r="EV57" s="505"/>
      <c r="EW57" s="505"/>
      <c r="EX57" s="505"/>
      <c r="EY57" s="505"/>
      <c r="EZ57" s="505"/>
      <c r="FA57" s="505"/>
      <c r="FB57" s="505"/>
      <c r="FC57" s="512">
        <f t="shared" si="43"/>
        <v>0</v>
      </c>
      <c r="FE57" s="505"/>
      <c r="FF57" s="505"/>
      <c r="FG57" s="505"/>
      <c r="FH57" s="505"/>
      <c r="FI57" s="505"/>
      <c r="FJ57" s="505"/>
      <c r="FK57" s="505"/>
      <c r="FL57" s="505"/>
      <c r="FM57" s="505"/>
      <c r="FN57" s="505"/>
      <c r="FO57" s="505"/>
      <c r="FP57" s="505"/>
      <c r="FQ57" s="512">
        <f t="shared" si="44"/>
        <v>0</v>
      </c>
      <c r="FS57" s="504">
        <f t="shared" ca="1" si="45"/>
        <v>0</v>
      </c>
    </row>
    <row r="58" spans="1:175">
      <c r="A58" s="216">
        <v>51</v>
      </c>
      <c r="B58" s="219" t="str">
        <f ca="1">INDEX(EAC[PA ID],MATCH($A58,EAC[Row],0))</f>
        <v>200.050.F1</v>
      </c>
      <c r="C58" s="218" t="str">
        <f ca="1">INDEX(EAC[Primary Category],MATCH($A58,EAC[Row],0))</f>
        <v>Professional Services</v>
      </c>
      <c r="D58" s="218" t="str">
        <f ca="1">INDEX(EAC[Secondary Category],MATCH($A58,EAC[Row],0))</f>
        <v>Other Professional Services</v>
      </c>
      <c r="E58" s="109" t="str">
        <f ca="1">INDEX(EAC[Phase / Subproject],MATCH($A58,EAC[Row],0))</f>
        <v>--</v>
      </c>
      <c r="F58" s="109" t="str">
        <f ca="1">INDEX(EAC[Phase / Subproject 2],MATCH($A58,EAC[Row],0))</f>
        <v>--</v>
      </c>
      <c r="G58" s="109" t="str">
        <f ca="1">INDEX(EAC[Funding Source],MATCH($A58,EAC[Row],0))</f>
        <v>P-002360</v>
      </c>
      <c r="H58" s="146" t="str">
        <f ca="1">INDEX(EAC[Vendor / Org. with Contract ID],MATCH($A58,EAC[Row],0))</f>
        <v>ACI- Vibration Monitoring Consultant-37915</v>
      </c>
      <c r="I58" s="502">
        <f ca="1">INDEX(EAC[Estimate At Completion],MATCH($A58,EAC[Row],0))</f>
        <v>34404</v>
      </c>
      <c r="J58" s="502">
        <f ca="1">SUMIFS(CostTrack[Value],CostTrack[Vendor - Contract],$H58,CostTrack[PA ID],$B58,CostTrack[Holdback (Y/N/R)],"&lt;&gt;Release",CostTrack[Status],"Approved")</f>
        <v>34404</v>
      </c>
      <c r="K58" s="503">
        <f t="shared" ca="1" si="14"/>
        <v>0</v>
      </c>
      <c r="M58" s="504">
        <f t="shared" ca="1" si="15"/>
        <v>0</v>
      </c>
      <c r="O58" s="504">
        <f t="shared" ca="1" si="31"/>
        <v>34404</v>
      </c>
      <c r="P58" s="504">
        <f t="array" aca="1" ref="P58" ca="1">SUM($U58:$FQ58*_xlfn.ISFORMULA($U58:$FQ58)*ISNUMBER($U$7:$FQ$7)*--(INDEX($U$6:$FQ$6,N(IF({1},COLUMN($U$6:$FQ$6)-COLUMN($T$6)))-MOD(N(IF({1},COLUMN($U$6:$FQ$6)-COLUMN($U$6))),14))="Current Fiscal"))</f>
        <v>0</v>
      </c>
      <c r="Q58" s="504">
        <f t="array" aca="1" ref="Q58" ca="1">SUM($U58:$FQ58*NOT(_xlfn.ISFORMULA($U58:$FQ58))*ISNUMBER($U$7:$FQ$7)*--(INDEX($U$6:$FQ$6,N(IF({1},COLUMN($U$6:$FQ$6)-COLUMN($T$6)))-MOD(N(IF({1},COLUMN($U$6:$FQ$6)-COLUMN($U$6))),14))="Current Fiscal"))</f>
        <v>0</v>
      </c>
      <c r="R58" s="504">
        <f t="shared" ca="1" si="32"/>
        <v>0</v>
      </c>
      <c r="S58" s="504">
        <f t="shared" ca="1" si="33"/>
        <v>0</v>
      </c>
      <c r="U58" s="504">
        <f ca="1">SUMIFS(CostTrack[[Value]:[Value]],CostTrack[[PA ID]:[PA ID]],$B58,CostTrack[[Vendor - Contract]:[Vendor - Contract]],$H58,CostTrack[[Holdback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58" s="504">
        <f ca="1">SUMIFS(CostTrack[[Value]:[Value]],CostTrack[[PA ID]:[PA ID]],$B58,CostTrack[[Vendor - Contract]:[Vendor - Contract]],$H58,CostTrack[[Holdback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58" s="504">
        <f ca="1">SUMIFS(CostTrack[[Value]:[Value]],CostTrack[[PA ID]:[PA ID]],$B58,CostTrack[[Vendor - Contract]:[Vendor - Contract]],$H58,CostTrack[[Holdback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58" s="504">
        <f ca="1">SUMIFS(CostTrack[[Value]:[Value]],CostTrack[[PA ID]:[PA ID]],$B58,CostTrack[[Vendor - Contract]:[Vendor - Contract]],$H58,CostTrack[[Holdback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58" s="504">
        <f ca="1">SUMIFS(CostTrack[[Value]:[Value]],CostTrack[[PA ID]:[PA ID]],$B58,CostTrack[[Vendor - Contract]:[Vendor - Contract]],$H58,CostTrack[[Holdback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58" s="504">
        <f ca="1">SUMIFS(CostTrack[[Value]:[Value]],CostTrack[[PA ID]:[PA ID]],$B58,CostTrack[[Vendor - Contract]:[Vendor - Contract]],$H58,CostTrack[[Holdback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58" s="504">
        <f ca="1">SUMIFS(CostTrack[[Value]:[Value]],CostTrack[[PA ID]:[PA ID]],$B58,CostTrack[[Vendor - Contract]:[Vendor - Contract]],$H58,CostTrack[[Holdback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58" s="504">
        <f ca="1">SUMIFS(CostTrack[[Value]:[Value]],CostTrack[[PA ID]:[PA ID]],$B58,CostTrack[[Vendor - Contract]:[Vendor - Contract]],$H58,CostTrack[[Holdback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58" s="504">
        <f ca="1">SUMIFS(CostTrack[[Value]:[Value]],CostTrack[[PA ID]:[PA ID]],$B58,CostTrack[[Vendor - Contract]:[Vendor - Contract]],$H58,CostTrack[[Holdback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58" s="504">
        <f ca="1">SUMIFS(CostTrack[[Value]:[Value]],CostTrack[[PA ID]:[PA ID]],$B58,CostTrack[[Vendor - Contract]:[Vendor - Contract]],$H58,CostTrack[[Holdback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58" s="504">
        <f ca="1">SUMIFS(CostTrack[[Value]:[Value]],CostTrack[[PA ID]:[PA ID]],$B58,CostTrack[[Vendor - Contract]:[Vendor - Contract]],$H58,CostTrack[[Holdback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58" s="504">
        <f ca="1">SUMIFS(CostTrack[[Value]:[Value]],CostTrack[[PA ID]:[PA ID]],$B58,CostTrack[[Vendor - Contract]:[Vendor - Contract]],$H58,CostTrack[[Holdback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58" s="506">
        <f t="shared" ca="1" si="34"/>
        <v>0</v>
      </c>
      <c r="AI58" s="504">
        <f ca="1">SUMIFS(CostTrack[[Value]:[Value]],CostTrack[[PA ID]:[PA ID]],$B58,CostTrack[[Vendor - Contract]:[Vendor - Contract]],$H58,CostTrack[[Holdback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58" s="504">
        <f ca="1">SUMIFS(CostTrack[[Value]:[Value]],CostTrack[[PA ID]:[PA ID]],$B58,CostTrack[[Vendor - Contract]:[Vendor - Contract]],$H58,CostTrack[[Holdback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58" s="504">
        <f ca="1">SUMIFS(CostTrack[[Value]:[Value]],CostTrack[[PA ID]:[PA ID]],$B58,CostTrack[[Vendor - Contract]:[Vendor - Contract]],$H58,CostTrack[[Holdback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58" s="504">
        <f ca="1">SUMIFS(CostTrack[[Value]:[Value]],CostTrack[[PA ID]:[PA ID]],$B58,CostTrack[[Vendor - Contract]:[Vendor - Contract]],$H58,CostTrack[[Holdback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58" s="504">
        <f ca="1">SUMIFS(CostTrack[[Value]:[Value]],CostTrack[[PA ID]:[PA ID]],$B58,CostTrack[[Vendor - Contract]:[Vendor - Contract]],$H58,CostTrack[[Holdback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58" s="504">
        <f ca="1">SUMIFS(CostTrack[[Value]:[Value]],CostTrack[[PA ID]:[PA ID]],$B58,CostTrack[[Vendor - Contract]:[Vendor - Contract]],$H58,CostTrack[[Holdback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58" s="504">
        <f ca="1">SUMIFS(CostTrack[[Value]:[Value]],CostTrack[[PA ID]:[PA ID]],$B58,CostTrack[[Vendor - Contract]:[Vendor - Contract]],$H58,CostTrack[[Holdback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58" s="504">
        <f ca="1">SUMIFS(CostTrack[[Value]:[Value]],CostTrack[[PA ID]:[PA ID]],$B58,CostTrack[[Vendor - Contract]:[Vendor - Contract]],$H58,CostTrack[[Holdback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58" s="504">
        <f ca="1">SUMIFS(CostTrack[[Value]:[Value]],CostTrack[[PA ID]:[PA ID]],$B58,CostTrack[[Vendor - Contract]:[Vendor - Contract]],$H58,CostTrack[[Holdback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58" s="504">
        <f ca="1">SUMIFS(CostTrack[[Value]:[Value]],CostTrack[[PA ID]:[PA ID]],$B58,CostTrack[[Vendor - Contract]:[Vendor - Contract]],$H58,CostTrack[[Holdback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58" s="504">
        <f ca="1">SUMIFS(CostTrack[[Value]:[Value]],CostTrack[[PA ID]:[PA ID]],$B58,CostTrack[[Vendor - Contract]:[Vendor - Contract]],$H58,CostTrack[[Holdback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58" s="504">
        <f ca="1">SUMIFS(CostTrack[[Value]:[Value]],CostTrack[[PA ID]:[PA ID]],$B58,CostTrack[[Vendor - Contract]:[Vendor - Contract]],$H58,CostTrack[[Holdback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58" s="512">
        <f t="shared" ca="1" si="35"/>
        <v>0</v>
      </c>
      <c r="AW58" s="504">
        <f ca="1">SUMIFS(CostTrack[[Value]:[Value]],CostTrack[[PA ID]:[PA ID]],$B58,CostTrack[[Vendor - Contract]:[Vendor - Contract]],$H58,CostTrack[[Holdback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58" s="504">
        <f ca="1">SUMIFS(CostTrack[[Value]:[Value]],CostTrack[[PA ID]:[PA ID]],$B58,CostTrack[[Vendor - Contract]:[Vendor - Contract]],$H58,CostTrack[[Holdback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58" s="504">
        <f ca="1">SUMIFS(CostTrack[[Value]:[Value]],CostTrack[[PA ID]:[PA ID]],$B58,CostTrack[[Vendor - Contract]:[Vendor - Contract]],$H58,CostTrack[[Holdback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58" s="504">
        <f ca="1">SUMIFS(CostTrack[[Value]:[Value]],CostTrack[[PA ID]:[PA ID]],$B58,CostTrack[[Vendor - Contract]:[Vendor - Contract]],$H58,CostTrack[[Holdback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58" s="504">
        <f ca="1">SUMIFS(CostTrack[[Value]:[Value]],CostTrack[[PA ID]:[PA ID]],$B58,CostTrack[[Vendor - Contract]:[Vendor - Contract]],$H58,CostTrack[[Holdback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58" s="504">
        <f ca="1">SUMIFS(CostTrack[[Value]:[Value]],CostTrack[[PA ID]:[PA ID]],$B58,CostTrack[[Vendor - Contract]:[Vendor - Contract]],$H58,CostTrack[[Holdback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58" s="504">
        <f ca="1">SUMIFS(CostTrack[[Value]:[Value]],CostTrack[[PA ID]:[PA ID]],$B58,CostTrack[[Vendor - Contract]:[Vendor - Contract]],$H58,CostTrack[[Holdback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58" s="504">
        <f ca="1">SUMIFS(CostTrack[[Value]:[Value]],CostTrack[[PA ID]:[PA ID]],$B58,CostTrack[[Vendor - Contract]:[Vendor - Contract]],$H58,CostTrack[[Holdback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58" s="504">
        <f ca="1">SUMIFS(CostTrack[[Value]:[Value]],CostTrack[[PA ID]:[PA ID]],$B58,CostTrack[[Vendor - Contract]:[Vendor - Contract]],$H58,CostTrack[[Holdback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58" s="504">
        <f ca="1">SUMIFS(CostTrack[[Value]:[Value]],CostTrack[[PA ID]:[PA ID]],$B58,CostTrack[[Vendor - Contract]:[Vendor - Contract]],$H58,CostTrack[[Holdback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58" s="504">
        <f ca="1">SUMIFS(CostTrack[[Value]:[Value]],CostTrack[[PA ID]:[PA ID]],$B58,CostTrack[[Vendor - Contract]:[Vendor - Contract]],$H58,CostTrack[[Holdback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58" s="504">
        <f ca="1">SUMIFS(CostTrack[[Value]:[Value]],CostTrack[[PA ID]:[PA ID]],$B58,CostTrack[[Vendor - Contract]:[Vendor - Contract]],$H58,CostTrack[[Holdback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58" s="512">
        <f t="shared" ca="1" si="36"/>
        <v>0</v>
      </c>
      <c r="BK58" s="504">
        <f ca="1">SUMIFS(CostTrack[[Value]:[Value]],CostTrack[[PA ID]:[PA ID]],$B58,CostTrack[[Vendor - Contract]:[Vendor - Contract]],$H58,CostTrack[[Holdback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58" s="504">
        <f ca="1">SUMIFS(CostTrack[[Value]:[Value]],CostTrack[[PA ID]:[PA ID]],$B58,CostTrack[[Vendor - Contract]:[Vendor - Contract]],$H58,CostTrack[[Holdback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58" s="504">
        <f ca="1">SUMIFS(CostTrack[[Value]:[Value]],CostTrack[[PA ID]:[PA ID]],$B58,CostTrack[[Vendor - Contract]:[Vendor - Contract]],$H58,CostTrack[[Holdback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58" s="504">
        <f ca="1">SUMIFS(CostTrack[[Value]:[Value]],CostTrack[[PA ID]:[PA ID]],$B58,CostTrack[[Vendor - Contract]:[Vendor - Contract]],$H58,CostTrack[[Holdback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58" s="504">
        <f ca="1">SUMIFS(CostTrack[[Value]:[Value]],CostTrack[[PA ID]:[PA ID]],$B58,CostTrack[[Vendor - Contract]:[Vendor - Contract]],$H58,CostTrack[[Holdback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58" s="504">
        <f ca="1">SUMIFS(CostTrack[[Value]:[Value]],CostTrack[[PA ID]:[PA ID]],$B58,CostTrack[[Vendor - Contract]:[Vendor - Contract]],$H58,CostTrack[[Holdback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58" s="504">
        <f ca="1">SUMIFS(CostTrack[[Value]:[Value]],CostTrack[[PA ID]:[PA ID]],$B58,CostTrack[[Vendor - Contract]:[Vendor - Contract]],$H58,CostTrack[[Holdback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58" s="504">
        <f ca="1">SUMIFS(CostTrack[[Value]:[Value]],CostTrack[[PA ID]:[PA ID]],$B58,CostTrack[[Vendor - Contract]:[Vendor - Contract]],$H58,CostTrack[[Holdback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4124</v>
      </c>
      <c r="BS58" s="504">
        <f ca="1">SUMIFS(CostTrack[[Value]:[Value]],CostTrack[[PA ID]:[PA ID]],$B58,CostTrack[[Vendor - Contract]:[Vendor - Contract]],$H58,CostTrack[[Holdback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914</v>
      </c>
      <c r="BT58" s="504">
        <f ca="1">SUMIFS(CostTrack[[Value]:[Value]],CostTrack[[PA ID]:[PA ID]],$B58,CostTrack[[Vendor - Contract]:[Vendor - Contract]],$H58,CostTrack[[Holdback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58" s="504">
        <f ca="1">SUMIFS(CostTrack[[Value]:[Value]],CostTrack[[PA ID]:[PA ID]],$B58,CostTrack[[Vendor - Contract]:[Vendor - Contract]],$H58,CostTrack[[Holdback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3052</v>
      </c>
      <c r="BV58" s="504">
        <f ca="1">SUMIFS(CostTrack[[Value]:[Value]],CostTrack[[PA ID]:[PA ID]],$B58,CostTrack[[Vendor - Contract]:[Vendor - Contract]],$H58,CostTrack[[Holdback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2644</v>
      </c>
      <c r="BW58" s="512">
        <f t="shared" ca="1" si="37"/>
        <v>10734</v>
      </c>
      <c r="BY58" s="504">
        <f ca="1">SUMIFS(CostTrack[[Value]:[Value]],CostTrack[[PA ID]:[PA ID]],$B58,CostTrack[[Vendor - Contract]:[Vendor - Contract]],$H58,CostTrack[[Holdback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58" s="504">
        <f ca="1">SUMIFS(CostTrack[[Value]:[Value]],CostTrack[[PA ID]:[PA ID]],$B58,CostTrack[[Vendor - Contract]:[Vendor - Contract]],$H58,CostTrack[[Holdback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1322</v>
      </c>
      <c r="CA58" s="504">
        <f ca="1">SUMIFS(CostTrack[[Value]:[Value]],CostTrack[[PA ID]:[PA ID]],$B58,CostTrack[[Vendor - Contract]:[Vendor - Contract]],$H58,CostTrack[[Holdback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1322</v>
      </c>
      <c r="CB58" s="504">
        <f ca="1">SUMIFS(CostTrack[[Value]:[Value]],CostTrack[[PA ID]:[PA ID]],$B58,CostTrack[[Vendor - Contract]:[Vendor - Contract]],$H58,CostTrack[[Holdback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58" s="504">
        <f ca="1">SUMIFS(CostTrack[[Value]:[Value]],CostTrack[[PA ID]:[PA ID]],$B58,CostTrack[[Vendor - Contract]:[Vendor - Contract]],$H58,CostTrack[[Holdback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2644</v>
      </c>
      <c r="CD58" s="504">
        <f ca="1">SUMIFS(CostTrack[[Value]:[Value]],CostTrack[[PA ID]:[PA ID]],$B58,CostTrack[[Vendor - Contract]:[Vendor - Contract]],$H58,CostTrack[[Holdback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1322</v>
      </c>
      <c r="CE58" s="504">
        <f ca="1">SUMIFS(CostTrack[[Value]:[Value]],CostTrack[[PA ID]:[PA ID]],$B58,CostTrack[[Vendor - Contract]:[Vendor - Contract]],$H58,CostTrack[[Holdback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58" s="504">
        <f ca="1">SUMIFS(CostTrack[[Value]:[Value]],CostTrack[[PA ID]:[PA ID]],$B58,CostTrack[[Vendor - Contract]:[Vendor - Contract]],$H58,CostTrack[[Holdback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3044</v>
      </c>
      <c r="CG58" s="504">
        <f ca="1">SUMIFS(CostTrack[[Value]:[Value]],CostTrack[[PA ID]:[PA ID]],$B58,CostTrack[[Vendor - Contract]:[Vendor - Contract]],$H58,CostTrack[[Holdback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1322</v>
      </c>
      <c r="CH58" s="504">
        <f ca="1">SUMIFS(CostTrack[[Value]:[Value]],CostTrack[[PA ID]:[PA ID]],$B58,CostTrack[[Vendor - Contract]:[Vendor - Contract]],$H58,CostTrack[[Holdback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1322</v>
      </c>
      <c r="CI58" s="504">
        <f ca="1">SUMIFS(CostTrack[[Value]:[Value]],CostTrack[[PA ID]:[PA ID]],$B58,CostTrack[[Vendor - Contract]:[Vendor - Contract]],$H58,CostTrack[[Holdback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1322</v>
      </c>
      <c r="CJ58" s="504">
        <f ca="1">SUMIFS(CostTrack[[Value]:[Value]],CostTrack[[PA ID]:[PA ID]],$B58,CostTrack[[Vendor - Contract]:[Vendor - Contract]],$H58,CostTrack[[Holdback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914</v>
      </c>
      <c r="CK58" s="512">
        <f t="shared" ca="1" si="38"/>
        <v>14534</v>
      </c>
      <c r="CM58" s="504">
        <f ca="1">SUMIFS(CostTrack[[Value]:[Value]],CostTrack[[PA ID]:[PA ID]],$B58,CostTrack[[Vendor - Contract]:[Vendor - Contract]],$H58,CostTrack[[Holdback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914</v>
      </c>
      <c r="CN58" s="504">
        <f ca="1">SUMIFS(CostTrack[[Value]:[Value]],CostTrack[[PA ID]:[PA ID]],$B58,CostTrack[[Vendor - Contract]:[Vendor - Contract]],$H58,CostTrack[[Holdback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58" s="504">
        <f ca="1">SUMIFS(CostTrack[[Value]:[Value]],CostTrack[[PA ID]:[PA ID]],$B58,CostTrack[[Vendor - Contract]:[Vendor - Contract]],$H58,CostTrack[[Holdback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914</v>
      </c>
      <c r="CP58" s="504">
        <f ca="1">SUMIFS(CostTrack[[Value]:[Value]],CostTrack[[PA ID]:[PA ID]],$B58,CostTrack[[Vendor - Contract]:[Vendor - Contract]],$H58,CostTrack[[Holdback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914</v>
      </c>
      <c r="CQ58" s="504">
        <f ca="1">SUMIFS(CostTrack[[Value]:[Value]],CostTrack[[PA ID]:[PA ID]],$B58,CostTrack[[Vendor - Contract]:[Vendor - Contract]],$H58,CostTrack[[Holdback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2028</v>
      </c>
      <c r="CR58" s="504">
        <f ca="1">SUMIFS(CostTrack[[Value]:[Value]],CostTrack[[PA ID]:[PA ID]],$B58,CostTrack[[Vendor - Contract]:[Vendor - Contract]],$H58,CostTrack[[Holdback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914</v>
      </c>
      <c r="CS58" s="504">
        <f ca="1">SUMIFS(CostTrack[[Value]:[Value]],CostTrack[[PA ID]:[PA ID]],$B58,CostTrack[[Vendor - Contract]:[Vendor - Contract]],$H58,CostTrack[[Holdback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914</v>
      </c>
      <c r="CT58" s="504">
        <f ca="1">SUMIFS(CostTrack[[Value]:[Value]],CostTrack[[PA ID]:[PA ID]],$B58,CostTrack[[Vendor - Contract]:[Vendor - Contract]],$H58,CostTrack[[Holdback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2538</v>
      </c>
      <c r="CU58" s="504">
        <f ca="1">SUMIFS(CostTrack[[Value]:[Value]],CostTrack[[PA ID]:[PA ID]],$B58,CostTrack[[Vendor - Contract]:[Vendor - Contract]],$H58,CostTrack[[Holdback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58" s="504">
        <f ca="1">SUMIFS(CostTrack[[Value]:[Value]],CostTrack[[PA ID]:[PA ID]],$B58,CostTrack[[Vendor - Contract]:[Vendor - Contract]],$H58,CostTrack[[Holdback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58" s="504">
        <f ca="1">SUMIFS(CostTrack[[Value]:[Value]],CostTrack[[PA ID]:[PA ID]],$B58,CostTrack[[Vendor - Contract]:[Vendor - Contract]],$H58,CostTrack[[Holdback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58" s="504">
        <f ca="1">SUMIFS(CostTrack[[Value]:[Value]],CostTrack[[PA ID]:[PA ID]],$B58,CostTrack[[Vendor - Contract]:[Vendor - Contract]],$H58,CostTrack[[Holdback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58" s="512">
        <f t="shared" ca="1" si="39"/>
        <v>9136</v>
      </c>
      <c r="DA58" s="504">
        <f ca="1">SUMIFS(CostTrack[[Value]:[Value]],CostTrack[[PA ID]:[PA ID]],$B58,CostTrack[[Vendor - Contract]:[Vendor - Contract]],$H58,CostTrack[[Holdback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58" s="504">
        <f ca="1">SUMIFS(CostTrack[[Value]:[Value]],CostTrack[[PA ID]:[PA ID]],$B58,CostTrack[[Vendor - Contract]:[Vendor - Contract]],$H58,CostTrack[[Holdback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58" s="504">
        <f ca="1">SUMIFS(CostTrack[[Value]:[Value]],CostTrack[[PA ID]:[PA ID]],$B58,CostTrack[[Vendor - Contract]:[Vendor - Contract]],$H58,CostTrack[[Holdback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58" s="504">
        <f ca="1">SUMIFS(CostTrack[[Value]:[Value]],CostTrack[[PA ID]:[PA ID]],$B58,CostTrack[[Vendor - Contract]:[Vendor - Contract]],$H58,CostTrack[[Holdback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58" s="504">
        <f ca="1">SUMIFS(CostTrack[[Value]:[Value]],CostTrack[[PA ID]:[PA ID]],$B58,CostTrack[[Vendor - Contract]:[Vendor - Contract]],$H58,CostTrack[[Holdback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58" s="504">
        <f ca="1">SUMIFS(CostTrack[[Value]:[Value]],CostTrack[[PA ID]:[PA ID]],$B58,CostTrack[[Vendor - Contract]:[Vendor - Contract]],$H58,CostTrack[[Holdback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58" s="504">
        <f ca="1">SUMIFS(CostTrack[[Value]:[Value]],CostTrack[[PA ID]:[PA ID]],$B58,CostTrack[[Vendor - Contract]:[Vendor - Contract]],$H58,CostTrack[[Holdback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58" s="504">
        <f ca="1">SUMIFS(CostTrack[[Value]:[Value]],CostTrack[[PA ID]:[PA ID]],$B58,CostTrack[[Vendor - Contract]:[Vendor - Contract]],$H58,CostTrack[[Holdback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58" s="504">
        <f ca="1">SUMIFS(CostTrack[[Value]:[Value]],CostTrack[[PA ID]:[PA ID]],$B58,CostTrack[[Vendor - Contract]:[Vendor - Contract]],$H58,CostTrack[[Holdback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58" s="504">
        <f ca="1">SUMIFS(CostTrack[[Value]:[Value]],CostTrack[[PA ID]:[PA ID]],$B58,CostTrack[[Vendor - Contract]:[Vendor - Contract]],$H58,CostTrack[[Holdback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58" s="504">
        <f ca="1">SUMIFS(CostTrack[[Value]:[Value]],CostTrack[[PA ID]:[PA ID]],$B58,CostTrack[[Vendor - Contract]:[Vendor - Contract]],$H58,CostTrack[[Holdback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58" s="504">
        <f ca="1">SUMIFS(CostTrack[[Value]:[Value]],CostTrack[[PA ID]:[PA ID]],$B58,CostTrack[[Vendor - Contract]:[Vendor - Contract]],$H58,CostTrack[[Holdback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58" s="512">
        <f t="shared" ca="1" si="40"/>
        <v>0</v>
      </c>
      <c r="DO58" s="504">
        <f ca="1">SUMIFS(CostTrack[[Value]:[Value]],CostTrack[[PA ID]:[PA ID]],$B58,CostTrack[[Vendor - Contract]:[Vendor - Contract]],$H58,CostTrack[[Holdback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58" s="504">
        <f ca="1">SUMIFS(CostTrack[[Value]:[Value]],CostTrack[[PA ID]:[PA ID]],$B58,CostTrack[[Vendor - Contract]:[Vendor - Contract]],$H58,CostTrack[[Holdback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58" s="504">
        <f ca="1">SUMIFS(CostTrack[[Value]:[Value]],CostTrack[[PA ID]:[PA ID]],$B58,CostTrack[[Vendor - Contract]:[Vendor - Contract]],$H58,CostTrack[[Holdback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58" s="504">
        <f ca="1">SUMIFS(CostTrack[[Value]:[Value]],CostTrack[[PA ID]:[PA ID]],$B58,CostTrack[[Vendor - Contract]:[Vendor - Contract]],$H58,CostTrack[[Holdback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58" s="504">
        <f ca="1">SUMIFS(CostTrack[[Value]:[Value]],CostTrack[[PA ID]:[PA ID]],$B58,CostTrack[[Vendor - Contract]:[Vendor - Contract]],$H58,CostTrack[[Holdback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58" s="504">
        <f ca="1">SUMIFS(CostTrack[[Value]:[Value]],CostTrack[[PA ID]:[PA ID]],$B58,CostTrack[[Vendor - Contract]:[Vendor - Contract]],$H58,CostTrack[[Holdback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58" s="504">
        <f ca="1">SUMIFS(CostTrack[[Value]:[Value]],CostTrack[[PA ID]:[PA ID]],$B58,CostTrack[[Vendor - Contract]:[Vendor - Contract]],$H58,CostTrack[[Holdback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58" s="504">
        <f ca="1">SUMIFS(CostTrack[[Value]:[Value]],CostTrack[[PA ID]:[PA ID]],$B58,CostTrack[[Vendor - Contract]:[Vendor - Contract]],$H58,CostTrack[[Holdback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58" s="504">
        <f ca="1">SUMIFS(CostTrack[[Value]:[Value]],CostTrack[[PA ID]:[PA ID]],$B58,CostTrack[[Vendor - Contract]:[Vendor - Contract]],$H58,CostTrack[[Holdback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58" s="504">
        <f ca="1">SUMIFS(CostTrack[[Value]:[Value]],CostTrack[[PA ID]:[PA ID]],$B58,CostTrack[[Vendor - Contract]:[Vendor - Contract]],$H58,CostTrack[[Holdback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58" s="504">
        <f ca="1">SUMIFS(CostTrack[[Value]:[Value]],CostTrack[[PA ID]:[PA ID]],$B58,CostTrack[[Vendor - Contract]:[Vendor - Contract]],$H58,CostTrack[[Holdback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58" s="504">
        <f ca="1">SUMIFS(CostTrack[[Value]:[Value]],CostTrack[[PA ID]:[PA ID]],$B58,CostTrack[[Vendor - Contract]:[Vendor - Contract]],$H58,CostTrack[[Holdback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58" s="512">
        <f t="shared" ca="1" si="41"/>
        <v>0</v>
      </c>
      <c r="EC58" s="504">
        <f ca="1">SUMIFS(CostTrack[[Value]:[Value]],CostTrack[[PA ID]:[PA ID]],$B58,CostTrack[[Vendor - Contract]:[Vendor - Contract]],$H58,CostTrack[[Holdback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58" s="505"/>
      <c r="EE58" s="505"/>
      <c r="EF58" s="505"/>
      <c r="EG58" s="505"/>
      <c r="EH58" s="505"/>
      <c r="EI58" s="505"/>
      <c r="EJ58" s="505"/>
      <c r="EK58" s="505"/>
      <c r="EL58" s="505"/>
      <c r="EM58" s="505"/>
      <c r="EN58" s="505"/>
      <c r="EO58" s="512">
        <f t="shared" ca="1" si="42"/>
        <v>0</v>
      </c>
      <c r="EQ58" s="505"/>
      <c r="ER58" s="505"/>
      <c r="ES58" s="505"/>
      <c r="ET58" s="505"/>
      <c r="EU58" s="505"/>
      <c r="EV58" s="505"/>
      <c r="EW58" s="505"/>
      <c r="EX58" s="505"/>
      <c r="EY58" s="505"/>
      <c r="EZ58" s="505"/>
      <c r="FA58" s="505"/>
      <c r="FB58" s="505"/>
      <c r="FC58" s="512">
        <f t="shared" si="43"/>
        <v>0</v>
      </c>
      <c r="FE58" s="505"/>
      <c r="FF58" s="505"/>
      <c r="FG58" s="505"/>
      <c r="FH58" s="505"/>
      <c r="FI58" s="505"/>
      <c r="FJ58" s="505"/>
      <c r="FK58" s="505"/>
      <c r="FL58" s="505"/>
      <c r="FM58" s="505"/>
      <c r="FN58" s="505"/>
      <c r="FO58" s="505"/>
      <c r="FP58" s="505"/>
      <c r="FQ58" s="512">
        <f t="shared" si="44"/>
        <v>0</v>
      </c>
      <c r="FS58" s="504">
        <f t="shared" ca="1" si="45"/>
        <v>34404</v>
      </c>
    </row>
    <row r="59" spans="1:175">
      <c r="A59" s="216">
        <v>52</v>
      </c>
      <c r="B59" s="219" t="str">
        <f ca="1">INDEX(EAC[PA ID],MATCH($A59,EAC[Row],0))</f>
        <v>200.050.F1</v>
      </c>
      <c r="C59" s="218" t="str">
        <f ca="1">INDEX(EAC[Primary Category],MATCH($A59,EAC[Row],0))</f>
        <v>Professional Services</v>
      </c>
      <c r="D59" s="218" t="str">
        <f ca="1">INDEX(EAC[Secondary Category],MATCH($A59,EAC[Row],0))</f>
        <v>Other Professional Services</v>
      </c>
      <c r="E59" s="109" t="str">
        <f ca="1">INDEX(EAC[Phase / Subproject],MATCH($A59,EAC[Row],0))</f>
        <v>--</v>
      </c>
      <c r="F59" s="109" t="str">
        <f ca="1">INDEX(EAC[Phase / Subproject 2],MATCH($A59,EAC[Row],0))</f>
        <v>--</v>
      </c>
      <c r="G59" s="109" t="str">
        <f ca="1">INDEX(EAC[Funding Source],MATCH($A59,EAC[Row],0))</f>
        <v>P-002360</v>
      </c>
      <c r="H59" s="146" t="str">
        <f ca="1">INDEX(EAC[Vendor / Org. with Contract ID],MATCH($A59,EAC[Row],0))</f>
        <v>Future / Not Awarded</v>
      </c>
      <c r="I59" s="502">
        <f ca="1">INDEX(EAC[Estimate At Completion],MATCH($A59,EAC[Row],0))</f>
        <v>0</v>
      </c>
      <c r="J59" s="502">
        <f ca="1">SUMIFS(CostTrack[Value],CostTrack[Vendor - Contract],$H59,CostTrack[PA ID],$B59,CostTrack[Holdback (Y/N/R)],"&lt;&gt;Release",CostTrack[Status],"Approved")</f>
        <v>0</v>
      </c>
      <c r="K59" s="503">
        <f t="shared" ca="1" si="14"/>
        <v>0</v>
      </c>
      <c r="M59" s="504">
        <f t="shared" ca="1" si="15"/>
        <v>0</v>
      </c>
      <c r="O59" s="504">
        <f t="shared" ca="1" si="31"/>
        <v>0</v>
      </c>
      <c r="P59" s="504">
        <f t="array" aca="1" ref="P59" ca="1">SUM($U59:$FQ59*_xlfn.ISFORMULA($U59:$FQ59)*ISNUMBER($U$7:$FQ$7)*--(INDEX($U$6:$FQ$6,N(IF({1},COLUMN($U$6:$FQ$6)-COLUMN($T$6)))-MOD(N(IF({1},COLUMN($U$6:$FQ$6)-COLUMN($U$6))),14))="Current Fiscal"))</f>
        <v>0</v>
      </c>
      <c r="Q59" s="504">
        <f t="array" aca="1" ref="Q59" ca="1">SUM($U59:$FQ59*NOT(_xlfn.ISFORMULA($U59:$FQ59))*ISNUMBER($U$7:$FQ$7)*--(INDEX($U$6:$FQ$6,N(IF({1},COLUMN($U$6:$FQ$6)-COLUMN($T$6)))-MOD(N(IF({1},COLUMN($U$6:$FQ$6)-COLUMN($U$6))),14))="Current Fiscal"))</f>
        <v>0</v>
      </c>
      <c r="R59" s="504">
        <f t="shared" ca="1" si="32"/>
        <v>0</v>
      </c>
      <c r="S59" s="504">
        <f t="shared" ca="1" si="33"/>
        <v>0</v>
      </c>
      <c r="U59" s="504">
        <f ca="1">SUMIFS(CostTrack[[Value]:[Value]],CostTrack[[PA ID]:[PA ID]],$B59,CostTrack[[Vendor - Contract]:[Vendor - Contract]],$H59,CostTrack[[Holdback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59" s="504">
        <f ca="1">SUMIFS(CostTrack[[Value]:[Value]],CostTrack[[PA ID]:[PA ID]],$B59,CostTrack[[Vendor - Contract]:[Vendor - Contract]],$H59,CostTrack[[Holdback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59" s="504">
        <f ca="1">SUMIFS(CostTrack[[Value]:[Value]],CostTrack[[PA ID]:[PA ID]],$B59,CostTrack[[Vendor - Contract]:[Vendor - Contract]],$H59,CostTrack[[Holdback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59" s="504">
        <f ca="1">SUMIFS(CostTrack[[Value]:[Value]],CostTrack[[PA ID]:[PA ID]],$B59,CostTrack[[Vendor - Contract]:[Vendor - Contract]],$H59,CostTrack[[Holdback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59" s="504">
        <f ca="1">SUMIFS(CostTrack[[Value]:[Value]],CostTrack[[PA ID]:[PA ID]],$B59,CostTrack[[Vendor - Contract]:[Vendor - Contract]],$H59,CostTrack[[Holdback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59" s="504">
        <f ca="1">SUMIFS(CostTrack[[Value]:[Value]],CostTrack[[PA ID]:[PA ID]],$B59,CostTrack[[Vendor - Contract]:[Vendor - Contract]],$H59,CostTrack[[Holdback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59" s="504">
        <f ca="1">SUMIFS(CostTrack[[Value]:[Value]],CostTrack[[PA ID]:[PA ID]],$B59,CostTrack[[Vendor - Contract]:[Vendor - Contract]],$H59,CostTrack[[Holdback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59" s="504">
        <f ca="1">SUMIFS(CostTrack[[Value]:[Value]],CostTrack[[PA ID]:[PA ID]],$B59,CostTrack[[Vendor - Contract]:[Vendor - Contract]],$H59,CostTrack[[Holdback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59" s="504">
        <f ca="1">SUMIFS(CostTrack[[Value]:[Value]],CostTrack[[PA ID]:[PA ID]],$B59,CostTrack[[Vendor - Contract]:[Vendor - Contract]],$H59,CostTrack[[Holdback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59" s="504">
        <f ca="1">SUMIFS(CostTrack[[Value]:[Value]],CostTrack[[PA ID]:[PA ID]],$B59,CostTrack[[Vendor - Contract]:[Vendor - Contract]],$H59,CostTrack[[Holdback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59" s="504">
        <f ca="1">SUMIFS(CostTrack[[Value]:[Value]],CostTrack[[PA ID]:[PA ID]],$B59,CostTrack[[Vendor - Contract]:[Vendor - Contract]],$H59,CostTrack[[Holdback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59" s="504">
        <f ca="1">SUMIFS(CostTrack[[Value]:[Value]],CostTrack[[PA ID]:[PA ID]],$B59,CostTrack[[Vendor - Contract]:[Vendor - Contract]],$H59,CostTrack[[Holdback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59" s="506">
        <f t="shared" ca="1" si="34"/>
        <v>0</v>
      </c>
      <c r="AI59" s="504">
        <f ca="1">SUMIFS(CostTrack[[Value]:[Value]],CostTrack[[PA ID]:[PA ID]],$B59,CostTrack[[Vendor - Contract]:[Vendor - Contract]],$H59,CostTrack[[Holdback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59" s="504">
        <f ca="1">SUMIFS(CostTrack[[Value]:[Value]],CostTrack[[PA ID]:[PA ID]],$B59,CostTrack[[Vendor - Contract]:[Vendor - Contract]],$H59,CostTrack[[Holdback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59" s="504">
        <f ca="1">SUMIFS(CostTrack[[Value]:[Value]],CostTrack[[PA ID]:[PA ID]],$B59,CostTrack[[Vendor - Contract]:[Vendor - Contract]],$H59,CostTrack[[Holdback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59" s="504">
        <f ca="1">SUMIFS(CostTrack[[Value]:[Value]],CostTrack[[PA ID]:[PA ID]],$B59,CostTrack[[Vendor - Contract]:[Vendor - Contract]],$H59,CostTrack[[Holdback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59" s="504">
        <f ca="1">SUMIFS(CostTrack[[Value]:[Value]],CostTrack[[PA ID]:[PA ID]],$B59,CostTrack[[Vendor - Contract]:[Vendor - Contract]],$H59,CostTrack[[Holdback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59" s="504">
        <f ca="1">SUMIFS(CostTrack[[Value]:[Value]],CostTrack[[PA ID]:[PA ID]],$B59,CostTrack[[Vendor - Contract]:[Vendor - Contract]],$H59,CostTrack[[Holdback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59" s="504">
        <f ca="1">SUMIFS(CostTrack[[Value]:[Value]],CostTrack[[PA ID]:[PA ID]],$B59,CostTrack[[Vendor - Contract]:[Vendor - Contract]],$H59,CostTrack[[Holdback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59" s="504">
        <f ca="1">SUMIFS(CostTrack[[Value]:[Value]],CostTrack[[PA ID]:[PA ID]],$B59,CostTrack[[Vendor - Contract]:[Vendor - Contract]],$H59,CostTrack[[Holdback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59" s="504">
        <f ca="1">SUMIFS(CostTrack[[Value]:[Value]],CostTrack[[PA ID]:[PA ID]],$B59,CostTrack[[Vendor - Contract]:[Vendor - Contract]],$H59,CostTrack[[Holdback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59" s="504">
        <f ca="1">SUMIFS(CostTrack[[Value]:[Value]],CostTrack[[PA ID]:[PA ID]],$B59,CostTrack[[Vendor - Contract]:[Vendor - Contract]],$H59,CostTrack[[Holdback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59" s="504">
        <f ca="1">SUMIFS(CostTrack[[Value]:[Value]],CostTrack[[PA ID]:[PA ID]],$B59,CostTrack[[Vendor - Contract]:[Vendor - Contract]],$H59,CostTrack[[Holdback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59" s="504">
        <f ca="1">SUMIFS(CostTrack[[Value]:[Value]],CostTrack[[PA ID]:[PA ID]],$B59,CostTrack[[Vendor - Contract]:[Vendor - Contract]],$H59,CostTrack[[Holdback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59" s="512">
        <f t="shared" ca="1" si="35"/>
        <v>0</v>
      </c>
      <c r="AW59" s="504">
        <f ca="1">SUMIFS(CostTrack[[Value]:[Value]],CostTrack[[PA ID]:[PA ID]],$B59,CostTrack[[Vendor - Contract]:[Vendor - Contract]],$H59,CostTrack[[Holdback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59" s="504">
        <f ca="1">SUMIFS(CostTrack[[Value]:[Value]],CostTrack[[PA ID]:[PA ID]],$B59,CostTrack[[Vendor - Contract]:[Vendor - Contract]],$H59,CostTrack[[Holdback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59" s="504">
        <f ca="1">SUMIFS(CostTrack[[Value]:[Value]],CostTrack[[PA ID]:[PA ID]],$B59,CostTrack[[Vendor - Contract]:[Vendor - Contract]],$H59,CostTrack[[Holdback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59" s="504">
        <f ca="1">SUMIFS(CostTrack[[Value]:[Value]],CostTrack[[PA ID]:[PA ID]],$B59,CostTrack[[Vendor - Contract]:[Vendor - Contract]],$H59,CostTrack[[Holdback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59" s="504">
        <f ca="1">SUMIFS(CostTrack[[Value]:[Value]],CostTrack[[PA ID]:[PA ID]],$B59,CostTrack[[Vendor - Contract]:[Vendor - Contract]],$H59,CostTrack[[Holdback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59" s="504">
        <f ca="1">SUMIFS(CostTrack[[Value]:[Value]],CostTrack[[PA ID]:[PA ID]],$B59,CostTrack[[Vendor - Contract]:[Vendor - Contract]],$H59,CostTrack[[Holdback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59" s="504">
        <f ca="1">SUMIFS(CostTrack[[Value]:[Value]],CostTrack[[PA ID]:[PA ID]],$B59,CostTrack[[Vendor - Contract]:[Vendor - Contract]],$H59,CostTrack[[Holdback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59" s="504">
        <f ca="1">SUMIFS(CostTrack[[Value]:[Value]],CostTrack[[PA ID]:[PA ID]],$B59,CostTrack[[Vendor - Contract]:[Vendor - Contract]],$H59,CostTrack[[Holdback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59" s="504">
        <f ca="1">SUMIFS(CostTrack[[Value]:[Value]],CostTrack[[PA ID]:[PA ID]],$B59,CostTrack[[Vendor - Contract]:[Vendor - Contract]],$H59,CostTrack[[Holdback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59" s="504">
        <f ca="1">SUMIFS(CostTrack[[Value]:[Value]],CostTrack[[PA ID]:[PA ID]],$B59,CostTrack[[Vendor - Contract]:[Vendor - Contract]],$H59,CostTrack[[Holdback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59" s="504">
        <f ca="1">SUMIFS(CostTrack[[Value]:[Value]],CostTrack[[PA ID]:[PA ID]],$B59,CostTrack[[Vendor - Contract]:[Vendor - Contract]],$H59,CostTrack[[Holdback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59" s="504">
        <f ca="1">SUMIFS(CostTrack[[Value]:[Value]],CostTrack[[PA ID]:[PA ID]],$B59,CostTrack[[Vendor - Contract]:[Vendor - Contract]],$H59,CostTrack[[Holdback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59" s="512">
        <f t="shared" ca="1" si="36"/>
        <v>0</v>
      </c>
      <c r="BK59" s="504">
        <f ca="1">SUMIFS(CostTrack[[Value]:[Value]],CostTrack[[PA ID]:[PA ID]],$B59,CostTrack[[Vendor - Contract]:[Vendor - Contract]],$H59,CostTrack[[Holdback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59" s="504">
        <f ca="1">SUMIFS(CostTrack[[Value]:[Value]],CostTrack[[PA ID]:[PA ID]],$B59,CostTrack[[Vendor - Contract]:[Vendor - Contract]],$H59,CostTrack[[Holdback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59" s="504">
        <f ca="1">SUMIFS(CostTrack[[Value]:[Value]],CostTrack[[PA ID]:[PA ID]],$B59,CostTrack[[Vendor - Contract]:[Vendor - Contract]],$H59,CostTrack[[Holdback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59" s="504">
        <f ca="1">SUMIFS(CostTrack[[Value]:[Value]],CostTrack[[PA ID]:[PA ID]],$B59,CostTrack[[Vendor - Contract]:[Vendor - Contract]],$H59,CostTrack[[Holdback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59" s="504">
        <f ca="1">SUMIFS(CostTrack[[Value]:[Value]],CostTrack[[PA ID]:[PA ID]],$B59,CostTrack[[Vendor - Contract]:[Vendor - Contract]],$H59,CostTrack[[Holdback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59" s="504">
        <f ca="1">SUMIFS(CostTrack[[Value]:[Value]],CostTrack[[PA ID]:[PA ID]],$B59,CostTrack[[Vendor - Contract]:[Vendor - Contract]],$H59,CostTrack[[Holdback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59" s="504">
        <f ca="1">SUMIFS(CostTrack[[Value]:[Value]],CostTrack[[PA ID]:[PA ID]],$B59,CostTrack[[Vendor - Contract]:[Vendor - Contract]],$H59,CostTrack[[Holdback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59" s="504">
        <f ca="1">SUMIFS(CostTrack[[Value]:[Value]],CostTrack[[PA ID]:[PA ID]],$B59,CostTrack[[Vendor - Contract]:[Vendor - Contract]],$H59,CostTrack[[Holdback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59" s="504">
        <f ca="1">SUMIFS(CostTrack[[Value]:[Value]],CostTrack[[PA ID]:[PA ID]],$B59,CostTrack[[Vendor - Contract]:[Vendor - Contract]],$H59,CostTrack[[Holdback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59" s="504">
        <f ca="1">SUMIFS(CostTrack[[Value]:[Value]],CostTrack[[PA ID]:[PA ID]],$B59,CostTrack[[Vendor - Contract]:[Vendor - Contract]],$H59,CostTrack[[Holdback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59" s="504">
        <f ca="1">SUMIFS(CostTrack[[Value]:[Value]],CostTrack[[PA ID]:[PA ID]],$B59,CostTrack[[Vendor - Contract]:[Vendor - Contract]],$H59,CostTrack[[Holdback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59" s="504">
        <f ca="1">SUMIFS(CostTrack[[Value]:[Value]],CostTrack[[PA ID]:[PA ID]],$B59,CostTrack[[Vendor - Contract]:[Vendor - Contract]],$H59,CostTrack[[Holdback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59" s="512">
        <f t="shared" ca="1" si="37"/>
        <v>0</v>
      </c>
      <c r="BY59" s="504">
        <f ca="1">SUMIFS(CostTrack[[Value]:[Value]],CostTrack[[PA ID]:[PA ID]],$B59,CostTrack[[Vendor - Contract]:[Vendor - Contract]],$H59,CostTrack[[Holdback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59" s="504">
        <f ca="1">SUMIFS(CostTrack[[Value]:[Value]],CostTrack[[PA ID]:[PA ID]],$B59,CostTrack[[Vendor - Contract]:[Vendor - Contract]],$H59,CostTrack[[Holdback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59" s="504">
        <f ca="1">SUMIFS(CostTrack[[Value]:[Value]],CostTrack[[PA ID]:[PA ID]],$B59,CostTrack[[Vendor - Contract]:[Vendor - Contract]],$H59,CostTrack[[Holdback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59" s="504">
        <f ca="1">SUMIFS(CostTrack[[Value]:[Value]],CostTrack[[PA ID]:[PA ID]],$B59,CostTrack[[Vendor - Contract]:[Vendor - Contract]],$H59,CostTrack[[Holdback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59" s="504">
        <f ca="1">SUMIFS(CostTrack[[Value]:[Value]],CostTrack[[PA ID]:[PA ID]],$B59,CostTrack[[Vendor - Contract]:[Vendor - Contract]],$H59,CostTrack[[Holdback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59" s="504">
        <f ca="1">SUMIFS(CostTrack[[Value]:[Value]],CostTrack[[PA ID]:[PA ID]],$B59,CostTrack[[Vendor - Contract]:[Vendor - Contract]],$H59,CostTrack[[Holdback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59" s="504">
        <f ca="1">SUMIFS(CostTrack[[Value]:[Value]],CostTrack[[PA ID]:[PA ID]],$B59,CostTrack[[Vendor - Contract]:[Vendor - Contract]],$H59,CostTrack[[Holdback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59" s="504">
        <f ca="1">SUMIFS(CostTrack[[Value]:[Value]],CostTrack[[PA ID]:[PA ID]],$B59,CostTrack[[Vendor - Contract]:[Vendor - Contract]],$H59,CostTrack[[Holdback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59" s="504">
        <f ca="1">SUMIFS(CostTrack[[Value]:[Value]],CostTrack[[PA ID]:[PA ID]],$B59,CostTrack[[Vendor - Contract]:[Vendor - Contract]],$H59,CostTrack[[Holdback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59" s="504">
        <f ca="1">SUMIFS(CostTrack[[Value]:[Value]],CostTrack[[PA ID]:[PA ID]],$B59,CostTrack[[Vendor - Contract]:[Vendor - Contract]],$H59,CostTrack[[Holdback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59" s="504">
        <f ca="1">SUMIFS(CostTrack[[Value]:[Value]],CostTrack[[PA ID]:[PA ID]],$B59,CostTrack[[Vendor - Contract]:[Vendor - Contract]],$H59,CostTrack[[Holdback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59" s="504">
        <f ca="1">SUMIFS(CostTrack[[Value]:[Value]],CostTrack[[PA ID]:[PA ID]],$B59,CostTrack[[Vendor - Contract]:[Vendor - Contract]],$H59,CostTrack[[Holdback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59" s="512">
        <f t="shared" ca="1" si="38"/>
        <v>0</v>
      </c>
      <c r="CM59" s="504">
        <f ca="1">SUMIFS(CostTrack[[Value]:[Value]],CostTrack[[PA ID]:[PA ID]],$B59,CostTrack[[Vendor - Contract]:[Vendor - Contract]],$H59,CostTrack[[Holdback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59" s="504">
        <f ca="1">SUMIFS(CostTrack[[Value]:[Value]],CostTrack[[PA ID]:[PA ID]],$B59,CostTrack[[Vendor - Contract]:[Vendor - Contract]],$H59,CostTrack[[Holdback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59" s="504">
        <f ca="1">SUMIFS(CostTrack[[Value]:[Value]],CostTrack[[PA ID]:[PA ID]],$B59,CostTrack[[Vendor - Contract]:[Vendor - Contract]],$H59,CostTrack[[Holdback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59" s="504">
        <f ca="1">SUMIFS(CostTrack[[Value]:[Value]],CostTrack[[PA ID]:[PA ID]],$B59,CostTrack[[Vendor - Contract]:[Vendor - Contract]],$H59,CostTrack[[Holdback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59" s="504">
        <f ca="1">SUMIFS(CostTrack[[Value]:[Value]],CostTrack[[PA ID]:[PA ID]],$B59,CostTrack[[Vendor - Contract]:[Vendor - Contract]],$H59,CostTrack[[Holdback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59" s="504">
        <f ca="1">SUMIFS(CostTrack[[Value]:[Value]],CostTrack[[PA ID]:[PA ID]],$B59,CostTrack[[Vendor - Contract]:[Vendor - Contract]],$H59,CostTrack[[Holdback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59" s="504">
        <f ca="1">SUMIFS(CostTrack[[Value]:[Value]],CostTrack[[PA ID]:[PA ID]],$B59,CostTrack[[Vendor - Contract]:[Vendor - Contract]],$H59,CostTrack[[Holdback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59" s="504">
        <f ca="1">SUMIFS(CostTrack[[Value]:[Value]],CostTrack[[PA ID]:[PA ID]],$B59,CostTrack[[Vendor - Contract]:[Vendor - Contract]],$H59,CostTrack[[Holdback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59" s="504">
        <f ca="1">SUMIFS(CostTrack[[Value]:[Value]],CostTrack[[PA ID]:[PA ID]],$B59,CostTrack[[Vendor - Contract]:[Vendor - Contract]],$H59,CostTrack[[Holdback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59" s="504">
        <f ca="1">SUMIFS(CostTrack[[Value]:[Value]],CostTrack[[PA ID]:[PA ID]],$B59,CostTrack[[Vendor - Contract]:[Vendor - Contract]],$H59,CostTrack[[Holdback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59" s="504">
        <f ca="1">SUMIFS(CostTrack[[Value]:[Value]],CostTrack[[PA ID]:[PA ID]],$B59,CostTrack[[Vendor - Contract]:[Vendor - Contract]],$H59,CostTrack[[Holdback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59" s="504">
        <f ca="1">SUMIFS(CostTrack[[Value]:[Value]],CostTrack[[PA ID]:[PA ID]],$B59,CostTrack[[Vendor - Contract]:[Vendor - Contract]],$H59,CostTrack[[Holdback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59" s="512">
        <f t="shared" ca="1" si="39"/>
        <v>0</v>
      </c>
      <c r="DA59" s="504">
        <f ca="1">SUMIFS(CostTrack[[Value]:[Value]],CostTrack[[PA ID]:[PA ID]],$B59,CostTrack[[Vendor - Contract]:[Vendor - Contract]],$H59,CostTrack[[Holdback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59" s="504">
        <f ca="1">SUMIFS(CostTrack[[Value]:[Value]],CostTrack[[PA ID]:[PA ID]],$B59,CostTrack[[Vendor - Contract]:[Vendor - Contract]],$H59,CostTrack[[Holdback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59" s="504">
        <f ca="1">SUMIFS(CostTrack[[Value]:[Value]],CostTrack[[PA ID]:[PA ID]],$B59,CostTrack[[Vendor - Contract]:[Vendor - Contract]],$H59,CostTrack[[Holdback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59" s="504">
        <f ca="1">SUMIFS(CostTrack[[Value]:[Value]],CostTrack[[PA ID]:[PA ID]],$B59,CostTrack[[Vendor - Contract]:[Vendor - Contract]],$H59,CostTrack[[Holdback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59" s="504">
        <f ca="1">SUMIFS(CostTrack[[Value]:[Value]],CostTrack[[PA ID]:[PA ID]],$B59,CostTrack[[Vendor - Contract]:[Vendor - Contract]],$H59,CostTrack[[Holdback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59" s="504">
        <f ca="1">SUMIFS(CostTrack[[Value]:[Value]],CostTrack[[PA ID]:[PA ID]],$B59,CostTrack[[Vendor - Contract]:[Vendor - Contract]],$H59,CostTrack[[Holdback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59" s="504">
        <f ca="1">SUMIFS(CostTrack[[Value]:[Value]],CostTrack[[PA ID]:[PA ID]],$B59,CostTrack[[Vendor - Contract]:[Vendor - Contract]],$H59,CostTrack[[Holdback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59" s="504">
        <f ca="1">SUMIFS(CostTrack[[Value]:[Value]],CostTrack[[PA ID]:[PA ID]],$B59,CostTrack[[Vendor - Contract]:[Vendor - Contract]],$H59,CostTrack[[Holdback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59" s="504">
        <f ca="1">SUMIFS(CostTrack[[Value]:[Value]],CostTrack[[PA ID]:[PA ID]],$B59,CostTrack[[Vendor - Contract]:[Vendor - Contract]],$H59,CostTrack[[Holdback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59" s="504">
        <f ca="1">SUMIFS(CostTrack[[Value]:[Value]],CostTrack[[PA ID]:[PA ID]],$B59,CostTrack[[Vendor - Contract]:[Vendor - Contract]],$H59,CostTrack[[Holdback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59" s="504">
        <f ca="1">SUMIFS(CostTrack[[Value]:[Value]],CostTrack[[PA ID]:[PA ID]],$B59,CostTrack[[Vendor - Contract]:[Vendor - Contract]],$H59,CostTrack[[Holdback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59" s="504">
        <f ca="1">SUMIFS(CostTrack[[Value]:[Value]],CostTrack[[PA ID]:[PA ID]],$B59,CostTrack[[Vendor - Contract]:[Vendor - Contract]],$H59,CostTrack[[Holdback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59" s="512">
        <f t="shared" ca="1" si="40"/>
        <v>0</v>
      </c>
      <c r="DO59" s="504">
        <f ca="1">SUMIFS(CostTrack[[Value]:[Value]],CostTrack[[PA ID]:[PA ID]],$B59,CostTrack[[Vendor - Contract]:[Vendor - Contract]],$H59,CostTrack[[Holdback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59" s="504">
        <f ca="1">SUMIFS(CostTrack[[Value]:[Value]],CostTrack[[PA ID]:[PA ID]],$B59,CostTrack[[Vendor - Contract]:[Vendor - Contract]],$H59,CostTrack[[Holdback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59" s="504">
        <f ca="1">SUMIFS(CostTrack[[Value]:[Value]],CostTrack[[PA ID]:[PA ID]],$B59,CostTrack[[Vendor - Contract]:[Vendor - Contract]],$H59,CostTrack[[Holdback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59" s="504">
        <f ca="1">SUMIFS(CostTrack[[Value]:[Value]],CostTrack[[PA ID]:[PA ID]],$B59,CostTrack[[Vendor - Contract]:[Vendor - Contract]],$H59,CostTrack[[Holdback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59" s="504">
        <f ca="1">SUMIFS(CostTrack[[Value]:[Value]],CostTrack[[PA ID]:[PA ID]],$B59,CostTrack[[Vendor - Contract]:[Vendor - Contract]],$H59,CostTrack[[Holdback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59" s="504">
        <f ca="1">SUMIFS(CostTrack[[Value]:[Value]],CostTrack[[PA ID]:[PA ID]],$B59,CostTrack[[Vendor - Contract]:[Vendor - Contract]],$H59,CostTrack[[Holdback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59" s="504">
        <f ca="1">SUMIFS(CostTrack[[Value]:[Value]],CostTrack[[PA ID]:[PA ID]],$B59,CostTrack[[Vendor - Contract]:[Vendor - Contract]],$H59,CostTrack[[Holdback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59" s="504">
        <f ca="1">SUMIFS(CostTrack[[Value]:[Value]],CostTrack[[PA ID]:[PA ID]],$B59,CostTrack[[Vendor - Contract]:[Vendor - Contract]],$H59,CostTrack[[Holdback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59" s="504">
        <f ca="1">SUMIFS(CostTrack[[Value]:[Value]],CostTrack[[PA ID]:[PA ID]],$B59,CostTrack[[Vendor - Contract]:[Vendor - Contract]],$H59,CostTrack[[Holdback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59" s="504">
        <f ca="1">SUMIFS(CostTrack[[Value]:[Value]],CostTrack[[PA ID]:[PA ID]],$B59,CostTrack[[Vendor - Contract]:[Vendor - Contract]],$H59,CostTrack[[Holdback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59" s="504">
        <f ca="1">SUMIFS(CostTrack[[Value]:[Value]],CostTrack[[PA ID]:[PA ID]],$B59,CostTrack[[Vendor - Contract]:[Vendor - Contract]],$H59,CostTrack[[Holdback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59" s="504">
        <f ca="1">SUMIFS(CostTrack[[Value]:[Value]],CostTrack[[PA ID]:[PA ID]],$B59,CostTrack[[Vendor - Contract]:[Vendor - Contract]],$H59,CostTrack[[Holdback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59" s="512">
        <f t="shared" ca="1" si="41"/>
        <v>0</v>
      </c>
      <c r="EC59" s="504">
        <f ca="1">SUMIFS(CostTrack[[Value]:[Value]],CostTrack[[PA ID]:[PA ID]],$B59,CostTrack[[Vendor - Contract]:[Vendor - Contract]],$H59,CostTrack[[Holdback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59" s="505"/>
      <c r="EE59" s="505"/>
      <c r="EF59" s="505"/>
      <c r="EG59" s="505"/>
      <c r="EH59" s="505"/>
      <c r="EI59" s="505"/>
      <c r="EJ59" s="505"/>
      <c r="EK59" s="505"/>
      <c r="EL59" s="505"/>
      <c r="EM59" s="505"/>
      <c r="EN59" s="505"/>
      <c r="EO59" s="512">
        <f t="shared" ca="1" si="42"/>
        <v>0</v>
      </c>
      <c r="EQ59" s="505"/>
      <c r="ER59" s="505"/>
      <c r="ES59" s="505"/>
      <c r="ET59" s="505"/>
      <c r="EU59" s="505"/>
      <c r="EV59" s="505"/>
      <c r="EW59" s="505"/>
      <c r="EX59" s="505"/>
      <c r="EY59" s="505"/>
      <c r="EZ59" s="505"/>
      <c r="FA59" s="505"/>
      <c r="FB59" s="505"/>
      <c r="FC59" s="512">
        <f t="shared" si="43"/>
        <v>0</v>
      </c>
      <c r="FE59" s="505"/>
      <c r="FF59" s="505"/>
      <c r="FG59" s="505"/>
      <c r="FH59" s="505"/>
      <c r="FI59" s="505"/>
      <c r="FJ59" s="505"/>
      <c r="FK59" s="505"/>
      <c r="FL59" s="505"/>
      <c r="FM59" s="505"/>
      <c r="FN59" s="505"/>
      <c r="FO59" s="505"/>
      <c r="FP59" s="505"/>
      <c r="FQ59" s="512">
        <f t="shared" si="44"/>
        <v>0</v>
      </c>
      <c r="FS59" s="504">
        <f t="shared" ca="1" si="45"/>
        <v>0</v>
      </c>
    </row>
    <row r="60" spans="1:175">
      <c r="A60" s="216">
        <v>53</v>
      </c>
      <c r="B60" s="219" t="str">
        <f ca="1">INDEX(EAC[PA ID],MATCH($A60,EAC[Row],0))</f>
        <v>200.050.F1</v>
      </c>
      <c r="C60" s="218" t="str">
        <f ca="1">INDEX(EAC[Primary Category],MATCH($A60,EAC[Row],0))</f>
        <v>Professional Services</v>
      </c>
      <c r="D60" s="218" t="str">
        <f ca="1">INDEX(EAC[Secondary Category],MATCH($A60,EAC[Row],0))</f>
        <v>Other Professional Services</v>
      </c>
      <c r="E60" s="109" t="str">
        <f ca="1">INDEX(EAC[Phase / Subproject],MATCH($A60,EAC[Row],0))</f>
        <v>--</v>
      </c>
      <c r="F60" s="109" t="str">
        <f ca="1">INDEX(EAC[Phase / Subproject 2],MATCH($A60,EAC[Row],0))</f>
        <v>--</v>
      </c>
      <c r="G60" s="109" t="str">
        <f ca="1">INDEX(EAC[Funding Source],MATCH($A60,EAC[Row],0))</f>
        <v>P-002360</v>
      </c>
      <c r="H60" s="146" t="str">
        <f ca="1">INDEX(EAC[Vendor / Org. with Contract ID],MATCH($A60,EAC[Row],0))</f>
        <v>Stantec-Parsons House Consultant-37614</v>
      </c>
      <c r="I60" s="502">
        <f ca="1">INDEX(EAC[Estimate At Completion],MATCH($A60,EAC[Row],0))</f>
        <v>15656</v>
      </c>
      <c r="J60" s="502">
        <f ca="1">SUMIFS(CostTrack[Value],CostTrack[Vendor - Contract],$H60,CostTrack[PA ID],$B60,CostTrack[Holdback (Y/N/R)],"&lt;&gt;Release",CostTrack[Status],"Approved")</f>
        <v>15656</v>
      </c>
      <c r="K60" s="503">
        <f t="shared" ca="1" si="14"/>
        <v>0</v>
      </c>
      <c r="M60" s="504">
        <f t="shared" ca="1" si="15"/>
        <v>0</v>
      </c>
      <c r="O60" s="504">
        <f t="shared" ca="1" si="31"/>
        <v>15656</v>
      </c>
      <c r="P60" s="504">
        <f t="array" aca="1" ref="P60" ca="1">SUM($U60:$FQ60*_xlfn.ISFORMULA($U60:$FQ60)*ISNUMBER($U$7:$FQ$7)*--(INDEX($U$6:$FQ$6,N(IF({1},COLUMN($U$6:$FQ$6)-COLUMN($T$6)))-MOD(N(IF({1},COLUMN($U$6:$FQ$6)-COLUMN($U$6))),14))="Current Fiscal"))</f>
        <v>0</v>
      </c>
      <c r="Q60" s="504">
        <f t="array" aca="1" ref="Q60" ca="1">SUM($U60:$FQ60*NOT(_xlfn.ISFORMULA($U60:$FQ60))*ISNUMBER($U$7:$FQ$7)*--(INDEX($U$6:$FQ$6,N(IF({1},COLUMN($U$6:$FQ$6)-COLUMN($T$6)))-MOD(N(IF({1},COLUMN($U$6:$FQ$6)-COLUMN($U$6))),14))="Current Fiscal"))</f>
        <v>0</v>
      </c>
      <c r="R60" s="504">
        <f t="shared" ca="1" si="32"/>
        <v>0</v>
      </c>
      <c r="S60" s="504">
        <f t="shared" ca="1" si="33"/>
        <v>0</v>
      </c>
      <c r="U60" s="504">
        <f ca="1">SUMIFS(CostTrack[[Value]:[Value]],CostTrack[[PA ID]:[PA ID]],$B60,CostTrack[[Vendor - Contract]:[Vendor - Contract]],$H60,CostTrack[[Holdback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60" s="504">
        <f ca="1">SUMIFS(CostTrack[[Value]:[Value]],CostTrack[[PA ID]:[PA ID]],$B60,CostTrack[[Vendor - Contract]:[Vendor - Contract]],$H60,CostTrack[[Holdback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60" s="504">
        <f ca="1">SUMIFS(CostTrack[[Value]:[Value]],CostTrack[[PA ID]:[PA ID]],$B60,CostTrack[[Vendor - Contract]:[Vendor - Contract]],$H60,CostTrack[[Holdback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60" s="504">
        <f ca="1">SUMIFS(CostTrack[[Value]:[Value]],CostTrack[[PA ID]:[PA ID]],$B60,CostTrack[[Vendor - Contract]:[Vendor - Contract]],$H60,CostTrack[[Holdback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60" s="504">
        <f ca="1">SUMIFS(CostTrack[[Value]:[Value]],CostTrack[[PA ID]:[PA ID]],$B60,CostTrack[[Vendor - Contract]:[Vendor - Contract]],$H60,CostTrack[[Holdback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60" s="504">
        <f ca="1">SUMIFS(CostTrack[[Value]:[Value]],CostTrack[[PA ID]:[PA ID]],$B60,CostTrack[[Vendor - Contract]:[Vendor - Contract]],$H60,CostTrack[[Holdback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60" s="504">
        <f ca="1">SUMIFS(CostTrack[[Value]:[Value]],CostTrack[[PA ID]:[PA ID]],$B60,CostTrack[[Vendor - Contract]:[Vendor - Contract]],$H60,CostTrack[[Holdback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60" s="504">
        <f ca="1">SUMIFS(CostTrack[[Value]:[Value]],CostTrack[[PA ID]:[PA ID]],$B60,CostTrack[[Vendor - Contract]:[Vendor - Contract]],$H60,CostTrack[[Holdback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60" s="504">
        <f ca="1">SUMIFS(CostTrack[[Value]:[Value]],CostTrack[[PA ID]:[PA ID]],$B60,CostTrack[[Vendor - Contract]:[Vendor - Contract]],$H60,CostTrack[[Holdback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60" s="504">
        <f ca="1">SUMIFS(CostTrack[[Value]:[Value]],CostTrack[[PA ID]:[PA ID]],$B60,CostTrack[[Vendor - Contract]:[Vendor - Contract]],$H60,CostTrack[[Holdback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60" s="504">
        <f ca="1">SUMIFS(CostTrack[[Value]:[Value]],CostTrack[[PA ID]:[PA ID]],$B60,CostTrack[[Vendor - Contract]:[Vendor - Contract]],$H60,CostTrack[[Holdback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60" s="504">
        <f ca="1">SUMIFS(CostTrack[[Value]:[Value]],CostTrack[[PA ID]:[PA ID]],$B60,CostTrack[[Vendor - Contract]:[Vendor - Contract]],$H60,CostTrack[[Holdback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60" s="506">
        <f t="shared" ca="1" si="34"/>
        <v>0</v>
      </c>
      <c r="AI60" s="504">
        <f ca="1">SUMIFS(CostTrack[[Value]:[Value]],CostTrack[[PA ID]:[PA ID]],$B60,CostTrack[[Vendor - Contract]:[Vendor - Contract]],$H60,CostTrack[[Holdback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60" s="504">
        <f ca="1">SUMIFS(CostTrack[[Value]:[Value]],CostTrack[[PA ID]:[PA ID]],$B60,CostTrack[[Vendor - Contract]:[Vendor - Contract]],$H60,CostTrack[[Holdback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60" s="504">
        <f ca="1">SUMIFS(CostTrack[[Value]:[Value]],CostTrack[[PA ID]:[PA ID]],$B60,CostTrack[[Vendor - Contract]:[Vendor - Contract]],$H60,CostTrack[[Holdback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60" s="504">
        <f ca="1">SUMIFS(CostTrack[[Value]:[Value]],CostTrack[[PA ID]:[PA ID]],$B60,CostTrack[[Vendor - Contract]:[Vendor - Contract]],$H60,CostTrack[[Holdback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60" s="504">
        <f ca="1">SUMIFS(CostTrack[[Value]:[Value]],CostTrack[[PA ID]:[PA ID]],$B60,CostTrack[[Vendor - Contract]:[Vendor - Contract]],$H60,CostTrack[[Holdback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60" s="504">
        <f ca="1">SUMIFS(CostTrack[[Value]:[Value]],CostTrack[[PA ID]:[PA ID]],$B60,CostTrack[[Vendor - Contract]:[Vendor - Contract]],$H60,CostTrack[[Holdback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60" s="504">
        <f ca="1">SUMIFS(CostTrack[[Value]:[Value]],CostTrack[[PA ID]:[PA ID]],$B60,CostTrack[[Vendor - Contract]:[Vendor - Contract]],$H60,CostTrack[[Holdback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60" s="504">
        <f ca="1">SUMIFS(CostTrack[[Value]:[Value]],CostTrack[[PA ID]:[PA ID]],$B60,CostTrack[[Vendor - Contract]:[Vendor - Contract]],$H60,CostTrack[[Holdback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60" s="504">
        <f ca="1">SUMIFS(CostTrack[[Value]:[Value]],CostTrack[[PA ID]:[PA ID]],$B60,CostTrack[[Vendor - Contract]:[Vendor - Contract]],$H60,CostTrack[[Holdback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60" s="504">
        <f ca="1">SUMIFS(CostTrack[[Value]:[Value]],CostTrack[[PA ID]:[PA ID]],$B60,CostTrack[[Vendor - Contract]:[Vendor - Contract]],$H60,CostTrack[[Holdback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60" s="504">
        <f ca="1">SUMIFS(CostTrack[[Value]:[Value]],CostTrack[[PA ID]:[PA ID]],$B60,CostTrack[[Vendor - Contract]:[Vendor - Contract]],$H60,CostTrack[[Holdback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60" s="504">
        <f ca="1">SUMIFS(CostTrack[[Value]:[Value]],CostTrack[[PA ID]:[PA ID]],$B60,CostTrack[[Vendor - Contract]:[Vendor - Contract]],$H60,CostTrack[[Holdback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60" s="512">
        <f t="shared" ca="1" si="35"/>
        <v>0</v>
      </c>
      <c r="AW60" s="504">
        <f ca="1">SUMIFS(CostTrack[[Value]:[Value]],CostTrack[[PA ID]:[PA ID]],$B60,CostTrack[[Vendor - Contract]:[Vendor - Contract]],$H60,CostTrack[[Holdback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60" s="504">
        <f ca="1">SUMIFS(CostTrack[[Value]:[Value]],CostTrack[[PA ID]:[PA ID]],$B60,CostTrack[[Vendor - Contract]:[Vendor - Contract]],$H60,CostTrack[[Holdback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60" s="504">
        <f ca="1">SUMIFS(CostTrack[[Value]:[Value]],CostTrack[[PA ID]:[PA ID]],$B60,CostTrack[[Vendor - Contract]:[Vendor - Contract]],$H60,CostTrack[[Holdback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60" s="504">
        <f ca="1">SUMIFS(CostTrack[[Value]:[Value]],CostTrack[[PA ID]:[PA ID]],$B60,CostTrack[[Vendor - Contract]:[Vendor - Contract]],$H60,CostTrack[[Holdback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60" s="504">
        <f ca="1">SUMIFS(CostTrack[[Value]:[Value]],CostTrack[[PA ID]:[PA ID]],$B60,CostTrack[[Vendor - Contract]:[Vendor - Contract]],$H60,CostTrack[[Holdback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60" s="504">
        <f ca="1">SUMIFS(CostTrack[[Value]:[Value]],CostTrack[[PA ID]:[PA ID]],$B60,CostTrack[[Vendor - Contract]:[Vendor - Contract]],$H60,CostTrack[[Holdback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60" s="504">
        <f ca="1">SUMIFS(CostTrack[[Value]:[Value]],CostTrack[[PA ID]:[PA ID]],$B60,CostTrack[[Vendor - Contract]:[Vendor - Contract]],$H60,CostTrack[[Holdback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60" s="504">
        <f ca="1">SUMIFS(CostTrack[[Value]:[Value]],CostTrack[[PA ID]:[PA ID]],$B60,CostTrack[[Vendor - Contract]:[Vendor - Contract]],$H60,CostTrack[[Holdback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60" s="504">
        <f ca="1">SUMIFS(CostTrack[[Value]:[Value]],CostTrack[[PA ID]:[PA ID]],$B60,CostTrack[[Vendor - Contract]:[Vendor - Contract]],$H60,CostTrack[[Holdback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60" s="504">
        <f ca="1">SUMIFS(CostTrack[[Value]:[Value]],CostTrack[[PA ID]:[PA ID]],$B60,CostTrack[[Vendor - Contract]:[Vendor - Contract]],$H60,CostTrack[[Holdback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60" s="504">
        <f ca="1">SUMIFS(CostTrack[[Value]:[Value]],CostTrack[[PA ID]:[PA ID]],$B60,CostTrack[[Vendor - Contract]:[Vendor - Contract]],$H60,CostTrack[[Holdback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60" s="504">
        <f ca="1">SUMIFS(CostTrack[[Value]:[Value]],CostTrack[[PA ID]:[PA ID]],$B60,CostTrack[[Vendor - Contract]:[Vendor - Contract]],$H60,CostTrack[[Holdback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60" s="512">
        <f t="shared" ca="1" si="36"/>
        <v>0</v>
      </c>
      <c r="BK60" s="504">
        <f ca="1">SUMIFS(CostTrack[[Value]:[Value]],CostTrack[[PA ID]:[PA ID]],$B60,CostTrack[[Vendor - Contract]:[Vendor - Contract]],$H60,CostTrack[[Holdback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60" s="504">
        <f ca="1">SUMIFS(CostTrack[[Value]:[Value]],CostTrack[[PA ID]:[PA ID]],$B60,CostTrack[[Vendor - Contract]:[Vendor - Contract]],$H60,CostTrack[[Holdback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60" s="504">
        <f ca="1">SUMIFS(CostTrack[[Value]:[Value]],CostTrack[[PA ID]:[PA ID]],$B60,CostTrack[[Vendor - Contract]:[Vendor - Contract]],$H60,CostTrack[[Holdback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60" s="504">
        <f ca="1">SUMIFS(CostTrack[[Value]:[Value]],CostTrack[[PA ID]:[PA ID]],$B60,CostTrack[[Vendor - Contract]:[Vendor - Contract]],$H60,CostTrack[[Holdback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60" s="504">
        <f ca="1">SUMIFS(CostTrack[[Value]:[Value]],CostTrack[[PA ID]:[PA ID]],$B60,CostTrack[[Vendor - Contract]:[Vendor - Contract]],$H60,CostTrack[[Holdback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60" s="504">
        <f ca="1">SUMIFS(CostTrack[[Value]:[Value]],CostTrack[[PA ID]:[PA ID]],$B60,CostTrack[[Vendor - Contract]:[Vendor - Contract]],$H60,CostTrack[[Holdback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4723.45</v>
      </c>
      <c r="BQ60" s="504">
        <f ca="1">SUMIFS(CostTrack[[Value]:[Value]],CostTrack[[PA ID]:[PA ID]],$B60,CostTrack[[Vendor - Contract]:[Vendor - Contract]],$H60,CostTrack[[Holdback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60" s="504">
        <f ca="1">SUMIFS(CostTrack[[Value]:[Value]],CostTrack[[PA ID]:[PA ID]],$B60,CostTrack[[Vendor - Contract]:[Vendor - Contract]],$H60,CostTrack[[Holdback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60" s="504">
        <f ca="1">SUMIFS(CostTrack[[Value]:[Value]],CostTrack[[PA ID]:[PA ID]],$B60,CostTrack[[Vendor - Contract]:[Vendor - Contract]],$H60,CostTrack[[Holdback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60" s="504">
        <f ca="1">SUMIFS(CostTrack[[Value]:[Value]],CostTrack[[PA ID]:[PA ID]],$B60,CostTrack[[Vendor - Contract]:[Vendor - Contract]],$H60,CostTrack[[Holdback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60" s="504">
        <f ca="1">SUMIFS(CostTrack[[Value]:[Value]],CostTrack[[PA ID]:[PA ID]],$B60,CostTrack[[Vendor - Contract]:[Vendor - Contract]],$H60,CostTrack[[Holdback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60" s="504">
        <f ca="1">SUMIFS(CostTrack[[Value]:[Value]],CostTrack[[PA ID]:[PA ID]],$B60,CostTrack[[Vendor - Contract]:[Vendor - Contract]],$H60,CostTrack[[Holdback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2094.0500000000002</v>
      </c>
      <c r="BW60" s="512">
        <f t="shared" ca="1" si="37"/>
        <v>6817.5</v>
      </c>
      <c r="BY60" s="504">
        <f ca="1">SUMIFS(CostTrack[[Value]:[Value]],CostTrack[[PA ID]:[PA ID]],$B60,CostTrack[[Vendor - Contract]:[Vendor - Contract]],$H60,CostTrack[[Holdback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60" s="504">
        <f ca="1">SUMIFS(CostTrack[[Value]:[Value]],CostTrack[[PA ID]:[PA ID]],$B60,CostTrack[[Vendor - Contract]:[Vendor - Contract]],$H60,CostTrack[[Holdback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60" s="504">
        <f ca="1">SUMIFS(CostTrack[[Value]:[Value]],CostTrack[[PA ID]:[PA ID]],$B60,CostTrack[[Vendor - Contract]:[Vendor - Contract]],$H60,CostTrack[[Holdback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60" s="504">
        <f ca="1">SUMIFS(CostTrack[[Value]:[Value]],CostTrack[[PA ID]:[PA ID]],$B60,CostTrack[[Vendor - Contract]:[Vendor - Contract]],$H60,CostTrack[[Holdback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60" s="504">
        <f ca="1">SUMIFS(CostTrack[[Value]:[Value]],CostTrack[[PA ID]:[PA ID]],$B60,CostTrack[[Vendor - Contract]:[Vendor - Contract]],$H60,CostTrack[[Holdback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60" s="504">
        <f ca="1">SUMIFS(CostTrack[[Value]:[Value]],CostTrack[[PA ID]:[PA ID]],$B60,CostTrack[[Vendor - Contract]:[Vendor - Contract]],$H60,CostTrack[[Holdback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60" s="504">
        <f ca="1">SUMIFS(CostTrack[[Value]:[Value]],CostTrack[[PA ID]:[PA ID]],$B60,CostTrack[[Vendor - Contract]:[Vendor - Contract]],$H60,CostTrack[[Holdback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60" s="504">
        <f ca="1">SUMIFS(CostTrack[[Value]:[Value]],CostTrack[[PA ID]:[PA ID]],$B60,CostTrack[[Vendor - Contract]:[Vendor - Contract]],$H60,CostTrack[[Holdback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60" s="504">
        <f ca="1">SUMIFS(CostTrack[[Value]:[Value]],CostTrack[[PA ID]:[PA ID]],$B60,CostTrack[[Vendor - Contract]:[Vendor - Contract]],$H60,CostTrack[[Holdback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60" s="504">
        <f ca="1">SUMIFS(CostTrack[[Value]:[Value]],CostTrack[[PA ID]:[PA ID]],$B60,CostTrack[[Vendor - Contract]:[Vendor - Contract]],$H60,CostTrack[[Holdback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60" s="504">
        <f ca="1">SUMIFS(CostTrack[[Value]:[Value]],CostTrack[[PA ID]:[PA ID]],$B60,CostTrack[[Vendor - Contract]:[Vendor - Contract]],$H60,CostTrack[[Holdback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60" s="504">
        <f ca="1">SUMIFS(CostTrack[[Value]:[Value]],CostTrack[[PA ID]:[PA ID]],$B60,CostTrack[[Vendor - Contract]:[Vendor - Contract]],$H60,CostTrack[[Holdback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60" s="512">
        <f t="shared" ca="1" si="38"/>
        <v>0</v>
      </c>
      <c r="CM60" s="504">
        <f ca="1">SUMIFS(CostTrack[[Value]:[Value]],CostTrack[[PA ID]:[PA ID]],$B60,CostTrack[[Vendor - Contract]:[Vendor - Contract]],$H60,CostTrack[[Holdback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60" s="504">
        <f ca="1">SUMIFS(CostTrack[[Value]:[Value]],CostTrack[[PA ID]:[PA ID]],$B60,CostTrack[[Vendor - Contract]:[Vendor - Contract]],$H60,CostTrack[[Holdback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60" s="504">
        <f ca="1">SUMIFS(CostTrack[[Value]:[Value]],CostTrack[[PA ID]:[PA ID]],$B60,CostTrack[[Vendor - Contract]:[Vendor - Contract]],$H60,CostTrack[[Holdback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60" s="504">
        <f ca="1">SUMIFS(CostTrack[[Value]:[Value]],CostTrack[[PA ID]:[PA ID]],$B60,CostTrack[[Vendor - Contract]:[Vendor - Contract]],$H60,CostTrack[[Holdback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60" s="504">
        <f ca="1">SUMIFS(CostTrack[[Value]:[Value]],CostTrack[[PA ID]:[PA ID]],$B60,CostTrack[[Vendor - Contract]:[Vendor - Contract]],$H60,CostTrack[[Holdback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60" s="504">
        <f ca="1">SUMIFS(CostTrack[[Value]:[Value]],CostTrack[[PA ID]:[PA ID]],$B60,CostTrack[[Vendor - Contract]:[Vendor - Contract]],$H60,CostTrack[[Holdback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60" s="504">
        <f ca="1">SUMIFS(CostTrack[[Value]:[Value]],CostTrack[[PA ID]:[PA ID]],$B60,CostTrack[[Vendor - Contract]:[Vendor - Contract]],$H60,CostTrack[[Holdback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60" s="504">
        <f ca="1">SUMIFS(CostTrack[[Value]:[Value]],CostTrack[[PA ID]:[PA ID]],$B60,CostTrack[[Vendor - Contract]:[Vendor - Contract]],$H60,CostTrack[[Holdback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60" s="504">
        <f ca="1">SUMIFS(CostTrack[[Value]:[Value]],CostTrack[[PA ID]:[PA ID]],$B60,CostTrack[[Vendor - Contract]:[Vendor - Contract]],$H60,CostTrack[[Holdback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60" s="504">
        <f ca="1">SUMIFS(CostTrack[[Value]:[Value]],CostTrack[[PA ID]:[PA ID]],$B60,CostTrack[[Vendor - Contract]:[Vendor - Contract]],$H60,CostTrack[[Holdback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60" s="504">
        <f ca="1">SUMIFS(CostTrack[[Value]:[Value]],CostTrack[[PA ID]:[PA ID]],$B60,CostTrack[[Vendor - Contract]:[Vendor - Contract]],$H60,CostTrack[[Holdback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60" s="504">
        <f ca="1">SUMIFS(CostTrack[[Value]:[Value]],CostTrack[[PA ID]:[PA ID]],$B60,CostTrack[[Vendor - Contract]:[Vendor - Contract]],$H60,CostTrack[[Holdback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60" s="512">
        <f t="shared" ca="1" si="39"/>
        <v>0</v>
      </c>
      <c r="DA60" s="504">
        <f ca="1">SUMIFS(CostTrack[[Value]:[Value]],CostTrack[[PA ID]:[PA ID]],$B60,CostTrack[[Vendor - Contract]:[Vendor - Contract]],$H60,CostTrack[[Holdback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60" s="504">
        <f ca="1">SUMIFS(CostTrack[[Value]:[Value]],CostTrack[[PA ID]:[PA ID]],$B60,CostTrack[[Vendor - Contract]:[Vendor - Contract]],$H60,CostTrack[[Holdback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60" s="504">
        <f ca="1">SUMIFS(CostTrack[[Value]:[Value]],CostTrack[[PA ID]:[PA ID]],$B60,CostTrack[[Vendor - Contract]:[Vendor - Contract]],$H60,CostTrack[[Holdback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60" s="504">
        <f ca="1">SUMIFS(CostTrack[[Value]:[Value]],CostTrack[[PA ID]:[PA ID]],$B60,CostTrack[[Vendor - Contract]:[Vendor - Contract]],$H60,CostTrack[[Holdback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60" s="504">
        <f ca="1">SUMIFS(CostTrack[[Value]:[Value]],CostTrack[[PA ID]:[PA ID]],$B60,CostTrack[[Vendor - Contract]:[Vendor - Contract]],$H60,CostTrack[[Holdback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60" s="504">
        <f ca="1">SUMIFS(CostTrack[[Value]:[Value]],CostTrack[[PA ID]:[PA ID]],$B60,CostTrack[[Vendor - Contract]:[Vendor - Contract]],$H60,CostTrack[[Holdback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60" s="504">
        <f ca="1">SUMIFS(CostTrack[[Value]:[Value]],CostTrack[[PA ID]:[PA ID]],$B60,CostTrack[[Vendor - Contract]:[Vendor - Contract]],$H60,CostTrack[[Holdback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60" s="504">
        <f ca="1">SUMIFS(CostTrack[[Value]:[Value]],CostTrack[[PA ID]:[PA ID]],$B60,CostTrack[[Vendor - Contract]:[Vendor - Contract]],$H60,CostTrack[[Holdback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60" s="504">
        <f ca="1">SUMIFS(CostTrack[[Value]:[Value]],CostTrack[[PA ID]:[PA ID]],$B60,CostTrack[[Vendor - Contract]:[Vendor - Contract]],$H60,CostTrack[[Holdback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60" s="504">
        <f ca="1">SUMIFS(CostTrack[[Value]:[Value]],CostTrack[[PA ID]:[PA ID]],$B60,CostTrack[[Vendor - Contract]:[Vendor - Contract]],$H60,CostTrack[[Holdback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60" s="504">
        <f ca="1">SUMIFS(CostTrack[[Value]:[Value]],CostTrack[[PA ID]:[PA ID]],$B60,CostTrack[[Vendor - Contract]:[Vendor - Contract]],$H60,CostTrack[[Holdback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60" s="504">
        <f ca="1">SUMIFS(CostTrack[[Value]:[Value]],CostTrack[[PA ID]:[PA ID]],$B60,CostTrack[[Vendor - Contract]:[Vendor - Contract]],$H60,CostTrack[[Holdback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60" s="512">
        <f t="shared" ca="1" si="40"/>
        <v>0</v>
      </c>
      <c r="DO60" s="504">
        <f ca="1">SUMIFS(CostTrack[[Value]:[Value]],CostTrack[[PA ID]:[PA ID]],$B60,CostTrack[[Vendor - Contract]:[Vendor - Contract]],$H60,CostTrack[[Holdback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60" s="504">
        <f ca="1">SUMIFS(CostTrack[[Value]:[Value]],CostTrack[[PA ID]:[PA ID]],$B60,CostTrack[[Vendor - Contract]:[Vendor - Contract]],$H60,CostTrack[[Holdback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60" s="504">
        <f ca="1">SUMIFS(CostTrack[[Value]:[Value]],CostTrack[[PA ID]:[PA ID]],$B60,CostTrack[[Vendor - Contract]:[Vendor - Contract]],$H60,CostTrack[[Holdback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60" s="504">
        <f ca="1">SUMIFS(CostTrack[[Value]:[Value]],CostTrack[[PA ID]:[PA ID]],$B60,CostTrack[[Vendor - Contract]:[Vendor - Contract]],$H60,CostTrack[[Holdback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60" s="504">
        <f ca="1">SUMIFS(CostTrack[[Value]:[Value]],CostTrack[[PA ID]:[PA ID]],$B60,CostTrack[[Vendor - Contract]:[Vendor - Contract]],$H60,CostTrack[[Holdback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8838.5</v>
      </c>
      <c r="DT60" s="504">
        <f ca="1">SUMIFS(CostTrack[[Value]:[Value]],CostTrack[[PA ID]:[PA ID]],$B60,CostTrack[[Vendor - Contract]:[Vendor - Contract]],$H60,CostTrack[[Holdback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60" s="504">
        <f ca="1">SUMIFS(CostTrack[[Value]:[Value]],CostTrack[[PA ID]:[PA ID]],$B60,CostTrack[[Vendor - Contract]:[Vendor - Contract]],$H60,CostTrack[[Holdback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60" s="504">
        <f ca="1">SUMIFS(CostTrack[[Value]:[Value]],CostTrack[[PA ID]:[PA ID]],$B60,CostTrack[[Vendor - Contract]:[Vendor - Contract]],$H60,CostTrack[[Holdback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60" s="504">
        <f ca="1">SUMIFS(CostTrack[[Value]:[Value]],CostTrack[[PA ID]:[PA ID]],$B60,CostTrack[[Vendor - Contract]:[Vendor - Contract]],$H60,CostTrack[[Holdback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60" s="504">
        <f ca="1">SUMIFS(CostTrack[[Value]:[Value]],CostTrack[[PA ID]:[PA ID]],$B60,CostTrack[[Vendor - Contract]:[Vendor - Contract]],$H60,CostTrack[[Holdback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60" s="504">
        <f ca="1">SUMIFS(CostTrack[[Value]:[Value]],CostTrack[[PA ID]:[PA ID]],$B60,CostTrack[[Vendor - Contract]:[Vendor - Contract]],$H60,CostTrack[[Holdback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60" s="504">
        <f ca="1">SUMIFS(CostTrack[[Value]:[Value]],CostTrack[[PA ID]:[PA ID]],$B60,CostTrack[[Vendor - Contract]:[Vendor - Contract]],$H60,CostTrack[[Holdback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60" s="512">
        <f t="shared" ca="1" si="41"/>
        <v>8838.5</v>
      </c>
      <c r="EC60" s="504">
        <f ca="1">SUMIFS(CostTrack[[Value]:[Value]],CostTrack[[PA ID]:[PA ID]],$B60,CostTrack[[Vendor - Contract]:[Vendor - Contract]],$H60,CostTrack[[Holdback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60" s="505"/>
      <c r="EE60" s="505"/>
      <c r="EF60" s="505"/>
      <c r="EG60" s="505"/>
      <c r="EH60" s="505"/>
      <c r="EI60" s="505"/>
      <c r="EJ60" s="505"/>
      <c r="EK60" s="505"/>
      <c r="EL60" s="505"/>
      <c r="EM60" s="505"/>
      <c r="EN60" s="505"/>
      <c r="EO60" s="512">
        <f t="shared" ca="1" si="42"/>
        <v>0</v>
      </c>
      <c r="EQ60" s="505"/>
      <c r="ER60" s="505"/>
      <c r="ES60" s="505"/>
      <c r="ET60" s="505"/>
      <c r="EU60" s="505"/>
      <c r="EV60" s="505"/>
      <c r="EW60" s="505"/>
      <c r="EX60" s="505"/>
      <c r="EY60" s="505"/>
      <c r="EZ60" s="505"/>
      <c r="FA60" s="505"/>
      <c r="FB60" s="505"/>
      <c r="FC60" s="512">
        <f t="shared" si="43"/>
        <v>0</v>
      </c>
      <c r="FE60" s="505"/>
      <c r="FF60" s="505"/>
      <c r="FG60" s="505"/>
      <c r="FH60" s="505"/>
      <c r="FI60" s="505"/>
      <c r="FJ60" s="505"/>
      <c r="FK60" s="505"/>
      <c r="FL60" s="505"/>
      <c r="FM60" s="505"/>
      <c r="FN60" s="505"/>
      <c r="FO60" s="505"/>
      <c r="FP60" s="505"/>
      <c r="FQ60" s="512">
        <f t="shared" si="44"/>
        <v>0</v>
      </c>
      <c r="FS60" s="504">
        <f t="shared" ca="1" si="45"/>
        <v>15656</v>
      </c>
    </row>
    <row r="61" spans="1:175">
      <c r="A61" s="216">
        <v>54</v>
      </c>
      <c r="B61" s="219" t="str">
        <f ca="1">INDEX(EAC[PA ID],MATCH($A61,EAC[Row],0))</f>
        <v>100.050.F1</v>
      </c>
      <c r="C61" s="218" t="str">
        <f ca="1">INDEX(EAC[Primary Category],MATCH($A61,EAC[Row],0))</f>
        <v>Administration</v>
      </c>
      <c r="D61" s="218" t="str">
        <f ca="1">INDEX(EAC[Secondary Category],MATCH($A61,EAC[Row],0))</f>
        <v>Other Administration</v>
      </c>
      <c r="E61" s="109" t="str">
        <f ca="1">INDEX(EAC[Phase / Subproject],MATCH($A61,EAC[Row],0))</f>
        <v>--</v>
      </c>
      <c r="F61" s="109" t="str">
        <f ca="1">INDEX(EAC[Phase / Subproject 2],MATCH($A61,EAC[Row],0))</f>
        <v>--</v>
      </c>
      <c r="G61" s="109" t="str">
        <f ca="1">INDEX(EAC[Funding Source],MATCH($A61,EAC[Row],0))</f>
        <v>P-002360</v>
      </c>
      <c r="H61" s="146" t="str">
        <f ca="1">INDEX(EAC[Vendor / Org. with Contract ID],MATCH($A61,EAC[Row],0))</f>
        <v>Riley's-CD Printing-Direct Pay</v>
      </c>
      <c r="I61" s="502">
        <f ca="1">INDEX(EAC[Estimate At Completion],MATCH($A61,EAC[Row],0))</f>
        <v>640.74</v>
      </c>
      <c r="J61" s="502">
        <f ca="1">SUMIFS(CostTrack[Value],CostTrack[Vendor - Contract],$H61,CostTrack[PA ID],$B61,CostTrack[Holdback (Y/N/R)],"&lt;&gt;Release",CostTrack[Status],"Approved")</f>
        <v>640.74</v>
      </c>
      <c r="K61" s="503">
        <f t="shared" ca="1" si="14"/>
        <v>0</v>
      </c>
      <c r="M61" s="504">
        <f t="shared" ca="1" si="15"/>
        <v>0</v>
      </c>
      <c r="O61" s="504">
        <f t="shared" ca="1" si="31"/>
        <v>640.74</v>
      </c>
      <c r="P61" s="504">
        <f t="array" aca="1" ref="P61" ca="1">SUM($U61:$FQ61*_xlfn.ISFORMULA($U61:$FQ61)*ISNUMBER($U$7:$FQ$7)*--(INDEX($U$6:$FQ$6,N(IF({1},COLUMN($U$6:$FQ$6)-COLUMN($T$6)))-MOD(N(IF({1},COLUMN($U$6:$FQ$6)-COLUMN($U$6))),14))="Current Fiscal"))</f>
        <v>0</v>
      </c>
      <c r="Q61" s="504">
        <f t="array" aca="1" ref="Q61" ca="1">SUM($U61:$FQ61*NOT(_xlfn.ISFORMULA($U61:$FQ61))*ISNUMBER($U$7:$FQ$7)*--(INDEX($U$6:$FQ$6,N(IF({1},COLUMN($U$6:$FQ$6)-COLUMN($T$6)))-MOD(N(IF({1},COLUMN($U$6:$FQ$6)-COLUMN($U$6))),14))="Current Fiscal"))</f>
        <v>0</v>
      </c>
      <c r="R61" s="504">
        <f t="shared" ca="1" si="32"/>
        <v>0</v>
      </c>
      <c r="S61" s="504">
        <f t="shared" ca="1" si="33"/>
        <v>0</v>
      </c>
      <c r="U61" s="504">
        <f ca="1">SUMIFS(CostTrack[[Value]:[Value]],CostTrack[[PA ID]:[PA ID]],$B61,CostTrack[[Vendor - Contract]:[Vendor - Contract]],$H61,CostTrack[[Holdback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61" s="504">
        <f ca="1">SUMIFS(CostTrack[[Value]:[Value]],CostTrack[[PA ID]:[PA ID]],$B61,CostTrack[[Vendor - Contract]:[Vendor - Contract]],$H61,CostTrack[[Holdback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61" s="504">
        <f ca="1">SUMIFS(CostTrack[[Value]:[Value]],CostTrack[[PA ID]:[PA ID]],$B61,CostTrack[[Vendor - Contract]:[Vendor - Contract]],$H61,CostTrack[[Holdback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61" s="504">
        <f ca="1">SUMIFS(CostTrack[[Value]:[Value]],CostTrack[[PA ID]:[PA ID]],$B61,CostTrack[[Vendor - Contract]:[Vendor - Contract]],$H61,CostTrack[[Holdback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61" s="504">
        <f ca="1">SUMIFS(CostTrack[[Value]:[Value]],CostTrack[[PA ID]:[PA ID]],$B61,CostTrack[[Vendor - Contract]:[Vendor - Contract]],$H61,CostTrack[[Holdback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61" s="504">
        <f ca="1">SUMIFS(CostTrack[[Value]:[Value]],CostTrack[[PA ID]:[PA ID]],$B61,CostTrack[[Vendor - Contract]:[Vendor - Contract]],$H61,CostTrack[[Holdback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61" s="504">
        <f ca="1">SUMIFS(CostTrack[[Value]:[Value]],CostTrack[[PA ID]:[PA ID]],$B61,CostTrack[[Vendor - Contract]:[Vendor - Contract]],$H61,CostTrack[[Holdback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61" s="504">
        <f ca="1">SUMIFS(CostTrack[[Value]:[Value]],CostTrack[[PA ID]:[PA ID]],$B61,CostTrack[[Vendor - Contract]:[Vendor - Contract]],$H61,CostTrack[[Holdback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61" s="504">
        <f ca="1">SUMIFS(CostTrack[[Value]:[Value]],CostTrack[[PA ID]:[PA ID]],$B61,CostTrack[[Vendor - Contract]:[Vendor - Contract]],$H61,CostTrack[[Holdback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61" s="504">
        <f ca="1">SUMIFS(CostTrack[[Value]:[Value]],CostTrack[[PA ID]:[PA ID]],$B61,CostTrack[[Vendor - Contract]:[Vendor - Contract]],$H61,CostTrack[[Holdback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61" s="504">
        <f ca="1">SUMIFS(CostTrack[[Value]:[Value]],CostTrack[[PA ID]:[PA ID]],$B61,CostTrack[[Vendor - Contract]:[Vendor - Contract]],$H61,CostTrack[[Holdback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61" s="504">
        <f ca="1">SUMIFS(CostTrack[[Value]:[Value]],CostTrack[[PA ID]:[PA ID]],$B61,CostTrack[[Vendor - Contract]:[Vendor - Contract]],$H61,CostTrack[[Holdback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61" s="506">
        <f t="shared" ca="1" si="34"/>
        <v>0</v>
      </c>
      <c r="AI61" s="504">
        <f ca="1">SUMIFS(CostTrack[[Value]:[Value]],CostTrack[[PA ID]:[PA ID]],$B61,CostTrack[[Vendor - Contract]:[Vendor - Contract]],$H61,CostTrack[[Holdback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61" s="504">
        <f ca="1">SUMIFS(CostTrack[[Value]:[Value]],CostTrack[[PA ID]:[PA ID]],$B61,CostTrack[[Vendor - Contract]:[Vendor - Contract]],$H61,CostTrack[[Holdback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61" s="504">
        <f ca="1">SUMIFS(CostTrack[[Value]:[Value]],CostTrack[[PA ID]:[PA ID]],$B61,CostTrack[[Vendor - Contract]:[Vendor - Contract]],$H61,CostTrack[[Holdback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61" s="504">
        <f ca="1">SUMIFS(CostTrack[[Value]:[Value]],CostTrack[[PA ID]:[PA ID]],$B61,CostTrack[[Vendor - Contract]:[Vendor - Contract]],$H61,CostTrack[[Holdback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61" s="504">
        <f ca="1">SUMIFS(CostTrack[[Value]:[Value]],CostTrack[[PA ID]:[PA ID]],$B61,CostTrack[[Vendor - Contract]:[Vendor - Contract]],$H61,CostTrack[[Holdback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61" s="504">
        <f ca="1">SUMIFS(CostTrack[[Value]:[Value]],CostTrack[[PA ID]:[PA ID]],$B61,CostTrack[[Vendor - Contract]:[Vendor - Contract]],$H61,CostTrack[[Holdback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61" s="504">
        <f ca="1">SUMIFS(CostTrack[[Value]:[Value]],CostTrack[[PA ID]:[PA ID]],$B61,CostTrack[[Vendor - Contract]:[Vendor - Contract]],$H61,CostTrack[[Holdback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61" s="504">
        <f ca="1">SUMIFS(CostTrack[[Value]:[Value]],CostTrack[[PA ID]:[PA ID]],$B61,CostTrack[[Vendor - Contract]:[Vendor - Contract]],$H61,CostTrack[[Holdback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61" s="504">
        <f ca="1">SUMIFS(CostTrack[[Value]:[Value]],CostTrack[[PA ID]:[PA ID]],$B61,CostTrack[[Vendor - Contract]:[Vendor - Contract]],$H61,CostTrack[[Holdback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61" s="504">
        <f ca="1">SUMIFS(CostTrack[[Value]:[Value]],CostTrack[[PA ID]:[PA ID]],$B61,CostTrack[[Vendor - Contract]:[Vendor - Contract]],$H61,CostTrack[[Holdback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61" s="504">
        <f ca="1">SUMIFS(CostTrack[[Value]:[Value]],CostTrack[[PA ID]:[PA ID]],$B61,CostTrack[[Vendor - Contract]:[Vendor - Contract]],$H61,CostTrack[[Holdback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61" s="504">
        <f ca="1">SUMIFS(CostTrack[[Value]:[Value]],CostTrack[[PA ID]:[PA ID]],$B61,CostTrack[[Vendor - Contract]:[Vendor - Contract]],$H61,CostTrack[[Holdback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61" s="512">
        <f t="shared" ca="1" si="35"/>
        <v>0</v>
      </c>
      <c r="AW61" s="504">
        <f ca="1">SUMIFS(CostTrack[[Value]:[Value]],CostTrack[[PA ID]:[PA ID]],$B61,CostTrack[[Vendor - Contract]:[Vendor - Contract]],$H61,CostTrack[[Holdback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61" s="504">
        <f ca="1">SUMIFS(CostTrack[[Value]:[Value]],CostTrack[[PA ID]:[PA ID]],$B61,CostTrack[[Vendor - Contract]:[Vendor - Contract]],$H61,CostTrack[[Holdback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61" s="504">
        <f ca="1">SUMIFS(CostTrack[[Value]:[Value]],CostTrack[[PA ID]:[PA ID]],$B61,CostTrack[[Vendor - Contract]:[Vendor - Contract]],$H61,CostTrack[[Holdback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61" s="504">
        <f ca="1">SUMIFS(CostTrack[[Value]:[Value]],CostTrack[[PA ID]:[PA ID]],$B61,CostTrack[[Vendor - Contract]:[Vendor - Contract]],$H61,CostTrack[[Holdback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61" s="504">
        <f ca="1">SUMIFS(CostTrack[[Value]:[Value]],CostTrack[[PA ID]:[PA ID]],$B61,CostTrack[[Vendor - Contract]:[Vendor - Contract]],$H61,CostTrack[[Holdback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61" s="504">
        <f ca="1">SUMIFS(CostTrack[[Value]:[Value]],CostTrack[[PA ID]:[PA ID]],$B61,CostTrack[[Vendor - Contract]:[Vendor - Contract]],$H61,CostTrack[[Holdback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61" s="504">
        <f ca="1">SUMIFS(CostTrack[[Value]:[Value]],CostTrack[[PA ID]:[PA ID]],$B61,CostTrack[[Vendor - Contract]:[Vendor - Contract]],$H61,CostTrack[[Holdback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61" s="504">
        <f ca="1">SUMIFS(CostTrack[[Value]:[Value]],CostTrack[[PA ID]:[PA ID]],$B61,CostTrack[[Vendor - Contract]:[Vendor - Contract]],$H61,CostTrack[[Holdback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61" s="504">
        <f ca="1">SUMIFS(CostTrack[[Value]:[Value]],CostTrack[[PA ID]:[PA ID]],$B61,CostTrack[[Vendor - Contract]:[Vendor - Contract]],$H61,CostTrack[[Holdback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61" s="504">
        <f ca="1">SUMIFS(CostTrack[[Value]:[Value]],CostTrack[[PA ID]:[PA ID]],$B61,CostTrack[[Vendor - Contract]:[Vendor - Contract]],$H61,CostTrack[[Holdback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61" s="504">
        <f ca="1">SUMIFS(CostTrack[[Value]:[Value]],CostTrack[[PA ID]:[PA ID]],$B61,CostTrack[[Vendor - Contract]:[Vendor - Contract]],$H61,CostTrack[[Holdback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61" s="504">
        <f ca="1">SUMIFS(CostTrack[[Value]:[Value]],CostTrack[[PA ID]:[PA ID]],$B61,CostTrack[[Vendor - Contract]:[Vendor - Contract]],$H61,CostTrack[[Holdback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61" s="512">
        <f t="shared" ca="1" si="36"/>
        <v>0</v>
      </c>
      <c r="BK61" s="504">
        <f ca="1">SUMIFS(CostTrack[[Value]:[Value]],CostTrack[[PA ID]:[PA ID]],$B61,CostTrack[[Vendor - Contract]:[Vendor - Contract]],$H61,CostTrack[[Holdback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640.74</v>
      </c>
      <c r="BL61" s="504">
        <f ca="1">SUMIFS(CostTrack[[Value]:[Value]],CostTrack[[PA ID]:[PA ID]],$B61,CostTrack[[Vendor - Contract]:[Vendor - Contract]],$H61,CostTrack[[Holdback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61" s="504">
        <f ca="1">SUMIFS(CostTrack[[Value]:[Value]],CostTrack[[PA ID]:[PA ID]],$B61,CostTrack[[Vendor - Contract]:[Vendor - Contract]],$H61,CostTrack[[Holdback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61" s="504">
        <f ca="1">SUMIFS(CostTrack[[Value]:[Value]],CostTrack[[PA ID]:[PA ID]],$B61,CostTrack[[Vendor - Contract]:[Vendor - Contract]],$H61,CostTrack[[Holdback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61" s="504">
        <f ca="1">SUMIFS(CostTrack[[Value]:[Value]],CostTrack[[PA ID]:[PA ID]],$B61,CostTrack[[Vendor - Contract]:[Vendor - Contract]],$H61,CostTrack[[Holdback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61" s="504">
        <f ca="1">SUMIFS(CostTrack[[Value]:[Value]],CostTrack[[PA ID]:[PA ID]],$B61,CostTrack[[Vendor - Contract]:[Vendor - Contract]],$H61,CostTrack[[Holdback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61" s="504">
        <f ca="1">SUMIFS(CostTrack[[Value]:[Value]],CostTrack[[PA ID]:[PA ID]],$B61,CostTrack[[Vendor - Contract]:[Vendor - Contract]],$H61,CostTrack[[Holdback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61" s="504">
        <f ca="1">SUMIFS(CostTrack[[Value]:[Value]],CostTrack[[PA ID]:[PA ID]],$B61,CostTrack[[Vendor - Contract]:[Vendor - Contract]],$H61,CostTrack[[Holdback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61" s="504">
        <f ca="1">SUMIFS(CostTrack[[Value]:[Value]],CostTrack[[PA ID]:[PA ID]],$B61,CostTrack[[Vendor - Contract]:[Vendor - Contract]],$H61,CostTrack[[Holdback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61" s="504">
        <f ca="1">SUMIFS(CostTrack[[Value]:[Value]],CostTrack[[PA ID]:[PA ID]],$B61,CostTrack[[Vendor - Contract]:[Vendor - Contract]],$H61,CostTrack[[Holdback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61" s="504">
        <f ca="1">SUMIFS(CostTrack[[Value]:[Value]],CostTrack[[PA ID]:[PA ID]],$B61,CostTrack[[Vendor - Contract]:[Vendor - Contract]],$H61,CostTrack[[Holdback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61" s="504">
        <f ca="1">SUMIFS(CostTrack[[Value]:[Value]],CostTrack[[PA ID]:[PA ID]],$B61,CostTrack[[Vendor - Contract]:[Vendor - Contract]],$H61,CostTrack[[Holdback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61" s="512">
        <f t="shared" ca="1" si="37"/>
        <v>640.74</v>
      </c>
      <c r="BY61" s="504">
        <f ca="1">SUMIFS(CostTrack[[Value]:[Value]],CostTrack[[PA ID]:[PA ID]],$B61,CostTrack[[Vendor - Contract]:[Vendor - Contract]],$H61,CostTrack[[Holdback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61" s="504">
        <f ca="1">SUMIFS(CostTrack[[Value]:[Value]],CostTrack[[PA ID]:[PA ID]],$B61,CostTrack[[Vendor - Contract]:[Vendor - Contract]],$H61,CostTrack[[Holdback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61" s="504">
        <f ca="1">SUMIFS(CostTrack[[Value]:[Value]],CostTrack[[PA ID]:[PA ID]],$B61,CostTrack[[Vendor - Contract]:[Vendor - Contract]],$H61,CostTrack[[Holdback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61" s="504">
        <f ca="1">SUMIFS(CostTrack[[Value]:[Value]],CostTrack[[PA ID]:[PA ID]],$B61,CostTrack[[Vendor - Contract]:[Vendor - Contract]],$H61,CostTrack[[Holdback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61" s="504">
        <f ca="1">SUMIFS(CostTrack[[Value]:[Value]],CostTrack[[PA ID]:[PA ID]],$B61,CostTrack[[Vendor - Contract]:[Vendor - Contract]],$H61,CostTrack[[Holdback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61" s="504">
        <f ca="1">SUMIFS(CostTrack[[Value]:[Value]],CostTrack[[PA ID]:[PA ID]],$B61,CostTrack[[Vendor - Contract]:[Vendor - Contract]],$H61,CostTrack[[Holdback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61" s="504">
        <f ca="1">SUMIFS(CostTrack[[Value]:[Value]],CostTrack[[PA ID]:[PA ID]],$B61,CostTrack[[Vendor - Contract]:[Vendor - Contract]],$H61,CostTrack[[Holdback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61" s="504">
        <f ca="1">SUMIFS(CostTrack[[Value]:[Value]],CostTrack[[PA ID]:[PA ID]],$B61,CostTrack[[Vendor - Contract]:[Vendor - Contract]],$H61,CostTrack[[Holdback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61" s="504">
        <f ca="1">SUMIFS(CostTrack[[Value]:[Value]],CostTrack[[PA ID]:[PA ID]],$B61,CostTrack[[Vendor - Contract]:[Vendor - Contract]],$H61,CostTrack[[Holdback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61" s="504">
        <f ca="1">SUMIFS(CostTrack[[Value]:[Value]],CostTrack[[PA ID]:[PA ID]],$B61,CostTrack[[Vendor - Contract]:[Vendor - Contract]],$H61,CostTrack[[Holdback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61" s="504">
        <f ca="1">SUMIFS(CostTrack[[Value]:[Value]],CostTrack[[PA ID]:[PA ID]],$B61,CostTrack[[Vendor - Contract]:[Vendor - Contract]],$H61,CostTrack[[Holdback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61" s="504">
        <f ca="1">SUMIFS(CostTrack[[Value]:[Value]],CostTrack[[PA ID]:[PA ID]],$B61,CostTrack[[Vendor - Contract]:[Vendor - Contract]],$H61,CostTrack[[Holdback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61" s="512">
        <f t="shared" ca="1" si="38"/>
        <v>0</v>
      </c>
      <c r="CM61" s="504">
        <f ca="1">SUMIFS(CostTrack[[Value]:[Value]],CostTrack[[PA ID]:[PA ID]],$B61,CostTrack[[Vendor - Contract]:[Vendor - Contract]],$H61,CostTrack[[Holdback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61" s="504">
        <f ca="1">SUMIFS(CostTrack[[Value]:[Value]],CostTrack[[PA ID]:[PA ID]],$B61,CostTrack[[Vendor - Contract]:[Vendor - Contract]],$H61,CostTrack[[Holdback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61" s="504">
        <f ca="1">SUMIFS(CostTrack[[Value]:[Value]],CostTrack[[PA ID]:[PA ID]],$B61,CostTrack[[Vendor - Contract]:[Vendor - Contract]],$H61,CostTrack[[Holdback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61" s="504">
        <f ca="1">SUMIFS(CostTrack[[Value]:[Value]],CostTrack[[PA ID]:[PA ID]],$B61,CostTrack[[Vendor - Contract]:[Vendor - Contract]],$H61,CostTrack[[Holdback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61" s="504">
        <f ca="1">SUMIFS(CostTrack[[Value]:[Value]],CostTrack[[PA ID]:[PA ID]],$B61,CostTrack[[Vendor - Contract]:[Vendor - Contract]],$H61,CostTrack[[Holdback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61" s="504">
        <f ca="1">SUMIFS(CostTrack[[Value]:[Value]],CostTrack[[PA ID]:[PA ID]],$B61,CostTrack[[Vendor - Contract]:[Vendor - Contract]],$H61,CostTrack[[Holdback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61" s="504">
        <f ca="1">SUMIFS(CostTrack[[Value]:[Value]],CostTrack[[PA ID]:[PA ID]],$B61,CostTrack[[Vendor - Contract]:[Vendor - Contract]],$H61,CostTrack[[Holdback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61" s="504">
        <f ca="1">SUMIFS(CostTrack[[Value]:[Value]],CostTrack[[PA ID]:[PA ID]],$B61,CostTrack[[Vendor - Contract]:[Vendor - Contract]],$H61,CostTrack[[Holdback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61" s="504">
        <f ca="1">SUMIFS(CostTrack[[Value]:[Value]],CostTrack[[PA ID]:[PA ID]],$B61,CostTrack[[Vendor - Contract]:[Vendor - Contract]],$H61,CostTrack[[Holdback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61" s="504">
        <f ca="1">SUMIFS(CostTrack[[Value]:[Value]],CostTrack[[PA ID]:[PA ID]],$B61,CostTrack[[Vendor - Contract]:[Vendor - Contract]],$H61,CostTrack[[Holdback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61" s="504">
        <f ca="1">SUMIFS(CostTrack[[Value]:[Value]],CostTrack[[PA ID]:[PA ID]],$B61,CostTrack[[Vendor - Contract]:[Vendor - Contract]],$H61,CostTrack[[Holdback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61" s="504">
        <f ca="1">SUMIFS(CostTrack[[Value]:[Value]],CostTrack[[PA ID]:[PA ID]],$B61,CostTrack[[Vendor - Contract]:[Vendor - Contract]],$H61,CostTrack[[Holdback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61" s="512">
        <f t="shared" ca="1" si="39"/>
        <v>0</v>
      </c>
      <c r="DA61" s="504">
        <f ca="1">SUMIFS(CostTrack[[Value]:[Value]],CostTrack[[PA ID]:[PA ID]],$B61,CostTrack[[Vendor - Contract]:[Vendor - Contract]],$H61,CostTrack[[Holdback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61" s="504">
        <f ca="1">SUMIFS(CostTrack[[Value]:[Value]],CostTrack[[PA ID]:[PA ID]],$B61,CostTrack[[Vendor - Contract]:[Vendor - Contract]],$H61,CostTrack[[Holdback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61" s="504">
        <f ca="1">SUMIFS(CostTrack[[Value]:[Value]],CostTrack[[PA ID]:[PA ID]],$B61,CostTrack[[Vendor - Contract]:[Vendor - Contract]],$H61,CostTrack[[Holdback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61" s="504">
        <f ca="1">SUMIFS(CostTrack[[Value]:[Value]],CostTrack[[PA ID]:[PA ID]],$B61,CostTrack[[Vendor - Contract]:[Vendor - Contract]],$H61,CostTrack[[Holdback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61" s="504">
        <f ca="1">SUMIFS(CostTrack[[Value]:[Value]],CostTrack[[PA ID]:[PA ID]],$B61,CostTrack[[Vendor - Contract]:[Vendor - Contract]],$H61,CostTrack[[Holdback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61" s="504">
        <f ca="1">SUMIFS(CostTrack[[Value]:[Value]],CostTrack[[PA ID]:[PA ID]],$B61,CostTrack[[Vendor - Contract]:[Vendor - Contract]],$H61,CostTrack[[Holdback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61" s="504">
        <f ca="1">SUMIFS(CostTrack[[Value]:[Value]],CostTrack[[PA ID]:[PA ID]],$B61,CostTrack[[Vendor - Contract]:[Vendor - Contract]],$H61,CostTrack[[Holdback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61" s="504">
        <f ca="1">SUMIFS(CostTrack[[Value]:[Value]],CostTrack[[PA ID]:[PA ID]],$B61,CostTrack[[Vendor - Contract]:[Vendor - Contract]],$H61,CostTrack[[Holdback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61" s="504">
        <f ca="1">SUMIFS(CostTrack[[Value]:[Value]],CostTrack[[PA ID]:[PA ID]],$B61,CostTrack[[Vendor - Contract]:[Vendor - Contract]],$H61,CostTrack[[Holdback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61" s="504">
        <f ca="1">SUMIFS(CostTrack[[Value]:[Value]],CostTrack[[PA ID]:[PA ID]],$B61,CostTrack[[Vendor - Contract]:[Vendor - Contract]],$H61,CostTrack[[Holdback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61" s="504">
        <f ca="1">SUMIFS(CostTrack[[Value]:[Value]],CostTrack[[PA ID]:[PA ID]],$B61,CostTrack[[Vendor - Contract]:[Vendor - Contract]],$H61,CostTrack[[Holdback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61" s="504">
        <f ca="1">SUMIFS(CostTrack[[Value]:[Value]],CostTrack[[PA ID]:[PA ID]],$B61,CostTrack[[Vendor - Contract]:[Vendor - Contract]],$H61,CostTrack[[Holdback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61" s="512">
        <f t="shared" ca="1" si="40"/>
        <v>0</v>
      </c>
      <c r="DO61" s="504">
        <f ca="1">SUMIFS(CostTrack[[Value]:[Value]],CostTrack[[PA ID]:[PA ID]],$B61,CostTrack[[Vendor - Contract]:[Vendor - Contract]],$H61,CostTrack[[Holdback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61" s="504">
        <f ca="1">SUMIFS(CostTrack[[Value]:[Value]],CostTrack[[PA ID]:[PA ID]],$B61,CostTrack[[Vendor - Contract]:[Vendor - Contract]],$H61,CostTrack[[Holdback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61" s="504">
        <f ca="1">SUMIFS(CostTrack[[Value]:[Value]],CostTrack[[PA ID]:[PA ID]],$B61,CostTrack[[Vendor - Contract]:[Vendor - Contract]],$H61,CostTrack[[Holdback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61" s="504">
        <f ca="1">SUMIFS(CostTrack[[Value]:[Value]],CostTrack[[PA ID]:[PA ID]],$B61,CostTrack[[Vendor - Contract]:[Vendor - Contract]],$H61,CostTrack[[Holdback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61" s="504">
        <f ca="1">SUMIFS(CostTrack[[Value]:[Value]],CostTrack[[PA ID]:[PA ID]],$B61,CostTrack[[Vendor - Contract]:[Vendor - Contract]],$H61,CostTrack[[Holdback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61" s="504">
        <f ca="1">SUMIFS(CostTrack[[Value]:[Value]],CostTrack[[PA ID]:[PA ID]],$B61,CostTrack[[Vendor - Contract]:[Vendor - Contract]],$H61,CostTrack[[Holdback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61" s="504">
        <f ca="1">SUMIFS(CostTrack[[Value]:[Value]],CostTrack[[PA ID]:[PA ID]],$B61,CostTrack[[Vendor - Contract]:[Vendor - Contract]],$H61,CostTrack[[Holdback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61" s="504">
        <f ca="1">SUMIFS(CostTrack[[Value]:[Value]],CostTrack[[PA ID]:[PA ID]],$B61,CostTrack[[Vendor - Contract]:[Vendor - Contract]],$H61,CostTrack[[Holdback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61" s="504">
        <f ca="1">SUMIFS(CostTrack[[Value]:[Value]],CostTrack[[PA ID]:[PA ID]],$B61,CostTrack[[Vendor - Contract]:[Vendor - Contract]],$H61,CostTrack[[Holdback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61" s="504">
        <f ca="1">SUMIFS(CostTrack[[Value]:[Value]],CostTrack[[PA ID]:[PA ID]],$B61,CostTrack[[Vendor - Contract]:[Vendor - Contract]],$H61,CostTrack[[Holdback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61" s="504">
        <f ca="1">SUMIFS(CostTrack[[Value]:[Value]],CostTrack[[PA ID]:[PA ID]],$B61,CostTrack[[Vendor - Contract]:[Vendor - Contract]],$H61,CostTrack[[Holdback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61" s="504">
        <f ca="1">SUMIFS(CostTrack[[Value]:[Value]],CostTrack[[PA ID]:[PA ID]],$B61,CostTrack[[Vendor - Contract]:[Vendor - Contract]],$H61,CostTrack[[Holdback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61" s="512">
        <f t="shared" ca="1" si="41"/>
        <v>0</v>
      </c>
      <c r="EC61" s="504">
        <f ca="1">SUMIFS(CostTrack[[Value]:[Value]],CostTrack[[PA ID]:[PA ID]],$B61,CostTrack[[Vendor - Contract]:[Vendor - Contract]],$H61,CostTrack[[Holdback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61" s="505"/>
      <c r="EE61" s="505"/>
      <c r="EF61" s="505"/>
      <c r="EG61" s="505"/>
      <c r="EH61" s="505"/>
      <c r="EI61" s="505"/>
      <c r="EJ61" s="505"/>
      <c r="EK61" s="505"/>
      <c r="EL61" s="505"/>
      <c r="EM61" s="505"/>
      <c r="EN61" s="505"/>
      <c r="EO61" s="512">
        <f t="shared" ca="1" si="42"/>
        <v>0</v>
      </c>
      <c r="EQ61" s="505"/>
      <c r="ER61" s="505"/>
      <c r="ES61" s="505"/>
      <c r="ET61" s="505"/>
      <c r="EU61" s="505"/>
      <c r="EV61" s="505"/>
      <c r="EW61" s="505"/>
      <c r="EX61" s="505"/>
      <c r="EY61" s="505"/>
      <c r="EZ61" s="505"/>
      <c r="FA61" s="505"/>
      <c r="FB61" s="505"/>
      <c r="FC61" s="512">
        <f t="shared" si="43"/>
        <v>0</v>
      </c>
      <c r="FE61" s="505"/>
      <c r="FF61" s="505"/>
      <c r="FG61" s="505"/>
      <c r="FH61" s="505"/>
      <c r="FI61" s="505"/>
      <c r="FJ61" s="505"/>
      <c r="FK61" s="505"/>
      <c r="FL61" s="505"/>
      <c r="FM61" s="505"/>
      <c r="FN61" s="505"/>
      <c r="FO61" s="505"/>
      <c r="FP61" s="505"/>
      <c r="FQ61" s="512">
        <f t="shared" si="44"/>
        <v>0</v>
      </c>
      <c r="FS61" s="504">
        <f t="shared" ca="1" si="45"/>
        <v>640.74</v>
      </c>
    </row>
    <row r="62" spans="1:175">
      <c r="A62" s="216">
        <v>55</v>
      </c>
      <c r="B62" s="219" t="str">
        <f ca="1">INDEX(EAC[PA ID],MATCH($A62,EAC[Row],0))</f>
        <v>300.010.F1</v>
      </c>
      <c r="C62" s="218" t="str">
        <f ca="1">INDEX(EAC[Primary Category],MATCH($A62,EAC[Row],0))</f>
        <v>Construction</v>
      </c>
      <c r="D62" s="218" t="str">
        <f ca="1">INDEX(EAC[Secondary Category],MATCH($A62,EAC[Row],0))</f>
        <v>Permits &amp; Fees</v>
      </c>
      <c r="E62" s="109" t="str">
        <f ca="1">INDEX(EAC[Phase / Subproject],MATCH($A62,EAC[Row],0))</f>
        <v>--</v>
      </c>
      <c r="F62" s="109" t="str">
        <f ca="1">INDEX(EAC[Phase / Subproject 2],MATCH($A62,EAC[Row],0))</f>
        <v>--</v>
      </c>
      <c r="G62" s="109" t="str">
        <f ca="1">INDEX(EAC[Funding Source],MATCH($A62,EAC[Row],0))</f>
        <v>P-002360</v>
      </c>
      <c r="H62" s="146" t="str">
        <f ca="1">INDEX(EAC[Vendor / Org. with Contract ID],MATCH($A62,EAC[Row],0))</f>
        <v>City of Red Deer-Tree Removal Fee-Direct Pay</v>
      </c>
      <c r="I62" s="502">
        <f ca="1">INDEX(EAC[Estimate At Completion],MATCH($A62,EAC[Row],0))</f>
        <v>6600</v>
      </c>
      <c r="J62" s="502">
        <f ca="1">SUMIFS(CostTrack[Value],CostTrack[Vendor - Contract],$H62,CostTrack[PA ID],$B62,CostTrack[Holdback (Y/N/R)],"&lt;&gt;Release",CostTrack[Status],"Approved")</f>
        <v>6600</v>
      </c>
      <c r="K62" s="503">
        <f t="shared" ca="1" si="14"/>
        <v>0</v>
      </c>
      <c r="M62" s="504">
        <f t="shared" ca="1" si="15"/>
        <v>0</v>
      </c>
      <c r="O62" s="504">
        <f t="shared" ca="1" si="31"/>
        <v>6600</v>
      </c>
      <c r="P62" s="504">
        <f t="array" aca="1" ref="P62" ca="1">SUM($U62:$FQ62*_xlfn.ISFORMULA($U62:$FQ62)*ISNUMBER($U$7:$FQ$7)*--(INDEX($U$6:$FQ$6,N(IF({1},COLUMN($U$6:$FQ$6)-COLUMN($T$6)))-MOD(N(IF({1},COLUMN($U$6:$FQ$6)-COLUMN($U$6))),14))="Current Fiscal"))</f>
        <v>0</v>
      </c>
      <c r="Q62" s="504">
        <f t="array" aca="1" ref="Q62" ca="1">SUM($U62:$FQ62*NOT(_xlfn.ISFORMULA($U62:$FQ62))*ISNUMBER($U$7:$FQ$7)*--(INDEX($U$6:$FQ$6,N(IF({1},COLUMN($U$6:$FQ$6)-COLUMN($T$6)))-MOD(N(IF({1},COLUMN($U$6:$FQ$6)-COLUMN($U$6))),14))="Current Fiscal"))</f>
        <v>0</v>
      </c>
      <c r="R62" s="504">
        <f t="shared" ca="1" si="32"/>
        <v>0</v>
      </c>
      <c r="S62" s="504">
        <f t="shared" ca="1" si="33"/>
        <v>0</v>
      </c>
      <c r="U62" s="504">
        <f ca="1">SUMIFS(CostTrack[[Value]:[Value]],CostTrack[[PA ID]:[PA ID]],$B62,CostTrack[[Vendor - Contract]:[Vendor - Contract]],$H62,CostTrack[[Holdback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62" s="504">
        <f ca="1">SUMIFS(CostTrack[[Value]:[Value]],CostTrack[[PA ID]:[PA ID]],$B62,CostTrack[[Vendor - Contract]:[Vendor - Contract]],$H62,CostTrack[[Holdback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62" s="504">
        <f ca="1">SUMIFS(CostTrack[[Value]:[Value]],CostTrack[[PA ID]:[PA ID]],$B62,CostTrack[[Vendor - Contract]:[Vendor - Contract]],$H62,CostTrack[[Holdback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62" s="504">
        <f ca="1">SUMIFS(CostTrack[[Value]:[Value]],CostTrack[[PA ID]:[PA ID]],$B62,CostTrack[[Vendor - Contract]:[Vendor - Contract]],$H62,CostTrack[[Holdback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62" s="504">
        <f ca="1">SUMIFS(CostTrack[[Value]:[Value]],CostTrack[[PA ID]:[PA ID]],$B62,CostTrack[[Vendor - Contract]:[Vendor - Contract]],$H62,CostTrack[[Holdback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62" s="504">
        <f ca="1">SUMIFS(CostTrack[[Value]:[Value]],CostTrack[[PA ID]:[PA ID]],$B62,CostTrack[[Vendor - Contract]:[Vendor - Contract]],$H62,CostTrack[[Holdback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62" s="504">
        <f ca="1">SUMIFS(CostTrack[[Value]:[Value]],CostTrack[[PA ID]:[PA ID]],$B62,CostTrack[[Vendor - Contract]:[Vendor - Contract]],$H62,CostTrack[[Holdback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62" s="504">
        <f ca="1">SUMIFS(CostTrack[[Value]:[Value]],CostTrack[[PA ID]:[PA ID]],$B62,CostTrack[[Vendor - Contract]:[Vendor - Contract]],$H62,CostTrack[[Holdback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62" s="504">
        <f ca="1">SUMIFS(CostTrack[[Value]:[Value]],CostTrack[[PA ID]:[PA ID]],$B62,CostTrack[[Vendor - Contract]:[Vendor - Contract]],$H62,CostTrack[[Holdback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62" s="504">
        <f ca="1">SUMIFS(CostTrack[[Value]:[Value]],CostTrack[[PA ID]:[PA ID]],$B62,CostTrack[[Vendor - Contract]:[Vendor - Contract]],$H62,CostTrack[[Holdback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62" s="504">
        <f ca="1">SUMIFS(CostTrack[[Value]:[Value]],CostTrack[[PA ID]:[PA ID]],$B62,CostTrack[[Vendor - Contract]:[Vendor - Contract]],$H62,CostTrack[[Holdback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62" s="504">
        <f ca="1">SUMIFS(CostTrack[[Value]:[Value]],CostTrack[[PA ID]:[PA ID]],$B62,CostTrack[[Vendor - Contract]:[Vendor - Contract]],$H62,CostTrack[[Holdback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62" s="506">
        <f t="shared" ca="1" si="34"/>
        <v>0</v>
      </c>
      <c r="AI62" s="504">
        <f ca="1">SUMIFS(CostTrack[[Value]:[Value]],CostTrack[[PA ID]:[PA ID]],$B62,CostTrack[[Vendor - Contract]:[Vendor - Contract]],$H62,CostTrack[[Holdback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62" s="504">
        <f ca="1">SUMIFS(CostTrack[[Value]:[Value]],CostTrack[[PA ID]:[PA ID]],$B62,CostTrack[[Vendor - Contract]:[Vendor - Contract]],$H62,CostTrack[[Holdback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62" s="504">
        <f ca="1">SUMIFS(CostTrack[[Value]:[Value]],CostTrack[[PA ID]:[PA ID]],$B62,CostTrack[[Vendor - Contract]:[Vendor - Contract]],$H62,CostTrack[[Holdback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62" s="504">
        <f ca="1">SUMIFS(CostTrack[[Value]:[Value]],CostTrack[[PA ID]:[PA ID]],$B62,CostTrack[[Vendor - Contract]:[Vendor - Contract]],$H62,CostTrack[[Holdback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62" s="504">
        <f ca="1">SUMIFS(CostTrack[[Value]:[Value]],CostTrack[[PA ID]:[PA ID]],$B62,CostTrack[[Vendor - Contract]:[Vendor - Contract]],$H62,CostTrack[[Holdback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62" s="504">
        <f ca="1">SUMIFS(CostTrack[[Value]:[Value]],CostTrack[[PA ID]:[PA ID]],$B62,CostTrack[[Vendor - Contract]:[Vendor - Contract]],$H62,CostTrack[[Holdback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62" s="504">
        <f ca="1">SUMIFS(CostTrack[[Value]:[Value]],CostTrack[[PA ID]:[PA ID]],$B62,CostTrack[[Vendor - Contract]:[Vendor - Contract]],$H62,CostTrack[[Holdback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62" s="504">
        <f ca="1">SUMIFS(CostTrack[[Value]:[Value]],CostTrack[[PA ID]:[PA ID]],$B62,CostTrack[[Vendor - Contract]:[Vendor - Contract]],$H62,CostTrack[[Holdback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62" s="504">
        <f ca="1">SUMIFS(CostTrack[[Value]:[Value]],CostTrack[[PA ID]:[PA ID]],$B62,CostTrack[[Vendor - Contract]:[Vendor - Contract]],$H62,CostTrack[[Holdback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62" s="504">
        <f ca="1">SUMIFS(CostTrack[[Value]:[Value]],CostTrack[[PA ID]:[PA ID]],$B62,CostTrack[[Vendor - Contract]:[Vendor - Contract]],$H62,CostTrack[[Holdback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62" s="504">
        <f ca="1">SUMIFS(CostTrack[[Value]:[Value]],CostTrack[[PA ID]:[PA ID]],$B62,CostTrack[[Vendor - Contract]:[Vendor - Contract]],$H62,CostTrack[[Holdback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62" s="504">
        <f ca="1">SUMIFS(CostTrack[[Value]:[Value]],CostTrack[[PA ID]:[PA ID]],$B62,CostTrack[[Vendor - Contract]:[Vendor - Contract]],$H62,CostTrack[[Holdback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62" s="512">
        <f t="shared" ca="1" si="35"/>
        <v>0</v>
      </c>
      <c r="AW62" s="504">
        <f ca="1">SUMIFS(CostTrack[[Value]:[Value]],CostTrack[[PA ID]:[PA ID]],$B62,CostTrack[[Vendor - Contract]:[Vendor - Contract]],$H62,CostTrack[[Holdback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62" s="504">
        <f ca="1">SUMIFS(CostTrack[[Value]:[Value]],CostTrack[[PA ID]:[PA ID]],$B62,CostTrack[[Vendor - Contract]:[Vendor - Contract]],$H62,CostTrack[[Holdback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62" s="504">
        <f ca="1">SUMIFS(CostTrack[[Value]:[Value]],CostTrack[[PA ID]:[PA ID]],$B62,CostTrack[[Vendor - Contract]:[Vendor - Contract]],$H62,CostTrack[[Holdback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62" s="504">
        <f ca="1">SUMIFS(CostTrack[[Value]:[Value]],CostTrack[[PA ID]:[PA ID]],$B62,CostTrack[[Vendor - Contract]:[Vendor - Contract]],$H62,CostTrack[[Holdback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62" s="504">
        <f ca="1">SUMIFS(CostTrack[[Value]:[Value]],CostTrack[[PA ID]:[PA ID]],$B62,CostTrack[[Vendor - Contract]:[Vendor - Contract]],$H62,CostTrack[[Holdback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62" s="504">
        <f ca="1">SUMIFS(CostTrack[[Value]:[Value]],CostTrack[[PA ID]:[PA ID]],$B62,CostTrack[[Vendor - Contract]:[Vendor - Contract]],$H62,CostTrack[[Holdback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62" s="504">
        <f ca="1">SUMIFS(CostTrack[[Value]:[Value]],CostTrack[[PA ID]:[PA ID]],$B62,CostTrack[[Vendor - Contract]:[Vendor - Contract]],$H62,CostTrack[[Holdback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62" s="504">
        <f ca="1">SUMIFS(CostTrack[[Value]:[Value]],CostTrack[[PA ID]:[PA ID]],$B62,CostTrack[[Vendor - Contract]:[Vendor - Contract]],$H62,CostTrack[[Holdback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62" s="504">
        <f ca="1">SUMIFS(CostTrack[[Value]:[Value]],CostTrack[[PA ID]:[PA ID]],$B62,CostTrack[[Vendor - Contract]:[Vendor - Contract]],$H62,CostTrack[[Holdback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62" s="504">
        <f ca="1">SUMIFS(CostTrack[[Value]:[Value]],CostTrack[[PA ID]:[PA ID]],$B62,CostTrack[[Vendor - Contract]:[Vendor - Contract]],$H62,CostTrack[[Holdback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62" s="504">
        <f ca="1">SUMIFS(CostTrack[[Value]:[Value]],CostTrack[[PA ID]:[PA ID]],$B62,CostTrack[[Vendor - Contract]:[Vendor - Contract]],$H62,CostTrack[[Holdback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62" s="504">
        <f ca="1">SUMIFS(CostTrack[[Value]:[Value]],CostTrack[[PA ID]:[PA ID]],$B62,CostTrack[[Vendor - Contract]:[Vendor - Contract]],$H62,CostTrack[[Holdback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62" s="512">
        <f t="shared" ca="1" si="36"/>
        <v>0</v>
      </c>
      <c r="BK62" s="504">
        <f ca="1">SUMIFS(CostTrack[[Value]:[Value]],CostTrack[[PA ID]:[PA ID]],$B62,CostTrack[[Vendor - Contract]:[Vendor - Contract]],$H62,CostTrack[[Holdback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62" s="504">
        <f ca="1">SUMIFS(CostTrack[[Value]:[Value]],CostTrack[[PA ID]:[PA ID]],$B62,CostTrack[[Vendor - Contract]:[Vendor - Contract]],$H62,CostTrack[[Holdback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6600</v>
      </c>
      <c r="BM62" s="504">
        <f ca="1">SUMIFS(CostTrack[[Value]:[Value]],CostTrack[[PA ID]:[PA ID]],$B62,CostTrack[[Vendor - Contract]:[Vendor - Contract]],$H62,CostTrack[[Holdback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62" s="504">
        <f ca="1">SUMIFS(CostTrack[[Value]:[Value]],CostTrack[[PA ID]:[PA ID]],$B62,CostTrack[[Vendor - Contract]:[Vendor - Contract]],$H62,CostTrack[[Holdback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62" s="504">
        <f ca="1">SUMIFS(CostTrack[[Value]:[Value]],CostTrack[[PA ID]:[PA ID]],$B62,CostTrack[[Vendor - Contract]:[Vendor - Contract]],$H62,CostTrack[[Holdback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62" s="504">
        <f ca="1">SUMIFS(CostTrack[[Value]:[Value]],CostTrack[[PA ID]:[PA ID]],$B62,CostTrack[[Vendor - Contract]:[Vendor - Contract]],$H62,CostTrack[[Holdback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62" s="504">
        <f ca="1">SUMIFS(CostTrack[[Value]:[Value]],CostTrack[[PA ID]:[PA ID]],$B62,CostTrack[[Vendor - Contract]:[Vendor - Contract]],$H62,CostTrack[[Holdback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62" s="504">
        <f ca="1">SUMIFS(CostTrack[[Value]:[Value]],CostTrack[[PA ID]:[PA ID]],$B62,CostTrack[[Vendor - Contract]:[Vendor - Contract]],$H62,CostTrack[[Holdback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62" s="504">
        <f ca="1">SUMIFS(CostTrack[[Value]:[Value]],CostTrack[[PA ID]:[PA ID]],$B62,CostTrack[[Vendor - Contract]:[Vendor - Contract]],$H62,CostTrack[[Holdback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62" s="504">
        <f ca="1">SUMIFS(CostTrack[[Value]:[Value]],CostTrack[[PA ID]:[PA ID]],$B62,CostTrack[[Vendor - Contract]:[Vendor - Contract]],$H62,CostTrack[[Holdback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62" s="504">
        <f ca="1">SUMIFS(CostTrack[[Value]:[Value]],CostTrack[[PA ID]:[PA ID]],$B62,CostTrack[[Vendor - Contract]:[Vendor - Contract]],$H62,CostTrack[[Holdback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62" s="504">
        <f ca="1">SUMIFS(CostTrack[[Value]:[Value]],CostTrack[[PA ID]:[PA ID]],$B62,CostTrack[[Vendor - Contract]:[Vendor - Contract]],$H62,CostTrack[[Holdback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62" s="512">
        <f t="shared" ca="1" si="37"/>
        <v>6600</v>
      </c>
      <c r="BY62" s="504">
        <f ca="1">SUMIFS(CostTrack[[Value]:[Value]],CostTrack[[PA ID]:[PA ID]],$B62,CostTrack[[Vendor - Contract]:[Vendor - Contract]],$H62,CostTrack[[Holdback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62" s="504">
        <f ca="1">SUMIFS(CostTrack[[Value]:[Value]],CostTrack[[PA ID]:[PA ID]],$B62,CostTrack[[Vendor - Contract]:[Vendor - Contract]],$H62,CostTrack[[Holdback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62" s="504">
        <f ca="1">SUMIFS(CostTrack[[Value]:[Value]],CostTrack[[PA ID]:[PA ID]],$B62,CostTrack[[Vendor - Contract]:[Vendor - Contract]],$H62,CostTrack[[Holdback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62" s="504">
        <f ca="1">SUMIFS(CostTrack[[Value]:[Value]],CostTrack[[PA ID]:[PA ID]],$B62,CostTrack[[Vendor - Contract]:[Vendor - Contract]],$H62,CostTrack[[Holdback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62" s="504">
        <f ca="1">SUMIFS(CostTrack[[Value]:[Value]],CostTrack[[PA ID]:[PA ID]],$B62,CostTrack[[Vendor - Contract]:[Vendor - Contract]],$H62,CostTrack[[Holdback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62" s="504">
        <f ca="1">SUMIFS(CostTrack[[Value]:[Value]],CostTrack[[PA ID]:[PA ID]],$B62,CostTrack[[Vendor - Contract]:[Vendor - Contract]],$H62,CostTrack[[Holdback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62" s="504">
        <f ca="1">SUMIFS(CostTrack[[Value]:[Value]],CostTrack[[PA ID]:[PA ID]],$B62,CostTrack[[Vendor - Contract]:[Vendor - Contract]],$H62,CostTrack[[Holdback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62" s="504">
        <f ca="1">SUMIFS(CostTrack[[Value]:[Value]],CostTrack[[PA ID]:[PA ID]],$B62,CostTrack[[Vendor - Contract]:[Vendor - Contract]],$H62,CostTrack[[Holdback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62" s="504">
        <f ca="1">SUMIFS(CostTrack[[Value]:[Value]],CostTrack[[PA ID]:[PA ID]],$B62,CostTrack[[Vendor - Contract]:[Vendor - Contract]],$H62,CostTrack[[Holdback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62" s="504">
        <f ca="1">SUMIFS(CostTrack[[Value]:[Value]],CostTrack[[PA ID]:[PA ID]],$B62,CostTrack[[Vendor - Contract]:[Vendor - Contract]],$H62,CostTrack[[Holdback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62" s="504">
        <f ca="1">SUMIFS(CostTrack[[Value]:[Value]],CostTrack[[PA ID]:[PA ID]],$B62,CostTrack[[Vendor - Contract]:[Vendor - Contract]],$H62,CostTrack[[Holdback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62" s="504">
        <f ca="1">SUMIFS(CostTrack[[Value]:[Value]],CostTrack[[PA ID]:[PA ID]],$B62,CostTrack[[Vendor - Contract]:[Vendor - Contract]],$H62,CostTrack[[Holdback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62" s="512">
        <f t="shared" ca="1" si="38"/>
        <v>0</v>
      </c>
      <c r="CM62" s="504">
        <f ca="1">SUMIFS(CostTrack[[Value]:[Value]],CostTrack[[PA ID]:[PA ID]],$B62,CostTrack[[Vendor - Contract]:[Vendor - Contract]],$H62,CostTrack[[Holdback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62" s="504">
        <f ca="1">SUMIFS(CostTrack[[Value]:[Value]],CostTrack[[PA ID]:[PA ID]],$B62,CostTrack[[Vendor - Contract]:[Vendor - Contract]],$H62,CostTrack[[Holdback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62" s="504">
        <f ca="1">SUMIFS(CostTrack[[Value]:[Value]],CostTrack[[PA ID]:[PA ID]],$B62,CostTrack[[Vendor - Contract]:[Vendor - Contract]],$H62,CostTrack[[Holdback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62" s="504">
        <f ca="1">SUMIFS(CostTrack[[Value]:[Value]],CostTrack[[PA ID]:[PA ID]],$B62,CostTrack[[Vendor - Contract]:[Vendor - Contract]],$H62,CostTrack[[Holdback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62" s="504">
        <f ca="1">SUMIFS(CostTrack[[Value]:[Value]],CostTrack[[PA ID]:[PA ID]],$B62,CostTrack[[Vendor - Contract]:[Vendor - Contract]],$H62,CostTrack[[Holdback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62" s="504">
        <f ca="1">SUMIFS(CostTrack[[Value]:[Value]],CostTrack[[PA ID]:[PA ID]],$B62,CostTrack[[Vendor - Contract]:[Vendor - Contract]],$H62,CostTrack[[Holdback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62" s="504">
        <f ca="1">SUMIFS(CostTrack[[Value]:[Value]],CostTrack[[PA ID]:[PA ID]],$B62,CostTrack[[Vendor - Contract]:[Vendor - Contract]],$H62,CostTrack[[Holdback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62" s="504">
        <f ca="1">SUMIFS(CostTrack[[Value]:[Value]],CostTrack[[PA ID]:[PA ID]],$B62,CostTrack[[Vendor - Contract]:[Vendor - Contract]],$H62,CostTrack[[Holdback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62" s="504">
        <f ca="1">SUMIFS(CostTrack[[Value]:[Value]],CostTrack[[PA ID]:[PA ID]],$B62,CostTrack[[Vendor - Contract]:[Vendor - Contract]],$H62,CostTrack[[Holdback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62" s="504">
        <f ca="1">SUMIFS(CostTrack[[Value]:[Value]],CostTrack[[PA ID]:[PA ID]],$B62,CostTrack[[Vendor - Contract]:[Vendor - Contract]],$H62,CostTrack[[Holdback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62" s="504">
        <f ca="1">SUMIFS(CostTrack[[Value]:[Value]],CostTrack[[PA ID]:[PA ID]],$B62,CostTrack[[Vendor - Contract]:[Vendor - Contract]],$H62,CostTrack[[Holdback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62" s="504">
        <f ca="1">SUMIFS(CostTrack[[Value]:[Value]],CostTrack[[PA ID]:[PA ID]],$B62,CostTrack[[Vendor - Contract]:[Vendor - Contract]],$H62,CostTrack[[Holdback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62" s="512">
        <f t="shared" ca="1" si="39"/>
        <v>0</v>
      </c>
      <c r="DA62" s="504">
        <f ca="1">SUMIFS(CostTrack[[Value]:[Value]],CostTrack[[PA ID]:[PA ID]],$B62,CostTrack[[Vendor - Contract]:[Vendor - Contract]],$H62,CostTrack[[Holdback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62" s="504">
        <f ca="1">SUMIFS(CostTrack[[Value]:[Value]],CostTrack[[PA ID]:[PA ID]],$B62,CostTrack[[Vendor - Contract]:[Vendor - Contract]],$H62,CostTrack[[Holdback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62" s="504">
        <f ca="1">SUMIFS(CostTrack[[Value]:[Value]],CostTrack[[PA ID]:[PA ID]],$B62,CostTrack[[Vendor - Contract]:[Vendor - Contract]],$H62,CostTrack[[Holdback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62" s="504">
        <f ca="1">SUMIFS(CostTrack[[Value]:[Value]],CostTrack[[PA ID]:[PA ID]],$B62,CostTrack[[Vendor - Contract]:[Vendor - Contract]],$H62,CostTrack[[Holdback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62" s="504">
        <f ca="1">SUMIFS(CostTrack[[Value]:[Value]],CostTrack[[PA ID]:[PA ID]],$B62,CostTrack[[Vendor - Contract]:[Vendor - Contract]],$H62,CostTrack[[Holdback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62" s="504">
        <f ca="1">SUMIFS(CostTrack[[Value]:[Value]],CostTrack[[PA ID]:[PA ID]],$B62,CostTrack[[Vendor - Contract]:[Vendor - Contract]],$H62,CostTrack[[Holdback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62" s="504">
        <f ca="1">SUMIFS(CostTrack[[Value]:[Value]],CostTrack[[PA ID]:[PA ID]],$B62,CostTrack[[Vendor - Contract]:[Vendor - Contract]],$H62,CostTrack[[Holdback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62" s="504">
        <f ca="1">SUMIFS(CostTrack[[Value]:[Value]],CostTrack[[PA ID]:[PA ID]],$B62,CostTrack[[Vendor - Contract]:[Vendor - Contract]],$H62,CostTrack[[Holdback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62" s="504">
        <f ca="1">SUMIFS(CostTrack[[Value]:[Value]],CostTrack[[PA ID]:[PA ID]],$B62,CostTrack[[Vendor - Contract]:[Vendor - Contract]],$H62,CostTrack[[Holdback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62" s="504">
        <f ca="1">SUMIFS(CostTrack[[Value]:[Value]],CostTrack[[PA ID]:[PA ID]],$B62,CostTrack[[Vendor - Contract]:[Vendor - Contract]],$H62,CostTrack[[Holdback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62" s="504">
        <f ca="1">SUMIFS(CostTrack[[Value]:[Value]],CostTrack[[PA ID]:[PA ID]],$B62,CostTrack[[Vendor - Contract]:[Vendor - Contract]],$H62,CostTrack[[Holdback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62" s="504">
        <f ca="1">SUMIFS(CostTrack[[Value]:[Value]],CostTrack[[PA ID]:[PA ID]],$B62,CostTrack[[Vendor - Contract]:[Vendor - Contract]],$H62,CostTrack[[Holdback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62" s="512">
        <f t="shared" ca="1" si="40"/>
        <v>0</v>
      </c>
      <c r="DO62" s="504">
        <f ca="1">SUMIFS(CostTrack[[Value]:[Value]],CostTrack[[PA ID]:[PA ID]],$B62,CostTrack[[Vendor - Contract]:[Vendor - Contract]],$H62,CostTrack[[Holdback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62" s="504">
        <f ca="1">SUMIFS(CostTrack[[Value]:[Value]],CostTrack[[PA ID]:[PA ID]],$B62,CostTrack[[Vendor - Contract]:[Vendor - Contract]],$H62,CostTrack[[Holdback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62" s="504">
        <f ca="1">SUMIFS(CostTrack[[Value]:[Value]],CostTrack[[PA ID]:[PA ID]],$B62,CostTrack[[Vendor - Contract]:[Vendor - Contract]],$H62,CostTrack[[Holdback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62" s="504">
        <f ca="1">SUMIFS(CostTrack[[Value]:[Value]],CostTrack[[PA ID]:[PA ID]],$B62,CostTrack[[Vendor - Contract]:[Vendor - Contract]],$H62,CostTrack[[Holdback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62" s="504">
        <f ca="1">SUMIFS(CostTrack[[Value]:[Value]],CostTrack[[PA ID]:[PA ID]],$B62,CostTrack[[Vendor - Contract]:[Vendor - Contract]],$H62,CostTrack[[Holdback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62" s="504">
        <f ca="1">SUMIFS(CostTrack[[Value]:[Value]],CostTrack[[PA ID]:[PA ID]],$B62,CostTrack[[Vendor - Contract]:[Vendor - Contract]],$H62,CostTrack[[Holdback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62" s="504">
        <f ca="1">SUMIFS(CostTrack[[Value]:[Value]],CostTrack[[PA ID]:[PA ID]],$B62,CostTrack[[Vendor - Contract]:[Vendor - Contract]],$H62,CostTrack[[Holdback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62" s="504">
        <f ca="1">SUMIFS(CostTrack[[Value]:[Value]],CostTrack[[PA ID]:[PA ID]],$B62,CostTrack[[Vendor - Contract]:[Vendor - Contract]],$H62,CostTrack[[Holdback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62" s="504">
        <f ca="1">SUMIFS(CostTrack[[Value]:[Value]],CostTrack[[PA ID]:[PA ID]],$B62,CostTrack[[Vendor - Contract]:[Vendor - Contract]],$H62,CostTrack[[Holdback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62" s="504">
        <f ca="1">SUMIFS(CostTrack[[Value]:[Value]],CostTrack[[PA ID]:[PA ID]],$B62,CostTrack[[Vendor - Contract]:[Vendor - Contract]],$H62,CostTrack[[Holdback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62" s="504">
        <f ca="1">SUMIFS(CostTrack[[Value]:[Value]],CostTrack[[PA ID]:[PA ID]],$B62,CostTrack[[Vendor - Contract]:[Vendor - Contract]],$H62,CostTrack[[Holdback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62" s="504">
        <f ca="1">SUMIFS(CostTrack[[Value]:[Value]],CostTrack[[PA ID]:[PA ID]],$B62,CostTrack[[Vendor - Contract]:[Vendor - Contract]],$H62,CostTrack[[Holdback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62" s="512">
        <f t="shared" ca="1" si="41"/>
        <v>0</v>
      </c>
      <c r="EC62" s="504">
        <f ca="1">SUMIFS(CostTrack[[Value]:[Value]],CostTrack[[PA ID]:[PA ID]],$B62,CostTrack[[Vendor - Contract]:[Vendor - Contract]],$H62,CostTrack[[Holdback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62" s="505"/>
      <c r="EE62" s="505"/>
      <c r="EF62" s="505"/>
      <c r="EG62" s="505"/>
      <c r="EH62" s="505"/>
      <c r="EI62" s="505"/>
      <c r="EJ62" s="505"/>
      <c r="EK62" s="505"/>
      <c r="EL62" s="505"/>
      <c r="EM62" s="505"/>
      <c r="EN62" s="505"/>
      <c r="EO62" s="512">
        <f t="shared" ca="1" si="42"/>
        <v>0</v>
      </c>
      <c r="EQ62" s="505"/>
      <c r="ER62" s="505"/>
      <c r="ES62" s="505"/>
      <c r="ET62" s="505"/>
      <c r="EU62" s="505"/>
      <c r="EV62" s="505"/>
      <c r="EW62" s="505"/>
      <c r="EX62" s="505"/>
      <c r="EY62" s="505"/>
      <c r="EZ62" s="505"/>
      <c r="FA62" s="505"/>
      <c r="FB62" s="505"/>
      <c r="FC62" s="512">
        <f t="shared" si="43"/>
        <v>0</v>
      </c>
      <c r="FE62" s="505"/>
      <c r="FF62" s="505"/>
      <c r="FG62" s="505"/>
      <c r="FH62" s="505"/>
      <c r="FI62" s="505"/>
      <c r="FJ62" s="505"/>
      <c r="FK62" s="505"/>
      <c r="FL62" s="505"/>
      <c r="FM62" s="505"/>
      <c r="FN62" s="505"/>
      <c r="FO62" s="505"/>
      <c r="FP62" s="505"/>
      <c r="FQ62" s="512">
        <f t="shared" si="44"/>
        <v>0</v>
      </c>
      <c r="FS62" s="504">
        <f t="shared" ca="1" si="45"/>
        <v>6600</v>
      </c>
    </row>
    <row r="63" spans="1:175">
      <c r="A63" s="216">
        <v>56</v>
      </c>
      <c r="B63" s="219" t="str">
        <f ca="1">INDEX(EAC[PA ID],MATCH($A63,EAC[Row],0))</f>
        <v>100.050.F1</v>
      </c>
      <c r="C63" s="218" t="str">
        <f ca="1">INDEX(EAC[Primary Category],MATCH($A63,EAC[Row],0))</f>
        <v>Administration</v>
      </c>
      <c r="D63" s="218" t="str">
        <f ca="1">INDEX(EAC[Secondary Category],MATCH($A63,EAC[Row],0))</f>
        <v>Other Administration</v>
      </c>
      <c r="E63" s="109" t="str">
        <f ca="1">INDEX(EAC[Phase / Subproject],MATCH($A63,EAC[Row],0))</f>
        <v>--</v>
      </c>
      <c r="F63" s="109" t="str">
        <f ca="1">INDEX(EAC[Phase / Subproject 2],MATCH($A63,EAC[Row],0))</f>
        <v>--</v>
      </c>
      <c r="G63" s="109" t="str">
        <f ca="1">INDEX(EAC[Funding Source],MATCH($A63,EAC[Row],0))</f>
        <v>P-002360</v>
      </c>
      <c r="H63" s="146" t="str">
        <f ca="1">INDEX(EAC[Vendor / Org. with Contract ID],MATCH($A63,EAC[Row],0))</f>
        <v>Purolator-Land Title-Direct Pay</v>
      </c>
      <c r="I63" s="502">
        <f ca="1">INDEX(EAC[Estimate At Completion],MATCH($A63,EAC[Row],0))</f>
        <v>32.72</v>
      </c>
      <c r="J63" s="502">
        <f ca="1">SUMIFS(CostTrack[Value],CostTrack[Vendor - Contract],$H63,CostTrack[PA ID],$B63,CostTrack[Holdback (Y/N/R)],"&lt;&gt;Release",CostTrack[Status],"Approved")</f>
        <v>32.72</v>
      </c>
      <c r="K63" s="503">
        <f t="shared" ca="1" si="14"/>
        <v>0</v>
      </c>
      <c r="M63" s="504">
        <f t="shared" ca="1" si="15"/>
        <v>0</v>
      </c>
      <c r="O63" s="504">
        <f t="shared" ref="O63" ca="1" si="46">SUMIF($U$6:$FQ$6,"Previous Fiscal",AG63:FQ63)</f>
        <v>32.72</v>
      </c>
      <c r="P63" s="504">
        <f t="array" aca="1" ref="P63" ca="1">SUM($U63:$FQ63*_xlfn.ISFORMULA($U63:$FQ63)*ISNUMBER($U$7:$FQ$7)*--(INDEX($U$6:$FQ$6,N(IF({1},COLUMN($U$6:$FQ$6)-COLUMN($T$6)))-MOD(N(IF({1},COLUMN($U$6:$FQ$6)-COLUMN($U$6))),14))="Current Fiscal"))</f>
        <v>0</v>
      </c>
      <c r="Q63" s="504">
        <f t="array" aca="1" ref="Q63" ca="1">SUM($U63:$FQ63*NOT(_xlfn.ISFORMULA($U63:$FQ63))*ISNUMBER($U$7:$FQ$7)*--(INDEX($U$6:$FQ$6,N(IF({1},COLUMN($U$6:$FQ$6)-COLUMN($T$6)))-MOD(N(IF({1},COLUMN($U$6:$FQ$6)-COLUMN($U$6))),14))="Current Fiscal"))</f>
        <v>0</v>
      </c>
      <c r="R63" s="504">
        <f t="shared" ref="R63" ca="1" si="47">SUMIF($U$6:$FQ$6,"Current Fiscal",AG63:FQ63)</f>
        <v>0</v>
      </c>
      <c r="S63" s="504">
        <f t="shared" ref="S63" ca="1" si="48">SUMIF($U$6:$FQ$6,"Future Fiscal",AG63:FQ63)</f>
        <v>0</v>
      </c>
      <c r="U63" s="504">
        <f ca="1">SUMIFS(CostTrack[[Value]:[Value]],CostTrack[[PA ID]:[PA ID]],$B63,CostTrack[[Vendor - Contract]:[Vendor - Contract]],$H63,CostTrack[[Holdback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63" s="504">
        <f ca="1">SUMIFS(CostTrack[[Value]:[Value]],CostTrack[[PA ID]:[PA ID]],$B63,CostTrack[[Vendor - Contract]:[Vendor - Contract]],$H63,CostTrack[[Holdback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63" s="504">
        <f ca="1">SUMIFS(CostTrack[[Value]:[Value]],CostTrack[[PA ID]:[PA ID]],$B63,CostTrack[[Vendor - Contract]:[Vendor - Contract]],$H63,CostTrack[[Holdback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63" s="504">
        <f ca="1">SUMIFS(CostTrack[[Value]:[Value]],CostTrack[[PA ID]:[PA ID]],$B63,CostTrack[[Vendor - Contract]:[Vendor - Contract]],$H63,CostTrack[[Holdback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63" s="504">
        <f ca="1">SUMIFS(CostTrack[[Value]:[Value]],CostTrack[[PA ID]:[PA ID]],$B63,CostTrack[[Vendor - Contract]:[Vendor - Contract]],$H63,CostTrack[[Holdback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63" s="504">
        <f ca="1">SUMIFS(CostTrack[[Value]:[Value]],CostTrack[[PA ID]:[PA ID]],$B63,CostTrack[[Vendor - Contract]:[Vendor - Contract]],$H63,CostTrack[[Holdback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63" s="504">
        <f ca="1">SUMIFS(CostTrack[[Value]:[Value]],CostTrack[[PA ID]:[PA ID]],$B63,CostTrack[[Vendor - Contract]:[Vendor - Contract]],$H63,CostTrack[[Holdback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63" s="504">
        <f ca="1">SUMIFS(CostTrack[[Value]:[Value]],CostTrack[[PA ID]:[PA ID]],$B63,CostTrack[[Vendor - Contract]:[Vendor - Contract]],$H63,CostTrack[[Holdback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63" s="504">
        <f ca="1">SUMIFS(CostTrack[[Value]:[Value]],CostTrack[[PA ID]:[PA ID]],$B63,CostTrack[[Vendor - Contract]:[Vendor - Contract]],$H63,CostTrack[[Holdback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63" s="504">
        <f ca="1">SUMIFS(CostTrack[[Value]:[Value]],CostTrack[[PA ID]:[PA ID]],$B63,CostTrack[[Vendor - Contract]:[Vendor - Contract]],$H63,CostTrack[[Holdback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63" s="504">
        <f ca="1">SUMIFS(CostTrack[[Value]:[Value]],CostTrack[[PA ID]:[PA ID]],$B63,CostTrack[[Vendor - Contract]:[Vendor - Contract]],$H63,CostTrack[[Holdback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63" s="504">
        <f ca="1">SUMIFS(CostTrack[[Value]:[Value]],CostTrack[[PA ID]:[PA ID]],$B63,CostTrack[[Vendor - Contract]:[Vendor - Contract]],$H63,CostTrack[[Holdback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63" s="506">
        <f t="shared" ca="1" si="34"/>
        <v>0</v>
      </c>
      <c r="AI63" s="504">
        <f ca="1">SUMIFS(CostTrack[[Value]:[Value]],CostTrack[[PA ID]:[PA ID]],$B63,CostTrack[[Vendor - Contract]:[Vendor - Contract]],$H63,CostTrack[[Holdback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63" s="504">
        <f ca="1">SUMIFS(CostTrack[[Value]:[Value]],CostTrack[[PA ID]:[PA ID]],$B63,CostTrack[[Vendor - Contract]:[Vendor - Contract]],$H63,CostTrack[[Holdback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63" s="504">
        <f ca="1">SUMIFS(CostTrack[[Value]:[Value]],CostTrack[[PA ID]:[PA ID]],$B63,CostTrack[[Vendor - Contract]:[Vendor - Contract]],$H63,CostTrack[[Holdback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63" s="504">
        <f ca="1">SUMIFS(CostTrack[[Value]:[Value]],CostTrack[[PA ID]:[PA ID]],$B63,CostTrack[[Vendor - Contract]:[Vendor - Contract]],$H63,CostTrack[[Holdback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63" s="504">
        <f ca="1">SUMIFS(CostTrack[[Value]:[Value]],CostTrack[[PA ID]:[PA ID]],$B63,CostTrack[[Vendor - Contract]:[Vendor - Contract]],$H63,CostTrack[[Holdback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63" s="504">
        <f ca="1">SUMIFS(CostTrack[[Value]:[Value]],CostTrack[[PA ID]:[PA ID]],$B63,CostTrack[[Vendor - Contract]:[Vendor - Contract]],$H63,CostTrack[[Holdback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63" s="504">
        <f ca="1">SUMIFS(CostTrack[[Value]:[Value]],CostTrack[[PA ID]:[PA ID]],$B63,CostTrack[[Vendor - Contract]:[Vendor - Contract]],$H63,CostTrack[[Holdback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63" s="504">
        <f ca="1">SUMIFS(CostTrack[[Value]:[Value]],CostTrack[[PA ID]:[PA ID]],$B63,CostTrack[[Vendor - Contract]:[Vendor - Contract]],$H63,CostTrack[[Holdback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63" s="504">
        <f ca="1">SUMIFS(CostTrack[[Value]:[Value]],CostTrack[[PA ID]:[PA ID]],$B63,CostTrack[[Vendor - Contract]:[Vendor - Contract]],$H63,CostTrack[[Holdback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63" s="504">
        <f ca="1">SUMIFS(CostTrack[[Value]:[Value]],CostTrack[[PA ID]:[PA ID]],$B63,CostTrack[[Vendor - Contract]:[Vendor - Contract]],$H63,CostTrack[[Holdback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63" s="504">
        <f ca="1">SUMIFS(CostTrack[[Value]:[Value]],CostTrack[[PA ID]:[PA ID]],$B63,CostTrack[[Vendor - Contract]:[Vendor - Contract]],$H63,CostTrack[[Holdback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63" s="504">
        <f ca="1">SUMIFS(CostTrack[[Value]:[Value]],CostTrack[[PA ID]:[PA ID]],$B63,CostTrack[[Vendor - Contract]:[Vendor - Contract]],$H63,CostTrack[[Holdback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63" s="512">
        <f t="shared" ca="1" si="35"/>
        <v>0</v>
      </c>
      <c r="AW63" s="504">
        <f ca="1">SUMIFS(CostTrack[[Value]:[Value]],CostTrack[[PA ID]:[PA ID]],$B63,CostTrack[[Vendor - Contract]:[Vendor - Contract]],$H63,CostTrack[[Holdback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63" s="504">
        <f ca="1">SUMIFS(CostTrack[[Value]:[Value]],CostTrack[[PA ID]:[PA ID]],$B63,CostTrack[[Vendor - Contract]:[Vendor - Contract]],$H63,CostTrack[[Holdback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63" s="504">
        <f ca="1">SUMIFS(CostTrack[[Value]:[Value]],CostTrack[[PA ID]:[PA ID]],$B63,CostTrack[[Vendor - Contract]:[Vendor - Contract]],$H63,CostTrack[[Holdback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63" s="504">
        <f ca="1">SUMIFS(CostTrack[[Value]:[Value]],CostTrack[[PA ID]:[PA ID]],$B63,CostTrack[[Vendor - Contract]:[Vendor - Contract]],$H63,CostTrack[[Holdback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63" s="504">
        <f ca="1">SUMIFS(CostTrack[[Value]:[Value]],CostTrack[[PA ID]:[PA ID]],$B63,CostTrack[[Vendor - Contract]:[Vendor - Contract]],$H63,CostTrack[[Holdback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63" s="504">
        <f ca="1">SUMIFS(CostTrack[[Value]:[Value]],CostTrack[[PA ID]:[PA ID]],$B63,CostTrack[[Vendor - Contract]:[Vendor - Contract]],$H63,CostTrack[[Holdback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63" s="504">
        <f ca="1">SUMIFS(CostTrack[[Value]:[Value]],CostTrack[[PA ID]:[PA ID]],$B63,CostTrack[[Vendor - Contract]:[Vendor - Contract]],$H63,CostTrack[[Holdback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63" s="504">
        <f ca="1">SUMIFS(CostTrack[[Value]:[Value]],CostTrack[[PA ID]:[PA ID]],$B63,CostTrack[[Vendor - Contract]:[Vendor - Contract]],$H63,CostTrack[[Holdback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63" s="504">
        <f ca="1">SUMIFS(CostTrack[[Value]:[Value]],CostTrack[[PA ID]:[PA ID]],$B63,CostTrack[[Vendor - Contract]:[Vendor - Contract]],$H63,CostTrack[[Holdback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63" s="504">
        <f ca="1">SUMIFS(CostTrack[[Value]:[Value]],CostTrack[[PA ID]:[PA ID]],$B63,CostTrack[[Vendor - Contract]:[Vendor - Contract]],$H63,CostTrack[[Holdback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63" s="504">
        <f ca="1">SUMIFS(CostTrack[[Value]:[Value]],CostTrack[[PA ID]:[PA ID]],$B63,CostTrack[[Vendor - Contract]:[Vendor - Contract]],$H63,CostTrack[[Holdback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63" s="504">
        <f ca="1">SUMIFS(CostTrack[[Value]:[Value]],CostTrack[[PA ID]:[PA ID]],$B63,CostTrack[[Vendor - Contract]:[Vendor - Contract]],$H63,CostTrack[[Holdback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63" s="512">
        <f t="shared" ca="1" si="36"/>
        <v>0</v>
      </c>
      <c r="BK63" s="504">
        <f ca="1">SUMIFS(CostTrack[[Value]:[Value]],CostTrack[[PA ID]:[PA ID]],$B63,CostTrack[[Vendor - Contract]:[Vendor - Contract]],$H63,CostTrack[[Holdback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63" s="504">
        <f ca="1">SUMIFS(CostTrack[[Value]:[Value]],CostTrack[[PA ID]:[PA ID]],$B63,CostTrack[[Vendor - Contract]:[Vendor - Contract]],$H63,CostTrack[[Holdback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63" s="504">
        <f ca="1">SUMIFS(CostTrack[[Value]:[Value]],CostTrack[[PA ID]:[PA ID]],$B63,CostTrack[[Vendor - Contract]:[Vendor - Contract]],$H63,CostTrack[[Holdback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63" s="504">
        <f ca="1">SUMIFS(CostTrack[[Value]:[Value]],CostTrack[[PA ID]:[PA ID]],$B63,CostTrack[[Vendor - Contract]:[Vendor - Contract]],$H63,CostTrack[[Holdback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63" s="504">
        <f ca="1">SUMIFS(CostTrack[[Value]:[Value]],CostTrack[[PA ID]:[PA ID]],$B63,CostTrack[[Vendor - Contract]:[Vendor - Contract]],$H63,CostTrack[[Holdback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63" s="504">
        <f ca="1">SUMIFS(CostTrack[[Value]:[Value]],CostTrack[[PA ID]:[PA ID]],$B63,CostTrack[[Vendor - Contract]:[Vendor - Contract]],$H63,CostTrack[[Holdback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63" s="504">
        <f ca="1">SUMIFS(CostTrack[[Value]:[Value]],CostTrack[[PA ID]:[PA ID]],$B63,CostTrack[[Vendor - Contract]:[Vendor - Contract]],$H63,CostTrack[[Holdback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32.72</v>
      </c>
      <c r="BR63" s="504">
        <f ca="1">SUMIFS(CostTrack[[Value]:[Value]],CostTrack[[PA ID]:[PA ID]],$B63,CostTrack[[Vendor - Contract]:[Vendor - Contract]],$H63,CostTrack[[Holdback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63" s="504">
        <f ca="1">SUMIFS(CostTrack[[Value]:[Value]],CostTrack[[PA ID]:[PA ID]],$B63,CostTrack[[Vendor - Contract]:[Vendor - Contract]],$H63,CostTrack[[Holdback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63" s="504">
        <f ca="1">SUMIFS(CostTrack[[Value]:[Value]],CostTrack[[PA ID]:[PA ID]],$B63,CostTrack[[Vendor - Contract]:[Vendor - Contract]],$H63,CostTrack[[Holdback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63" s="504">
        <f ca="1">SUMIFS(CostTrack[[Value]:[Value]],CostTrack[[PA ID]:[PA ID]],$B63,CostTrack[[Vendor - Contract]:[Vendor - Contract]],$H63,CostTrack[[Holdback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63" s="504">
        <f ca="1">SUMIFS(CostTrack[[Value]:[Value]],CostTrack[[PA ID]:[PA ID]],$B63,CostTrack[[Vendor - Contract]:[Vendor - Contract]],$H63,CostTrack[[Holdback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63" s="512">
        <f t="shared" ca="1" si="37"/>
        <v>32.72</v>
      </c>
      <c r="BY63" s="504">
        <f ca="1">SUMIFS(CostTrack[[Value]:[Value]],CostTrack[[PA ID]:[PA ID]],$B63,CostTrack[[Vendor - Contract]:[Vendor - Contract]],$H63,CostTrack[[Holdback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63" s="504">
        <f ca="1">SUMIFS(CostTrack[[Value]:[Value]],CostTrack[[PA ID]:[PA ID]],$B63,CostTrack[[Vendor - Contract]:[Vendor - Contract]],$H63,CostTrack[[Holdback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63" s="504">
        <f ca="1">SUMIFS(CostTrack[[Value]:[Value]],CostTrack[[PA ID]:[PA ID]],$B63,CostTrack[[Vendor - Contract]:[Vendor - Contract]],$H63,CostTrack[[Holdback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63" s="504">
        <f ca="1">SUMIFS(CostTrack[[Value]:[Value]],CostTrack[[PA ID]:[PA ID]],$B63,CostTrack[[Vendor - Contract]:[Vendor - Contract]],$H63,CostTrack[[Holdback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63" s="504">
        <f ca="1">SUMIFS(CostTrack[[Value]:[Value]],CostTrack[[PA ID]:[PA ID]],$B63,CostTrack[[Vendor - Contract]:[Vendor - Contract]],$H63,CostTrack[[Holdback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63" s="504">
        <f ca="1">SUMIFS(CostTrack[[Value]:[Value]],CostTrack[[PA ID]:[PA ID]],$B63,CostTrack[[Vendor - Contract]:[Vendor - Contract]],$H63,CostTrack[[Holdback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63" s="504">
        <f ca="1">SUMIFS(CostTrack[[Value]:[Value]],CostTrack[[PA ID]:[PA ID]],$B63,CostTrack[[Vendor - Contract]:[Vendor - Contract]],$H63,CostTrack[[Holdback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63" s="504">
        <f ca="1">SUMIFS(CostTrack[[Value]:[Value]],CostTrack[[PA ID]:[PA ID]],$B63,CostTrack[[Vendor - Contract]:[Vendor - Contract]],$H63,CostTrack[[Holdback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63" s="504">
        <f ca="1">SUMIFS(CostTrack[[Value]:[Value]],CostTrack[[PA ID]:[PA ID]],$B63,CostTrack[[Vendor - Contract]:[Vendor - Contract]],$H63,CostTrack[[Holdback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63" s="504">
        <f ca="1">SUMIFS(CostTrack[[Value]:[Value]],CostTrack[[PA ID]:[PA ID]],$B63,CostTrack[[Vendor - Contract]:[Vendor - Contract]],$H63,CostTrack[[Holdback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63" s="504">
        <f ca="1">SUMIFS(CostTrack[[Value]:[Value]],CostTrack[[PA ID]:[PA ID]],$B63,CostTrack[[Vendor - Contract]:[Vendor - Contract]],$H63,CostTrack[[Holdback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63" s="504">
        <f ca="1">SUMIFS(CostTrack[[Value]:[Value]],CostTrack[[PA ID]:[PA ID]],$B63,CostTrack[[Vendor - Contract]:[Vendor - Contract]],$H63,CostTrack[[Holdback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63" s="512">
        <f t="shared" ca="1" si="38"/>
        <v>0</v>
      </c>
      <c r="CM63" s="504">
        <f ca="1">SUMIFS(CostTrack[[Value]:[Value]],CostTrack[[PA ID]:[PA ID]],$B63,CostTrack[[Vendor - Contract]:[Vendor - Contract]],$H63,CostTrack[[Holdback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63" s="504">
        <f ca="1">SUMIFS(CostTrack[[Value]:[Value]],CostTrack[[PA ID]:[PA ID]],$B63,CostTrack[[Vendor - Contract]:[Vendor - Contract]],$H63,CostTrack[[Holdback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63" s="504">
        <f ca="1">SUMIFS(CostTrack[[Value]:[Value]],CostTrack[[PA ID]:[PA ID]],$B63,CostTrack[[Vendor - Contract]:[Vendor - Contract]],$H63,CostTrack[[Holdback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63" s="504">
        <f ca="1">SUMIFS(CostTrack[[Value]:[Value]],CostTrack[[PA ID]:[PA ID]],$B63,CostTrack[[Vendor - Contract]:[Vendor - Contract]],$H63,CostTrack[[Holdback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63" s="504">
        <f ca="1">SUMIFS(CostTrack[[Value]:[Value]],CostTrack[[PA ID]:[PA ID]],$B63,CostTrack[[Vendor - Contract]:[Vendor - Contract]],$H63,CostTrack[[Holdback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63" s="504">
        <f ca="1">SUMIFS(CostTrack[[Value]:[Value]],CostTrack[[PA ID]:[PA ID]],$B63,CostTrack[[Vendor - Contract]:[Vendor - Contract]],$H63,CostTrack[[Holdback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63" s="504">
        <f ca="1">SUMIFS(CostTrack[[Value]:[Value]],CostTrack[[PA ID]:[PA ID]],$B63,CostTrack[[Vendor - Contract]:[Vendor - Contract]],$H63,CostTrack[[Holdback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63" s="504">
        <f ca="1">SUMIFS(CostTrack[[Value]:[Value]],CostTrack[[PA ID]:[PA ID]],$B63,CostTrack[[Vendor - Contract]:[Vendor - Contract]],$H63,CostTrack[[Holdback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63" s="504">
        <f ca="1">SUMIFS(CostTrack[[Value]:[Value]],CostTrack[[PA ID]:[PA ID]],$B63,CostTrack[[Vendor - Contract]:[Vendor - Contract]],$H63,CostTrack[[Holdback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63" s="504">
        <f ca="1">SUMIFS(CostTrack[[Value]:[Value]],CostTrack[[PA ID]:[PA ID]],$B63,CostTrack[[Vendor - Contract]:[Vendor - Contract]],$H63,CostTrack[[Holdback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63" s="504">
        <f ca="1">SUMIFS(CostTrack[[Value]:[Value]],CostTrack[[PA ID]:[PA ID]],$B63,CostTrack[[Vendor - Contract]:[Vendor - Contract]],$H63,CostTrack[[Holdback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63" s="504">
        <f ca="1">SUMIFS(CostTrack[[Value]:[Value]],CostTrack[[PA ID]:[PA ID]],$B63,CostTrack[[Vendor - Contract]:[Vendor - Contract]],$H63,CostTrack[[Holdback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63" s="512">
        <f t="shared" ca="1" si="39"/>
        <v>0</v>
      </c>
      <c r="DA63" s="504">
        <f ca="1">SUMIFS(CostTrack[[Value]:[Value]],CostTrack[[PA ID]:[PA ID]],$B63,CostTrack[[Vendor - Contract]:[Vendor - Contract]],$H63,CostTrack[[Holdback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63" s="504">
        <f ca="1">SUMIFS(CostTrack[[Value]:[Value]],CostTrack[[PA ID]:[PA ID]],$B63,CostTrack[[Vendor - Contract]:[Vendor - Contract]],$H63,CostTrack[[Holdback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63" s="504">
        <f ca="1">SUMIFS(CostTrack[[Value]:[Value]],CostTrack[[PA ID]:[PA ID]],$B63,CostTrack[[Vendor - Contract]:[Vendor - Contract]],$H63,CostTrack[[Holdback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63" s="504">
        <f ca="1">SUMIFS(CostTrack[[Value]:[Value]],CostTrack[[PA ID]:[PA ID]],$B63,CostTrack[[Vendor - Contract]:[Vendor - Contract]],$H63,CostTrack[[Holdback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63" s="504">
        <f ca="1">SUMIFS(CostTrack[[Value]:[Value]],CostTrack[[PA ID]:[PA ID]],$B63,CostTrack[[Vendor - Contract]:[Vendor - Contract]],$H63,CostTrack[[Holdback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63" s="504">
        <f ca="1">SUMIFS(CostTrack[[Value]:[Value]],CostTrack[[PA ID]:[PA ID]],$B63,CostTrack[[Vendor - Contract]:[Vendor - Contract]],$H63,CostTrack[[Holdback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63" s="504">
        <f ca="1">SUMIFS(CostTrack[[Value]:[Value]],CostTrack[[PA ID]:[PA ID]],$B63,CostTrack[[Vendor - Contract]:[Vendor - Contract]],$H63,CostTrack[[Holdback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63" s="504">
        <f ca="1">SUMIFS(CostTrack[[Value]:[Value]],CostTrack[[PA ID]:[PA ID]],$B63,CostTrack[[Vendor - Contract]:[Vendor - Contract]],$H63,CostTrack[[Holdback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63" s="504">
        <f ca="1">SUMIFS(CostTrack[[Value]:[Value]],CostTrack[[PA ID]:[PA ID]],$B63,CostTrack[[Vendor - Contract]:[Vendor - Contract]],$H63,CostTrack[[Holdback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63" s="504">
        <f ca="1">SUMIFS(CostTrack[[Value]:[Value]],CostTrack[[PA ID]:[PA ID]],$B63,CostTrack[[Vendor - Contract]:[Vendor - Contract]],$H63,CostTrack[[Holdback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63" s="504">
        <f ca="1">SUMIFS(CostTrack[[Value]:[Value]],CostTrack[[PA ID]:[PA ID]],$B63,CostTrack[[Vendor - Contract]:[Vendor - Contract]],$H63,CostTrack[[Holdback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63" s="504">
        <f ca="1">SUMIFS(CostTrack[[Value]:[Value]],CostTrack[[PA ID]:[PA ID]],$B63,CostTrack[[Vendor - Contract]:[Vendor - Contract]],$H63,CostTrack[[Holdback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63" s="512">
        <f t="shared" ca="1" si="40"/>
        <v>0</v>
      </c>
      <c r="DO63" s="504">
        <f ca="1">SUMIFS(CostTrack[[Value]:[Value]],CostTrack[[PA ID]:[PA ID]],$B63,CostTrack[[Vendor - Contract]:[Vendor - Contract]],$H63,CostTrack[[Holdback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63" s="504">
        <f ca="1">SUMIFS(CostTrack[[Value]:[Value]],CostTrack[[PA ID]:[PA ID]],$B63,CostTrack[[Vendor - Contract]:[Vendor - Contract]],$H63,CostTrack[[Holdback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63" s="504">
        <f ca="1">SUMIFS(CostTrack[[Value]:[Value]],CostTrack[[PA ID]:[PA ID]],$B63,CostTrack[[Vendor - Contract]:[Vendor - Contract]],$H63,CostTrack[[Holdback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63" s="504">
        <f ca="1">SUMIFS(CostTrack[[Value]:[Value]],CostTrack[[PA ID]:[PA ID]],$B63,CostTrack[[Vendor - Contract]:[Vendor - Contract]],$H63,CostTrack[[Holdback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63" s="504">
        <f ca="1">SUMIFS(CostTrack[[Value]:[Value]],CostTrack[[PA ID]:[PA ID]],$B63,CostTrack[[Vendor - Contract]:[Vendor - Contract]],$H63,CostTrack[[Holdback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63" s="504">
        <f ca="1">SUMIFS(CostTrack[[Value]:[Value]],CostTrack[[PA ID]:[PA ID]],$B63,CostTrack[[Vendor - Contract]:[Vendor - Contract]],$H63,CostTrack[[Holdback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63" s="504">
        <f ca="1">SUMIFS(CostTrack[[Value]:[Value]],CostTrack[[PA ID]:[PA ID]],$B63,CostTrack[[Vendor - Contract]:[Vendor - Contract]],$H63,CostTrack[[Holdback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63" s="504">
        <f ca="1">SUMIFS(CostTrack[[Value]:[Value]],CostTrack[[PA ID]:[PA ID]],$B63,CostTrack[[Vendor - Contract]:[Vendor - Contract]],$H63,CostTrack[[Holdback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63" s="504">
        <f ca="1">SUMIFS(CostTrack[[Value]:[Value]],CostTrack[[PA ID]:[PA ID]],$B63,CostTrack[[Vendor - Contract]:[Vendor - Contract]],$H63,CostTrack[[Holdback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63" s="504">
        <f ca="1">SUMIFS(CostTrack[[Value]:[Value]],CostTrack[[PA ID]:[PA ID]],$B63,CostTrack[[Vendor - Contract]:[Vendor - Contract]],$H63,CostTrack[[Holdback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63" s="504">
        <f ca="1">SUMIFS(CostTrack[[Value]:[Value]],CostTrack[[PA ID]:[PA ID]],$B63,CostTrack[[Vendor - Contract]:[Vendor - Contract]],$H63,CostTrack[[Holdback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63" s="504">
        <f ca="1">SUMIFS(CostTrack[[Value]:[Value]],CostTrack[[PA ID]:[PA ID]],$B63,CostTrack[[Vendor - Contract]:[Vendor - Contract]],$H63,CostTrack[[Holdback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63" s="512">
        <f t="shared" ca="1" si="41"/>
        <v>0</v>
      </c>
      <c r="EC63" s="504">
        <f ca="1">SUMIFS(CostTrack[[Value]:[Value]],CostTrack[[PA ID]:[PA ID]],$B63,CostTrack[[Vendor - Contract]:[Vendor - Contract]],$H63,CostTrack[[Holdback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63" s="505"/>
      <c r="EE63" s="505"/>
      <c r="EF63" s="505"/>
      <c r="EG63" s="505"/>
      <c r="EH63" s="505"/>
      <c r="EI63" s="505"/>
      <c r="EJ63" s="505"/>
      <c r="EK63" s="505"/>
      <c r="EL63" s="505"/>
      <c r="EM63" s="505"/>
      <c r="EN63" s="505"/>
      <c r="EO63" s="512">
        <f t="shared" ca="1" si="42"/>
        <v>0</v>
      </c>
      <c r="EQ63" s="505"/>
      <c r="ER63" s="505"/>
      <c r="ES63" s="505"/>
      <c r="ET63" s="505"/>
      <c r="EU63" s="505"/>
      <c r="EV63" s="505"/>
      <c r="EW63" s="505"/>
      <c r="EX63" s="505"/>
      <c r="EY63" s="505"/>
      <c r="EZ63" s="505"/>
      <c r="FA63" s="505"/>
      <c r="FB63" s="505"/>
      <c r="FC63" s="512">
        <f t="shared" si="43"/>
        <v>0</v>
      </c>
      <c r="FE63" s="505"/>
      <c r="FF63" s="505"/>
      <c r="FG63" s="505"/>
      <c r="FH63" s="505"/>
      <c r="FI63" s="505"/>
      <c r="FJ63" s="505"/>
      <c r="FK63" s="505"/>
      <c r="FL63" s="505"/>
      <c r="FM63" s="505"/>
      <c r="FN63" s="505"/>
      <c r="FO63" s="505"/>
      <c r="FP63" s="505"/>
      <c r="FQ63" s="512">
        <f t="shared" si="44"/>
        <v>0</v>
      </c>
      <c r="FS63" s="504">
        <f t="shared" ca="1" si="45"/>
        <v>32.72</v>
      </c>
    </row>
    <row r="64" spans="1:175">
      <c r="A64" s="216">
        <v>57</v>
      </c>
      <c r="B64" s="219" t="str">
        <f ca="1">INDEX(EAC[PA ID],MATCH($A64,EAC[Row],0))</f>
        <v>300.010.F1</v>
      </c>
      <c r="C64" s="218" t="str">
        <f ca="1">INDEX(EAC[Primary Category],MATCH($A64,EAC[Row],0))</f>
        <v>Construction</v>
      </c>
      <c r="D64" s="218" t="str">
        <f ca="1">INDEX(EAC[Secondary Category],MATCH($A64,EAC[Row],0))</f>
        <v>Permits &amp; Fees</v>
      </c>
      <c r="E64" s="109" t="str">
        <f ca="1">INDEX(EAC[Phase / Subproject],MATCH($A64,EAC[Row],0))</f>
        <v>--</v>
      </c>
      <c r="F64" s="109" t="str">
        <f ca="1">INDEX(EAC[Phase / Subproject 2],MATCH($A64,EAC[Row],0))</f>
        <v>--</v>
      </c>
      <c r="G64" s="109" t="str">
        <f ca="1">INDEX(EAC[Funding Source],MATCH($A64,EAC[Row],0))</f>
        <v>P-002360</v>
      </c>
      <c r="H64" s="146" t="str">
        <f ca="1">INDEX(EAC[Vendor / Org. with Contract ID],MATCH($A64,EAC[Row],0))</f>
        <v>LEED- CAGBC-Direct Pay</v>
      </c>
      <c r="I64" s="502">
        <f ca="1">INDEX(EAC[Estimate At Completion],MATCH($A64,EAC[Row],0))</f>
        <v>27937.86</v>
      </c>
      <c r="J64" s="502">
        <f ca="1">SUMIFS(CostTrack[Value],CostTrack[Vendor - Contract],$H64,CostTrack[PA ID],$B64,CostTrack[Holdback (Y/N/R)],"&lt;&gt;Release",CostTrack[Status],"Approved")</f>
        <v>27937.86</v>
      </c>
      <c r="K64" s="503">
        <f t="shared" ca="1" si="14"/>
        <v>0</v>
      </c>
      <c r="M64" s="504">
        <f t="shared" ca="1" si="15"/>
        <v>0</v>
      </c>
      <c r="O64" s="504">
        <f t="shared" ref="O64:O71" ca="1" si="49">SUMIF($U$6:$FQ$6,"Previous Fiscal",AG64:FQ64)</f>
        <v>27937.86</v>
      </c>
      <c r="P64" s="504">
        <f t="array" aca="1" ref="P64" ca="1">SUM($U64:$FQ64*_xlfn.ISFORMULA($U64:$FQ64)*ISNUMBER($U$7:$FQ$7)*--(INDEX($U$6:$FQ$6,N(IF({1},COLUMN($U$6:$FQ$6)-COLUMN($T$6)))-MOD(N(IF({1},COLUMN($U$6:$FQ$6)-COLUMN($U$6))),14))="Current Fiscal"))</f>
        <v>0</v>
      </c>
      <c r="Q64" s="504">
        <f t="array" aca="1" ref="Q64" ca="1">SUM($U64:$FQ64*NOT(_xlfn.ISFORMULA($U64:$FQ64))*ISNUMBER($U$7:$FQ$7)*--(INDEX($U$6:$FQ$6,N(IF({1},COLUMN($U$6:$FQ$6)-COLUMN($T$6)))-MOD(N(IF({1},COLUMN($U$6:$FQ$6)-COLUMN($U$6))),14))="Current Fiscal"))</f>
        <v>0</v>
      </c>
      <c r="R64" s="504">
        <f t="shared" ref="R64:R71" ca="1" si="50">SUMIF($U$6:$FQ$6,"Current Fiscal",AG64:FQ64)</f>
        <v>0</v>
      </c>
      <c r="S64" s="504">
        <f t="shared" ref="S64:S71" ca="1" si="51">SUMIF($U$6:$FQ$6,"Future Fiscal",AG64:FQ64)</f>
        <v>0</v>
      </c>
      <c r="U64" s="504">
        <f ca="1">SUMIFS(CostTrack[[Value]:[Value]],CostTrack[[PA ID]:[PA ID]],$B64,CostTrack[[Vendor - Contract]:[Vendor - Contract]],$H64,CostTrack[[Holdback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64" s="504">
        <f ca="1">SUMIFS(CostTrack[[Value]:[Value]],CostTrack[[PA ID]:[PA ID]],$B64,CostTrack[[Vendor - Contract]:[Vendor - Contract]],$H64,CostTrack[[Holdback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64" s="504">
        <f ca="1">SUMIFS(CostTrack[[Value]:[Value]],CostTrack[[PA ID]:[PA ID]],$B64,CostTrack[[Vendor - Contract]:[Vendor - Contract]],$H64,CostTrack[[Holdback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64" s="504">
        <f ca="1">SUMIFS(CostTrack[[Value]:[Value]],CostTrack[[PA ID]:[PA ID]],$B64,CostTrack[[Vendor - Contract]:[Vendor - Contract]],$H64,CostTrack[[Holdback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64" s="504">
        <f ca="1">SUMIFS(CostTrack[[Value]:[Value]],CostTrack[[PA ID]:[PA ID]],$B64,CostTrack[[Vendor - Contract]:[Vendor - Contract]],$H64,CostTrack[[Holdback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64" s="504">
        <f ca="1">SUMIFS(CostTrack[[Value]:[Value]],CostTrack[[PA ID]:[PA ID]],$B64,CostTrack[[Vendor - Contract]:[Vendor - Contract]],$H64,CostTrack[[Holdback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64" s="504">
        <f ca="1">SUMIFS(CostTrack[[Value]:[Value]],CostTrack[[PA ID]:[PA ID]],$B64,CostTrack[[Vendor - Contract]:[Vendor - Contract]],$H64,CostTrack[[Holdback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64" s="504">
        <f ca="1">SUMIFS(CostTrack[[Value]:[Value]],CostTrack[[PA ID]:[PA ID]],$B64,CostTrack[[Vendor - Contract]:[Vendor - Contract]],$H64,CostTrack[[Holdback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64" s="504">
        <f ca="1">SUMIFS(CostTrack[[Value]:[Value]],CostTrack[[PA ID]:[PA ID]],$B64,CostTrack[[Vendor - Contract]:[Vendor - Contract]],$H64,CostTrack[[Holdback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64" s="504">
        <f ca="1">SUMIFS(CostTrack[[Value]:[Value]],CostTrack[[PA ID]:[PA ID]],$B64,CostTrack[[Vendor - Contract]:[Vendor - Contract]],$H64,CostTrack[[Holdback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64" s="504">
        <f ca="1">SUMIFS(CostTrack[[Value]:[Value]],CostTrack[[PA ID]:[PA ID]],$B64,CostTrack[[Vendor - Contract]:[Vendor - Contract]],$H64,CostTrack[[Holdback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64" s="504">
        <f ca="1">SUMIFS(CostTrack[[Value]:[Value]],CostTrack[[PA ID]:[PA ID]],$B64,CostTrack[[Vendor - Contract]:[Vendor - Contract]],$H64,CostTrack[[Holdback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64" s="506">
        <f t="shared" ref="AG64:AG71" ca="1" si="52">SUM(U64:AF64)</f>
        <v>0</v>
      </c>
      <c r="AI64" s="504">
        <f ca="1">SUMIFS(CostTrack[[Value]:[Value]],CostTrack[[PA ID]:[PA ID]],$B64,CostTrack[[Vendor - Contract]:[Vendor - Contract]],$H64,CostTrack[[Holdback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64" s="504">
        <f ca="1">SUMIFS(CostTrack[[Value]:[Value]],CostTrack[[PA ID]:[PA ID]],$B64,CostTrack[[Vendor - Contract]:[Vendor - Contract]],$H64,CostTrack[[Holdback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64" s="504">
        <f ca="1">SUMIFS(CostTrack[[Value]:[Value]],CostTrack[[PA ID]:[PA ID]],$B64,CostTrack[[Vendor - Contract]:[Vendor - Contract]],$H64,CostTrack[[Holdback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64" s="504">
        <f ca="1">SUMIFS(CostTrack[[Value]:[Value]],CostTrack[[PA ID]:[PA ID]],$B64,CostTrack[[Vendor - Contract]:[Vendor - Contract]],$H64,CostTrack[[Holdback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64" s="504">
        <f ca="1">SUMIFS(CostTrack[[Value]:[Value]],CostTrack[[PA ID]:[PA ID]],$B64,CostTrack[[Vendor - Contract]:[Vendor - Contract]],$H64,CostTrack[[Holdback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64" s="504">
        <f ca="1">SUMIFS(CostTrack[[Value]:[Value]],CostTrack[[PA ID]:[PA ID]],$B64,CostTrack[[Vendor - Contract]:[Vendor - Contract]],$H64,CostTrack[[Holdback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64" s="504">
        <f ca="1">SUMIFS(CostTrack[[Value]:[Value]],CostTrack[[PA ID]:[PA ID]],$B64,CostTrack[[Vendor - Contract]:[Vendor - Contract]],$H64,CostTrack[[Holdback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64" s="504">
        <f ca="1">SUMIFS(CostTrack[[Value]:[Value]],CostTrack[[PA ID]:[PA ID]],$B64,CostTrack[[Vendor - Contract]:[Vendor - Contract]],$H64,CostTrack[[Holdback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64" s="504">
        <f ca="1">SUMIFS(CostTrack[[Value]:[Value]],CostTrack[[PA ID]:[PA ID]],$B64,CostTrack[[Vendor - Contract]:[Vendor - Contract]],$H64,CostTrack[[Holdback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64" s="504">
        <f ca="1">SUMIFS(CostTrack[[Value]:[Value]],CostTrack[[PA ID]:[PA ID]],$B64,CostTrack[[Vendor - Contract]:[Vendor - Contract]],$H64,CostTrack[[Holdback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64" s="504">
        <f ca="1">SUMIFS(CostTrack[[Value]:[Value]],CostTrack[[PA ID]:[PA ID]],$B64,CostTrack[[Vendor - Contract]:[Vendor - Contract]],$H64,CostTrack[[Holdback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64" s="504">
        <f ca="1">SUMIFS(CostTrack[[Value]:[Value]],CostTrack[[PA ID]:[PA ID]],$B64,CostTrack[[Vendor - Contract]:[Vendor - Contract]],$H64,CostTrack[[Holdback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64" s="512">
        <f t="shared" ca="1" si="35"/>
        <v>0</v>
      </c>
      <c r="AW64" s="504">
        <f ca="1">SUMIFS(CostTrack[[Value]:[Value]],CostTrack[[PA ID]:[PA ID]],$B64,CostTrack[[Vendor - Contract]:[Vendor - Contract]],$H64,CostTrack[[Holdback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64" s="504">
        <f ca="1">SUMIFS(CostTrack[[Value]:[Value]],CostTrack[[PA ID]:[PA ID]],$B64,CostTrack[[Vendor - Contract]:[Vendor - Contract]],$H64,CostTrack[[Holdback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64" s="504">
        <f ca="1">SUMIFS(CostTrack[[Value]:[Value]],CostTrack[[PA ID]:[PA ID]],$B64,CostTrack[[Vendor - Contract]:[Vendor - Contract]],$H64,CostTrack[[Holdback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64" s="504">
        <f ca="1">SUMIFS(CostTrack[[Value]:[Value]],CostTrack[[PA ID]:[PA ID]],$B64,CostTrack[[Vendor - Contract]:[Vendor - Contract]],$H64,CostTrack[[Holdback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64" s="504">
        <f ca="1">SUMIFS(CostTrack[[Value]:[Value]],CostTrack[[PA ID]:[PA ID]],$B64,CostTrack[[Vendor - Contract]:[Vendor - Contract]],$H64,CostTrack[[Holdback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64" s="504">
        <f ca="1">SUMIFS(CostTrack[[Value]:[Value]],CostTrack[[PA ID]:[PA ID]],$B64,CostTrack[[Vendor - Contract]:[Vendor - Contract]],$H64,CostTrack[[Holdback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64" s="504">
        <f ca="1">SUMIFS(CostTrack[[Value]:[Value]],CostTrack[[PA ID]:[PA ID]],$B64,CostTrack[[Vendor - Contract]:[Vendor - Contract]],$H64,CostTrack[[Holdback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64" s="504">
        <f ca="1">SUMIFS(CostTrack[[Value]:[Value]],CostTrack[[PA ID]:[PA ID]],$B64,CostTrack[[Vendor - Contract]:[Vendor - Contract]],$H64,CostTrack[[Holdback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64" s="504">
        <f ca="1">SUMIFS(CostTrack[[Value]:[Value]],CostTrack[[PA ID]:[PA ID]],$B64,CostTrack[[Vendor - Contract]:[Vendor - Contract]],$H64,CostTrack[[Holdback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64" s="504">
        <f ca="1">SUMIFS(CostTrack[[Value]:[Value]],CostTrack[[PA ID]:[PA ID]],$B64,CostTrack[[Vendor - Contract]:[Vendor - Contract]],$H64,CostTrack[[Holdback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64" s="504">
        <f ca="1">SUMIFS(CostTrack[[Value]:[Value]],CostTrack[[PA ID]:[PA ID]],$B64,CostTrack[[Vendor - Contract]:[Vendor - Contract]],$H64,CostTrack[[Holdback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64" s="504">
        <f ca="1">SUMIFS(CostTrack[[Value]:[Value]],CostTrack[[PA ID]:[PA ID]],$B64,CostTrack[[Vendor - Contract]:[Vendor - Contract]],$H64,CostTrack[[Holdback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64" s="512">
        <f t="shared" ca="1" si="36"/>
        <v>0</v>
      </c>
      <c r="BK64" s="504">
        <f ca="1">SUMIFS(CostTrack[[Value]:[Value]],CostTrack[[PA ID]:[PA ID]],$B64,CostTrack[[Vendor - Contract]:[Vendor - Contract]],$H64,CostTrack[[Holdback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64" s="504">
        <f ca="1">SUMIFS(CostTrack[[Value]:[Value]],CostTrack[[PA ID]:[PA ID]],$B64,CostTrack[[Vendor - Contract]:[Vendor - Contract]],$H64,CostTrack[[Holdback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64" s="504">
        <f ca="1">SUMIFS(CostTrack[[Value]:[Value]],CostTrack[[PA ID]:[PA ID]],$B64,CostTrack[[Vendor - Contract]:[Vendor - Contract]],$H64,CostTrack[[Holdback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64" s="504">
        <f ca="1">SUMIFS(CostTrack[[Value]:[Value]],CostTrack[[PA ID]:[PA ID]],$B64,CostTrack[[Vendor - Contract]:[Vendor - Contract]],$H64,CostTrack[[Holdback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64" s="504">
        <f ca="1">SUMIFS(CostTrack[[Value]:[Value]],CostTrack[[PA ID]:[PA ID]],$B64,CostTrack[[Vendor - Contract]:[Vendor - Contract]],$H64,CostTrack[[Holdback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64" s="504">
        <f ca="1">SUMIFS(CostTrack[[Value]:[Value]],CostTrack[[PA ID]:[PA ID]],$B64,CostTrack[[Vendor - Contract]:[Vendor - Contract]],$H64,CostTrack[[Holdback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64" s="504">
        <f ca="1">SUMIFS(CostTrack[[Value]:[Value]],CostTrack[[PA ID]:[PA ID]],$B64,CostTrack[[Vendor - Contract]:[Vendor - Contract]],$H64,CostTrack[[Holdback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64" s="504">
        <f ca="1">SUMIFS(CostTrack[[Value]:[Value]],CostTrack[[PA ID]:[PA ID]],$B64,CostTrack[[Vendor - Contract]:[Vendor - Contract]],$H64,CostTrack[[Holdback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64" s="504">
        <f ca="1">SUMIFS(CostTrack[[Value]:[Value]],CostTrack[[PA ID]:[PA ID]],$B64,CostTrack[[Vendor - Contract]:[Vendor - Contract]],$H64,CostTrack[[Holdback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64" s="504">
        <f ca="1">SUMIFS(CostTrack[[Value]:[Value]],CostTrack[[PA ID]:[PA ID]],$B64,CostTrack[[Vendor - Contract]:[Vendor - Contract]],$H64,CostTrack[[Holdback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64" s="504">
        <f ca="1">SUMIFS(CostTrack[[Value]:[Value]],CostTrack[[PA ID]:[PA ID]],$B64,CostTrack[[Vendor - Contract]:[Vendor - Contract]],$H64,CostTrack[[Holdback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64" s="504">
        <f ca="1">SUMIFS(CostTrack[[Value]:[Value]],CostTrack[[PA ID]:[PA ID]],$B64,CostTrack[[Vendor - Contract]:[Vendor - Contract]],$H64,CostTrack[[Holdback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64" s="512">
        <f t="shared" ca="1" si="37"/>
        <v>0</v>
      </c>
      <c r="BY64" s="504">
        <f ca="1">SUMIFS(CostTrack[[Value]:[Value]],CostTrack[[PA ID]:[PA ID]],$B64,CostTrack[[Vendor - Contract]:[Vendor - Contract]],$H64,CostTrack[[Holdback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64" s="504">
        <f ca="1">SUMIFS(CostTrack[[Value]:[Value]],CostTrack[[PA ID]:[PA ID]],$B64,CostTrack[[Vendor - Contract]:[Vendor - Contract]],$H64,CostTrack[[Holdback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64" s="504">
        <f ca="1">SUMIFS(CostTrack[[Value]:[Value]],CostTrack[[PA ID]:[PA ID]],$B64,CostTrack[[Vendor - Contract]:[Vendor - Contract]],$H64,CostTrack[[Holdback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64" s="504">
        <f ca="1">SUMIFS(CostTrack[[Value]:[Value]],CostTrack[[PA ID]:[PA ID]],$B64,CostTrack[[Vendor - Contract]:[Vendor - Contract]],$H64,CostTrack[[Holdback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64" s="504">
        <f ca="1">SUMIFS(CostTrack[[Value]:[Value]],CostTrack[[PA ID]:[PA ID]],$B64,CostTrack[[Vendor - Contract]:[Vendor - Contract]],$H64,CostTrack[[Holdback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64" s="504">
        <f ca="1">SUMIFS(CostTrack[[Value]:[Value]],CostTrack[[PA ID]:[PA ID]],$B64,CostTrack[[Vendor - Contract]:[Vendor - Contract]],$H64,CostTrack[[Holdback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64" s="504">
        <f ca="1">SUMIFS(CostTrack[[Value]:[Value]],CostTrack[[PA ID]:[PA ID]],$B64,CostTrack[[Vendor - Contract]:[Vendor - Contract]],$H64,CostTrack[[Holdback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64" s="504">
        <f ca="1">SUMIFS(CostTrack[[Value]:[Value]],CostTrack[[PA ID]:[PA ID]],$B64,CostTrack[[Vendor - Contract]:[Vendor - Contract]],$H64,CostTrack[[Holdback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64" s="504">
        <f ca="1">SUMIFS(CostTrack[[Value]:[Value]],CostTrack[[PA ID]:[PA ID]],$B64,CostTrack[[Vendor - Contract]:[Vendor - Contract]],$H64,CostTrack[[Holdback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64" s="504">
        <f ca="1">SUMIFS(CostTrack[[Value]:[Value]],CostTrack[[PA ID]:[PA ID]],$B64,CostTrack[[Vendor - Contract]:[Vendor - Contract]],$H64,CostTrack[[Holdback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64" s="504">
        <f ca="1">SUMIFS(CostTrack[[Value]:[Value]],CostTrack[[PA ID]:[PA ID]],$B64,CostTrack[[Vendor - Contract]:[Vendor - Contract]],$H64,CostTrack[[Holdback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64" s="504">
        <f ca="1">SUMIFS(CostTrack[[Value]:[Value]],CostTrack[[PA ID]:[PA ID]],$B64,CostTrack[[Vendor - Contract]:[Vendor - Contract]],$H64,CostTrack[[Holdback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64" s="512">
        <f t="shared" ca="1" si="38"/>
        <v>0</v>
      </c>
      <c r="CM64" s="504">
        <f ca="1">SUMIFS(CostTrack[[Value]:[Value]],CostTrack[[PA ID]:[PA ID]],$B64,CostTrack[[Vendor - Contract]:[Vendor - Contract]],$H64,CostTrack[[Holdback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64" s="504">
        <f ca="1">SUMIFS(CostTrack[[Value]:[Value]],CostTrack[[PA ID]:[PA ID]],$B64,CostTrack[[Vendor - Contract]:[Vendor - Contract]],$H64,CostTrack[[Holdback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64" s="504">
        <f ca="1">SUMIFS(CostTrack[[Value]:[Value]],CostTrack[[PA ID]:[PA ID]],$B64,CostTrack[[Vendor - Contract]:[Vendor - Contract]],$H64,CostTrack[[Holdback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64" s="504">
        <f ca="1">SUMIFS(CostTrack[[Value]:[Value]],CostTrack[[PA ID]:[PA ID]],$B64,CostTrack[[Vendor - Contract]:[Vendor - Contract]],$H64,CostTrack[[Holdback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64" s="504">
        <f ca="1">SUMIFS(CostTrack[[Value]:[Value]],CostTrack[[PA ID]:[PA ID]],$B64,CostTrack[[Vendor - Contract]:[Vendor - Contract]],$H64,CostTrack[[Holdback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64" s="504">
        <f ca="1">SUMIFS(CostTrack[[Value]:[Value]],CostTrack[[PA ID]:[PA ID]],$B64,CostTrack[[Vendor - Contract]:[Vendor - Contract]],$H64,CostTrack[[Holdback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64" s="504">
        <f ca="1">SUMIFS(CostTrack[[Value]:[Value]],CostTrack[[PA ID]:[PA ID]],$B64,CostTrack[[Vendor - Contract]:[Vendor - Contract]],$H64,CostTrack[[Holdback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64" s="504">
        <f ca="1">SUMIFS(CostTrack[[Value]:[Value]],CostTrack[[PA ID]:[PA ID]],$B64,CostTrack[[Vendor - Contract]:[Vendor - Contract]],$H64,CostTrack[[Holdback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64" s="504">
        <f ca="1">SUMIFS(CostTrack[[Value]:[Value]],CostTrack[[PA ID]:[PA ID]],$B64,CostTrack[[Vendor - Contract]:[Vendor - Contract]],$H64,CostTrack[[Holdback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64" s="504">
        <f ca="1">SUMIFS(CostTrack[[Value]:[Value]],CostTrack[[PA ID]:[PA ID]],$B64,CostTrack[[Vendor - Contract]:[Vendor - Contract]],$H64,CostTrack[[Holdback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64" s="504">
        <f ca="1">SUMIFS(CostTrack[[Value]:[Value]],CostTrack[[PA ID]:[PA ID]],$B64,CostTrack[[Vendor - Contract]:[Vendor - Contract]],$H64,CostTrack[[Holdback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64" s="504">
        <f ca="1">SUMIFS(CostTrack[[Value]:[Value]],CostTrack[[PA ID]:[PA ID]],$B64,CostTrack[[Vendor - Contract]:[Vendor - Contract]],$H64,CostTrack[[Holdback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64" s="512">
        <f t="shared" ca="1" si="39"/>
        <v>0</v>
      </c>
      <c r="DA64" s="504">
        <f ca="1">SUMIFS(CostTrack[[Value]:[Value]],CostTrack[[PA ID]:[PA ID]],$B64,CostTrack[[Vendor - Contract]:[Vendor - Contract]],$H64,CostTrack[[Holdback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64" s="504">
        <f ca="1">SUMIFS(CostTrack[[Value]:[Value]],CostTrack[[PA ID]:[PA ID]],$B64,CostTrack[[Vendor - Contract]:[Vendor - Contract]],$H64,CostTrack[[Holdback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64" s="504">
        <f ca="1">SUMIFS(CostTrack[[Value]:[Value]],CostTrack[[PA ID]:[PA ID]],$B64,CostTrack[[Vendor - Contract]:[Vendor - Contract]],$H64,CostTrack[[Holdback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64" s="504">
        <f ca="1">SUMIFS(CostTrack[[Value]:[Value]],CostTrack[[PA ID]:[PA ID]],$B64,CostTrack[[Vendor - Contract]:[Vendor - Contract]],$H64,CostTrack[[Holdback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64" s="504">
        <f ca="1">SUMIFS(CostTrack[[Value]:[Value]],CostTrack[[PA ID]:[PA ID]],$B64,CostTrack[[Vendor - Contract]:[Vendor - Contract]],$H64,CostTrack[[Holdback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64" s="504">
        <f ca="1">SUMIFS(CostTrack[[Value]:[Value]],CostTrack[[PA ID]:[PA ID]],$B64,CostTrack[[Vendor - Contract]:[Vendor - Contract]],$H64,CostTrack[[Holdback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64" s="504">
        <f ca="1">SUMIFS(CostTrack[[Value]:[Value]],CostTrack[[PA ID]:[PA ID]],$B64,CostTrack[[Vendor - Contract]:[Vendor - Contract]],$H64,CostTrack[[Holdback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64" s="504">
        <f ca="1">SUMIFS(CostTrack[[Value]:[Value]],CostTrack[[PA ID]:[PA ID]],$B64,CostTrack[[Vendor - Contract]:[Vendor - Contract]],$H64,CostTrack[[Holdback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64" s="504">
        <f ca="1">SUMIFS(CostTrack[[Value]:[Value]],CostTrack[[PA ID]:[PA ID]],$B64,CostTrack[[Vendor - Contract]:[Vendor - Contract]],$H64,CostTrack[[Holdback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64" s="504">
        <f ca="1">SUMIFS(CostTrack[[Value]:[Value]],CostTrack[[PA ID]:[PA ID]],$B64,CostTrack[[Vendor - Contract]:[Vendor - Contract]],$H64,CostTrack[[Holdback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64" s="504">
        <f ca="1">SUMIFS(CostTrack[[Value]:[Value]],CostTrack[[PA ID]:[PA ID]],$B64,CostTrack[[Vendor - Contract]:[Vendor - Contract]],$H64,CostTrack[[Holdback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64" s="504">
        <f ca="1">SUMIFS(CostTrack[[Value]:[Value]],CostTrack[[PA ID]:[PA ID]],$B64,CostTrack[[Vendor - Contract]:[Vendor - Contract]],$H64,CostTrack[[Holdback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27937.86</v>
      </c>
      <c r="DM64" s="512">
        <f t="shared" ca="1" si="40"/>
        <v>27937.86</v>
      </c>
      <c r="DO64" s="504">
        <f ca="1">SUMIFS(CostTrack[[Value]:[Value]],CostTrack[[PA ID]:[PA ID]],$B64,CostTrack[[Vendor - Contract]:[Vendor - Contract]],$H64,CostTrack[[Holdback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64" s="504">
        <f ca="1">SUMIFS(CostTrack[[Value]:[Value]],CostTrack[[PA ID]:[PA ID]],$B64,CostTrack[[Vendor - Contract]:[Vendor - Contract]],$H64,CostTrack[[Holdback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64" s="504">
        <f ca="1">SUMIFS(CostTrack[[Value]:[Value]],CostTrack[[PA ID]:[PA ID]],$B64,CostTrack[[Vendor - Contract]:[Vendor - Contract]],$H64,CostTrack[[Holdback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64" s="504">
        <f ca="1">SUMIFS(CostTrack[[Value]:[Value]],CostTrack[[PA ID]:[PA ID]],$B64,CostTrack[[Vendor - Contract]:[Vendor - Contract]],$H64,CostTrack[[Holdback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64" s="504">
        <f ca="1">SUMIFS(CostTrack[[Value]:[Value]],CostTrack[[PA ID]:[PA ID]],$B64,CostTrack[[Vendor - Contract]:[Vendor - Contract]],$H64,CostTrack[[Holdback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64" s="504">
        <f ca="1">SUMIFS(CostTrack[[Value]:[Value]],CostTrack[[PA ID]:[PA ID]],$B64,CostTrack[[Vendor - Contract]:[Vendor - Contract]],$H64,CostTrack[[Holdback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64" s="504">
        <f ca="1">SUMIFS(CostTrack[[Value]:[Value]],CostTrack[[PA ID]:[PA ID]],$B64,CostTrack[[Vendor - Contract]:[Vendor - Contract]],$H64,CostTrack[[Holdback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64" s="504">
        <f ca="1">SUMIFS(CostTrack[[Value]:[Value]],CostTrack[[PA ID]:[PA ID]],$B64,CostTrack[[Vendor - Contract]:[Vendor - Contract]],$H64,CostTrack[[Holdback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64" s="504">
        <f ca="1">SUMIFS(CostTrack[[Value]:[Value]],CostTrack[[PA ID]:[PA ID]],$B64,CostTrack[[Vendor - Contract]:[Vendor - Contract]],$H64,CostTrack[[Holdback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64" s="504">
        <f ca="1">SUMIFS(CostTrack[[Value]:[Value]],CostTrack[[PA ID]:[PA ID]],$B64,CostTrack[[Vendor - Contract]:[Vendor - Contract]],$H64,CostTrack[[Holdback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64" s="504">
        <f ca="1">SUMIFS(CostTrack[[Value]:[Value]],CostTrack[[PA ID]:[PA ID]],$B64,CostTrack[[Vendor - Contract]:[Vendor - Contract]],$H64,CostTrack[[Holdback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64" s="504">
        <f ca="1">SUMIFS(CostTrack[[Value]:[Value]],CostTrack[[PA ID]:[PA ID]],$B64,CostTrack[[Vendor - Contract]:[Vendor - Contract]],$H64,CostTrack[[Holdback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64" s="512">
        <f t="shared" ca="1" si="41"/>
        <v>0</v>
      </c>
      <c r="EC64" s="504">
        <f ca="1">SUMIFS(CostTrack[[Value]:[Value]],CostTrack[[PA ID]:[PA ID]],$B64,CostTrack[[Vendor - Contract]:[Vendor - Contract]],$H64,CostTrack[[Holdback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64" s="505"/>
      <c r="EE64" s="505"/>
      <c r="EF64" s="505"/>
      <c r="EG64" s="505"/>
      <c r="EH64" s="505"/>
      <c r="EI64" s="505"/>
      <c r="EJ64" s="505"/>
      <c r="EK64" s="505"/>
      <c r="EL64" s="505"/>
      <c r="EM64" s="505"/>
      <c r="EN64" s="505"/>
      <c r="EO64" s="512">
        <f t="shared" ca="1" si="42"/>
        <v>0</v>
      </c>
      <c r="EQ64" s="505"/>
      <c r="ER64" s="505"/>
      <c r="ES64" s="505"/>
      <c r="ET64" s="505"/>
      <c r="EU64" s="505"/>
      <c r="EV64" s="505"/>
      <c r="EW64" s="505"/>
      <c r="EX64" s="505"/>
      <c r="EY64" s="505"/>
      <c r="EZ64" s="505"/>
      <c r="FA64" s="505"/>
      <c r="FB64" s="505"/>
      <c r="FC64" s="512">
        <f t="shared" si="43"/>
        <v>0</v>
      </c>
      <c r="FE64" s="505"/>
      <c r="FF64" s="505"/>
      <c r="FG64" s="505"/>
      <c r="FH64" s="505"/>
      <c r="FI64" s="505"/>
      <c r="FJ64" s="505"/>
      <c r="FK64" s="505"/>
      <c r="FL64" s="505"/>
      <c r="FM64" s="505"/>
      <c r="FN64" s="505"/>
      <c r="FO64" s="505"/>
      <c r="FP64" s="505"/>
      <c r="FQ64" s="512">
        <f t="shared" si="44"/>
        <v>0</v>
      </c>
      <c r="FS64" s="504">
        <f t="shared" ca="1" si="45"/>
        <v>27937.86</v>
      </c>
    </row>
    <row r="65" spans="1:175">
      <c r="A65" s="216">
        <v>58</v>
      </c>
      <c r="B65" s="219" t="str">
        <f ca="1">INDEX(EAC[PA ID],MATCH($A65,EAC[Row],0))</f>
        <v>200.050.F1</v>
      </c>
      <c r="C65" s="218" t="str">
        <f ca="1">INDEX(EAC[Primary Category],MATCH($A65,EAC[Row],0))</f>
        <v>Professional Services</v>
      </c>
      <c r="D65" s="218" t="str">
        <f ca="1">INDEX(EAC[Secondary Category],MATCH($A65,EAC[Row],0))</f>
        <v>Other Professional Services</v>
      </c>
      <c r="E65" s="109" t="str">
        <f ca="1">INDEX(EAC[Phase / Subproject],MATCH($A65,EAC[Row],0))</f>
        <v>--</v>
      </c>
      <c r="F65" s="109" t="str">
        <f ca="1">INDEX(EAC[Phase / Subproject 2],MATCH($A65,EAC[Row],0))</f>
        <v>--</v>
      </c>
      <c r="G65" s="109" t="str">
        <f ca="1">INDEX(EAC[Funding Source],MATCH($A65,EAC[Row],0))</f>
        <v>P-002360</v>
      </c>
      <c r="H65" s="146" t="str">
        <f ca="1">INDEX(EAC[Vendor / Org. with Contract ID],MATCH($A65,EAC[Row],0))</f>
        <v>Cine Audio Visual-Groundbreaking-Direct Pay</v>
      </c>
      <c r="I65" s="502">
        <f ca="1">INDEX(EAC[Estimate At Completion],MATCH($A65,EAC[Row],0))</f>
        <v>1470.77</v>
      </c>
      <c r="J65" s="502">
        <f ca="1">SUMIFS(CostTrack[Value],CostTrack[Vendor - Contract],$H65,CostTrack[PA ID],$B65,CostTrack[Holdback (Y/N/R)],"&lt;&gt;Release",CostTrack[Status],"Approved")</f>
        <v>1470.77</v>
      </c>
      <c r="K65" s="503">
        <f t="shared" ca="1" si="14"/>
        <v>0</v>
      </c>
      <c r="M65" s="504">
        <f t="shared" ca="1" si="15"/>
        <v>0</v>
      </c>
      <c r="O65" s="504">
        <f t="shared" ca="1" si="49"/>
        <v>1470.77</v>
      </c>
      <c r="P65" s="504">
        <f t="array" aca="1" ref="P65" ca="1">SUM($U65:$FQ65*_xlfn.ISFORMULA($U65:$FQ65)*ISNUMBER($U$7:$FQ$7)*--(INDEX($U$6:$FQ$6,N(IF({1},COLUMN($U$6:$FQ$6)-COLUMN($T$6)))-MOD(N(IF({1},COLUMN($U$6:$FQ$6)-COLUMN($U$6))),14))="Current Fiscal"))</f>
        <v>0</v>
      </c>
      <c r="Q65" s="504">
        <f t="array" aca="1" ref="Q65" ca="1">SUM($U65:$FQ65*NOT(_xlfn.ISFORMULA($U65:$FQ65))*ISNUMBER($U$7:$FQ$7)*--(INDEX($U$6:$FQ$6,N(IF({1},COLUMN($U$6:$FQ$6)-COLUMN($T$6)))-MOD(N(IF({1},COLUMN($U$6:$FQ$6)-COLUMN($U$6))),14))="Current Fiscal"))</f>
        <v>0</v>
      </c>
      <c r="R65" s="504">
        <f t="shared" ca="1" si="50"/>
        <v>0</v>
      </c>
      <c r="S65" s="504">
        <f t="shared" ca="1" si="51"/>
        <v>0</v>
      </c>
      <c r="U65" s="504">
        <f ca="1">SUMIFS(CostTrack[[Value]:[Value]],CostTrack[[PA ID]:[PA ID]],$B65,CostTrack[[Vendor - Contract]:[Vendor - Contract]],$H65,CostTrack[[Holdback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65" s="504">
        <f ca="1">SUMIFS(CostTrack[[Value]:[Value]],CostTrack[[PA ID]:[PA ID]],$B65,CostTrack[[Vendor - Contract]:[Vendor - Contract]],$H65,CostTrack[[Holdback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65" s="504">
        <f ca="1">SUMIFS(CostTrack[[Value]:[Value]],CostTrack[[PA ID]:[PA ID]],$B65,CostTrack[[Vendor - Contract]:[Vendor - Contract]],$H65,CostTrack[[Holdback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65" s="504">
        <f ca="1">SUMIFS(CostTrack[[Value]:[Value]],CostTrack[[PA ID]:[PA ID]],$B65,CostTrack[[Vendor - Contract]:[Vendor - Contract]],$H65,CostTrack[[Holdback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65" s="504">
        <f ca="1">SUMIFS(CostTrack[[Value]:[Value]],CostTrack[[PA ID]:[PA ID]],$B65,CostTrack[[Vendor - Contract]:[Vendor - Contract]],$H65,CostTrack[[Holdback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65" s="504">
        <f ca="1">SUMIFS(CostTrack[[Value]:[Value]],CostTrack[[PA ID]:[PA ID]],$B65,CostTrack[[Vendor - Contract]:[Vendor - Contract]],$H65,CostTrack[[Holdback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65" s="504">
        <f ca="1">SUMIFS(CostTrack[[Value]:[Value]],CostTrack[[PA ID]:[PA ID]],$B65,CostTrack[[Vendor - Contract]:[Vendor - Contract]],$H65,CostTrack[[Holdback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65" s="504">
        <f ca="1">SUMIFS(CostTrack[[Value]:[Value]],CostTrack[[PA ID]:[PA ID]],$B65,CostTrack[[Vendor - Contract]:[Vendor - Contract]],$H65,CostTrack[[Holdback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65" s="504">
        <f ca="1">SUMIFS(CostTrack[[Value]:[Value]],CostTrack[[PA ID]:[PA ID]],$B65,CostTrack[[Vendor - Contract]:[Vendor - Contract]],$H65,CostTrack[[Holdback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65" s="504">
        <f ca="1">SUMIFS(CostTrack[[Value]:[Value]],CostTrack[[PA ID]:[PA ID]],$B65,CostTrack[[Vendor - Contract]:[Vendor - Contract]],$H65,CostTrack[[Holdback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65" s="504">
        <f ca="1">SUMIFS(CostTrack[[Value]:[Value]],CostTrack[[PA ID]:[PA ID]],$B65,CostTrack[[Vendor - Contract]:[Vendor - Contract]],$H65,CostTrack[[Holdback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65" s="504">
        <f ca="1">SUMIFS(CostTrack[[Value]:[Value]],CostTrack[[PA ID]:[PA ID]],$B65,CostTrack[[Vendor - Contract]:[Vendor - Contract]],$H65,CostTrack[[Holdback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65" s="506">
        <f t="shared" ca="1" si="52"/>
        <v>0</v>
      </c>
      <c r="AI65" s="504">
        <f ca="1">SUMIFS(CostTrack[[Value]:[Value]],CostTrack[[PA ID]:[PA ID]],$B65,CostTrack[[Vendor - Contract]:[Vendor - Contract]],$H65,CostTrack[[Holdback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65" s="504">
        <f ca="1">SUMIFS(CostTrack[[Value]:[Value]],CostTrack[[PA ID]:[PA ID]],$B65,CostTrack[[Vendor - Contract]:[Vendor - Contract]],$H65,CostTrack[[Holdback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65" s="504">
        <f ca="1">SUMIFS(CostTrack[[Value]:[Value]],CostTrack[[PA ID]:[PA ID]],$B65,CostTrack[[Vendor - Contract]:[Vendor - Contract]],$H65,CostTrack[[Holdback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65" s="504">
        <f ca="1">SUMIFS(CostTrack[[Value]:[Value]],CostTrack[[PA ID]:[PA ID]],$B65,CostTrack[[Vendor - Contract]:[Vendor - Contract]],$H65,CostTrack[[Holdback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65" s="504">
        <f ca="1">SUMIFS(CostTrack[[Value]:[Value]],CostTrack[[PA ID]:[PA ID]],$B65,CostTrack[[Vendor - Contract]:[Vendor - Contract]],$H65,CostTrack[[Holdback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65" s="504">
        <f ca="1">SUMIFS(CostTrack[[Value]:[Value]],CostTrack[[PA ID]:[PA ID]],$B65,CostTrack[[Vendor - Contract]:[Vendor - Contract]],$H65,CostTrack[[Holdback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65" s="504">
        <f ca="1">SUMIFS(CostTrack[[Value]:[Value]],CostTrack[[PA ID]:[PA ID]],$B65,CostTrack[[Vendor - Contract]:[Vendor - Contract]],$H65,CostTrack[[Holdback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65" s="504">
        <f ca="1">SUMIFS(CostTrack[[Value]:[Value]],CostTrack[[PA ID]:[PA ID]],$B65,CostTrack[[Vendor - Contract]:[Vendor - Contract]],$H65,CostTrack[[Holdback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65" s="504">
        <f ca="1">SUMIFS(CostTrack[[Value]:[Value]],CostTrack[[PA ID]:[PA ID]],$B65,CostTrack[[Vendor - Contract]:[Vendor - Contract]],$H65,CostTrack[[Holdback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65" s="504">
        <f ca="1">SUMIFS(CostTrack[[Value]:[Value]],CostTrack[[PA ID]:[PA ID]],$B65,CostTrack[[Vendor - Contract]:[Vendor - Contract]],$H65,CostTrack[[Holdback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65" s="504">
        <f ca="1">SUMIFS(CostTrack[[Value]:[Value]],CostTrack[[PA ID]:[PA ID]],$B65,CostTrack[[Vendor - Contract]:[Vendor - Contract]],$H65,CostTrack[[Holdback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65" s="504">
        <f ca="1">SUMIFS(CostTrack[[Value]:[Value]],CostTrack[[PA ID]:[PA ID]],$B65,CostTrack[[Vendor - Contract]:[Vendor - Contract]],$H65,CostTrack[[Holdback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65" s="512">
        <f t="shared" ca="1" si="35"/>
        <v>0</v>
      </c>
      <c r="AW65" s="504">
        <f ca="1">SUMIFS(CostTrack[[Value]:[Value]],CostTrack[[PA ID]:[PA ID]],$B65,CostTrack[[Vendor - Contract]:[Vendor - Contract]],$H65,CostTrack[[Holdback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65" s="504">
        <f ca="1">SUMIFS(CostTrack[[Value]:[Value]],CostTrack[[PA ID]:[PA ID]],$B65,CostTrack[[Vendor - Contract]:[Vendor - Contract]],$H65,CostTrack[[Holdback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65" s="504">
        <f ca="1">SUMIFS(CostTrack[[Value]:[Value]],CostTrack[[PA ID]:[PA ID]],$B65,CostTrack[[Vendor - Contract]:[Vendor - Contract]],$H65,CostTrack[[Holdback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65" s="504">
        <f ca="1">SUMIFS(CostTrack[[Value]:[Value]],CostTrack[[PA ID]:[PA ID]],$B65,CostTrack[[Vendor - Contract]:[Vendor - Contract]],$H65,CostTrack[[Holdback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65" s="504">
        <f ca="1">SUMIFS(CostTrack[[Value]:[Value]],CostTrack[[PA ID]:[PA ID]],$B65,CostTrack[[Vendor - Contract]:[Vendor - Contract]],$H65,CostTrack[[Holdback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65" s="504">
        <f ca="1">SUMIFS(CostTrack[[Value]:[Value]],CostTrack[[PA ID]:[PA ID]],$B65,CostTrack[[Vendor - Contract]:[Vendor - Contract]],$H65,CostTrack[[Holdback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65" s="504">
        <f ca="1">SUMIFS(CostTrack[[Value]:[Value]],CostTrack[[PA ID]:[PA ID]],$B65,CostTrack[[Vendor - Contract]:[Vendor - Contract]],$H65,CostTrack[[Holdback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65" s="504">
        <f ca="1">SUMIFS(CostTrack[[Value]:[Value]],CostTrack[[PA ID]:[PA ID]],$B65,CostTrack[[Vendor - Contract]:[Vendor - Contract]],$H65,CostTrack[[Holdback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65" s="504">
        <f ca="1">SUMIFS(CostTrack[[Value]:[Value]],CostTrack[[PA ID]:[PA ID]],$B65,CostTrack[[Vendor - Contract]:[Vendor - Contract]],$H65,CostTrack[[Holdback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65" s="504">
        <f ca="1">SUMIFS(CostTrack[[Value]:[Value]],CostTrack[[PA ID]:[PA ID]],$B65,CostTrack[[Vendor - Contract]:[Vendor - Contract]],$H65,CostTrack[[Holdback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65" s="504">
        <f ca="1">SUMIFS(CostTrack[[Value]:[Value]],CostTrack[[PA ID]:[PA ID]],$B65,CostTrack[[Vendor - Contract]:[Vendor - Contract]],$H65,CostTrack[[Holdback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65" s="504">
        <f ca="1">SUMIFS(CostTrack[[Value]:[Value]],CostTrack[[PA ID]:[PA ID]],$B65,CostTrack[[Vendor - Contract]:[Vendor - Contract]],$H65,CostTrack[[Holdback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65" s="512">
        <f t="shared" ca="1" si="36"/>
        <v>0</v>
      </c>
      <c r="BK65" s="504">
        <f ca="1">SUMIFS(CostTrack[[Value]:[Value]],CostTrack[[PA ID]:[PA ID]],$B65,CostTrack[[Vendor - Contract]:[Vendor - Contract]],$H65,CostTrack[[Holdback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65" s="504">
        <f ca="1">SUMIFS(CostTrack[[Value]:[Value]],CostTrack[[PA ID]:[PA ID]],$B65,CostTrack[[Vendor - Contract]:[Vendor - Contract]],$H65,CostTrack[[Holdback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65" s="504">
        <f ca="1">SUMIFS(CostTrack[[Value]:[Value]],CostTrack[[PA ID]:[PA ID]],$B65,CostTrack[[Vendor - Contract]:[Vendor - Contract]],$H65,CostTrack[[Holdback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65" s="504">
        <f ca="1">SUMIFS(CostTrack[[Value]:[Value]],CostTrack[[PA ID]:[PA ID]],$B65,CostTrack[[Vendor - Contract]:[Vendor - Contract]],$H65,CostTrack[[Holdback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65" s="504">
        <f ca="1">SUMIFS(CostTrack[[Value]:[Value]],CostTrack[[PA ID]:[PA ID]],$B65,CostTrack[[Vendor - Contract]:[Vendor - Contract]],$H65,CostTrack[[Holdback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65" s="504">
        <f ca="1">SUMIFS(CostTrack[[Value]:[Value]],CostTrack[[PA ID]:[PA ID]],$B65,CostTrack[[Vendor - Contract]:[Vendor - Contract]],$H65,CostTrack[[Holdback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65" s="504">
        <f ca="1">SUMIFS(CostTrack[[Value]:[Value]],CostTrack[[PA ID]:[PA ID]],$B65,CostTrack[[Vendor - Contract]:[Vendor - Contract]],$H65,CostTrack[[Holdback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65" s="504">
        <f ca="1">SUMIFS(CostTrack[[Value]:[Value]],CostTrack[[PA ID]:[PA ID]],$B65,CostTrack[[Vendor - Contract]:[Vendor - Contract]],$H65,CostTrack[[Holdback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65" s="504">
        <f ca="1">SUMIFS(CostTrack[[Value]:[Value]],CostTrack[[PA ID]:[PA ID]],$B65,CostTrack[[Vendor - Contract]:[Vendor - Contract]],$H65,CostTrack[[Holdback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65" s="504">
        <f ca="1">SUMIFS(CostTrack[[Value]:[Value]],CostTrack[[PA ID]:[PA ID]],$B65,CostTrack[[Vendor - Contract]:[Vendor - Contract]],$H65,CostTrack[[Holdback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1470.77</v>
      </c>
      <c r="BU65" s="504">
        <f ca="1">SUMIFS(CostTrack[[Value]:[Value]],CostTrack[[PA ID]:[PA ID]],$B65,CostTrack[[Vendor - Contract]:[Vendor - Contract]],$H65,CostTrack[[Holdback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65" s="504">
        <f ca="1">SUMIFS(CostTrack[[Value]:[Value]],CostTrack[[PA ID]:[PA ID]],$B65,CostTrack[[Vendor - Contract]:[Vendor - Contract]],$H65,CostTrack[[Holdback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65" s="512">
        <f t="shared" ca="1" si="37"/>
        <v>1470.77</v>
      </c>
      <c r="BY65" s="504">
        <f ca="1">SUMIFS(CostTrack[[Value]:[Value]],CostTrack[[PA ID]:[PA ID]],$B65,CostTrack[[Vendor - Contract]:[Vendor - Contract]],$H65,CostTrack[[Holdback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65" s="504">
        <f ca="1">SUMIFS(CostTrack[[Value]:[Value]],CostTrack[[PA ID]:[PA ID]],$B65,CostTrack[[Vendor - Contract]:[Vendor - Contract]],$H65,CostTrack[[Holdback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65" s="504">
        <f ca="1">SUMIFS(CostTrack[[Value]:[Value]],CostTrack[[PA ID]:[PA ID]],$B65,CostTrack[[Vendor - Contract]:[Vendor - Contract]],$H65,CostTrack[[Holdback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65" s="504">
        <f ca="1">SUMIFS(CostTrack[[Value]:[Value]],CostTrack[[PA ID]:[PA ID]],$B65,CostTrack[[Vendor - Contract]:[Vendor - Contract]],$H65,CostTrack[[Holdback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65" s="504">
        <f ca="1">SUMIFS(CostTrack[[Value]:[Value]],CostTrack[[PA ID]:[PA ID]],$B65,CostTrack[[Vendor - Contract]:[Vendor - Contract]],$H65,CostTrack[[Holdback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65" s="504">
        <f ca="1">SUMIFS(CostTrack[[Value]:[Value]],CostTrack[[PA ID]:[PA ID]],$B65,CostTrack[[Vendor - Contract]:[Vendor - Contract]],$H65,CostTrack[[Holdback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65" s="504">
        <f ca="1">SUMIFS(CostTrack[[Value]:[Value]],CostTrack[[PA ID]:[PA ID]],$B65,CostTrack[[Vendor - Contract]:[Vendor - Contract]],$H65,CostTrack[[Holdback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65" s="504">
        <f ca="1">SUMIFS(CostTrack[[Value]:[Value]],CostTrack[[PA ID]:[PA ID]],$B65,CostTrack[[Vendor - Contract]:[Vendor - Contract]],$H65,CostTrack[[Holdback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65" s="504">
        <f ca="1">SUMIFS(CostTrack[[Value]:[Value]],CostTrack[[PA ID]:[PA ID]],$B65,CostTrack[[Vendor - Contract]:[Vendor - Contract]],$H65,CostTrack[[Holdback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65" s="504">
        <f ca="1">SUMIFS(CostTrack[[Value]:[Value]],CostTrack[[PA ID]:[PA ID]],$B65,CostTrack[[Vendor - Contract]:[Vendor - Contract]],$H65,CostTrack[[Holdback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65" s="504">
        <f ca="1">SUMIFS(CostTrack[[Value]:[Value]],CostTrack[[PA ID]:[PA ID]],$B65,CostTrack[[Vendor - Contract]:[Vendor - Contract]],$H65,CostTrack[[Holdback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65" s="504">
        <f ca="1">SUMIFS(CostTrack[[Value]:[Value]],CostTrack[[PA ID]:[PA ID]],$B65,CostTrack[[Vendor - Contract]:[Vendor - Contract]],$H65,CostTrack[[Holdback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65" s="512">
        <f t="shared" ca="1" si="38"/>
        <v>0</v>
      </c>
      <c r="CM65" s="504">
        <f ca="1">SUMIFS(CostTrack[[Value]:[Value]],CostTrack[[PA ID]:[PA ID]],$B65,CostTrack[[Vendor - Contract]:[Vendor - Contract]],$H65,CostTrack[[Holdback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65" s="504">
        <f ca="1">SUMIFS(CostTrack[[Value]:[Value]],CostTrack[[PA ID]:[PA ID]],$B65,CostTrack[[Vendor - Contract]:[Vendor - Contract]],$H65,CostTrack[[Holdback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65" s="504">
        <f ca="1">SUMIFS(CostTrack[[Value]:[Value]],CostTrack[[PA ID]:[PA ID]],$B65,CostTrack[[Vendor - Contract]:[Vendor - Contract]],$H65,CostTrack[[Holdback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65" s="504">
        <f ca="1">SUMIFS(CostTrack[[Value]:[Value]],CostTrack[[PA ID]:[PA ID]],$B65,CostTrack[[Vendor - Contract]:[Vendor - Contract]],$H65,CostTrack[[Holdback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65" s="504">
        <f ca="1">SUMIFS(CostTrack[[Value]:[Value]],CostTrack[[PA ID]:[PA ID]],$B65,CostTrack[[Vendor - Contract]:[Vendor - Contract]],$H65,CostTrack[[Holdback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65" s="504">
        <f ca="1">SUMIFS(CostTrack[[Value]:[Value]],CostTrack[[PA ID]:[PA ID]],$B65,CostTrack[[Vendor - Contract]:[Vendor - Contract]],$H65,CostTrack[[Holdback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65" s="504">
        <f ca="1">SUMIFS(CostTrack[[Value]:[Value]],CostTrack[[PA ID]:[PA ID]],$B65,CostTrack[[Vendor - Contract]:[Vendor - Contract]],$H65,CostTrack[[Holdback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65" s="504">
        <f ca="1">SUMIFS(CostTrack[[Value]:[Value]],CostTrack[[PA ID]:[PA ID]],$B65,CostTrack[[Vendor - Contract]:[Vendor - Contract]],$H65,CostTrack[[Holdback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65" s="504">
        <f ca="1">SUMIFS(CostTrack[[Value]:[Value]],CostTrack[[PA ID]:[PA ID]],$B65,CostTrack[[Vendor - Contract]:[Vendor - Contract]],$H65,CostTrack[[Holdback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65" s="504">
        <f ca="1">SUMIFS(CostTrack[[Value]:[Value]],CostTrack[[PA ID]:[PA ID]],$B65,CostTrack[[Vendor - Contract]:[Vendor - Contract]],$H65,CostTrack[[Holdback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65" s="504">
        <f ca="1">SUMIFS(CostTrack[[Value]:[Value]],CostTrack[[PA ID]:[PA ID]],$B65,CostTrack[[Vendor - Contract]:[Vendor - Contract]],$H65,CostTrack[[Holdback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65" s="504">
        <f ca="1">SUMIFS(CostTrack[[Value]:[Value]],CostTrack[[PA ID]:[PA ID]],$B65,CostTrack[[Vendor - Contract]:[Vendor - Contract]],$H65,CostTrack[[Holdback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65" s="512">
        <f t="shared" ca="1" si="39"/>
        <v>0</v>
      </c>
      <c r="DA65" s="504">
        <f ca="1">SUMIFS(CostTrack[[Value]:[Value]],CostTrack[[PA ID]:[PA ID]],$B65,CostTrack[[Vendor - Contract]:[Vendor - Contract]],$H65,CostTrack[[Holdback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65" s="504">
        <f ca="1">SUMIFS(CostTrack[[Value]:[Value]],CostTrack[[PA ID]:[PA ID]],$B65,CostTrack[[Vendor - Contract]:[Vendor - Contract]],$H65,CostTrack[[Holdback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65" s="504">
        <f ca="1">SUMIFS(CostTrack[[Value]:[Value]],CostTrack[[PA ID]:[PA ID]],$B65,CostTrack[[Vendor - Contract]:[Vendor - Contract]],$H65,CostTrack[[Holdback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65" s="504">
        <f ca="1">SUMIFS(CostTrack[[Value]:[Value]],CostTrack[[PA ID]:[PA ID]],$B65,CostTrack[[Vendor - Contract]:[Vendor - Contract]],$H65,CostTrack[[Holdback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65" s="504">
        <f ca="1">SUMIFS(CostTrack[[Value]:[Value]],CostTrack[[PA ID]:[PA ID]],$B65,CostTrack[[Vendor - Contract]:[Vendor - Contract]],$H65,CostTrack[[Holdback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65" s="504">
        <f ca="1">SUMIFS(CostTrack[[Value]:[Value]],CostTrack[[PA ID]:[PA ID]],$B65,CostTrack[[Vendor - Contract]:[Vendor - Contract]],$H65,CostTrack[[Holdback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65" s="504">
        <f ca="1">SUMIFS(CostTrack[[Value]:[Value]],CostTrack[[PA ID]:[PA ID]],$B65,CostTrack[[Vendor - Contract]:[Vendor - Contract]],$H65,CostTrack[[Holdback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65" s="504">
        <f ca="1">SUMIFS(CostTrack[[Value]:[Value]],CostTrack[[PA ID]:[PA ID]],$B65,CostTrack[[Vendor - Contract]:[Vendor - Contract]],$H65,CostTrack[[Holdback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65" s="504">
        <f ca="1">SUMIFS(CostTrack[[Value]:[Value]],CostTrack[[PA ID]:[PA ID]],$B65,CostTrack[[Vendor - Contract]:[Vendor - Contract]],$H65,CostTrack[[Holdback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65" s="504">
        <f ca="1">SUMIFS(CostTrack[[Value]:[Value]],CostTrack[[PA ID]:[PA ID]],$B65,CostTrack[[Vendor - Contract]:[Vendor - Contract]],$H65,CostTrack[[Holdback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65" s="504">
        <f ca="1">SUMIFS(CostTrack[[Value]:[Value]],CostTrack[[PA ID]:[PA ID]],$B65,CostTrack[[Vendor - Contract]:[Vendor - Contract]],$H65,CostTrack[[Holdback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65" s="504">
        <f ca="1">SUMIFS(CostTrack[[Value]:[Value]],CostTrack[[PA ID]:[PA ID]],$B65,CostTrack[[Vendor - Contract]:[Vendor - Contract]],$H65,CostTrack[[Holdback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65" s="512">
        <f t="shared" ca="1" si="40"/>
        <v>0</v>
      </c>
      <c r="DO65" s="504">
        <f ca="1">SUMIFS(CostTrack[[Value]:[Value]],CostTrack[[PA ID]:[PA ID]],$B65,CostTrack[[Vendor - Contract]:[Vendor - Contract]],$H65,CostTrack[[Holdback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65" s="504">
        <f ca="1">SUMIFS(CostTrack[[Value]:[Value]],CostTrack[[PA ID]:[PA ID]],$B65,CostTrack[[Vendor - Contract]:[Vendor - Contract]],$H65,CostTrack[[Holdback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65" s="504">
        <f ca="1">SUMIFS(CostTrack[[Value]:[Value]],CostTrack[[PA ID]:[PA ID]],$B65,CostTrack[[Vendor - Contract]:[Vendor - Contract]],$H65,CostTrack[[Holdback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65" s="504">
        <f ca="1">SUMIFS(CostTrack[[Value]:[Value]],CostTrack[[PA ID]:[PA ID]],$B65,CostTrack[[Vendor - Contract]:[Vendor - Contract]],$H65,CostTrack[[Holdback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65" s="504">
        <f ca="1">SUMIFS(CostTrack[[Value]:[Value]],CostTrack[[PA ID]:[PA ID]],$B65,CostTrack[[Vendor - Contract]:[Vendor - Contract]],$H65,CostTrack[[Holdback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65" s="504">
        <f ca="1">SUMIFS(CostTrack[[Value]:[Value]],CostTrack[[PA ID]:[PA ID]],$B65,CostTrack[[Vendor - Contract]:[Vendor - Contract]],$H65,CostTrack[[Holdback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65" s="504">
        <f ca="1">SUMIFS(CostTrack[[Value]:[Value]],CostTrack[[PA ID]:[PA ID]],$B65,CostTrack[[Vendor - Contract]:[Vendor - Contract]],$H65,CostTrack[[Holdback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65" s="504">
        <f ca="1">SUMIFS(CostTrack[[Value]:[Value]],CostTrack[[PA ID]:[PA ID]],$B65,CostTrack[[Vendor - Contract]:[Vendor - Contract]],$H65,CostTrack[[Holdback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65" s="504">
        <f ca="1">SUMIFS(CostTrack[[Value]:[Value]],CostTrack[[PA ID]:[PA ID]],$B65,CostTrack[[Vendor - Contract]:[Vendor - Contract]],$H65,CostTrack[[Holdback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65" s="504">
        <f ca="1">SUMIFS(CostTrack[[Value]:[Value]],CostTrack[[PA ID]:[PA ID]],$B65,CostTrack[[Vendor - Contract]:[Vendor - Contract]],$H65,CostTrack[[Holdback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65" s="504">
        <f ca="1">SUMIFS(CostTrack[[Value]:[Value]],CostTrack[[PA ID]:[PA ID]],$B65,CostTrack[[Vendor - Contract]:[Vendor - Contract]],$H65,CostTrack[[Holdback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65" s="504">
        <f ca="1">SUMIFS(CostTrack[[Value]:[Value]],CostTrack[[PA ID]:[PA ID]],$B65,CostTrack[[Vendor - Contract]:[Vendor - Contract]],$H65,CostTrack[[Holdback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65" s="512">
        <f t="shared" ca="1" si="41"/>
        <v>0</v>
      </c>
      <c r="EC65" s="504">
        <f ca="1">SUMIFS(CostTrack[[Value]:[Value]],CostTrack[[PA ID]:[PA ID]],$B65,CostTrack[[Vendor - Contract]:[Vendor - Contract]],$H65,CostTrack[[Holdback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65" s="505"/>
      <c r="EE65" s="505"/>
      <c r="EF65" s="505"/>
      <c r="EG65" s="505"/>
      <c r="EH65" s="505"/>
      <c r="EI65" s="505"/>
      <c r="EJ65" s="505"/>
      <c r="EK65" s="505"/>
      <c r="EL65" s="505"/>
      <c r="EM65" s="505"/>
      <c r="EN65" s="505"/>
      <c r="EO65" s="512">
        <f t="shared" ca="1" si="42"/>
        <v>0</v>
      </c>
      <c r="EQ65" s="505"/>
      <c r="ER65" s="505"/>
      <c r="ES65" s="505"/>
      <c r="ET65" s="505"/>
      <c r="EU65" s="505"/>
      <c r="EV65" s="505"/>
      <c r="EW65" s="505"/>
      <c r="EX65" s="505"/>
      <c r="EY65" s="505"/>
      <c r="EZ65" s="505"/>
      <c r="FA65" s="505"/>
      <c r="FB65" s="505"/>
      <c r="FC65" s="512">
        <f t="shared" si="43"/>
        <v>0</v>
      </c>
      <c r="FE65" s="505"/>
      <c r="FF65" s="505"/>
      <c r="FG65" s="505"/>
      <c r="FH65" s="505"/>
      <c r="FI65" s="505"/>
      <c r="FJ65" s="505"/>
      <c r="FK65" s="505"/>
      <c r="FL65" s="505"/>
      <c r="FM65" s="505"/>
      <c r="FN65" s="505"/>
      <c r="FO65" s="505"/>
      <c r="FP65" s="505"/>
      <c r="FQ65" s="512">
        <f t="shared" si="44"/>
        <v>0</v>
      </c>
      <c r="FS65" s="504">
        <f t="shared" ca="1" si="45"/>
        <v>1470.77</v>
      </c>
    </row>
    <row r="66" spans="1:175" ht="24" customHeight="1">
      <c r="A66" s="216">
        <v>59</v>
      </c>
      <c r="B66" s="219" t="str">
        <f ca="1">INDEX(EAC[PA ID],MATCH($A66,EAC[Row],0))</f>
        <v>300.060.F1</v>
      </c>
      <c r="C66" s="218" t="str">
        <f ca="1">INDEX(EAC[Primary Category],MATCH($A66,EAC[Row],0))</f>
        <v>Construction</v>
      </c>
      <c r="D66" s="218" t="str">
        <f ca="1">INDEX(EAC[Secondary Category],MATCH($A66,EAC[Row],0))</f>
        <v>Contingency - Const. Phase</v>
      </c>
      <c r="E66" s="109" t="str">
        <f ca="1">INDEX(EAC[Phase / Subproject],MATCH($A66,EAC[Row],0))</f>
        <v>--</v>
      </c>
      <c r="F66" s="109" t="str">
        <f ca="1">INDEX(EAC[Phase / Subproject 2],MATCH($A66,EAC[Row],0))</f>
        <v>--</v>
      </c>
      <c r="G66" s="109" t="str">
        <f ca="1">INDEX(EAC[Funding Source],MATCH($A66,EAC[Row],0))</f>
        <v>P-002360</v>
      </c>
      <c r="H66" s="146" t="str">
        <f ca="1">INDEX(EAC[Vendor / Org. with Contract ID],MATCH($A66,EAC[Row],0))</f>
        <v>Future / Not Awarded</v>
      </c>
      <c r="I66" s="502">
        <f ca="1">INDEX(EAC[Estimate At Completion],MATCH($A66,EAC[Row],0))</f>
        <v>1129223</v>
      </c>
      <c r="J66" s="502">
        <f ca="1">SUMIFS(CostTrack[Value],CostTrack[Vendor - Contract],$H66,CostTrack[PA ID],$B66,CostTrack[Holdback (Y/N/R)],"&lt;&gt;Release",CostTrack[Status],"Approved")</f>
        <v>0</v>
      </c>
      <c r="K66" s="503">
        <f t="shared" ca="1" si="14"/>
        <v>1129223</v>
      </c>
      <c r="M66" s="504">
        <f t="shared" ca="1" si="15"/>
        <v>0</v>
      </c>
      <c r="O66" s="504">
        <f t="shared" ca="1" si="49"/>
        <v>0</v>
      </c>
      <c r="P66" s="504">
        <f t="array" aca="1" ref="P66" ca="1">SUM($U66:$FQ66*_xlfn.ISFORMULA($U66:$FQ66)*ISNUMBER($U$7:$FQ$7)*--(INDEX($U$6:$FQ$6,N(IF({1},COLUMN($U$6:$FQ$6)-COLUMN($T$6)))-MOD(N(IF({1},COLUMN($U$6:$FQ$6)-COLUMN($U$6))),14))="Current Fiscal"))</f>
        <v>0</v>
      </c>
      <c r="Q66" s="504">
        <f t="array" aca="1" ref="Q66" ca="1">SUM($U66:$FQ66*NOT(_xlfn.ISFORMULA($U66:$FQ66))*ISNUMBER($U$7:$FQ$7)*--(INDEX($U$6:$FQ$6,N(IF({1},COLUMN($U$6:$FQ$6)-COLUMN($T$6)))-MOD(N(IF({1},COLUMN($U$6:$FQ$6)-COLUMN($U$6))),14))="Current Fiscal"))</f>
        <v>0</v>
      </c>
      <c r="R66" s="504">
        <f t="shared" ca="1" si="50"/>
        <v>0</v>
      </c>
      <c r="S66" s="504">
        <f t="shared" ca="1" si="51"/>
        <v>1129223</v>
      </c>
      <c r="U66" s="504">
        <f ca="1">SUMIFS(CostTrack[[Value]:[Value]],CostTrack[[PA ID]:[PA ID]],$B66,CostTrack[[Vendor - Contract]:[Vendor - Contract]],$H66,CostTrack[[Holdback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66" s="504">
        <f ca="1">SUMIFS(CostTrack[[Value]:[Value]],CostTrack[[PA ID]:[PA ID]],$B66,CostTrack[[Vendor - Contract]:[Vendor - Contract]],$H66,CostTrack[[Holdback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66" s="504">
        <f ca="1">SUMIFS(CostTrack[[Value]:[Value]],CostTrack[[PA ID]:[PA ID]],$B66,CostTrack[[Vendor - Contract]:[Vendor - Contract]],$H66,CostTrack[[Holdback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66" s="504">
        <f ca="1">SUMIFS(CostTrack[[Value]:[Value]],CostTrack[[PA ID]:[PA ID]],$B66,CostTrack[[Vendor - Contract]:[Vendor - Contract]],$H66,CostTrack[[Holdback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66" s="504">
        <f ca="1">SUMIFS(CostTrack[[Value]:[Value]],CostTrack[[PA ID]:[PA ID]],$B66,CostTrack[[Vendor - Contract]:[Vendor - Contract]],$H66,CostTrack[[Holdback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66" s="504">
        <f ca="1">SUMIFS(CostTrack[[Value]:[Value]],CostTrack[[PA ID]:[PA ID]],$B66,CostTrack[[Vendor - Contract]:[Vendor - Contract]],$H66,CostTrack[[Holdback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66" s="504">
        <f ca="1">SUMIFS(CostTrack[[Value]:[Value]],CostTrack[[PA ID]:[PA ID]],$B66,CostTrack[[Vendor - Contract]:[Vendor - Contract]],$H66,CostTrack[[Holdback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66" s="504">
        <f ca="1">SUMIFS(CostTrack[[Value]:[Value]],CostTrack[[PA ID]:[PA ID]],$B66,CostTrack[[Vendor - Contract]:[Vendor - Contract]],$H66,CostTrack[[Holdback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66" s="504">
        <f ca="1">SUMIFS(CostTrack[[Value]:[Value]],CostTrack[[PA ID]:[PA ID]],$B66,CostTrack[[Vendor - Contract]:[Vendor - Contract]],$H66,CostTrack[[Holdback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66" s="504">
        <f ca="1">SUMIFS(CostTrack[[Value]:[Value]],CostTrack[[PA ID]:[PA ID]],$B66,CostTrack[[Vendor - Contract]:[Vendor - Contract]],$H66,CostTrack[[Holdback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66" s="504">
        <f ca="1">SUMIFS(CostTrack[[Value]:[Value]],CostTrack[[PA ID]:[PA ID]],$B66,CostTrack[[Vendor - Contract]:[Vendor - Contract]],$H66,CostTrack[[Holdback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66" s="504">
        <f ca="1">SUMIFS(CostTrack[[Value]:[Value]],CostTrack[[PA ID]:[PA ID]],$B66,CostTrack[[Vendor - Contract]:[Vendor - Contract]],$H66,CostTrack[[Holdback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66" s="506">
        <f t="shared" ca="1" si="52"/>
        <v>0</v>
      </c>
      <c r="AI66" s="504">
        <f ca="1">SUMIFS(CostTrack[[Value]:[Value]],CostTrack[[PA ID]:[PA ID]],$B66,CostTrack[[Vendor - Contract]:[Vendor - Contract]],$H66,CostTrack[[Holdback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66" s="504">
        <f ca="1">SUMIFS(CostTrack[[Value]:[Value]],CostTrack[[PA ID]:[PA ID]],$B66,CostTrack[[Vendor - Contract]:[Vendor - Contract]],$H66,CostTrack[[Holdback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66" s="504">
        <f ca="1">SUMIFS(CostTrack[[Value]:[Value]],CostTrack[[PA ID]:[PA ID]],$B66,CostTrack[[Vendor - Contract]:[Vendor - Contract]],$H66,CostTrack[[Holdback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66" s="504">
        <f ca="1">SUMIFS(CostTrack[[Value]:[Value]],CostTrack[[PA ID]:[PA ID]],$B66,CostTrack[[Vendor - Contract]:[Vendor - Contract]],$H66,CostTrack[[Holdback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66" s="504">
        <f ca="1">SUMIFS(CostTrack[[Value]:[Value]],CostTrack[[PA ID]:[PA ID]],$B66,CostTrack[[Vendor - Contract]:[Vendor - Contract]],$H66,CostTrack[[Holdback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66" s="504">
        <f ca="1">SUMIFS(CostTrack[[Value]:[Value]],CostTrack[[PA ID]:[PA ID]],$B66,CostTrack[[Vendor - Contract]:[Vendor - Contract]],$H66,CostTrack[[Holdback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66" s="504">
        <f ca="1">SUMIFS(CostTrack[[Value]:[Value]],CostTrack[[PA ID]:[PA ID]],$B66,CostTrack[[Vendor - Contract]:[Vendor - Contract]],$H66,CostTrack[[Holdback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66" s="504">
        <f ca="1">SUMIFS(CostTrack[[Value]:[Value]],CostTrack[[PA ID]:[PA ID]],$B66,CostTrack[[Vendor - Contract]:[Vendor - Contract]],$H66,CostTrack[[Holdback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66" s="504">
        <f ca="1">SUMIFS(CostTrack[[Value]:[Value]],CostTrack[[PA ID]:[PA ID]],$B66,CostTrack[[Vendor - Contract]:[Vendor - Contract]],$H66,CostTrack[[Holdback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66" s="504">
        <f ca="1">SUMIFS(CostTrack[[Value]:[Value]],CostTrack[[PA ID]:[PA ID]],$B66,CostTrack[[Vendor - Contract]:[Vendor - Contract]],$H66,CostTrack[[Holdback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66" s="504">
        <f ca="1">SUMIFS(CostTrack[[Value]:[Value]],CostTrack[[PA ID]:[PA ID]],$B66,CostTrack[[Vendor - Contract]:[Vendor - Contract]],$H66,CostTrack[[Holdback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66" s="504">
        <f ca="1">SUMIFS(CostTrack[[Value]:[Value]],CostTrack[[PA ID]:[PA ID]],$B66,CostTrack[[Vendor - Contract]:[Vendor - Contract]],$H66,CostTrack[[Holdback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66" s="512">
        <f t="shared" ca="1" si="35"/>
        <v>0</v>
      </c>
      <c r="AW66" s="504">
        <f ca="1">SUMIFS(CostTrack[[Value]:[Value]],CostTrack[[PA ID]:[PA ID]],$B66,CostTrack[[Vendor - Contract]:[Vendor - Contract]],$H66,CostTrack[[Holdback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66" s="504">
        <f ca="1">SUMIFS(CostTrack[[Value]:[Value]],CostTrack[[PA ID]:[PA ID]],$B66,CostTrack[[Vendor - Contract]:[Vendor - Contract]],$H66,CostTrack[[Holdback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66" s="504">
        <f ca="1">SUMIFS(CostTrack[[Value]:[Value]],CostTrack[[PA ID]:[PA ID]],$B66,CostTrack[[Vendor - Contract]:[Vendor - Contract]],$H66,CostTrack[[Holdback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66" s="504">
        <f ca="1">SUMIFS(CostTrack[[Value]:[Value]],CostTrack[[PA ID]:[PA ID]],$B66,CostTrack[[Vendor - Contract]:[Vendor - Contract]],$H66,CostTrack[[Holdback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66" s="504">
        <f ca="1">SUMIFS(CostTrack[[Value]:[Value]],CostTrack[[PA ID]:[PA ID]],$B66,CostTrack[[Vendor - Contract]:[Vendor - Contract]],$H66,CostTrack[[Holdback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66" s="504">
        <f ca="1">SUMIFS(CostTrack[[Value]:[Value]],CostTrack[[PA ID]:[PA ID]],$B66,CostTrack[[Vendor - Contract]:[Vendor - Contract]],$H66,CostTrack[[Holdback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66" s="504">
        <f ca="1">SUMIFS(CostTrack[[Value]:[Value]],CostTrack[[PA ID]:[PA ID]],$B66,CostTrack[[Vendor - Contract]:[Vendor - Contract]],$H66,CostTrack[[Holdback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66" s="504">
        <f ca="1">SUMIFS(CostTrack[[Value]:[Value]],CostTrack[[PA ID]:[PA ID]],$B66,CostTrack[[Vendor - Contract]:[Vendor - Contract]],$H66,CostTrack[[Holdback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66" s="504">
        <f ca="1">SUMIFS(CostTrack[[Value]:[Value]],CostTrack[[PA ID]:[PA ID]],$B66,CostTrack[[Vendor - Contract]:[Vendor - Contract]],$H66,CostTrack[[Holdback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66" s="504">
        <f ca="1">SUMIFS(CostTrack[[Value]:[Value]],CostTrack[[PA ID]:[PA ID]],$B66,CostTrack[[Vendor - Contract]:[Vendor - Contract]],$H66,CostTrack[[Holdback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66" s="504">
        <f ca="1">SUMIFS(CostTrack[[Value]:[Value]],CostTrack[[PA ID]:[PA ID]],$B66,CostTrack[[Vendor - Contract]:[Vendor - Contract]],$H66,CostTrack[[Holdback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66" s="504">
        <f ca="1">SUMIFS(CostTrack[[Value]:[Value]],CostTrack[[PA ID]:[PA ID]],$B66,CostTrack[[Vendor - Contract]:[Vendor - Contract]],$H66,CostTrack[[Holdback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66" s="512">
        <f t="shared" ca="1" si="36"/>
        <v>0</v>
      </c>
      <c r="BK66" s="504">
        <f ca="1">SUMIFS(CostTrack[[Value]:[Value]],CostTrack[[PA ID]:[PA ID]],$B66,CostTrack[[Vendor - Contract]:[Vendor - Contract]],$H66,CostTrack[[Holdback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66" s="504">
        <f ca="1">SUMIFS(CostTrack[[Value]:[Value]],CostTrack[[PA ID]:[PA ID]],$B66,CostTrack[[Vendor - Contract]:[Vendor - Contract]],$H66,CostTrack[[Holdback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66" s="504">
        <f ca="1">SUMIFS(CostTrack[[Value]:[Value]],CostTrack[[PA ID]:[PA ID]],$B66,CostTrack[[Vendor - Contract]:[Vendor - Contract]],$H66,CostTrack[[Holdback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66" s="504">
        <f ca="1">SUMIFS(CostTrack[[Value]:[Value]],CostTrack[[PA ID]:[PA ID]],$B66,CostTrack[[Vendor - Contract]:[Vendor - Contract]],$H66,CostTrack[[Holdback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66" s="504">
        <f ca="1">SUMIFS(CostTrack[[Value]:[Value]],CostTrack[[PA ID]:[PA ID]],$B66,CostTrack[[Vendor - Contract]:[Vendor - Contract]],$H66,CostTrack[[Holdback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66" s="504">
        <f ca="1">SUMIFS(CostTrack[[Value]:[Value]],CostTrack[[PA ID]:[PA ID]],$B66,CostTrack[[Vendor - Contract]:[Vendor - Contract]],$H66,CostTrack[[Holdback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66" s="504">
        <f ca="1">SUMIFS(CostTrack[[Value]:[Value]],CostTrack[[PA ID]:[PA ID]],$B66,CostTrack[[Vendor - Contract]:[Vendor - Contract]],$H66,CostTrack[[Holdback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66" s="504">
        <f ca="1">SUMIFS(CostTrack[[Value]:[Value]],CostTrack[[PA ID]:[PA ID]],$B66,CostTrack[[Vendor - Contract]:[Vendor - Contract]],$H66,CostTrack[[Holdback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66" s="504">
        <f ca="1">SUMIFS(CostTrack[[Value]:[Value]],CostTrack[[PA ID]:[PA ID]],$B66,CostTrack[[Vendor - Contract]:[Vendor - Contract]],$H66,CostTrack[[Holdback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66" s="504">
        <f ca="1">SUMIFS(CostTrack[[Value]:[Value]],CostTrack[[PA ID]:[PA ID]],$B66,CostTrack[[Vendor - Contract]:[Vendor - Contract]],$H66,CostTrack[[Holdback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66" s="504">
        <f ca="1">SUMIFS(CostTrack[[Value]:[Value]],CostTrack[[PA ID]:[PA ID]],$B66,CostTrack[[Vendor - Contract]:[Vendor - Contract]],$H66,CostTrack[[Holdback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66" s="504">
        <f ca="1">SUMIFS(CostTrack[[Value]:[Value]],CostTrack[[PA ID]:[PA ID]],$B66,CostTrack[[Vendor - Contract]:[Vendor - Contract]],$H66,CostTrack[[Holdback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66" s="512">
        <f t="shared" ca="1" si="37"/>
        <v>0</v>
      </c>
      <c r="BY66" s="504">
        <f ca="1">SUMIFS(CostTrack[[Value]:[Value]],CostTrack[[PA ID]:[PA ID]],$B66,CostTrack[[Vendor - Contract]:[Vendor - Contract]],$H66,CostTrack[[Holdback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66" s="504">
        <f ca="1">SUMIFS(CostTrack[[Value]:[Value]],CostTrack[[PA ID]:[PA ID]],$B66,CostTrack[[Vendor - Contract]:[Vendor - Contract]],$H66,CostTrack[[Holdback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66" s="504">
        <f ca="1">SUMIFS(CostTrack[[Value]:[Value]],CostTrack[[PA ID]:[PA ID]],$B66,CostTrack[[Vendor - Contract]:[Vendor - Contract]],$H66,CostTrack[[Holdback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66" s="504">
        <f ca="1">SUMIFS(CostTrack[[Value]:[Value]],CostTrack[[PA ID]:[PA ID]],$B66,CostTrack[[Vendor - Contract]:[Vendor - Contract]],$H66,CostTrack[[Holdback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66" s="504">
        <f ca="1">SUMIFS(CostTrack[[Value]:[Value]],CostTrack[[PA ID]:[PA ID]],$B66,CostTrack[[Vendor - Contract]:[Vendor - Contract]],$H66,CostTrack[[Holdback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66" s="504">
        <f ca="1">SUMIFS(CostTrack[[Value]:[Value]],CostTrack[[PA ID]:[PA ID]],$B66,CostTrack[[Vendor - Contract]:[Vendor - Contract]],$H66,CostTrack[[Holdback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66" s="504">
        <f ca="1">SUMIFS(CostTrack[[Value]:[Value]],CostTrack[[PA ID]:[PA ID]],$B66,CostTrack[[Vendor - Contract]:[Vendor - Contract]],$H66,CostTrack[[Holdback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66" s="504">
        <f ca="1">SUMIFS(CostTrack[[Value]:[Value]],CostTrack[[PA ID]:[PA ID]],$B66,CostTrack[[Vendor - Contract]:[Vendor - Contract]],$H66,CostTrack[[Holdback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66" s="504">
        <f ca="1">SUMIFS(CostTrack[[Value]:[Value]],CostTrack[[PA ID]:[PA ID]],$B66,CostTrack[[Vendor - Contract]:[Vendor - Contract]],$H66,CostTrack[[Holdback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66" s="504">
        <f ca="1">SUMIFS(CostTrack[[Value]:[Value]],CostTrack[[PA ID]:[PA ID]],$B66,CostTrack[[Vendor - Contract]:[Vendor - Contract]],$H66,CostTrack[[Holdback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66" s="504">
        <f ca="1">SUMIFS(CostTrack[[Value]:[Value]],CostTrack[[PA ID]:[PA ID]],$B66,CostTrack[[Vendor - Contract]:[Vendor - Contract]],$H66,CostTrack[[Holdback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66" s="504">
        <f ca="1">SUMIFS(CostTrack[[Value]:[Value]],CostTrack[[PA ID]:[PA ID]],$B66,CostTrack[[Vendor - Contract]:[Vendor - Contract]],$H66,CostTrack[[Holdback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66" s="512">
        <f t="shared" ca="1" si="38"/>
        <v>0</v>
      </c>
      <c r="CM66" s="504">
        <f ca="1">SUMIFS(CostTrack[[Value]:[Value]],CostTrack[[PA ID]:[PA ID]],$B66,CostTrack[[Vendor - Contract]:[Vendor - Contract]],$H66,CostTrack[[Holdback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66" s="504">
        <f ca="1">SUMIFS(CostTrack[[Value]:[Value]],CostTrack[[PA ID]:[PA ID]],$B66,CostTrack[[Vendor - Contract]:[Vendor - Contract]],$H66,CostTrack[[Holdback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66" s="504">
        <f ca="1">SUMIFS(CostTrack[[Value]:[Value]],CostTrack[[PA ID]:[PA ID]],$B66,CostTrack[[Vendor - Contract]:[Vendor - Contract]],$H66,CostTrack[[Holdback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66" s="504">
        <f ca="1">SUMIFS(CostTrack[[Value]:[Value]],CostTrack[[PA ID]:[PA ID]],$B66,CostTrack[[Vendor - Contract]:[Vendor - Contract]],$H66,CostTrack[[Holdback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66" s="504">
        <f ca="1">SUMIFS(CostTrack[[Value]:[Value]],CostTrack[[PA ID]:[PA ID]],$B66,CostTrack[[Vendor - Contract]:[Vendor - Contract]],$H66,CostTrack[[Holdback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66" s="504">
        <f ca="1">SUMIFS(CostTrack[[Value]:[Value]],CostTrack[[PA ID]:[PA ID]],$B66,CostTrack[[Vendor - Contract]:[Vendor - Contract]],$H66,CostTrack[[Holdback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66" s="504">
        <f ca="1">SUMIFS(CostTrack[[Value]:[Value]],CostTrack[[PA ID]:[PA ID]],$B66,CostTrack[[Vendor - Contract]:[Vendor - Contract]],$H66,CostTrack[[Holdback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66" s="504">
        <f ca="1">SUMIFS(CostTrack[[Value]:[Value]],CostTrack[[PA ID]:[PA ID]],$B66,CostTrack[[Vendor - Contract]:[Vendor - Contract]],$H66,CostTrack[[Holdback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66" s="504">
        <f ca="1">SUMIFS(CostTrack[[Value]:[Value]],CostTrack[[PA ID]:[PA ID]],$B66,CostTrack[[Vendor - Contract]:[Vendor - Contract]],$H66,CostTrack[[Holdback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66" s="504">
        <f ca="1">SUMIFS(CostTrack[[Value]:[Value]],CostTrack[[PA ID]:[PA ID]],$B66,CostTrack[[Vendor - Contract]:[Vendor - Contract]],$H66,CostTrack[[Holdback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66" s="504">
        <f ca="1">SUMIFS(CostTrack[[Value]:[Value]],CostTrack[[PA ID]:[PA ID]],$B66,CostTrack[[Vendor - Contract]:[Vendor - Contract]],$H66,CostTrack[[Holdback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66" s="504">
        <f ca="1">SUMIFS(CostTrack[[Value]:[Value]],CostTrack[[PA ID]:[PA ID]],$B66,CostTrack[[Vendor - Contract]:[Vendor - Contract]],$H66,CostTrack[[Holdback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66" s="512">
        <f t="shared" ca="1" si="39"/>
        <v>0</v>
      </c>
      <c r="DA66" s="504">
        <f ca="1">SUMIFS(CostTrack[[Value]:[Value]],CostTrack[[PA ID]:[PA ID]],$B66,CostTrack[[Vendor - Contract]:[Vendor - Contract]],$H66,CostTrack[[Holdback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66" s="504">
        <f ca="1">SUMIFS(CostTrack[[Value]:[Value]],CostTrack[[PA ID]:[PA ID]],$B66,CostTrack[[Vendor - Contract]:[Vendor - Contract]],$H66,CostTrack[[Holdback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66" s="504">
        <f ca="1">SUMIFS(CostTrack[[Value]:[Value]],CostTrack[[PA ID]:[PA ID]],$B66,CostTrack[[Vendor - Contract]:[Vendor - Contract]],$H66,CostTrack[[Holdback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66" s="504">
        <f ca="1">SUMIFS(CostTrack[[Value]:[Value]],CostTrack[[PA ID]:[PA ID]],$B66,CostTrack[[Vendor - Contract]:[Vendor - Contract]],$H66,CostTrack[[Holdback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66" s="504">
        <f ca="1">SUMIFS(CostTrack[[Value]:[Value]],CostTrack[[PA ID]:[PA ID]],$B66,CostTrack[[Vendor - Contract]:[Vendor - Contract]],$H66,CostTrack[[Holdback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66" s="504">
        <f ca="1">SUMIFS(CostTrack[[Value]:[Value]],CostTrack[[PA ID]:[PA ID]],$B66,CostTrack[[Vendor - Contract]:[Vendor - Contract]],$H66,CostTrack[[Holdback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66" s="504">
        <f ca="1">SUMIFS(CostTrack[[Value]:[Value]],CostTrack[[PA ID]:[PA ID]],$B66,CostTrack[[Vendor - Contract]:[Vendor - Contract]],$H66,CostTrack[[Holdback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66" s="504">
        <f ca="1">SUMIFS(CostTrack[[Value]:[Value]],CostTrack[[PA ID]:[PA ID]],$B66,CostTrack[[Vendor - Contract]:[Vendor - Contract]],$H66,CostTrack[[Holdback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66" s="504">
        <f ca="1">SUMIFS(CostTrack[[Value]:[Value]],CostTrack[[PA ID]:[PA ID]],$B66,CostTrack[[Vendor - Contract]:[Vendor - Contract]],$H66,CostTrack[[Holdback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66" s="504">
        <f ca="1">SUMIFS(CostTrack[[Value]:[Value]],CostTrack[[PA ID]:[PA ID]],$B66,CostTrack[[Vendor - Contract]:[Vendor - Contract]],$H66,CostTrack[[Holdback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66" s="504">
        <f ca="1">SUMIFS(CostTrack[[Value]:[Value]],CostTrack[[PA ID]:[PA ID]],$B66,CostTrack[[Vendor - Contract]:[Vendor - Contract]],$H66,CostTrack[[Holdback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66" s="504">
        <f ca="1">SUMIFS(CostTrack[[Value]:[Value]],CostTrack[[PA ID]:[PA ID]],$B66,CostTrack[[Vendor - Contract]:[Vendor - Contract]],$H66,CostTrack[[Holdback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66" s="512">
        <f t="shared" ca="1" si="40"/>
        <v>0</v>
      </c>
      <c r="DO66" s="504">
        <f ca="1">SUMIFS(CostTrack[[Value]:[Value]],CostTrack[[PA ID]:[PA ID]],$B66,CostTrack[[Vendor - Contract]:[Vendor - Contract]],$H66,CostTrack[[Holdback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66" s="504">
        <f ca="1">SUMIFS(CostTrack[[Value]:[Value]],CostTrack[[PA ID]:[PA ID]],$B66,CostTrack[[Vendor - Contract]:[Vendor - Contract]],$H66,CostTrack[[Holdback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66" s="504">
        <f ca="1">SUMIFS(CostTrack[[Value]:[Value]],CostTrack[[PA ID]:[PA ID]],$B66,CostTrack[[Vendor - Contract]:[Vendor - Contract]],$H66,CostTrack[[Holdback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66" s="504">
        <f ca="1">SUMIFS(CostTrack[[Value]:[Value]],CostTrack[[PA ID]:[PA ID]],$B66,CostTrack[[Vendor - Contract]:[Vendor - Contract]],$H66,CostTrack[[Holdback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66" s="504">
        <f ca="1">SUMIFS(CostTrack[[Value]:[Value]],CostTrack[[PA ID]:[PA ID]],$B66,CostTrack[[Vendor - Contract]:[Vendor - Contract]],$H66,CostTrack[[Holdback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66" s="504">
        <f ca="1">SUMIFS(CostTrack[[Value]:[Value]],CostTrack[[PA ID]:[PA ID]],$B66,CostTrack[[Vendor - Contract]:[Vendor - Contract]],$H66,CostTrack[[Holdback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66" s="504">
        <f ca="1">SUMIFS(CostTrack[[Value]:[Value]],CostTrack[[PA ID]:[PA ID]],$B66,CostTrack[[Vendor - Contract]:[Vendor - Contract]],$H66,CostTrack[[Holdback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66" s="504">
        <f ca="1">SUMIFS(CostTrack[[Value]:[Value]],CostTrack[[PA ID]:[PA ID]],$B66,CostTrack[[Vendor - Contract]:[Vendor - Contract]],$H66,CostTrack[[Holdback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66" s="504">
        <f ca="1">SUMIFS(CostTrack[[Value]:[Value]],CostTrack[[PA ID]:[PA ID]],$B66,CostTrack[[Vendor - Contract]:[Vendor - Contract]],$H66,CostTrack[[Holdback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66" s="504">
        <f ca="1">SUMIFS(CostTrack[[Value]:[Value]],CostTrack[[PA ID]:[PA ID]],$B66,CostTrack[[Vendor - Contract]:[Vendor - Contract]],$H66,CostTrack[[Holdback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66" s="504">
        <f ca="1">SUMIFS(CostTrack[[Value]:[Value]],CostTrack[[PA ID]:[PA ID]],$B66,CostTrack[[Vendor - Contract]:[Vendor - Contract]],$H66,CostTrack[[Holdback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66" s="504">
        <f ca="1">SUMIFS(CostTrack[[Value]:[Value]],CostTrack[[PA ID]:[PA ID]],$B66,CostTrack[[Vendor - Contract]:[Vendor - Contract]],$H66,CostTrack[[Holdback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66" s="512">
        <f t="shared" ca="1" si="41"/>
        <v>0</v>
      </c>
      <c r="EC66" s="504">
        <f ca="1">SUMIFS(CostTrack[[Value]:[Value]],CostTrack[[PA ID]:[PA ID]],$B66,CostTrack[[Vendor - Contract]:[Vendor - Contract]],$H66,CostTrack[[Holdback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66" s="505"/>
      <c r="EE66" s="505"/>
      <c r="EF66" s="505"/>
      <c r="EG66" s="505"/>
      <c r="EH66" s="505"/>
      <c r="EI66" s="505"/>
      <c r="EJ66" s="505"/>
      <c r="EK66" s="505"/>
      <c r="EL66" s="505"/>
      <c r="EM66" s="505"/>
      <c r="EN66" s="505"/>
      <c r="EO66" s="512">
        <f t="shared" ca="1" si="42"/>
        <v>0</v>
      </c>
      <c r="EQ66" s="505"/>
      <c r="ER66" s="505"/>
      <c r="ES66" s="505"/>
      <c r="ET66" s="505"/>
      <c r="EU66" s="505"/>
      <c r="EV66" s="505"/>
      <c r="EW66" s="505"/>
      <c r="EX66" s="505"/>
      <c r="EY66" s="505"/>
      <c r="EZ66" s="505"/>
      <c r="FA66" s="505"/>
      <c r="FB66" s="505">
        <v>1129223</v>
      </c>
      <c r="FC66" s="512">
        <f t="shared" si="43"/>
        <v>1129223</v>
      </c>
      <c r="FE66" s="505"/>
      <c r="FF66" s="505"/>
      <c r="FG66" s="505"/>
      <c r="FH66" s="505"/>
      <c r="FI66" s="505"/>
      <c r="FJ66" s="505"/>
      <c r="FK66" s="505"/>
      <c r="FL66" s="505"/>
      <c r="FM66" s="505"/>
      <c r="FN66" s="505"/>
      <c r="FO66" s="505"/>
      <c r="FP66" s="505"/>
      <c r="FQ66" s="512">
        <f t="shared" si="44"/>
        <v>0</v>
      </c>
      <c r="FS66" s="504">
        <f t="shared" ca="1" si="45"/>
        <v>1129223</v>
      </c>
    </row>
    <row r="67" spans="1:175" ht="24" customHeight="1">
      <c r="A67" s="216">
        <v>60</v>
      </c>
      <c r="B67" s="219" t="str">
        <f ca="1">INDEX(EAC[PA ID],MATCH($A67,EAC[Row],0))</f>
        <v>100.050.F1</v>
      </c>
      <c r="C67" s="218" t="str">
        <f ca="1">INDEX(EAC[Primary Category],MATCH($A67,EAC[Row],0))</f>
        <v>Administration</v>
      </c>
      <c r="D67" s="218" t="str">
        <f ca="1">INDEX(EAC[Secondary Category],MATCH($A67,EAC[Row],0))</f>
        <v>Other Administration</v>
      </c>
      <c r="E67" s="109" t="str">
        <f ca="1">INDEX(EAC[Phase / Subproject],MATCH($A67,EAC[Row],0))</f>
        <v>--</v>
      </c>
      <c r="F67" s="109" t="str">
        <f ca="1">INDEX(EAC[Phase / Subproject 2],MATCH($A67,EAC[Row],0))</f>
        <v>--</v>
      </c>
      <c r="G67" s="109" t="str">
        <f ca="1">INDEX(EAC[Funding Source],MATCH($A67,EAC[Row],0))</f>
        <v>P-002360</v>
      </c>
      <c r="H67" s="146" t="str">
        <f ca="1">INDEX(EAC[Vendor / Org. with Contract ID],MATCH($A67,EAC[Row],0))</f>
        <v>Royal Rubber Stamps Co Ltd (Construction Site Signage-CPDD)-38933</v>
      </c>
      <c r="I67" s="502">
        <f ca="1">INDEX(EAC[Estimate At Completion],MATCH($A67,EAC[Row],0))</f>
        <v>1553.18</v>
      </c>
      <c r="J67" s="502">
        <f ca="1">SUMIFS(CostTrack[Value],CostTrack[Vendor - Contract],$H67,CostTrack[PA ID],$B67,CostTrack[Holdback (Y/N/R)],"&lt;&gt;Release",CostTrack[Status],"Approved")</f>
        <v>1553.18</v>
      </c>
      <c r="K67" s="503">
        <f t="shared" ca="1" si="14"/>
        <v>0</v>
      </c>
      <c r="M67" s="504">
        <f t="shared" ca="1" si="15"/>
        <v>0</v>
      </c>
      <c r="O67" s="504">
        <f t="shared" ca="1" si="49"/>
        <v>1553.18</v>
      </c>
      <c r="P67" s="504">
        <f t="array" aca="1" ref="P67" ca="1">SUM($U67:$FQ67*_xlfn.ISFORMULA($U67:$FQ67)*ISNUMBER($U$7:$FQ$7)*--(INDEX($U$6:$FQ$6,N(IF({1},COLUMN($U$6:$FQ$6)-COLUMN($T$6)))-MOD(N(IF({1},COLUMN($U$6:$FQ$6)-COLUMN($U$6))),14))="Current Fiscal"))</f>
        <v>0</v>
      </c>
      <c r="Q67" s="504">
        <f t="array" aca="1" ref="Q67" ca="1">SUM($U67:$FQ67*NOT(_xlfn.ISFORMULA($U67:$FQ67))*ISNUMBER($U$7:$FQ$7)*--(INDEX($U$6:$FQ$6,N(IF({1},COLUMN($U$6:$FQ$6)-COLUMN($T$6)))-MOD(N(IF({1},COLUMN($U$6:$FQ$6)-COLUMN($U$6))),14))="Current Fiscal"))</f>
        <v>0</v>
      </c>
      <c r="R67" s="504">
        <f t="shared" ca="1" si="50"/>
        <v>0</v>
      </c>
      <c r="S67" s="504">
        <f t="shared" ca="1" si="51"/>
        <v>0</v>
      </c>
      <c r="U67" s="504">
        <f ca="1">SUMIFS(CostTrack[[Value]:[Value]],CostTrack[[PA ID]:[PA ID]],$B67,CostTrack[[Vendor - Contract]:[Vendor - Contract]],$H67,CostTrack[[Holdback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67" s="504">
        <f ca="1">SUMIFS(CostTrack[[Value]:[Value]],CostTrack[[PA ID]:[PA ID]],$B67,CostTrack[[Vendor - Contract]:[Vendor - Contract]],$H67,CostTrack[[Holdback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67" s="504">
        <f ca="1">SUMIFS(CostTrack[[Value]:[Value]],CostTrack[[PA ID]:[PA ID]],$B67,CostTrack[[Vendor - Contract]:[Vendor - Contract]],$H67,CostTrack[[Holdback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67" s="504">
        <f ca="1">SUMIFS(CostTrack[[Value]:[Value]],CostTrack[[PA ID]:[PA ID]],$B67,CostTrack[[Vendor - Contract]:[Vendor - Contract]],$H67,CostTrack[[Holdback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67" s="504">
        <f ca="1">SUMIFS(CostTrack[[Value]:[Value]],CostTrack[[PA ID]:[PA ID]],$B67,CostTrack[[Vendor - Contract]:[Vendor - Contract]],$H67,CostTrack[[Holdback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67" s="504">
        <f ca="1">SUMIFS(CostTrack[[Value]:[Value]],CostTrack[[PA ID]:[PA ID]],$B67,CostTrack[[Vendor - Contract]:[Vendor - Contract]],$H67,CostTrack[[Holdback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67" s="504">
        <f ca="1">SUMIFS(CostTrack[[Value]:[Value]],CostTrack[[PA ID]:[PA ID]],$B67,CostTrack[[Vendor - Contract]:[Vendor - Contract]],$H67,CostTrack[[Holdback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67" s="504">
        <f ca="1">SUMIFS(CostTrack[[Value]:[Value]],CostTrack[[PA ID]:[PA ID]],$B67,CostTrack[[Vendor - Contract]:[Vendor - Contract]],$H67,CostTrack[[Holdback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67" s="504">
        <f ca="1">SUMIFS(CostTrack[[Value]:[Value]],CostTrack[[PA ID]:[PA ID]],$B67,CostTrack[[Vendor - Contract]:[Vendor - Contract]],$H67,CostTrack[[Holdback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67" s="504">
        <f ca="1">SUMIFS(CostTrack[[Value]:[Value]],CostTrack[[PA ID]:[PA ID]],$B67,CostTrack[[Vendor - Contract]:[Vendor - Contract]],$H67,CostTrack[[Holdback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67" s="504">
        <f ca="1">SUMIFS(CostTrack[[Value]:[Value]],CostTrack[[PA ID]:[PA ID]],$B67,CostTrack[[Vendor - Contract]:[Vendor - Contract]],$H67,CostTrack[[Holdback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67" s="504">
        <f ca="1">SUMIFS(CostTrack[[Value]:[Value]],CostTrack[[PA ID]:[PA ID]],$B67,CostTrack[[Vendor - Contract]:[Vendor - Contract]],$H67,CostTrack[[Holdback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67" s="506">
        <f t="shared" ca="1" si="52"/>
        <v>0</v>
      </c>
      <c r="AI67" s="504">
        <f ca="1">SUMIFS(CostTrack[[Value]:[Value]],CostTrack[[PA ID]:[PA ID]],$B67,CostTrack[[Vendor - Contract]:[Vendor - Contract]],$H67,CostTrack[[Holdback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67" s="504">
        <f ca="1">SUMIFS(CostTrack[[Value]:[Value]],CostTrack[[PA ID]:[PA ID]],$B67,CostTrack[[Vendor - Contract]:[Vendor - Contract]],$H67,CostTrack[[Holdback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67" s="504">
        <f ca="1">SUMIFS(CostTrack[[Value]:[Value]],CostTrack[[PA ID]:[PA ID]],$B67,CostTrack[[Vendor - Contract]:[Vendor - Contract]],$H67,CostTrack[[Holdback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67" s="504">
        <f ca="1">SUMIFS(CostTrack[[Value]:[Value]],CostTrack[[PA ID]:[PA ID]],$B67,CostTrack[[Vendor - Contract]:[Vendor - Contract]],$H67,CostTrack[[Holdback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67" s="504">
        <f ca="1">SUMIFS(CostTrack[[Value]:[Value]],CostTrack[[PA ID]:[PA ID]],$B67,CostTrack[[Vendor - Contract]:[Vendor - Contract]],$H67,CostTrack[[Holdback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67" s="504">
        <f ca="1">SUMIFS(CostTrack[[Value]:[Value]],CostTrack[[PA ID]:[PA ID]],$B67,CostTrack[[Vendor - Contract]:[Vendor - Contract]],$H67,CostTrack[[Holdback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67" s="504">
        <f ca="1">SUMIFS(CostTrack[[Value]:[Value]],CostTrack[[PA ID]:[PA ID]],$B67,CostTrack[[Vendor - Contract]:[Vendor - Contract]],$H67,CostTrack[[Holdback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67" s="504">
        <f ca="1">SUMIFS(CostTrack[[Value]:[Value]],CostTrack[[PA ID]:[PA ID]],$B67,CostTrack[[Vendor - Contract]:[Vendor - Contract]],$H67,CostTrack[[Holdback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67" s="504">
        <f ca="1">SUMIFS(CostTrack[[Value]:[Value]],CostTrack[[PA ID]:[PA ID]],$B67,CostTrack[[Vendor - Contract]:[Vendor - Contract]],$H67,CostTrack[[Holdback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67" s="504">
        <f ca="1">SUMIFS(CostTrack[[Value]:[Value]],CostTrack[[PA ID]:[PA ID]],$B67,CostTrack[[Vendor - Contract]:[Vendor - Contract]],$H67,CostTrack[[Holdback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67" s="504">
        <f ca="1">SUMIFS(CostTrack[[Value]:[Value]],CostTrack[[PA ID]:[PA ID]],$B67,CostTrack[[Vendor - Contract]:[Vendor - Contract]],$H67,CostTrack[[Holdback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67" s="504">
        <f ca="1">SUMIFS(CostTrack[[Value]:[Value]],CostTrack[[PA ID]:[PA ID]],$B67,CostTrack[[Vendor - Contract]:[Vendor - Contract]],$H67,CostTrack[[Holdback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67" s="512">
        <f t="shared" ca="1" si="35"/>
        <v>0</v>
      </c>
      <c r="AW67" s="504">
        <f ca="1">SUMIFS(CostTrack[[Value]:[Value]],CostTrack[[PA ID]:[PA ID]],$B67,CostTrack[[Vendor - Contract]:[Vendor - Contract]],$H67,CostTrack[[Holdback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67" s="504">
        <f ca="1">SUMIFS(CostTrack[[Value]:[Value]],CostTrack[[PA ID]:[PA ID]],$B67,CostTrack[[Vendor - Contract]:[Vendor - Contract]],$H67,CostTrack[[Holdback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67" s="504">
        <f ca="1">SUMIFS(CostTrack[[Value]:[Value]],CostTrack[[PA ID]:[PA ID]],$B67,CostTrack[[Vendor - Contract]:[Vendor - Contract]],$H67,CostTrack[[Holdback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67" s="504">
        <f ca="1">SUMIFS(CostTrack[[Value]:[Value]],CostTrack[[PA ID]:[PA ID]],$B67,CostTrack[[Vendor - Contract]:[Vendor - Contract]],$H67,CostTrack[[Holdback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67" s="504">
        <f ca="1">SUMIFS(CostTrack[[Value]:[Value]],CostTrack[[PA ID]:[PA ID]],$B67,CostTrack[[Vendor - Contract]:[Vendor - Contract]],$H67,CostTrack[[Holdback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67" s="504">
        <f ca="1">SUMIFS(CostTrack[[Value]:[Value]],CostTrack[[PA ID]:[PA ID]],$B67,CostTrack[[Vendor - Contract]:[Vendor - Contract]],$H67,CostTrack[[Holdback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67" s="504">
        <f ca="1">SUMIFS(CostTrack[[Value]:[Value]],CostTrack[[PA ID]:[PA ID]],$B67,CostTrack[[Vendor - Contract]:[Vendor - Contract]],$H67,CostTrack[[Holdback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67" s="504">
        <f ca="1">SUMIFS(CostTrack[[Value]:[Value]],CostTrack[[PA ID]:[PA ID]],$B67,CostTrack[[Vendor - Contract]:[Vendor - Contract]],$H67,CostTrack[[Holdback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67" s="504">
        <f ca="1">SUMIFS(CostTrack[[Value]:[Value]],CostTrack[[PA ID]:[PA ID]],$B67,CostTrack[[Vendor - Contract]:[Vendor - Contract]],$H67,CostTrack[[Holdback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67" s="504">
        <f ca="1">SUMIFS(CostTrack[[Value]:[Value]],CostTrack[[PA ID]:[PA ID]],$B67,CostTrack[[Vendor - Contract]:[Vendor - Contract]],$H67,CostTrack[[Holdback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67" s="504">
        <f ca="1">SUMIFS(CostTrack[[Value]:[Value]],CostTrack[[PA ID]:[PA ID]],$B67,CostTrack[[Vendor - Contract]:[Vendor - Contract]],$H67,CostTrack[[Holdback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67" s="504">
        <f ca="1">SUMIFS(CostTrack[[Value]:[Value]],CostTrack[[PA ID]:[PA ID]],$B67,CostTrack[[Vendor - Contract]:[Vendor - Contract]],$H67,CostTrack[[Holdback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67" s="512">
        <f t="shared" ca="1" si="36"/>
        <v>0</v>
      </c>
      <c r="BK67" s="504">
        <f ca="1">SUMIFS(CostTrack[[Value]:[Value]],CostTrack[[PA ID]:[PA ID]],$B67,CostTrack[[Vendor - Contract]:[Vendor - Contract]],$H67,CostTrack[[Holdback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67" s="504">
        <f ca="1">SUMIFS(CostTrack[[Value]:[Value]],CostTrack[[PA ID]:[PA ID]],$B67,CostTrack[[Vendor - Contract]:[Vendor - Contract]],$H67,CostTrack[[Holdback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67" s="504">
        <f ca="1">SUMIFS(CostTrack[[Value]:[Value]],CostTrack[[PA ID]:[PA ID]],$B67,CostTrack[[Vendor - Contract]:[Vendor - Contract]],$H67,CostTrack[[Holdback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67" s="504">
        <f ca="1">SUMIFS(CostTrack[[Value]:[Value]],CostTrack[[PA ID]:[PA ID]],$B67,CostTrack[[Vendor - Contract]:[Vendor - Contract]],$H67,CostTrack[[Holdback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67" s="504">
        <f ca="1">SUMIFS(CostTrack[[Value]:[Value]],CostTrack[[PA ID]:[PA ID]],$B67,CostTrack[[Vendor - Contract]:[Vendor - Contract]],$H67,CostTrack[[Holdback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67" s="504">
        <f ca="1">SUMIFS(CostTrack[[Value]:[Value]],CostTrack[[PA ID]:[PA ID]],$B67,CostTrack[[Vendor - Contract]:[Vendor - Contract]],$H67,CostTrack[[Holdback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67" s="504">
        <f ca="1">SUMIFS(CostTrack[[Value]:[Value]],CostTrack[[PA ID]:[PA ID]],$B67,CostTrack[[Vendor - Contract]:[Vendor - Contract]],$H67,CostTrack[[Holdback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67" s="504">
        <f ca="1">SUMIFS(CostTrack[[Value]:[Value]],CostTrack[[PA ID]:[PA ID]],$B67,CostTrack[[Vendor - Contract]:[Vendor - Contract]],$H67,CostTrack[[Holdback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67" s="504">
        <f ca="1">SUMIFS(CostTrack[[Value]:[Value]],CostTrack[[PA ID]:[PA ID]],$B67,CostTrack[[Vendor - Contract]:[Vendor - Contract]],$H67,CostTrack[[Holdback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67" s="504">
        <f ca="1">SUMIFS(CostTrack[[Value]:[Value]],CostTrack[[PA ID]:[PA ID]],$B67,CostTrack[[Vendor - Contract]:[Vendor - Contract]],$H67,CostTrack[[Holdback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67" s="504">
        <f ca="1">SUMIFS(CostTrack[[Value]:[Value]],CostTrack[[PA ID]:[PA ID]],$B67,CostTrack[[Vendor - Contract]:[Vendor - Contract]],$H67,CostTrack[[Holdback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67" s="504">
        <f ca="1">SUMIFS(CostTrack[[Value]:[Value]],CostTrack[[PA ID]:[PA ID]],$B67,CostTrack[[Vendor - Contract]:[Vendor - Contract]],$H67,CostTrack[[Holdback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67" s="512">
        <f t="shared" ca="1" si="37"/>
        <v>0</v>
      </c>
      <c r="BY67" s="504">
        <f ca="1">SUMIFS(CostTrack[[Value]:[Value]],CostTrack[[PA ID]:[PA ID]],$B67,CostTrack[[Vendor - Contract]:[Vendor - Contract]],$H67,CostTrack[[Holdback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67" s="504">
        <f ca="1">SUMIFS(CostTrack[[Value]:[Value]],CostTrack[[PA ID]:[PA ID]],$B67,CostTrack[[Vendor - Contract]:[Vendor - Contract]],$H67,CostTrack[[Holdback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67" s="504">
        <f ca="1">SUMIFS(CostTrack[[Value]:[Value]],CostTrack[[PA ID]:[PA ID]],$B67,CostTrack[[Vendor - Contract]:[Vendor - Contract]],$H67,CostTrack[[Holdback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67" s="504">
        <f ca="1">SUMIFS(CostTrack[[Value]:[Value]],CostTrack[[PA ID]:[PA ID]],$B67,CostTrack[[Vendor - Contract]:[Vendor - Contract]],$H67,CostTrack[[Holdback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67" s="504">
        <f ca="1">SUMIFS(CostTrack[[Value]:[Value]],CostTrack[[PA ID]:[PA ID]],$B67,CostTrack[[Vendor - Contract]:[Vendor - Contract]],$H67,CostTrack[[Holdback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1553.18</v>
      </c>
      <c r="CD67" s="504">
        <f ca="1">SUMIFS(CostTrack[[Value]:[Value]],CostTrack[[PA ID]:[PA ID]],$B67,CostTrack[[Vendor - Contract]:[Vendor - Contract]],$H67,CostTrack[[Holdback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67" s="504">
        <f ca="1">SUMIFS(CostTrack[[Value]:[Value]],CostTrack[[PA ID]:[PA ID]],$B67,CostTrack[[Vendor - Contract]:[Vendor - Contract]],$H67,CostTrack[[Holdback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67" s="504">
        <f ca="1">SUMIFS(CostTrack[[Value]:[Value]],CostTrack[[PA ID]:[PA ID]],$B67,CostTrack[[Vendor - Contract]:[Vendor - Contract]],$H67,CostTrack[[Holdback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67" s="504">
        <f ca="1">SUMIFS(CostTrack[[Value]:[Value]],CostTrack[[PA ID]:[PA ID]],$B67,CostTrack[[Vendor - Contract]:[Vendor - Contract]],$H67,CostTrack[[Holdback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67" s="504">
        <f ca="1">SUMIFS(CostTrack[[Value]:[Value]],CostTrack[[PA ID]:[PA ID]],$B67,CostTrack[[Vendor - Contract]:[Vendor - Contract]],$H67,CostTrack[[Holdback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67" s="504">
        <f ca="1">SUMIFS(CostTrack[[Value]:[Value]],CostTrack[[PA ID]:[PA ID]],$B67,CostTrack[[Vendor - Contract]:[Vendor - Contract]],$H67,CostTrack[[Holdback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67" s="504">
        <f ca="1">SUMIFS(CostTrack[[Value]:[Value]],CostTrack[[PA ID]:[PA ID]],$B67,CostTrack[[Vendor - Contract]:[Vendor - Contract]],$H67,CostTrack[[Holdback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67" s="512">
        <f t="shared" ca="1" si="38"/>
        <v>1553.18</v>
      </c>
      <c r="CM67" s="504">
        <f ca="1">SUMIFS(CostTrack[[Value]:[Value]],CostTrack[[PA ID]:[PA ID]],$B67,CostTrack[[Vendor - Contract]:[Vendor - Contract]],$H67,CostTrack[[Holdback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67" s="504">
        <f ca="1">SUMIFS(CostTrack[[Value]:[Value]],CostTrack[[PA ID]:[PA ID]],$B67,CostTrack[[Vendor - Contract]:[Vendor - Contract]],$H67,CostTrack[[Holdback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67" s="504">
        <f ca="1">SUMIFS(CostTrack[[Value]:[Value]],CostTrack[[PA ID]:[PA ID]],$B67,CostTrack[[Vendor - Contract]:[Vendor - Contract]],$H67,CostTrack[[Holdback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67" s="504">
        <f ca="1">SUMIFS(CostTrack[[Value]:[Value]],CostTrack[[PA ID]:[PA ID]],$B67,CostTrack[[Vendor - Contract]:[Vendor - Contract]],$H67,CostTrack[[Holdback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67" s="504">
        <f ca="1">SUMIFS(CostTrack[[Value]:[Value]],CostTrack[[PA ID]:[PA ID]],$B67,CostTrack[[Vendor - Contract]:[Vendor - Contract]],$H67,CostTrack[[Holdback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67" s="504">
        <f ca="1">SUMIFS(CostTrack[[Value]:[Value]],CostTrack[[PA ID]:[PA ID]],$B67,CostTrack[[Vendor - Contract]:[Vendor - Contract]],$H67,CostTrack[[Holdback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67" s="504">
        <f ca="1">SUMIFS(CostTrack[[Value]:[Value]],CostTrack[[PA ID]:[PA ID]],$B67,CostTrack[[Vendor - Contract]:[Vendor - Contract]],$H67,CostTrack[[Holdback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67" s="504">
        <f ca="1">SUMIFS(CostTrack[[Value]:[Value]],CostTrack[[PA ID]:[PA ID]],$B67,CostTrack[[Vendor - Contract]:[Vendor - Contract]],$H67,CostTrack[[Holdback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67" s="504">
        <f ca="1">SUMIFS(CostTrack[[Value]:[Value]],CostTrack[[PA ID]:[PA ID]],$B67,CostTrack[[Vendor - Contract]:[Vendor - Contract]],$H67,CostTrack[[Holdback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67" s="504">
        <f ca="1">SUMIFS(CostTrack[[Value]:[Value]],CostTrack[[PA ID]:[PA ID]],$B67,CostTrack[[Vendor - Contract]:[Vendor - Contract]],$H67,CostTrack[[Holdback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67" s="504">
        <f ca="1">SUMIFS(CostTrack[[Value]:[Value]],CostTrack[[PA ID]:[PA ID]],$B67,CostTrack[[Vendor - Contract]:[Vendor - Contract]],$H67,CostTrack[[Holdback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67" s="504">
        <f ca="1">SUMIFS(CostTrack[[Value]:[Value]],CostTrack[[PA ID]:[PA ID]],$B67,CostTrack[[Vendor - Contract]:[Vendor - Contract]],$H67,CostTrack[[Holdback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67" s="512">
        <f t="shared" ca="1" si="39"/>
        <v>0</v>
      </c>
      <c r="DA67" s="504">
        <f ca="1">SUMIFS(CostTrack[[Value]:[Value]],CostTrack[[PA ID]:[PA ID]],$B67,CostTrack[[Vendor - Contract]:[Vendor - Contract]],$H67,CostTrack[[Holdback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67" s="504">
        <f ca="1">SUMIFS(CostTrack[[Value]:[Value]],CostTrack[[PA ID]:[PA ID]],$B67,CostTrack[[Vendor - Contract]:[Vendor - Contract]],$H67,CostTrack[[Holdback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67" s="504">
        <f ca="1">SUMIFS(CostTrack[[Value]:[Value]],CostTrack[[PA ID]:[PA ID]],$B67,CostTrack[[Vendor - Contract]:[Vendor - Contract]],$H67,CostTrack[[Holdback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67" s="504">
        <f ca="1">SUMIFS(CostTrack[[Value]:[Value]],CostTrack[[PA ID]:[PA ID]],$B67,CostTrack[[Vendor - Contract]:[Vendor - Contract]],$H67,CostTrack[[Holdback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67" s="504">
        <f ca="1">SUMIFS(CostTrack[[Value]:[Value]],CostTrack[[PA ID]:[PA ID]],$B67,CostTrack[[Vendor - Contract]:[Vendor - Contract]],$H67,CostTrack[[Holdback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67" s="504">
        <f ca="1">SUMIFS(CostTrack[[Value]:[Value]],CostTrack[[PA ID]:[PA ID]],$B67,CostTrack[[Vendor - Contract]:[Vendor - Contract]],$H67,CostTrack[[Holdback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67" s="504">
        <f ca="1">SUMIFS(CostTrack[[Value]:[Value]],CostTrack[[PA ID]:[PA ID]],$B67,CostTrack[[Vendor - Contract]:[Vendor - Contract]],$H67,CostTrack[[Holdback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67" s="504">
        <f ca="1">SUMIFS(CostTrack[[Value]:[Value]],CostTrack[[PA ID]:[PA ID]],$B67,CostTrack[[Vendor - Contract]:[Vendor - Contract]],$H67,CostTrack[[Holdback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67" s="504">
        <f ca="1">SUMIFS(CostTrack[[Value]:[Value]],CostTrack[[PA ID]:[PA ID]],$B67,CostTrack[[Vendor - Contract]:[Vendor - Contract]],$H67,CostTrack[[Holdback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67" s="504">
        <f ca="1">SUMIFS(CostTrack[[Value]:[Value]],CostTrack[[PA ID]:[PA ID]],$B67,CostTrack[[Vendor - Contract]:[Vendor - Contract]],$H67,CostTrack[[Holdback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67" s="504">
        <f ca="1">SUMIFS(CostTrack[[Value]:[Value]],CostTrack[[PA ID]:[PA ID]],$B67,CostTrack[[Vendor - Contract]:[Vendor - Contract]],$H67,CostTrack[[Holdback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67" s="504">
        <f ca="1">SUMIFS(CostTrack[[Value]:[Value]],CostTrack[[PA ID]:[PA ID]],$B67,CostTrack[[Vendor - Contract]:[Vendor - Contract]],$H67,CostTrack[[Holdback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67" s="512">
        <f t="shared" ca="1" si="40"/>
        <v>0</v>
      </c>
      <c r="DO67" s="504">
        <f ca="1">SUMIFS(CostTrack[[Value]:[Value]],CostTrack[[PA ID]:[PA ID]],$B67,CostTrack[[Vendor - Contract]:[Vendor - Contract]],$H67,CostTrack[[Holdback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67" s="504">
        <f ca="1">SUMIFS(CostTrack[[Value]:[Value]],CostTrack[[PA ID]:[PA ID]],$B67,CostTrack[[Vendor - Contract]:[Vendor - Contract]],$H67,CostTrack[[Holdback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67" s="504">
        <f ca="1">SUMIFS(CostTrack[[Value]:[Value]],CostTrack[[PA ID]:[PA ID]],$B67,CostTrack[[Vendor - Contract]:[Vendor - Contract]],$H67,CostTrack[[Holdback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67" s="504">
        <f ca="1">SUMIFS(CostTrack[[Value]:[Value]],CostTrack[[PA ID]:[PA ID]],$B67,CostTrack[[Vendor - Contract]:[Vendor - Contract]],$H67,CostTrack[[Holdback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67" s="504">
        <f ca="1">SUMIFS(CostTrack[[Value]:[Value]],CostTrack[[PA ID]:[PA ID]],$B67,CostTrack[[Vendor - Contract]:[Vendor - Contract]],$H67,CostTrack[[Holdback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67" s="504">
        <f ca="1">SUMIFS(CostTrack[[Value]:[Value]],CostTrack[[PA ID]:[PA ID]],$B67,CostTrack[[Vendor - Contract]:[Vendor - Contract]],$H67,CostTrack[[Holdback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67" s="504">
        <f ca="1">SUMIFS(CostTrack[[Value]:[Value]],CostTrack[[PA ID]:[PA ID]],$B67,CostTrack[[Vendor - Contract]:[Vendor - Contract]],$H67,CostTrack[[Holdback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67" s="504">
        <f ca="1">SUMIFS(CostTrack[[Value]:[Value]],CostTrack[[PA ID]:[PA ID]],$B67,CostTrack[[Vendor - Contract]:[Vendor - Contract]],$H67,CostTrack[[Holdback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67" s="504">
        <f ca="1">SUMIFS(CostTrack[[Value]:[Value]],CostTrack[[PA ID]:[PA ID]],$B67,CostTrack[[Vendor - Contract]:[Vendor - Contract]],$H67,CostTrack[[Holdback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67" s="504">
        <f ca="1">SUMIFS(CostTrack[[Value]:[Value]],CostTrack[[PA ID]:[PA ID]],$B67,CostTrack[[Vendor - Contract]:[Vendor - Contract]],$H67,CostTrack[[Holdback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67" s="504">
        <f ca="1">SUMIFS(CostTrack[[Value]:[Value]],CostTrack[[PA ID]:[PA ID]],$B67,CostTrack[[Vendor - Contract]:[Vendor - Contract]],$H67,CostTrack[[Holdback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67" s="504">
        <f ca="1">SUMIFS(CostTrack[[Value]:[Value]],CostTrack[[PA ID]:[PA ID]],$B67,CostTrack[[Vendor - Contract]:[Vendor - Contract]],$H67,CostTrack[[Holdback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67" s="512">
        <f t="shared" ca="1" si="41"/>
        <v>0</v>
      </c>
      <c r="EC67" s="504">
        <f ca="1">SUMIFS(CostTrack[[Value]:[Value]],CostTrack[[PA ID]:[PA ID]],$B67,CostTrack[[Vendor - Contract]:[Vendor - Contract]],$H67,CostTrack[[Holdback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67" s="505"/>
      <c r="EE67" s="505"/>
      <c r="EF67" s="505"/>
      <c r="EG67" s="505"/>
      <c r="EH67" s="505"/>
      <c r="EI67" s="505"/>
      <c r="EJ67" s="505"/>
      <c r="EK67" s="505"/>
      <c r="EL67" s="505"/>
      <c r="EM67" s="505"/>
      <c r="EN67" s="505"/>
      <c r="EO67" s="512">
        <f t="shared" ca="1" si="42"/>
        <v>0</v>
      </c>
      <c r="EQ67" s="505"/>
      <c r="ER67" s="505"/>
      <c r="ES67" s="505"/>
      <c r="ET67" s="505"/>
      <c r="EU67" s="505"/>
      <c r="EV67" s="505"/>
      <c r="EW67" s="505"/>
      <c r="EX67" s="505"/>
      <c r="EY67" s="505"/>
      <c r="EZ67" s="505"/>
      <c r="FA67" s="505"/>
      <c r="FB67" s="505"/>
      <c r="FC67" s="512">
        <f t="shared" si="43"/>
        <v>0</v>
      </c>
      <c r="FE67" s="505"/>
      <c r="FF67" s="505"/>
      <c r="FG67" s="505"/>
      <c r="FH67" s="505"/>
      <c r="FI67" s="505"/>
      <c r="FJ67" s="505"/>
      <c r="FK67" s="505"/>
      <c r="FL67" s="505"/>
      <c r="FM67" s="505"/>
      <c r="FN67" s="505"/>
      <c r="FO67" s="505"/>
      <c r="FP67" s="505"/>
      <c r="FQ67" s="512">
        <f t="shared" si="44"/>
        <v>0</v>
      </c>
      <c r="FS67" s="504">
        <f t="shared" ca="1" si="45"/>
        <v>1553.18</v>
      </c>
    </row>
    <row r="68" spans="1:175" ht="24" customHeight="1">
      <c r="A68" s="216">
        <v>61</v>
      </c>
      <c r="B68" s="219" t="str">
        <f ca="1">INDEX(EAC[PA ID],MATCH($A68,EAC[Row],0))</f>
        <v>200.050.F1</v>
      </c>
      <c r="C68" s="218" t="str">
        <f ca="1">INDEX(EAC[Primary Category],MATCH($A68,EAC[Row],0))</f>
        <v>Professional Services</v>
      </c>
      <c r="D68" s="218" t="str">
        <f ca="1">INDEX(EAC[Secondary Category],MATCH($A68,EAC[Row],0))</f>
        <v>Other Professional Services</v>
      </c>
      <c r="E68" s="109" t="str">
        <f ca="1">INDEX(EAC[Phase / Subproject],MATCH($A68,EAC[Row],0))</f>
        <v>--</v>
      </c>
      <c r="F68" s="109" t="str">
        <f ca="1">INDEX(EAC[Phase / Subproject 2],MATCH($A68,EAC[Row],0))</f>
        <v>--</v>
      </c>
      <c r="G68" s="109" t="str">
        <f ca="1">INDEX(EAC[Funding Source],MATCH($A68,EAC[Row],0))</f>
        <v>P-002360</v>
      </c>
      <c r="H68" s="146" t="str">
        <f ca="1">INDEX(EAC[Vendor / Org. with Contract ID],MATCH($A68,EAC[Row],0))</f>
        <v>Altus Group- Schedule and claim consulatnt-39170</v>
      </c>
      <c r="I68" s="502">
        <f ca="1">INDEX(EAC[Estimate At Completion],MATCH($A68,EAC[Row],0))</f>
        <v>250205.72</v>
      </c>
      <c r="J68" s="502">
        <f ca="1">SUMIFS(CostTrack[Value],CostTrack[Vendor - Contract],$H68,CostTrack[PA ID],$B68,CostTrack[Holdback (Y/N/R)],"&lt;&gt;Release",CostTrack[Status],"Approved")</f>
        <v>250205.72000000003</v>
      </c>
      <c r="K68" s="503">
        <f t="shared" ca="1" si="14"/>
        <v>-2.9103830456733704E-11</v>
      </c>
      <c r="M68" s="504">
        <f t="shared" ca="1" si="15"/>
        <v>0</v>
      </c>
      <c r="O68" s="504">
        <f t="shared" ca="1" si="49"/>
        <v>250205.72000000003</v>
      </c>
      <c r="P68" s="504">
        <f t="array" aca="1" ref="P68" ca="1">SUM($U68:$FQ68*_xlfn.ISFORMULA($U68:$FQ68)*ISNUMBER($U$7:$FQ$7)*--(INDEX($U$6:$FQ$6,N(IF({1},COLUMN($U$6:$FQ$6)-COLUMN($T$6)))-MOD(N(IF({1},COLUMN($U$6:$FQ$6)-COLUMN($U$6))),14))="Current Fiscal"))</f>
        <v>0</v>
      </c>
      <c r="Q68" s="504">
        <f t="array" aca="1" ref="Q68" ca="1">SUM($U68:$FQ68*NOT(_xlfn.ISFORMULA($U68:$FQ68))*ISNUMBER($U$7:$FQ$7)*--(INDEX($U$6:$FQ$6,N(IF({1},COLUMN($U$6:$FQ$6)-COLUMN($T$6)))-MOD(N(IF({1},COLUMN($U$6:$FQ$6)-COLUMN($U$6))),14))="Current Fiscal"))</f>
        <v>0</v>
      </c>
      <c r="R68" s="504">
        <f t="shared" ca="1" si="50"/>
        <v>0</v>
      </c>
      <c r="S68" s="504">
        <f t="shared" ca="1" si="51"/>
        <v>0</v>
      </c>
      <c r="U68" s="504">
        <f ca="1">SUMIFS(CostTrack[[Value]:[Value]],CostTrack[[PA ID]:[PA ID]],$B68,CostTrack[[Vendor - Contract]:[Vendor - Contract]],$H68,CostTrack[[Holdback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68" s="504">
        <f ca="1">SUMIFS(CostTrack[[Value]:[Value]],CostTrack[[PA ID]:[PA ID]],$B68,CostTrack[[Vendor - Contract]:[Vendor - Contract]],$H68,CostTrack[[Holdback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68" s="504">
        <f ca="1">SUMIFS(CostTrack[[Value]:[Value]],CostTrack[[PA ID]:[PA ID]],$B68,CostTrack[[Vendor - Contract]:[Vendor - Contract]],$H68,CostTrack[[Holdback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68" s="504">
        <f ca="1">SUMIFS(CostTrack[[Value]:[Value]],CostTrack[[PA ID]:[PA ID]],$B68,CostTrack[[Vendor - Contract]:[Vendor - Contract]],$H68,CostTrack[[Holdback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68" s="504">
        <f ca="1">SUMIFS(CostTrack[[Value]:[Value]],CostTrack[[PA ID]:[PA ID]],$B68,CostTrack[[Vendor - Contract]:[Vendor - Contract]],$H68,CostTrack[[Holdback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68" s="504">
        <f ca="1">SUMIFS(CostTrack[[Value]:[Value]],CostTrack[[PA ID]:[PA ID]],$B68,CostTrack[[Vendor - Contract]:[Vendor - Contract]],$H68,CostTrack[[Holdback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68" s="504">
        <f ca="1">SUMIFS(CostTrack[[Value]:[Value]],CostTrack[[PA ID]:[PA ID]],$B68,CostTrack[[Vendor - Contract]:[Vendor - Contract]],$H68,CostTrack[[Holdback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68" s="504">
        <f ca="1">SUMIFS(CostTrack[[Value]:[Value]],CostTrack[[PA ID]:[PA ID]],$B68,CostTrack[[Vendor - Contract]:[Vendor - Contract]],$H68,CostTrack[[Holdback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68" s="504">
        <f ca="1">SUMIFS(CostTrack[[Value]:[Value]],CostTrack[[PA ID]:[PA ID]],$B68,CostTrack[[Vendor - Contract]:[Vendor - Contract]],$H68,CostTrack[[Holdback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68" s="504">
        <f ca="1">SUMIFS(CostTrack[[Value]:[Value]],CostTrack[[PA ID]:[PA ID]],$B68,CostTrack[[Vendor - Contract]:[Vendor - Contract]],$H68,CostTrack[[Holdback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68" s="504">
        <f ca="1">SUMIFS(CostTrack[[Value]:[Value]],CostTrack[[PA ID]:[PA ID]],$B68,CostTrack[[Vendor - Contract]:[Vendor - Contract]],$H68,CostTrack[[Holdback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68" s="504">
        <f ca="1">SUMIFS(CostTrack[[Value]:[Value]],CostTrack[[PA ID]:[PA ID]],$B68,CostTrack[[Vendor - Contract]:[Vendor - Contract]],$H68,CostTrack[[Holdback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68" s="506">
        <f t="shared" ca="1" si="52"/>
        <v>0</v>
      </c>
      <c r="AI68" s="504">
        <f ca="1">SUMIFS(CostTrack[[Value]:[Value]],CostTrack[[PA ID]:[PA ID]],$B68,CostTrack[[Vendor - Contract]:[Vendor - Contract]],$H68,CostTrack[[Holdback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68" s="504">
        <f ca="1">SUMIFS(CostTrack[[Value]:[Value]],CostTrack[[PA ID]:[PA ID]],$B68,CostTrack[[Vendor - Contract]:[Vendor - Contract]],$H68,CostTrack[[Holdback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68" s="504">
        <f ca="1">SUMIFS(CostTrack[[Value]:[Value]],CostTrack[[PA ID]:[PA ID]],$B68,CostTrack[[Vendor - Contract]:[Vendor - Contract]],$H68,CostTrack[[Holdback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68" s="504">
        <f ca="1">SUMIFS(CostTrack[[Value]:[Value]],CostTrack[[PA ID]:[PA ID]],$B68,CostTrack[[Vendor - Contract]:[Vendor - Contract]],$H68,CostTrack[[Holdback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68" s="504">
        <f ca="1">SUMIFS(CostTrack[[Value]:[Value]],CostTrack[[PA ID]:[PA ID]],$B68,CostTrack[[Vendor - Contract]:[Vendor - Contract]],$H68,CostTrack[[Holdback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68" s="504">
        <f ca="1">SUMIFS(CostTrack[[Value]:[Value]],CostTrack[[PA ID]:[PA ID]],$B68,CostTrack[[Vendor - Contract]:[Vendor - Contract]],$H68,CostTrack[[Holdback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68" s="504">
        <f ca="1">SUMIFS(CostTrack[[Value]:[Value]],CostTrack[[PA ID]:[PA ID]],$B68,CostTrack[[Vendor - Contract]:[Vendor - Contract]],$H68,CostTrack[[Holdback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68" s="504">
        <f ca="1">SUMIFS(CostTrack[[Value]:[Value]],CostTrack[[PA ID]:[PA ID]],$B68,CostTrack[[Vendor - Contract]:[Vendor - Contract]],$H68,CostTrack[[Holdback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68" s="504">
        <f ca="1">SUMIFS(CostTrack[[Value]:[Value]],CostTrack[[PA ID]:[PA ID]],$B68,CostTrack[[Vendor - Contract]:[Vendor - Contract]],$H68,CostTrack[[Holdback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68" s="504">
        <f ca="1">SUMIFS(CostTrack[[Value]:[Value]],CostTrack[[PA ID]:[PA ID]],$B68,CostTrack[[Vendor - Contract]:[Vendor - Contract]],$H68,CostTrack[[Holdback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68" s="504">
        <f ca="1">SUMIFS(CostTrack[[Value]:[Value]],CostTrack[[PA ID]:[PA ID]],$B68,CostTrack[[Vendor - Contract]:[Vendor - Contract]],$H68,CostTrack[[Holdback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68" s="504">
        <f ca="1">SUMIFS(CostTrack[[Value]:[Value]],CostTrack[[PA ID]:[PA ID]],$B68,CostTrack[[Vendor - Contract]:[Vendor - Contract]],$H68,CostTrack[[Holdback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68" s="512">
        <f t="shared" ref="AU68:AU69" ca="1" si="53">SUM(AI68:AT68)</f>
        <v>0</v>
      </c>
      <c r="AW68" s="504">
        <f ca="1">SUMIFS(CostTrack[[Value]:[Value]],CostTrack[[PA ID]:[PA ID]],$B68,CostTrack[[Vendor - Contract]:[Vendor - Contract]],$H68,CostTrack[[Holdback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68" s="504">
        <f ca="1">SUMIFS(CostTrack[[Value]:[Value]],CostTrack[[PA ID]:[PA ID]],$B68,CostTrack[[Vendor - Contract]:[Vendor - Contract]],$H68,CostTrack[[Holdback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68" s="504">
        <f ca="1">SUMIFS(CostTrack[[Value]:[Value]],CostTrack[[PA ID]:[PA ID]],$B68,CostTrack[[Vendor - Contract]:[Vendor - Contract]],$H68,CostTrack[[Holdback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68" s="504">
        <f ca="1">SUMIFS(CostTrack[[Value]:[Value]],CostTrack[[PA ID]:[PA ID]],$B68,CostTrack[[Vendor - Contract]:[Vendor - Contract]],$H68,CostTrack[[Holdback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68" s="504">
        <f ca="1">SUMIFS(CostTrack[[Value]:[Value]],CostTrack[[PA ID]:[PA ID]],$B68,CostTrack[[Vendor - Contract]:[Vendor - Contract]],$H68,CostTrack[[Holdback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68" s="504">
        <f ca="1">SUMIFS(CostTrack[[Value]:[Value]],CostTrack[[PA ID]:[PA ID]],$B68,CostTrack[[Vendor - Contract]:[Vendor - Contract]],$H68,CostTrack[[Holdback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68" s="504">
        <f ca="1">SUMIFS(CostTrack[[Value]:[Value]],CostTrack[[PA ID]:[PA ID]],$B68,CostTrack[[Vendor - Contract]:[Vendor - Contract]],$H68,CostTrack[[Holdback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68" s="504">
        <f ca="1">SUMIFS(CostTrack[[Value]:[Value]],CostTrack[[PA ID]:[PA ID]],$B68,CostTrack[[Vendor - Contract]:[Vendor - Contract]],$H68,CostTrack[[Holdback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68" s="504">
        <f ca="1">SUMIFS(CostTrack[[Value]:[Value]],CostTrack[[PA ID]:[PA ID]],$B68,CostTrack[[Vendor - Contract]:[Vendor - Contract]],$H68,CostTrack[[Holdback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68" s="504">
        <f ca="1">SUMIFS(CostTrack[[Value]:[Value]],CostTrack[[PA ID]:[PA ID]],$B68,CostTrack[[Vendor - Contract]:[Vendor - Contract]],$H68,CostTrack[[Holdback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68" s="504">
        <f ca="1">SUMIFS(CostTrack[[Value]:[Value]],CostTrack[[PA ID]:[PA ID]],$B68,CostTrack[[Vendor - Contract]:[Vendor - Contract]],$H68,CostTrack[[Holdback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68" s="504">
        <f ca="1">SUMIFS(CostTrack[[Value]:[Value]],CostTrack[[PA ID]:[PA ID]],$B68,CostTrack[[Vendor - Contract]:[Vendor - Contract]],$H68,CostTrack[[Holdback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68" s="512">
        <f t="shared" ref="BI68:BI69" ca="1" si="54">SUM(AW68:BH68)</f>
        <v>0</v>
      </c>
      <c r="BK68" s="504">
        <f ca="1">SUMIFS(CostTrack[[Value]:[Value]],CostTrack[[PA ID]:[PA ID]],$B68,CostTrack[[Vendor - Contract]:[Vendor - Contract]],$H68,CostTrack[[Holdback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68" s="504">
        <f ca="1">SUMIFS(CostTrack[[Value]:[Value]],CostTrack[[PA ID]:[PA ID]],$B68,CostTrack[[Vendor - Contract]:[Vendor - Contract]],$H68,CostTrack[[Holdback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68" s="504">
        <f ca="1">SUMIFS(CostTrack[[Value]:[Value]],CostTrack[[PA ID]:[PA ID]],$B68,CostTrack[[Vendor - Contract]:[Vendor - Contract]],$H68,CostTrack[[Holdback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68" s="504">
        <f ca="1">SUMIFS(CostTrack[[Value]:[Value]],CostTrack[[PA ID]:[PA ID]],$B68,CostTrack[[Vendor - Contract]:[Vendor - Contract]],$H68,CostTrack[[Holdback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68" s="504">
        <f ca="1">SUMIFS(CostTrack[[Value]:[Value]],CostTrack[[PA ID]:[PA ID]],$B68,CostTrack[[Vendor - Contract]:[Vendor - Contract]],$H68,CostTrack[[Holdback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68" s="504">
        <f ca="1">SUMIFS(CostTrack[[Value]:[Value]],CostTrack[[PA ID]:[PA ID]],$B68,CostTrack[[Vendor - Contract]:[Vendor - Contract]],$H68,CostTrack[[Holdback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68" s="504">
        <f ca="1">SUMIFS(CostTrack[[Value]:[Value]],CostTrack[[PA ID]:[PA ID]],$B68,CostTrack[[Vendor - Contract]:[Vendor - Contract]],$H68,CostTrack[[Holdback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68" s="504">
        <f ca="1">SUMIFS(CostTrack[[Value]:[Value]],CostTrack[[PA ID]:[PA ID]],$B68,CostTrack[[Vendor - Contract]:[Vendor - Contract]],$H68,CostTrack[[Holdback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68" s="504">
        <f ca="1">SUMIFS(CostTrack[[Value]:[Value]],CostTrack[[PA ID]:[PA ID]],$B68,CostTrack[[Vendor - Contract]:[Vendor - Contract]],$H68,CostTrack[[Holdback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68" s="504">
        <f ca="1">SUMIFS(CostTrack[[Value]:[Value]],CostTrack[[PA ID]:[PA ID]],$B68,CostTrack[[Vendor - Contract]:[Vendor - Contract]],$H68,CostTrack[[Holdback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68" s="504">
        <f ca="1">SUMIFS(CostTrack[[Value]:[Value]],CostTrack[[PA ID]:[PA ID]],$B68,CostTrack[[Vendor - Contract]:[Vendor - Contract]],$H68,CostTrack[[Holdback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68" s="504">
        <f ca="1">SUMIFS(CostTrack[[Value]:[Value]],CostTrack[[PA ID]:[PA ID]],$B68,CostTrack[[Vendor - Contract]:[Vendor - Contract]],$H68,CostTrack[[Holdback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68" s="512">
        <f t="shared" ref="BW68:BW69" ca="1" si="55">SUM(BK68:BV68)</f>
        <v>0</v>
      </c>
      <c r="BY68" s="504">
        <f ca="1">SUMIFS(CostTrack[[Value]:[Value]],CostTrack[[PA ID]:[PA ID]],$B68,CostTrack[[Vendor - Contract]:[Vendor - Contract]],$H68,CostTrack[[Holdback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68" s="504">
        <f ca="1">SUMIFS(CostTrack[[Value]:[Value]],CostTrack[[PA ID]:[PA ID]],$B68,CostTrack[[Vendor - Contract]:[Vendor - Contract]],$H68,CostTrack[[Holdback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68" s="504">
        <f ca="1">SUMIFS(CostTrack[[Value]:[Value]],CostTrack[[PA ID]:[PA ID]],$B68,CostTrack[[Vendor - Contract]:[Vendor - Contract]],$H68,CostTrack[[Holdback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68" s="504">
        <f ca="1">SUMIFS(CostTrack[[Value]:[Value]],CostTrack[[PA ID]:[PA ID]],$B68,CostTrack[[Vendor - Contract]:[Vendor - Contract]],$H68,CostTrack[[Holdback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68" s="504">
        <f ca="1">SUMIFS(CostTrack[[Value]:[Value]],CostTrack[[PA ID]:[PA ID]],$B68,CostTrack[[Vendor - Contract]:[Vendor - Contract]],$H68,CostTrack[[Holdback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68" s="504">
        <f ca="1">SUMIFS(CostTrack[[Value]:[Value]],CostTrack[[PA ID]:[PA ID]],$B68,CostTrack[[Vendor - Contract]:[Vendor - Contract]],$H68,CostTrack[[Holdback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68" s="504">
        <f ca="1">SUMIFS(CostTrack[[Value]:[Value]],CostTrack[[PA ID]:[PA ID]],$B68,CostTrack[[Vendor - Contract]:[Vendor - Contract]],$H68,CostTrack[[Holdback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68" s="504">
        <f ca="1">SUMIFS(CostTrack[[Value]:[Value]],CostTrack[[PA ID]:[PA ID]],$B68,CostTrack[[Vendor - Contract]:[Vendor - Contract]],$H68,CostTrack[[Holdback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5669.5</v>
      </c>
      <c r="CG68" s="504">
        <f ca="1">SUMIFS(CostTrack[[Value]:[Value]],CostTrack[[PA ID]:[PA ID]],$B68,CostTrack[[Vendor - Contract]:[Vendor - Contract]],$H68,CostTrack[[Holdback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68" s="504">
        <f ca="1">SUMIFS(CostTrack[[Value]:[Value]],CostTrack[[PA ID]:[PA ID]],$B68,CostTrack[[Vendor - Contract]:[Vendor - Contract]],$H68,CostTrack[[Holdback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23528.38</v>
      </c>
      <c r="CI68" s="504">
        <f ca="1">SUMIFS(CostTrack[[Value]:[Value]],CostTrack[[PA ID]:[PA ID]],$B68,CostTrack[[Vendor - Contract]:[Vendor - Contract]],$H68,CostTrack[[Holdback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68" s="504">
        <f ca="1">SUMIFS(CostTrack[[Value]:[Value]],CostTrack[[PA ID]:[PA ID]],$B68,CostTrack[[Vendor - Contract]:[Vendor - Contract]],$H68,CostTrack[[Holdback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23573.379999999997</v>
      </c>
      <c r="CK68" s="512">
        <f t="shared" ref="CK68:CK69" ca="1" si="56">SUM(BY68:CJ68)</f>
        <v>52771.259999999995</v>
      </c>
      <c r="CM68" s="504">
        <f ca="1">SUMIFS(CostTrack[[Value]:[Value]],CostTrack[[PA ID]:[PA ID]],$B68,CostTrack[[Vendor - Contract]:[Vendor - Contract]],$H68,CostTrack[[Holdback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68" s="504">
        <f ca="1">SUMIFS(CostTrack[[Value]:[Value]],CostTrack[[PA ID]:[PA ID]],$B68,CostTrack[[Vendor - Contract]:[Vendor - Contract]],$H68,CostTrack[[Holdback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-1263</v>
      </c>
      <c r="CO68" s="504">
        <f ca="1">SUMIFS(CostTrack[[Value]:[Value]],CostTrack[[PA ID]:[PA ID]],$B68,CostTrack[[Vendor - Contract]:[Vendor - Contract]],$H68,CostTrack[[Holdback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3262.75</v>
      </c>
      <c r="CP68" s="504">
        <f ca="1">SUMIFS(CostTrack[[Value]:[Value]],CostTrack[[PA ID]:[PA ID]],$B68,CostTrack[[Vendor - Contract]:[Vendor - Contract]],$H68,CostTrack[[Holdback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68" s="504">
        <f ca="1">SUMIFS(CostTrack[[Value]:[Value]],CostTrack[[PA ID]:[PA ID]],$B68,CostTrack[[Vendor - Contract]:[Vendor - Contract]],$H68,CostTrack[[Holdback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68" s="504">
        <f ca="1">SUMIFS(CostTrack[[Value]:[Value]],CostTrack[[PA ID]:[PA ID]],$B68,CostTrack[[Vendor - Contract]:[Vendor - Contract]],$H68,CostTrack[[Holdback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68" s="504">
        <f ca="1">SUMIFS(CostTrack[[Value]:[Value]],CostTrack[[PA ID]:[PA ID]],$B68,CostTrack[[Vendor - Contract]:[Vendor - Contract]],$H68,CostTrack[[Holdback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63703.75</v>
      </c>
      <c r="CT68" s="504">
        <f ca="1">SUMIFS(CostTrack[[Value]:[Value]],CostTrack[[PA ID]:[PA ID]],$B68,CostTrack[[Vendor - Contract]:[Vendor - Contract]],$H68,CostTrack[[Holdback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68" s="504">
        <f ca="1">SUMIFS(CostTrack[[Value]:[Value]],CostTrack[[PA ID]:[PA ID]],$B68,CostTrack[[Vendor - Contract]:[Vendor - Contract]],$H68,CostTrack[[Holdback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7947</v>
      </c>
      <c r="CV68" s="504">
        <f ca="1">SUMIFS(CostTrack[[Value]:[Value]],CostTrack[[PA ID]:[PA ID]],$B68,CostTrack[[Vendor - Contract]:[Vendor - Contract]],$H68,CostTrack[[Holdback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68" s="504">
        <f ca="1">SUMIFS(CostTrack[[Value]:[Value]],CostTrack[[PA ID]:[PA ID]],$B68,CostTrack[[Vendor - Contract]:[Vendor - Contract]],$H68,CostTrack[[Holdback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68" s="504">
        <f ca="1">SUMIFS(CostTrack[[Value]:[Value]],CostTrack[[PA ID]:[PA ID]],$B68,CostTrack[[Vendor - Contract]:[Vendor - Contract]],$H68,CostTrack[[Holdback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15996.5</v>
      </c>
      <c r="CY68" s="512">
        <f t="shared" ref="CY68:CY69" ca="1" si="57">SUM(CM68:CX68)</f>
        <v>89647</v>
      </c>
      <c r="DA68" s="504">
        <f ca="1">SUMIFS(CostTrack[[Value]:[Value]],CostTrack[[PA ID]:[PA ID]],$B68,CostTrack[[Vendor - Contract]:[Vendor - Contract]],$H68,CostTrack[[Holdback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68" s="504">
        <f ca="1">SUMIFS(CostTrack[[Value]:[Value]],CostTrack[[PA ID]:[PA ID]],$B68,CostTrack[[Vendor - Contract]:[Vendor - Contract]],$H68,CostTrack[[Holdback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15801.76</v>
      </c>
      <c r="DC68" s="504">
        <f ca="1">SUMIFS(CostTrack[[Value]:[Value]],CostTrack[[PA ID]:[PA ID]],$B68,CostTrack[[Vendor - Contract]:[Vendor - Contract]],$H68,CostTrack[[Holdback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7500</v>
      </c>
      <c r="DD68" s="504">
        <f ca="1">SUMIFS(CostTrack[[Value]:[Value]],CostTrack[[PA ID]:[PA ID]],$B68,CostTrack[[Vendor - Contract]:[Vendor - Contract]],$H68,CostTrack[[Holdback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6500</v>
      </c>
      <c r="DE68" s="504">
        <f ca="1">SUMIFS(CostTrack[[Value]:[Value]],CostTrack[[PA ID]:[PA ID]],$B68,CostTrack[[Vendor - Contract]:[Vendor - Contract]],$H68,CostTrack[[Holdback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68" s="504">
        <f ca="1">SUMIFS(CostTrack[[Value]:[Value]],CostTrack[[PA ID]:[PA ID]],$B68,CostTrack[[Vendor - Contract]:[Vendor - Contract]],$H68,CostTrack[[Holdback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9375</v>
      </c>
      <c r="DG68" s="504">
        <f ca="1">SUMIFS(CostTrack[[Value]:[Value]],CostTrack[[PA ID]:[PA ID]],$B68,CostTrack[[Vendor - Contract]:[Vendor - Contract]],$H68,CostTrack[[Holdback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17625</v>
      </c>
      <c r="DH68" s="504">
        <f ca="1">SUMIFS(CostTrack[[Value]:[Value]],CostTrack[[PA ID]:[PA ID]],$B68,CostTrack[[Vendor - Contract]:[Vendor - Contract]],$H68,CostTrack[[Holdback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7750</v>
      </c>
      <c r="DI68" s="504">
        <f ca="1">SUMIFS(CostTrack[[Value]:[Value]],CostTrack[[PA ID]:[PA ID]],$B68,CostTrack[[Vendor - Contract]:[Vendor - Contract]],$H68,CostTrack[[Holdback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19985.7</v>
      </c>
      <c r="DJ68" s="504">
        <f ca="1">SUMIFS(CostTrack[[Value]:[Value]],CostTrack[[PA ID]:[PA ID]],$B68,CostTrack[[Vendor - Contract]:[Vendor - Contract]],$H68,CostTrack[[Holdback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3750</v>
      </c>
      <c r="DK68" s="504">
        <f ca="1">SUMIFS(CostTrack[[Value]:[Value]],CostTrack[[PA ID]:[PA ID]],$B68,CostTrack[[Vendor - Contract]:[Vendor - Contract]],$H68,CostTrack[[Holdback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68" s="504">
        <f ca="1">SUMIFS(CostTrack[[Value]:[Value]],CostTrack[[PA ID]:[PA ID]],$B68,CostTrack[[Vendor - Contract]:[Vendor - Contract]],$H68,CostTrack[[Holdback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18000</v>
      </c>
      <c r="DM68" s="512">
        <f t="shared" ref="DM68:DM69" ca="1" si="58">SUM(DA68:DL68)</f>
        <v>106287.46</v>
      </c>
      <c r="DO68" s="504">
        <f ca="1">SUMIFS(CostTrack[[Value]:[Value]],CostTrack[[PA ID]:[PA ID]],$B68,CostTrack[[Vendor - Contract]:[Vendor - Contract]],$H68,CostTrack[[Holdback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68" s="504">
        <f ca="1">SUMIFS(CostTrack[[Value]:[Value]],CostTrack[[PA ID]:[PA ID]],$B68,CostTrack[[Vendor - Contract]:[Vendor - Contract]],$H68,CostTrack[[Holdback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-1000</v>
      </c>
      <c r="DQ68" s="504">
        <f ca="1">SUMIFS(CostTrack[[Value]:[Value]],CostTrack[[PA ID]:[PA ID]],$B68,CostTrack[[Vendor - Contract]:[Vendor - Contract]],$H68,CostTrack[[Holdback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2500</v>
      </c>
      <c r="DR68" s="504">
        <f ca="1">SUMIFS(CostTrack[[Value]:[Value]],CostTrack[[PA ID]:[PA ID]],$B68,CostTrack[[Vendor - Contract]:[Vendor - Contract]],$H68,CostTrack[[Holdback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68" s="504">
        <f ca="1">SUMIFS(CostTrack[[Value]:[Value]],CostTrack[[PA ID]:[PA ID]],$B68,CostTrack[[Vendor - Contract]:[Vendor - Contract]],$H68,CostTrack[[Holdback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68" s="504">
        <f ca="1">SUMIFS(CostTrack[[Value]:[Value]],CostTrack[[PA ID]:[PA ID]],$B68,CostTrack[[Vendor - Contract]:[Vendor - Contract]],$H68,CostTrack[[Holdback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68" s="504">
        <f ca="1">SUMIFS(CostTrack[[Value]:[Value]],CostTrack[[PA ID]:[PA ID]],$B68,CostTrack[[Vendor - Contract]:[Vendor - Contract]],$H68,CostTrack[[Holdback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68" s="504">
        <f ca="1">SUMIFS(CostTrack[[Value]:[Value]],CostTrack[[PA ID]:[PA ID]],$B68,CostTrack[[Vendor - Contract]:[Vendor - Contract]],$H68,CostTrack[[Holdback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68" s="504">
        <f ca="1">SUMIFS(CostTrack[[Value]:[Value]],CostTrack[[PA ID]:[PA ID]],$B68,CostTrack[[Vendor - Contract]:[Vendor - Contract]],$H68,CostTrack[[Holdback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68" s="504">
        <f ca="1">SUMIFS(CostTrack[[Value]:[Value]],CostTrack[[PA ID]:[PA ID]],$B68,CostTrack[[Vendor - Contract]:[Vendor - Contract]],$H68,CostTrack[[Holdback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68" s="504">
        <f ca="1">SUMIFS(CostTrack[[Value]:[Value]],CostTrack[[PA ID]:[PA ID]],$B68,CostTrack[[Vendor - Contract]:[Vendor - Contract]],$H68,CostTrack[[Holdback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68" s="504">
        <f ca="1">SUMIFS(CostTrack[[Value]:[Value]],CostTrack[[PA ID]:[PA ID]],$B68,CostTrack[[Vendor - Contract]:[Vendor - Contract]],$H68,CostTrack[[Holdback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68" s="512">
        <f t="shared" ref="EA68:EA69" ca="1" si="59">SUM(DO68:DZ68)</f>
        <v>1500</v>
      </c>
      <c r="EC68" s="504">
        <f ca="1">SUMIFS(CostTrack[[Value]:[Value]],CostTrack[[PA ID]:[PA ID]],$B68,CostTrack[[Vendor - Contract]:[Vendor - Contract]],$H68,CostTrack[[Holdback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68" s="505"/>
      <c r="EE68" s="505"/>
      <c r="EF68" s="505"/>
      <c r="EG68" s="505"/>
      <c r="EH68" s="505"/>
      <c r="EI68" s="505"/>
      <c r="EJ68" s="505"/>
      <c r="EK68" s="505"/>
      <c r="EL68" s="505"/>
      <c r="EM68" s="505"/>
      <c r="EN68" s="505"/>
      <c r="EO68" s="512">
        <f t="shared" ref="EO68:EO69" ca="1" si="60">SUM(EC68:EN68)</f>
        <v>0</v>
      </c>
      <c r="EQ68" s="505"/>
      <c r="ER68" s="505"/>
      <c r="ES68" s="505"/>
      <c r="ET68" s="505"/>
      <c r="EU68" s="505"/>
      <c r="EV68" s="505"/>
      <c r="EW68" s="505"/>
      <c r="EX68" s="505"/>
      <c r="EY68" s="505"/>
      <c r="EZ68" s="505"/>
      <c r="FA68" s="505"/>
      <c r="FB68" s="505"/>
      <c r="FC68" s="512">
        <f t="shared" ref="FC68:FC69" si="61">SUM(EQ68:FB68)</f>
        <v>0</v>
      </c>
      <c r="FE68" s="505"/>
      <c r="FF68" s="505"/>
      <c r="FG68" s="505"/>
      <c r="FH68" s="505"/>
      <c r="FI68" s="505"/>
      <c r="FJ68" s="505"/>
      <c r="FK68" s="505"/>
      <c r="FL68" s="505"/>
      <c r="FM68" s="505"/>
      <c r="FN68" s="505"/>
      <c r="FO68" s="505"/>
      <c r="FP68" s="505"/>
      <c r="FQ68" s="512">
        <f t="shared" ref="FQ68:FQ69" si="62">SUM(FE68:FP68)</f>
        <v>0</v>
      </c>
      <c r="FS68" s="504">
        <f t="shared" ref="FS68:FS69" ca="1" si="63">AG68+AU68+BI68+BW68+CK68+CY68+DM68+EA68+EO68+FC68+FQ68</f>
        <v>250205.72000000003</v>
      </c>
    </row>
    <row r="69" spans="1:175" ht="24" customHeight="1">
      <c r="A69" s="216">
        <v>62</v>
      </c>
      <c r="B69" s="219" t="str">
        <f ca="1">INDEX(EAC[PA ID],MATCH($A69,EAC[Row],0))</f>
        <v>400.020.F1</v>
      </c>
      <c r="C69" s="218" t="str">
        <f ca="1">INDEX(EAC[Primary Category],MATCH($A69,EAC[Row],0))</f>
        <v>FE_IT</v>
      </c>
      <c r="D69" s="218" t="str">
        <f ca="1">INDEX(EAC[Secondary Category],MATCH($A69,EAC[Row],0))</f>
        <v>Information Technology</v>
      </c>
      <c r="E69" s="109" t="str">
        <f ca="1">INDEX(EAC[Phase / Subproject],MATCH($A69,EAC[Row],0))</f>
        <v>--</v>
      </c>
      <c r="F69" s="109" t="str">
        <f ca="1">INDEX(EAC[Phase / Subproject 2],MATCH($A69,EAC[Row],0))</f>
        <v>--</v>
      </c>
      <c r="G69" s="109" t="str">
        <f ca="1">INDEX(EAC[Funding Source],MATCH($A69,EAC[Row],0))</f>
        <v>P-002360</v>
      </c>
      <c r="H69" s="146" t="str">
        <f ca="1">INDEX(EAC[Vendor / Org. with Contract ID],MATCH($A69,EAC[Row],0))</f>
        <v>Compugen- Network Switches-9000032640</v>
      </c>
      <c r="I69" s="502">
        <f ca="1">INDEX(EAC[Estimate At Completion],MATCH($A69,EAC[Row],0))</f>
        <v>2374968.7200000002</v>
      </c>
      <c r="J69" s="502">
        <f ca="1">SUMIFS(CostTrack[Value],CostTrack[Vendor - Contract],$H69,CostTrack[PA ID],$B69,CostTrack[Holdback (Y/N/R)],"&lt;&gt;Release",CostTrack[Status],"Approved")</f>
        <v>2374968.7200000002</v>
      </c>
      <c r="K69" s="503">
        <f t="shared" ca="1" si="14"/>
        <v>0</v>
      </c>
      <c r="M69" s="504">
        <f t="shared" ca="1" si="15"/>
        <v>0</v>
      </c>
      <c r="O69" s="504">
        <f t="shared" ca="1" si="49"/>
        <v>2374968.7199999997</v>
      </c>
      <c r="P69" s="504">
        <f t="array" aca="1" ref="P69" ca="1">SUM($U69:$FQ69*_xlfn.ISFORMULA($U69:$FQ69)*ISNUMBER($U$7:$FQ$7)*--(INDEX($U$6:$FQ$6,N(IF({1},COLUMN($U$6:$FQ$6)-COLUMN($T$6)))-MOD(N(IF({1},COLUMN($U$6:$FQ$6)-COLUMN($U$6))),14))="Current Fiscal"))</f>
        <v>0</v>
      </c>
      <c r="Q69" s="504">
        <f t="array" aca="1" ref="Q69" ca="1">SUM($U69:$FQ69*NOT(_xlfn.ISFORMULA($U69:$FQ69))*ISNUMBER($U$7:$FQ$7)*--(INDEX($U$6:$FQ$6,N(IF({1},COLUMN($U$6:$FQ$6)-COLUMN($T$6)))-MOD(N(IF({1},COLUMN($U$6:$FQ$6)-COLUMN($U$6))),14))="Current Fiscal"))</f>
        <v>0</v>
      </c>
      <c r="R69" s="504">
        <f t="shared" ca="1" si="50"/>
        <v>0</v>
      </c>
      <c r="S69" s="504">
        <f t="shared" ca="1" si="51"/>
        <v>0</v>
      </c>
      <c r="U69" s="504">
        <f ca="1">SUMIFS(CostTrack[[Value]:[Value]],CostTrack[[PA ID]:[PA ID]],$B69,CostTrack[[Vendor - Contract]:[Vendor - Contract]],$H69,CostTrack[[Holdback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69" s="504">
        <f ca="1">SUMIFS(CostTrack[[Value]:[Value]],CostTrack[[PA ID]:[PA ID]],$B69,CostTrack[[Vendor - Contract]:[Vendor - Contract]],$H69,CostTrack[[Holdback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69" s="504">
        <f ca="1">SUMIFS(CostTrack[[Value]:[Value]],CostTrack[[PA ID]:[PA ID]],$B69,CostTrack[[Vendor - Contract]:[Vendor - Contract]],$H69,CostTrack[[Holdback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69" s="504">
        <f ca="1">SUMIFS(CostTrack[[Value]:[Value]],CostTrack[[PA ID]:[PA ID]],$B69,CostTrack[[Vendor - Contract]:[Vendor - Contract]],$H69,CostTrack[[Holdback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69" s="504">
        <f ca="1">SUMIFS(CostTrack[[Value]:[Value]],CostTrack[[PA ID]:[PA ID]],$B69,CostTrack[[Vendor - Contract]:[Vendor - Contract]],$H69,CostTrack[[Holdback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69" s="504">
        <f ca="1">SUMIFS(CostTrack[[Value]:[Value]],CostTrack[[PA ID]:[PA ID]],$B69,CostTrack[[Vendor - Contract]:[Vendor - Contract]],$H69,CostTrack[[Holdback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69" s="504">
        <f ca="1">SUMIFS(CostTrack[[Value]:[Value]],CostTrack[[PA ID]:[PA ID]],$B69,CostTrack[[Vendor - Contract]:[Vendor - Contract]],$H69,CostTrack[[Holdback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69" s="504">
        <f ca="1">SUMIFS(CostTrack[[Value]:[Value]],CostTrack[[PA ID]:[PA ID]],$B69,CostTrack[[Vendor - Contract]:[Vendor - Contract]],$H69,CostTrack[[Holdback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69" s="504">
        <f ca="1">SUMIFS(CostTrack[[Value]:[Value]],CostTrack[[PA ID]:[PA ID]],$B69,CostTrack[[Vendor - Contract]:[Vendor - Contract]],$H69,CostTrack[[Holdback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69" s="504">
        <f ca="1">SUMIFS(CostTrack[[Value]:[Value]],CostTrack[[PA ID]:[PA ID]],$B69,CostTrack[[Vendor - Contract]:[Vendor - Contract]],$H69,CostTrack[[Holdback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69" s="504">
        <f ca="1">SUMIFS(CostTrack[[Value]:[Value]],CostTrack[[PA ID]:[PA ID]],$B69,CostTrack[[Vendor - Contract]:[Vendor - Contract]],$H69,CostTrack[[Holdback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69" s="504">
        <f ca="1">SUMIFS(CostTrack[[Value]:[Value]],CostTrack[[PA ID]:[PA ID]],$B69,CostTrack[[Vendor - Contract]:[Vendor - Contract]],$H69,CostTrack[[Holdback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69" s="506">
        <f t="shared" ca="1" si="52"/>
        <v>0</v>
      </c>
      <c r="AI69" s="504">
        <f ca="1">SUMIFS(CostTrack[[Value]:[Value]],CostTrack[[PA ID]:[PA ID]],$B69,CostTrack[[Vendor - Contract]:[Vendor - Contract]],$H69,CostTrack[[Holdback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69" s="504">
        <f ca="1">SUMIFS(CostTrack[[Value]:[Value]],CostTrack[[PA ID]:[PA ID]],$B69,CostTrack[[Vendor - Contract]:[Vendor - Contract]],$H69,CostTrack[[Holdback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69" s="504">
        <f ca="1">SUMIFS(CostTrack[[Value]:[Value]],CostTrack[[PA ID]:[PA ID]],$B69,CostTrack[[Vendor - Contract]:[Vendor - Contract]],$H69,CostTrack[[Holdback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69" s="504">
        <f ca="1">SUMIFS(CostTrack[[Value]:[Value]],CostTrack[[PA ID]:[PA ID]],$B69,CostTrack[[Vendor - Contract]:[Vendor - Contract]],$H69,CostTrack[[Holdback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69" s="504">
        <f ca="1">SUMIFS(CostTrack[[Value]:[Value]],CostTrack[[PA ID]:[PA ID]],$B69,CostTrack[[Vendor - Contract]:[Vendor - Contract]],$H69,CostTrack[[Holdback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69" s="504">
        <f ca="1">SUMIFS(CostTrack[[Value]:[Value]],CostTrack[[PA ID]:[PA ID]],$B69,CostTrack[[Vendor - Contract]:[Vendor - Contract]],$H69,CostTrack[[Holdback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69" s="504">
        <f ca="1">SUMIFS(CostTrack[[Value]:[Value]],CostTrack[[PA ID]:[PA ID]],$B69,CostTrack[[Vendor - Contract]:[Vendor - Contract]],$H69,CostTrack[[Holdback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69" s="504">
        <f ca="1">SUMIFS(CostTrack[[Value]:[Value]],CostTrack[[PA ID]:[PA ID]],$B69,CostTrack[[Vendor - Contract]:[Vendor - Contract]],$H69,CostTrack[[Holdback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69" s="504">
        <f ca="1">SUMIFS(CostTrack[[Value]:[Value]],CostTrack[[PA ID]:[PA ID]],$B69,CostTrack[[Vendor - Contract]:[Vendor - Contract]],$H69,CostTrack[[Holdback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69" s="504">
        <f ca="1">SUMIFS(CostTrack[[Value]:[Value]],CostTrack[[PA ID]:[PA ID]],$B69,CostTrack[[Vendor - Contract]:[Vendor - Contract]],$H69,CostTrack[[Holdback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69" s="504">
        <f ca="1">SUMIFS(CostTrack[[Value]:[Value]],CostTrack[[PA ID]:[PA ID]],$B69,CostTrack[[Vendor - Contract]:[Vendor - Contract]],$H69,CostTrack[[Holdback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69" s="504">
        <f ca="1">SUMIFS(CostTrack[[Value]:[Value]],CostTrack[[PA ID]:[PA ID]],$B69,CostTrack[[Vendor - Contract]:[Vendor - Contract]],$H69,CostTrack[[Holdback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69" s="512">
        <f t="shared" ca="1" si="53"/>
        <v>0</v>
      </c>
      <c r="AW69" s="504">
        <f ca="1">SUMIFS(CostTrack[[Value]:[Value]],CostTrack[[PA ID]:[PA ID]],$B69,CostTrack[[Vendor - Contract]:[Vendor - Contract]],$H69,CostTrack[[Holdback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69" s="504">
        <f ca="1">SUMIFS(CostTrack[[Value]:[Value]],CostTrack[[PA ID]:[PA ID]],$B69,CostTrack[[Vendor - Contract]:[Vendor - Contract]],$H69,CostTrack[[Holdback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69" s="504">
        <f ca="1">SUMIFS(CostTrack[[Value]:[Value]],CostTrack[[PA ID]:[PA ID]],$B69,CostTrack[[Vendor - Contract]:[Vendor - Contract]],$H69,CostTrack[[Holdback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69" s="504">
        <f ca="1">SUMIFS(CostTrack[[Value]:[Value]],CostTrack[[PA ID]:[PA ID]],$B69,CostTrack[[Vendor - Contract]:[Vendor - Contract]],$H69,CostTrack[[Holdback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69" s="504">
        <f ca="1">SUMIFS(CostTrack[[Value]:[Value]],CostTrack[[PA ID]:[PA ID]],$B69,CostTrack[[Vendor - Contract]:[Vendor - Contract]],$H69,CostTrack[[Holdback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69" s="504">
        <f ca="1">SUMIFS(CostTrack[[Value]:[Value]],CostTrack[[PA ID]:[PA ID]],$B69,CostTrack[[Vendor - Contract]:[Vendor - Contract]],$H69,CostTrack[[Holdback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69" s="504">
        <f ca="1">SUMIFS(CostTrack[[Value]:[Value]],CostTrack[[PA ID]:[PA ID]],$B69,CostTrack[[Vendor - Contract]:[Vendor - Contract]],$H69,CostTrack[[Holdback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69" s="504">
        <f ca="1">SUMIFS(CostTrack[[Value]:[Value]],CostTrack[[PA ID]:[PA ID]],$B69,CostTrack[[Vendor - Contract]:[Vendor - Contract]],$H69,CostTrack[[Holdback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69" s="504">
        <f ca="1">SUMIFS(CostTrack[[Value]:[Value]],CostTrack[[PA ID]:[PA ID]],$B69,CostTrack[[Vendor - Contract]:[Vendor - Contract]],$H69,CostTrack[[Holdback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69" s="504">
        <f ca="1">SUMIFS(CostTrack[[Value]:[Value]],CostTrack[[PA ID]:[PA ID]],$B69,CostTrack[[Vendor - Contract]:[Vendor - Contract]],$H69,CostTrack[[Holdback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69" s="504">
        <f ca="1">SUMIFS(CostTrack[[Value]:[Value]],CostTrack[[PA ID]:[PA ID]],$B69,CostTrack[[Vendor - Contract]:[Vendor - Contract]],$H69,CostTrack[[Holdback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69" s="504">
        <f ca="1">SUMIFS(CostTrack[[Value]:[Value]],CostTrack[[PA ID]:[PA ID]],$B69,CostTrack[[Vendor - Contract]:[Vendor - Contract]],$H69,CostTrack[[Holdback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69" s="512">
        <f t="shared" ca="1" si="54"/>
        <v>0</v>
      </c>
      <c r="BK69" s="504">
        <f ca="1">SUMIFS(CostTrack[[Value]:[Value]],CostTrack[[PA ID]:[PA ID]],$B69,CostTrack[[Vendor - Contract]:[Vendor - Contract]],$H69,CostTrack[[Holdback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69" s="504">
        <f ca="1">SUMIFS(CostTrack[[Value]:[Value]],CostTrack[[PA ID]:[PA ID]],$B69,CostTrack[[Vendor - Contract]:[Vendor - Contract]],$H69,CostTrack[[Holdback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69" s="504">
        <f ca="1">SUMIFS(CostTrack[[Value]:[Value]],CostTrack[[PA ID]:[PA ID]],$B69,CostTrack[[Vendor - Contract]:[Vendor - Contract]],$H69,CostTrack[[Holdback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69" s="504">
        <f ca="1">SUMIFS(CostTrack[[Value]:[Value]],CostTrack[[PA ID]:[PA ID]],$B69,CostTrack[[Vendor - Contract]:[Vendor - Contract]],$H69,CostTrack[[Holdback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69" s="504">
        <f ca="1">SUMIFS(CostTrack[[Value]:[Value]],CostTrack[[PA ID]:[PA ID]],$B69,CostTrack[[Vendor - Contract]:[Vendor - Contract]],$H69,CostTrack[[Holdback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69" s="504">
        <f ca="1">SUMIFS(CostTrack[[Value]:[Value]],CostTrack[[PA ID]:[PA ID]],$B69,CostTrack[[Vendor - Contract]:[Vendor - Contract]],$H69,CostTrack[[Holdback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69" s="504">
        <f ca="1">SUMIFS(CostTrack[[Value]:[Value]],CostTrack[[PA ID]:[PA ID]],$B69,CostTrack[[Vendor - Contract]:[Vendor - Contract]],$H69,CostTrack[[Holdback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69" s="504">
        <f ca="1">SUMIFS(CostTrack[[Value]:[Value]],CostTrack[[PA ID]:[PA ID]],$B69,CostTrack[[Vendor - Contract]:[Vendor - Contract]],$H69,CostTrack[[Holdback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69" s="504">
        <f ca="1">SUMIFS(CostTrack[[Value]:[Value]],CostTrack[[PA ID]:[PA ID]],$B69,CostTrack[[Vendor - Contract]:[Vendor - Contract]],$H69,CostTrack[[Holdback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69" s="504">
        <f ca="1">SUMIFS(CostTrack[[Value]:[Value]],CostTrack[[PA ID]:[PA ID]],$B69,CostTrack[[Vendor - Contract]:[Vendor - Contract]],$H69,CostTrack[[Holdback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69" s="504">
        <f ca="1">SUMIFS(CostTrack[[Value]:[Value]],CostTrack[[PA ID]:[PA ID]],$B69,CostTrack[[Vendor - Contract]:[Vendor - Contract]],$H69,CostTrack[[Holdback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69" s="504">
        <f ca="1">SUMIFS(CostTrack[[Value]:[Value]],CostTrack[[PA ID]:[PA ID]],$B69,CostTrack[[Vendor - Contract]:[Vendor - Contract]],$H69,CostTrack[[Holdback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69" s="512">
        <f t="shared" ca="1" si="55"/>
        <v>0</v>
      </c>
      <c r="BY69" s="504">
        <f ca="1">SUMIFS(CostTrack[[Value]:[Value]],CostTrack[[PA ID]:[PA ID]],$B69,CostTrack[[Vendor - Contract]:[Vendor - Contract]],$H69,CostTrack[[Holdback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69" s="504">
        <f ca="1">SUMIFS(CostTrack[[Value]:[Value]],CostTrack[[PA ID]:[PA ID]],$B69,CostTrack[[Vendor - Contract]:[Vendor - Contract]],$H69,CostTrack[[Holdback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69" s="504">
        <f ca="1">SUMIFS(CostTrack[[Value]:[Value]],CostTrack[[PA ID]:[PA ID]],$B69,CostTrack[[Vendor - Contract]:[Vendor - Contract]],$H69,CostTrack[[Holdback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69" s="504">
        <f ca="1">SUMIFS(CostTrack[[Value]:[Value]],CostTrack[[PA ID]:[PA ID]],$B69,CostTrack[[Vendor - Contract]:[Vendor - Contract]],$H69,CostTrack[[Holdback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69" s="504">
        <f ca="1">SUMIFS(CostTrack[[Value]:[Value]],CostTrack[[PA ID]:[PA ID]],$B69,CostTrack[[Vendor - Contract]:[Vendor - Contract]],$H69,CostTrack[[Holdback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69" s="504">
        <f ca="1">SUMIFS(CostTrack[[Value]:[Value]],CostTrack[[PA ID]:[PA ID]],$B69,CostTrack[[Vendor - Contract]:[Vendor - Contract]],$H69,CostTrack[[Holdback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69" s="504">
        <f ca="1">SUMIFS(CostTrack[[Value]:[Value]],CostTrack[[PA ID]:[PA ID]],$B69,CostTrack[[Vendor - Contract]:[Vendor - Contract]],$H69,CostTrack[[Holdback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69" s="504">
        <f ca="1">SUMIFS(CostTrack[[Value]:[Value]],CostTrack[[PA ID]:[PA ID]],$B69,CostTrack[[Vendor - Contract]:[Vendor - Contract]],$H69,CostTrack[[Holdback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69" s="504">
        <f ca="1">SUMIFS(CostTrack[[Value]:[Value]],CostTrack[[PA ID]:[PA ID]],$B69,CostTrack[[Vendor - Contract]:[Vendor - Contract]],$H69,CostTrack[[Holdback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69" s="504">
        <f ca="1">SUMIFS(CostTrack[[Value]:[Value]],CostTrack[[PA ID]:[PA ID]],$B69,CostTrack[[Vendor - Contract]:[Vendor - Contract]],$H69,CostTrack[[Holdback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69" s="504">
        <f ca="1">SUMIFS(CostTrack[[Value]:[Value]],CostTrack[[PA ID]:[PA ID]],$B69,CostTrack[[Vendor - Contract]:[Vendor - Contract]],$H69,CostTrack[[Holdback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69" s="504">
        <f ca="1">SUMIFS(CostTrack[[Value]:[Value]],CostTrack[[PA ID]:[PA ID]],$B69,CostTrack[[Vendor - Contract]:[Vendor - Contract]],$H69,CostTrack[[Holdback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69" s="512">
        <f t="shared" ca="1" si="56"/>
        <v>0</v>
      </c>
      <c r="CM69" s="504">
        <f ca="1">SUMIFS(CostTrack[[Value]:[Value]],CostTrack[[PA ID]:[PA ID]],$B69,CostTrack[[Vendor - Contract]:[Vendor - Contract]],$H69,CostTrack[[Holdback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69" s="504">
        <f ca="1">SUMIFS(CostTrack[[Value]:[Value]],CostTrack[[PA ID]:[PA ID]],$B69,CostTrack[[Vendor - Contract]:[Vendor - Contract]],$H69,CostTrack[[Holdback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69" s="504">
        <f ca="1">SUMIFS(CostTrack[[Value]:[Value]],CostTrack[[PA ID]:[PA ID]],$B69,CostTrack[[Vendor - Contract]:[Vendor - Contract]],$H69,CostTrack[[Holdback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69" s="504">
        <f ca="1">SUMIFS(CostTrack[[Value]:[Value]],CostTrack[[PA ID]:[PA ID]],$B69,CostTrack[[Vendor - Contract]:[Vendor - Contract]],$H69,CostTrack[[Holdback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69" s="504">
        <f ca="1">SUMIFS(CostTrack[[Value]:[Value]],CostTrack[[PA ID]:[PA ID]],$B69,CostTrack[[Vendor - Contract]:[Vendor - Contract]],$H69,CostTrack[[Holdback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69" s="504">
        <f ca="1">SUMIFS(CostTrack[[Value]:[Value]],CostTrack[[PA ID]:[PA ID]],$B69,CostTrack[[Vendor - Contract]:[Vendor - Contract]],$H69,CostTrack[[Holdback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69" s="504">
        <f ca="1">SUMIFS(CostTrack[[Value]:[Value]],CostTrack[[PA ID]:[PA ID]],$B69,CostTrack[[Vendor - Contract]:[Vendor - Contract]],$H69,CostTrack[[Holdback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600475.38</v>
      </c>
      <c r="CT69" s="504">
        <f ca="1">SUMIFS(CostTrack[[Value]:[Value]],CostTrack[[PA ID]:[PA ID]],$B69,CostTrack[[Vendor - Contract]:[Vendor - Contract]],$H69,CostTrack[[Holdback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4788.1399999999994</v>
      </c>
      <c r="CU69" s="504">
        <f ca="1">SUMIFS(CostTrack[[Value]:[Value]],CostTrack[[PA ID]:[PA ID]],$B69,CostTrack[[Vendor - Contract]:[Vendor - Contract]],$H69,CostTrack[[Holdback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747522.34</v>
      </c>
      <c r="CV69" s="504">
        <f ca="1">SUMIFS(CostTrack[[Value]:[Value]],CostTrack[[PA ID]:[PA ID]],$B69,CostTrack[[Vendor - Contract]:[Vendor - Contract]],$H69,CostTrack[[Holdback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69" s="504">
        <f ca="1">SUMIFS(CostTrack[[Value]:[Value]],CostTrack[[PA ID]:[PA ID]],$B69,CostTrack[[Vendor - Contract]:[Vendor - Contract]],$H69,CostTrack[[Holdback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146020.4</v>
      </c>
      <c r="CX69" s="504">
        <f ca="1">SUMIFS(CostTrack[[Value]:[Value]],CostTrack[[PA ID]:[PA ID]],$B69,CostTrack[[Vendor - Contract]:[Vendor - Contract]],$H69,CostTrack[[Holdback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876162.46000000008</v>
      </c>
      <c r="CY69" s="512">
        <f t="shared" ca="1" si="57"/>
        <v>2374968.7199999997</v>
      </c>
      <c r="DA69" s="504">
        <f ca="1">SUMIFS(CostTrack[[Value]:[Value]],CostTrack[[PA ID]:[PA ID]],$B69,CostTrack[[Vendor - Contract]:[Vendor - Contract]],$H69,CostTrack[[Holdback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69" s="504">
        <f ca="1">SUMIFS(CostTrack[[Value]:[Value]],CostTrack[[PA ID]:[PA ID]],$B69,CostTrack[[Vendor - Contract]:[Vendor - Contract]],$H69,CostTrack[[Holdback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69" s="504">
        <f ca="1">SUMIFS(CostTrack[[Value]:[Value]],CostTrack[[PA ID]:[PA ID]],$B69,CostTrack[[Vendor - Contract]:[Vendor - Contract]],$H69,CostTrack[[Holdback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69" s="504">
        <f ca="1">SUMIFS(CostTrack[[Value]:[Value]],CostTrack[[PA ID]:[PA ID]],$B69,CostTrack[[Vendor - Contract]:[Vendor - Contract]],$H69,CostTrack[[Holdback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69" s="504">
        <f ca="1">SUMIFS(CostTrack[[Value]:[Value]],CostTrack[[PA ID]:[PA ID]],$B69,CostTrack[[Vendor - Contract]:[Vendor - Contract]],$H69,CostTrack[[Holdback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69" s="504">
        <f ca="1">SUMIFS(CostTrack[[Value]:[Value]],CostTrack[[PA ID]:[PA ID]],$B69,CostTrack[[Vendor - Contract]:[Vendor - Contract]],$H69,CostTrack[[Holdback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69" s="504">
        <f ca="1">SUMIFS(CostTrack[[Value]:[Value]],CostTrack[[PA ID]:[PA ID]],$B69,CostTrack[[Vendor - Contract]:[Vendor - Contract]],$H69,CostTrack[[Holdback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69" s="504">
        <f ca="1">SUMIFS(CostTrack[[Value]:[Value]],CostTrack[[PA ID]:[PA ID]],$B69,CostTrack[[Vendor - Contract]:[Vendor - Contract]],$H69,CostTrack[[Holdback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69" s="504">
        <f ca="1">SUMIFS(CostTrack[[Value]:[Value]],CostTrack[[PA ID]:[PA ID]],$B69,CostTrack[[Vendor - Contract]:[Vendor - Contract]],$H69,CostTrack[[Holdback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69" s="504">
        <f ca="1">SUMIFS(CostTrack[[Value]:[Value]],CostTrack[[PA ID]:[PA ID]],$B69,CostTrack[[Vendor - Contract]:[Vendor - Contract]],$H69,CostTrack[[Holdback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69" s="504">
        <f ca="1">SUMIFS(CostTrack[[Value]:[Value]],CostTrack[[PA ID]:[PA ID]],$B69,CostTrack[[Vendor - Contract]:[Vendor - Contract]],$H69,CostTrack[[Holdback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69" s="504">
        <f ca="1">SUMIFS(CostTrack[[Value]:[Value]],CostTrack[[PA ID]:[PA ID]],$B69,CostTrack[[Vendor - Contract]:[Vendor - Contract]],$H69,CostTrack[[Holdback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69" s="512">
        <f t="shared" ca="1" si="58"/>
        <v>0</v>
      </c>
      <c r="DO69" s="504">
        <f ca="1">SUMIFS(CostTrack[[Value]:[Value]],CostTrack[[PA ID]:[PA ID]],$B69,CostTrack[[Vendor - Contract]:[Vendor - Contract]],$H69,CostTrack[[Holdback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69" s="504">
        <f ca="1">SUMIFS(CostTrack[[Value]:[Value]],CostTrack[[PA ID]:[PA ID]],$B69,CostTrack[[Vendor - Contract]:[Vendor - Contract]],$H69,CostTrack[[Holdback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69" s="504">
        <f ca="1">SUMIFS(CostTrack[[Value]:[Value]],CostTrack[[PA ID]:[PA ID]],$B69,CostTrack[[Vendor - Contract]:[Vendor - Contract]],$H69,CostTrack[[Holdback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69" s="504">
        <f ca="1">SUMIFS(CostTrack[[Value]:[Value]],CostTrack[[PA ID]:[PA ID]],$B69,CostTrack[[Vendor - Contract]:[Vendor - Contract]],$H69,CostTrack[[Holdback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69" s="504">
        <f ca="1">SUMIFS(CostTrack[[Value]:[Value]],CostTrack[[PA ID]:[PA ID]],$B69,CostTrack[[Vendor - Contract]:[Vendor - Contract]],$H69,CostTrack[[Holdback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69" s="504">
        <f ca="1">SUMIFS(CostTrack[[Value]:[Value]],CostTrack[[PA ID]:[PA ID]],$B69,CostTrack[[Vendor - Contract]:[Vendor - Contract]],$H69,CostTrack[[Holdback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69" s="504">
        <f ca="1">SUMIFS(CostTrack[[Value]:[Value]],CostTrack[[PA ID]:[PA ID]],$B69,CostTrack[[Vendor - Contract]:[Vendor - Contract]],$H69,CostTrack[[Holdback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69" s="504">
        <f ca="1">SUMIFS(CostTrack[[Value]:[Value]],CostTrack[[PA ID]:[PA ID]],$B69,CostTrack[[Vendor - Contract]:[Vendor - Contract]],$H69,CostTrack[[Holdback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69" s="504">
        <f ca="1">SUMIFS(CostTrack[[Value]:[Value]],CostTrack[[PA ID]:[PA ID]],$B69,CostTrack[[Vendor - Contract]:[Vendor - Contract]],$H69,CostTrack[[Holdback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69" s="504">
        <f ca="1">SUMIFS(CostTrack[[Value]:[Value]],CostTrack[[PA ID]:[PA ID]],$B69,CostTrack[[Vendor - Contract]:[Vendor - Contract]],$H69,CostTrack[[Holdback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69" s="504">
        <f ca="1">SUMIFS(CostTrack[[Value]:[Value]],CostTrack[[PA ID]:[PA ID]],$B69,CostTrack[[Vendor - Contract]:[Vendor - Contract]],$H69,CostTrack[[Holdback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69" s="504">
        <f ca="1">SUMIFS(CostTrack[[Value]:[Value]],CostTrack[[PA ID]:[PA ID]],$B69,CostTrack[[Vendor - Contract]:[Vendor - Contract]],$H69,CostTrack[[Holdback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69" s="512">
        <f t="shared" ca="1" si="59"/>
        <v>0</v>
      </c>
      <c r="EC69" s="504">
        <f ca="1">SUMIFS(CostTrack[[Value]:[Value]],CostTrack[[PA ID]:[PA ID]],$B69,CostTrack[[Vendor - Contract]:[Vendor - Contract]],$H69,CostTrack[[Holdback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69" s="505"/>
      <c r="EE69" s="505"/>
      <c r="EF69" s="505"/>
      <c r="EG69" s="505"/>
      <c r="EH69" s="505"/>
      <c r="EI69" s="505"/>
      <c r="EJ69" s="505"/>
      <c r="EK69" s="505"/>
      <c r="EL69" s="505"/>
      <c r="EM69" s="505"/>
      <c r="EN69" s="505"/>
      <c r="EO69" s="512">
        <f t="shared" ca="1" si="60"/>
        <v>0</v>
      </c>
      <c r="EQ69" s="505"/>
      <c r="ER69" s="505"/>
      <c r="ES69" s="505"/>
      <c r="ET69" s="505"/>
      <c r="EU69" s="505"/>
      <c r="EV69" s="505"/>
      <c r="EW69" s="505"/>
      <c r="EX69" s="505"/>
      <c r="EY69" s="505"/>
      <c r="EZ69" s="505"/>
      <c r="FA69" s="505"/>
      <c r="FB69" s="505"/>
      <c r="FC69" s="512">
        <f t="shared" si="61"/>
        <v>0</v>
      </c>
      <c r="FE69" s="505"/>
      <c r="FF69" s="505"/>
      <c r="FG69" s="505"/>
      <c r="FH69" s="505"/>
      <c r="FI69" s="505"/>
      <c r="FJ69" s="505"/>
      <c r="FK69" s="505"/>
      <c r="FL69" s="505"/>
      <c r="FM69" s="505"/>
      <c r="FN69" s="505"/>
      <c r="FO69" s="505"/>
      <c r="FP69" s="505"/>
      <c r="FQ69" s="512">
        <f t="shared" si="62"/>
        <v>0</v>
      </c>
      <c r="FS69" s="504">
        <f t="shared" ca="1" si="63"/>
        <v>2374968.7199999997</v>
      </c>
    </row>
    <row r="70" spans="1:175" ht="24" customHeight="1">
      <c r="A70" s="216">
        <v>63</v>
      </c>
      <c r="B70" s="219" t="str">
        <f ca="1">INDEX(EAC[PA ID],MATCH($A70,EAC[Row],0))</f>
        <v>100.040.F1</v>
      </c>
      <c r="C70" s="218" t="str">
        <f ca="1">INDEX(EAC[Primary Category],MATCH($A70,EAC[Row],0))</f>
        <v>Administration</v>
      </c>
      <c r="D70" s="218" t="str">
        <f ca="1">INDEX(EAC[Secondary Category],MATCH($A70,EAC[Row],0))</f>
        <v>Accrual Write Off</v>
      </c>
      <c r="E70" s="109" t="str">
        <f ca="1">INDEX(EAC[Phase / Subproject],MATCH($A70,EAC[Row],0))</f>
        <v>--</v>
      </c>
      <c r="F70" s="109" t="str">
        <f ca="1">INDEX(EAC[Phase / Subproject 2],MATCH($A70,EAC[Row],0))</f>
        <v>--</v>
      </c>
      <c r="G70" s="109" t="str">
        <f ca="1">INDEX(EAC[Funding Source],MATCH($A70,EAC[Row],0))</f>
        <v>P-002360</v>
      </c>
      <c r="H70" s="146" t="str">
        <f ca="1">INDEX(EAC[Vendor / Org. with Contract ID],MATCH($A70,EAC[Row],0))</f>
        <v>Accrual Write Off-Clearing-Direct Pay</v>
      </c>
      <c r="I70" s="502">
        <f ca="1">INDEX(EAC[Estimate At Completion],MATCH($A70,EAC[Row],0))</f>
        <v>122405.05</v>
      </c>
      <c r="J70" s="502">
        <f ca="1">SUMIFS(CostTrack[Value],CostTrack[Vendor - Contract],$H70,CostTrack[PA ID],$B70,CostTrack[Holdback (Y/N/R)],"&lt;&gt;Release",CostTrack[Status],"Approved")</f>
        <v>122405.05</v>
      </c>
      <c r="K70" s="503">
        <f t="shared" ca="1" si="14"/>
        <v>0</v>
      </c>
      <c r="M70" s="504">
        <f t="shared" ca="1" si="15"/>
        <v>0</v>
      </c>
      <c r="O70" s="504">
        <f t="shared" ca="1" si="49"/>
        <v>1263</v>
      </c>
      <c r="P70" s="504">
        <f t="array" aca="1" ref="P70" ca="1">SUM($U70:$FQ70*_xlfn.ISFORMULA($U70:$FQ70)*ISNUMBER($U$7:$FQ$7)*--(INDEX($U$6:$FQ$6,N(IF({1},COLUMN($U$6:$FQ$6)-COLUMN($T$6)))-MOD(N(IF({1},COLUMN($U$6:$FQ$6)-COLUMN($U$6))),14))="Current Fiscal"))</f>
        <v>0</v>
      </c>
      <c r="Q70" s="504">
        <f t="array" aca="1" ref="Q70" ca="1">SUM($U70:$FQ70*NOT(_xlfn.ISFORMULA($U70:$FQ70))*ISNUMBER($U$7:$FQ$7)*--(INDEX($U$6:$FQ$6,N(IF({1},COLUMN($U$6:$FQ$6)-COLUMN($T$6)))-MOD(N(IF({1},COLUMN($U$6:$FQ$6)-COLUMN($U$6))),14))="Current Fiscal"))</f>
        <v>121142.05</v>
      </c>
      <c r="R70" s="504">
        <f t="shared" ca="1" si="50"/>
        <v>121142.05</v>
      </c>
      <c r="S70" s="504">
        <f t="shared" ca="1" si="51"/>
        <v>0</v>
      </c>
      <c r="U70" s="504">
        <f ca="1">SUMIFS(CostTrack[[Value]:[Value]],CostTrack[[PA ID]:[PA ID]],$B70,CostTrack[[Vendor - Contract]:[Vendor - Contract]],$H70,CostTrack[[Holdback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70" s="504">
        <f ca="1">SUMIFS(CostTrack[[Value]:[Value]],CostTrack[[PA ID]:[PA ID]],$B70,CostTrack[[Vendor - Contract]:[Vendor - Contract]],$H70,CostTrack[[Holdback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70" s="504">
        <f ca="1">SUMIFS(CostTrack[[Value]:[Value]],CostTrack[[PA ID]:[PA ID]],$B70,CostTrack[[Vendor - Contract]:[Vendor - Contract]],$H70,CostTrack[[Holdback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70" s="504">
        <f ca="1">SUMIFS(CostTrack[[Value]:[Value]],CostTrack[[PA ID]:[PA ID]],$B70,CostTrack[[Vendor - Contract]:[Vendor - Contract]],$H70,CostTrack[[Holdback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70" s="504">
        <f ca="1">SUMIFS(CostTrack[[Value]:[Value]],CostTrack[[PA ID]:[PA ID]],$B70,CostTrack[[Vendor - Contract]:[Vendor - Contract]],$H70,CostTrack[[Holdback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70" s="504">
        <f ca="1">SUMIFS(CostTrack[[Value]:[Value]],CostTrack[[PA ID]:[PA ID]],$B70,CostTrack[[Vendor - Contract]:[Vendor - Contract]],$H70,CostTrack[[Holdback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70" s="504">
        <f ca="1">SUMIFS(CostTrack[[Value]:[Value]],CostTrack[[PA ID]:[PA ID]],$B70,CostTrack[[Vendor - Contract]:[Vendor - Contract]],$H70,CostTrack[[Holdback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70" s="504">
        <f ca="1">SUMIFS(CostTrack[[Value]:[Value]],CostTrack[[PA ID]:[PA ID]],$B70,CostTrack[[Vendor - Contract]:[Vendor - Contract]],$H70,CostTrack[[Holdback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70" s="504">
        <f ca="1">SUMIFS(CostTrack[[Value]:[Value]],CostTrack[[PA ID]:[PA ID]],$B70,CostTrack[[Vendor - Contract]:[Vendor - Contract]],$H70,CostTrack[[Holdback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70" s="504">
        <f ca="1">SUMIFS(CostTrack[[Value]:[Value]],CostTrack[[PA ID]:[PA ID]],$B70,CostTrack[[Vendor - Contract]:[Vendor - Contract]],$H70,CostTrack[[Holdback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70" s="504">
        <f ca="1">SUMIFS(CostTrack[[Value]:[Value]],CostTrack[[PA ID]:[PA ID]],$B70,CostTrack[[Vendor - Contract]:[Vendor - Contract]],$H70,CostTrack[[Holdback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70" s="504">
        <f ca="1">SUMIFS(CostTrack[[Value]:[Value]],CostTrack[[PA ID]:[PA ID]],$B70,CostTrack[[Vendor - Contract]:[Vendor - Contract]],$H70,CostTrack[[Holdback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70" s="506">
        <f t="shared" ca="1" si="52"/>
        <v>0</v>
      </c>
      <c r="AI70" s="504">
        <f ca="1">SUMIFS(CostTrack[[Value]:[Value]],CostTrack[[PA ID]:[PA ID]],$B70,CostTrack[[Vendor - Contract]:[Vendor - Contract]],$H70,CostTrack[[Holdback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70" s="504">
        <f ca="1">SUMIFS(CostTrack[[Value]:[Value]],CostTrack[[PA ID]:[PA ID]],$B70,CostTrack[[Vendor - Contract]:[Vendor - Contract]],$H70,CostTrack[[Holdback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70" s="504">
        <f ca="1">SUMIFS(CostTrack[[Value]:[Value]],CostTrack[[PA ID]:[PA ID]],$B70,CostTrack[[Vendor - Contract]:[Vendor - Contract]],$H70,CostTrack[[Holdback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70" s="504">
        <f ca="1">SUMIFS(CostTrack[[Value]:[Value]],CostTrack[[PA ID]:[PA ID]],$B70,CostTrack[[Vendor - Contract]:[Vendor - Contract]],$H70,CostTrack[[Holdback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70" s="504">
        <f ca="1">SUMIFS(CostTrack[[Value]:[Value]],CostTrack[[PA ID]:[PA ID]],$B70,CostTrack[[Vendor - Contract]:[Vendor - Contract]],$H70,CostTrack[[Holdback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70" s="504">
        <f ca="1">SUMIFS(CostTrack[[Value]:[Value]],CostTrack[[PA ID]:[PA ID]],$B70,CostTrack[[Vendor - Contract]:[Vendor - Contract]],$H70,CostTrack[[Holdback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70" s="504">
        <f ca="1">SUMIFS(CostTrack[[Value]:[Value]],CostTrack[[PA ID]:[PA ID]],$B70,CostTrack[[Vendor - Contract]:[Vendor - Contract]],$H70,CostTrack[[Holdback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70" s="504">
        <f ca="1">SUMIFS(CostTrack[[Value]:[Value]],CostTrack[[PA ID]:[PA ID]],$B70,CostTrack[[Vendor - Contract]:[Vendor - Contract]],$H70,CostTrack[[Holdback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70" s="504">
        <f ca="1">SUMIFS(CostTrack[[Value]:[Value]],CostTrack[[PA ID]:[PA ID]],$B70,CostTrack[[Vendor - Contract]:[Vendor - Contract]],$H70,CostTrack[[Holdback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70" s="504">
        <f ca="1">SUMIFS(CostTrack[[Value]:[Value]],CostTrack[[PA ID]:[PA ID]],$B70,CostTrack[[Vendor - Contract]:[Vendor - Contract]],$H70,CostTrack[[Holdback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70" s="504">
        <f ca="1">SUMIFS(CostTrack[[Value]:[Value]],CostTrack[[PA ID]:[PA ID]],$B70,CostTrack[[Vendor - Contract]:[Vendor - Contract]],$H70,CostTrack[[Holdback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70" s="504">
        <f ca="1">SUMIFS(CostTrack[[Value]:[Value]],CostTrack[[PA ID]:[PA ID]],$B70,CostTrack[[Vendor - Contract]:[Vendor - Contract]],$H70,CostTrack[[Holdback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70" s="512">
        <f t="shared" ref="AU70" ca="1" si="64">SUM(AI70:AT70)</f>
        <v>0</v>
      </c>
      <c r="AW70" s="504">
        <f ca="1">SUMIFS(CostTrack[[Value]:[Value]],CostTrack[[PA ID]:[PA ID]],$B70,CostTrack[[Vendor - Contract]:[Vendor - Contract]],$H70,CostTrack[[Holdback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70" s="504">
        <f ca="1">SUMIFS(CostTrack[[Value]:[Value]],CostTrack[[PA ID]:[PA ID]],$B70,CostTrack[[Vendor - Contract]:[Vendor - Contract]],$H70,CostTrack[[Holdback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70" s="504">
        <f ca="1">SUMIFS(CostTrack[[Value]:[Value]],CostTrack[[PA ID]:[PA ID]],$B70,CostTrack[[Vendor - Contract]:[Vendor - Contract]],$H70,CostTrack[[Holdback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70" s="504">
        <f ca="1">SUMIFS(CostTrack[[Value]:[Value]],CostTrack[[PA ID]:[PA ID]],$B70,CostTrack[[Vendor - Contract]:[Vendor - Contract]],$H70,CostTrack[[Holdback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70" s="504">
        <f ca="1">SUMIFS(CostTrack[[Value]:[Value]],CostTrack[[PA ID]:[PA ID]],$B70,CostTrack[[Vendor - Contract]:[Vendor - Contract]],$H70,CostTrack[[Holdback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70" s="504">
        <f ca="1">SUMIFS(CostTrack[[Value]:[Value]],CostTrack[[PA ID]:[PA ID]],$B70,CostTrack[[Vendor - Contract]:[Vendor - Contract]],$H70,CostTrack[[Holdback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70" s="504">
        <f ca="1">SUMIFS(CostTrack[[Value]:[Value]],CostTrack[[PA ID]:[PA ID]],$B70,CostTrack[[Vendor - Contract]:[Vendor - Contract]],$H70,CostTrack[[Holdback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70" s="504">
        <f ca="1">SUMIFS(CostTrack[[Value]:[Value]],CostTrack[[PA ID]:[PA ID]],$B70,CostTrack[[Vendor - Contract]:[Vendor - Contract]],$H70,CostTrack[[Holdback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70" s="504">
        <f ca="1">SUMIFS(CostTrack[[Value]:[Value]],CostTrack[[PA ID]:[PA ID]],$B70,CostTrack[[Vendor - Contract]:[Vendor - Contract]],$H70,CostTrack[[Holdback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70" s="504">
        <f ca="1">SUMIFS(CostTrack[[Value]:[Value]],CostTrack[[PA ID]:[PA ID]],$B70,CostTrack[[Vendor - Contract]:[Vendor - Contract]],$H70,CostTrack[[Holdback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70" s="504">
        <f ca="1">SUMIFS(CostTrack[[Value]:[Value]],CostTrack[[PA ID]:[PA ID]],$B70,CostTrack[[Vendor - Contract]:[Vendor - Contract]],$H70,CostTrack[[Holdback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70" s="504">
        <f ca="1">SUMIFS(CostTrack[[Value]:[Value]],CostTrack[[PA ID]:[PA ID]],$B70,CostTrack[[Vendor - Contract]:[Vendor - Contract]],$H70,CostTrack[[Holdback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70" s="512">
        <f t="shared" ref="BI70" ca="1" si="65">SUM(AW70:BH70)</f>
        <v>0</v>
      </c>
      <c r="BK70" s="504">
        <f ca="1">SUMIFS(CostTrack[[Value]:[Value]],CostTrack[[PA ID]:[PA ID]],$B70,CostTrack[[Vendor - Contract]:[Vendor - Contract]],$H70,CostTrack[[Holdback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70" s="504">
        <f ca="1">SUMIFS(CostTrack[[Value]:[Value]],CostTrack[[PA ID]:[PA ID]],$B70,CostTrack[[Vendor - Contract]:[Vendor - Contract]],$H70,CostTrack[[Holdback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70" s="504">
        <f ca="1">SUMIFS(CostTrack[[Value]:[Value]],CostTrack[[PA ID]:[PA ID]],$B70,CostTrack[[Vendor - Contract]:[Vendor - Contract]],$H70,CostTrack[[Holdback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70" s="504">
        <f ca="1">SUMIFS(CostTrack[[Value]:[Value]],CostTrack[[PA ID]:[PA ID]],$B70,CostTrack[[Vendor - Contract]:[Vendor - Contract]],$H70,CostTrack[[Holdback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70" s="504">
        <f ca="1">SUMIFS(CostTrack[[Value]:[Value]],CostTrack[[PA ID]:[PA ID]],$B70,CostTrack[[Vendor - Contract]:[Vendor - Contract]],$H70,CostTrack[[Holdback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70" s="504">
        <f ca="1">SUMIFS(CostTrack[[Value]:[Value]],CostTrack[[PA ID]:[PA ID]],$B70,CostTrack[[Vendor - Contract]:[Vendor - Contract]],$H70,CostTrack[[Holdback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70" s="504">
        <f ca="1">SUMIFS(CostTrack[[Value]:[Value]],CostTrack[[PA ID]:[PA ID]],$B70,CostTrack[[Vendor - Contract]:[Vendor - Contract]],$H70,CostTrack[[Holdback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70" s="504">
        <f ca="1">SUMIFS(CostTrack[[Value]:[Value]],CostTrack[[PA ID]:[PA ID]],$B70,CostTrack[[Vendor - Contract]:[Vendor - Contract]],$H70,CostTrack[[Holdback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70" s="504">
        <f ca="1">SUMIFS(CostTrack[[Value]:[Value]],CostTrack[[PA ID]:[PA ID]],$B70,CostTrack[[Vendor - Contract]:[Vendor - Contract]],$H70,CostTrack[[Holdback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70" s="504">
        <f ca="1">SUMIFS(CostTrack[[Value]:[Value]],CostTrack[[PA ID]:[PA ID]],$B70,CostTrack[[Vendor - Contract]:[Vendor - Contract]],$H70,CostTrack[[Holdback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70" s="504">
        <f ca="1">SUMIFS(CostTrack[[Value]:[Value]],CostTrack[[PA ID]:[PA ID]],$B70,CostTrack[[Vendor - Contract]:[Vendor - Contract]],$H70,CostTrack[[Holdback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70" s="504">
        <f ca="1">SUMIFS(CostTrack[[Value]:[Value]],CostTrack[[PA ID]:[PA ID]],$B70,CostTrack[[Vendor - Contract]:[Vendor - Contract]],$H70,CostTrack[[Holdback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70" s="512">
        <f t="shared" ref="BW70" ca="1" si="66">SUM(BK70:BV70)</f>
        <v>0</v>
      </c>
      <c r="BY70" s="504">
        <f ca="1">SUMIFS(CostTrack[[Value]:[Value]],CostTrack[[PA ID]:[PA ID]],$B70,CostTrack[[Vendor - Contract]:[Vendor - Contract]],$H70,CostTrack[[Holdback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70" s="504">
        <f ca="1">SUMIFS(CostTrack[[Value]:[Value]],CostTrack[[PA ID]:[PA ID]],$B70,CostTrack[[Vendor - Contract]:[Vendor - Contract]],$H70,CostTrack[[Holdback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70" s="504">
        <f ca="1">SUMIFS(CostTrack[[Value]:[Value]],CostTrack[[PA ID]:[PA ID]],$B70,CostTrack[[Vendor - Contract]:[Vendor - Contract]],$H70,CostTrack[[Holdback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70" s="504">
        <f ca="1">SUMIFS(CostTrack[[Value]:[Value]],CostTrack[[PA ID]:[PA ID]],$B70,CostTrack[[Vendor - Contract]:[Vendor - Contract]],$H70,CostTrack[[Holdback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70" s="504">
        <f ca="1">SUMIFS(CostTrack[[Value]:[Value]],CostTrack[[PA ID]:[PA ID]],$B70,CostTrack[[Vendor - Contract]:[Vendor - Contract]],$H70,CostTrack[[Holdback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70" s="504">
        <f ca="1">SUMIFS(CostTrack[[Value]:[Value]],CostTrack[[PA ID]:[PA ID]],$B70,CostTrack[[Vendor - Contract]:[Vendor - Contract]],$H70,CostTrack[[Holdback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70" s="504">
        <f ca="1">SUMIFS(CostTrack[[Value]:[Value]],CostTrack[[PA ID]:[PA ID]],$B70,CostTrack[[Vendor - Contract]:[Vendor - Contract]],$H70,CostTrack[[Holdback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70" s="504">
        <f ca="1">SUMIFS(CostTrack[[Value]:[Value]],CostTrack[[PA ID]:[PA ID]],$B70,CostTrack[[Vendor - Contract]:[Vendor - Contract]],$H70,CostTrack[[Holdback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70" s="504">
        <f ca="1">SUMIFS(CostTrack[[Value]:[Value]],CostTrack[[PA ID]:[PA ID]],$B70,CostTrack[[Vendor - Contract]:[Vendor - Contract]],$H70,CostTrack[[Holdback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70" s="504">
        <f ca="1">SUMIFS(CostTrack[[Value]:[Value]],CostTrack[[PA ID]:[PA ID]],$B70,CostTrack[[Vendor - Contract]:[Vendor - Contract]],$H70,CostTrack[[Holdback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70" s="504">
        <f ca="1">SUMIFS(CostTrack[[Value]:[Value]],CostTrack[[PA ID]:[PA ID]],$B70,CostTrack[[Vendor - Contract]:[Vendor - Contract]],$H70,CostTrack[[Holdback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70" s="504">
        <f ca="1">SUMIFS(CostTrack[[Value]:[Value]],CostTrack[[PA ID]:[PA ID]],$B70,CostTrack[[Vendor - Contract]:[Vendor - Contract]],$H70,CostTrack[[Holdback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70" s="512">
        <f t="shared" ref="CK70" ca="1" si="67">SUM(BY70:CJ70)</f>
        <v>0</v>
      </c>
      <c r="CM70" s="504">
        <f ca="1">SUMIFS(CostTrack[[Value]:[Value]],CostTrack[[PA ID]:[PA ID]],$B70,CostTrack[[Vendor - Contract]:[Vendor - Contract]],$H70,CostTrack[[Holdback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70" s="504">
        <f ca="1">SUMIFS(CostTrack[[Value]:[Value]],CostTrack[[PA ID]:[PA ID]],$B70,CostTrack[[Vendor - Contract]:[Vendor - Contract]],$H70,CostTrack[[Holdback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1263</v>
      </c>
      <c r="CO70" s="504">
        <f ca="1">SUMIFS(CostTrack[[Value]:[Value]],CostTrack[[PA ID]:[PA ID]],$B70,CostTrack[[Vendor - Contract]:[Vendor - Contract]],$H70,CostTrack[[Holdback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70" s="504">
        <f ca="1">SUMIFS(CostTrack[[Value]:[Value]],CostTrack[[PA ID]:[PA ID]],$B70,CostTrack[[Vendor - Contract]:[Vendor - Contract]],$H70,CostTrack[[Holdback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70" s="504">
        <f ca="1">SUMIFS(CostTrack[[Value]:[Value]],CostTrack[[PA ID]:[PA ID]],$B70,CostTrack[[Vendor - Contract]:[Vendor - Contract]],$H70,CostTrack[[Holdback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70" s="504">
        <f ca="1">SUMIFS(CostTrack[[Value]:[Value]],CostTrack[[PA ID]:[PA ID]],$B70,CostTrack[[Vendor - Contract]:[Vendor - Contract]],$H70,CostTrack[[Holdback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70" s="504">
        <f ca="1">SUMIFS(CostTrack[[Value]:[Value]],CostTrack[[PA ID]:[PA ID]],$B70,CostTrack[[Vendor - Contract]:[Vendor - Contract]],$H70,CostTrack[[Holdback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70" s="504">
        <f ca="1">SUMIFS(CostTrack[[Value]:[Value]],CostTrack[[PA ID]:[PA ID]],$B70,CostTrack[[Vendor - Contract]:[Vendor - Contract]],$H70,CostTrack[[Holdback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70" s="504">
        <f ca="1">SUMIFS(CostTrack[[Value]:[Value]],CostTrack[[PA ID]:[PA ID]],$B70,CostTrack[[Vendor - Contract]:[Vendor - Contract]],$H70,CostTrack[[Holdback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70" s="504">
        <f ca="1">SUMIFS(CostTrack[[Value]:[Value]],CostTrack[[PA ID]:[PA ID]],$B70,CostTrack[[Vendor - Contract]:[Vendor - Contract]],$H70,CostTrack[[Holdback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70" s="504">
        <f ca="1">SUMIFS(CostTrack[[Value]:[Value]],CostTrack[[PA ID]:[PA ID]],$B70,CostTrack[[Vendor - Contract]:[Vendor - Contract]],$H70,CostTrack[[Holdback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70" s="504">
        <f ca="1">SUMIFS(CostTrack[[Value]:[Value]],CostTrack[[PA ID]:[PA ID]],$B70,CostTrack[[Vendor - Contract]:[Vendor - Contract]],$H70,CostTrack[[Holdback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70" s="512">
        <f t="shared" ref="CY70" ca="1" si="68">SUM(CM70:CX70)</f>
        <v>1263</v>
      </c>
      <c r="DA70" s="504">
        <f ca="1">SUMIFS(CostTrack[[Value]:[Value]],CostTrack[[PA ID]:[PA ID]],$B70,CostTrack[[Vendor - Contract]:[Vendor - Contract]],$H70,CostTrack[[Holdback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70" s="504">
        <f ca="1">SUMIFS(CostTrack[[Value]:[Value]],CostTrack[[PA ID]:[PA ID]],$B70,CostTrack[[Vendor - Contract]:[Vendor - Contract]],$H70,CostTrack[[Holdback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70" s="504">
        <f ca="1">SUMIFS(CostTrack[[Value]:[Value]],CostTrack[[PA ID]:[PA ID]],$B70,CostTrack[[Vendor - Contract]:[Vendor - Contract]],$H70,CostTrack[[Holdback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70" s="504">
        <f ca="1">SUMIFS(CostTrack[[Value]:[Value]],CostTrack[[PA ID]:[PA ID]],$B70,CostTrack[[Vendor - Contract]:[Vendor - Contract]],$H70,CostTrack[[Holdback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70" s="504">
        <f ca="1">SUMIFS(CostTrack[[Value]:[Value]],CostTrack[[PA ID]:[PA ID]],$B70,CostTrack[[Vendor - Contract]:[Vendor - Contract]],$H70,CostTrack[[Holdback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70" s="504">
        <f ca="1">SUMIFS(CostTrack[[Value]:[Value]],CostTrack[[PA ID]:[PA ID]],$B70,CostTrack[[Vendor - Contract]:[Vendor - Contract]],$H70,CostTrack[[Holdback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70" s="504">
        <f ca="1">SUMIFS(CostTrack[[Value]:[Value]],CostTrack[[PA ID]:[PA ID]],$B70,CostTrack[[Vendor - Contract]:[Vendor - Contract]],$H70,CostTrack[[Holdback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70" s="504">
        <f ca="1">SUMIFS(CostTrack[[Value]:[Value]],CostTrack[[PA ID]:[PA ID]],$B70,CostTrack[[Vendor - Contract]:[Vendor - Contract]],$H70,CostTrack[[Holdback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70" s="504">
        <f ca="1">SUMIFS(CostTrack[[Value]:[Value]],CostTrack[[PA ID]:[PA ID]],$B70,CostTrack[[Vendor - Contract]:[Vendor - Contract]],$H70,CostTrack[[Holdback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70" s="504">
        <f ca="1">SUMIFS(CostTrack[[Value]:[Value]],CostTrack[[PA ID]:[PA ID]],$B70,CostTrack[[Vendor - Contract]:[Vendor - Contract]],$H70,CostTrack[[Holdback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70" s="504">
        <f ca="1">SUMIFS(CostTrack[[Value]:[Value]],CostTrack[[PA ID]:[PA ID]],$B70,CostTrack[[Vendor - Contract]:[Vendor - Contract]],$H70,CostTrack[[Holdback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70" s="504">
        <f ca="1">SUMIFS(CostTrack[[Value]:[Value]],CostTrack[[PA ID]:[PA ID]],$B70,CostTrack[[Vendor - Contract]:[Vendor - Contract]],$H70,CostTrack[[Holdback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70" s="512">
        <f t="shared" ref="DM70" ca="1" si="69">SUM(DA70:DL70)</f>
        <v>0</v>
      </c>
      <c r="DO70" s="504">
        <f ca="1">SUMIFS(CostTrack[[Value]:[Value]],CostTrack[[PA ID]:[PA ID]],$B70,CostTrack[[Vendor - Contract]:[Vendor - Contract]],$H70,CostTrack[[Holdback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70" s="504">
        <f ca="1">SUMIFS(CostTrack[[Value]:[Value]],CostTrack[[PA ID]:[PA ID]],$B70,CostTrack[[Vendor - Contract]:[Vendor - Contract]],$H70,CostTrack[[Holdback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70" s="504">
        <f ca="1">SUMIFS(CostTrack[[Value]:[Value]],CostTrack[[PA ID]:[PA ID]],$B70,CostTrack[[Vendor - Contract]:[Vendor - Contract]],$H70,CostTrack[[Holdback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70" s="504">
        <f ca="1">SUMIFS(CostTrack[[Value]:[Value]],CostTrack[[PA ID]:[PA ID]],$B70,CostTrack[[Vendor - Contract]:[Vendor - Contract]],$H70,CostTrack[[Holdback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70" s="504">
        <f ca="1">SUMIFS(CostTrack[[Value]:[Value]],CostTrack[[PA ID]:[PA ID]],$B70,CostTrack[[Vendor - Contract]:[Vendor - Contract]],$H70,CostTrack[[Holdback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70" s="504">
        <f ca="1">SUMIFS(CostTrack[[Value]:[Value]],CostTrack[[PA ID]:[PA ID]],$B70,CostTrack[[Vendor - Contract]:[Vendor - Contract]],$H70,CostTrack[[Holdback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70" s="504">
        <f ca="1">SUMIFS(CostTrack[[Value]:[Value]],CostTrack[[PA ID]:[PA ID]],$B70,CostTrack[[Vendor - Contract]:[Vendor - Contract]],$H70,CostTrack[[Holdback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70" s="504">
        <f ca="1">SUMIFS(CostTrack[[Value]:[Value]],CostTrack[[PA ID]:[PA ID]],$B70,CostTrack[[Vendor - Contract]:[Vendor - Contract]],$H70,CostTrack[[Holdback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70" s="504">
        <f ca="1">SUMIFS(CostTrack[[Value]:[Value]],CostTrack[[PA ID]:[PA ID]],$B70,CostTrack[[Vendor - Contract]:[Vendor - Contract]],$H70,CostTrack[[Holdback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70" s="504">
        <f ca="1">SUMIFS(CostTrack[[Value]:[Value]],CostTrack[[PA ID]:[PA ID]],$B70,CostTrack[[Vendor - Contract]:[Vendor - Contract]],$H70,CostTrack[[Holdback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70" s="504">
        <f ca="1">SUMIFS(CostTrack[[Value]:[Value]],CostTrack[[PA ID]:[PA ID]],$B70,CostTrack[[Vendor - Contract]:[Vendor - Contract]],$H70,CostTrack[[Holdback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70" s="504">
        <f ca="1">SUMIFS(CostTrack[[Value]:[Value]],CostTrack[[PA ID]:[PA ID]],$B70,CostTrack[[Vendor - Contract]:[Vendor - Contract]],$H70,CostTrack[[Holdback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70" s="512">
        <f t="shared" ref="EA70" ca="1" si="70">SUM(DO70:DZ70)</f>
        <v>0</v>
      </c>
      <c r="EC70" s="504">
        <f ca="1">SUMIFS(CostTrack[[Value]:[Value]],CostTrack[[PA ID]:[PA ID]],$B70,CostTrack[[Vendor - Contract]:[Vendor - Contract]],$H70,CostTrack[[Holdback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70" s="505">
        <v>121142.05</v>
      </c>
      <c r="EE70" s="505"/>
      <c r="EF70" s="505"/>
      <c r="EG70" s="505"/>
      <c r="EH70" s="505"/>
      <c r="EI70" s="505"/>
      <c r="EJ70" s="505"/>
      <c r="EK70" s="505"/>
      <c r="EL70" s="505"/>
      <c r="EM70" s="505"/>
      <c r="EN70" s="505"/>
      <c r="EO70" s="512">
        <f t="shared" ref="EO70" ca="1" si="71">SUM(EC70:EN70)</f>
        <v>121142.05</v>
      </c>
      <c r="EQ70" s="505"/>
      <c r="ER70" s="505"/>
      <c r="ES70" s="505"/>
      <c r="ET70" s="505"/>
      <c r="EU70" s="505"/>
      <c r="EV70" s="505"/>
      <c r="EW70" s="505"/>
      <c r="EX70" s="505"/>
      <c r="EY70" s="505"/>
      <c r="EZ70" s="505"/>
      <c r="FA70" s="505"/>
      <c r="FB70" s="505"/>
      <c r="FC70" s="512">
        <f t="shared" ref="FC70" si="72">SUM(EQ70:FB70)</f>
        <v>0</v>
      </c>
      <c r="FE70" s="505"/>
      <c r="FF70" s="505"/>
      <c r="FG70" s="505"/>
      <c r="FH70" s="505"/>
      <c r="FI70" s="505"/>
      <c r="FJ70" s="505"/>
      <c r="FK70" s="505"/>
      <c r="FL70" s="505"/>
      <c r="FM70" s="505"/>
      <c r="FN70" s="505"/>
      <c r="FO70" s="505"/>
      <c r="FP70" s="505"/>
      <c r="FQ70" s="512">
        <f t="shared" ref="FQ70" si="73">SUM(FE70:FP70)</f>
        <v>0</v>
      </c>
      <c r="FS70" s="504">
        <f t="shared" ref="FS70" ca="1" si="74">AG70+AU70+BI70+BW70+CK70+CY70+DM70+EA70+EO70+FC70+FQ70</f>
        <v>122405.05</v>
      </c>
    </row>
    <row r="71" spans="1:175" ht="24" customHeight="1">
      <c r="A71" s="216">
        <v>64</v>
      </c>
      <c r="B71" s="219" t="str">
        <f ca="1">INDEX(EAC[PA ID],MATCH($A71,EAC[Row],0))</f>
        <v>400.020.F1</v>
      </c>
      <c r="C71" s="218" t="str">
        <f ca="1">INDEX(EAC[Primary Category],MATCH($A71,EAC[Row],0))</f>
        <v>FE_IT</v>
      </c>
      <c r="D71" s="218" t="str">
        <f ca="1">INDEX(EAC[Secondary Category],MATCH($A71,EAC[Row],0))</f>
        <v>Information Technology</v>
      </c>
      <c r="E71" s="109" t="str">
        <f ca="1">INDEX(EAC[Phase / Subproject],MATCH($A71,EAC[Row],0))</f>
        <v>--</v>
      </c>
      <c r="F71" s="109" t="str">
        <f ca="1">INDEX(EAC[Phase / Subproject 2],MATCH($A71,EAC[Row],0))</f>
        <v>--</v>
      </c>
      <c r="G71" s="109" t="str">
        <f ca="1">INDEX(EAC[Funding Source],MATCH($A71,EAC[Row],0))</f>
        <v>P-002360</v>
      </c>
      <c r="H71" s="146" t="str">
        <f ca="1">INDEX(EAC[Vendor / Org. with Contract ID],MATCH($A71,EAC[Row],0))</f>
        <v>Compugen- Network Switches Mock up-9000027253</v>
      </c>
      <c r="I71" s="502">
        <f ca="1">INDEX(EAC[Estimate At Completion],MATCH($A71,EAC[Row],0))</f>
        <v>24277.119999999999</v>
      </c>
      <c r="J71" s="502">
        <f ca="1">SUMIFS(CostTrack[Value],CostTrack[Vendor - Contract],$H71,CostTrack[PA ID],$B71,CostTrack[Holdback (Y/N/R)],"&lt;&gt;Release",CostTrack[Status],"Approved")</f>
        <v>24277.119999999999</v>
      </c>
      <c r="K71" s="503">
        <f t="shared" ca="1" si="14"/>
        <v>0</v>
      </c>
      <c r="M71" s="504">
        <f t="shared" ca="1" si="15"/>
        <v>0</v>
      </c>
      <c r="O71" s="504">
        <f t="shared" ca="1" si="49"/>
        <v>24277.120000000003</v>
      </c>
      <c r="P71" s="504">
        <f t="array" aca="1" ref="P71" ca="1">SUM($U71:$FQ71*_xlfn.ISFORMULA($U71:$FQ71)*ISNUMBER($U$7:$FQ$7)*--(INDEX($U$6:$FQ$6,N(IF({1},COLUMN($U$6:$FQ$6)-COLUMN($T$6)))-MOD(N(IF({1},COLUMN($U$6:$FQ$6)-COLUMN($U$6))),14))="Current Fiscal"))</f>
        <v>0</v>
      </c>
      <c r="Q71" s="504">
        <f t="array" aca="1" ref="Q71" ca="1">SUM($U71:$FQ71*NOT(_xlfn.ISFORMULA($U71:$FQ71))*ISNUMBER($U$7:$FQ$7)*--(INDEX($U$6:$FQ$6,N(IF({1},COLUMN($U$6:$FQ$6)-COLUMN($T$6)))-MOD(N(IF({1},COLUMN($U$6:$FQ$6)-COLUMN($U$6))),14))="Current Fiscal"))</f>
        <v>0</v>
      </c>
      <c r="R71" s="504">
        <f t="shared" ca="1" si="50"/>
        <v>0</v>
      </c>
      <c r="S71" s="504">
        <f t="shared" ca="1" si="51"/>
        <v>0</v>
      </c>
      <c r="U71" s="504">
        <f ca="1">SUMIFS(CostTrack[[Value]:[Value]],CostTrack[[PA ID]:[PA ID]],$B71,CostTrack[[Vendor - Contract]:[Vendor - Contract]],$H71,CostTrack[[Holdback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71" s="504">
        <f ca="1">SUMIFS(CostTrack[[Value]:[Value]],CostTrack[[PA ID]:[PA ID]],$B71,CostTrack[[Vendor - Contract]:[Vendor - Contract]],$H71,CostTrack[[Holdback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71" s="504">
        <f ca="1">SUMIFS(CostTrack[[Value]:[Value]],CostTrack[[PA ID]:[PA ID]],$B71,CostTrack[[Vendor - Contract]:[Vendor - Contract]],$H71,CostTrack[[Holdback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71" s="504">
        <f ca="1">SUMIFS(CostTrack[[Value]:[Value]],CostTrack[[PA ID]:[PA ID]],$B71,CostTrack[[Vendor - Contract]:[Vendor - Contract]],$H71,CostTrack[[Holdback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71" s="504">
        <f ca="1">SUMIFS(CostTrack[[Value]:[Value]],CostTrack[[PA ID]:[PA ID]],$B71,CostTrack[[Vendor - Contract]:[Vendor - Contract]],$H71,CostTrack[[Holdback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71" s="504">
        <f ca="1">SUMIFS(CostTrack[[Value]:[Value]],CostTrack[[PA ID]:[PA ID]],$B71,CostTrack[[Vendor - Contract]:[Vendor - Contract]],$H71,CostTrack[[Holdback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71" s="504">
        <f ca="1">SUMIFS(CostTrack[[Value]:[Value]],CostTrack[[PA ID]:[PA ID]],$B71,CostTrack[[Vendor - Contract]:[Vendor - Contract]],$H71,CostTrack[[Holdback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71" s="504">
        <f ca="1">SUMIFS(CostTrack[[Value]:[Value]],CostTrack[[PA ID]:[PA ID]],$B71,CostTrack[[Vendor - Contract]:[Vendor - Contract]],$H71,CostTrack[[Holdback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71" s="504">
        <f ca="1">SUMIFS(CostTrack[[Value]:[Value]],CostTrack[[PA ID]:[PA ID]],$B71,CostTrack[[Vendor - Contract]:[Vendor - Contract]],$H71,CostTrack[[Holdback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71" s="504">
        <f ca="1">SUMIFS(CostTrack[[Value]:[Value]],CostTrack[[PA ID]:[PA ID]],$B71,CostTrack[[Vendor - Contract]:[Vendor - Contract]],$H71,CostTrack[[Holdback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71" s="504">
        <f ca="1">SUMIFS(CostTrack[[Value]:[Value]],CostTrack[[PA ID]:[PA ID]],$B71,CostTrack[[Vendor - Contract]:[Vendor - Contract]],$H71,CostTrack[[Holdback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71" s="504">
        <f ca="1">SUMIFS(CostTrack[[Value]:[Value]],CostTrack[[PA ID]:[PA ID]],$B71,CostTrack[[Vendor - Contract]:[Vendor - Contract]],$H71,CostTrack[[Holdback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71" s="506">
        <f t="shared" ca="1" si="52"/>
        <v>0</v>
      </c>
      <c r="AI71" s="504">
        <f ca="1">SUMIFS(CostTrack[[Value]:[Value]],CostTrack[[PA ID]:[PA ID]],$B71,CostTrack[[Vendor - Contract]:[Vendor - Contract]],$H71,CostTrack[[Holdback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71" s="504">
        <f ca="1">SUMIFS(CostTrack[[Value]:[Value]],CostTrack[[PA ID]:[PA ID]],$B71,CostTrack[[Vendor - Contract]:[Vendor - Contract]],$H71,CostTrack[[Holdback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71" s="504">
        <f ca="1">SUMIFS(CostTrack[[Value]:[Value]],CostTrack[[PA ID]:[PA ID]],$B71,CostTrack[[Vendor - Contract]:[Vendor - Contract]],$H71,CostTrack[[Holdback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71" s="504">
        <f ca="1">SUMIFS(CostTrack[[Value]:[Value]],CostTrack[[PA ID]:[PA ID]],$B71,CostTrack[[Vendor - Contract]:[Vendor - Contract]],$H71,CostTrack[[Holdback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71" s="504">
        <f ca="1">SUMIFS(CostTrack[[Value]:[Value]],CostTrack[[PA ID]:[PA ID]],$B71,CostTrack[[Vendor - Contract]:[Vendor - Contract]],$H71,CostTrack[[Holdback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71" s="504">
        <f ca="1">SUMIFS(CostTrack[[Value]:[Value]],CostTrack[[PA ID]:[PA ID]],$B71,CostTrack[[Vendor - Contract]:[Vendor - Contract]],$H71,CostTrack[[Holdback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71" s="504">
        <f ca="1">SUMIFS(CostTrack[[Value]:[Value]],CostTrack[[PA ID]:[PA ID]],$B71,CostTrack[[Vendor - Contract]:[Vendor - Contract]],$H71,CostTrack[[Holdback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71" s="504">
        <f ca="1">SUMIFS(CostTrack[[Value]:[Value]],CostTrack[[PA ID]:[PA ID]],$B71,CostTrack[[Vendor - Contract]:[Vendor - Contract]],$H71,CostTrack[[Holdback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71" s="504">
        <f ca="1">SUMIFS(CostTrack[[Value]:[Value]],CostTrack[[PA ID]:[PA ID]],$B71,CostTrack[[Vendor - Contract]:[Vendor - Contract]],$H71,CostTrack[[Holdback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71" s="504">
        <f ca="1">SUMIFS(CostTrack[[Value]:[Value]],CostTrack[[PA ID]:[PA ID]],$B71,CostTrack[[Vendor - Contract]:[Vendor - Contract]],$H71,CostTrack[[Holdback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71" s="504">
        <f ca="1">SUMIFS(CostTrack[[Value]:[Value]],CostTrack[[PA ID]:[PA ID]],$B71,CostTrack[[Vendor - Contract]:[Vendor - Contract]],$H71,CostTrack[[Holdback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71" s="504">
        <f ca="1">SUMIFS(CostTrack[[Value]:[Value]],CostTrack[[PA ID]:[PA ID]],$B71,CostTrack[[Vendor - Contract]:[Vendor - Contract]],$H71,CostTrack[[Holdback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71" s="512">
        <f t="shared" ref="AU71" ca="1" si="75">SUM(AI71:AT71)</f>
        <v>0</v>
      </c>
      <c r="AW71" s="504">
        <f ca="1">SUMIFS(CostTrack[[Value]:[Value]],CostTrack[[PA ID]:[PA ID]],$B71,CostTrack[[Vendor - Contract]:[Vendor - Contract]],$H71,CostTrack[[Holdback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71" s="504">
        <f ca="1">SUMIFS(CostTrack[[Value]:[Value]],CostTrack[[PA ID]:[PA ID]],$B71,CostTrack[[Vendor - Contract]:[Vendor - Contract]],$H71,CostTrack[[Holdback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71" s="504">
        <f ca="1">SUMIFS(CostTrack[[Value]:[Value]],CostTrack[[PA ID]:[PA ID]],$B71,CostTrack[[Vendor - Contract]:[Vendor - Contract]],$H71,CostTrack[[Holdback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71" s="504">
        <f ca="1">SUMIFS(CostTrack[[Value]:[Value]],CostTrack[[PA ID]:[PA ID]],$B71,CostTrack[[Vendor - Contract]:[Vendor - Contract]],$H71,CostTrack[[Holdback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71" s="504">
        <f ca="1">SUMIFS(CostTrack[[Value]:[Value]],CostTrack[[PA ID]:[PA ID]],$B71,CostTrack[[Vendor - Contract]:[Vendor - Contract]],$H71,CostTrack[[Holdback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71" s="504">
        <f ca="1">SUMIFS(CostTrack[[Value]:[Value]],CostTrack[[PA ID]:[PA ID]],$B71,CostTrack[[Vendor - Contract]:[Vendor - Contract]],$H71,CostTrack[[Holdback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71" s="504">
        <f ca="1">SUMIFS(CostTrack[[Value]:[Value]],CostTrack[[PA ID]:[PA ID]],$B71,CostTrack[[Vendor - Contract]:[Vendor - Contract]],$H71,CostTrack[[Holdback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71" s="504">
        <f ca="1">SUMIFS(CostTrack[[Value]:[Value]],CostTrack[[PA ID]:[PA ID]],$B71,CostTrack[[Vendor - Contract]:[Vendor - Contract]],$H71,CostTrack[[Holdback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71" s="504">
        <f ca="1">SUMIFS(CostTrack[[Value]:[Value]],CostTrack[[PA ID]:[PA ID]],$B71,CostTrack[[Vendor - Contract]:[Vendor - Contract]],$H71,CostTrack[[Holdback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71" s="504">
        <f ca="1">SUMIFS(CostTrack[[Value]:[Value]],CostTrack[[PA ID]:[PA ID]],$B71,CostTrack[[Vendor - Contract]:[Vendor - Contract]],$H71,CostTrack[[Holdback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71" s="504">
        <f ca="1">SUMIFS(CostTrack[[Value]:[Value]],CostTrack[[PA ID]:[PA ID]],$B71,CostTrack[[Vendor - Contract]:[Vendor - Contract]],$H71,CostTrack[[Holdback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71" s="504">
        <f ca="1">SUMIFS(CostTrack[[Value]:[Value]],CostTrack[[PA ID]:[PA ID]],$B71,CostTrack[[Vendor - Contract]:[Vendor - Contract]],$H71,CostTrack[[Holdback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71" s="512">
        <f t="shared" ref="BI71" ca="1" si="76">SUM(AW71:BH71)</f>
        <v>0</v>
      </c>
      <c r="BK71" s="504">
        <f ca="1">SUMIFS(CostTrack[[Value]:[Value]],CostTrack[[PA ID]:[PA ID]],$B71,CostTrack[[Vendor - Contract]:[Vendor - Contract]],$H71,CostTrack[[Holdback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71" s="504">
        <f ca="1">SUMIFS(CostTrack[[Value]:[Value]],CostTrack[[PA ID]:[PA ID]],$B71,CostTrack[[Vendor - Contract]:[Vendor - Contract]],$H71,CostTrack[[Holdback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71" s="504">
        <f ca="1">SUMIFS(CostTrack[[Value]:[Value]],CostTrack[[PA ID]:[PA ID]],$B71,CostTrack[[Vendor - Contract]:[Vendor - Contract]],$H71,CostTrack[[Holdback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71" s="504">
        <f ca="1">SUMIFS(CostTrack[[Value]:[Value]],CostTrack[[PA ID]:[PA ID]],$B71,CostTrack[[Vendor - Contract]:[Vendor - Contract]],$H71,CostTrack[[Holdback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71" s="504">
        <f ca="1">SUMIFS(CostTrack[[Value]:[Value]],CostTrack[[PA ID]:[PA ID]],$B71,CostTrack[[Vendor - Contract]:[Vendor - Contract]],$H71,CostTrack[[Holdback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71" s="504">
        <f ca="1">SUMIFS(CostTrack[[Value]:[Value]],CostTrack[[PA ID]:[PA ID]],$B71,CostTrack[[Vendor - Contract]:[Vendor - Contract]],$H71,CostTrack[[Holdback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71" s="504">
        <f ca="1">SUMIFS(CostTrack[[Value]:[Value]],CostTrack[[PA ID]:[PA ID]],$B71,CostTrack[[Vendor - Contract]:[Vendor - Contract]],$H71,CostTrack[[Holdback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71" s="504">
        <f ca="1">SUMIFS(CostTrack[[Value]:[Value]],CostTrack[[PA ID]:[PA ID]],$B71,CostTrack[[Vendor - Contract]:[Vendor - Contract]],$H71,CostTrack[[Holdback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71" s="504">
        <f ca="1">SUMIFS(CostTrack[[Value]:[Value]],CostTrack[[PA ID]:[PA ID]],$B71,CostTrack[[Vendor - Contract]:[Vendor - Contract]],$H71,CostTrack[[Holdback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71" s="504">
        <f ca="1">SUMIFS(CostTrack[[Value]:[Value]],CostTrack[[PA ID]:[PA ID]],$B71,CostTrack[[Vendor - Contract]:[Vendor - Contract]],$H71,CostTrack[[Holdback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71" s="504">
        <f ca="1">SUMIFS(CostTrack[[Value]:[Value]],CostTrack[[PA ID]:[PA ID]],$B71,CostTrack[[Vendor - Contract]:[Vendor - Contract]],$H71,CostTrack[[Holdback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71" s="504">
        <f ca="1">SUMIFS(CostTrack[[Value]:[Value]],CostTrack[[PA ID]:[PA ID]],$B71,CostTrack[[Vendor - Contract]:[Vendor - Contract]],$H71,CostTrack[[Holdback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71" s="512">
        <f t="shared" ref="BW71" ca="1" si="77">SUM(BK71:BV71)</f>
        <v>0</v>
      </c>
      <c r="BY71" s="504">
        <f ca="1">SUMIFS(CostTrack[[Value]:[Value]],CostTrack[[PA ID]:[PA ID]],$B71,CostTrack[[Vendor - Contract]:[Vendor - Contract]],$H71,CostTrack[[Holdback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71" s="504">
        <f ca="1">SUMIFS(CostTrack[[Value]:[Value]],CostTrack[[PA ID]:[PA ID]],$B71,CostTrack[[Vendor - Contract]:[Vendor - Contract]],$H71,CostTrack[[Holdback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71" s="504">
        <f ca="1">SUMIFS(CostTrack[[Value]:[Value]],CostTrack[[PA ID]:[PA ID]],$B71,CostTrack[[Vendor - Contract]:[Vendor - Contract]],$H71,CostTrack[[Holdback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71" s="504">
        <f ca="1">SUMIFS(CostTrack[[Value]:[Value]],CostTrack[[PA ID]:[PA ID]],$B71,CostTrack[[Vendor - Contract]:[Vendor - Contract]],$H71,CostTrack[[Holdback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71" s="504">
        <f ca="1">SUMIFS(CostTrack[[Value]:[Value]],CostTrack[[PA ID]:[PA ID]],$B71,CostTrack[[Vendor - Contract]:[Vendor - Contract]],$H71,CostTrack[[Holdback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71" s="504">
        <f ca="1">SUMIFS(CostTrack[[Value]:[Value]],CostTrack[[PA ID]:[PA ID]],$B71,CostTrack[[Vendor - Contract]:[Vendor - Contract]],$H71,CostTrack[[Holdback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71" s="504">
        <f ca="1">SUMIFS(CostTrack[[Value]:[Value]],CostTrack[[PA ID]:[PA ID]],$B71,CostTrack[[Vendor - Contract]:[Vendor - Contract]],$H71,CostTrack[[Holdback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71" s="504">
        <f ca="1">SUMIFS(CostTrack[[Value]:[Value]],CostTrack[[PA ID]:[PA ID]],$B71,CostTrack[[Vendor - Contract]:[Vendor - Contract]],$H71,CostTrack[[Holdback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71" s="504">
        <f ca="1">SUMIFS(CostTrack[[Value]:[Value]],CostTrack[[PA ID]:[PA ID]],$B71,CostTrack[[Vendor - Contract]:[Vendor - Contract]],$H71,CostTrack[[Holdback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71" s="504">
        <f ca="1">SUMIFS(CostTrack[[Value]:[Value]],CostTrack[[PA ID]:[PA ID]],$B71,CostTrack[[Vendor - Contract]:[Vendor - Contract]],$H71,CostTrack[[Holdback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71" s="504">
        <f ca="1">SUMIFS(CostTrack[[Value]:[Value]],CostTrack[[PA ID]:[PA ID]],$B71,CostTrack[[Vendor - Contract]:[Vendor - Contract]],$H71,CostTrack[[Holdback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71" s="504">
        <f ca="1">SUMIFS(CostTrack[[Value]:[Value]],CostTrack[[PA ID]:[PA ID]],$B71,CostTrack[[Vendor - Contract]:[Vendor - Contract]],$H71,CostTrack[[Holdback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13082.4</v>
      </c>
      <c r="CK71" s="512">
        <f t="shared" ref="CK71" ca="1" si="78">SUM(BY71:CJ71)</f>
        <v>13082.4</v>
      </c>
      <c r="CM71" s="504">
        <f ca="1">SUMIFS(CostTrack[[Value]:[Value]],CostTrack[[PA ID]:[PA ID]],$B71,CostTrack[[Vendor - Contract]:[Vendor - Contract]],$H71,CostTrack[[Holdback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71" s="504">
        <f ca="1">SUMIFS(CostTrack[[Value]:[Value]],CostTrack[[PA ID]:[PA ID]],$B71,CostTrack[[Vendor - Contract]:[Vendor - Contract]],$H71,CostTrack[[Holdback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71" s="504">
        <f ca="1">SUMIFS(CostTrack[[Value]:[Value]],CostTrack[[PA ID]:[PA ID]],$B71,CostTrack[[Vendor - Contract]:[Vendor - Contract]],$H71,CostTrack[[Holdback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71" s="504">
        <f ca="1">SUMIFS(CostTrack[[Value]:[Value]],CostTrack[[PA ID]:[PA ID]],$B71,CostTrack[[Vendor - Contract]:[Vendor - Contract]],$H71,CostTrack[[Holdback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71" s="504">
        <f ca="1">SUMIFS(CostTrack[[Value]:[Value]],CostTrack[[PA ID]:[PA ID]],$B71,CostTrack[[Vendor - Contract]:[Vendor - Contract]],$H71,CostTrack[[Holdback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71" s="504">
        <f ca="1">SUMIFS(CostTrack[[Value]:[Value]],CostTrack[[PA ID]:[PA ID]],$B71,CostTrack[[Vendor - Contract]:[Vendor - Contract]],$H71,CostTrack[[Holdback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71" s="504">
        <f ca="1">SUMIFS(CostTrack[[Value]:[Value]],CostTrack[[PA ID]:[PA ID]],$B71,CostTrack[[Vendor - Contract]:[Vendor - Contract]],$H71,CostTrack[[Holdback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8874.94</v>
      </c>
      <c r="CT71" s="504">
        <f ca="1">SUMIFS(CostTrack[[Value]:[Value]],CostTrack[[PA ID]:[PA ID]],$B71,CostTrack[[Vendor - Contract]:[Vendor - Contract]],$H71,CostTrack[[Holdback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71" s="504">
        <f ca="1">SUMIFS(CostTrack[[Value]:[Value]],CostTrack[[PA ID]:[PA ID]],$B71,CostTrack[[Vendor - Contract]:[Vendor - Contract]],$H71,CostTrack[[Holdback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71" s="504">
        <f ca="1">SUMIFS(CostTrack[[Value]:[Value]],CostTrack[[PA ID]:[PA ID]],$B71,CostTrack[[Vendor - Contract]:[Vendor - Contract]],$H71,CostTrack[[Holdback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71" s="504">
        <f ca="1">SUMIFS(CostTrack[[Value]:[Value]],CostTrack[[PA ID]:[PA ID]],$B71,CostTrack[[Vendor - Contract]:[Vendor - Contract]],$H71,CostTrack[[Holdback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71" s="504">
        <f ca="1">SUMIFS(CostTrack[[Value]:[Value]],CostTrack[[PA ID]:[PA ID]],$B71,CostTrack[[Vendor - Contract]:[Vendor - Contract]],$H71,CostTrack[[Holdback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2319.7800000000002</v>
      </c>
      <c r="CY71" s="512">
        <f t="shared" ref="CY71:CY80" ca="1" si="79">SUM(CM71:CX71)</f>
        <v>11194.720000000001</v>
      </c>
      <c r="DA71" s="504">
        <f ca="1">SUMIFS(CostTrack[[Value]:[Value]],CostTrack[[PA ID]:[PA ID]],$B71,CostTrack[[Vendor - Contract]:[Vendor - Contract]],$H71,CostTrack[[Holdback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71" s="504">
        <f ca="1">SUMIFS(CostTrack[[Value]:[Value]],CostTrack[[PA ID]:[PA ID]],$B71,CostTrack[[Vendor - Contract]:[Vendor - Contract]],$H71,CostTrack[[Holdback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71" s="504">
        <f ca="1">SUMIFS(CostTrack[[Value]:[Value]],CostTrack[[PA ID]:[PA ID]],$B71,CostTrack[[Vendor - Contract]:[Vendor - Contract]],$H71,CostTrack[[Holdback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71" s="504">
        <f ca="1">SUMIFS(CostTrack[[Value]:[Value]],CostTrack[[PA ID]:[PA ID]],$B71,CostTrack[[Vendor - Contract]:[Vendor - Contract]],$H71,CostTrack[[Holdback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71" s="504">
        <f ca="1">SUMIFS(CostTrack[[Value]:[Value]],CostTrack[[PA ID]:[PA ID]],$B71,CostTrack[[Vendor - Contract]:[Vendor - Contract]],$H71,CostTrack[[Holdback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71" s="504">
        <f ca="1">SUMIFS(CostTrack[[Value]:[Value]],CostTrack[[PA ID]:[PA ID]],$B71,CostTrack[[Vendor - Contract]:[Vendor - Contract]],$H71,CostTrack[[Holdback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71" s="504">
        <f ca="1">SUMIFS(CostTrack[[Value]:[Value]],CostTrack[[PA ID]:[PA ID]],$B71,CostTrack[[Vendor - Contract]:[Vendor - Contract]],$H71,CostTrack[[Holdback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71" s="504">
        <f ca="1">SUMIFS(CostTrack[[Value]:[Value]],CostTrack[[PA ID]:[PA ID]],$B71,CostTrack[[Vendor - Contract]:[Vendor - Contract]],$H71,CostTrack[[Holdback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71" s="504">
        <f ca="1">SUMIFS(CostTrack[[Value]:[Value]],CostTrack[[PA ID]:[PA ID]],$B71,CostTrack[[Vendor - Contract]:[Vendor - Contract]],$H71,CostTrack[[Holdback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71" s="504">
        <f ca="1">SUMIFS(CostTrack[[Value]:[Value]],CostTrack[[PA ID]:[PA ID]],$B71,CostTrack[[Vendor - Contract]:[Vendor - Contract]],$H71,CostTrack[[Holdback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71" s="504">
        <f ca="1">SUMIFS(CostTrack[[Value]:[Value]],CostTrack[[PA ID]:[PA ID]],$B71,CostTrack[[Vendor - Contract]:[Vendor - Contract]],$H71,CostTrack[[Holdback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71" s="504">
        <f ca="1">SUMIFS(CostTrack[[Value]:[Value]],CostTrack[[PA ID]:[PA ID]],$B71,CostTrack[[Vendor - Contract]:[Vendor - Contract]],$H71,CostTrack[[Holdback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71" s="512">
        <f t="shared" ref="DM71:DM80" ca="1" si="80">SUM(DA71:DL71)</f>
        <v>0</v>
      </c>
      <c r="DO71" s="504">
        <f ca="1">SUMIFS(CostTrack[[Value]:[Value]],CostTrack[[PA ID]:[PA ID]],$B71,CostTrack[[Vendor - Contract]:[Vendor - Contract]],$H71,CostTrack[[Holdback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71" s="504">
        <f ca="1">SUMIFS(CostTrack[[Value]:[Value]],CostTrack[[PA ID]:[PA ID]],$B71,CostTrack[[Vendor - Contract]:[Vendor - Contract]],$H71,CostTrack[[Holdback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71" s="504">
        <f ca="1">SUMIFS(CostTrack[[Value]:[Value]],CostTrack[[PA ID]:[PA ID]],$B71,CostTrack[[Vendor - Contract]:[Vendor - Contract]],$H71,CostTrack[[Holdback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71" s="504">
        <f ca="1">SUMIFS(CostTrack[[Value]:[Value]],CostTrack[[PA ID]:[PA ID]],$B71,CostTrack[[Vendor - Contract]:[Vendor - Contract]],$H71,CostTrack[[Holdback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71" s="504">
        <f ca="1">SUMIFS(CostTrack[[Value]:[Value]],CostTrack[[PA ID]:[PA ID]],$B71,CostTrack[[Vendor - Contract]:[Vendor - Contract]],$H71,CostTrack[[Holdback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71" s="504">
        <f ca="1">SUMIFS(CostTrack[[Value]:[Value]],CostTrack[[PA ID]:[PA ID]],$B71,CostTrack[[Vendor - Contract]:[Vendor - Contract]],$H71,CostTrack[[Holdback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71" s="504">
        <f ca="1">SUMIFS(CostTrack[[Value]:[Value]],CostTrack[[PA ID]:[PA ID]],$B71,CostTrack[[Vendor - Contract]:[Vendor - Contract]],$H71,CostTrack[[Holdback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71" s="504">
        <f ca="1">SUMIFS(CostTrack[[Value]:[Value]],CostTrack[[PA ID]:[PA ID]],$B71,CostTrack[[Vendor - Contract]:[Vendor - Contract]],$H71,CostTrack[[Holdback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71" s="504">
        <f ca="1">SUMIFS(CostTrack[[Value]:[Value]],CostTrack[[PA ID]:[PA ID]],$B71,CostTrack[[Vendor - Contract]:[Vendor - Contract]],$H71,CostTrack[[Holdback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71" s="504">
        <f ca="1">SUMIFS(CostTrack[[Value]:[Value]],CostTrack[[PA ID]:[PA ID]],$B71,CostTrack[[Vendor - Contract]:[Vendor - Contract]],$H71,CostTrack[[Holdback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71" s="504">
        <f ca="1">SUMIFS(CostTrack[[Value]:[Value]],CostTrack[[PA ID]:[PA ID]],$B71,CostTrack[[Vendor - Contract]:[Vendor - Contract]],$H71,CostTrack[[Holdback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71" s="504">
        <f ca="1">SUMIFS(CostTrack[[Value]:[Value]],CostTrack[[PA ID]:[PA ID]],$B71,CostTrack[[Vendor - Contract]:[Vendor - Contract]],$H71,CostTrack[[Holdback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71" s="512">
        <f t="shared" ref="EA71:EA80" ca="1" si="81">SUM(DO71:DZ71)</f>
        <v>0</v>
      </c>
      <c r="EC71" s="504">
        <f ca="1">SUMIFS(CostTrack[[Value]:[Value]],CostTrack[[PA ID]:[PA ID]],$B71,CostTrack[[Vendor - Contract]:[Vendor - Contract]],$H71,CostTrack[[Holdback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71" s="505"/>
      <c r="EE71" s="505"/>
      <c r="EF71" s="505"/>
      <c r="EG71" s="505"/>
      <c r="EH71" s="505"/>
      <c r="EI71" s="505"/>
      <c r="EJ71" s="505"/>
      <c r="EK71" s="505"/>
      <c r="EL71" s="505"/>
      <c r="EM71" s="505"/>
      <c r="EN71" s="505"/>
      <c r="EO71" s="512">
        <f t="shared" ref="EO71:EO80" ca="1" si="82">SUM(EC71:EN71)</f>
        <v>0</v>
      </c>
      <c r="EQ71" s="505"/>
      <c r="ER71" s="505"/>
      <c r="ES71" s="505"/>
      <c r="ET71" s="505"/>
      <c r="EU71" s="505"/>
      <c r="EV71" s="505"/>
      <c r="EW71" s="505"/>
      <c r="EX71" s="505"/>
      <c r="EY71" s="505"/>
      <c r="EZ71" s="505"/>
      <c r="FA71" s="505"/>
      <c r="FB71" s="505"/>
      <c r="FC71" s="512">
        <f t="shared" ref="FC71:FC80" si="83">SUM(EQ71:FB71)</f>
        <v>0</v>
      </c>
      <c r="FE71" s="505"/>
      <c r="FF71" s="505"/>
      <c r="FG71" s="505"/>
      <c r="FH71" s="505"/>
      <c r="FI71" s="505"/>
      <c r="FJ71" s="505"/>
      <c r="FK71" s="505"/>
      <c r="FL71" s="505"/>
      <c r="FM71" s="505"/>
      <c r="FN71" s="505"/>
      <c r="FO71" s="505"/>
      <c r="FP71" s="505"/>
      <c r="FQ71" s="512">
        <f t="shared" ref="FQ71:FQ83" si="84">SUM(FE71:FP71)</f>
        <v>0</v>
      </c>
      <c r="FS71" s="504">
        <f t="shared" ref="FS71:FS83" ca="1" si="85">AG71+AU71+BI71+BW71+CK71+CY71+DM71+EA71+EO71+FC71+FQ71</f>
        <v>24277.120000000003</v>
      </c>
    </row>
    <row r="72" spans="1:175" ht="24" customHeight="1">
      <c r="A72" s="216">
        <v>65</v>
      </c>
      <c r="B72" s="219" t="str">
        <f ca="1">INDEX(EAC[PA ID],MATCH($A72,EAC[Row],0))</f>
        <v>300.040.F1</v>
      </c>
      <c r="C72" s="218" t="str">
        <f ca="1">INDEX(EAC[Primary Category],MATCH($A72,EAC[Row],0))</f>
        <v>Construction</v>
      </c>
      <c r="D72" s="218" t="str">
        <f ca="1">INDEX(EAC[Secondary Category],MATCH($A72,EAC[Row],0))</f>
        <v>Other Contractor</v>
      </c>
      <c r="E72" s="109" t="str">
        <f ca="1">INDEX(EAC[Phase / Subproject],MATCH($A72,EAC[Row],0))</f>
        <v>--</v>
      </c>
      <c r="F72" s="109" t="str">
        <f ca="1">INDEX(EAC[Phase / Subproject 2],MATCH($A72,EAC[Row],0))</f>
        <v>--</v>
      </c>
      <c r="G72" s="109" t="str">
        <f ca="1">INDEX(EAC[Funding Source],MATCH($A72,EAC[Row],0))</f>
        <v>P-002360</v>
      </c>
      <c r="H72" s="146" t="str">
        <f ca="1">INDEX(EAC[Vendor / Org. with Contract ID],MATCH($A72,EAC[Row],0))</f>
        <v>Gap Wireless- Das Owner Supplied Standing Offer-9000029997</v>
      </c>
      <c r="I72" s="502">
        <f ca="1">INDEX(EAC[Estimate At Completion],MATCH($A72,EAC[Row],0))</f>
        <v>48800.28</v>
      </c>
      <c r="J72" s="502">
        <f ca="1">SUMIFS(CostTrack[Value],CostTrack[Vendor - Contract],$H72,CostTrack[PA ID],$B72,CostTrack[Holdback (Y/N/R)],"&lt;&gt;Release",CostTrack[Status],"Approved")</f>
        <v>48800.28</v>
      </c>
      <c r="K72" s="503">
        <f t="shared" ca="1" si="14"/>
        <v>0</v>
      </c>
      <c r="M72" s="504">
        <f t="shared" ref="M72:M80" ca="1" si="86">I72-FS72</f>
        <v>0</v>
      </c>
      <c r="O72" s="504">
        <f t="shared" ref="O72:O80" ca="1" si="87">SUMIF($U$6:$FQ$6,"Previous Fiscal",AG72:FQ72)</f>
        <v>48800.28</v>
      </c>
      <c r="P72" s="504">
        <f t="array" aca="1" ref="P72" ca="1">SUM($U72:$FQ72*_xlfn.ISFORMULA($U72:$FQ72)*ISNUMBER($U$7:$FQ$7)*--(INDEX($U$6:$FQ$6,N(IF({1},COLUMN($U$6:$FQ$6)-COLUMN($T$6)))-MOD(N(IF({1},COLUMN($U$6:$FQ$6)-COLUMN($U$6))),14))="Current Fiscal"))</f>
        <v>0</v>
      </c>
      <c r="Q72" s="504">
        <f t="array" aca="1" ref="Q72" ca="1">SUM($U72:$FQ72*NOT(_xlfn.ISFORMULA($U72:$FQ72))*ISNUMBER($U$7:$FQ$7)*--(INDEX($U$6:$FQ$6,N(IF({1},COLUMN($U$6:$FQ$6)-COLUMN($T$6)))-MOD(N(IF({1},COLUMN($U$6:$FQ$6)-COLUMN($U$6))),14))="Current Fiscal"))</f>
        <v>0</v>
      </c>
      <c r="R72" s="504">
        <f t="shared" ref="R72:R80" ca="1" si="88">SUMIF($U$6:$FQ$6,"Current Fiscal",AG72:FQ72)</f>
        <v>0</v>
      </c>
      <c r="S72" s="504">
        <f t="shared" ref="S72:S80" ca="1" si="89">SUMIF($U$6:$FQ$6,"Future Fiscal",AG72:FQ72)</f>
        <v>0</v>
      </c>
      <c r="U72" s="504">
        <f ca="1">SUMIFS(CostTrack[[Value]:[Value]],CostTrack[[PA ID]:[PA ID]],$B72,CostTrack[[Vendor - Contract]:[Vendor - Contract]],$H72,CostTrack[[Holdback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72" s="504">
        <f ca="1">SUMIFS(CostTrack[[Value]:[Value]],CostTrack[[PA ID]:[PA ID]],$B72,CostTrack[[Vendor - Contract]:[Vendor - Contract]],$H72,CostTrack[[Holdback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72" s="504">
        <f ca="1">SUMIFS(CostTrack[[Value]:[Value]],CostTrack[[PA ID]:[PA ID]],$B72,CostTrack[[Vendor - Contract]:[Vendor - Contract]],$H72,CostTrack[[Holdback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72" s="504">
        <f ca="1">SUMIFS(CostTrack[[Value]:[Value]],CostTrack[[PA ID]:[PA ID]],$B72,CostTrack[[Vendor - Contract]:[Vendor - Contract]],$H72,CostTrack[[Holdback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72" s="504">
        <f ca="1">SUMIFS(CostTrack[[Value]:[Value]],CostTrack[[PA ID]:[PA ID]],$B72,CostTrack[[Vendor - Contract]:[Vendor - Contract]],$H72,CostTrack[[Holdback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72" s="504">
        <f ca="1">SUMIFS(CostTrack[[Value]:[Value]],CostTrack[[PA ID]:[PA ID]],$B72,CostTrack[[Vendor - Contract]:[Vendor - Contract]],$H72,CostTrack[[Holdback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72" s="504">
        <f ca="1">SUMIFS(CostTrack[[Value]:[Value]],CostTrack[[PA ID]:[PA ID]],$B72,CostTrack[[Vendor - Contract]:[Vendor - Contract]],$H72,CostTrack[[Holdback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72" s="504">
        <f ca="1">SUMIFS(CostTrack[[Value]:[Value]],CostTrack[[PA ID]:[PA ID]],$B72,CostTrack[[Vendor - Contract]:[Vendor - Contract]],$H72,CostTrack[[Holdback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72" s="504">
        <f ca="1">SUMIFS(CostTrack[[Value]:[Value]],CostTrack[[PA ID]:[PA ID]],$B72,CostTrack[[Vendor - Contract]:[Vendor - Contract]],$H72,CostTrack[[Holdback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72" s="504">
        <f ca="1">SUMIFS(CostTrack[[Value]:[Value]],CostTrack[[PA ID]:[PA ID]],$B72,CostTrack[[Vendor - Contract]:[Vendor - Contract]],$H72,CostTrack[[Holdback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72" s="504">
        <f ca="1">SUMIFS(CostTrack[[Value]:[Value]],CostTrack[[PA ID]:[PA ID]],$B72,CostTrack[[Vendor - Contract]:[Vendor - Contract]],$H72,CostTrack[[Holdback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72" s="504">
        <f ca="1">SUMIFS(CostTrack[[Value]:[Value]],CostTrack[[PA ID]:[PA ID]],$B72,CostTrack[[Vendor - Contract]:[Vendor - Contract]],$H72,CostTrack[[Holdback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72" s="506">
        <f t="shared" ref="AG72:AG80" ca="1" si="90">SUM(U72:AF72)</f>
        <v>0</v>
      </c>
      <c r="AI72" s="504">
        <f ca="1">SUMIFS(CostTrack[[Value]:[Value]],CostTrack[[PA ID]:[PA ID]],$B72,CostTrack[[Vendor - Contract]:[Vendor - Contract]],$H72,CostTrack[[Holdback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72" s="504">
        <f ca="1">SUMIFS(CostTrack[[Value]:[Value]],CostTrack[[PA ID]:[PA ID]],$B72,CostTrack[[Vendor - Contract]:[Vendor - Contract]],$H72,CostTrack[[Holdback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72" s="504">
        <f ca="1">SUMIFS(CostTrack[[Value]:[Value]],CostTrack[[PA ID]:[PA ID]],$B72,CostTrack[[Vendor - Contract]:[Vendor - Contract]],$H72,CostTrack[[Holdback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72" s="504">
        <f ca="1">SUMIFS(CostTrack[[Value]:[Value]],CostTrack[[PA ID]:[PA ID]],$B72,CostTrack[[Vendor - Contract]:[Vendor - Contract]],$H72,CostTrack[[Holdback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72" s="504">
        <f ca="1">SUMIFS(CostTrack[[Value]:[Value]],CostTrack[[PA ID]:[PA ID]],$B72,CostTrack[[Vendor - Contract]:[Vendor - Contract]],$H72,CostTrack[[Holdback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72" s="504">
        <f ca="1">SUMIFS(CostTrack[[Value]:[Value]],CostTrack[[PA ID]:[PA ID]],$B72,CostTrack[[Vendor - Contract]:[Vendor - Contract]],$H72,CostTrack[[Holdback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72" s="504">
        <f ca="1">SUMIFS(CostTrack[[Value]:[Value]],CostTrack[[PA ID]:[PA ID]],$B72,CostTrack[[Vendor - Contract]:[Vendor - Contract]],$H72,CostTrack[[Holdback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72" s="504">
        <f ca="1">SUMIFS(CostTrack[[Value]:[Value]],CostTrack[[PA ID]:[PA ID]],$B72,CostTrack[[Vendor - Contract]:[Vendor - Contract]],$H72,CostTrack[[Holdback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72" s="504">
        <f ca="1">SUMIFS(CostTrack[[Value]:[Value]],CostTrack[[PA ID]:[PA ID]],$B72,CostTrack[[Vendor - Contract]:[Vendor - Contract]],$H72,CostTrack[[Holdback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72" s="504">
        <f ca="1">SUMIFS(CostTrack[[Value]:[Value]],CostTrack[[PA ID]:[PA ID]],$B72,CostTrack[[Vendor - Contract]:[Vendor - Contract]],$H72,CostTrack[[Holdback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72" s="504">
        <f ca="1">SUMIFS(CostTrack[[Value]:[Value]],CostTrack[[PA ID]:[PA ID]],$B72,CostTrack[[Vendor - Contract]:[Vendor - Contract]],$H72,CostTrack[[Holdback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72" s="504">
        <f ca="1">SUMIFS(CostTrack[[Value]:[Value]],CostTrack[[PA ID]:[PA ID]],$B72,CostTrack[[Vendor - Contract]:[Vendor - Contract]],$H72,CostTrack[[Holdback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72" s="512">
        <f t="shared" ref="AU72:AU80" ca="1" si="91">SUM(AI72:AT72)</f>
        <v>0</v>
      </c>
      <c r="AW72" s="504">
        <f ca="1">SUMIFS(CostTrack[[Value]:[Value]],CostTrack[[PA ID]:[PA ID]],$B72,CostTrack[[Vendor - Contract]:[Vendor - Contract]],$H72,CostTrack[[Holdback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72" s="504">
        <f ca="1">SUMIFS(CostTrack[[Value]:[Value]],CostTrack[[PA ID]:[PA ID]],$B72,CostTrack[[Vendor - Contract]:[Vendor - Contract]],$H72,CostTrack[[Holdback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72" s="504">
        <f ca="1">SUMIFS(CostTrack[[Value]:[Value]],CostTrack[[PA ID]:[PA ID]],$B72,CostTrack[[Vendor - Contract]:[Vendor - Contract]],$H72,CostTrack[[Holdback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72" s="504">
        <f ca="1">SUMIFS(CostTrack[[Value]:[Value]],CostTrack[[PA ID]:[PA ID]],$B72,CostTrack[[Vendor - Contract]:[Vendor - Contract]],$H72,CostTrack[[Holdback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72" s="504">
        <f ca="1">SUMIFS(CostTrack[[Value]:[Value]],CostTrack[[PA ID]:[PA ID]],$B72,CostTrack[[Vendor - Contract]:[Vendor - Contract]],$H72,CostTrack[[Holdback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72" s="504">
        <f ca="1">SUMIFS(CostTrack[[Value]:[Value]],CostTrack[[PA ID]:[PA ID]],$B72,CostTrack[[Vendor - Contract]:[Vendor - Contract]],$H72,CostTrack[[Holdback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72" s="504">
        <f ca="1">SUMIFS(CostTrack[[Value]:[Value]],CostTrack[[PA ID]:[PA ID]],$B72,CostTrack[[Vendor - Contract]:[Vendor - Contract]],$H72,CostTrack[[Holdback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72" s="504">
        <f ca="1">SUMIFS(CostTrack[[Value]:[Value]],CostTrack[[PA ID]:[PA ID]],$B72,CostTrack[[Vendor - Contract]:[Vendor - Contract]],$H72,CostTrack[[Holdback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72" s="504">
        <f ca="1">SUMIFS(CostTrack[[Value]:[Value]],CostTrack[[PA ID]:[PA ID]],$B72,CostTrack[[Vendor - Contract]:[Vendor - Contract]],$H72,CostTrack[[Holdback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72" s="504">
        <f ca="1">SUMIFS(CostTrack[[Value]:[Value]],CostTrack[[PA ID]:[PA ID]],$B72,CostTrack[[Vendor - Contract]:[Vendor - Contract]],$H72,CostTrack[[Holdback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72" s="504">
        <f ca="1">SUMIFS(CostTrack[[Value]:[Value]],CostTrack[[PA ID]:[PA ID]],$B72,CostTrack[[Vendor - Contract]:[Vendor - Contract]],$H72,CostTrack[[Holdback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72" s="504">
        <f ca="1">SUMIFS(CostTrack[[Value]:[Value]],CostTrack[[PA ID]:[PA ID]],$B72,CostTrack[[Vendor - Contract]:[Vendor - Contract]],$H72,CostTrack[[Holdback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72" s="512">
        <f t="shared" ref="BI72:BI80" ca="1" si="92">SUM(AW72:BH72)</f>
        <v>0</v>
      </c>
      <c r="BK72" s="504">
        <f ca="1">SUMIFS(CostTrack[[Value]:[Value]],CostTrack[[PA ID]:[PA ID]],$B72,CostTrack[[Vendor - Contract]:[Vendor - Contract]],$H72,CostTrack[[Holdback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72" s="504">
        <f ca="1">SUMIFS(CostTrack[[Value]:[Value]],CostTrack[[PA ID]:[PA ID]],$B72,CostTrack[[Vendor - Contract]:[Vendor - Contract]],$H72,CostTrack[[Holdback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72" s="504">
        <f ca="1">SUMIFS(CostTrack[[Value]:[Value]],CostTrack[[PA ID]:[PA ID]],$B72,CostTrack[[Vendor - Contract]:[Vendor - Contract]],$H72,CostTrack[[Holdback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72" s="504">
        <f ca="1">SUMIFS(CostTrack[[Value]:[Value]],CostTrack[[PA ID]:[PA ID]],$B72,CostTrack[[Vendor - Contract]:[Vendor - Contract]],$H72,CostTrack[[Holdback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72" s="504">
        <f ca="1">SUMIFS(CostTrack[[Value]:[Value]],CostTrack[[PA ID]:[PA ID]],$B72,CostTrack[[Vendor - Contract]:[Vendor - Contract]],$H72,CostTrack[[Holdback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72" s="504">
        <f ca="1">SUMIFS(CostTrack[[Value]:[Value]],CostTrack[[PA ID]:[PA ID]],$B72,CostTrack[[Vendor - Contract]:[Vendor - Contract]],$H72,CostTrack[[Holdback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72" s="504">
        <f ca="1">SUMIFS(CostTrack[[Value]:[Value]],CostTrack[[PA ID]:[PA ID]],$B72,CostTrack[[Vendor - Contract]:[Vendor - Contract]],$H72,CostTrack[[Holdback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72" s="504">
        <f ca="1">SUMIFS(CostTrack[[Value]:[Value]],CostTrack[[PA ID]:[PA ID]],$B72,CostTrack[[Vendor - Contract]:[Vendor - Contract]],$H72,CostTrack[[Holdback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72" s="504">
        <f ca="1">SUMIFS(CostTrack[[Value]:[Value]],CostTrack[[PA ID]:[PA ID]],$B72,CostTrack[[Vendor - Contract]:[Vendor - Contract]],$H72,CostTrack[[Holdback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72" s="504">
        <f ca="1">SUMIFS(CostTrack[[Value]:[Value]],CostTrack[[PA ID]:[PA ID]],$B72,CostTrack[[Vendor - Contract]:[Vendor - Contract]],$H72,CostTrack[[Holdback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72" s="504">
        <f ca="1">SUMIFS(CostTrack[[Value]:[Value]],CostTrack[[PA ID]:[PA ID]],$B72,CostTrack[[Vendor - Contract]:[Vendor - Contract]],$H72,CostTrack[[Holdback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72" s="504">
        <f ca="1">SUMIFS(CostTrack[[Value]:[Value]],CostTrack[[PA ID]:[PA ID]],$B72,CostTrack[[Vendor - Contract]:[Vendor - Contract]],$H72,CostTrack[[Holdback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72" s="512">
        <f t="shared" ref="BW72:BW80" ca="1" si="93">SUM(BK72:BV72)</f>
        <v>0</v>
      </c>
      <c r="BY72" s="504">
        <f ca="1">SUMIFS(CostTrack[[Value]:[Value]],CostTrack[[PA ID]:[PA ID]],$B72,CostTrack[[Vendor - Contract]:[Vendor - Contract]],$H72,CostTrack[[Holdback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72" s="504">
        <f ca="1">SUMIFS(CostTrack[[Value]:[Value]],CostTrack[[PA ID]:[PA ID]],$B72,CostTrack[[Vendor - Contract]:[Vendor - Contract]],$H72,CostTrack[[Holdback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72" s="504">
        <f ca="1">SUMIFS(CostTrack[[Value]:[Value]],CostTrack[[PA ID]:[PA ID]],$B72,CostTrack[[Vendor - Contract]:[Vendor - Contract]],$H72,CostTrack[[Holdback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72" s="504">
        <f ca="1">SUMIFS(CostTrack[[Value]:[Value]],CostTrack[[PA ID]:[PA ID]],$B72,CostTrack[[Vendor - Contract]:[Vendor - Contract]],$H72,CostTrack[[Holdback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72" s="504">
        <f ca="1">SUMIFS(CostTrack[[Value]:[Value]],CostTrack[[PA ID]:[PA ID]],$B72,CostTrack[[Vendor - Contract]:[Vendor - Contract]],$H72,CostTrack[[Holdback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72" s="504">
        <f ca="1">SUMIFS(CostTrack[[Value]:[Value]],CostTrack[[PA ID]:[PA ID]],$B72,CostTrack[[Vendor - Contract]:[Vendor - Contract]],$H72,CostTrack[[Holdback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72" s="504">
        <f ca="1">SUMIFS(CostTrack[[Value]:[Value]],CostTrack[[PA ID]:[PA ID]],$B72,CostTrack[[Vendor - Contract]:[Vendor - Contract]],$H72,CostTrack[[Holdback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72" s="504">
        <f ca="1">SUMIFS(CostTrack[[Value]:[Value]],CostTrack[[PA ID]:[PA ID]],$B72,CostTrack[[Vendor - Contract]:[Vendor - Contract]],$H72,CostTrack[[Holdback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72" s="504">
        <f ca="1">SUMIFS(CostTrack[[Value]:[Value]],CostTrack[[PA ID]:[PA ID]],$B72,CostTrack[[Vendor - Contract]:[Vendor - Contract]],$H72,CostTrack[[Holdback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72" s="504">
        <f ca="1">SUMIFS(CostTrack[[Value]:[Value]],CostTrack[[PA ID]:[PA ID]],$B72,CostTrack[[Vendor - Contract]:[Vendor - Contract]],$H72,CostTrack[[Holdback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72" s="504">
        <f ca="1">SUMIFS(CostTrack[[Value]:[Value]],CostTrack[[PA ID]:[PA ID]],$B72,CostTrack[[Vendor - Contract]:[Vendor - Contract]],$H72,CostTrack[[Holdback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72" s="504">
        <f ca="1">SUMIFS(CostTrack[[Value]:[Value]],CostTrack[[PA ID]:[PA ID]],$B72,CostTrack[[Vendor - Contract]:[Vendor - Contract]],$H72,CostTrack[[Holdback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72" s="512">
        <f t="shared" ref="CK72:CK80" ca="1" si="94">SUM(BY72:CJ72)</f>
        <v>0</v>
      </c>
      <c r="CM72" s="504">
        <f ca="1">SUMIFS(CostTrack[[Value]:[Value]],CostTrack[[PA ID]:[PA ID]],$B72,CostTrack[[Vendor - Contract]:[Vendor - Contract]],$H72,CostTrack[[Holdback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72" s="504">
        <f ca="1">SUMIFS(CostTrack[[Value]:[Value]],CostTrack[[PA ID]:[PA ID]],$B72,CostTrack[[Vendor - Contract]:[Vendor - Contract]],$H72,CostTrack[[Holdback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72" s="504">
        <f ca="1">SUMIFS(CostTrack[[Value]:[Value]],CostTrack[[PA ID]:[PA ID]],$B72,CostTrack[[Vendor - Contract]:[Vendor - Contract]],$H72,CostTrack[[Holdback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72" s="504">
        <f ca="1">SUMIFS(CostTrack[[Value]:[Value]],CostTrack[[PA ID]:[PA ID]],$B72,CostTrack[[Vendor - Contract]:[Vendor - Contract]],$H72,CostTrack[[Holdback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72" s="504">
        <f ca="1">SUMIFS(CostTrack[[Value]:[Value]],CostTrack[[PA ID]:[PA ID]],$B72,CostTrack[[Vendor - Contract]:[Vendor - Contract]],$H72,CostTrack[[Holdback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72" s="504">
        <f ca="1">SUMIFS(CostTrack[[Value]:[Value]],CostTrack[[PA ID]:[PA ID]],$B72,CostTrack[[Vendor - Contract]:[Vendor - Contract]],$H72,CostTrack[[Holdback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72" s="504">
        <f ca="1">SUMIFS(CostTrack[[Value]:[Value]],CostTrack[[PA ID]:[PA ID]],$B72,CostTrack[[Vendor - Contract]:[Vendor - Contract]],$H72,CostTrack[[Holdback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48800.28</v>
      </c>
      <c r="CT72" s="504">
        <f ca="1">SUMIFS(CostTrack[[Value]:[Value]],CostTrack[[PA ID]:[PA ID]],$B72,CostTrack[[Vendor - Contract]:[Vendor - Contract]],$H72,CostTrack[[Holdback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72" s="504">
        <f ca="1">SUMIFS(CostTrack[[Value]:[Value]],CostTrack[[PA ID]:[PA ID]],$B72,CostTrack[[Vendor - Contract]:[Vendor - Contract]],$H72,CostTrack[[Holdback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72" s="504">
        <f ca="1">SUMIFS(CostTrack[[Value]:[Value]],CostTrack[[PA ID]:[PA ID]],$B72,CostTrack[[Vendor - Contract]:[Vendor - Contract]],$H72,CostTrack[[Holdback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72" s="504">
        <f ca="1">SUMIFS(CostTrack[[Value]:[Value]],CostTrack[[PA ID]:[PA ID]],$B72,CostTrack[[Vendor - Contract]:[Vendor - Contract]],$H72,CostTrack[[Holdback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72" s="504">
        <f ca="1">SUMIFS(CostTrack[[Value]:[Value]],CostTrack[[PA ID]:[PA ID]],$B72,CostTrack[[Vendor - Contract]:[Vendor - Contract]],$H72,CostTrack[[Holdback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72" s="512">
        <f t="shared" ca="1" si="79"/>
        <v>48800.28</v>
      </c>
      <c r="DA72" s="504">
        <f ca="1">SUMIFS(CostTrack[[Value]:[Value]],CostTrack[[PA ID]:[PA ID]],$B72,CostTrack[[Vendor - Contract]:[Vendor - Contract]],$H72,CostTrack[[Holdback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72" s="504">
        <f ca="1">SUMIFS(CostTrack[[Value]:[Value]],CostTrack[[PA ID]:[PA ID]],$B72,CostTrack[[Vendor - Contract]:[Vendor - Contract]],$H72,CostTrack[[Holdback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72" s="504">
        <f ca="1">SUMIFS(CostTrack[[Value]:[Value]],CostTrack[[PA ID]:[PA ID]],$B72,CostTrack[[Vendor - Contract]:[Vendor - Contract]],$H72,CostTrack[[Holdback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72" s="504">
        <f ca="1">SUMIFS(CostTrack[[Value]:[Value]],CostTrack[[PA ID]:[PA ID]],$B72,CostTrack[[Vendor - Contract]:[Vendor - Contract]],$H72,CostTrack[[Holdback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72" s="504">
        <f ca="1">SUMIFS(CostTrack[[Value]:[Value]],CostTrack[[PA ID]:[PA ID]],$B72,CostTrack[[Vendor - Contract]:[Vendor - Contract]],$H72,CostTrack[[Holdback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72" s="504">
        <f ca="1">SUMIFS(CostTrack[[Value]:[Value]],CostTrack[[PA ID]:[PA ID]],$B72,CostTrack[[Vendor - Contract]:[Vendor - Contract]],$H72,CostTrack[[Holdback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72" s="504">
        <f ca="1">SUMIFS(CostTrack[[Value]:[Value]],CostTrack[[PA ID]:[PA ID]],$B72,CostTrack[[Vendor - Contract]:[Vendor - Contract]],$H72,CostTrack[[Holdback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72" s="504">
        <f ca="1">SUMIFS(CostTrack[[Value]:[Value]],CostTrack[[PA ID]:[PA ID]],$B72,CostTrack[[Vendor - Contract]:[Vendor - Contract]],$H72,CostTrack[[Holdback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72" s="504">
        <f ca="1">SUMIFS(CostTrack[[Value]:[Value]],CostTrack[[PA ID]:[PA ID]],$B72,CostTrack[[Vendor - Contract]:[Vendor - Contract]],$H72,CostTrack[[Holdback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72" s="504">
        <f ca="1">SUMIFS(CostTrack[[Value]:[Value]],CostTrack[[PA ID]:[PA ID]],$B72,CostTrack[[Vendor - Contract]:[Vendor - Contract]],$H72,CostTrack[[Holdback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72" s="504">
        <f ca="1">SUMIFS(CostTrack[[Value]:[Value]],CostTrack[[PA ID]:[PA ID]],$B72,CostTrack[[Vendor - Contract]:[Vendor - Contract]],$H72,CostTrack[[Holdback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72" s="504">
        <f ca="1">SUMIFS(CostTrack[[Value]:[Value]],CostTrack[[PA ID]:[PA ID]],$B72,CostTrack[[Vendor - Contract]:[Vendor - Contract]],$H72,CostTrack[[Holdback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72" s="512">
        <f t="shared" ca="1" si="80"/>
        <v>0</v>
      </c>
      <c r="DO72" s="504">
        <f ca="1">SUMIFS(CostTrack[[Value]:[Value]],CostTrack[[PA ID]:[PA ID]],$B72,CostTrack[[Vendor - Contract]:[Vendor - Contract]],$H72,CostTrack[[Holdback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72" s="504">
        <f ca="1">SUMIFS(CostTrack[[Value]:[Value]],CostTrack[[PA ID]:[PA ID]],$B72,CostTrack[[Vendor - Contract]:[Vendor - Contract]],$H72,CostTrack[[Holdback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72" s="504">
        <f ca="1">SUMIFS(CostTrack[[Value]:[Value]],CostTrack[[PA ID]:[PA ID]],$B72,CostTrack[[Vendor - Contract]:[Vendor - Contract]],$H72,CostTrack[[Holdback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72" s="504">
        <f ca="1">SUMIFS(CostTrack[[Value]:[Value]],CostTrack[[PA ID]:[PA ID]],$B72,CostTrack[[Vendor - Contract]:[Vendor - Contract]],$H72,CostTrack[[Holdback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72" s="504">
        <f ca="1">SUMIFS(CostTrack[[Value]:[Value]],CostTrack[[PA ID]:[PA ID]],$B72,CostTrack[[Vendor - Contract]:[Vendor - Contract]],$H72,CostTrack[[Holdback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72" s="504">
        <f ca="1">SUMIFS(CostTrack[[Value]:[Value]],CostTrack[[PA ID]:[PA ID]],$B72,CostTrack[[Vendor - Contract]:[Vendor - Contract]],$H72,CostTrack[[Holdback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72" s="504">
        <f ca="1">SUMIFS(CostTrack[[Value]:[Value]],CostTrack[[PA ID]:[PA ID]],$B72,CostTrack[[Vendor - Contract]:[Vendor - Contract]],$H72,CostTrack[[Holdback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72" s="504">
        <f ca="1">SUMIFS(CostTrack[[Value]:[Value]],CostTrack[[PA ID]:[PA ID]],$B72,CostTrack[[Vendor - Contract]:[Vendor - Contract]],$H72,CostTrack[[Holdback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72" s="504">
        <f ca="1">SUMIFS(CostTrack[[Value]:[Value]],CostTrack[[PA ID]:[PA ID]],$B72,CostTrack[[Vendor - Contract]:[Vendor - Contract]],$H72,CostTrack[[Holdback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72" s="504">
        <f ca="1">SUMIFS(CostTrack[[Value]:[Value]],CostTrack[[PA ID]:[PA ID]],$B72,CostTrack[[Vendor - Contract]:[Vendor - Contract]],$H72,CostTrack[[Holdback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72" s="504">
        <f ca="1">SUMIFS(CostTrack[[Value]:[Value]],CostTrack[[PA ID]:[PA ID]],$B72,CostTrack[[Vendor - Contract]:[Vendor - Contract]],$H72,CostTrack[[Holdback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72" s="504">
        <f ca="1">SUMIFS(CostTrack[[Value]:[Value]],CostTrack[[PA ID]:[PA ID]],$B72,CostTrack[[Vendor - Contract]:[Vendor - Contract]],$H72,CostTrack[[Holdback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72" s="512">
        <f t="shared" ca="1" si="81"/>
        <v>0</v>
      </c>
      <c r="EC72" s="504">
        <f ca="1">SUMIFS(CostTrack[[Value]:[Value]],CostTrack[[PA ID]:[PA ID]],$B72,CostTrack[[Vendor - Contract]:[Vendor - Contract]],$H72,CostTrack[[Holdback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72" s="505"/>
      <c r="EE72" s="505"/>
      <c r="EF72" s="505"/>
      <c r="EG72" s="505"/>
      <c r="EH72" s="505"/>
      <c r="EI72" s="505"/>
      <c r="EJ72" s="505"/>
      <c r="EK72" s="505"/>
      <c r="EL72" s="505"/>
      <c r="EM72" s="505"/>
      <c r="EN72" s="505"/>
      <c r="EO72" s="512">
        <f t="shared" ca="1" si="82"/>
        <v>0</v>
      </c>
      <c r="EQ72" s="505"/>
      <c r="ER72" s="505"/>
      <c r="ES72" s="505"/>
      <c r="ET72" s="505"/>
      <c r="EU72" s="505"/>
      <c r="EV72" s="505"/>
      <c r="EW72" s="505"/>
      <c r="EX72" s="505"/>
      <c r="EY72" s="505"/>
      <c r="EZ72" s="505"/>
      <c r="FA72" s="505"/>
      <c r="FB72" s="505"/>
      <c r="FC72" s="512">
        <f t="shared" si="83"/>
        <v>0</v>
      </c>
      <c r="FE72" s="505"/>
      <c r="FF72" s="505"/>
      <c r="FG72" s="505"/>
      <c r="FH72" s="505"/>
      <c r="FI72" s="505"/>
      <c r="FJ72" s="505"/>
      <c r="FK72" s="505"/>
      <c r="FL72" s="505"/>
      <c r="FM72" s="505"/>
      <c r="FN72" s="505"/>
      <c r="FO72" s="505"/>
      <c r="FP72" s="505"/>
      <c r="FQ72" s="512">
        <f t="shared" si="84"/>
        <v>0</v>
      </c>
      <c r="FS72" s="504">
        <f t="shared" ca="1" si="85"/>
        <v>48800.28</v>
      </c>
    </row>
    <row r="73" spans="1:175" ht="24" customHeight="1">
      <c r="A73" s="216">
        <v>66</v>
      </c>
      <c r="B73" s="219" t="str">
        <f ca="1">INDEX(EAC[PA ID],MATCH($A73,EAC[Row],0))</f>
        <v>300.040.F1</v>
      </c>
      <c r="C73" s="218" t="str">
        <f ca="1">INDEX(EAC[Primary Category],MATCH($A73,EAC[Row],0))</f>
        <v>Construction</v>
      </c>
      <c r="D73" s="218" t="str">
        <f ca="1">INDEX(EAC[Secondary Category],MATCH($A73,EAC[Row],0))</f>
        <v>Other Contractor</v>
      </c>
      <c r="E73" s="109" t="str">
        <f ca="1">INDEX(EAC[Phase / Subproject],MATCH($A73,EAC[Row],0))</f>
        <v>--</v>
      </c>
      <c r="F73" s="109" t="str">
        <f ca="1">INDEX(EAC[Phase / Subproject 2],MATCH($A73,EAC[Row],0))</f>
        <v>--</v>
      </c>
      <c r="G73" s="109" t="str">
        <f ca="1">INDEX(EAC[Funding Source],MATCH($A73,EAC[Row],0))</f>
        <v>P-002360</v>
      </c>
      <c r="H73" s="146" t="str">
        <f ca="1">INDEX(EAC[Vendor / Org. with Contract ID],MATCH($A73,EAC[Row],0))</f>
        <v>Gap Wireless- Das Owner Supplied-9000032727</v>
      </c>
      <c r="I73" s="502">
        <f ca="1">INDEX(EAC[Estimate At Completion],MATCH($A73,EAC[Row],0))</f>
        <v>35</v>
      </c>
      <c r="J73" s="502">
        <f ca="1">SUMIFS(CostTrack[Value],CostTrack[Vendor - Contract],$H73,CostTrack[PA ID],$B73,CostTrack[Holdback (Y/N/R)],"&lt;&gt;Release",CostTrack[Status],"Approved")</f>
        <v>35</v>
      </c>
      <c r="K73" s="503">
        <f t="shared" ref="K73:K94" ca="1" si="95">IFERROR(I73-J73,"")</f>
        <v>0</v>
      </c>
      <c r="M73" s="504">
        <f t="shared" ca="1" si="86"/>
        <v>0</v>
      </c>
      <c r="O73" s="504">
        <f t="shared" ca="1" si="87"/>
        <v>35</v>
      </c>
      <c r="P73" s="504">
        <f t="array" aca="1" ref="P73" ca="1">SUM($U73:$FQ73*_xlfn.ISFORMULA($U73:$FQ73)*ISNUMBER($U$7:$FQ$7)*--(INDEX($U$6:$FQ$6,N(IF({1},COLUMN($U$6:$FQ$6)-COLUMN($T$6)))-MOD(N(IF({1},COLUMN($U$6:$FQ$6)-COLUMN($U$6))),14))="Current Fiscal"))</f>
        <v>0</v>
      </c>
      <c r="Q73" s="504">
        <f t="array" aca="1" ref="Q73" ca="1">SUM($U73:$FQ73*NOT(_xlfn.ISFORMULA($U73:$FQ73))*ISNUMBER($U$7:$FQ$7)*--(INDEX($U$6:$FQ$6,N(IF({1},COLUMN($U$6:$FQ$6)-COLUMN($T$6)))-MOD(N(IF({1},COLUMN($U$6:$FQ$6)-COLUMN($U$6))),14))="Current Fiscal"))</f>
        <v>0</v>
      </c>
      <c r="R73" s="504">
        <f t="shared" ca="1" si="88"/>
        <v>0</v>
      </c>
      <c r="S73" s="504">
        <f t="shared" ca="1" si="89"/>
        <v>0</v>
      </c>
      <c r="U73" s="504">
        <f ca="1">SUMIFS(CostTrack[[Value]:[Value]],CostTrack[[PA ID]:[PA ID]],$B73,CostTrack[[Vendor - Contract]:[Vendor - Contract]],$H73,CostTrack[[Holdback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73" s="504">
        <f ca="1">SUMIFS(CostTrack[[Value]:[Value]],CostTrack[[PA ID]:[PA ID]],$B73,CostTrack[[Vendor - Contract]:[Vendor - Contract]],$H73,CostTrack[[Holdback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73" s="504">
        <f ca="1">SUMIFS(CostTrack[[Value]:[Value]],CostTrack[[PA ID]:[PA ID]],$B73,CostTrack[[Vendor - Contract]:[Vendor - Contract]],$H73,CostTrack[[Holdback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73" s="504">
        <f ca="1">SUMIFS(CostTrack[[Value]:[Value]],CostTrack[[PA ID]:[PA ID]],$B73,CostTrack[[Vendor - Contract]:[Vendor - Contract]],$H73,CostTrack[[Holdback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73" s="504">
        <f ca="1">SUMIFS(CostTrack[[Value]:[Value]],CostTrack[[PA ID]:[PA ID]],$B73,CostTrack[[Vendor - Contract]:[Vendor - Contract]],$H73,CostTrack[[Holdback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73" s="504">
        <f ca="1">SUMIFS(CostTrack[[Value]:[Value]],CostTrack[[PA ID]:[PA ID]],$B73,CostTrack[[Vendor - Contract]:[Vendor - Contract]],$H73,CostTrack[[Holdback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73" s="504">
        <f ca="1">SUMIFS(CostTrack[[Value]:[Value]],CostTrack[[PA ID]:[PA ID]],$B73,CostTrack[[Vendor - Contract]:[Vendor - Contract]],$H73,CostTrack[[Holdback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73" s="504">
        <f ca="1">SUMIFS(CostTrack[[Value]:[Value]],CostTrack[[PA ID]:[PA ID]],$B73,CostTrack[[Vendor - Contract]:[Vendor - Contract]],$H73,CostTrack[[Holdback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73" s="504">
        <f ca="1">SUMIFS(CostTrack[[Value]:[Value]],CostTrack[[PA ID]:[PA ID]],$B73,CostTrack[[Vendor - Contract]:[Vendor - Contract]],$H73,CostTrack[[Holdback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73" s="504">
        <f ca="1">SUMIFS(CostTrack[[Value]:[Value]],CostTrack[[PA ID]:[PA ID]],$B73,CostTrack[[Vendor - Contract]:[Vendor - Contract]],$H73,CostTrack[[Holdback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73" s="504">
        <f ca="1">SUMIFS(CostTrack[[Value]:[Value]],CostTrack[[PA ID]:[PA ID]],$B73,CostTrack[[Vendor - Contract]:[Vendor - Contract]],$H73,CostTrack[[Holdback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73" s="504">
        <f ca="1">SUMIFS(CostTrack[[Value]:[Value]],CostTrack[[PA ID]:[PA ID]],$B73,CostTrack[[Vendor - Contract]:[Vendor - Contract]],$H73,CostTrack[[Holdback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73" s="506">
        <f t="shared" ca="1" si="90"/>
        <v>0</v>
      </c>
      <c r="AI73" s="504">
        <f ca="1">SUMIFS(CostTrack[[Value]:[Value]],CostTrack[[PA ID]:[PA ID]],$B73,CostTrack[[Vendor - Contract]:[Vendor - Contract]],$H73,CostTrack[[Holdback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73" s="504">
        <f ca="1">SUMIFS(CostTrack[[Value]:[Value]],CostTrack[[PA ID]:[PA ID]],$B73,CostTrack[[Vendor - Contract]:[Vendor - Contract]],$H73,CostTrack[[Holdback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73" s="504">
        <f ca="1">SUMIFS(CostTrack[[Value]:[Value]],CostTrack[[PA ID]:[PA ID]],$B73,CostTrack[[Vendor - Contract]:[Vendor - Contract]],$H73,CostTrack[[Holdback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73" s="504">
        <f ca="1">SUMIFS(CostTrack[[Value]:[Value]],CostTrack[[PA ID]:[PA ID]],$B73,CostTrack[[Vendor - Contract]:[Vendor - Contract]],$H73,CostTrack[[Holdback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73" s="504">
        <f ca="1">SUMIFS(CostTrack[[Value]:[Value]],CostTrack[[PA ID]:[PA ID]],$B73,CostTrack[[Vendor - Contract]:[Vendor - Contract]],$H73,CostTrack[[Holdback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73" s="504">
        <f ca="1">SUMIFS(CostTrack[[Value]:[Value]],CostTrack[[PA ID]:[PA ID]],$B73,CostTrack[[Vendor - Contract]:[Vendor - Contract]],$H73,CostTrack[[Holdback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73" s="504">
        <f ca="1">SUMIFS(CostTrack[[Value]:[Value]],CostTrack[[PA ID]:[PA ID]],$B73,CostTrack[[Vendor - Contract]:[Vendor - Contract]],$H73,CostTrack[[Holdback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73" s="504">
        <f ca="1">SUMIFS(CostTrack[[Value]:[Value]],CostTrack[[PA ID]:[PA ID]],$B73,CostTrack[[Vendor - Contract]:[Vendor - Contract]],$H73,CostTrack[[Holdback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73" s="504">
        <f ca="1">SUMIFS(CostTrack[[Value]:[Value]],CostTrack[[PA ID]:[PA ID]],$B73,CostTrack[[Vendor - Contract]:[Vendor - Contract]],$H73,CostTrack[[Holdback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73" s="504">
        <f ca="1">SUMIFS(CostTrack[[Value]:[Value]],CostTrack[[PA ID]:[PA ID]],$B73,CostTrack[[Vendor - Contract]:[Vendor - Contract]],$H73,CostTrack[[Holdback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73" s="504">
        <f ca="1">SUMIFS(CostTrack[[Value]:[Value]],CostTrack[[PA ID]:[PA ID]],$B73,CostTrack[[Vendor - Contract]:[Vendor - Contract]],$H73,CostTrack[[Holdback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73" s="504">
        <f ca="1">SUMIFS(CostTrack[[Value]:[Value]],CostTrack[[PA ID]:[PA ID]],$B73,CostTrack[[Vendor - Contract]:[Vendor - Contract]],$H73,CostTrack[[Holdback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73" s="512">
        <f t="shared" ca="1" si="91"/>
        <v>0</v>
      </c>
      <c r="AW73" s="504">
        <f ca="1">SUMIFS(CostTrack[[Value]:[Value]],CostTrack[[PA ID]:[PA ID]],$B73,CostTrack[[Vendor - Contract]:[Vendor - Contract]],$H73,CostTrack[[Holdback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73" s="504">
        <f ca="1">SUMIFS(CostTrack[[Value]:[Value]],CostTrack[[PA ID]:[PA ID]],$B73,CostTrack[[Vendor - Contract]:[Vendor - Contract]],$H73,CostTrack[[Holdback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73" s="504">
        <f ca="1">SUMIFS(CostTrack[[Value]:[Value]],CostTrack[[PA ID]:[PA ID]],$B73,CostTrack[[Vendor - Contract]:[Vendor - Contract]],$H73,CostTrack[[Holdback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73" s="504">
        <f ca="1">SUMIFS(CostTrack[[Value]:[Value]],CostTrack[[PA ID]:[PA ID]],$B73,CostTrack[[Vendor - Contract]:[Vendor - Contract]],$H73,CostTrack[[Holdback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73" s="504">
        <f ca="1">SUMIFS(CostTrack[[Value]:[Value]],CostTrack[[PA ID]:[PA ID]],$B73,CostTrack[[Vendor - Contract]:[Vendor - Contract]],$H73,CostTrack[[Holdback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73" s="504">
        <f ca="1">SUMIFS(CostTrack[[Value]:[Value]],CostTrack[[PA ID]:[PA ID]],$B73,CostTrack[[Vendor - Contract]:[Vendor - Contract]],$H73,CostTrack[[Holdback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73" s="504">
        <f ca="1">SUMIFS(CostTrack[[Value]:[Value]],CostTrack[[PA ID]:[PA ID]],$B73,CostTrack[[Vendor - Contract]:[Vendor - Contract]],$H73,CostTrack[[Holdback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73" s="504">
        <f ca="1">SUMIFS(CostTrack[[Value]:[Value]],CostTrack[[PA ID]:[PA ID]],$B73,CostTrack[[Vendor - Contract]:[Vendor - Contract]],$H73,CostTrack[[Holdback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73" s="504">
        <f ca="1">SUMIFS(CostTrack[[Value]:[Value]],CostTrack[[PA ID]:[PA ID]],$B73,CostTrack[[Vendor - Contract]:[Vendor - Contract]],$H73,CostTrack[[Holdback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73" s="504">
        <f ca="1">SUMIFS(CostTrack[[Value]:[Value]],CostTrack[[PA ID]:[PA ID]],$B73,CostTrack[[Vendor - Contract]:[Vendor - Contract]],$H73,CostTrack[[Holdback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73" s="504">
        <f ca="1">SUMIFS(CostTrack[[Value]:[Value]],CostTrack[[PA ID]:[PA ID]],$B73,CostTrack[[Vendor - Contract]:[Vendor - Contract]],$H73,CostTrack[[Holdback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73" s="504">
        <f ca="1">SUMIFS(CostTrack[[Value]:[Value]],CostTrack[[PA ID]:[PA ID]],$B73,CostTrack[[Vendor - Contract]:[Vendor - Contract]],$H73,CostTrack[[Holdback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73" s="512">
        <f t="shared" ca="1" si="92"/>
        <v>0</v>
      </c>
      <c r="BK73" s="504">
        <f ca="1">SUMIFS(CostTrack[[Value]:[Value]],CostTrack[[PA ID]:[PA ID]],$B73,CostTrack[[Vendor - Contract]:[Vendor - Contract]],$H73,CostTrack[[Holdback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73" s="504">
        <f ca="1">SUMIFS(CostTrack[[Value]:[Value]],CostTrack[[PA ID]:[PA ID]],$B73,CostTrack[[Vendor - Contract]:[Vendor - Contract]],$H73,CostTrack[[Holdback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73" s="504">
        <f ca="1">SUMIFS(CostTrack[[Value]:[Value]],CostTrack[[PA ID]:[PA ID]],$B73,CostTrack[[Vendor - Contract]:[Vendor - Contract]],$H73,CostTrack[[Holdback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73" s="504">
        <f ca="1">SUMIFS(CostTrack[[Value]:[Value]],CostTrack[[PA ID]:[PA ID]],$B73,CostTrack[[Vendor - Contract]:[Vendor - Contract]],$H73,CostTrack[[Holdback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73" s="504">
        <f ca="1">SUMIFS(CostTrack[[Value]:[Value]],CostTrack[[PA ID]:[PA ID]],$B73,CostTrack[[Vendor - Contract]:[Vendor - Contract]],$H73,CostTrack[[Holdback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73" s="504">
        <f ca="1">SUMIFS(CostTrack[[Value]:[Value]],CostTrack[[PA ID]:[PA ID]],$B73,CostTrack[[Vendor - Contract]:[Vendor - Contract]],$H73,CostTrack[[Holdback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73" s="504">
        <f ca="1">SUMIFS(CostTrack[[Value]:[Value]],CostTrack[[PA ID]:[PA ID]],$B73,CostTrack[[Vendor - Contract]:[Vendor - Contract]],$H73,CostTrack[[Holdback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73" s="504">
        <f ca="1">SUMIFS(CostTrack[[Value]:[Value]],CostTrack[[PA ID]:[PA ID]],$B73,CostTrack[[Vendor - Contract]:[Vendor - Contract]],$H73,CostTrack[[Holdback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73" s="504">
        <f ca="1">SUMIFS(CostTrack[[Value]:[Value]],CostTrack[[PA ID]:[PA ID]],$B73,CostTrack[[Vendor - Contract]:[Vendor - Contract]],$H73,CostTrack[[Holdback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73" s="504">
        <f ca="1">SUMIFS(CostTrack[[Value]:[Value]],CostTrack[[PA ID]:[PA ID]],$B73,CostTrack[[Vendor - Contract]:[Vendor - Contract]],$H73,CostTrack[[Holdback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73" s="504">
        <f ca="1">SUMIFS(CostTrack[[Value]:[Value]],CostTrack[[PA ID]:[PA ID]],$B73,CostTrack[[Vendor - Contract]:[Vendor - Contract]],$H73,CostTrack[[Holdback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73" s="504">
        <f ca="1">SUMIFS(CostTrack[[Value]:[Value]],CostTrack[[PA ID]:[PA ID]],$B73,CostTrack[[Vendor - Contract]:[Vendor - Contract]],$H73,CostTrack[[Holdback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73" s="512">
        <f t="shared" ca="1" si="93"/>
        <v>0</v>
      </c>
      <c r="BY73" s="504">
        <f ca="1">SUMIFS(CostTrack[[Value]:[Value]],CostTrack[[PA ID]:[PA ID]],$B73,CostTrack[[Vendor - Contract]:[Vendor - Contract]],$H73,CostTrack[[Holdback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73" s="504">
        <f ca="1">SUMIFS(CostTrack[[Value]:[Value]],CostTrack[[PA ID]:[PA ID]],$B73,CostTrack[[Vendor - Contract]:[Vendor - Contract]],$H73,CostTrack[[Holdback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73" s="504">
        <f ca="1">SUMIFS(CostTrack[[Value]:[Value]],CostTrack[[PA ID]:[PA ID]],$B73,CostTrack[[Vendor - Contract]:[Vendor - Contract]],$H73,CostTrack[[Holdback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73" s="504">
        <f ca="1">SUMIFS(CostTrack[[Value]:[Value]],CostTrack[[PA ID]:[PA ID]],$B73,CostTrack[[Vendor - Contract]:[Vendor - Contract]],$H73,CostTrack[[Holdback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73" s="504">
        <f ca="1">SUMIFS(CostTrack[[Value]:[Value]],CostTrack[[PA ID]:[PA ID]],$B73,CostTrack[[Vendor - Contract]:[Vendor - Contract]],$H73,CostTrack[[Holdback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73" s="504">
        <f ca="1">SUMIFS(CostTrack[[Value]:[Value]],CostTrack[[PA ID]:[PA ID]],$B73,CostTrack[[Vendor - Contract]:[Vendor - Contract]],$H73,CostTrack[[Holdback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73" s="504">
        <f ca="1">SUMIFS(CostTrack[[Value]:[Value]],CostTrack[[PA ID]:[PA ID]],$B73,CostTrack[[Vendor - Contract]:[Vendor - Contract]],$H73,CostTrack[[Holdback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73" s="504">
        <f ca="1">SUMIFS(CostTrack[[Value]:[Value]],CostTrack[[PA ID]:[PA ID]],$B73,CostTrack[[Vendor - Contract]:[Vendor - Contract]],$H73,CostTrack[[Holdback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73" s="504">
        <f ca="1">SUMIFS(CostTrack[[Value]:[Value]],CostTrack[[PA ID]:[PA ID]],$B73,CostTrack[[Vendor - Contract]:[Vendor - Contract]],$H73,CostTrack[[Holdback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73" s="504">
        <f ca="1">SUMIFS(CostTrack[[Value]:[Value]],CostTrack[[PA ID]:[PA ID]],$B73,CostTrack[[Vendor - Contract]:[Vendor - Contract]],$H73,CostTrack[[Holdback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73" s="504">
        <f ca="1">SUMIFS(CostTrack[[Value]:[Value]],CostTrack[[PA ID]:[PA ID]],$B73,CostTrack[[Vendor - Contract]:[Vendor - Contract]],$H73,CostTrack[[Holdback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73" s="504">
        <f ca="1">SUMIFS(CostTrack[[Value]:[Value]],CostTrack[[PA ID]:[PA ID]],$B73,CostTrack[[Vendor - Contract]:[Vendor - Contract]],$H73,CostTrack[[Holdback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73" s="512">
        <f t="shared" ca="1" si="94"/>
        <v>0</v>
      </c>
      <c r="CM73" s="504">
        <f ca="1">SUMIFS(CostTrack[[Value]:[Value]],CostTrack[[PA ID]:[PA ID]],$B73,CostTrack[[Vendor - Contract]:[Vendor - Contract]],$H73,CostTrack[[Holdback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73" s="504">
        <f ca="1">SUMIFS(CostTrack[[Value]:[Value]],CostTrack[[PA ID]:[PA ID]],$B73,CostTrack[[Vendor - Contract]:[Vendor - Contract]],$H73,CostTrack[[Holdback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73" s="504">
        <f ca="1">SUMIFS(CostTrack[[Value]:[Value]],CostTrack[[PA ID]:[PA ID]],$B73,CostTrack[[Vendor - Contract]:[Vendor - Contract]],$H73,CostTrack[[Holdback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35</v>
      </c>
      <c r="CP73" s="504">
        <f ca="1">SUMIFS(CostTrack[[Value]:[Value]],CostTrack[[PA ID]:[PA ID]],$B73,CostTrack[[Vendor - Contract]:[Vendor - Contract]],$H73,CostTrack[[Holdback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73" s="504">
        <f ca="1">SUMIFS(CostTrack[[Value]:[Value]],CostTrack[[PA ID]:[PA ID]],$B73,CostTrack[[Vendor - Contract]:[Vendor - Contract]],$H73,CostTrack[[Holdback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73" s="504">
        <f ca="1">SUMIFS(CostTrack[[Value]:[Value]],CostTrack[[PA ID]:[PA ID]],$B73,CostTrack[[Vendor - Contract]:[Vendor - Contract]],$H73,CostTrack[[Holdback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73" s="504">
        <f ca="1">SUMIFS(CostTrack[[Value]:[Value]],CostTrack[[PA ID]:[PA ID]],$B73,CostTrack[[Vendor - Contract]:[Vendor - Contract]],$H73,CostTrack[[Holdback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73" s="504">
        <f ca="1">SUMIFS(CostTrack[[Value]:[Value]],CostTrack[[PA ID]:[PA ID]],$B73,CostTrack[[Vendor - Contract]:[Vendor - Contract]],$H73,CostTrack[[Holdback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73" s="504">
        <f ca="1">SUMIFS(CostTrack[[Value]:[Value]],CostTrack[[PA ID]:[PA ID]],$B73,CostTrack[[Vendor - Contract]:[Vendor - Contract]],$H73,CostTrack[[Holdback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73" s="504">
        <f ca="1">SUMIFS(CostTrack[[Value]:[Value]],CostTrack[[PA ID]:[PA ID]],$B73,CostTrack[[Vendor - Contract]:[Vendor - Contract]],$H73,CostTrack[[Holdback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73" s="504">
        <f ca="1">SUMIFS(CostTrack[[Value]:[Value]],CostTrack[[PA ID]:[PA ID]],$B73,CostTrack[[Vendor - Contract]:[Vendor - Contract]],$H73,CostTrack[[Holdback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73" s="504">
        <f ca="1">SUMIFS(CostTrack[[Value]:[Value]],CostTrack[[PA ID]:[PA ID]],$B73,CostTrack[[Vendor - Contract]:[Vendor - Contract]],$H73,CostTrack[[Holdback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73" s="512">
        <f t="shared" ca="1" si="79"/>
        <v>35</v>
      </c>
      <c r="DA73" s="504">
        <f ca="1">SUMIFS(CostTrack[[Value]:[Value]],CostTrack[[PA ID]:[PA ID]],$B73,CostTrack[[Vendor - Contract]:[Vendor - Contract]],$H73,CostTrack[[Holdback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73" s="504">
        <f ca="1">SUMIFS(CostTrack[[Value]:[Value]],CostTrack[[PA ID]:[PA ID]],$B73,CostTrack[[Vendor - Contract]:[Vendor - Contract]],$H73,CostTrack[[Holdback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73" s="504">
        <f ca="1">SUMIFS(CostTrack[[Value]:[Value]],CostTrack[[PA ID]:[PA ID]],$B73,CostTrack[[Vendor - Contract]:[Vendor - Contract]],$H73,CostTrack[[Holdback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73" s="504">
        <f ca="1">SUMIFS(CostTrack[[Value]:[Value]],CostTrack[[PA ID]:[PA ID]],$B73,CostTrack[[Vendor - Contract]:[Vendor - Contract]],$H73,CostTrack[[Holdback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73" s="504">
        <f ca="1">SUMIFS(CostTrack[[Value]:[Value]],CostTrack[[PA ID]:[PA ID]],$B73,CostTrack[[Vendor - Contract]:[Vendor - Contract]],$H73,CostTrack[[Holdback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73" s="504">
        <f ca="1">SUMIFS(CostTrack[[Value]:[Value]],CostTrack[[PA ID]:[PA ID]],$B73,CostTrack[[Vendor - Contract]:[Vendor - Contract]],$H73,CostTrack[[Holdback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73" s="504">
        <f ca="1">SUMIFS(CostTrack[[Value]:[Value]],CostTrack[[PA ID]:[PA ID]],$B73,CostTrack[[Vendor - Contract]:[Vendor - Contract]],$H73,CostTrack[[Holdback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73" s="504">
        <f ca="1">SUMIFS(CostTrack[[Value]:[Value]],CostTrack[[PA ID]:[PA ID]],$B73,CostTrack[[Vendor - Contract]:[Vendor - Contract]],$H73,CostTrack[[Holdback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73" s="504">
        <f ca="1">SUMIFS(CostTrack[[Value]:[Value]],CostTrack[[PA ID]:[PA ID]],$B73,CostTrack[[Vendor - Contract]:[Vendor - Contract]],$H73,CostTrack[[Holdback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73" s="504">
        <f ca="1">SUMIFS(CostTrack[[Value]:[Value]],CostTrack[[PA ID]:[PA ID]],$B73,CostTrack[[Vendor - Contract]:[Vendor - Contract]],$H73,CostTrack[[Holdback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73" s="504">
        <f ca="1">SUMIFS(CostTrack[[Value]:[Value]],CostTrack[[PA ID]:[PA ID]],$B73,CostTrack[[Vendor - Contract]:[Vendor - Contract]],$H73,CostTrack[[Holdback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73" s="504">
        <f ca="1">SUMIFS(CostTrack[[Value]:[Value]],CostTrack[[PA ID]:[PA ID]],$B73,CostTrack[[Vendor - Contract]:[Vendor - Contract]],$H73,CostTrack[[Holdback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73" s="512">
        <f t="shared" ca="1" si="80"/>
        <v>0</v>
      </c>
      <c r="DO73" s="504">
        <f ca="1">SUMIFS(CostTrack[[Value]:[Value]],CostTrack[[PA ID]:[PA ID]],$B73,CostTrack[[Vendor - Contract]:[Vendor - Contract]],$H73,CostTrack[[Holdback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73" s="504">
        <f ca="1">SUMIFS(CostTrack[[Value]:[Value]],CostTrack[[PA ID]:[PA ID]],$B73,CostTrack[[Vendor - Contract]:[Vendor - Contract]],$H73,CostTrack[[Holdback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73" s="504">
        <f ca="1">SUMIFS(CostTrack[[Value]:[Value]],CostTrack[[PA ID]:[PA ID]],$B73,CostTrack[[Vendor - Contract]:[Vendor - Contract]],$H73,CostTrack[[Holdback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73" s="504">
        <f ca="1">SUMIFS(CostTrack[[Value]:[Value]],CostTrack[[PA ID]:[PA ID]],$B73,CostTrack[[Vendor - Contract]:[Vendor - Contract]],$H73,CostTrack[[Holdback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73" s="504">
        <f ca="1">SUMIFS(CostTrack[[Value]:[Value]],CostTrack[[PA ID]:[PA ID]],$B73,CostTrack[[Vendor - Contract]:[Vendor - Contract]],$H73,CostTrack[[Holdback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73" s="504">
        <f ca="1">SUMIFS(CostTrack[[Value]:[Value]],CostTrack[[PA ID]:[PA ID]],$B73,CostTrack[[Vendor - Contract]:[Vendor - Contract]],$H73,CostTrack[[Holdback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73" s="504">
        <f ca="1">SUMIFS(CostTrack[[Value]:[Value]],CostTrack[[PA ID]:[PA ID]],$B73,CostTrack[[Vendor - Contract]:[Vendor - Contract]],$H73,CostTrack[[Holdback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73" s="504">
        <f ca="1">SUMIFS(CostTrack[[Value]:[Value]],CostTrack[[PA ID]:[PA ID]],$B73,CostTrack[[Vendor - Contract]:[Vendor - Contract]],$H73,CostTrack[[Holdback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73" s="504">
        <f ca="1">SUMIFS(CostTrack[[Value]:[Value]],CostTrack[[PA ID]:[PA ID]],$B73,CostTrack[[Vendor - Contract]:[Vendor - Contract]],$H73,CostTrack[[Holdback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73" s="504">
        <f ca="1">SUMIFS(CostTrack[[Value]:[Value]],CostTrack[[PA ID]:[PA ID]],$B73,CostTrack[[Vendor - Contract]:[Vendor - Contract]],$H73,CostTrack[[Holdback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73" s="504">
        <f ca="1">SUMIFS(CostTrack[[Value]:[Value]],CostTrack[[PA ID]:[PA ID]],$B73,CostTrack[[Vendor - Contract]:[Vendor - Contract]],$H73,CostTrack[[Holdback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73" s="504">
        <f ca="1">SUMIFS(CostTrack[[Value]:[Value]],CostTrack[[PA ID]:[PA ID]],$B73,CostTrack[[Vendor - Contract]:[Vendor - Contract]],$H73,CostTrack[[Holdback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73" s="512">
        <f t="shared" ca="1" si="81"/>
        <v>0</v>
      </c>
      <c r="EC73" s="504">
        <f ca="1">SUMIFS(CostTrack[[Value]:[Value]],CostTrack[[PA ID]:[PA ID]],$B73,CostTrack[[Vendor - Contract]:[Vendor - Contract]],$H73,CostTrack[[Holdback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73" s="505"/>
      <c r="EE73" s="505"/>
      <c r="EF73" s="505"/>
      <c r="EG73" s="505"/>
      <c r="EH73" s="505"/>
      <c r="EI73" s="505"/>
      <c r="EJ73" s="505"/>
      <c r="EK73" s="505"/>
      <c r="EL73" s="505"/>
      <c r="EM73" s="505"/>
      <c r="EN73" s="505"/>
      <c r="EO73" s="512">
        <f t="shared" ca="1" si="82"/>
        <v>0</v>
      </c>
      <c r="EQ73" s="505"/>
      <c r="ER73" s="505"/>
      <c r="ES73" s="505"/>
      <c r="ET73" s="505"/>
      <c r="EU73" s="505"/>
      <c r="EV73" s="505"/>
      <c r="EW73" s="505"/>
      <c r="EX73" s="505"/>
      <c r="EY73" s="505"/>
      <c r="EZ73" s="505"/>
      <c r="FA73" s="505"/>
      <c r="FB73" s="505"/>
      <c r="FC73" s="512">
        <f t="shared" si="83"/>
        <v>0</v>
      </c>
      <c r="FE73" s="505"/>
      <c r="FF73" s="505"/>
      <c r="FG73" s="505"/>
      <c r="FH73" s="505"/>
      <c r="FI73" s="505"/>
      <c r="FJ73" s="505"/>
      <c r="FK73" s="505"/>
      <c r="FL73" s="505"/>
      <c r="FM73" s="505"/>
      <c r="FN73" s="505"/>
      <c r="FO73" s="505"/>
      <c r="FP73" s="505"/>
      <c r="FQ73" s="512">
        <f t="shared" si="84"/>
        <v>0</v>
      </c>
      <c r="FS73" s="504">
        <f t="shared" ca="1" si="85"/>
        <v>35</v>
      </c>
    </row>
    <row r="74" spans="1:175" ht="24" customHeight="1">
      <c r="A74" s="216">
        <v>67</v>
      </c>
      <c r="B74" s="219" t="str">
        <f ca="1">INDEX(EAC[PA ID],MATCH($A74,EAC[Row],0))</f>
        <v>300.060.F1</v>
      </c>
      <c r="C74" s="218" t="str">
        <f ca="1">INDEX(EAC[Primary Category],MATCH($A74,EAC[Row],0))</f>
        <v>Construction</v>
      </c>
      <c r="D74" s="218" t="str">
        <f ca="1">INDEX(EAC[Secondary Category],MATCH($A74,EAC[Row],0))</f>
        <v>Contingency - Const. Phase</v>
      </c>
      <c r="E74" s="109" t="str">
        <f ca="1">INDEX(EAC[Phase / Subproject],MATCH($A74,EAC[Row],0))</f>
        <v>--</v>
      </c>
      <c r="F74" s="109" t="str">
        <f ca="1">INDEX(EAC[Phase / Subproject 2],MATCH($A74,EAC[Row],0))</f>
        <v>--</v>
      </c>
      <c r="G74" s="109" t="str">
        <f ca="1">INDEX(EAC[Funding Source],MATCH($A74,EAC[Row],0))</f>
        <v>P-002360</v>
      </c>
      <c r="H74" s="146" t="str">
        <f ca="1">INDEX(EAC[Vendor / Org. with Contract ID],MATCH($A74,EAC[Row],0))</f>
        <v>Future / Not Awarded</v>
      </c>
      <c r="I74" s="502">
        <f ca="1">INDEX(EAC[Estimate At Completion],MATCH($A74,EAC[Row],0))</f>
        <v>1500000</v>
      </c>
      <c r="J74" s="502">
        <f ca="1">SUMIFS(CostTrack[Value],CostTrack[Vendor - Contract],$H74,CostTrack[PA ID],$B74,CostTrack[Holdback (Y/N/R)],"&lt;&gt;Release",CostTrack[Status],"Approved")</f>
        <v>0</v>
      </c>
      <c r="K74" s="503">
        <f t="shared" ca="1" si="95"/>
        <v>1500000</v>
      </c>
      <c r="M74" s="504">
        <f t="shared" ca="1" si="86"/>
        <v>0</v>
      </c>
      <c r="O74" s="504">
        <f t="shared" ca="1" si="87"/>
        <v>0</v>
      </c>
      <c r="P74" s="504">
        <f t="array" aca="1" ref="P74" ca="1">SUM($U74:$FQ74*_xlfn.ISFORMULA($U74:$FQ74)*ISNUMBER($U$7:$FQ$7)*--(INDEX($U$6:$FQ$6,N(IF({1},COLUMN($U$6:$FQ$6)-COLUMN($T$6)))-MOD(N(IF({1},COLUMN($U$6:$FQ$6)-COLUMN($U$6))),14))="Current Fiscal"))</f>
        <v>0</v>
      </c>
      <c r="Q74" s="504">
        <f t="array" aca="1" ref="Q74" ca="1">SUM($U74:$FQ74*NOT(_xlfn.ISFORMULA($U74:$FQ74))*ISNUMBER($U$7:$FQ$7)*--(INDEX($U$6:$FQ$6,N(IF({1},COLUMN($U$6:$FQ$6)-COLUMN($T$6)))-MOD(N(IF({1},COLUMN($U$6:$FQ$6)-COLUMN($U$6))),14))="Current Fiscal"))</f>
        <v>0</v>
      </c>
      <c r="R74" s="504">
        <f t="shared" ca="1" si="88"/>
        <v>0</v>
      </c>
      <c r="S74" s="504">
        <f t="shared" ca="1" si="89"/>
        <v>1500000</v>
      </c>
      <c r="U74" s="504">
        <f ca="1">SUMIFS(CostTrack[[Value]:[Value]],CostTrack[[PA ID]:[PA ID]],$B74,CostTrack[[Vendor - Contract]:[Vendor - Contract]],$H74,CostTrack[[Holdback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74" s="504">
        <f ca="1">SUMIFS(CostTrack[[Value]:[Value]],CostTrack[[PA ID]:[PA ID]],$B74,CostTrack[[Vendor - Contract]:[Vendor - Contract]],$H74,CostTrack[[Holdback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74" s="504">
        <f ca="1">SUMIFS(CostTrack[[Value]:[Value]],CostTrack[[PA ID]:[PA ID]],$B74,CostTrack[[Vendor - Contract]:[Vendor - Contract]],$H74,CostTrack[[Holdback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74" s="504">
        <f ca="1">SUMIFS(CostTrack[[Value]:[Value]],CostTrack[[PA ID]:[PA ID]],$B74,CostTrack[[Vendor - Contract]:[Vendor - Contract]],$H74,CostTrack[[Holdback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74" s="504">
        <f ca="1">SUMIFS(CostTrack[[Value]:[Value]],CostTrack[[PA ID]:[PA ID]],$B74,CostTrack[[Vendor - Contract]:[Vendor - Contract]],$H74,CostTrack[[Holdback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74" s="504">
        <f ca="1">SUMIFS(CostTrack[[Value]:[Value]],CostTrack[[PA ID]:[PA ID]],$B74,CostTrack[[Vendor - Contract]:[Vendor - Contract]],$H74,CostTrack[[Holdback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74" s="504">
        <f ca="1">SUMIFS(CostTrack[[Value]:[Value]],CostTrack[[PA ID]:[PA ID]],$B74,CostTrack[[Vendor - Contract]:[Vendor - Contract]],$H74,CostTrack[[Holdback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74" s="504">
        <f ca="1">SUMIFS(CostTrack[[Value]:[Value]],CostTrack[[PA ID]:[PA ID]],$B74,CostTrack[[Vendor - Contract]:[Vendor - Contract]],$H74,CostTrack[[Holdback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74" s="504">
        <f ca="1">SUMIFS(CostTrack[[Value]:[Value]],CostTrack[[PA ID]:[PA ID]],$B74,CostTrack[[Vendor - Contract]:[Vendor - Contract]],$H74,CostTrack[[Holdback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74" s="504">
        <f ca="1">SUMIFS(CostTrack[[Value]:[Value]],CostTrack[[PA ID]:[PA ID]],$B74,CostTrack[[Vendor - Contract]:[Vendor - Contract]],$H74,CostTrack[[Holdback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74" s="504">
        <f ca="1">SUMIFS(CostTrack[[Value]:[Value]],CostTrack[[PA ID]:[PA ID]],$B74,CostTrack[[Vendor - Contract]:[Vendor - Contract]],$H74,CostTrack[[Holdback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74" s="504">
        <f ca="1">SUMIFS(CostTrack[[Value]:[Value]],CostTrack[[PA ID]:[PA ID]],$B74,CostTrack[[Vendor - Contract]:[Vendor - Contract]],$H74,CostTrack[[Holdback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74" s="506">
        <f t="shared" ca="1" si="90"/>
        <v>0</v>
      </c>
      <c r="AI74" s="504">
        <f ca="1">SUMIFS(CostTrack[[Value]:[Value]],CostTrack[[PA ID]:[PA ID]],$B74,CostTrack[[Vendor - Contract]:[Vendor - Contract]],$H74,CostTrack[[Holdback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74" s="504">
        <f ca="1">SUMIFS(CostTrack[[Value]:[Value]],CostTrack[[PA ID]:[PA ID]],$B74,CostTrack[[Vendor - Contract]:[Vendor - Contract]],$H74,CostTrack[[Holdback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74" s="504">
        <f ca="1">SUMIFS(CostTrack[[Value]:[Value]],CostTrack[[PA ID]:[PA ID]],$B74,CostTrack[[Vendor - Contract]:[Vendor - Contract]],$H74,CostTrack[[Holdback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74" s="504">
        <f ca="1">SUMIFS(CostTrack[[Value]:[Value]],CostTrack[[PA ID]:[PA ID]],$B74,CostTrack[[Vendor - Contract]:[Vendor - Contract]],$H74,CostTrack[[Holdback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74" s="504">
        <f ca="1">SUMIFS(CostTrack[[Value]:[Value]],CostTrack[[PA ID]:[PA ID]],$B74,CostTrack[[Vendor - Contract]:[Vendor - Contract]],$H74,CostTrack[[Holdback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74" s="504">
        <f ca="1">SUMIFS(CostTrack[[Value]:[Value]],CostTrack[[PA ID]:[PA ID]],$B74,CostTrack[[Vendor - Contract]:[Vendor - Contract]],$H74,CostTrack[[Holdback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74" s="504">
        <f ca="1">SUMIFS(CostTrack[[Value]:[Value]],CostTrack[[PA ID]:[PA ID]],$B74,CostTrack[[Vendor - Contract]:[Vendor - Contract]],$H74,CostTrack[[Holdback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74" s="504">
        <f ca="1">SUMIFS(CostTrack[[Value]:[Value]],CostTrack[[PA ID]:[PA ID]],$B74,CostTrack[[Vendor - Contract]:[Vendor - Contract]],$H74,CostTrack[[Holdback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74" s="504">
        <f ca="1">SUMIFS(CostTrack[[Value]:[Value]],CostTrack[[PA ID]:[PA ID]],$B74,CostTrack[[Vendor - Contract]:[Vendor - Contract]],$H74,CostTrack[[Holdback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74" s="504">
        <f ca="1">SUMIFS(CostTrack[[Value]:[Value]],CostTrack[[PA ID]:[PA ID]],$B74,CostTrack[[Vendor - Contract]:[Vendor - Contract]],$H74,CostTrack[[Holdback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74" s="504">
        <f ca="1">SUMIFS(CostTrack[[Value]:[Value]],CostTrack[[PA ID]:[PA ID]],$B74,CostTrack[[Vendor - Contract]:[Vendor - Contract]],$H74,CostTrack[[Holdback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74" s="504">
        <f ca="1">SUMIFS(CostTrack[[Value]:[Value]],CostTrack[[PA ID]:[PA ID]],$B74,CostTrack[[Vendor - Contract]:[Vendor - Contract]],$H74,CostTrack[[Holdback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74" s="512">
        <f t="shared" ca="1" si="91"/>
        <v>0</v>
      </c>
      <c r="AW74" s="504">
        <f ca="1">SUMIFS(CostTrack[[Value]:[Value]],CostTrack[[PA ID]:[PA ID]],$B74,CostTrack[[Vendor - Contract]:[Vendor - Contract]],$H74,CostTrack[[Holdback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74" s="504">
        <f ca="1">SUMIFS(CostTrack[[Value]:[Value]],CostTrack[[PA ID]:[PA ID]],$B74,CostTrack[[Vendor - Contract]:[Vendor - Contract]],$H74,CostTrack[[Holdback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74" s="504">
        <f ca="1">SUMIFS(CostTrack[[Value]:[Value]],CostTrack[[PA ID]:[PA ID]],$B74,CostTrack[[Vendor - Contract]:[Vendor - Contract]],$H74,CostTrack[[Holdback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74" s="504">
        <f ca="1">SUMIFS(CostTrack[[Value]:[Value]],CostTrack[[PA ID]:[PA ID]],$B74,CostTrack[[Vendor - Contract]:[Vendor - Contract]],$H74,CostTrack[[Holdback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74" s="504">
        <f ca="1">SUMIFS(CostTrack[[Value]:[Value]],CostTrack[[PA ID]:[PA ID]],$B74,CostTrack[[Vendor - Contract]:[Vendor - Contract]],$H74,CostTrack[[Holdback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74" s="504">
        <f ca="1">SUMIFS(CostTrack[[Value]:[Value]],CostTrack[[PA ID]:[PA ID]],$B74,CostTrack[[Vendor - Contract]:[Vendor - Contract]],$H74,CostTrack[[Holdback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74" s="504">
        <f ca="1">SUMIFS(CostTrack[[Value]:[Value]],CostTrack[[PA ID]:[PA ID]],$B74,CostTrack[[Vendor - Contract]:[Vendor - Contract]],$H74,CostTrack[[Holdback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74" s="504">
        <f ca="1">SUMIFS(CostTrack[[Value]:[Value]],CostTrack[[PA ID]:[PA ID]],$B74,CostTrack[[Vendor - Contract]:[Vendor - Contract]],$H74,CostTrack[[Holdback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74" s="504">
        <f ca="1">SUMIFS(CostTrack[[Value]:[Value]],CostTrack[[PA ID]:[PA ID]],$B74,CostTrack[[Vendor - Contract]:[Vendor - Contract]],$H74,CostTrack[[Holdback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74" s="504">
        <f ca="1">SUMIFS(CostTrack[[Value]:[Value]],CostTrack[[PA ID]:[PA ID]],$B74,CostTrack[[Vendor - Contract]:[Vendor - Contract]],$H74,CostTrack[[Holdback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74" s="504">
        <f ca="1">SUMIFS(CostTrack[[Value]:[Value]],CostTrack[[PA ID]:[PA ID]],$B74,CostTrack[[Vendor - Contract]:[Vendor - Contract]],$H74,CostTrack[[Holdback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74" s="504">
        <f ca="1">SUMIFS(CostTrack[[Value]:[Value]],CostTrack[[PA ID]:[PA ID]],$B74,CostTrack[[Vendor - Contract]:[Vendor - Contract]],$H74,CostTrack[[Holdback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74" s="512">
        <f t="shared" ca="1" si="92"/>
        <v>0</v>
      </c>
      <c r="BK74" s="504">
        <f ca="1">SUMIFS(CostTrack[[Value]:[Value]],CostTrack[[PA ID]:[PA ID]],$B74,CostTrack[[Vendor - Contract]:[Vendor - Contract]],$H74,CostTrack[[Holdback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74" s="504">
        <f ca="1">SUMIFS(CostTrack[[Value]:[Value]],CostTrack[[PA ID]:[PA ID]],$B74,CostTrack[[Vendor - Contract]:[Vendor - Contract]],$H74,CostTrack[[Holdback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74" s="504">
        <f ca="1">SUMIFS(CostTrack[[Value]:[Value]],CostTrack[[PA ID]:[PA ID]],$B74,CostTrack[[Vendor - Contract]:[Vendor - Contract]],$H74,CostTrack[[Holdback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74" s="504">
        <f ca="1">SUMIFS(CostTrack[[Value]:[Value]],CostTrack[[PA ID]:[PA ID]],$B74,CostTrack[[Vendor - Contract]:[Vendor - Contract]],$H74,CostTrack[[Holdback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74" s="504">
        <f ca="1">SUMIFS(CostTrack[[Value]:[Value]],CostTrack[[PA ID]:[PA ID]],$B74,CostTrack[[Vendor - Contract]:[Vendor - Contract]],$H74,CostTrack[[Holdback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74" s="504">
        <f ca="1">SUMIFS(CostTrack[[Value]:[Value]],CostTrack[[PA ID]:[PA ID]],$B74,CostTrack[[Vendor - Contract]:[Vendor - Contract]],$H74,CostTrack[[Holdback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74" s="504">
        <f ca="1">SUMIFS(CostTrack[[Value]:[Value]],CostTrack[[PA ID]:[PA ID]],$B74,CostTrack[[Vendor - Contract]:[Vendor - Contract]],$H74,CostTrack[[Holdback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74" s="504">
        <f ca="1">SUMIFS(CostTrack[[Value]:[Value]],CostTrack[[PA ID]:[PA ID]],$B74,CostTrack[[Vendor - Contract]:[Vendor - Contract]],$H74,CostTrack[[Holdback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74" s="504">
        <f ca="1">SUMIFS(CostTrack[[Value]:[Value]],CostTrack[[PA ID]:[PA ID]],$B74,CostTrack[[Vendor - Contract]:[Vendor - Contract]],$H74,CostTrack[[Holdback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74" s="504">
        <f ca="1">SUMIFS(CostTrack[[Value]:[Value]],CostTrack[[PA ID]:[PA ID]],$B74,CostTrack[[Vendor - Contract]:[Vendor - Contract]],$H74,CostTrack[[Holdback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74" s="504">
        <f ca="1">SUMIFS(CostTrack[[Value]:[Value]],CostTrack[[PA ID]:[PA ID]],$B74,CostTrack[[Vendor - Contract]:[Vendor - Contract]],$H74,CostTrack[[Holdback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74" s="504">
        <f ca="1">SUMIFS(CostTrack[[Value]:[Value]],CostTrack[[PA ID]:[PA ID]],$B74,CostTrack[[Vendor - Contract]:[Vendor - Contract]],$H74,CostTrack[[Holdback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74" s="512">
        <f t="shared" ca="1" si="93"/>
        <v>0</v>
      </c>
      <c r="BY74" s="504">
        <f ca="1">SUMIFS(CostTrack[[Value]:[Value]],CostTrack[[PA ID]:[PA ID]],$B74,CostTrack[[Vendor - Contract]:[Vendor - Contract]],$H74,CostTrack[[Holdback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74" s="504">
        <f ca="1">SUMIFS(CostTrack[[Value]:[Value]],CostTrack[[PA ID]:[PA ID]],$B74,CostTrack[[Vendor - Contract]:[Vendor - Contract]],$H74,CostTrack[[Holdback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74" s="504">
        <f ca="1">SUMIFS(CostTrack[[Value]:[Value]],CostTrack[[PA ID]:[PA ID]],$B74,CostTrack[[Vendor - Contract]:[Vendor - Contract]],$H74,CostTrack[[Holdback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74" s="504">
        <f ca="1">SUMIFS(CostTrack[[Value]:[Value]],CostTrack[[PA ID]:[PA ID]],$B74,CostTrack[[Vendor - Contract]:[Vendor - Contract]],$H74,CostTrack[[Holdback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74" s="504">
        <f ca="1">SUMIFS(CostTrack[[Value]:[Value]],CostTrack[[PA ID]:[PA ID]],$B74,CostTrack[[Vendor - Contract]:[Vendor - Contract]],$H74,CostTrack[[Holdback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74" s="504">
        <f ca="1">SUMIFS(CostTrack[[Value]:[Value]],CostTrack[[PA ID]:[PA ID]],$B74,CostTrack[[Vendor - Contract]:[Vendor - Contract]],$H74,CostTrack[[Holdback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74" s="504">
        <f ca="1">SUMIFS(CostTrack[[Value]:[Value]],CostTrack[[PA ID]:[PA ID]],$B74,CostTrack[[Vendor - Contract]:[Vendor - Contract]],$H74,CostTrack[[Holdback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74" s="504">
        <f ca="1">SUMIFS(CostTrack[[Value]:[Value]],CostTrack[[PA ID]:[PA ID]],$B74,CostTrack[[Vendor - Contract]:[Vendor - Contract]],$H74,CostTrack[[Holdback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74" s="504">
        <f ca="1">SUMIFS(CostTrack[[Value]:[Value]],CostTrack[[PA ID]:[PA ID]],$B74,CostTrack[[Vendor - Contract]:[Vendor - Contract]],$H74,CostTrack[[Holdback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74" s="504">
        <f ca="1">SUMIFS(CostTrack[[Value]:[Value]],CostTrack[[PA ID]:[PA ID]],$B74,CostTrack[[Vendor - Contract]:[Vendor - Contract]],$H74,CostTrack[[Holdback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74" s="504">
        <f ca="1">SUMIFS(CostTrack[[Value]:[Value]],CostTrack[[PA ID]:[PA ID]],$B74,CostTrack[[Vendor - Contract]:[Vendor - Contract]],$H74,CostTrack[[Holdback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74" s="504">
        <f ca="1">SUMIFS(CostTrack[[Value]:[Value]],CostTrack[[PA ID]:[PA ID]],$B74,CostTrack[[Vendor - Contract]:[Vendor - Contract]],$H74,CostTrack[[Holdback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74" s="512">
        <f t="shared" ca="1" si="94"/>
        <v>0</v>
      </c>
      <c r="CM74" s="504">
        <f ca="1">SUMIFS(CostTrack[[Value]:[Value]],CostTrack[[PA ID]:[PA ID]],$B74,CostTrack[[Vendor - Contract]:[Vendor - Contract]],$H74,CostTrack[[Holdback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74" s="504">
        <f ca="1">SUMIFS(CostTrack[[Value]:[Value]],CostTrack[[PA ID]:[PA ID]],$B74,CostTrack[[Vendor - Contract]:[Vendor - Contract]],$H74,CostTrack[[Holdback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74" s="504">
        <f ca="1">SUMIFS(CostTrack[[Value]:[Value]],CostTrack[[PA ID]:[PA ID]],$B74,CostTrack[[Vendor - Contract]:[Vendor - Contract]],$H74,CostTrack[[Holdback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74" s="504">
        <f ca="1">SUMIFS(CostTrack[[Value]:[Value]],CostTrack[[PA ID]:[PA ID]],$B74,CostTrack[[Vendor - Contract]:[Vendor - Contract]],$H74,CostTrack[[Holdback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74" s="504">
        <f ca="1">SUMIFS(CostTrack[[Value]:[Value]],CostTrack[[PA ID]:[PA ID]],$B74,CostTrack[[Vendor - Contract]:[Vendor - Contract]],$H74,CostTrack[[Holdback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74" s="504">
        <f ca="1">SUMIFS(CostTrack[[Value]:[Value]],CostTrack[[PA ID]:[PA ID]],$B74,CostTrack[[Vendor - Contract]:[Vendor - Contract]],$H74,CostTrack[[Holdback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74" s="504">
        <f ca="1">SUMIFS(CostTrack[[Value]:[Value]],CostTrack[[PA ID]:[PA ID]],$B74,CostTrack[[Vendor - Contract]:[Vendor - Contract]],$H74,CostTrack[[Holdback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74" s="504">
        <f ca="1">SUMIFS(CostTrack[[Value]:[Value]],CostTrack[[PA ID]:[PA ID]],$B74,CostTrack[[Vendor - Contract]:[Vendor - Contract]],$H74,CostTrack[[Holdback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74" s="504">
        <f ca="1">SUMIFS(CostTrack[[Value]:[Value]],CostTrack[[PA ID]:[PA ID]],$B74,CostTrack[[Vendor - Contract]:[Vendor - Contract]],$H74,CostTrack[[Holdback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74" s="504">
        <f ca="1">SUMIFS(CostTrack[[Value]:[Value]],CostTrack[[PA ID]:[PA ID]],$B74,CostTrack[[Vendor - Contract]:[Vendor - Contract]],$H74,CostTrack[[Holdback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74" s="504">
        <f ca="1">SUMIFS(CostTrack[[Value]:[Value]],CostTrack[[PA ID]:[PA ID]],$B74,CostTrack[[Vendor - Contract]:[Vendor - Contract]],$H74,CostTrack[[Holdback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74" s="504">
        <f ca="1">SUMIFS(CostTrack[[Value]:[Value]],CostTrack[[PA ID]:[PA ID]],$B74,CostTrack[[Vendor - Contract]:[Vendor - Contract]],$H74,CostTrack[[Holdback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74" s="512">
        <f t="shared" ca="1" si="79"/>
        <v>0</v>
      </c>
      <c r="DA74" s="504">
        <f ca="1">SUMIFS(CostTrack[[Value]:[Value]],CostTrack[[PA ID]:[PA ID]],$B74,CostTrack[[Vendor - Contract]:[Vendor - Contract]],$H74,CostTrack[[Holdback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74" s="504">
        <f ca="1">SUMIFS(CostTrack[[Value]:[Value]],CostTrack[[PA ID]:[PA ID]],$B74,CostTrack[[Vendor - Contract]:[Vendor - Contract]],$H74,CostTrack[[Holdback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74" s="504">
        <f ca="1">SUMIFS(CostTrack[[Value]:[Value]],CostTrack[[PA ID]:[PA ID]],$B74,CostTrack[[Vendor - Contract]:[Vendor - Contract]],$H74,CostTrack[[Holdback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74" s="504">
        <f ca="1">SUMIFS(CostTrack[[Value]:[Value]],CostTrack[[PA ID]:[PA ID]],$B74,CostTrack[[Vendor - Contract]:[Vendor - Contract]],$H74,CostTrack[[Holdback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74" s="504">
        <f ca="1">SUMIFS(CostTrack[[Value]:[Value]],CostTrack[[PA ID]:[PA ID]],$B74,CostTrack[[Vendor - Contract]:[Vendor - Contract]],$H74,CostTrack[[Holdback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74" s="504">
        <f ca="1">SUMIFS(CostTrack[[Value]:[Value]],CostTrack[[PA ID]:[PA ID]],$B74,CostTrack[[Vendor - Contract]:[Vendor - Contract]],$H74,CostTrack[[Holdback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74" s="504">
        <f ca="1">SUMIFS(CostTrack[[Value]:[Value]],CostTrack[[PA ID]:[PA ID]],$B74,CostTrack[[Vendor - Contract]:[Vendor - Contract]],$H74,CostTrack[[Holdback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74" s="504">
        <f ca="1">SUMIFS(CostTrack[[Value]:[Value]],CostTrack[[PA ID]:[PA ID]],$B74,CostTrack[[Vendor - Contract]:[Vendor - Contract]],$H74,CostTrack[[Holdback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74" s="504">
        <f ca="1">SUMIFS(CostTrack[[Value]:[Value]],CostTrack[[PA ID]:[PA ID]],$B74,CostTrack[[Vendor - Contract]:[Vendor - Contract]],$H74,CostTrack[[Holdback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74" s="504">
        <f ca="1">SUMIFS(CostTrack[[Value]:[Value]],CostTrack[[PA ID]:[PA ID]],$B74,CostTrack[[Vendor - Contract]:[Vendor - Contract]],$H74,CostTrack[[Holdback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74" s="504">
        <f ca="1">SUMIFS(CostTrack[[Value]:[Value]],CostTrack[[PA ID]:[PA ID]],$B74,CostTrack[[Vendor - Contract]:[Vendor - Contract]],$H74,CostTrack[[Holdback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74" s="504">
        <f ca="1">SUMIFS(CostTrack[[Value]:[Value]],CostTrack[[PA ID]:[PA ID]],$B74,CostTrack[[Vendor - Contract]:[Vendor - Contract]],$H74,CostTrack[[Holdback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74" s="512">
        <f t="shared" ca="1" si="80"/>
        <v>0</v>
      </c>
      <c r="DO74" s="504">
        <f ca="1">SUMIFS(CostTrack[[Value]:[Value]],CostTrack[[PA ID]:[PA ID]],$B74,CostTrack[[Vendor - Contract]:[Vendor - Contract]],$H74,CostTrack[[Holdback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74" s="504">
        <f ca="1">SUMIFS(CostTrack[[Value]:[Value]],CostTrack[[PA ID]:[PA ID]],$B74,CostTrack[[Vendor - Contract]:[Vendor - Contract]],$H74,CostTrack[[Holdback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74" s="504">
        <f ca="1">SUMIFS(CostTrack[[Value]:[Value]],CostTrack[[PA ID]:[PA ID]],$B74,CostTrack[[Vendor - Contract]:[Vendor - Contract]],$H74,CostTrack[[Holdback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74" s="504">
        <f ca="1">SUMIFS(CostTrack[[Value]:[Value]],CostTrack[[PA ID]:[PA ID]],$B74,CostTrack[[Vendor - Contract]:[Vendor - Contract]],$H74,CostTrack[[Holdback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74" s="504">
        <f ca="1">SUMIFS(CostTrack[[Value]:[Value]],CostTrack[[PA ID]:[PA ID]],$B74,CostTrack[[Vendor - Contract]:[Vendor - Contract]],$H74,CostTrack[[Holdback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74" s="504">
        <f ca="1">SUMIFS(CostTrack[[Value]:[Value]],CostTrack[[PA ID]:[PA ID]],$B74,CostTrack[[Vendor - Contract]:[Vendor - Contract]],$H74,CostTrack[[Holdback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74" s="504">
        <f ca="1">SUMIFS(CostTrack[[Value]:[Value]],CostTrack[[PA ID]:[PA ID]],$B74,CostTrack[[Vendor - Contract]:[Vendor - Contract]],$H74,CostTrack[[Holdback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74" s="504">
        <f ca="1">SUMIFS(CostTrack[[Value]:[Value]],CostTrack[[PA ID]:[PA ID]],$B74,CostTrack[[Vendor - Contract]:[Vendor - Contract]],$H74,CostTrack[[Holdback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74" s="504">
        <f ca="1">SUMIFS(CostTrack[[Value]:[Value]],CostTrack[[PA ID]:[PA ID]],$B74,CostTrack[[Vendor - Contract]:[Vendor - Contract]],$H74,CostTrack[[Holdback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74" s="504">
        <f ca="1">SUMIFS(CostTrack[[Value]:[Value]],CostTrack[[PA ID]:[PA ID]],$B74,CostTrack[[Vendor - Contract]:[Vendor - Contract]],$H74,CostTrack[[Holdback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74" s="504">
        <f ca="1">SUMIFS(CostTrack[[Value]:[Value]],CostTrack[[PA ID]:[PA ID]],$B74,CostTrack[[Vendor - Contract]:[Vendor - Contract]],$H74,CostTrack[[Holdback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74" s="504">
        <f ca="1">SUMIFS(CostTrack[[Value]:[Value]],CostTrack[[PA ID]:[PA ID]],$B74,CostTrack[[Vendor - Contract]:[Vendor - Contract]],$H74,CostTrack[[Holdback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74" s="512">
        <f t="shared" ca="1" si="81"/>
        <v>0</v>
      </c>
      <c r="EC74" s="504">
        <f ca="1">SUMIFS(CostTrack[[Value]:[Value]],CostTrack[[PA ID]:[PA ID]],$B74,CostTrack[[Vendor - Contract]:[Vendor - Contract]],$H74,CostTrack[[Holdback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74" s="505"/>
      <c r="EE74" s="505"/>
      <c r="EF74" s="505"/>
      <c r="EG74" s="505"/>
      <c r="EH74" s="505"/>
      <c r="EI74" s="505"/>
      <c r="EJ74" s="505"/>
      <c r="EK74" s="505"/>
      <c r="EL74" s="505"/>
      <c r="EM74" s="505"/>
      <c r="EN74" s="505"/>
      <c r="EO74" s="512">
        <f t="shared" ca="1" si="82"/>
        <v>0</v>
      </c>
      <c r="EQ74" s="505"/>
      <c r="ER74" s="505">
        <v>1500000</v>
      </c>
      <c r="ES74" s="505"/>
      <c r="ET74" s="505"/>
      <c r="EU74" s="505"/>
      <c r="EV74" s="505"/>
      <c r="EW74" s="505"/>
      <c r="EX74" s="505"/>
      <c r="EY74" s="505"/>
      <c r="EZ74" s="505"/>
      <c r="FA74" s="505"/>
      <c r="FB74" s="505"/>
      <c r="FC74" s="512">
        <f t="shared" si="83"/>
        <v>1500000</v>
      </c>
      <c r="FE74" s="505"/>
      <c r="FF74" s="505"/>
      <c r="FG74" s="505"/>
      <c r="FH74" s="505"/>
      <c r="FI74" s="505"/>
      <c r="FJ74" s="505"/>
      <c r="FK74" s="505"/>
      <c r="FL74" s="505"/>
      <c r="FM74" s="505"/>
      <c r="FN74" s="505"/>
      <c r="FO74" s="505"/>
      <c r="FP74" s="505"/>
      <c r="FQ74" s="512">
        <f t="shared" si="84"/>
        <v>0</v>
      </c>
      <c r="FS74" s="504">
        <f t="shared" ca="1" si="85"/>
        <v>1500000</v>
      </c>
    </row>
    <row r="75" spans="1:175" ht="24" customHeight="1">
      <c r="A75" s="216">
        <v>68</v>
      </c>
      <c r="B75" s="219" t="str">
        <f ca="1">INDEX(EAC[PA ID],MATCH($A75,EAC[Row],0))</f>
        <v>300.040.F1</v>
      </c>
      <c r="C75" s="218" t="str">
        <f ca="1">INDEX(EAC[Primary Category],MATCH($A75,EAC[Row],0))</f>
        <v>Construction</v>
      </c>
      <c r="D75" s="218" t="str">
        <f ca="1">INDEX(EAC[Secondary Category],MATCH($A75,EAC[Row],0))</f>
        <v>Other Contractor</v>
      </c>
      <c r="E75" s="109" t="str">
        <f ca="1">INDEX(EAC[Phase / Subproject],MATCH($A75,EAC[Row],0))</f>
        <v>--</v>
      </c>
      <c r="F75" s="109" t="str">
        <f ca="1">INDEX(EAC[Phase / Subproject 2],MATCH($A75,EAC[Row],0))</f>
        <v>--</v>
      </c>
      <c r="G75" s="109" t="str">
        <f ca="1">INDEX(EAC[Funding Source],MATCH($A75,EAC[Row],0))</f>
        <v>P-002360</v>
      </c>
      <c r="H75" s="146" t="str">
        <f ca="1">INDEX(EAC[Vendor / Org. with Contract ID],MATCH($A75,EAC[Row],0))</f>
        <v>AutoBody Services RED DEER Ltd.-Offsite Storage-39689</v>
      </c>
      <c r="I75" s="502">
        <f ca="1">INDEX(EAC[Estimate At Completion],MATCH($A75,EAC[Row],0))</f>
        <v>240010.38</v>
      </c>
      <c r="J75" s="502">
        <f ca="1">SUMIFS(CostTrack[Value],CostTrack[Vendor - Contract],$H75,CostTrack[PA ID],$B75,CostTrack[Holdback (Y/N/R)],"&lt;&gt;Release",CostTrack[Status],"Approved")</f>
        <v>240010.38000000003</v>
      </c>
      <c r="K75" s="503">
        <f t="shared" ca="1" si="95"/>
        <v>-2.9103830456733704E-11</v>
      </c>
      <c r="M75" s="504">
        <f t="shared" ca="1" si="86"/>
        <v>0</v>
      </c>
      <c r="O75" s="504">
        <f t="shared" ca="1" si="87"/>
        <v>240010.38000000003</v>
      </c>
      <c r="P75" s="504">
        <f t="array" aca="1" ref="P75" ca="1">SUM($U75:$FQ75*_xlfn.ISFORMULA($U75:$FQ75)*ISNUMBER($U$7:$FQ$7)*--(INDEX($U$6:$FQ$6,N(IF({1},COLUMN($U$6:$FQ$6)-COLUMN($T$6)))-MOD(N(IF({1},COLUMN($U$6:$FQ$6)-COLUMN($U$6))),14))="Current Fiscal"))</f>
        <v>0</v>
      </c>
      <c r="Q75" s="504">
        <f t="array" aca="1" ref="Q75" ca="1">SUM($U75:$FQ75*NOT(_xlfn.ISFORMULA($U75:$FQ75))*ISNUMBER($U$7:$FQ$7)*--(INDEX($U$6:$FQ$6,N(IF({1},COLUMN($U$6:$FQ$6)-COLUMN($T$6)))-MOD(N(IF({1},COLUMN($U$6:$FQ$6)-COLUMN($U$6))),14))="Current Fiscal"))</f>
        <v>0</v>
      </c>
      <c r="R75" s="504">
        <f t="shared" ca="1" si="88"/>
        <v>0</v>
      </c>
      <c r="S75" s="504">
        <f t="shared" ca="1" si="89"/>
        <v>0</v>
      </c>
      <c r="U75" s="504">
        <f ca="1">SUMIFS(CostTrack[[Value]:[Value]],CostTrack[[PA ID]:[PA ID]],$B75,CostTrack[[Vendor - Contract]:[Vendor - Contract]],$H75,CostTrack[[Holdback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75" s="504">
        <f ca="1">SUMIFS(CostTrack[[Value]:[Value]],CostTrack[[PA ID]:[PA ID]],$B75,CostTrack[[Vendor - Contract]:[Vendor - Contract]],$H75,CostTrack[[Holdback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75" s="504">
        <f ca="1">SUMIFS(CostTrack[[Value]:[Value]],CostTrack[[PA ID]:[PA ID]],$B75,CostTrack[[Vendor - Contract]:[Vendor - Contract]],$H75,CostTrack[[Holdback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75" s="504">
        <f ca="1">SUMIFS(CostTrack[[Value]:[Value]],CostTrack[[PA ID]:[PA ID]],$B75,CostTrack[[Vendor - Contract]:[Vendor - Contract]],$H75,CostTrack[[Holdback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75" s="504">
        <f ca="1">SUMIFS(CostTrack[[Value]:[Value]],CostTrack[[PA ID]:[PA ID]],$B75,CostTrack[[Vendor - Contract]:[Vendor - Contract]],$H75,CostTrack[[Holdback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75" s="504">
        <f ca="1">SUMIFS(CostTrack[[Value]:[Value]],CostTrack[[PA ID]:[PA ID]],$B75,CostTrack[[Vendor - Contract]:[Vendor - Contract]],$H75,CostTrack[[Holdback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75" s="504">
        <f ca="1">SUMIFS(CostTrack[[Value]:[Value]],CostTrack[[PA ID]:[PA ID]],$B75,CostTrack[[Vendor - Contract]:[Vendor - Contract]],$H75,CostTrack[[Holdback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75" s="504">
        <f ca="1">SUMIFS(CostTrack[[Value]:[Value]],CostTrack[[PA ID]:[PA ID]],$B75,CostTrack[[Vendor - Contract]:[Vendor - Contract]],$H75,CostTrack[[Holdback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75" s="504">
        <f ca="1">SUMIFS(CostTrack[[Value]:[Value]],CostTrack[[PA ID]:[PA ID]],$B75,CostTrack[[Vendor - Contract]:[Vendor - Contract]],$H75,CostTrack[[Holdback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75" s="504">
        <f ca="1">SUMIFS(CostTrack[[Value]:[Value]],CostTrack[[PA ID]:[PA ID]],$B75,CostTrack[[Vendor - Contract]:[Vendor - Contract]],$H75,CostTrack[[Holdback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75" s="504">
        <f ca="1">SUMIFS(CostTrack[[Value]:[Value]],CostTrack[[PA ID]:[PA ID]],$B75,CostTrack[[Vendor - Contract]:[Vendor - Contract]],$H75,CostTrack[[Holdback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75" s="504">
        <f ca="1">SUMIFS(CostTrack[[Value]:[Value]],CostTrack[[PA ID]:[PA ID]],$B75,CostTrack[[Vendor - Contract]:[Vendor - Contract]],$H75,CostTrack[[Holdback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75" s="506">
        <f t="shared" ca="1" si="90"/>
        <v>0</v>
      </c>
      <c r="AI75" s="504">
        <f ca="1">SUMIFS(CostTrack[[Value]:[Value]],CostTrack[[PA ID]:[PA ID]],$B75,CostTrack[[Vendor - Contract]:[Vendor - Contract]],$H75,CostTrack[[Holdback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75" s="504">
        <f ca="1">SUMIFS(CostTrack[[Value]:[Value]],CostTrack[[PA ID]:[PA ID]],$B75,CostTrack[[Vendor - Contract]:[Vendor - Contract]],$H75,CostTrack[[Holdback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75" s="504">
        <f ca="1">SUMIFS(CostTrack[[Value]:[Value]],CostTrack[[PA ID]:[PA ID]],$B75,CostTrack[[Vendor - Contract]:[Vendor - Contract]],$H75,CostTrack[[Holdback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75" s="504">
        <f ca="1">SUMIFS(CostTrack[[Value]:[Value]],CostTrack[[PA ID]:[PA ID]],$B75,CostTrack[[Vendor - Contract]:[Vendor - Contract]],$H75,CostTrack[[Holdback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75" s="504">
        <f ca="1">SUMIFS(CostTrack[[Value]:[Value]],CostTrack[[PA ID]:[PA ID]],$B75,CostTrack[[Vendor - Contract]:[Vendor - Contract]],$H75,CostTrack[[Holdback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75" s="504">
        <f ca="1">SUMIFS(CostTrack[[Value]:[Value]],CostTrack[[PA ID]:[PA ID]],$B75,CostTrack[[Vendor - Contract]:[Vendor - Contract]],$H75,CostTrack[[Holdback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75" s="504">
        <f ca="1">SUMIFS(CostTrack[[Value]:[Value]],CostTrack[[PA ID]:[PA ID]],$B75,CostTrack[[Vendor - Contract]:[Vendor - Contract]],$H75,CostTrack[[Holdback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75" s="504">
        <f ca="1">SUMIFS(CostTrack[[Value]:[Value]],CostTrack[[PA ID]:[PA ID]],$B75,CostTrack[[Vendor - Contract]:[Vendor - Contract]],$H75,CostTrack[[Holdback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75" s="504">
        <f ca="1">SUMIFS(CostTrack[[Value]:[Value]],CostTrack[[PA ID]:[PA ID]],$B75,CostTrack[[Vendor - Contract]:[Vendor - Contract]],$H75,CostTrack[[Holdback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75" s="504">
        <f ca="1">SUMIFS(CostTrack[[Value]:[Value]],CostTrack[[PA ID]:[PA ID]],$B75,CostTrack[[Vendor - Contract]:[Vendor - Contract]],$H75,CostTrack[[Holdback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75" s="504">
        <f ca="1">SUMIFS(CostTrack[[Value]:[Value]],CostTrack[[PA ID]:[PA ID]],$B75,CostTrack[[Vendor - Contract]:[Vendor - Contract]],$H75,CostTrack[[Holdback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75" s="504">
        <f ca="1">SUMIFS(CostTrack[[Value]:[Value]],CostTrack[[PA ID]:[PA ID]],$B75,CostTrack[[Vendor - Contract]:[Vendor - Contract]],$H75,CostTrack[[Holdback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75" s="512">
        <f t="shared" ca="1" si="91"/>
        <v>0</v>
      </c>
      <c r="AW75" s="504">
        <f ca="1">SUMIFS(CostTrack[[Value]:[Value]],CostTrack[[PA ID]:[PA ID]],$B75,CostTrack[[Vendor - Contract]:[Vendor - Contract]],$H75,CostTrack[[Holdback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75" s="504">
        <f ca="1">SUMIFS(CostTrack[[Value]:[Value]],CostTrack[[PA ID]:[PA ID]],$B75,CostTrack[[Vendor - Contract]:[Vendor - Contract]],$H75,CostTrack[[Holdback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75" s="504">
        <f ca="1">SUMIFS(CostTrack[[Value]:[Value]],CostTrack[[PA ID]:[PA ID]],$B75,CostTrack[[Vendor - Contract]:[Vendor - Contract]],$H75,CostTrack[[Holdback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75" s="504">
        <f ca="1">SUMIFS(CostTrack[[Value]:[Value]],CostTrack[[PA ID]:[PA ID]],$B75,CostTrack[[Vendor - Contract]:[Vendor - Contract]],$H75,CostTrack[[Holdback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75" s="504">
        <f ca="1">SUMIFS(CostTrack[[Value]:[Value]],CostTrack[[PA ID]:[PA ID]],$B75,CostTrack[[Vendor - Contract]:[Vendor - Contract]],$H75,CostTrack[[Holdback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75" s="504">
        <f ca="1">SUMIFS(CostTrack[[Value]:[Value]],CostTrack[[PA ID]:[PA ID]],$B75,CostTrack[[Vendor - Contract]:[Vendor - Contract]],$H75,CostTrack[[Holdback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75" s="504">
        <f ca="1">SUMIFS(CostTrack[[Value]:[Value]],CostTrack[[PA ID]:[PA ID]],$B75,CostTrack[[Vendor - Contract]:[Vendor - Contract]],$H75,CostTrack[[Holdback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75" s="504">
        <f ca="1">SUMIFS(CostTrack[[Value]:[Value]],CostTrack[[PA ID]:[PA ID]],$B75,CostTrack[[Vendor - Contract]:[Vendor - Contract]],$H75,CostTrack[[Holdback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75" s="504">
        <f ca="1">SUMIFS(CostTrack[[Value]:[Value]],CostTrack[[PA ID]:[PA ID]],$B75,CostTrack[[Vendor - Contract]:[Vendor - Contract]],$H75,CostTrack[[Holdback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75" s="504">
        <f ca="1">SUMIFS(CostTrack[[Value]:[Value]],CostTrack[[PA ID]:[PA ID]],$B75,CostTrack[[Vendor - Contract]:[Vendor - Contract]],$H75,CostTrack[[Holdback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75" s="504">
        <f ca="1">SUMIFS(CostTrack[[Value]:[Value]],CostTrack[[PA ID]:[PA ID]],$B75,CostTrack[[Vendor - Contract]:[Vendor - Contract]],$H75,CostTrack[[Holdback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75" s="504">
        <f ca="1">SUMIFS(CostTrack[[Value]:[Value]],CostTrack[[PA ID]:[PA ID]],$B75,CostTrack[[Vendor - Contract]:[Vendor - Contract]],$H75,CostTrack[[Holdback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75" s="512">
        <f t="shared" ca="1" si="92"/>
        <v>0</v>
      </c>
      <c r="BK75" s="504">
        <f ca="1">SUMIFS(CostTrack[[Value]:[Value]],CostTrack[[PA ID]:[PA ID]],$B75,CostTrack[[Vendor - Contract]:[Vendor - Contract]],$H75,CostTrack[[Holdback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75" s="504">
        <f ca="1">SUMIFS(CostTrack[[Value]:[Value]],CostTrack[[PA ID]:[PA ID]],$B75,CostTrack[[Vendor - Contract]:[Vendor - Contract]],$H75,CostTrack[[Holdback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75" s="504">
        <f ca="1">SUMIFS(CostTrack[[Value]:[Value]],CostTrack[[PA ID]:[PA ID]],$B75,CostTrack[[Vendor - Contract]:[Vendor - Contract]],$H75,CostTrack[[Holdback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75" s="504">
        <f ca="1">SUMIFS(CostTrack[[Value]:[Value]],CostTrack[[PA ID]:[PA ID]],$B75,CostTrack[[Vendor - Contract]:[Vendor - Contract]],$H75,CostTrack[[Holdback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75" s="504">
        <f ca="1">SUMIFS(CostTrack[[Value]:[Value]],CostTrack[[PA ID]:[PA ID]],$B75,CostTrack[[Vendor - Contract]:[Vendor - Contract]],$H75,CostTrack[[Holdback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75" s="504">
        <f ca="1">SUMIFS(CostTrack[[Value]:[Value]],CostTrack[[PA ID]:[PA ID]],$B75,CostTrack[[Vendor - Contract]:[Vendor - Contract]],$H75,CostTrack[[Holdback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75" s="504">
        <f ca="1">SUMIFS(CostTrack[[Value]:[Value]],CostTrack[[PA ID]:[PA ID]],$B75,CostTrack[[Vendor - Contract]:[Vendor - Contract]],$H75,CostTrack[[Holdback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75" s="504">
        <f ca="1">SUMIFS(CostTrack[[Value]:[Value]],CostTrack[[PA ID]:[PA ID]],$B75,CostTrack[[Vendor - Contract]:[Vendor - Contract]],$H75,CostTrack[[Holdback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75" s="504">
        <f ca="1">SUMIFS(CostTrack[[Value]:[Value]],CostTrack[[PA ID]:[PA ID]],$B75,CostTrack[[Vendor - Contract]:[Vendor - Contract]],$H75,CostTrack[[Holdback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75" s="504">
        <f ca="1">SUMIFS(CostTrack[[Value]:[Value]],CostTrack[[PA ID]:[PA ID]],$B75,CostTrack[[Vendor - Contract]:[Vendor - Contract]],$H75,CostTrack[[Holdback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75" s="504">
        <f ca="1">SUMIFS(CostTrack[[Value]:[Value]],CostTrack[[PA ID]:[PA ID]],$B75,CostTrack[[Vendor - Contract]:[Vendor - Contract]],$H75,CostTrack[[Holdback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75" s="504">
        <f ca="1">SUMIFS(CostTrack[[Value]:[Value]],CostTrack[[PA ID]:[PA ID]],$B75,CostTrack[[Vendor - Contract]:[Vendor - Contract]],$H75,CostTrack[[Holdback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75" s="512">
        <f t="shared" ca="1" si="93"/>
        <v>0</v>
      </c>
      <c r="BY75" s="504">
        <f ca="1">SUMIFS(CostTrack[[Value]:[Value]],CostTrack[[PA ID]:[PA ID]],$B75,CostTrack[[Vendor - Contract]:[Vendor - Contract]],$H75,CostTrack[[Holdback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75" s="504">
        <f ca="1">SUMIFS(CostTrack[[Value]:[Value]],CostTrack[[PA ID]:[PA ID]],$B75,CostTrack[[Vendor - Contract]:[Vendor - Contract]],$H75,CostTrack[[Holdback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75" s="504">
        <f ca="1">SUMIFS(CostTrack[[Value]:[Value]],CostTrack[[PA ID]:[PA ID]],$B75,CostTrack[[Vendor - Contract]:[Vendor - Contract]],$H75,CostTrack[[Holdback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75" s="504">
        <f ca="1">SUMIFS(CostTrack[[Value]:[Value]],CostTrack[[PA ID]:[PA ID]],$B75,CostTrack[[Vendor - Contract]:[Vendor - Contract]],$H75,CostTrack[[Holdback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75" s="504">
        <f ca="1">SUMIFS(CostTrack[[Value]:[Value]],CostTrack[[PA ID]:[PA ID]],$B75,CostTrack[[Vendor - Contract]:[Vendor - Contract]],$H75,CostTrack[[Holdback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75" s="504">
        <f ca="1">SUMIFS(CostTrack[[Value]:[Value]],CostTrack[[PA ID]:[PA ID]],$B75,CostTrack[[Vendor - Contract]:[Vendor - Contract]],$H75,CostTrack[[Holdback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75" s="504">
        <f ca="1">SUMIFS(CostTrack[[Value]:[Value]],CostTrack[[PA ID]:[PA ID]],$B75,CostTrack[[Vendor - Contract]:[Vendor - Contract]],$H75,CostTrack[[Holdback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75" s="504">
        <f ca="1">SUMIFS(CostTrack[[Value]:[Value]],CostTrack[[PA ID]:[PA ID]],$B75,CostTrack[[Vendor - Contract]:[Vendor - Contract]],$H75,CostTrack[[Holdback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75" s="504">
        <f ca="1">SUMIFS(CostTrack[[Value]:[Value]],CostTrack[[PA ID]:[PA ID]],$B75,CostTrack[[Vendor - Contract]:[Vendor - Contract]],$H75,CostTrack[[Holdback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75" s="504">
        <f ca="1">SUMIFS(CostTrack[[Value]:[Value]],CostTrack[[PA ID]:[PA ID]],$B75,CostTrack[[Vendor - Contract]:[Vendor - Contract]],$H75,CostTrack[[Holdback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75" s="504">
        <f ca="1">SUMIFS(CostTrack[[Value]:[Value]],CostTrack[[PA ID]:[PA ID]],$B75,CostTrack[[Vendor - Contract]:[Vendor - Contract]],$H75,CostTrack[[Holdback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75" s="504">
        <f ca="1">SUMIFS(CostTrack[[Value]:[Value]],CostTrack[[PA ID]:[PA ID]],$B75,CostTrack[[Vendor - Contract]:[Vendor - Contract]],$H75,CostTrack[[Holdback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75" s="512">
        <f t="shared" ca="1" si="94"/>
        <v>0</v>
      </c>
      <c r="CM75" s="504">
        <f ca="1">SUMIFS(CostTrack[[Value]:[Value]],CostTrack[[PA ID]:[PA ID]],$B75,CostTrack[[Vendor - Contract]:[Vendor - Contract]],$H75,CostTrack[[Holdback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75" s="504">
        <f ca="1">SUMIFS(CostTrack[[Value]:[Value]],CostTrack[[PA ID]:[PA ID]],$B75,CostTrack[[Vendor - Contract]:[Vendor - Contract]],$H75,CostTrack[[Holdback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75" s="504">
        <f ca="1">SUMIFS(CostTrack[[Value]:[Value]],CostTrack[[PA ID]:[PA ID]],$B75,CostTrack[[Vendor - Contract]:[Vendor - Contract]],$H75,CostTrack[[Holdback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13333.91</v>
      </c>
      <c r="CP75" s="504">
        <f ca="1">SUMIFS(CostTrack[[Value]:[Value]],CostTrack[[PA ID]:[PA ID]],$B75,CostTrack[[Vendor - Contract]:[Vendor - Contract]],$H75,CostTrack[[Holdback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13333.91</v>
      </c>
      <c r="CQ75" s="504">
        <f ca="1">SUMIFS(CostTrack[[Value]:[Value]],CostTrack[[PA ID]:[PA ID]],$B75,CostTrack[[Vendor - Contract]:[Vendor - Contract]],$H75,CostTrack[[Holdback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13333.91</v>
      </c>
      <c r="CR75" s="504">
        <f ca="1">SUMIFS(CostTrack[[Value]:[Value]],CostTrack[[PA ID]:[PA ID]],$B75,CostTrack[[Vendor - Contract]:[Vendor - Contract]],$H75,CostTrack[[Holdback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13333.91</v>
      </c>
      <c r="CS75" s="504">
        <f ca="1">SUMIFS(CostTrack[[Value]:[Value]],CostTrack[[PA ID]:[PA ID]],$B75,CostTrack[[Vendor - Contract]:[Vendor - Contract]],$H75,CostTrack[[Holdback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13333.91</v>
      </c>
      <c r="CT75" s="504">
        <f ca="1">SUMIFS(CostTrack[[Value]:[Value]],CostTrack[[PA ID]:[PA ID]],$B75,CostTrack[[Vendor - Contract]:[Vendor - Contract]],$H75,CostTrack[[Holdback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13333.91</v>
      </c>
      <c r="CU75" s="504">
        <f ca="1">SUMIFS(CostTrack[[Value]:[Value]],CostTrack[[PA ID]:[PA ID]],$B75,CostTrack[[Vendor - Contract]:[Vendor - Contract]],$H75,CostTrack[[Holdback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13333.91</v>
      </c>
      <c r="CV75" s="504">
        <f ca="1">SUMIFS(CostTrack[[Value]:[Value]],CostTrack[[PA ID]:[PA ID]],$B75,CostTrack[[Vendor - Contract]:[Vendor - Contract]],$H75,CostTrack[[Holdback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13333.91</v>
      </c>
      <c r="CW75" s="504">
        <f ca="1">SUMIFS(CostTrack[[Value]:[Value]],CostTrack[[PA ID]:[PA ID]],$B75,CostTrack[[Vendor - Contract]:[Vendor - Contract]],$H75,CostTrack[[Holdback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13333.91</v>
      </c>
      <c r="CX75" s="504">
        <f ca="1">SUMIFS(CostTrack[[Value]:[Value]],CostTrack[[PA ID]:[PA ID]],$B75,CostTrack[[Vendor - Contract]:[Vendor - Contract]],$H75,CostTrack[[Holdback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75" s="512">
        <f t="shared" ca="1" si="79"/>
        <v>120005.19000000002</v>
      </c>
      <c r="DA75" s="504">
        <f ca="1">SUMIFS(CostTrack[[Value]:[Value]],CostTrack[[PA ID]:[PA ID]],$B75,CostTrack[[Vendor - Contract]:[Vendor - Contract]],$H75,CostTrack[[Holdback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26667.82</v>
      </c>
      <c r="DB75" s="504">
        <f ca="1">SUMIFS(CostTrack[[Value]:[Value]],CostTrack[[PA ID]:[PA ID]],$B75,CostTrack[[Vendor - Contract]:[Vendor - Contract]],$H75,CostTrack[[Holdback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13333.91</v>
      </c>
      <c r="DC75" s="504">
        <f ca="1">SUMIFS(CostTrack[[Value]:[Value]],CostTrack[[PA ID]:[PA ID]],$B75,CostTrack[[Vendor - Contract]:[Vendor - Contract]],$H75,CostTrack[[Holdback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13333.91</v>
      </c>
      <c r="DD75" s="504">
        <f ca="1">SUMIFS(CostTrack[[Value]:[Value]],CostTrack[[PA ID]:[PA ID]],$B75,CostTrack[[Vendor - Contract]:[Vendor - Contract]],$H75,CostTrack[[Holdback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13333.91</v>
      </c>
      <c r="DE75" s="504">
        <f ca="1">SUMIFS(CostTrack[[Value]:[Value]],CostTrack[[PA ID]:[PA ID]],$B75,CostTrack[[Vendor - Contract]:[Vendor - Contract]],$H75,CostTrack[[Holdback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13333.91</v>
      </c>
      <c r="DF75" s="504">
        <f ca="1">SUMIFS(CostTrack[[Value]:[Value]],CostTrack[[PA ID]:[PA ID]],$B75,CostTrack[[Vendor - Contract]:[Vendor - Contract]],$H75,CostTrack[[Holdback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13333.91</v>
      </c>
      <c r="DG75" s="504">
        <f ca="1">SUMIFS(CostTrack[[Value]:[Value]],CostTrack[[PA ID]:[PA ID]],$B75,CostTrack[[Vendor - Contract]:[Vendor - Contract]],$H75,CostTrack[[Holdback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13333.91</v>
      </c>
      <c r="DH75" s="504">
        <f ca="1">SUMIFS(CostTrack[[Value]:[Value]],CostTrack[[PA ID]:[PA ID]],$B75,CostTrack[[Vendor - Contract]:[Vendor - Contract]],$H75,CostTrack[[Holdback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13333.91</v>
      </c>
      <c r="DI75" s="504">
        <f ca="1">SUMIFS(CostTrack[[Value]:[Value]],CostTrack[[PA ID]:[PA ID]],$B75,CostTrack[[Vendor - Contract]:[Vendor - Contract]],$H75,CostTrack[[Holdback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75" s="504">
        <f ca="1">SUMIFS(CostTrack[[Value]:[Value]],CostTrack[[PA ID]:[PA ID]],$B75,CostTrack[[Vendor - Contract]:[Vendor - Contract]],$H75,CostTrack[[Holdback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75" s="504">
        <f ca="1">SUMIFS(CostTrack[[Value]:[Value]],CostTrack[[PA ID]:[PA ID]],$B75,CostTrack[[Vendor - Contract]:[Vendor - Contract]],$H75,CostTrack[[Holdback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75" s="504">
        <f ca="1">SUMIFS(CostTrack[[Value]:[Value]],CostTrack[[PA ID]:[PA ID]],$B75,CostTrack[[Vendor - Contract]:[Vendor - Contract]],$H75,CostTrack[[Holdback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75" s="512">
        <f t="shared" ca="1" si="80"/>
        <v>120005.19000000002</v>
      </c>
      <c r="DO75" s="504">
        <f ca="1">SUMIFS(CostTrack[[Value]:[Value]],CostTrack[[PA ID]:[PA ID]],$B75,CostTrack[[Vendor - Contract]:[Vendor - Contract]],$H75,CostTrack[[Holdback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75" s="504">
        <f ca="1">SUMIFS(CostTrack[[Value]:[Value]],CostTrack[[PA ID]:[PA ID]],$B75,CostTrack[[Vendor - Contract]:[Vendor - Contract]],$H75,CostTrack[[Holdback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75" s="504">
        <f ca="1">SUMIFS(CostTrack[[Value]:[Value]],CostTrack[[PA ID]:[PA ID]],$B75,CostTrack[[Vendor - Contract]:[Vendor - Contract]],$H75,CostTrack[[Holdback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75" s="504">
        <f ca="1">SUMIFS(CostTrack[[Value]:[Value]],CostTrack[[PA ID]:[PA ID]],$B75,CostTrack[[Vendor - Contract]:[Vendor - Contract]],$H75,CostTrack[[Holdback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75" s="504">
        <f ca="1">SUMIFS(CostTrack[[Value]:[Value]],CostTrack[[PA ID]:[PA ID]],$B75,CostTrack[[Vendor - Contract]:[Vendor - Contract]],$H75,CostTrack[[Holdback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75" s="504">
        <f ca="1">SUMIFS(CostTrack[[Value]:[Value]],CostTrack[[PA ID]:[PA ID]],$B75,CostTrack[[Vendor - Contract]:[Vendor - Contract]],$H75,CostTrack[[Holdback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75" s="504">
        <f ca="1">SUMIFS(CostTrack[[Value]:[Value]],CostTrack[[PA ID]:[PA ID]],$B75,CostTrack[[Vendor - Contract]:[Vendor - Contract]],$H75,CostTrack[[Holdback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75" s="504">
        <f ca="1">SUMIFS(CostTrack[[Value]:[Value]],CostTrack[[PA ID]:[PA ID]],$B75,CostTrack[[Vendor - Contract]:[Vendor - Contract]],$H75,CostTrack[[Holdback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75" s="504">
        <f ca="1">SUMIFS(CostTrack[[Value]:[Value]],CostTrack[[PA ID]:[PA ID]],$B75,CostTrack[[Vendor - Contract]:[Vendor - Contract]],$H75,CostTrack[[Holdback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75" s="504">
        <f ca="1">SUMIFS(CostTrack[[Value]:[Value]],CostTrack[[PA ID]:[PA ID]],$B75,CostTrack[[Vendor - Contract]:[Vendor - Contract]],$H75,CostTrack[[Holdback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75" s="504">
        <f ca="1">SUMIFS(CostTrack[[Value]:[Value]],CostTrack[[PA ID]:[PA ID]],$B75,CostTrack[[Vendor - Contract]:[Vendor - Contract]],$H75,CostTrack[[Holdback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75" s="504">
        <f ca="1">SUMIFS(CostTrack[[Value]:[Value]],CostTrack[[PA ID]:[PA ID]],$B75,CostTrack[[Vendor - Contract]:[Vendor - Contract]],$H75,CostTrack[[Holdback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75" s="512">
        <f t="shared" ca="1" si="81"/>
        <v>0</v>
      </c>
      <c r="EC75" s="504">
        <f ca="1">SUMIFS(CostTrack[[Value]:[Value]],CostTrack[[PA ID]:[PA ID]],$B75,CostTrack[[Vendor - Contract]:[Vendor - Contract]],$H75,CostTrack[[Holdback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75" s="505"/>
      <c r="EE75" s="505"/>
      <c r="EF75" s="505"/>
      <c r="EG75" s="505"/>
      <c r="EH75" s="505"/>
      <c r="EI75" s="505"/>
      <c r="EJ75" s="505"/>
      <c r="EK75" s="505"/>
      <c r="EL75" s="505"/>
      <c r="EM75" s="505"/>
      <c r="EN75" s="505"/>
      <c r="EO75" s="512">
        <f t="shared" ca="1" si="82"/>
        <v>0</v>
      </c>
      <c r="EQ75" s="505"/>
      <c r="ER75" s="505"/>
      <c r="ES75" s="505"/>
      <c r="ET75" s="505"/>
      <c r="EU75" s="505"/>
      <c r="EV75" s="505"/>
      <c r="EW75" s="505"/>
      <c r="EX75" s="505"/>
      <c r="EY75" s="505"/>
      <c r="EZ75" s="505"/>
      <c r="FA75" s="505"/>
      <c r="FB75" s="505"/>
      <c r="FC75" s="512">
        <f t="shared" si="83"/>
        <v>0</v>
      </c>
      <c r="FE75" s="505"/>
      <c r="FF75" s="505"/>
      <c r="FG75" s="505"/>
      <c r="FH75" s="505"/>
      <c r="FI75" s="505"/>
      <c r="FJ75" s="505"/>
      <c r="FK75" s="505"/>
      <c r="FL75" s="505"/>
      <c r="FM75" s="505"/>
      <c r="FN75" s="505"/>
      <c r="FO75" s="505"/>
      <c r="FP75" s="505"/>
      <c r="FQ75" s="512">
        <f t="shared" si="84"/>
        <v>0</v>
      </c>
      <c r="FS75" s="504">
        <f t="shared" ca="1" si="85"/>
        <v>240010.38000000003</v>
      </c>
    </row>
    <row r="76" spans="1:175" ht="24" customHeight="1">
      <c r="A76" s="216">
        <v>69</v>
      </c>
      <c r="B76" s="219" t="str">
        <f ca="1">INDEX(EAC[PA ID],MATCH($A76,EAC[Row],0))</f>
        <v>300.040.F1</v>
      </c>
      <c r="C76" s="218" t="str">
        <f ca="1">INDEX(EAC[Primary Category],MATCH($A76,EAC[Row],0))</f>
        <v>Construction</v>
      </c>
      <c r="D76" s="218" t="str">
        <f ca="1">INDEX(EAC[Secondary Category],MATCH($A76,EAC[Row],0))</f>
        <v>Other Contractor</v>
      </c>
      <c r="E76" s="109" t="str">
        <f ca="1">INDEX(EAC[Phase / Subproject],MATCH($A76,EAC[Row],0))</f>
        <v>--</v>
      </c>
      <c r="F76" s="109" t="str">
        <f ca="1">INDEX(EAC[Phase / Subproject 2],MATCH($A76,EAC[Row],0))</f>
        <v>--</v>
      </c>
      <c r="G76" s="109" t="str">
        <f ca="1">INDEX(EAC[Funding Source],MATCH($A76,EAC[Row],0))</f>
        <v>P-002360</v>
      </c>
      <c r="H76" s="146" t="str">
        <f ca="1">INDEX(EAC[Vendor / Org. with Contract ID],MATCH($A76,EAC[Row],0))</f>
        <v>Enmax- Offsite Storage -Direct Pay</v>
      </c>
      <c r="I76" s="502">
        <f ca="1">INDEX(EAC[Estimate At Completion],MATCH($A76,EAC[Row],0))</f>
        <v>10918.3</v>
      </c>
      <c r="J76" s="502">
        <f ca="1">SUMIFS(CostTrack[Value],CostTrack[Vendor - Contract],$H76,CostTrack[PA ID],$B76,CostTrack[Holdback (Y/N/R)],"&lt;&gt;Release",CostTrack[Status],"Approved")</f>
        <v>10918.3</v>
      </c>
      <c r="K76" s="503">
        <f t="shared" ca="1" si="95"/>
        <v>0</v>
      </c>
      <c r="M76" s="504">
        <f t="shared" ca="1" si="86"/>
        <v>0</v>
      </c>
      <c r="O76" s="504">
        <f t="shared" ca="1" si="87"/>
        <v>10918.3</v>
      </c>
      <c r="P76" s="504">
        <f t="array" aca="1" ref="P76" ca="1">SUM($U76:$FQ76*_xlfn.ISFORMULA($U76:$FQ76)*ISNUMBER($U$7:$FQ$7)*--(INDEX($U$6:$FQ$6,N(IF({1},COLUMN($U$6:$FQ$6)-COLUMN($T$6)))-MOD(N(IF({1},COLUMN($U$6:$FQ$6)-COLUMN($U$6))),14))="Current Fiscal"))</f>
        <v>0</v>
      </c>
      <c r="Q76" s="504">
        <f t="array" aca="1" ref="Q76" ca="1">SUM($U76:$FQ76*NOT(_xlfn.ISFORMULA($U76:$FQ76))*ISNUMBER($U$7:$FQ$7)*--(INDEX($U$6:$FQ$6,N(IF({1},COLUMN($U$6:$FQ$6)-COLUMN($T$6)))-MOD(N(IF({1},COLUMN($U$6:$FQ$6)-COLUMN($U$6))),14))="Current Fiscal"))</f>
        <v>0</v>
      </c>
      <c r="R76" s="504">
        <f t="shared" ca="1" si="88"/>
        <v>0</v>
      </c>
      <c r="S76" s="504">
        <f t="shared" ca="1" si="89"/>
        <v>0</v>
      </c>
      <c r="U76" s="504">
        <f ca="1">SUMIFS(CostTrack[[Value]:[Value]],CostTrack[[PA ID]:[PA ID]],$B76,CostTrack[[Vendor - Contract]:[Vendor - Contract]],$H76,CostTrack[[Holdback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76" s="504">
        <f ca="1">SUMIFS(CostTrack[[Value]:[Value]],CostTrack[[PA ID]:[PA ID]],$B76,CostTrack[[Vendor - Contract]:[Vendor - Contract]],$H76,CostTrack[[Holdback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76" s="504">
        <f ca="1">SUMIFS(CostTrack[[Value]:[Value]],CostTrack[[PA ID]:[PA ID]],$B76,CostTrack[[Vendor - Contract]:[Vendor - Contract]],$H76,CostTrack[[Holdback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76" s="504">
        <f ca="1">SUMIFS(CostTrack[[Value]:[Value]],CostTrack[[PA ID]:[PA ID]],$B76,CostTrack[[Vendor - Contract]:[Vendor - Contract]],$H76,CostTrack[[Holdback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76" s="504">
        <f ca="1">SUMIFS(CostTrack[[Value]:[Value]],CostTrack[[PA ID]:[PA ID]],$B76,CostTrack[[Vendor - Contract]:[Vendor - Contract]],$H76,CostTrack[[Holdback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76" s="504">
        <f ca="1">SUMIFS(CostTrack[[Value]:[Value]],CostTrack[[PA ID]:[PA ID]],$B76,CostTrack[[Vendor - Contract]:[Vendor - Contract]],$H76,CostTrack[[Holdback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76" s="504">
        <f ca="1">SUMIFS(CostTrack[[Value]:[Value]],CostTrack[[PA ID]:[PA ID]],$B76,CostTrack[[Vendor - Contract]:[Vendor - Contract]],$H76,CostTrack[[Holdback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76" s="504">
        <f ca="1">SUMIFS(CostTrack[[Value]:[Value]],CostTrack[[PA ID]:[PA ID]],$B76,CostTrack[[Vendor - Contract]:[Vendor - Contract]],$H76,CostTrack[[Holdback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76" s="504">
        <f ca="1">SUMIFS(CostTrack[[Value]:[Value]],CostTrack[[PA ID]:[PA ID]],$B76,CostTrack[[Vendor - Contract]:[Vendor - Contract]],$H76,CostTrack[[Holdback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76" s="504">
        <f ca="1">SUMIFS(CostTrack[[Value]:[Value]],CostTrack[[PA ID]:[PA ID]],$B76,CostTrack[[Vendor - Contract]:[Vendor - Contract]],$H76,CostTrack[[Holdback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76" s="504">
        <f ca="1">SUMIFS(CostTrack[[Value]:[Value]],CostTrack[[PA ID]:[PA ID]],$B76,CostTrack[[Vendor - Contract]:[Vendor - Contract]],$H76,CostTrack[[Holdback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76" s="504">
        <f ca="1">SUMIFS(CostTrack[[Value]:[Value]],CostTrack[[PA ID]:[PA ID]],$B76,CostTrack[[Vendor - Contract]:[Vendor - Contract]],$H76,CostTrack[[Holdback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76" s="506">
        <f t="shared" ca="1" si="90"/>
        <v>0</v>
      </c>
      <c r="AI76" s="504">
        <f ca="1">SUMIFS(CostTrack[[Value]:[Value]],CostTrack[[PA ID]:[PA ID]],$B76,CostTrack[[Vendor - Contract]:[Vendor - Contract]],$H76,CostTrack[[Holdback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76" s="504">
        <f ca="1">SUMIFS(CostTrack[[Value]:[Value]],CostTrack[[PA ID]:[PA ID]],$B76,CostTrack[[Vendor - Contract]:[Vendor - Contract]],$H76,CostTrack[[Holdback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76" s="504">
        <f ca="1">SUMIFS(CostTrack[[Value]:[Value]],CostTrack[[PA ID]:[PA ID]],$B76,CostTrack[[Vendor - Contract]:[Vendor - Contract]],$H76,CostTrack[[Holdback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76" s="504">
        <f ca="1">SUMIFS(CostTrack[[Value]:[Value]],CostTrack[[PA ID]:[PA ID]],$B76,CostTrack[[Vendor - Contract]:[Vendor - Contract]],$H76,CostTrack[[Holdback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76" s="504">
        <f ca="1">SUMIFS(CostTrack[[Value]:[Value]],CostTrack[[PA ID]:[PA ID]],$B76,CostTrack[[Vendor - Contract]:[Vendor - Contract]],$H76,CostTrack[[Holdback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76" s="504">
        <f ca="1">SUMIFS(CostTrack[[Value]:[Value]],CostTrack[[PA ID]:[PA ID]],$B76,CostTrack[[Vendor - Contract]:[Vendor - Contract]],$H76,CostTrack[[Holdback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76" s="504">
        <f ca="1">SUMIFS(CostTrack[[Value]:[Value]],CostTrack[[PA ID]:[PA ID]],$B76,CostTrack[[Vendor - Contract]:[Vendor - Contract]],$H76,CostTrack[[Holdback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76" s="504">
        <f ca="1">SUMIFS(CostTrack[[Value]:[Value]],CostTrack[[PA ID]:[PA ID]],$B76,CostTrack[[Vendor - Contract]:[Vendor - Contract]],$H76,CostTrack[[Holdback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76" s="504">
        <f ca="1">SUMIFS(CostTrack[[Value]:[Value]],CostTrack[[PA ID]:[PA ID]],$B76,CostTrack[[Vendor - Contract]:[Vendor - Contract]],$H76,CostTrack[[Holdback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76" s="504">
        <f ca="1">SUMIFS(CostTrack[[Value]:[Value]],CostTrack[[PA ID]:[PA ID]],$B76,CostTrack[[Vendor - Contract]:[Vendor - Contract]],$H76,CostTrack[[Holdback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76" s="504">
        <f ca="1">SUMIFS(CostTrack[[Value]:[Value]],CostTrack[[PA ID]:[PA ID]],$B76,CostTrack[[Vendor - Contract]:[Vendor - Contract]],$H76,CostTrack[[Holdback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76" s="504">
        <f ca="1">SUMIFS(CostTrack[[Value]:[Value]],CostTrack[[PA ID]:[PA ID]],$B76,CostTrack[[Vendor - Contract]:[Vendor - Contract]],$H76,CostTrack[[Holdback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76" s="512">
        <f t="shared" ca="1" si="91"/>
        <v>0</v>
      </c>
      <c r="AW76" s="504">
        <f ca="1">SUMIFS(CostTrack[[Value]:[Value]],CostTrack[[PA ID]:[PA ID]],$B76,CostTrack[[Vendor - Contract]:[Vendor - Contract]],$H76,CostTrack[[Holdback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76" s="504">
        <f ca="1">SUMIFS(CostTrack[[Value]:[Value]],CostTrack[[PA ID]:[PA ID]],$B76,CostTrack[[Vendor - Contract]:[Vendor - Contract]],$H76,CostTrack[[Holdback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76" s="504">
        <f ca="1">SUMIFS(CostTrack[[Value]:[Value]],CostTrack[[PA ID]:[PA ID]],$B76,CostTrack[[Vendor - Contract]:[Vendor - Contract]],$H76,CostTrack[[Holdback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76" s="504">
        <f ca="1">SUMIFS(CostTrack[[Value]:[Value]],CostTrack[[PA ID]:[PA ID]],$B76,CostTrack[[Vendor - Contract]:[Vendor - Contract]],$H76,CostTrack[[Holdback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76" s="504">
        <f ca="1">SUMIFS(CostTrack[[Value]:[Value]],CostTrack[[PA ID]:[PA ID]],$B76,CostTrack[[Vendor - Contract]:[Vendor - Contract]],$H76,CostTrack[[Holdback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76" s="504">
        <f ca="1">SUMIFS(CostTrack[[Value]:[Value]],CostTrack[[PA ID]:[PA ID]],$B76,CostTrack[[Vendor - Contract]:[Vendor - Contract]],$H76,CostTrack[[Holdback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76" s="504">
        <f ca="1">SUMIFS(CostTrack[[Value]:[Value]],CostTrack[[PA ID]:[PA ID]],$B76,CostTrack[[Vendor - Contract]:[Vendor - Contract]],$H76,CostTrack[[Holdback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76" s="504">
        <f ca="1">SUMIFS(CostTrack[[Value]:[Value]],CostTrack[[PA ID]:[PA ID]],$B76,CostTrack[[Vendor - Contract]:[Vendor - Contract]],$H76,CostTrack[[Holdback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76" s="504">
        <f ca="1">SUMIFS(CostTrack[[Value]:[Value]],CostTrack[[PA ID]:[PA ID]],$B76,CostTrack[[Vendor - Contract]:[Vendor - Contract]],$H76,CostTrack[[Holdback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76" s="504">
        <f ca="1">SUMIFS(CostTrack[[Value]:[Value]],CostTrack[[PA ID]:[PA ID]],$B76,CostTrack[[Vendor - Contract]:[Vendor - Contract]],$H76,CostTrack[[Holdback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76" s="504">
        <f ca="1">SUMIFS(CostTrack[[Value]:[Value]],CostTrack[[PA ID]:[PA ID]],$B76,CostTrack[[Vendor - Contract]:[Vendor - Contract]],$H76,CostTrack[[Holdback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76" s="504">
        <f ca="1">SUMIFS(CostTrack[[Value]:[Value]],CostTrack[[PA ID]:[PA ID]],$B76,CostTrack[[Vendor - Contract]:[Vendor - Contract]],$H76,CostTrack[[Holdback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76" s="512">
        <f t="shared" ca="1" si="92"/>
        <v>0</v>
      </c>
      <c r="BK76" s="504">
        <f ca="1">SUMIFS(CostTrack[[Value]:[Value]],CostTrack[[PA ID]:[PA ID]],$B76,CostTrack[[Vendor - Contract]:[Vendor - Contract]],$H76,CostTrack[[Holdback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76" s="504">
        <f ca="1">SUMIFS(CostTrack[[Value]:[Value]],CostTrack[[PA ID]:[PA ID]],$B76,CostTrack[[Vendor - Contract]:[Vendor - Contract]],$H76,CostTrack[[Holdback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76" s="504">
        <f ca="1">SUMIFS(CostTrack[[Value]:[Value]],CostTrack[[PA ID]:[PA ID]],$B76,CostTrack[[Vendor - Contract]:[Vendor - Contract]],$H76,CostTrack[[Holdback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76" s="504">
        <f ca="1">SUMIFS(CostTrack[[Value]:[Value]],CostTrack[[PA ID]:[PA ID]],$B76,CostTrack[[Vendor - Contract]:[Vendor - Contract]],$H76,CostTrack[[Holdback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76" s="504">
        <f ca="1">SUMIFS(CostTrack[[Value]:[Value]],CostTrack[[PA ID]:[PA ID]],$B76,CostTrack[[Vendor - Contract]:[Vendor - Contract]],$H76,CostTrack[[Holdback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76" s="504">
        <f ca="1">SUMIFS(CostTrack[[Value]:[Value]],CostTrack[[PA ID]:[PA ID]],$B76,CostTrack[[Vendor - Contract]:[Vendor - Contract]],$H76,CostTrack[[Holdback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76" s="504">
        <f ca="1">SUMIFS(CostTrack[[Value]:[Value]],CostTrack[[PA ID]:[PA ID]],$B76,CostTrack[[Vendor - Contract]:[Vendor - Contract]],$H76,CostTrack[[Holdback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76" s="504">
        <f ca="1">SUMIFS(CostTrack[[Value]:[Value]],CostTrack[[PA ID]:[PA ID]],$B76,CostTrack[[Vendor - Contract]:[Vendor - Contract]],$H76,CostTrack[[Holdback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76" s="504">
        <f ca="1">SUMIFS(CostTrack[[Value]:[Value]],CostTrack[[PA ID]:[PA ID]],$B76,CostTrack[[Vendor - Contract]:[Vendor - Contract]],$H76,CostTrack[[Holdback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76" s="504">
        <f ca="1">SUMIFS(CostTrack[[Value]:[Value]],CostTrack[[PA ID]:[PA ID]],$B76,CostTrack[[Vendor - Contract]:[Vendor - Contract]],$H76,CostTrack[[Holdback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76" s="504">
        <f ca="1">SUMIFS(CostTrack[[Value]:[Value]],CostTrack[[PA ID]:[PA ID]],$B76,CostTrack[[Vendor - Contract]:[Vendor - Contract]],$H76,CostTrack[[Holdback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76" s="504">
        <f ca="1">SUMIFS(CostTrack[[Value]:[Value]],CostTrack[[PA ID]:[PA ID]],$B76,CostTrack[[Vendor - Contract]:[Vendor - Contract]],$H76,CostTrack[[Holdback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76" s="512">
        <f t="shared" ca="1" si="93"/>
        <v>0</v>
      </c>
      <c r="BY76" s="504">
        <f ca="1">SUMIFS(CostTrack[[Value]:[Value]],CostTrack[[PA ID]:[PA ID]],$B76,CostTrack[[Vendor - Contract]:[Vendor - Contract]],$H76,CostTrack[[Holdback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76" s="504">
        <f ca="1">SUMIFS(CostTrack[[Value]:[Value]],CostTrack[[PA ID]:[PA ID]],$B76,CostTrack[[Vendor - Contract]:[Vendor - Contract]],$H76,CostTrack[[Holdback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76" s="504">
        <f ca="1">SUMIFS(CostTrack[[Value]:[Value]],CostTrack[[PA ID]:[PA ID]],$B76,CostTrack[[Vendor - Contract]:[Vendor - Contract]],$H76,CostTrack[[Holdback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76" s="504">
        <f ca="1">SUMIFS(CostTrack[[Value]:[Value]],CostTrack[[PA ID]:[PA ID]],$B76,CostTrack[[Vendor - Contract]:[Vendor - Contract]],$H76,CostTrack[[Holdback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76" s="504">
        <f ca="1">SUMIFS(CostTrack[[Value]:[Value]],CostTrack[[PA ID]:[PA ID]],$B76,CostTrack[[Vendor - Contract]:[Vendor - Contract]],$H76,CostTrack[[Holdback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76" s="504">
        <f ca="1">SUMIFS(CostTrack[[Value]:[Value]],CostTrack[[PA ID]:[PA ID]],$B76,CostTrack[[Vendor - Contract]:[Vendor - Contract]],$H76,CostTrack[[Holdback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76" s="504">
        <f ca="1">SUMIFS(CostTrack[[Value]:[Value]],CostTrack[[PA ID]:[PA ID]],$B76,CostTrack[[Vendor - Contract]:[Vendor - Contract]],$H76,CostTrack[[Holdback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76" s="504">
        <f ca="1">SUMIFS(CostTrack[[Value]:[Value]],CostTrack[[PA ID]:[PA ID]],$B76,CostTrack[[Vendor - Contract]:[Vendor - Contract]],$H76,CostTrack[[Holdback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76" s="504">
        <f ca="1">SUMIFS(CostTrack[[Value]:[Value]],CostTrack[[PA ID]:[PA ID]],$B76,CostTrack[[Vendor - Contract]:[Vendor - Contract]],$H76,CostTrack[[Holdback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76" s="504">
        <f ca="1">SUMIFS(CostTrack[[Value]:[Value]],CostTrack[[PA ID]:[PA ID]],$B76,CostTrack[[Vendor - Contract]:[Vendor - Contract]],$H76,CostTrack[[Holdback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76" s="504">
        <f ca="1">SUMIFS(CostTrack[[Value]:[Value]],CostTrack[[PA ID]:[PA ID]],$B76,CostTrack[[Vendor - Contract]:[Vendor - Contract]],$H76,CostTrack[[Holdback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76" s="504">
        <f ca="1">SUMIFS(CostTrack[[Value]:[Value]],CostTrack[[PA ID]:[PA ID]],$B76,CostTrack[[Vendor - Contract]:[Vendor - Contract]],$H76,CostTrack[[Holdback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76" s="512">
        <f t="shared" ca="1" si="94"/>
        <v>0</v>
      </c>
      <c r="CM76" s="504">
        <f ca="1">SUMIFS(CostTrack[[Value]:[Value]],CostTrack[[PA ID]:[PA ID]],$B76,CostTrack[[Vendor - Contract]:[Vendor - Contract]],$H76,CostTrack[[Holdback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76" s="504">
        <f ca="1">SUMIFS(CostTrack[[Value]:[Value]],CostTrack[[PA ID]:[PA ID]],$B76,CostTrack[[Vendor - Contract]:[Vendor - Contract]],$H76,CostTrack[[Holdback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76" s="504">
        <f ca="1">SUMIFS(CostTrack[[Value]:[Value]],CostTrack[[PA ID]:[PA ID]],$B76,CostTrack[[Vendor - Contract]:[Vendor - Contract]],$H76,CostTrack[[Holdback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76" s="504">
        <f ca="1">SUMIFS(CostTrack[[Value]:[Value]],CostTrack[[PA ID]:[PA ID]],$B76,CostTrack[[Vendor - Contract]:[Vendor - Contract]],$H76,CostTrack[[Holdback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76" s="504">
        <f ca="1">SUMIFS(CostTrack[[Value]:[Value]],CostTrack[[PA ID]:[PA ID]],$B76,CostTrack[[Vendor - Contract]:[Vendor - Contract]],$H76,CostTrack[[Holdback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76" s="504">
        <f ca="1">SUMIFS(CostTrack[[Value]:[Value]],CostTrack[[PA ID]:[PA ID]],$B76,CostTrack[[Vendor - Contract]:[Vendor - Contract]],$H76,CostTrack[[Holdback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64.87</v>
      </c>
      <c r="CS76" s="504">
        <f ca="1">SUMIFS(CostTrack[[Value]:[Value]],CostTrack[[PA ID]:[PA ID]],$B76,CostTrack[[Vendor - Contract]:[Vendor - Contract]],$H76,CostTrack[[Holdback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76" s="504">
        <f ca="1">SUMIFS(CostTrack[[Value]:[Value]],CostTrack[[PA ID]:[PA ID]],$B76,CostTrack[[Vendor - Contract]:[Vendor - Contract]],$H76,CostTrack[[Holdback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41.52</v>
      </c>
      <c r="CU76" s="504">
        <f ca="1">SUMIFS(CostTrack[[Value]:[Value]],CostTrack[[PA ID]:[PA ID]],$B76,CostTrack[[Vendor - Contract]:[Vendor - Contract]],$H76,CostTrack[[Holdback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43.64</v>
      </c>
      <c r="CV76" s="504">
        <f ca="1">SUMIFS(CostTrack[[Value]:[Value]],CostTrack[[PA ID]:[PA ID]],$B76,CostTrack[[Vendor - Contract]:[Vendor - Contract]],$H76,CostTrack[[Holdback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370.04</v>
      </c>
      <c r="CW76" s="504">
        <f ca="1">SUMIFS(CostTrack[[Value]:[Value]],CostTrack[[PA ID]:[PA ID]],$B76,CostTrack[[Vendor - Contract]:[Vendor - Contract]],$H76,CostTrack[[Holdback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1031.68</v>
      </c>
      <c r="CX76" s="504">
        <f ca="1">SUMIFS(CostTrack[[Value]:[Value]],CostTrack[[PA ID]:[PA ID]],$B76,CostTrack[[Vendor - Contract]:[Vendor - Contract]],$H76,CostTrack[[Holdback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3344.6499999999996</v>
      </c>
      <c r="CY76" s="512">
        <f t="shared" ca="1" si="79"/>
        <v>4896.3999999999996</v>
      </c>
      <c r="DA76" s="504">
        <f ca="1">SUMIFS(CostTrack[[Value]:[Value]],CostTrack[[PA ID]:[PA ID]],$B76,CostTrack[[Vendor - Contract]:[Vendor - Contract]],$H76,CostTrack[[Holdback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76" s="504">
        <f ca="1">SUMIFS(CostTrack[[Value]:[Value]],CostTrack[[PA ID]:[PA ID]],$B76,CostTrack[[Vendor - Contract]:[Vendor - Contract]],$H76,CostTrack[[Holdback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2168.48</v>
      </c>
      <c r="DC76" s="504">
        <f ca="1">SUMIFS(CostTrack[[Value]:[Value]],CostTrack[[PA ID]:[PA ID]],$B76,CostTrack[[Vendor - Contract]:[Vendor - Contract]],$H76,CostTrack[[Holdback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242.5</v>
      </c>
      <c r="DD76" s="504">
        <f ca="1">SUMIFS(CostTrack[[Value]:[Value]],CostTrack[[PA ID]:[PA ID]],$B76,CostTrack[[Vendor - Contract]:[Vendor - Contract]],$H76,CostTrack[[Holdback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67.89</v>
      </c>
      <c r="DE76" s="504">
        <f ca="1">SUMIFS(CostTrack[[Value]:[Value]],CostTrack[[PA ID]:[PA ID]],$B76,CostTrack[[Vendor - Contract]:[Vendor - Contract]],$H76,CostTrack[[Holdback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36.15</v>
      </c>
      <c r="DF76" s="504">
        <f ca="1">SUMIFS(CostTrack[[Value]:[Value]],CostTrack[[PA ID]:[PA ID]],$B76,CostTrack[[Vendor - Contract]:[Vendor - Contract]],$H76,CostTrack[[Holdback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47.77</v>
      </c>
      <c r="DG76" s="504">
        <f ca="1">SUMIFS(CostTrack[[Value]:[Value]],CostTrack[[PA ID]:[PA ID]],$B76,CostTrack[[Vendor - Contract]:[Vendor - Contract]],$H76,CostTrack[[Holdback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99.05</v>
      </c>
      <c r="DH76" s="504">
        <f ca="1">SUMIFS(CostTrack[[Value]:[Value]],CostTrack[[PA ID]:[PA ID]],$B76,CostTrack[[Vendor - Contract]:[Vendor - Contract]],$H76,CostTrack[[Holdback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436.9</v>
      </c>
      <c r="DI76" s="504">
        <f ca="1">SUMIFS(CostTrack[[Value]:[Value]],CostTrack[[PA ID]:[PA ID]],$B76,CostTrack[[Vendor - Contract]:[Vendor - Contract]],$H76,CostTrack[[Holdback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1237.08</v>
      </c>
      <c r="DJ76" s="504">
        <f ca="1">SUMIFS(CostTrack[[Value]:[Value]],CostTrack[[PA ID]:[PA ID]],$B76,CostTrack[[Vendor - Contract]:[Vendor - Contract]],$H76,CostTrack[[Holdback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1686.08</v>
      </c>
      <c r="DK76" s="504">
        <f ca="1">SUMIFS(CostTrack[[Value]:[Value]],CostTrack[[PA ID]:[PA ID]],$B76,CostTrack[[Vendor - Contract]:[Vendor - Contract]],$H76,CostTrack[[Holdback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76" s="504">
        <f ca="1">SUMIFS(CostTrack[[Value]:[Value]],CostTrack[[PA ID]:[PA ID]],$B76,CostTrack[[Vendor - Contract]:[Vendor - Contract]],$H76,CostTrack[[Holdback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76" s="512">
        <f t="shared" ca="1" si="80"/>
        <v>6021.9</v>
      </c>
      <c r="DO76" s="504">
        <f ca="1">SUMIFS(CostTrack[[Value]:[Value]],CostTrack[[PA ID]:[PA ID]],$B76,CostTrack[[Vendor - Contract]:[Vendor - Contract]],$H76,CostTrack[[Holdback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76" s="504">
        <f ca="1">SUMIFS(CostTrack[[Value]:[Value]],CostTrack[[PA ID]:[PA ID]],$B76,CostTrack[[Vendor - Contract]:[Vendor - Contract]],$H76,CostTrack[[Holdback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76" s="504">
        <f ca="1">SUMIFS(CostTrack[[Value]:[Value]],CostTrack[[PA ID]:[PA ID]],$B76,CostTrack[[Vendor - Contract]:[Vendor - Contract]],$H76,CostTrack[[Holdback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76" s="504">
        <f ca="1">SUMIFS(CostTrack[[Value]:[Value]],CostTrack[[PA ID]:[PA ID]],$B76,CostTrack[[Vendor - Contract]:[Vendor - Contract]],$H76,CostTrack[[Holdback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76" s="504">
        <f ca="1">SUMIFS(CostTrack[[Value]:[Value]],CostTrack[[PA ID]:[PA ID]],$B76,CostTrack[[Vendor - Contract]:[Vendor - Contract]],$H76,CostTrack[[Holdback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76" s="504">
        <f ca="1">SUMIFS(CostTrack[[Value]:[Value]],CostTrack[[PA ID]:[PA ID]],$B76,CostTrack[[Vendor - Contract]:[Vendor - Contract]],$H76,CostTrack[[Holdback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76" s="504">
        <f ca="1">SUMIFS(CostTrack[[Value]:[Value]],CostTrack[[PA ID]:[PA ID]],$B76,CostTrack[[Vendor - Contract]:[Vendor - Contract]],$H76,CostTrack[[Holdback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76" s="504">
        <f ca="1">SUMIFS(CostTrack[[Value]:[Value]],CostTrack[[PA ID]:[PA ID]],$B76,CostTrack[[Vendor - Contract]:[Vendor - Contract]],$H76,CostTrack[[Holdback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76" s="504">
        <f ca="1">SUMIFS(CostTrack[[Value]:[Value]],CostTrack[[PA ID]:[PA ID]],$B76,CostTrack[[Vendor - Contract]:[Vendor - Contract]],$H76,CostTrack[[Holdback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76" s="504">
        <f ca="1">SUMIFS(CostTrack[[Value]:[Value]],CostTrack[[PA ID]:[PA ID]],$B76,CostTrack[[Vendor - Contract]:[Vendor - Contract]],$H76,CostTrack[[Holdback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76" s="504">
        <f ca="1">SUMIFS(CostTrack[[Value]:[Value]],CostTrack[[PA ID]:[PA ID]],$B76,CostTrack[[Vendor - Contract]:[Vendor - Contract]],$H76,CostTrack[[Holdback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76" s="504">
        <f ca="1">SUMIFS(CostTrack[[Value]:[Value]],CostTrack[[PA ID]:[PA ID]],$B76,CostTrack[[Vendor - Contract]:[Vendor - Contract]],$H76,CostTrack[[Holdback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76" s="512">
        <f t="shared" ca="1" si="81"/>
        <v>0</v>
      </c>
      <c r="EC76" s="504">
        <f ca="1">SUMIFS(CostTrack[[Value]:[Value]],CostTrack[[PA ID]:[PA ID]],$B76,CostTrack[[Vendor - Contract]:[Vendor - Contract]],$H76,CostTrack[[Holdback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76" s="505"/>
      <c r="EE76" s="505"/>
      <c r="EF76" s="505"/>
      <c r="EG76" s="505"/>
      <c r="EH76" s="505"/>
      <c r="EI76" s="505"/>
      <c r="EJ76" s="505"/>
      <c r="EK76" s="505"/>
      <c r="EL76" s="505"/>
      <c r="EM76" s="505"/>
      <c r="EN76" s="505"/>
      <c r="EO76" s="512">
        <f t="shared" ca="1" si="82"/>
        <v>0</v>
      </c>
      <c r="EQ76" s="505"/>
      <c r="ER76" s="505"/>
      <c r="ES76" s="505"/>
      <c r="ET76" s="505"/>
      <c r="EU76" s="505"/>
      <c r="EV76" s="505"/>
      <c r="EW76" s="505"/>
      <c r="EX76" s="505"/>
      <c r="EY76" s="505"/>
      <c r="EZ76" s="505"/>
      <c r="FA76" s="505"/>
      <c r="FB76" s="505"/>
      <c r="FC76" s="512">
        <f t="shared" si="83"/>
        <v>0</v>
      </c>
      <c r="FE76" s="505"/>
      <c r="FF76" s="505"/>
      <c r="FG76" s="505"/>
      <c r="FH76" s="505"/>
      <c r="FI76" s="505"/>
      <c r="FJ76" s="505"/>
      <c r="FK76" s="505"/>
      <c r="FL76" s="505"/>
      <c r="FM76" s="505"/>
      <c r="FN76" s="505"/>
      <c r="FO76" s="505"/>
      <c r="FP76" s="505"/>
      <c r="FQ76" s="512">
        <f t="shared" si="84"/>
        <v>0</v>
      </c>
      <c r="FS76" s="504">
        <f t="shared" ca="1" si="85"/>
        <v>10918.3</v>
      </c>
    </row>
    <row r="77" spans="1:175" ht="24" customHeight="1">
      <c r="A77" s="216">
        <v>70</v>
      </c>
      <c r="B77" s="219" t="str">
        <f ca="1">INDEX(EAC[PA ID],MATCH($A77,EAC[Row],0))</f>
        <v>300.040.F1</v>
      </c>
      <c r="C77" s="218" t="str">
        <f ca="1">INDEX(EAC[Primary Category],MATCH($A77,EAC[Row],0))</f>
        <v>Construction</v>
      </c>
      <c r="D77" s="218" t="str">
        <f ca="1">INDEX(EAC[Secondary Category],MATCH($A77,EAC[Row],0))</f>
        <v>Other Contractor</v>
      </c>
      <c r="E77" s="109" t="str">
        <f ca="1">INDEX(EAC[Phase / Subproject],MATCH($A77,EAC[Row],0))</f>
        <v>--</v>
      </c>
      <c r="F77" s="109" t="str">
        <f ca="1">INDEX(EAC[Phase / Subproject 2],MATCH($A77,EAC[Row],0))</f>
        <v>--</v>
      </c>
      <c r="G77" s="109" t="str">
        <f ca="1">INDEX(EAC[Funding Source],MATCH($A77,EAC[Row],0))</f>
        <v>P-002360</v>
      </c>
      <c r="H77" s="146" t="str">
        <f ca="1">INDEX(EAC[Vendor / Org. with Contract ID],MATCH($A77,EAC[Row],0))</f>
        <v>Equs- Offsite Storage-Direct Pay</v>
      </c>
      <c r="I77" s="502">
        <f ca="1">INDEX(EAC[Estimate At Completion],MATCH($A77,EAC[Row],0))</f>
        <v>4212.74</v>
      </c>
      <c r="J77" s="502">
        <f ca="1">SUMIFS(CostTrack[Value],CostTrack[Vendor - Contract],$H77,CostTrack[PA ID],$B77,CostTrack[Holdback (Y/N/R)],"&lt;&gt;Release",CostTrack[Status],"Approved")</f>
        <v>4212.74</v>
      </c>
      <c r="K77" s="503">
        <f t="shared" ca="1" si="95"/>
        <v>0</v>
      </c>
      <c r="M77" s="504">
        <f t="shared" ca="1" si="86"/>
        <v>0</v>
      </c>
      <c r="O77" s="504">
        <f t="shared" ca="1" si="87"/>
        <v>4212.74</v>
      </c>
      <c r="P77" s="504">
        <f t="array" aca="1" ref="P77" ca="1">SUM($U77:$FQ77*_xlfn.ISFORMULA($U77:$FQ77)*ISNUMBER($U$7:$FQ$7)*--(INDEX($U$6:$FQ$6,N(IF({1},COLUMN($U$6:$FQ$6)-COLUMN($T$6)))-MOD(N(IF({1},COLUMN($U$6:$FQ$6)-COLUMN($U$6))),14))="Current Fiscal"))</f>
        <v>0</v>
      </c>
      <c r="Q77" s="504">
        <f t="array" aca="1" ref="Q77" ca="1">SUM($U77:$FQ77*NOT(_xlfn.ISFORMULA($U77:$FQ77))*ISNUMBER($U$7:$FQ$7)*--(INDEX($U$6:$FQ$6,N(IF({1},COLUMN($U$6:$FQ$6)-COLUMN($T$6)))-MOD(N(IF({1},COLUMN($U$6:$FQ$6)-COLUMN($U$6))),14))="Current Fiscal"))</f>
        <v>0</v>
      </c>
      <c r="R77" s="504">
        <f t="shared" ca="1" si="88"/>
        <v>0</v>
      </c>
      <c r="S77" s="504">
        <f t="shared" ca="1" si="89"/>
        <v>0</v>
      </c>
      <c r="U77" s="504">
        <f ca="1">SUMIFS(CostTrack[[Value]:[Value]],CostTrack[[PA ID]:[PA ID]],$B77,CostTrack[[Vendor - Contract]:[Vendor - Contract]],$H77,CostTrack[[Holdback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77" s="504">
        <f ca="1">SUMIFS(CostTrack[[Value]:[Value]],CostTrack[[PA ID]:[PA ID]],$B77,CostTrack[[Vendor - Contract]:[Vendor - Contract]],$H77,CostTrack[[Holdback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77" s="504">
        <f ca="1">SUMIFS(CostTrack[[Value]:[Value]],CostTrack[[PA ID]:[PA ID]],$B77,CostTrack[[Vendor - Contract]:[Vendor - Contract]],$H77,CostTrack[[Holdback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77" s="504">
        <f ca="1">SUMIFS(CostTrack[[Value]:[Value]],CostTrack[[PA ID]:[PA ID]],$B77,CostTrack[[Vendor - Contract]:[Vendor - Contract]],$H77,CostTrack[[Holdback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77" s="504">
        <f ca="1">SUMIFS(CostTrack[[Value]:[Value]],CostTrack[[PA ID]:[PA ID]],$B77,CostTrack[[Vendor - Contract]:[Vendor - Contract]],$H77,CostTrack[[Holdback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77" s="504">
        <f ca="1">SUMIFS(CostTrack[[Value]:[Value]],CostTrack[[PA ID]:[PA ID]],$B77,CostTrack[[Vendor - Contract]:[Vendor - Contract]],$H77,CostTrack[[Holdback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77" s="504">
        <f ca="1">SUMIFS(CostTrack[[Value]:[Value]],CostTrack[[PA ID]:[PA ID]],$B77,CostTrack[[Vendor - Contract]:[Vendor - Contract]],$H77,CostTrack[[Holdback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77" s="504">
        <f ca="1">SUMIFS(CostTrack[[Value]:[Value]],CostTrack[[PA ID]:[PA ID]],$B77,CostTrack[[Vendor - Contract]:[Vendor - Contract]],$H77,CostTrack[[Holdback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77" s="504">
        <f ca="1">SUMIFS(CostTrack[[Value]:[Value]],CostTrack[[PA ID]:[PA ID]],$B77,CostTrack[[Vendor - Contract]:[Vendor - Contract]],$H77,CostTrack[[Holdback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77" s="504">
        <f ca="1">SUMIFS(CostTrack[[Value]:[Value]],CostTrack[[PA ID]:[PA ID]],$B77,CostTrack[[Vendor - Contract]:[Vendor - Contract]],$H77,CostTrack[[Holdback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77" s="504">
        <f ca="1">SUMIFS(CostTrack[[Value]:[Value]],CostTrack[[PA ID]:[PA ID]],$B77,CostTrack[[Vendor - Contract]:[Vendor - Contract]],$H77,CostTrack[[Holdback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77" s="504">
        <f ca="1">SUMIFS(CostTrack[[Value]:[Value]],CostTrack[[PA ID]:[PA ID]],$B77,CostTrack[[Vendor - Contract]:[Vendor - Contract]],$H77,CostTrack[[Holdback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77" s="506">
        <f t="shared" ca="1" si="90"/>
        <v>0</v>
      </c>
      <c r="AI77" s="504">
        <f ca="1">SUMIFS(CostTrack[[Value]:[Value]],CostTrack[[PA ID]:[PA ID]],$B77,CostTrack[[Vendor - Contract]:[Vendor - Contract]],$H77,CostTrack[[Holdback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77" s="504">
        <f ca="1">SUMIFS(CostTrack[[Value]:[Value]],CostTrack[[PA ID]:[PA ID]],$B77,CostTrack[[Vendor - Contract]:[Vendor - Contract]],$H77,CostTrack[[Holdback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77" s="504">
        <f ca="1">SUMIFS(CostTrack[[Value]:[Value]],CostTrack[[PA ID]:[PA ID]],$B77,CostTrack[[Vendor - Contract]:[Vendor - Contract]],$H77,CostTrack[[Holdback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77" s="504">
        <f ca="1">SUMIFS(CostTrack[[Value]:[Value]],CostTrack[[PA ID]:[PA ID]],$B77,CostTrack[[Vendor - Contract]:[Vendor - Contract]],$H77,CostTrack[[Holdback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77" s="504">
        <f ca="1">SUMIFS(CostTrack[[Value]:[Value]],CostTrack[[PA ID]:[PA ID]],$B77,CostTrack[[Vendor - Contract]:[Vendor - Contract]],$H77,CostTrack[[Holdback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77" s="504">
        <f ca="1">SUMIFS(CostTrack[[Value]:[Value]],CostTrack[[PA ID]:[PA ID]],$B77,CostTrack[[Vendor - Contract]:[Vendor - Contract]],$H77,CostTrack[[Holdback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77" s="504">
        <f ca="1">SUMIFS(CostTrack[[Value]:[Value]],CostTrack[[PA ID]:[PA ID]],$B77,CostTrack[[Vendor - Contract]:[Vendor - Contract]],$H77,CostTrack[[Holdback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77" s="504">
        <f ca="1">SUMIFS(CostTrack[[Value]:[Value]],CostTrack[[PA ID]:[PA ID]],$B77,CostTrack[[Vendor - Contract]:[Vendor - Contract]],$H77,CostTrack[[Holdback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77" s="504">
        <f ca="1">SUMIFS(CostTrack[[Value]:[Value]],CostTrack[[PA ID]:[PA ID]],$B77,CostTrack[[Vendor - Contract]:[Vendor - Contract]],$H77,CostTrack[[Holdback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77" s="504">
        <f ca="1">SUMIFS(CostTrack[[Value]:[Value]],CostTrack[[PA ID]:[PA ID]],$B77,CostTrack[[Vendor - Contract]:[Vendor - Contract]],$H77,CostTrack[[Holdback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77" s="504">
        <f ca="1">SUMIFS(CostTrack[[Value]:[Value]],CostTrack[[PA ID]:[PA ID]],$B77,CostTrack[[Vendor - Contract]:[Vendor - Contract]],$H77,CostTrack[[Holdback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77" s="504">
        <f ca="1">SUMIFS(CostTrack[[Value]:[Value]],CostTrack[[PA ID]:[PA ID]],$B77,CostTrack[[Vendor - Contract]:[Vendor - Contract]],$H77,CostTrack[[Holdback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77" s="512">
        <f t="shared" ca="1" si="91"/>
        <v>0</v>
      </c>
      <c r="AW77" s="504">
        <f ca="1">SUMIFS(CostTrack[[Value]:[Value]],CostTrack[[PA ID]:[PA ID]],$B77,CostTrack[[Vendor - Contract]:[Vendor - Contract]],$H77,CostTrack[[Holdback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77" s="504">
        <f ca="1">SUMIFS(CostTrack[[Value]:[Value]],CostTrack[[PA ID]:[PA ID]],$B77,CostTrack[[Vendor - Contract]:[Vendor - Contract]],$H77,CostTrack[[Holdback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77" s="504">
        <f ca="1">SUMIFS(CostTrack[[Value]:[Value]],CostTrack[[PA ID]:[PA ID]],$B77,CostTrack[[Vendor - Contract]:[Vendor - Contract]],$H77,CostTrack[[Holdback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77" s="504">
        <f ca="1">SUMIFS(CostTrack[[Value]:[Value]],CostTrack[[PA ID]:[PA ID]],$B77,CostTrack[[Vendor - Contract]:[Vendor - Contract]],$H77,CostTrack[[Holdback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77" s="504">
        <f ca="1">SUMIFS(CostTrack[[Value]:[Value]],CostTrack[[PA ID]:[PA ID]],$B77,CostTrack[[Vendor - Contract]:[Vendor - Contract]],$H77,CostTrack[[Holdback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77" s="504">
        <f ca="1">SUMIFS(CostTrack[[Value]:[Value]],CostTrack[[PA ID]:[PA ID]],$B77,CostTrack[[Vendor - Contract]:[Vendor - Contract]],$H77,CostTrack[[Holdback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77" s="504">
        <f ca="1">SUMIFS(CostTrack[[Value]:[Value]],CostTrack[[PA ID]:[PA ID]],$B77,CostTrack[[Vendor - Contract]:[Vendor - Contract]],$H77,CostTrack[[Holdback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77" s="504">
        <f ca="1">SUMIFS(CostTrack[[Value]:[Value]],CostTrack[[PA ID]:[PA ID]],$B77,CostTrack[[Vendor - Contract]:[Vendor - Contract]],$H77,CostTrack[[Holdback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77" s="504">
        <f ca="1">SUMIFS(CostTrack[[Value]:[Value]],CostTrack[[PA ID]:[PA ID]],$B77,CostTrack[[Vendor - Contract]:[Vendor - Contract]],$H77,CostTrack[[Holdback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77" s="504">
        <f ca="1">SUMIFS(CostTrack[[Value]:[Value]],CostTrack[[PA ID]:[PA ID]],$B77,CostTrack[[Vendor - Contract]:[Vendor - Contract]],$H77,CostTrack[[Holdback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77" s="504">
        <f ca="1">SUMIFS(CostTrack[[Value]:[Value]],CostTrack[[PA ID]:[PA ID]],$B77,CostTrack[[Vendor - Contract]:[Vendor - Contract]],$H77,CostTrack[[Holdback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77" s="504">
        <f ca="1">SUMIFS(CostTrack[[Value]:[Value]],CostTrack[[PA ID]:[PA ID]],$B77,CostTrack[[Vendor - Contract]:[Vendor - Contract]],$H77,CostTrack[[Holdback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77" s="512">
        <f t="shared" ca="1" si="92"/>
        <v>0</v>
      </c>
      <c r="BK77" s="504">
        <f ca="1">SUMIFS(CostTrack[[Value]:[Value]],CostTrack[[PA ID]:[PA ID]],$B77,CostTrack[[Vendor - Contract]:[Vendor - Contract]],$H77,CostTrack[[Holdback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77" s="504">
        <f ca="1">SUMIFS(CostTrack[[Value]:[Value]],CostTrack[[PA ID]:[PA ID]],$B77,CostTrack[[Vendor - Contract]:[Vendor - Contract]],$H77,CostTrack[[Holdback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77" s="504">
        <f ca="1">SUMIFS(CostTrack[[Value]:[Value]],CostTrack[[PA ID]:[PA ID]],$B77,CostTrack[[Vendor - Contract]:[Vendor - Contract]],$H77,CostTrack[[Holdback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77" s="504">
        <f ca="1">SUMIFS(CostTrack[[Value]:[Value]],CostTrack[[PA ID]:[PA ID]],$B77,CostTrack[[Vendor - Contract]:[Vendor - Contract]],$H77,CostTrack[[Holdback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77" s="504">
        <f ca="1">SUMIFS(CostTrack[[Value]:[Value]],CostTrack[[PA ID]:[PA ID]],$B77,CostTrack[[Vendor - Contract]:[Vendor - Contract]],$H77,CostTrack[[Holdback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77" s="504">
        <f ca="1">SUMIFS(CostTrack[[Value]:[Value]],CostTrack[[PA ID]:[PA ID]],$B77,CostTrack[[Vendor - Contract]:[Vendor - Contract]],$H77,CostTrack[[Holdback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77" s="504">
        <f ca="1">SUMIFS(CostTrack[[Value]:[Value]],CostTrack[[PA ID]:[PA ID]],$B77,CostTrack[[Vendor - Contract]:[Vendor - Contract]],$H77,CostTrack[[Holdback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77" s="504">
        <f ca="1">SUMIFS(CostTrack[[Value]:[Value]],CostTrack[[PA ID]:[PA ID]],$B77,CostTrack[[Vendor - Contract]:[Vendor - Contract]],$H77,CostTrack[[Holdback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77" s="504">
        <f ca="1">SUMIFS(CostTrack[[Value]:[Value]],CostTrack[[PA ID]:[PA ID]],$B77,CostTrack[[Vendor - Contract]:[Vendor - Contract]],$H77,CostTrack[[Holdback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77" s="504">
        <f ca="1">SUMIFS(CostTrack[[Value]:[Value]],CostTrack[[PA ID]:[PA ID]],$B77,CostTrack[[Vendor - Contract]:[Vendor - Contract]],$H77,CostTrack[[Holdback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77" s="504">
        <f ca="1">SUMIFS(CostTrack[[Value]:[Value]],CostTrack[[PA ID]:[PA ID]],$B77,CostTrack[[Vendor - Contract]:[Vendor - Contract]],$H77,CostTrack[[Holdback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77" s="504">
        <f ca="1">SUMIFS(CostTrack[[Value]:[Value]],CostTrack[[PA ID]:[PA ID]],$B77,CostTrack[[Vendor - Contract]:[Vendor - Contract]],$H77,CostTrack[[Holdback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77" s="512">
        <f t="shared" ca="1" si="93"/>
        <v>0</v>
      </c>
      <c r="BY77" s="504">
        <f ca="1">SUMIFS(CostTrack[[Value]:[Value]],CostTrack[[PA ID]:[PA ID]],$B77,CostTrack[[Vendor - Contract]:[Vendor - Contract]],$H77,CostTrack[[Holdback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77" s="504">
        <f ca="1">SUMIFS(CostTrack[[Value]:[Value]],CostTrack[[PA ID]:[PA ID]],$B77,CostTrack[[Vendor - Contract]:[Vendor - Contract]],$H77,CostTrack[[Holdback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77" s="504">
        <f ca="1">SUMIFS(CostTrack[[Value]:[Value]],CostTrack[[PA ID]:[PA ID]],$B77,CostTrack[[Vendor - Contract]:[Vendor - Contract]],$H77,CostTrack[[Holdback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77" s="504">
        <f ca="1">SUMIFS(CostTrack[[Value]:[Value]],CostTrack[[PA ID]:[PA ID]],$B77,CostTrack[[Vendor - Contract]:[Vendor - Contract]],$H77,CostTrack[[Holdback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77" s="504">
        <f ca="1">SUMIFS(CostTrack[[Value]:[Value]],CostTrack[[PA ID]:[PA ID]],$B77,CostTrack[[Vendor - Contract]:[Vendor - Contract]],$H77,CostTrack[[Holdback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77" s="504">
        <f ca="1">SUMIFS(CostTrack[[Value]:[Value]],CostTrack[[PA ID]:[PA ID]],$B77,CostTrack[[Vendor - Contract]:[Vendor - Contract]],$H77,CostTrack[[Holdback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77" s="504">
        <f ca="1">SUMIFS(CostTrack[[Value]:[Value]],CostTrack[[PA ID]:[PA ID]],$B77,CostTrack[[Vendor - Contract]:[Vendor - Contract]],$H77,CostTrack[[Holdback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77" s="504">
        <f ca="1">SUMIFS(CostTrack[[Value]:[Value]],CostTrack[[PA ID]:[PA ID]],$B77,CostTrack[[Vendor - Contract]:[Vendor - Contract]],$H77,CostTrack[[Holdback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77" s="504">
        <f ca="1">SUMIFS(CostTrack[[Value]:[Value]],CostTrack[[PA ID]:[PA ID]],$B77,CostTrack[[Vendor - Contract]:[Vendor - Contract]],$H77,CostTrack[[Holdback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77" s="504">
        <f ca="1">SUMIFS(CostTrack[[Value]:[Value]],CostTrack[[PA ID]:[PA ID]],$B77,CostTrack[[Vendor - Contract]:[Vendor - Contract]],$H77,CostTrack[[Holdback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77" s="504">
        <f ca="1">SUMIFS(CostTrack[[Value]:[Value]],CostTrack[[PA ID]:[PA ID]],$B77,CostTrack[[Vendor - Contract]:[Vendor - Contract]],$H77,CostTrack[[Holdback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77" s="504">
        <f ca="1">SUMIFS(CostTrack[[Value]:[Value]],CostTrack[[PA ID]:[PA ID]],$B77,CostTrack[[Vendor - Contract]:[Vendor - Contract]],$H77,CostTrack[[Holdback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77" s="512">
        <f t="shared" ca="1" si="94"/>
        <v>0</v>
      </c>
      <c r="CM77" s="504">
        <f ca="1">SUMIFS(CostTrack[[Value]:[Value]],CostTrack[[PA ID]:[PA ID]],$B77,CostTrack[[Vendor - Contract]:[Vendor - Contract]],$H77,CostTrack[[Holdback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77" s="504">
        <f ca="1">SUMIFS(CostTrack[[Value]:[Value]],CostTrack[[PA ID]:[PA ID]],$B77,CostTrack[[Vendor - Contract]:[Vendor - Contract]],$H77,CostTrack[[Holdback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77" s="504">
        <f ca="1">SUMIFS(CostTrack[[Value]:[Value]],CostTrack[[PA ID]:[PA ID]],$B77,CostTrack[[Vendor - Contract]:[Vendor - Contract]],$H77,CostTrack[[Holdback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77" s="504">
        <f ca="1">SUMIFS(CostTrack[[Value]:[Value]],CostTrack[[PA ID]:[PA ID]],$B77,CostTrack[[Vendor - Contract]:[Vendor - Contract]],$H77,CostTrack[[Holdback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77" s="504">
        <f ca="1">SUMIFS(CostTrack[[Value]:[Value]],CostTrack[[PA ID]:[PA ID]],$B77,CostTrack[[Vendor - Contract]:[Vendor - Contract]],$H77,CostTrack[[Holdback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131.97999999999999</v>
      </c>
      <c r="CR77" s="504">
        <f ca="1">SUMIFS(CostTrack[[Value]:[Value]],CostTrack[[PA ID]:[PA ID]],$B77,CostTrack[[Vendor - Contract]:[Vendor - Contract]],$H77,CostTrack[[Holdback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91.58</v>
      </c>
      <c r="CS77" s="504">
        <f ca="1">SUMIFS(CostTrack[[Value]:[Value]],CostTrack[[PA ID]:[PA ID]],$B77,CostTrack[[Vendor - Contract]:[Vendor - Contract]],$H77,CostTrack[[Holdback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121.58</v>
      </c>
      <c r="CT77" s="504">
        <f ca="1">SUMIFS(CostTrack[[Value]:[Value]],CostTrack[[PA ID]:[PA ID]],$B77,CostTrack[[Vendor - Contract]:[Vendor - Contract]],$H77,CostTrack[[Holdback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272.11</v>
      </c>
      <c r="CU77" s="504">
        <f ca="1">SUMIFS(CostTrack[[Value]:[Value]],CostTrack[[PA ID]:[PA ID]],$B77,CostTrack[[Vendor - Contract]:[Vendor - Contract]],$H77,CostTrack[[Holdback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273.64</v>
      </c>
      <c r="CV77" s="504">
        <f ca="1">SUMIFS(CostTrack[[Value]:[Value]],CostTrack[[PA ID]:[PA ID]],$B77,CostTrack[[Vendor - Contract]:[Vendor - Contract]],$H77,CostTrack[[Holdback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270.68</v>
      </c>
      <c r="CW77" s="504">
        <f ca="1">SUMIFS(CostTrack[[Value]:[Value]],CostTrack[[PA ID]:[PA ID]],$B77,CostTrack[[Vendor - Contract]:[Vendor - Contract]],$H77,CostTrack[[Holdback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347</v>
      </c>
      <c r="CX77" s="504">
        <f ca="1">SUMIFS(CostTrack[[Value]:[Value]],CostTrack[[PA ID]:[PA ID]],$B77,CostTrack[[Vendor - Contract]:[Vendor - Contract]],$H77,CostTrack[[Holdback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372.55</v>
      </c>
      <c r="CY77" s="512">
        <f t="shared" ca="1" si="79"/>
        <v>1881.12</v>
      </c>
      <c r="DA77" s="504">
        <f ca="1">SUMIFS(CostTrack[[Value]:[Value]],CostTrack[[PA ID]:[PA ID]],$B77,CostTrack[[Vendor - Contract]:[Vendor - Contract]],$H77,CostTrack[[Holdback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329.71</v>
      </c>
      <c r="DB77" s="504">
        <f ca="1">SUMIFS(CostTrack[[Value]:[Value]],CostTrack[[PA ID]:[PA ID]],$B77,CostTrack[[Vendor - Contract]:[Vendor - Contract]],$H77,CostTrack[[Holdback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265.77</v>
      </c>
      <c r="DC77" s="504">
        <f ca="1">SUMIFS(CostTrack[[Value]:[Value]],CostTrack[[PA ID]:[PA ID]],$B77,CostTrack[[Vendor - Contract]:[Vendor - Contract]],$H77,CostTrack[[Holdback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261.12</v>
      </c>
      <c r="DD77" s="504">
        <f ca="1">SUMIFS(CostTrack[[Value]:[Value]],CostTrack[[PA ID]:[PA ID]],$B77,CostTrack[[Vendor - Contract]:[Vendor - Contract]],$H77,CostTrack[[Holdback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248.62</v>
      </c>
      <c r="DE77" s="504">
        <f ca="1">SUMIFS(CostTrack[[Value]:[Value]],CostTrack[[PA ID]:[PA ID]],$B77,CostTrack[[Vendor - Contract]:[Vendor - Contract]],$H77,CostTrack[[Holdback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247.56</v>
      </c>
      <c r="DF77" s="504">
        <f ca="1">SUMIFS(CostTrack[[Value]:[Value]],CostTrack[[PA ID]:[PA ID]],$B77,CostTrack[[Vendor - Contract]:[Vendor - Contract]],$H77,CostTrack[[Holdback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202.28</v>
      </c>
      <c r="DG77" s="504">
        <f ca="1">SUMIFS(CostTrack[[Value]:[Value]],CostTrack[[PA ID]:[PA ID]],$B77,CostTrack[[Vendor - Contract]:[Vendor - Contract]],$H77,CostTrack[[Holdback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189.08</v>
      </c>
      <c r="DH77" s="504">
        <f ca="1">SUMIFS(CostTrack[[Value]:[Value]],CostTrack[[PA ID]:[PA ID]],$B77,CostTrack[[Vendor - Contract]:[Vendor - Contract]],$H77,CostTrack[[Holdback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199.36</v>
      </c>
      <c r="DI77" s="504">
        <f ca="1">SUMIFS(CostTrack[[Value]:[Value]],CostTrack[[PA ID]:[PA ID]],$B77,CostTrack[[Vendor - Contract]:[Vendor - Contract]],$H77,CostTrack[[Holdback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191.07</v>
      </c>
      <c r="DJ77" s="504">
        <f ca="1">SUMIFS(CostTrack[[Value]:[Value]],CostTrack[[PA ID]:[PA ID]],$B77,CostTrack[[Vendor - Contract]:[Vendor - Contract]],$H77,CostTrack[[Holdback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197.05</v>
      </c>
      <c r="DK77" s="504">
        <f ca="1">SUMIFS(CostTrack[[Value]:[Value]],CostTrack[[PA ID]:[PA ID]],$B77,CostTrack[[Vendor - Contract]:[Vendor - Contract]],$H77,CostTrack[[Holdback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77" s="504">
        <f ca="1">SUMIFS(CostTrack[[Value]:[Value]],CostTrack[[PA ID]:[PA ID]],$B77,CostTrack[[Vendor - Contract]:[Vendor - Contract]],$H77,CostTrack[[Holdback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77" s="512">
        <f t="shared" ca="1" si="80"/>
        <v>2331.6200000000003</v>
      </c>
      <c r="DO77" s="504">
        <f ca="1">SUMIFS(CostTrack[[Value]:[Value]],CostTrack[[PA ID]:[PA ID]],$B77,CostTrack[[Vendor - Contract]:[Vendor - Contract]],$H77,CostTrack[[Holdback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77" s="504">
        <f ca="1">SUMIFS(CostTrack[[Value]:[Value]],CostTrack[[PA ID]:[PA ID]],$B77,CostTrack[[Vendor - Contract]:[Vendor - Contract]],$H77,CostTrack[[Holdback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77" s="504">
        <f ca="1">SUMIFS(CostTrack[[Value]:[Value]],CostTrack[[PA ID]:[PA ID]],$B77,CostTrack[[Vendor - Contract]:[Vendor - Contract]],$H77,CostTrack[[Holdback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77" s="504">
        <f ca="1">SUMIFS(CostTrack[[Value]:[Value]],CostTrack[[PA ID]:[PA ID]],$B77,CostTrack[[Vendor - Contract]:[Vendor - Contract]],$H77,CostTrack[[Holdback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77" s="504">
        <f ca="1">SUMIFS(CostTrack[[Value]:[Value]],CostTrack[[PA ID]:[PA ID]],$B77,CostTrack[[Vendor - Contract]:[Vendor - Contract]],$H77,CostTrack[[Holdback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77" s="504">
        <f ca="1">SUMIFS(CostTrack[[Value]:[Value]],CostTrack[[PA ID]:[PA ID]],$B77,CostTrack[[Vendor - Contract]:[Vendor - Contract]],$H77,CostTrack[[Holdback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77" s="504">
        <f ca="1">SUMIFS(CostTrack[[Value]:[Value]],CostTrack[[PA ID]:[PA ID]],$B77,CostTrack[[Vendor - Contract]:[Vendor - Contract]],$H77,CostTrack[[Holdback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77" s="504">
        <f ca="1">SUMIFS(CostTrack[[Value]:[Value]],CostTrack[[PA ID]:[PA ID]],$B77,CostTrack[[Vendor - Contract]:[Vendor - Contract]],$H77,CostTrack[[Holdback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77" s="504">
        <f ca="1">SUMIFS(CostTrack[[Value]:[Value]],CostTrack[[PA ID]:[PA ID]],$B77,CostTrack[[Vendor - Contract]:[Vendor - Contract]],$H77,CostTrack[[Holdback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77" s="504">
        <f ca="1">SUMIFS(CostTrack[[Value]:[Value]],CostTrack[[PA ID]:[PA ID]],$B77,CostTrack[[Vendor - Contract]:[Vendor - Contract]],$H77,CostTrack[[Holdback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77" s="504">
        <f ca="1">SUMIFS(CostTrack[[Value]:[Value]],CostTrack[[PA ID]:[PA ID]],$B77,CostTrack[[Vendor - Contract]:[Vendor - Contract]],$H77,CostTrack[[Holdback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77" s="504">
        <f ca="1">SUMIFS(CostTrack[[Value]:[Value]],CostTrack[[PA ID]:[PA ID]],$B77,CostTrack[[Vendor - Contract]:[Vendor - Contract]],$H77,CostTrack[[Holdback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77" s="512">
        <f t="shared" ca="1" si="81"/>
        <v>0</v>
      </c>
      <c r="EC77" s="504">
        <f ca="1">SUMIFS(CostTrack[[Value]:[Value]],CostTrack[[PA ID]:[PA ID]],$B77,CostTrack[[Vendor - Contract]:[Vendor - Contract]],$H77,CostTrack[[Holdback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77" s="505"/>
      <c r="EE77" s="505"/>
      <c r="EF77" s="505"/>
      <c r="EG77" s="505"/>
      <c r="EH77" s="505"/>
      <c r="EI77" s="505"/>
      <c r="EJ77" s="505"/>
      <c r="EK77" s="505"/>
      <c r="EL77" s="505"/>
      <c r="EM77" s="505"/>
      <c r="EN77" s="505"/>
      <c r="EO77" s="512">
        <f t="shared" ca="1" si="82"/>
        <v>0</v>
      </c>
      <c r="EQ77" s="505"/>
      <c r="ER77" s="505"/>
      <c r="ES77" s="505"/>
      <c r="ET77" s="505"/>
      <c r="EU77" s="505"/>
      <c r="EV77" s="505"/>
      <c r="EW77" s="505"/>
      <c r="EX77" s="505"/>
      <c r="EY77" s="505"/>
      <c r="EZ77" s="505"/>
      <c r="FA77" s="505"/>
      <c r="FB77" s="505"/>
      <c r="FC77" s="512">
        <f t="shared" si="83"/>
        <v>0</v>
      </c>
      <c r="FE77" s="505"/>
      <c r="FF77" s="505"/>
      <c r="FG77" s="505"/>
      <c r="FH77" s="505"/>
      <c r="FI77" s="505"/>
      <c r="FJ77" s="505"/>
      <c r="FK77" s="505"/>
      <c r="FL77" s="505"/>
      <c r="FM77" s="505"/>
      <c r="FN77" s="505"/>
      <c r="FO77" s="505"/>
      <c r="FP77" s="505"/>
      <c r="FQ77" s="512">
        <f t="shared" si="84"/>
        <v>0</v>
      </c>
      <c r="FS77" s="504">
        <f t="shared" ca="1" si="85"/>
        <v>4212.74</v>
      </c>
    </row>
    <row r="78" spans="1:175" ht="24" customHeight="1">
      <c r="A78" s="216">
        <v>71</v>
      </c>
      <c r="B78" s="219" t="str">
        <f ca="1">INDEX(EAC[PA ID],MATCH($A78,EAC[Row],0))</f>
        <v>200.050.F1</v>
      </c>
      <c r="C78" s="218" t="str">
        <f ca="1">INDEX(EAC[Primary Category],MATCH($A78,EAC[Row],0))</f>
        <v>Professional Services</v>
      </c>
      <c r="D78" s="218" t="str">
        <f ca="1">INDEX(EAC[Secondary Category],MATCH($A78,EAC[Row],0))</f>
        <v>Other Professional Services</v>
      </c>
      <c r="E78" s="109" t="str">
        <f ca="1">INDEX(EAC[Phase / Subproject],MATCH($A78,EAC[Row],0))</f>
        <v>--</v>
      </c>
      <c r="F78" s="109" t="str">
        <f ca="1">INDEX(EAC[Phase / Subproject 2],MATCH($A78,EAC[Row],0))</f>
        <v>--</v>
      </c>
      <c r="G78" s="109" t="str">
        <f ca="1">INDEX(EAC[Funding Source],MATCH($A78,EAC[Row],0))</f>
        <v>P-002360</v>
      </c>
      <c r="H78" s="146" t="str">
        <f ca="1">INDEX(EAC[Vendor / Org. with Contract ID],MATCH($A78,EAC[Row],0))</f>
        <v>Provincial Archives Vinyl Images-Direct Pay</v>
      </c>
      <c r="I78" s="502">
        <f ca="1">INDEX(EAC[Estimate At Completion],MATCH($A78,EAC[Row],0))</f>
        <v>400</v>
      </c>
      <c r="J78" s="502">
        <f ca="1">SUMIFS(CostTrack[Value],CostTrack[Vendor - Contract],$H78,CostTrack[PA ID],$B78,CostTrack[Holdback (Y/N/R)],"&lt;&gt;Release",CostTrack[Status],"Approved")</f>
        <v>400</v>
      </c>
      <c r="K78" s="503">
        <f t="shared" ca="1" si="95"/>
        <v>0</v>
      </c>
      <c r="M78" s="504">
        <f t="shared" ca="1" si="86"/>
        <v>0</v>
      </c>
      <c r="O78" s="504">
        <f t="shared" ca="1" si="87"/>
        <v>400</v>
      </c>
      <c r="P78" s="504">
        <f t="array" aca="1" ref="P78" ca="1">SUM($U78:$FQ78*_xlfn.ISFORMULA($U78:$FQ78)*ISNUMBER($U$7:$FQ$7)*--(INDEX($U$6:$FQ$6,N(IF({1},COLUMN($U$6:$FQ$6)-COLUMN($T$6)))-MOD(N(IF({1},COLUMN($U$6:$FQ$6)-COLUMN($U$6))),14))="Current Fiscal"))</f>
        <v>0</v>
      </c>
      <c r="Q78" s="504">
        <f t="array" aca="1" ref="Q78" ca="1">SUM($U78:$FQ78*NOT(_xlfn.ISFORMULA($U78:$FQ78))*ISNUMBER($U$7:$FQ$7)*--(INDEX($U$6:$FQ$6,N(IF({1},COLUMN($U$6:$FQ$6)-COLUMN($T$6)))-MOD(N(IF({1},COLUMN($U$6:$FQ$6)-COLUMN($U$6))),14))="Current Fiscal"))</f>
        <v>0</v>
      </c>
      <c r="R78" s="504">
        <f t="shared" ca="1" si="88"/>
        <v>0</v>
      </c>
      <c r="S78" s="504">
        <f t="shared" ca="1" si="89"/>
        <v>0</v>
      </c>
      <c r="U78" s="504">
        <f ca="1">SUMIFS(CostTrack[[Value]:[Value]],CostTrack[[PA ID]:[PA ID]],$B78,CostTrack[[Vendor - Contract]:[Vendor - Contract]],$H78,CostTrack[[Holdback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78" s="504">
        <f ca="1">SUMIFS(CostTrack[[Value]:[Value]],CostTrack[[PA ID]:[PA ID]],$B78,CostTrack[[Vendor - Contract]:[Vendor - Contract]],$H78,CostTrack[[Holdback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78" s="504">
        <f ca="1">SUMIFS(CostTrack[[Value]:[Value]],CostTrack[[PA ID]:[PA ID]],$B78,CostTrack[[Vendor - Contract]:[Vendor - Contract]],$H78,CostTrack[[Holdback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78" s="504">
        <f ca="1">SUMIFS(CostTrack[[Value]:[Value]],CostTrack[[PA ID]:[PA ID]],$B78,CostTrack[[Vendor - Contract]:[Vendor - Contract]],$H78,CostTrack[[Holdback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78" s="504">
        <f ca="1">SUMIFS(CostTrack[[Value]:[Value]],CostTrack[[PA ID]:[PA ID]],$B78,CostTrack[[Vendor - Contract]:[Vendor - Contract]],$H78,CostTrack[[Holdback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78" s="504">
        <f ca="1">SUMIFS(CostTrack[[Value]:[Value]],CostTrack[[PA ID]:[PA ID]],$B78,CostTrack[[Vendor - Contract]:[Vendor - Contract]],$H78,CostTrack[[Holdback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78" s="504">
        <f ca="1">SUMIFS(CostTrack[[Value]:[Value]],CostTrack[[PA ID]:[PA ID]],$B78,CostTrack[[Vendor - Contract]:[Vendor - Contract]],$H78,CostTrack[[Holdback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78" s="504">
        <f ca="1">SUMIFS(CostTrack[[Value]:[Value]],CostTrack[[PA ID]:[PA ID]],$B78,CostTrack[[Vendor - Contract]:[Vendor - Contract]],$H78,CostTrack[[Holdback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78" s="504">
        <f ca="1">SUMIFS(CostTrack[[Value]:[Value]],CostTrack[[PA ID]:[PA ID]],$B78,CostTrack[[Vendor - Contract]:[Vendor - Contract]],$H78,CostTrack[[Holdback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78" s="504">
        <f ca="1">SUMIFS(CostTrack[[Value]:[Value]],CostTrack[[PA ID]:[PA ID]],$B78,CostTrack[[Vendor - Contract]:[Vendor - Contract]],$H78,CostTrack[[Holdback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78" s="504">
        <f ca="1">SUMIFS(CostTrack[[Value]:[Value]],CostTrack[[PA ID]:[PA ID]],$B78,CostTrack[[Vendor - Contract]:[Vendor - Contract]],$H78,CostTrack[[Holdback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78" s="504">
        <f ca="1">SUMIFS(CostTrack[[Value]:[Value]],CostTrack[[PA ID]:[PA ID]],$B78,CostTrack[[Vendor - Contract]:[Vendor - Contract]],$H78,CostTrack[[Holdback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78" s="506">
        <f t="shared" ca="1" si="90"/>
        <v>0</v>
      </c>
      <c r="AI78" s="504">
        <f ca="1">SUMIFS(CostTrack[[Value]:[Value]],CostTrack[[PA ID]:[PA ID]],$B78,CostTrack[[Vendor - Contract]:[Vendor - Contract]],$H78,CostTrack[[Holdback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78" s="504">
        <f ca="1">SUMIFS(CostTrack[[Value]:[Value]],CostTrack[[PA ID]:[PA ID]],$B78,CostTrack[[Vendor - Contract]:[Vendor - Contract]],$H78,CostTrack[[Holdback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78" s="504">
        <f ca="1">SUMIFS(CostTrack[[Value]:[Value]],CostTrack[[PA ID]:[PA ID]],$B78,CostTrack[[Vendor - Contract]:[Vendor - Contract]],$H78,CostTrack[[Holdback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78" s="504">
        <f ca="1">SUMIFS(CostTrack[[Value]:[Value]],CostTrack[[PA ID]:[PA ID]],$B78,CostTrack[[Vendor - Contract]:[Vendor - Contract]],$H78,CostTrack[[Holdback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78" s="504">
        <f ca="1">SUMIFS(CostTrack[[Value]:[Value]],CostTrack[[PA ID]:[PA ID]],$B78,CostTrack[[Vendor - Contract]:[Vendor - Contract]],$H78,CostTrack[[Holdback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78" s="504">
        <f ca="1">SUMIFS(CostTrack[[Value]:[Value]],CostTrack[[PA ID]:[PA ID]],$B78,CostTrack[[Vendor - Contract]:[Vendor - Contract]],$H78,CostTrack[[Holdback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78" s="504">
        <f ca="1">SUMIFS(CostTrack[[Value]:[Value]],CostTrack[[PA ID]:[PA ID]],$B78,CostTrack[[Vendor - Contract]:[Vendor - Contract]],$H78,CostTrack[[Holdback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78" s="504">
        <f ca="1">SUMIFS(CostTrack[[Value]:[Value]],CostTrack[[PA ID]:[PA ID]],$B78,CostTrack[[Vendor - Contract]:[Vendor - Contract]],$H78,CostTrack[[Holdback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78" s="504">
        <f ca="1">SUMIFS(CostTrack[[Value]:[Value]],CostTrack[[PA ID]:[PA ID]],$B78,CostTrack[[Vendor - Contract]:[Vendor - Contract]],$H78,CostTrack[[Holdback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78" s="504">
        <f ca="1">SUMIFS(CostTrack[[Value]:[Value]],CostTrack[[PA ID]:[PA ID]],$B78,CostTrack[[Vendor - Contract]:[Vendor - Contract]],$H78,CostTrack[[Holdback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78" s="504">
        <f ca="1">SUMIFS(CostTrack[[Value]:[Value]],CostTrack[[PA ID]:[PA ID]],$B78,CostTrack[[Vendor - Contract]:[Vendor - Contract]],$H78,CostTrack[[Holdback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78" s="504">
        <f ca="1">SUMIFS(CostTrack[[Value]:[Value]],CostTrack[[PA ID]:[PA ID]],$B78,CostTrack[[Vendor - Contract]:[Vendor - Contract]],$H78,CostTrack[[Holdback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78" s="512">
        <f t="shared" ca="1" si="91"/>
        <v>0</v>
      </c>
      <c r="AW78" s="504">
        <f ca="1">SUMIFS(CostTrack[[Value]:[Value]],CostTrack[[PA ID]:[PA ID]],$B78,CostTrack[[Vendor - Contract]:[Vendor - Contract]],$H78,CostTrack[[Holdback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78" s="504">
        <f ca="1">SUMIFS(CostTrack[[Value]:[Value]],CostTrack[[PA ID]:[PA ID]],$B78,CostTrack[[Vendor - Contract]:[Vendor - Contract]],$H78,CostTrack[[Holdback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78" s="504">
        <f ca="1">SUMIFS(CostTrack[[Value]:[Value]],CostTrack[[PA ID]:[PA ID]],$B78,CostTrack[[Vendor - Contract]:[Vendor - Contract]],$H78,CostTrack[[Holdback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78" s="504">
        <f ca="1">SUMIFS(CostTrack[[Value]:[Value]],CostTrack[[PA ID]:[PA ID]],$B78,CostTrack[[Vendor - Contract]:[Vendor - Contract]],$H78,CostTrack[[Holdback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78" s="504">
        <f ca="1">SUMIFS(CostTrack[[Value]:[Value]],CostTrack[[PA ID]:[PA ID]],$B78,CostTrack[[Vendor - Contract]:[Vendor - Contract]],$H78,CostTrack[[Holdback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78" s="504">
        <f ca="1">SUMIFS(CostTrack[[Value]:[Value]],CostTrack[[PA ID]:[PA ID]],$B78,CostTrack[[Vendor - Contract]:[Vendor - Contract]],$H78,CostTrack[[Holdback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78" s="504">
        <f ca="1">SUMIFS(CostTrack[[Value]:[Value]],CostTrack[[PA ID]:[PA ID]],$B78,CostTrack[[Vendor - Contract]:[Vendor - Contract]],$H78,CostTrack[[Holdback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78" s="504">
        <f ca="1">SUMIFS(CostTrack[[Value]:[Value]],CostTrack[[PA ID]:[PA ID]],$B78,CostTrack[[Vendor - Contract]:[Vendor - Contract]],$H78,CostTrack[[Holdback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78" s="504">
        <f ca="1">SUMIFS(CostTrack[[Value]:[Value]],CostTrack[[PA ID]:[PA ID]],$B78,CostTrack[[Vendor - Contract]:[Vendor - Contract]],$H78,CostTrack[[Holdback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78" s="504">
        <f ca="1">SUMIFS(CostTrack[[Value]:[Value]],CostTrack[[PA ID]:[PA ID]],$B78,CostTrack[[Vendor - Contract]:[Vendor - Contract]],$H78,CostTrack[[Holdback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78" s="504">
        <f ca="1">SUMIFS(CostTrack[[Value]:[Value]],CostTrack[[PA ID]:[PA ID]],$B78,CostTrack[[Vendor - Contract]:[Vendor - Contract]],$H78,CostTrack[[Holdback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78" s="504">
        <f ca="1">SUMIFS(CostTrack[[Value]:[Value]],CostTrack[[PA ID]:[PA ID]],$B78,CostTrack[[Vendor - Contract]:[Vendor - Contract]],$H78,CostTrack[[Holdback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78" s="512">
        <f t="shared" ca="1" si="92"/>
        <v>0</v>
      </c>
      <c r="BK78" s="504">
        <f ca="1">SUMIFS(CostTrack[[Value]:[Value]],CostTrack[[PA ID]:[PA ID]],$B78,CostTrack[[Vendor - Contract]:[Vendor - Contract]],$H78,CostTrack[[Holdback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78" s="504">
        <f ca="1">SUMIFS(CostTrack[[Value]:[Value]],CostTrack[[PA ID]:[PA ID]],$B78,CostTrack[[Vendor - Contract]:[Vendor - Contract]],$H78,CostTrack[[Holdback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78" s="504">
        <f ca="1">SUMIFS(CostTrack[[Value]:[Value]],CostTrack[[PA ID]:[PA ID]],$B78,CostTrack[[Vendor - Contract]:[Vendor - Contract]],$H78,CostTrack[[Holdback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78" s="504">
        <f ca="1">SUMIFS(CostTrack[[Value]:[Value]],CostTrack[[PA ID]:[PA ID]],$B78,CostTrack[[Vendor - Contract]:[Vendor - Contract]],$H78,CostTrack[[Holdback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78" s="504">
        <f ca="1">SUMIFS(CostTrack[[Value]:[Value]],CostTrack[[PA ID]:[PA ID]],$B78,CostTrack[[Vendor - Contract]:[Vendor - Contract]],$H78,CostTrack[[Holdback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78" s="504">
        <f ca="1">SUMIFS(CostTrack[[Value]:[Value]],CostTrack[[PA ID]:[PA ID]],$B78,CostTrack[[Vendor - Contract]:[Vendor - Contract]],$H78,CostTrack[[Holdback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78" s="504">
        <f ca="1">SUMIFS(CostTrack[[Value]:[Value]],CostTrack[[PA ID]:[PA ID]],$B78,CostTrack[[Vendor - Contract]:[Vendor - Contract]],$H78,CostTrack[[Holdback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78" s="504">
        <f ca="1">SUMIFS(CostTrack[[Value]:[Value]],CostTrack[[PA ID]:[PA ID]],$B78,CostTrack[[Vendor - Contract]:[Vendor - Contract]],$H78,CostTrack[[Holdback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78" s="504">
        <f ca="1">SUMIFS(CostTrack[[Value]:[Value]],CostTrack[[PA ID]:[PA ID]],$B78,CostTrack[[Vendor - Contract]:[Vendor - Contract]],$H78,CostTrack[[Holdback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78" s="504">
        <f ca="1">SUMIFS(CostTrack[[Value]:[Value]],CostTrack[[PA ID]:[PA ID]],$B78,CostTrack[[Vendor - Contract]:[Vendor - Contract]],$H78,CostTrack[[Holdback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78" s="504">
        <f ca="1">SUMIFS(CostTrack[[Value]:[Value]],CostTrack[[PA ID]:[PA ID]],$B78,CostTrack[[Vendor - Contract]:[Vendor - Contract]],$H78,CostTrack[[Holdback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78" s="504">
        <f ca="1">SUMIFS(CostTrack[[Value]:[Value]],CostTrack[[PA ID]:[PA ID]],$B78,CostTrack[[Vendor - Contract]:[Vendor - Contract]],$H78,CostTrack[[Holdback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78" s="512">
        <f t="shared" ca="1" si="93"/>
        <v>0</v>
      </c>
      <c r="BY78" s="504">
        <f ca="1">SUMIFS(CostTrack[[Value]:[Value]],CostTrack[[PA ID]:[PA ID]],$B78,CostTrack[[Vendor - Contract]:[Vendor - Contract]],$H78,CostTrack[[Holdback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78" s="504">
        <f ca="1">SUMIFS(CostTrack[[Value]:[Value]],CostTrack[[PA ID]:[PA ID]],$B78,CostTrack[[Vendor - Contract]:[Vendor - Contract]],$H78,CostTrack[[Holdback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78" s="504">
        <f ca="1">SUMIFS(CostTrack[[Value]:[Value]],CostTrack[[PA ID]:[PA ID]],$B78,CostTrack[[Vendor - Contract]:[Vendor - Contract]],$H78,CostTrack[[Holdback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78" s="504">
        <f ca="1">SUMIFS(CostTrack[[Value]:[Value]],CostTrack[[PA ID]:[PA ID]],$B78,CostTrack[[Vendor - Contract]:[Vendor - Contract]],$H78,CostTrack[[Holdback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78" s="504">
        <f ca="1">SUMIFS(CostTrack[[Value]:[Value]],CostTrack[[PA ID]:[PA ID]],$B78,CostTrack[[Vendor - Contract]:[Vendor - Contract]],$H78,CostTrack[[Holdback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78" s="504">
        <f ca="1">SUMIFS(CostTrack[[Value]:[Value]],CostTrack[[PA ID]:[PA ID]],$B78,CostTrack[[Vendor - Contract]:[Vendor - Contract]],$H78,CostTrack[[Holdback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78" s="504">
        <f ca="1">SUMIFS(CostTrack[[Value]:[Value]],CostTrack[[PA ID]:[PA ID]],$B78,CostTrack[[Vendor - Contract]:[Vendor - Contract]],$H78,CostTrack[[Holdback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78" s="504">
        <f ca="1">SUMIFS(CostTrack[[Value]:[Value]],CostTrack[[PA ID]:[PA ID]],$B78,CostTrack[[Vendor - Contract]:[Vendor - Contract]],$H78,CostTrack[[Holdback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78" s="504">
        <f ca="1">SUMIFS(CostTrack[[Value]:[Value]],CostTrack[[PA ID]:[PA ID]],$B78,CostTrack[[Vendor - Contract]:[Vendor - Contract]],$H78,CostTrack[[Holdback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78" s="504">
        <f ca="1">SUMIFS(CostTrack[[Value]:[Value]],CostTrack[[PA ID]:[PA ID]],$B78,CostTrack[[Vendor - Contract]:[Vendor - Contract]],$H78,CostTrack[[Holdback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78" s="504">
        <f ca="1">SUMIFS(CostTrack[[Value]:[Value]],CostTrack[[PA ID]:[PA ID]],$B78,CostTrack[[Vendor - Contract]:[Vendor - Contract]],$H78,CostTrack[[Holdback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78" s="504">
        <f ca="1">SUMIFS(CostTrack[[Value]:[Value]],CostTrack[[PA ID]:[PA ID]],$B78,CostTrack[[Vendor - Contract]:[Vendor - Contract]],$H78,CostTrack[[Holdback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78" s="512">
        <f t="shared" ca="1" si="94"/>
        <v>0</v>
      </c>
      <c r="CM78" s="504">
        <f ca="1">SUMIFS(CostTrack[[Value]:[Value]],CostTrack[[PA ID]:[PA ID]],$B78,CostTrack[[Vendor - Contract]:[Vendor - Contract]],$H78,CostTrack[[Holdback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78" s="504">
        <f ca="1">SUMIFS(CostTrack[[Value]:[Value]],CostTrack[[PA ID]:[PA ID]],$B78,CostTrack[[Vendor - Contract]:[Vendor - Contract]],$H78,CostTrack[[Holdback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78" s="504">
        <f ca="1">SUMIFS(CostTrack[[Value]:[Value]],CostTrack[[PA ID]:[PA ID]],$B78,CostTrack[[Vendor - Contract]:[Vendor - Contract]],$H78,CostTrack[[Holdback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78" s="504">
        <f ca="1">SUMIFS(CostTrack[[Value]:[Value]],CostTrack[[PA ID]:[PA ID]],$B78,CostTrack[[Vendor - Contract]:[Vendor - Contract]],$H78,CostTrack[[Holdback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400</v>
      </c>
      <c r="CQ78" s="504">
        <f ca="1">SUMIFS(CostTrack[[Value]:[Value]],CostTrack[[PA ID]:[PA ID]],$B78,CostTrack[[Vendor - Contract]:[Vendor - Contract]],$H78,CostTrack[[Holdback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78" s="504">
        <f ca="1">SUMIFS(CostTrack[[Value]:[Value]],CostTrack[[PA ID]:[PA ID]],$B78,CostTrack[[Vendor - Contract]:[Vendor - Contract]],$H78,CostTrack[[Holdback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78" s="504">
        <f ca="1">SUMIFS(CostTrack[[Value]:[Value]],CostTrack[[PA ID]:[PA ID]],$B78,CostTrack[[Vendor - Contract]:[Vendor - Contract]],$H78,CostTrack[[Holdback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78" s="504">
        <f ca="1">SUMIFS(CostTrack[[Value]:[Value]],CostTrack[[PA ID]:[PA ID]],$B78,CostTrack[[Vendor - Contract]:[Vendor - Contract]],$H78,CostTrack[[Holdback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78" s="504">
        <f ca="1">SUMIFS(CostTrack[[Value]:[Value]],CostTrack[[PA ID]:[PA ID]],$B78,CostTrack[[Vendor - Contract]:[Vendor - Contract]],$H78,CostTrack[[Holdback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78" s="504">
        <f ca="1">SUMIFS(CostTrack[[Value]:[Value]],CostTrack[[PA ID]:[PA ID]],$B78,CostTrack[[Vendor - Contract]:[Vendor - Contract]],$H78,CostTrack[[Holdback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78" s="504">
        <f ca="1">SUMIFS(CostTrack[[Value]:[Value]],CostTrack[[PA ID]:[PA ID]],$B78,CostTrack[[Vendor - Contract]:[Vendor - Contract]],$H78,CostTrack[[Holdback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78" s="504">
        <f ca="1">SUMIFS(CostTrack[[Value]:[Value]],CostTrack[[PA ID]:[PA ID]],$B78,CostTrack[[Vendor - Contract]:[Vendor - Contract]],$H78,CostTrack[[Holdback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78" s="512">
        <f t="shared" ca="1" si="79"/>
        <v>400</v>
      </c>
      <c r="DA78" s="504">
        <f ca="1">SUMIFS(CostTrack[[Value]:[Value]],CostTrack[[PA ID]:[PA ID]],$B78,CostTrack[[Vendor - Contract]:[Vendor - Contract]],$H78,CostTrack[[Holdback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78" s="504">
        <f ca="1">SUMIFS(CostTrack[[Value]:[Value]],CostTrack[[PA ID]:[PA ID]],$B78,CostTrack[[Vendor - Contract]:[Vendor - Contract]],$H78,CostTrack[[Holdback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78" s="504">
        <f ca="1">SUMIFS(CostTrack[[Value]:[Value]],CostTrack[[PA ID]:[PA ID]],$B78,CostTrack[[Vendor - Contract]:[Vendor - Contract]],$H78,CostTrack[[Holdback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78" s="504">
        <f ca="1">SUMIFS(CostTrack[[Value]:[Value]],CostTrack[[PA ID]:[PA ID]],$B78,CostTrack[[Vendor - Contract]:[Vendor - Contract]],$H78,CostTrack[[Holdback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78" s="504">
        <f ca="1">SUMIFS(CostTrack[[Value]:[Value]],CostTrack[[PA ID]:[PA ID]],$B78,CostTrack[[Vendor - Contract]:[Vendor - Contract]],$H78,CostTrack[[Holdback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78" s="504">
        <f ca="1">SUMIFS(CostTrack[[Value]:[Value]],CostTrack[[PA ID]:[PA ID]],$B78,CostTrack[[Vendor - Contract]:[Vendor - Contract]],$H78,CostTrack[[Holdback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78" s="504">
        <f ca="1">SUMIFS(CostTrack[[Value]:[Value]],CostTrack[[PA ID]:[PA ID]],$B78,CostTrack[[Vendor - Contract]:[Vendor - Contract]],$H78,CostTrack[[Holdback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78" s="504">
        <f ca="1">SUMIFS(CostTrack[[Value]:[Value]],CostTrack[[PA ID]:[PA ID]],$B78,CostTrack[[Vendor - Contract]:[Vendor - Contract]],$H78,CostTrack[[Holdback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78" s="504">
        <f ca="1">SUMIFS(CostTrack[[Value]:[Value]],CostTrack[[PA ID]:[PA ID]],$B78,CostTrack[[Vendor - Contract]:[Vendor - Contract]],$H78,CostTrack[[Holdback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78" s="504">
        <f ca="1">SUMIFS(CostTrack[[Value]:[Value]],CostTrack[[PA ID]:[PA ID]],$B78,CostTrack[[Vendor - Contract]:[Vendor - Contract]],$H78,CostTrack[[Holdback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78" s="504">
        <f ca="1">SUMIFS(CostTrack[[Value]:[Value]],CostTrack[[PA ID]:[PA ID]],$B78,CostTrack[[Vendor - Contract]:[Vendor - Contract]],$H78,CostTrack[[Holdback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78" s="504">
        <f ca="1">SUMIFS(CostTrack[[Value]:[Value]],CostTrack[[PA ID]:[PA ID]],$B78,CostTrack[[Vendor - Contract]:[Vendor - Contract]],$H78,CostTrack[[Holdback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78" s="512">
        <f t="shared" ca="1" si="80"/>
        <v>0</v>
      </c>
      <c r="DO78" s="504">
        <f ca="1">SUMIFS(CostTrack[[Value]:[Value]],CostTrack[[PA ID]:[PA ID]],$B78,CostTrack[[Vendor - Contract]:[Vendor - Contract]],$H78,CostTrack[[Holdback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78" s="504">
        <f ca="1">SUMIFS(CostTrack[[Value]:[Value]],CostTrack[[PA ID]:[PA ID]],$B78,CostTrack[[Vendor - Contract]:[Vendor - Contract]],$H78,CostTrack[[Holdback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78" s="504">
        <f ca="1">SUMIFS(CostTrack[[Value]:[Value]],CostTrack[[PA ID]:[PA ID]],$B78,CostTrack[[Vendor - Contract]:[Vendor - Contract]],$H78,CostTrack[[Holdback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78" s="504">
        <f ca="1">SUMIFS(CostTrack[[Value]:[Value]],CostTrack[[PA ID]:[PA ID]],$B78,CostTrack[[Vendor - Contract]:[Vendor - Contract]],$H78,CostTrack[[Holdback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78" s="504">
        <f ca="1">SUMIFS(CostTrack[[Value]:[Value]],CostTrack[[PA ID]:[PA ID]],$B78,CostTrack[[Vendor - Contract]:[Vendor - Contract]],$H78,CostTrack[[Holdback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78" s="504">
        <f ca="1">SUMIFS(CostTrack[[Value]:[Value]],CostTrack[[PA ID]:[PA ID]],$B78,CostTrack[[Vendor - Contract]:[Vendor - Contract]],$H78,CostTrack[[Holdback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78" s="504">
        <f ca="1">SUMIFS(CostTrack[[Value]:[Value]],CostTrack[[PA ID]:[PA ID]],$B78,CostTrack[[Vendor - Contract]:[Vendor - Contract]],$H78,CostTrack[[Holdback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78" s="504">
        <f ca="1">SUMIFS(CostTrack[[Value]:[Value]],CostTrack[[PA ID]:[PA ID]],$B78,CostTrack[[Vendor - Contract]:[Vendor - Contract]],$H78,CostTrack[[Holdback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78" s="504">
        <f ca="1">SUMIFS(CostTrack[[Value]:[Value]],CostTrack[[PA ID]:[PA ID]],$B78,CostTrack[[Vendor - Contract]:[Vendor - Contract]],$H78,CostTrack[[Holdback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78" s="504">
        <f ca="1">SUMIFS(CostTrack[[Value]:[Value]],CostTrack[[PA ID]:[PA ID]],$B78,CostTrack[[Vendor - Contract]:[Vendor - Contract]],$H78,CostTrack[[Holdback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78" s="504">
        <f ca="1">SUMIFS(CostTrack[[Value]:[Value]],CostTrack[[PA ID]:[PA ID]],$B78,CostTrack[[Vendor - Contract]:[Vendor - Contract]],$H78,CostTrack[[Holdback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78" s="504">
        <f ca="1">SUMIFS(CostTrack[[Value]:[Value]],CostTrack[[PA ID]:[PA ID]],$B78,CostTrack[[Vendor - Contract]:[Vendor - Contract]],$H78,CostTrack[[Holdback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78" s="512">
        <f t="shared" ca="1" si="81"/>
        <v>0</v>
      </c>
      <c r="EC78" s="504">
        <f ca="1">SUMIFS(CostTrack[[Value]:[Value]],CostTrack[[PA ID]:[PA ID]],$B78,CostTrack[[Vendor - Contract]:[Vendor - Contract]],$H78,CostTrack[[Holdback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78" s="505"/>
      <c r="EE78" s="505"/>
      <c r="EF78" s="505"/>
      <c r="EG78" s="505"/>
      <c r="EH78" s="505"/>
      <c r="EI78" s="505"/>
      <c r="EJ78" s="505"/>
      <c r="EK78" s="505"/>
      <c r="EL78" s="505"/>
      <c r="EM78" s="505"/>
      <c r="EN78" s="505"/>
      <c r="EO78" s="512">
        <f t="shared" ca="1" si="82"/>
        <v>0</v>
      </c>
      <c r="EQ78" s="505"/>
      <c r="ER78" s="505"/>
      <c r="ES78" s="505"/>
      <c r="ET78" s="505"/>
      <c r="EU78" s="505"/>
      <c r="EV78" s="505"/>
      <c r="EW78" s="505"/>
      <c r="EX78" s="505"/>
      <c r="EY78" s="505"/>
      <c r="EZ78" s="505"/>
      <c r="FA78" s="505"/>
      <c r="FB78" s="505"/>
      <c r="FC78" s="512">
        <f t="shared" si="83"/>
        <v>0</v>
      </c>
      <c r="FE78" s="505"/>
      <c r="FF78" s="505"/>
      <c r="FG78" s="505"/>
      <c r="FH78" s="505"/>
      <c r="FI78" s="505"/>
      <c r="FJ78" s="505"/>
      <c r="FK78" s="505"/>
      <c r="FL78" s="505"/>
      <c r="FM78" s="505"/>
      <c r="FN78" s="505"/>
      <c r="FO78" s="505"/>
      <c r="FP78" s="505"/>
      <c r="FQ78" s="512">
        <f t="shared" si="84"/>
        <v>0</v>
      </c>
      <c r="FS78" s="504">
        <f t="shared" ca="1" si="85"/>
        <v>400</v>
      </c>
    </row>
    <row r="79" spans="1:175" ht="24" customHeight="1">
      <c r="A79" s="216">
        <v>72</v>
      </c>
      <c r="B79" s="219" t="str">
        <f ca="1">INDEX(EAC[PA ID],MATCH($A79,EAC[Row],0))</f>
        <v>200.050.F1</v>
      </c>
      <c r="C79" s="218" t="str">
        <f ca="1">INDEX(EAC[Primary Category],MATCH($A79,EAC[Row],0))</f>
        <v>Professional Services</v>
      </c>
      <c r="D79" s="218" t="str">
        <f ca="1">INDEX(EAC[Secondary Category],MATCH($A79,EAC[Row],0))</f>
        <v>Other Professional Services</v>
      </c>
      <c r="E79" s="109" t="str">
        <f ca="1">INDEX(EAC[Phase / Subproject],MATCH($A79,EAC[Row],0))</f>
        <v>--</v>
      </c>
      <c r="F79" s="109" t="str">
        <f ca="1">INDEX(EAC[Phase / Subproject 2],MATCH($A79,EAC[Row],0))</f>
        <v>--</v>
      </c>
      <c r="G79" s="109" t="str">
        <f ca="1">INDEX(EAC[Funding Source],MATCH($A79,EAC[Row],0))</f>
        <v>P-002360</v>
      </c>
      <c r="H79" s="146" t="str">
        <f ca="1">INDEX(EAC[Vendor / Org. with Contract ID],MATCH($A79,EAC[Row],0))</f>
        <v>Compugen -'Wireless prediction study-39678</v>
      </c>
      <c r="I79" s="502">
        <f ca="1">INDEX(EAC[Estimate At Completion],MATCH($A79,EAC[Row],0))</f>
        <v>16506</v>
      </c>
      <c r="J79" s="502">
        <f ca="1">SUMIFS(CostTrack[Value],CostTrack[Vendor - Contract],$H79,CostTrack[PA ID],$B79,CostTrack[Holdback (Y/N/R)],"&lt;&gt;Release",CostTrack[Status],"Approved")</f>
        <v>16506</v>
      </c>
      <c r="K79" s="503">
        <f t="shared" ca="1" si="95"/>
        <v>0</v>
      </c>
      <c r="M79" s="504">
        <f t="shared" ca="1" si="86"/>
        <v>0</v>
      </c>
      <c r="O79" s="504">
        <f t="shared" ca="1" si="87"/>
        <v>16506</v>
      </c>
      <c r="P79" s="504">
        <f t="array" aca="1" ref="P79" ca="1">SUM($U79:$FQ79*_xlfn.ISFORMULA($U79:$FQ79)*ISNUMBER($U$7:$FQ$7)*--(INDEX($U$6:$FQ$6,N(IF({1},COLUMN($U$6:$FQ$6)-COLUMN($T$6)))-MOD(N(IF({1},COLUMN($U$6:$FQ$6)-COLUMN($U$6))),14))="Current Fiscal"))</f>
        <v>0</v>
      </c>
      <c r="Q79" s="504">
        <f t="array" aca="1" ref="Q79" ca="1">SUM($U79:$FQ79*NOT(_xlfn.ISFORMULA($U79:$FQ79))*ISNUMBER($U$7:$FQ$7)*--(INDEX($U$6:$FQ$6,N(IF({1},COLUMN($U$6:$FQ$6)-COLUMN($T$6)))-MOD(N(IF({1},COLUMN($U$6:$FQ$6)-COLUMN($U$6))),14))="Current Fiscal"))</f>
        <v>0</v>
      </c>
      <c r="R79" s="504">
        <f t="shared" ca="1" si="88"/>
        <v>0</v>
      </c>
      <c r="S79" s="504">
        <f t="shared" ca="1" si="89"/>
        <v>0</v>
      </c>
      <c r="U79" s="504">
        <f ca="1">SUMIFS(CostTrack[[Value]:[Value]],CostTrack[[PA ID]:[PA ID]],$B79,CostTrack[[Vendor - Contract]:[Vendor - Contract]],$H79,CostTrack[[Holdback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79" s="504">
        <f ca="1">SUMIFS(CostTrack[[Value]:[Value]],CostTrack[[PA ID]:[PA ID]],$B79,CostTrack[[Vendor - Contract]:[Vendor - Contract]],$H79,CostTrack[[Holdback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79" s="504">
        <f ca="1">SUMIFS(CostTrack[[Value]:[Value]],CostTrack[[PA ID]:[PA ID]],$B79,CostTrack[[Vendor - Contract]:[Vendor - Contract]],$H79,CostTrack[[Holdback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79" s="504">
        <f ca="1">SUMIFS(CostTrack[[Value]:[Value]],CostTrack[[PA ID]:[PA ID]],$B79,CostTrack[[Vendor - Contract]:[Vendor - Contract]],$H79,CostTrack[[Holdback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79" s="504">
        <f ca="1">SUMIFS(CostTrack[[Value]:[Value]],CostTrack[[PA ID]:[PA ID]],$B79,CostTrack[[Vendor - Contract]:[Vendor - Contract]],$H79,CostTrack[[Holdback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79" s="504">
        <f ca="1">SUMIFS(CostTrack[[Value]:[Value]],CostTrack[[PA ID]:[PA ID]],$B79,CostTrack[[Vendor - Contract]:[Vendor - Contract]],$H79,CostTrack[[Holdback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79" s="504">
        <f ca="1">SUMIFS(CostTrack[[Value]:[Value]],CostTrack[[PA ID]:[PA ID]],$B79,CostTrack[[Vendor - Contract]:[Vendor - Contract]],$H79,CostTrack[[Holdback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79" s="504">
        <f ca="1">SUMIFS(CostTrack[[Value]:[Value]],CostTrack[[PA ID]:[PA ID]],$B79,CostTrack[[Vendor - Contract]:[Vendor - Contract]],$H79,CostTrack[[Holdback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79" s="504">
        <f ca="1">SUMIFS(CostTrack[[Value]:[Value]],CostTrack[[PA ID]:[PA ID]],$B79,CostTrack[[Vendor - Contract]:[Vendor - Contract]],$H79,CostTrack[[Holdback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79" s="504">
        <f ca="1">SUMIFS(CostTrack[[Value]:[Value]],CostTrack[[PA ID]:[PA ID]],$B79,CostTrack[[Vendor - Contract]:[Vendor - Contract]],$H79,CostTrack[[Holdback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79" s="504">
        <f ca="1">SUMIFS(CostTrack[[Value]:[Value]],CostTrack[[PA ID]:[PA ID]],$B79,CostTrack[[Vendor - Contract]:[Vendor - Contract]],$H79,CostTrack[[Holdback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79" s="504">
        <f ca="1">SUMIFS(CostTrack[[Value]:[Value]],CostTrack[[PA ID]:[PA ID]],$B79,CostTrack[[Vendor - Contract]:[Vendor - Contract]],$H79,CostTrack[[Holdback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79" s="506">
        <f t="shared" ca="1" si="90"/>
        <v>0</v>
      </c>
      <c r="AI79" s="504">
        <f ca="1">SUMIFS(CostTrack[[Value]:[Value]],CostTrack[[PA ID]:[PA ID]],$B79,CostTrack[[Vendor - Contract]:[Vendor - Contract]],$H79,CostTrack[[Holdback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79" s="504">
        <f ca="1">SUMIFS(CostTrack[[Value]:[Value]],CostTrack[[PA ID]:[PA ID]],$B79,CostTrack[[Vendor - Contract]:[Vendor - Contract]],$H79,CostTrack[[Holdback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79" s="504">
        <f ca="1">SUMIFS(CostTrack[[Value]:[Value]],CostTrack[[PA ID]:[PA ID]],$B79,CostTrack[[Vendor - Contract]:[Vendor - Contract]],$H79,CostTrack[[Holdback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79" s="504">
        <f ca="1">SUMIFS(CostTrack[[Value]:[Value]],CostTrack[[PA ID]:[PA ID]],$B79,CostTrack[[Vendor - Contract]:[Vendor - Contract]],$H79,CostTrack[[Holdback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79" s="504">
        <f ca="1">SUMIFS(CostTrack[[Value]:[Value]],CostTrack[[PA ID]:[PA ID]],$B79,CostTrack[[Vendor - Contract]:[Vendor - Contract]],$H79,CostTrack[[Holdback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79" s="504">
        <f ca="1">SUMIFS(CostTrack[[Value]:[Value]],CostTrack[[PA ID]:[PA ID]],$B79,CostTrack[[Vendor - Contract]:[Vendor - Contract]],$H79,CostTrack[[Holdback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79" s="504">
        <f ca="1">SUMIFS(CostTrack[[Value]:[Value]],CostTrack[[PA ID]:[PA ID]],$B79,CostTrack[[Vendor - Contract]:[Vendor - Contract]],$H79,CostTrack[[Holdback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79" s="504">
        <f ca="1">SUMIFS(CostTrack[[Value]:[Value]],CostTrack[[PA ID]:[PA ID]],$B79,CostTrack[[Vendor - Contract]:[Vendor - Contract]],$H79,CostTrack[[Holdback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79" s="504">
        <f ca="1">SUMIFS(CostTrack[[Value]:[Value]],CostTrack[[PA ID]:[PA ID]],$B79,CostTrack[[Vendor - Contract]:[Vendor - Contract]],$H79,CostTrack[[Holdback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79" s="504">
        <f ca="1">SUMIFS(CostTrack[[Value]:[Value]],CostTrack[[PA ID]:[PA ID]],$B79,CostTrack[[Vendor - Contract]:[Vendor - Contract]],$H79,CostTrack[[Holdback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79" s="504">
        <f ca="1">SUMIFS(CostTrack[[Value]:[Value]],CostTrack[[PA ID]:[PA ID]],$B79,CostTrack[[Vendor - Contract]:[Vendor - Contract]],$H79,CostTrack[[Holdback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79" s="504">
        <f ca="1">SUMIFS(CostTrack[[Value]:[Value]],CostTrack[[PA ID]:[PA ID]],$B79,CostTrack[[Vendor - Contract]:[Vendor - Contract]],$H79,CostTrack[[Holdback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79" s="512">
        <f t="shared" ca="1" si="91"/>
        <v>0</v>
      </c>
      <c r="AW79" s="504">
        <f ca="1">SUMIFS(CostTrack[[Value]:[Value]],CostTrack[[PA ID]:[PA ID]],$B79,CostTrack[[Vendor - Contract]:[Vendor - Contract]],$H79,CostTrack[[Holdback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79" s="504">
        <f ca="1">SUMIFS(CostTrack[[Value]:[Value]],CostTrack[[PA ID]:[PA ID]],$B79,CostTrack[[Vendor - Contract]:[Vendor - Contract]],$H79,CostTrack[[Holdback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79" s="504">
        <f ca="1">SUMIFS(CostTrack[[Value]:[Value]],CostTrack[[PA ID]:[PA ID]],$B79,CostTrack[[Vendor - Contract]:[Vendor - Contract]],$H79,CostTrack[[Holdback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79" s="504">
        <f ca="1">SUMIFS(CostTrack[[Value]:[Value]],CostTrack[[PA ID]:[PA ID]],$B79,CostTrack[[Vendor - Contract]:[Vendor - Contract]],$H79,CostTrack[[Holdback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79" s="504">
        <f ca="1">SUMIFS(CostTrack[[Value]:[Value]],CostTrack[[PA ID]:[PA ID]],$B79,CostTrack[[Vendor - Contract]:[Vendor - Contract]],$H79,CostTrack[[Holdback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79" s="504">
        <f ca="1">SUMIFS(CostTrack[[Value]:[Value]],CostTrack[[PA ID]:[PA ID]],$B79,CostTrack[[Vendor - Contract]:[Vendor - Contract]],$H79,CostTrack[[Holdback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79" s="504">
        <f ca="1">SUMIFS(CostTrack[[Value]:[Value]],CostTrack[[PA ID]:[PA ID]],$B79,CostTrack[[Vendor - Contract]:[Vendor - Contract]],$H79,CostTrack[[Holdback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79" s="504">
        <f ca="1">SUMIFS(CostTrack[[Value]:[Value]],CostTrack[[PA ID]:[PA ID]],$B79,CostTrack[[Vendor - Contract]:[Vendor - Contract]],$H79,CostTrack[[Holdback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79" s="504">
        <f ca="1">SUMIFS(CostTrack[[Value]:[Value]],CostTrack[[PA ID]:[PA ID]],$B79,CostTrack[[Vendor - Contract]:[Vendor - Contract]],$H79,CostTrack[[Holdback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79" s="504">
        <f ca="1">SUMIFS(CostTrack[[Value]:[Value]],CostTrack[[PA ID]:[PA ID]],$B79,CostTrack[[Vendor - Contract]:[Vendor - Contract]],$H79,CostTrack[[Holdback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79" s="504">
        <f ca="1">SUMIFS(CostTrack[[Value]:[Value]],CostTrack[[PA ID]:[PA ID]],$B79,CostTrack[[Vendor - Contract]:[Vendor - Contract]],$H79,CostTrack[[Holdback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79" s="504">
        <f ca="1">SUMIFS(CostTrack[[Value]:[Value]],CostTrack[[PA ID]:[PA ID]],$B79,CostTrack[[Vendor - Contract]:[Vendor - Contract]],$H79,CostTrack[[Holdback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79" s="512">
        <f t="shared" ca="1" si="92"/>
        <v>0</v>
      </c>
      <c r="BK79" s="504">
        <f ca="1">SUMIFS(CostTrack[[Value]:[Value]],CostTrack[[PA ID]:[PA ID]],$B79,CostTrack[[Vendor - Contract]:[Vendor - Contract]],$H79,CostTrack[[Holdback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79" s="504">
        <f ca="1">SUMIFS(CostTrack[[Value]:[Value]],CostTrack[[PA ID]:[PA ID]],$B79,CostTrack[[Vendor - Contract]:[Vendor - Contract]],$H79,CostTrack[[Holdback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79" s="504">
        <f ca="1">SUMIFS(CostTrack[[Value]:[Value]],CostTrack[[PA ID]:[PA ID]],$B79,CostTrack[[Vendor - Contract]:[Vendor - Contract]],$H79,CostTrack[[Holdback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79" s="504">
        <f ca="1">SUMIFS(CostTrack[[Value]:[Value]],CostTrack[[PA ID]:[PA ID]],$B79,CostTrack[[Vendor - Contract]:[Vendor - Contract]],$H79,CostTrack[[Holdback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79" s="504">
        <f ca="1">SUMIFS(CostTrack[[Value]:[Value]],CostTrack[[PA ID]:[PA ID]],$B79,CostTrack[[Vendor - Contract]:[Vendor - Contract]],$H79,CostTrack[[Holdback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79" s="504">
        <f ca="1">SUMIFS(CostTrack[[Value]:[Value]],CostTrack[[PA ID]:[PA ID]],$B79,CostTrack[[Vendor - Contract]:[Vendor - Contract]],$H79,CostTrack[[Holdback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79" s="504">
        <f ca="1">SUMIFS(CostTrack[[Value]:[Value]],CostTrack[[PA ID]:[PA ID]],$B79,CostTrack[[Vendor - Contract]:[Vendor - Contract]],$H79,CostTrack[[Holdback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79" s="504">
        <f ca="1">SUMIFS(CostTrack[[Value]:[Value]],CostTrack[[PA ID]:[PA ID]],$B79,CostTrack[[Vendor - Contract]:[Vendor - Contract]],$H79,CostTrack[[Holdback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79" s="504">
        <f ca="1">SUMIFS(CostTrack[[Value]:[Value]],CostTrack[[PA ID]:[PA ID]],$B79,CostTrack[[Vendor - Contract]:[Vendor - Contract]],$H79,CostTrack[[Holdback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79" s="504">
        <f ca="1">SUMIFS(CostTrack[[Value]:[Value]],CostTrack[[PA ID]:[PA ID]],$B79,CostTrack[[Vendor - Contract]:[Vendor - Contract]],$H79,CostTrack[[Holdback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79" s="504">
        <f ca="1">SUMIFS(CostTrack[[Value]:[Value]],CostTrack[[PA ID]:[PA ID]],$B79,CostTrack[[Vendor - Contract]:[Vendor - Contract]],$H79,CostTrack[[Holdback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79" s="504">
        <f ca="1">SUMIFS(CostTrack[[Value]:[Value]],CostTrack[[PA ID]:[PA ID]],$B79,CostTrack[[Vendor - Contract]:[Vendor - Contract]],$H79,CostTrack[[Holdback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79" s="512">
        <f t="shared" ca="1" si="93"/>
        <v>0</v>
      </c>
      <c r="BY79" s="504">
        <f ca="1">SUMIFS(CostTrack[[Value]:[Value]],CostTrack[[PA ID]:[PA ID]],$B79,CostTrack[[Vendor - Contract]:[Vendor - Contract]],$H79,CostTrack[[Holdback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79" s="504">
        <f ca="1">SUMIFS(CostTrack[[Value]:[Value]],CostTrack[[PA ID]:[PA ID]],$B79,CostTrack[[Vendor - Contract]:[Vendor - Contract]],$H79,CostTrack[[Holdback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79" s="504">
        <f ca="1">SUMIFS(CostTrack[[Value]:[Value]],CostTrack[[PA ID]:[PA ID]],$B79,CostTrack[[Vendor - Contract]:[Vendor - Contract]],$H79,CostTrack[[Holdback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79" s="504">
        <f ca="1">SUMIFS(CostTrack[[Value]:[Value]],CostTrack[[PA ID]:[PA ID]],$B79,CostTrack[[Vendor - Contract]:[Vendor - Contract]],$H79,CostTrack[[Holdback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79" s="504">
        <f ca="1">SUMIFS(CostTrack[[Value]:[Value]],CostTrack[[PA ID]:[PA ID]],$B79,CostTrack[[Vendor - Contract]:[Vendor - Contract]],$H79,CostTrack[[Holdback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79" s="504">
        <f ca="1">SUMIFS(CostTrack[[Value]:[Value]],CostTrack[[PA ID]:[PA ID]],$B79,CostTrack[[Vendor - Contract]:[Vendor - Contract]],$H79,CostTrack[[Holdback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79" s="504">
        <f ca="1">SUMIFS(CostTrack[[Value]:[Value]],CostTrack[[PA ID]:[PA ID]],$B79,CostTrack[[Vendor - Contract]:[Vendor - Contract]],$H79,CostTrack[[Holdback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79" s="504">
        <f ca="1">SUMIFS(CostTrack[[Value]:[Value]],CostTrack[[PA ID]:[PA ID]],$B79,CostTrack[[Vendor - Contract]:[Vendor - Contract]],$H79,CostTrack[[Holdback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79" s="504">
        <f ca="1">SUMIFS(CostTrack[[Value]:[Value]],CostTrack[[PA ID]:[PA ID]],$B79,CostTrack[[Vendor - Contract]:[Vendor - Contract]],$H79,CostTrack[[Holdback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79" s="504">
        <f ca="1">SUMIFS(CostTrack[[Value]:[Value]],CostTrack[[PA ID]:[PA ID]],$B79,CostTrack[[Vendor - Contract]:[Vendor - Contract]],$H79,CostTrack[[Holdback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79" s="504">
        <f ca="1">SUMIFS(CostTrack[[Value]:[Value]],CostTrack[[PA ID]:[PA ID]],$B79,CostTrack[[Vendor - Contract]:[Vendor - Contract]],$H79,CostTrack[[Holdback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79" s="504">
        <f ca="1">SUMIFS(CostTrack[[Value]:[Value]],CostTrack[[PA ID]:[PA ID]],$B79,CostTrack[[Vendor - Contract]:[Vendor - Contract]],$H79,CostTrack[[Holdback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79" s="512">
        <f t="shared" ca="1" si="94"/>
        <v>0</v>
      </c>
      <c r="CM79" s="504">
        <f ca="1">SUMIFS(CostTrack[[Value]:[Value]],CostTrack[[PA ID]:[PA ID]],$B79,CostTrack[[Vendor - Contract]:[Vendor - Contract]],$H79,CostTrack[[Holdback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79" s="504">
        <f ca="1">SUMIFS(CostTrack[[Value]:[Value]],CostTrack[[PA ID]:[PA ID]],$B79,CostTrack[[Vendor - Contract]:[Vendor - Contract]],$H79,CostTrack[[Holdback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79" s="504">
        <f ca="1">SUMIFS(CostTrack[[Value]:[Value]],CostTrack[[PA ID]:[PA ID]],$B79,CostTrack[[Vendor - Contract]:[Vendor - Contract]],$H79,CostTrack[[Holdback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79" s="504">
        <f ca="1">SUMIFS(CostTrack[[Value]:[Value]],CostTrack[[PA ID]:[PA ID]],$B79,CostTrack[[Vendor - Contract]:[Vendor - Contract]],$H79,CostTrack[[Holdback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79" s="504">
        <f ca="1">SUMIFS(CostTrack[[Value]:[Value]],CostTrack[[PA ID]:[PA ID]],$B79,CostTrack[[Vendor - Contract]:[Vendor - Contract]],$H79,CostTrack[[Holdback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79" s="504">
        <f ca="1">SUMIFS(CostTrack[[Value]:[Value]],CostTrack[[PA ID]:[PA ID]],$B79,CostTrack[[Vendor - Contract]:[Vendor - Contract]],$H79,CostTrack[[Holdback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7200</v>
      </c>
      <c r="CS79" s="504">
        <f ca="1">SUMIFS(CostTrack[[Value]:[Value]],CostTrack[[PA ID]:[PA ID]],$B79,CostTrack[[Vendor - Contract]:[Vendor - Contract]],$H79,CostTrack[[Holdback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79" s="504">
        <f ca="1">SUMIFS(CostTrack[[Value]:[Value]],CostTrack[[PA ID]:[PA ID]],$B79,CostTrack[[Vendor - Contract]:[Vendor - Contract]],$H79,CostTrack[[Holdback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79" s="504">
        <f ca="1">SUMIFS(CostTrack[[Value]:[Value]],CostTrack[[PA ID]:[PA ID]],$B79,CostTrack[[Vendor - Contract]:[Vendor - Contract]],$H79,CostTrack[[Holdback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79" s="504">
        <f ca="1">SUMIFS(CostTrack[[Value]:[Value]],CostTrack[[PA ID]:[PA ID]],$B79,CostTrack[[Vendor - Contract]:[Vendor - Contract]],$H79,CostTrack[[Holdback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79" s="504">
        <f ca="1">SUMIFS(CostTrack[[Value]:[Value]],CostTrack[[PA ID]:[PA ID]],$B79,CostTrack[[Vendor - Contract]:[Vendor - Contract]],$H79,CostTrack[[Holdback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79" s="504">
        <f ca="1">SUMIFS(CostTrack[[Value]:[Value]],CostTrack[[PA ID]:[PA ID]],$B79,CostTrack[[Vendor - Contract]:[Vendor - Contract]],$H79,CostTrack[[Holdback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79" s="512">
        <f t="shared" ca="1" si="79"/>
        <v>7200</v>
      </c>
      <c r="DA79" s="504">
        <f ca="1">SUMIFS(CostTrack[[Value]:[Value]],CostTrack[[PA ID]:[PA ID]],$B79,CostTrack[[Vendor - Contract]:[Vendor - Contract]],$H79,CostTrack[[Holdback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79" s="504">
        <f ca="1">SUMIFS(CostTrack[[Value]:[Value]],CostTrack[[PA ID]:[PA ID]],$B79,CostTrack[[Vendor - Contract]:[Vendor - Contract]],$H79,CostTrack[[Holdback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79" s="504">
        <f ca="1">SUMIFS(CostTrack[[Value]:[Value]],CostTrack[[PA ID]:[PA ID]],$B79,CostTrack[[Vendor - Contract]:[Vendor - Contract]],$H79,CostTrack[[Holdback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79" s="504">
        <f ca="1">SUMIFS(CostTrack[[Value]:[Value]],CostTrack[[PA ID]:[PA ID]],$B79,CostTrack[[Vendor - Contract]:[Vendor - Contract]],$H79,CostTrack[[Holdback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79" s="504">
        <f ca="1">SUMIFS(CostTrack[[Value]:[Value]],CostTrack[[PA ID]:[PA ID]],$B79,CostTrack[[Vendor - Contract]:[Vendor - Contract]],$H79,CostTrack[[Holdback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79" s="504">
        <f ca="1">SUMIFS(CostTrack[[Value]:[Value]],CostTrack[[PA ID]:[PA ID]],$B79,CostTrack[[Vendor - Contract]:[Vendor - Contract]],$H79,CostTrack[[Holdback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79" s="504">
        <f ca="1">SUMIFS(CostTrack[[Value]:[Value]],CostTrack[[PA ID]:[PA ID]],$B79,CostTrack[[Vendor - Contract]:[Vendor - Contract]],$H79,CostTrack[[Holdback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79" s="504">
        <f ca="1">SUMIFS(CostTrack[[Value]:[Value]],CostTrack[[PA ID]:[PA ID]],$B79,CostTrack[[Vendor - Contract]:[Vendor - Contract]],$H79,CostTrack[[Holdback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79" s="504">
        <f ca="1">SUMIFS(CostTrack[[Value]:[Value]],CostTrack[[PA ID]:[PA ID]],$B79,CostTrack[[Vendor - Contract]:[Vendor - Contract]],$H79,CostTrack[[Holdback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79" s="504">
        <f ca="1">SUMIFS(CostTrack[[Value]:[Value]],CostTrack[[PA ID]:[PA ID]],$B79,CostTrack[[Vendor - Contract]:[Vendor - Contract]],$H79,CostTrack[[Holdback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79" s="504">
        <f ca="1">SUMIFS(CostTrack[[Value]:[Value]],CostTrack[[PA ID]:[PA ID]],$B79,CostTrack[[Vendor - Contract]:[Vendor - Contract]],$H79,CostTrack[[Holdback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79" s="504">
        <f ca="1">SUMIFS(CostTrack[[Value]:[Value]],CostTrack[[PA ID]:[PA ID]],$B79,CostTrack[[Vendor - Contract]:[Vendor - Contract]],$H79,CostTrack[[Holdback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79" s="512">
        <f t="shared" ca="1" si="80"/>
        <v>0</v>
      </c>
      <c r="DO79" s="504">
        <f ca="1">SUMIFS(CostTrack[[Value]:[Value]],CostTrack[[PA ID]:[PA ID]],$B79,CostTrack[[Vendor - Contract]:[Vendor - Contract]],$H79,CostTrack[[Holdback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79" s="504">
        <f ca="1">SUMIFS(CostTrack[[Value]:[Value]],CostTrack[[PA ID]:[PA ID]],$B79,CostTrack[[Vendor - Contract]:[Vendor - Contract]],$H79,CostTrack[[Holdback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79" s="504">
        <f ca="1">SUMIFS(CostTrack[[Value]:[Value]],CostTrack[[PA ID]:[PA ID]],$B79,CostTrack[[Vendor - Contract]:[Vendor - Contract]],$H79,CostTrack[[Holdback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79" s="504">
        <f ca="1">SUMIFS(CostTrack[[Value]:[Value]],CostTrack[[PA ID]:[PA ID]],$B79,CostTrack[[Vendor - Contract]:[Vendor - Contract]],$H79,CostTrack[[Holdback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79" s="504">
        <f ca="1">SUMIFS(CostTrack[[Value]:[Value]],CostTrack[[PA ID]:[PA ID]],$B79,CostTrack[[Vendor - Contract]:[Vendor - Contract]],$H79,CostTrack[[Holdback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9306</v>
      </c>
      <c r="DT79" s="504">
        <f ca="1">SUMIFS(CostTrack[[Value]:[Value]],CostTrack[[PA ID]:[PA ID]],$B79,CostTrack[[Vendor - Contract]:[Vendor - Contract]],$H79,CostTrack[[Holdback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79" s="504">
        <f ca="1">SUMIFS(CostTrack[[Value]:[Value]],CostTrack[[PA ID]:[PA ID]],$B79,CostTrack[[Vendor - Contract]:[Vendor - Contract]],$H79,CostTrack[[Holdback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79" s="504">
        <f ca="1">SUMIFS(CostTrack[[Value]:[Value]],CostTrack[[PA ID]:[PA ID]],$B79,CostTrack[[Vendor - Contract]:[Vendor - Contract]],$H79,CostTrack[[Holdback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79" s="504">
        <f ca="1">SUMIFS(CostTrack[[Value]:[Value]],CostTrack[[PA ID]:[PA ID]],$B79,CostTrack[[Vendor - Contract]:[Vendor - Contract]],$H79,CostTrack[[Holdback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79" s="504">
        <f ca="1">SUMIFS(CostTrack[[Value]:[Value]],CostTrack[[PA ID]:[PA ID]],$B79,CostTrack[[Vendor - Contract]:[Vendor - Contract]],$H79,CostTrack[[Holdback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79" s="504">
        <f ca="1">SUMIFS(CostTrack[[Value]:[Value]],CostTrack[[PA ID]:[PA ID]],$B79,CostTrack[[Vendor - Contract]:[Vendor - Contract]],$H79,CostTrack[[Holdback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79" s="504">
        <f ca="1">SUMIFS(CostTrack[[Value]:[Value]],CostTrack[[PA ID]:[PA ID]],$B79,CostTrack[[Vendor - Contract]:[Vendor - Contract]],$H79,CostTrack[[Holdback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79" s="512">
        <f t="shared" ca="1" si="81"/>
        <v>9306</v>
      </c>
      <c r="EC79" s="504">
        <f ca="1">SUMIFS(CostTrack[[Value]:[Value]],CostTrack[[PA ID]:[PA ID]],$B79,CostTrack[[Vendor - Contract]:[Vendor - Contract]],$H79,CostTrack[[Holdback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79" s="505"/>
      <c r="EE79" s="505"/>
      <c r="EF79" s="505"/>
      <c r="EG79" s="505"/>
      <c r="EH79" s="505"/>
      <c r="EI79" s="505"/>
      <c r="EJ79" s="505"/>
      <c r="EK79" s="505"/>
      <c r="EL79" s="505"/>
      <c r="EM79" s="505"/>
      <c r="EN79" s="505"/>
      <c r="EO79" s="512">
        <f t="shared" ca="1" si="82"/>
        <v>0</v>
      </c>
      <c r="EQ79" s="505"/>
      <c r="ER79" s="505"/>
      <c r="ES79" s="505"/>
      <c r="ET79" s="505"/>
      <c r="EU79" s="505"/>
      <c r="EV79" s="505"/>
      <c r="EW79" s="505"/>
      <c r="EX79" s="505"/>
      <c r="EY79" s="505"/>
      <c r="EZ79" s="505"/>
      <c r="FA79" s="505"/>
      <c r="FB79" s="505"/>
      <c r="FC79" s="512">
        <f t="shared" si="83"/>
        <v>0</v>
      </c>
      <c r="FE79" s="505"/>
      <c r="FF79" s="505"/>
      <c r="FG79" s="505"/>
      <c r="FH79" s="505"/>
      <c r="FI79" s="505"/>
      <c r="FJ79" s="505"/>
      <c r="FK79" s="505"/>
      <c r="FL79" s="505"/>
      <c r="FM79" s="505"/>
      <c r="FN79" s="505"/>
      <c r="FO79" s="505"/>
      <c r="FP79" s="505"/>
      <c r="FQ79" s="512">
        <f t="shared" si="84"/>
        <v>0</v>
      </c>
      <c r="FS79" s="504">
        <f t="shared" ca="1" si="85"/>
        <v>16506</v>
      </c>
    </row>
    <row r="80" spans="1:175" ht="24" customHeight="1">
      <c r="A80" s="216">
        <v>73</v>
      </c>
      <c r="B80" s="219" t="str">
        <f ca="1">INDEX(EAC[PA ID],MATCH($A80,EAC[Row],0))</f>
        <v>300.040.F1</v>
      </c>
      <c r="C80" s="218" t="str">
        <f ca="1">INDEX(EAC[Primary Category],MATCH($A80,EAC[Row],0))</f>
        <v>Construction</v>
      </c>
      <c r="D80" s="218" t="str">
        <f ca="1">INDEX(EAC[Secondary Category],MATCH($A80,EAC[Row],0))</f>
        <v>Other Contractor</v>
      </c>
      <c r="E80" s="109" t="str">
        <f ca="1">INDEX(EAC[Phase / Subproject],MATCH($A80,EAC[Row],0))</f>
        <v>--</v>
      </c>
      <c r="F80" s="109" t="str">
        <f ca="1">INDEX(EAC[Phase / Subproject 2],MATCH($A80,EAC[Row],0))</f>
        <v>--</v>
      </c>
      <c r="G80" s="109" t="str">
        <f ca="1">INDEX(EAC[Funding Source],MATCH($A80,EAC[Row],0))</f>
        <v>P-002360</v>
      </c>
      <c r="H80" s="146" t="str">
        <f ca="1">INDEX(EAC[Vendor / Org. with Contract ID],MATCH($A80,EAC[Row],0))</f>
        <v>Red deer lock &amp; safe-Direct Pay</v>
      </c>
      <c r="I80" s="502">
        <f ca="1">INDEX(EAC[Estimate At Completion],MATCH($A80,EAC[Row],0))</f>
        <v>1169</v>
      </c>
      <c r="J80" s="502">
        <f ca="1">SUMIFS(CostTrack[Value],CostTrack[Vendor - Contract],$H80,CostTrack[PA ID],$B80,CostTrack[Holdback (Y/N/R)],"&lt;&gt;Release",CostTrack[Status],"Approved")</f>
        <v>1169</v>
      </c>
      <c r="K80" s="503">
        <f t="shared" ca="1" si="95"/>
        <v>0</v>
      </c>
      <c r="M80" s="504">
        <f t="shared" ca="1" si="86"/>
        <v>0</v>
      </c>
      <c r="O80" s="504">
        <f t="shared" ca="1" si="87"/>
        <v>1169</v>
      </c>
      <c r="P80" s="504">
        <f t="array" aca="1" ref="P80" ca="1">SUM($U80:$FQ80*_xlfn.ISFORMULA($U80:$FQ80)*ISNUMBER($U$7:$FQ$7)*--(INDEX($U$6:$FQ$6,N(IF({1},COLUMN($U$6:$FQ$6)-COLUMN($T$6)))-MOD(N(IF({1},COLUMN($U$6:$FQ$6)-COLUMN($U$6))),14))="Current Fiscal"))</f>
        <v>0</v>
      </c>
      <c r="Q80" s="504">
        <f t="array" aca="1" ref="Q80" ca="1">SUM($U80:$FQ80*NOT(_xlfn.ISFORMULA($U80:$FQ80))*ISNUMBER($U$7:$FQ$7)*--(INDEX($U$6:$FQ$6,N(IF({1},COLUMN($U$6:$FQ$6)-COLUMN($T$6)))-MOD(N(IF({1},COLUMN($U$6:$FQ$6)-COLUMN($U$6))),14))="Current Fiscal"))</f>
        <v>0</v>
      </c>
      <c r="R80" s="504">
        <f t="shared" ca="1" si="88"/>
        <v>0</v>
      </c>
      <c r="S80" s="504">
        <f t="shared" ca="1" si="89"/>
        <v>0</v>
      </c>
      <c r="U80" s="504">
        <f ca="1">SUMIFS(CostTrack[[Value]:[Value]],CostTrack[[PA ID]:[PA ID]],$B80,CostTrack[[Vendor - Contract]:[Vendor - Contract]],$H80,CostTrack[[Holdback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80" s="504">
        <f ca="1">SUMIFS(CostTrack[[Value]:[Value]],CostTrack[[PA ID]:[PA ID]],$B80,CostTrack[[Vendor - Contract]:[Vendor - Contract]],$H80,CostTrack[[Holdback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80" s="504">
        <f ca="1">SUMIFS(CostTrack[[Value]:[Value]],CostTrack[[PA ID]:[PA ID]],$B80,CostTrack[[Vendor - Contract]:[Vendor - Contract]],$H80,CostTrack[[Holdback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80" s="504">
        <f ca="1">SUMIFS(CostTrack[[Value]:[Value]],CostTrack[[PA ID]:[PA ID]],$B80,CostTrack[[Vendor - Contract]:[Vendor - Contract]],$H80,CostTrack[[Holdback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80" s="504">
        <f ca="1">SUMIFS(CostTrack[[Value]:[Value]],CostTrack[[PA ID]:[PA ID]],$B80,CostTrack[[Vendor - Contract]:[Vendor - Contract]],$H80,CostTrack[[Holdback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80" s="504">
        <f ca="1">SUMIFS(CostTrack[[Value]:[Value]],CostTrack[[PA ID]:[PA ID]],$B80,CostTrack[[Vendor - Contract]:[Vendor - Contract]],$H80,CostTrack[[Holdback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80" s="504">
        <f ca="1">SUMIFS(CostTrack[[Value]:[Value]],CostTrack[[PA ID]:[PA ID]],$B80,CostTrack[[Vendor - Contract]:[Vendor - Contract]],$H80,CostTrack[[Holdback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80" s="504">
        <f ca="1">SUMIFS(CostTrack[[Value]:[Value]],CostTrack[[PA ID]:[PA ID]],$B80,CostTrack[[Vendor - Contract]:[Vendor - Contract]],$H80,CostTrack[[Holdback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80" s="504">
        <f ca="1">SUMIFS(CostTrack[[Value]:[Value]],CostTrack[[PA ID]:[PA ID]],$B80,CostTrack[[Vendor - Contract]:[Vendor - Contract]],$H80,CostTrack[[Holdback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80" s="504">
        <f ca="1">SUMIFS(CostTrack[[Value]:[Value]],CostTrack[[PA ID]:[PA ID]],$B80,CostTrack[[Vendor - Contract]:[Vendor - Contract]],$H80,CostTrack[[Holdback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80" s="504">
        <f ca="1">SUMIFS(CostTrack[[Value]:[Value]],CostTrack[[PA ID]:[PA ID]],$B80,CostTrack[[Vendor - Contract]:[Vendor - Contract]],$H80,CostTrack[[Holdback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80" s="504">
        <f ca="1">SUMIFS(CostTrack[[Value]:[Value]],CostTrack[[PA ID]:[PA ID]],$B80,CostTrack[[Vendor - Contract]:[Vendor - Contract]],$H80,CostTrack[[Holdback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80" s="506">
        <f t="shared" ca="1" si="90"/>
        <v>0</v>
      </c>
      <c r="AI80" s="504">
        <f ca="1">SUMIFS(CostTrack[[Value]:[Value]],CostTrack[[PA ID]:[PA ID]],$B80,CostTrack[[Vendor - Contract]:[Vendor - Contract]],$H80,CostTrack[[Holdback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80" s="504">
        <f ca="1">SUMIFS(CostTrack[[Value]:[Value]],CostTrack[[PA ID]:[PA ID]],$B80,CostTrack[[Vendor - Contract]:[Vendor - Contract]],$H80,CostTrack[[Holdback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80" s="504">
        <f ca="1">SUMIFS(CostTrack[[Value]:[Value]],CostTrack[[PA ID]:[PA ID]],$B80,CostTrack[[Vendor - Contract]:[Vendor - Contract]],$H80,CostTrack[[Holdback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80" s="504">
        <f ca="1">SUMIFS(CostTrack[[Value]:[Value]],CostTrack[[PA ID]:[PA ID]],$B80,CostTrack[[Vendor - Contract]:[Vendor - Contract]],$H80,CostTrack[[Holdback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80" s="504">
        <f ca="1">SUMIFS(CostTrack[[Value]:[Value]],CostTrack[[PA ID]:[PA ID]],$B80,CostTrack[[Vendor - Contract]:[Vendor - Contract]],$H80,CostTrack[[Holdback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80" s="504">
        <f ca="1">SUMIFS(CostTrack[[Value]:[Value]],CostTrack[[PA ID]:[PA ID]],$B80,CostTrack[[Vendor - Contract]:[Vendor - Contract]],$H80,CostTrack[[Holdback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80" s="504">
        <f ca="1">SUMIFS(CostTrack[[Value]:[Value]],CostTrack[[PA ID]:[PA ID]],$B80,CostTrack[[Vendor - Contract]:[Vendor - Contract]],$H80,CostTrack[[Holdback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80" s="504">
        <f ca="1">SUMIFS(CostTrack[[Value]:[Value]],CostTrack[[PA ID]:[PA ID]],$B80,CostTrack[[Vendor - Contract]:[Vendor - Contract]],$H80,CostTrack[[Holdback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80" s="504">
        <f ca="1">SUMIFS(CostTrack[[Value]:[Value]],CostTrack[[PA ID]:[PA ID]],$B80,CostTrack[[Vendor - Contract]:[Vendor - Contract]],$H80,CostTrack[[Holdback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80" s="504">
        <f ca="1">SUMIFS(CostTrack[[Value]:[Value]],CostTrack[[PA ID]:[PA ID]],$B80,CostTrack[[Vendor - Contract]:[Vendor - Contract]],$H80,CostTrack[[Holdback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80" s="504">
        <f ca="1">SUMIFS(CostTrack[[Value]:[Value]],CostTrack[[PA ID]:[PA ID]],$B80,CostTrack[[Vendor - Contract]:[Vendor - Contract]],$H80,CostTrack[[Holdback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80" s="504">
        <f ca="1">SUMIFS(CostTrack[[Value]:[Value]],CostTrack[[PA ID]:[PA ID]],$B80,CostTrack[[Vendor - Contract]:[Vendor - Contract]],$H80,CostTrack[[Holdback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80" s="512">
        <f t="shared" ca="1" si="91"/>
        <v>0</v>
      </c>
      <c r="AW80" s="504">
        <f ca="1">SUMIFS(CostTrack[[Value]:[Value]],CostTrack[[PA ID]:[PA ID]],$B80,CostTrack[[Vendor - Contract]:[Vendor - Contract]],$H80,CostTrack[[Holdback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80" s="504">
        <f ca="1">SUMIFS(CostTrack[[Value]:[Value]],CostTrack[[PA ID]:[PA ID]],$B80,CostTrack[[Vendor - Contract]:[Vendor - Contract]],$H80,CostTrack[[Holdback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80" s="504">
        <f ca="1">SUMIFS(CostTrack[[Value]:[Value]],CostTrack[[PA ID]:[PA ID]],$B80,CostTrack[[Vendor - Contract]:[Vendor - Contract]],$H80,CostTrack[[Holdback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80" s="504">
        <f ca="1">SUMIFS(CostTrack[[Value]:[Value]],CostTrack[[PA ID]:[PA ID]],$B80,CostTrack[[Vendor - Contract]:[Vendor - Contract]],$H80,CostTrack[[Holdback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80" s="504">
        <f ca="1">SUMIFS(CostTrack[[Value]:[Value]],CostTrack[[PA ID]:[PA ID]],$B80,CostTrack[[Vendor - Contract]:[Vendor - Contract]],$H80,CostTrack[[Holdback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80" s="504">
        <f ca="1">SUMIFS(CostTrack[[Value]:[Value]],CostTrack[[PA ID]:[PA ID]],$B80,CostTrack[[Vendor - Contract]:[Vendor - Contract]],$H80,CostTrack[[Holdback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80" s="504">
        <f ca="1">SUMIFS(CostTrack[[Value]:[Value]],CostTrack[[PA ID]:[PA ID]],$B80,CostTrack[[Vendor - Contract]:[Vendor - Contract]],$H80,CostTrack[[Holdback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80" s="504">
        <f ca="1">SUMIFS(CostTrack[[Value]:[Value]],CostTrack[[PA ID]:[PA ID]],$B80,CostTrack[[Vendor - Contract]:[Vendor - Contract]],$H80,CostTrack[[Holdback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80" s="504">
        <f ca="1">SUMIFS(CostTrack[[Value]:[Value]],CostTrack[[PA ID]:[PA ID]],$B80,CostTrack[[Vendor - Contract]:[Vendor - Contract]],$H80,CostTrack[[Holdback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80" s="504">
        <f ca="1">SUMIFS(CostTrack[[Value]:[Value]],CostTrack[[PA ID]:[PA ID]],$B80,CostTrack[[Vendor - Contract]:[Vendor - Contract]],$H80,CostTrack[[Holdback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80" s="504">
        <f ca="1">SUMIFS(CostTrack[[Value]:[Value]],CostTrack[[PA ID]:[PA ID]],$B80,CostTrack[[Vendor - Contract]:[Vendor - Contract]],$H80,CostTrack[[Holdback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80" s="504">
        <f ca="1">SUMIFS(CostTrack[[Value]:[Value]],CostTrack[[PA ID]:[PA ID]],$B80,CostTrack[[Vendor - Contract]:[Vendor - Contract]],$H80,CostTrack[[Holdback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80" s="512">
        <f t="shared" ca="1" si="92"/>
        <v>0</v>
      </c>
      <c r="BK80" s="504">
        <f ca="1">SUMIFS(CostTrack[[Value]:[Value]],CostTrack[[PA ID]:[PA ID]],$B80,CostTrack[[Vendor - Contract]:[Vendor - Contract]],$H80,CostTrack[[Holdback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80" s="504">
        <f ca="1">SUMIFS(CostTrack[[Value]:[Value]],CostTrack[[PA ID]:[PA ID]],$B80,CostTrack[[Vendor - Contract]:[Vendor - Contract]],$H80,CostTrack[[Holdback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80" s="504">
        <f ca="1">SUMIFS(CostTrack[[Value]:[Value]],CostTrack[[PA ID]:[PA ID]],$B80,CostTrack[[Vendor - Contract]:[Vendor - Contract]],$H80,CostTrack[[Holdback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80" s="504">
        <f ca="1">SUMIFS(CostTrack[[Value]:[Value]],CostTrack[[PA ID]:[PA ID]],$B80,CostTrack[[Vendor - Contract]:[Vendor - Contract]],$H80,CostTrack[[Holdback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80" s="504">
        <f ca="1">SUMIFS(CostTrack[[Value]:[Value]],CostTrack[[PA ID]:[PA ID]],$B80,CostTrack[[Vendor - Contract]:[Vendor - Contract]],$H80,CostTrack[[Holdback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80" s="504">
        <f ca="1">SUMIFS(CostTrack[[Value]:[Value]],CostTrack[[PA ID]:[PA ID]],$B80,CostTrack[[Vendor - Contract]:[Vendor - Contract]],$H80,CostTrack[[Holdback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80" s="504">
        <f ca="1">SUMIFS(CostTrack[[Value]:[Value]],CostTrack[[PA ID]:[PA ID]],$B80,CostTrack[[Vendor - Contract]:[Vendor - Contract]],$H80,CostTrack[[Holdback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80" s="504">
        <f ca="1">SUMIFS(CostTrack[[Value]:[Value]],CostTrack[[PA ID]:[PA ID]],$B80,CostTrack[[Vendor - Contract]:[Vendor - Contract]],$H80,CostTrack[[Holdback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80" s="504">
        <f ca="1">SUMIFS(CostTrack[[Value]:[Value]],CostTrack[[PA ID]:[PA ID]],$B80,CostTrack[[Vendor - Contract]:[Vendor - Contract]],$H80,CostTrack[[Holdback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80" s="504">
        <f ca="1">SUMIFS(CostTrack[[Value]:[Value]],CostTrack[[PA ID]:[PA ID]],$B80,CostTrack[[Vendor - Contract]:[Vendor - Contract]],$H80,CostTrack[[Holdback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80" s="504">
        <f ca="1">SUMIFS(CostTrack[[Value]:[Value]],CostTrack[[PA ID]:[PA ID]],$B80,CostTrack[[Vendor - Contract]:[Vendor - Contract]],$H80,CostTrack[[Holdback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80" s="504">
        <f ca="1">SUMIFS(CostTrack[[Value]:[Value]],CostTrack[[PA ID]:[PA ID]],$B80,CostTrack[[Vendor - Contract]:[Vendor - Contract]],$H80,CostTrack[[Holdback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80" s="512">
        <f t="shared" ca="1" si="93"/>
        <v>0</v>
      </c>
      <c r="BY80" s="504">
        <f ca="1">SUMIFS(CostTrack[[Value]:[Value]],CostTrack[[PA ID]:[PA ID]],$B80,CostTrack[[Vendor - Contract]:[Vendor - Contract]],$H80,CostTrack[[Holdback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80" s="504">
        <f ca="1">SUMIFS(CostTrack[[Value]:[Value]],CostTrack[[PA ID]:[PA ID]],$B80,CostTrack[[Vendor - Contract]:[Vendor - Contract]],$H80,CostTrack[[Holdback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80" s="504">
        <f ca="1">SUMIFS(CostTrack[[Value]:[Value]],CostTrack[[PA ID]:[PA ID]],$B80,CostTrack[[Vendor - Contract]:[Vendor - Contract]],$H80,CostTrack[[Holdback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80" s="504">
        <f ca="1">SUMIFS(CostTrack[[Value]:[Value]],CostTrack[[PA ID]:[PA ID]],$B80,CostTrack[[Vendor - Contract]:[Vendor - Contract]],$H80,CostTrack[[Holdback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80" s="504">
        <f ca="1">SUMIFS(CostTrack[[Value]:[Value]],CostTrack[[PA ID]:[PA ID]],$B80,CostTrack[[Vendor - Contract]:[Vendor - Contract]],$H80,CostTrack[[Holdback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80" s="504">
        <f ca="1">SUMIFS(CostTrack[[Value]:[Value]],CostTrack[[PA ID]:[PA ID]],$B80,CostTrack[[Vendor - Contract]:[Vendor - Contract]],$H80,CostTrack[[Holdback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80" s="504">
        <f ca="1">SUMIFS(CostTrack[[Value]:[Value]],CostTrack[[PA ID]:[PA ID]],$B80,CostTrack[[Vendor - Contract]:[Vendor - Contract]],$H80,CostTrack[[Holdback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80" s="504">
        <f ca="1">SUMIFS(CostTrack[[Value]:[Value]],CostTrack[[PA ID]:[PA ID]],$B80,CostTrack[[Vendor - Contract]:[Vendor - Contract]],$H80,CostTrack[[Holdback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80" s="504">
        <f ca="1">SUMIFS(CostTrack[[Value]:[Value]],CostTrack[[PA ID]:[PA ID]],$B80,CostTrack[[Vendor - Contract]:[Vendor - Contract]],$H80,CostTrack[[Holdback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80" s="504">
        <f ca="1">SUMIFS(CostTrack[[Value]:[Value]],CostTrack[[PA ID]:[PA ID]],$B80,CostTrack[[Vendor - Contract]:[Vendor - Contract]],$H80,CostTrack[[Holdback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80" s="504">
        <f ca="1">SUMIFS(CostTrack[[Value]:[Value]],CostTrack[[PA ID]:[PA ID]],$B80,CostTrack[[Vendor - Contract]:[Vendor - Contract]],$H80,CostTrack[[Holdback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80" s="504">
        <f ca="1">SUMIFS(CostTrack[[Value]:[Value]],CostTrack[[PA ID]:[PA ID]],$B80,CostTrack[[Vendor - Contract]:[Vendor - Contract]],$H80,CostTrack[[Holdback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80" s="512">
        <f t="shared" ca="1" si="94"/>
        <v>0</v>
      </c>
      <c r="CM80" s="504">
        <f ca="1">SUMIFS(CostTrack[[Value]:[Value]],CostTrack[[PA ID]:[PA ID]],$B80,CostTrack[[Vendor - Contract]:[Vendor - Contract]],$H80,CostTrack[[Holdback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80" s="504">
        <f ca="1">SUMIFS(CostTrack[[Value]:[Value]],CostTrack[[PA ID]:[PA ID]],$B80,CostTrack[[Vendor - Contract]:[Vendor - Contract]],$H80,CostTrack[[Holdback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80" s="504">
        <f ca="1">SUMIFS(CostTrack[[Value]:[Value]],CostTrack[[PA ID]:[PA ID]],$B80,CostTrack[[Vendor - Contract]:[Vendor - Contract]],$H80,CostTrack[[Holdback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80" s="504">
        <f ca="1">SUMIFS(CostTrack[[Value]:[Value]],CostTrack[[PA ID]:[PA ID]],$B80,CostTrack[[Vendor - Contract]:[Vendor - Contract]],$H80,CostTrack[[Holdback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314</v>
      </c>
      <c r="CQ80" s="504">
        <f ca="1">SUMIFS(CostTrack[[Value]:[Value]],CostTrack[[PA ID]:[PA ID]],$B80,CostTrack[[Vendor - Contract]:[Vendor - Contract]],$H80,CostTrack[[Holdback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80" s="504">
        <f ca="1">SUMIFS(CostTrack[[Value]:[Value]],CostTrack[[PA ID]:[PA ID]],$B80,CostTrack[[Vendor - Contract]:[Vendor - Contract]],$H80,CostTrack[[Holdback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80" s="504">
        <f ca="1">SUMIFS(CostTrack[[Value]:[Value]],CostTrack[[PA ID]:[PA ID]],$B80,CostTrack[[Vendor - Contract]:[Vendor - Contract]],$H80,CostTrack[[Holdback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80" s="504">
        <f ca="1">SUMIFS(CostTrack[[Value]:[Value]],CostTrack[[PA ID]:[PA ID]],$B80,CostTrack[[Vendor - Contract]:[Vendor - Contract]],$H80,CostTrack[[Holdback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80" s="504">
        <f ca="1">SUMIFS(CostTrack[[Value]:[Value]],CostTrack[[PA ID]:[PA ID]],$B80,CostTrack[[Vendor - Contract]:[Vendor - Contract]],$H80,CostTrack[[Holdback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80" s="504">
        <f ca="1">SUMIFS(CostTrack[[Value]:[Value]],CostTrack[[PA ID]:[PA ID]],$B80,CostTrack[[Vendor - Contract]:[Vendor - Contract]],$H80,CostTrack[[Holdback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80" s="504">
        <f ca="1">SUMIFS(CostTrack[[Value]:[Value]],CostTrack[[PA ID]:[PA ID]],$B80,CostTrack[[Vendor - Contract]:[Vendor - Contract]],$H80,CostTrack[[Holdback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80" s="504">
        <f ca="1">SUMIFS(CostTrack[[Value]:[Value]],CostTrack[[PA ID]:[PA ID]],$B80,CostTrack[[Vendor - Contract]:[Vendor - Contract]],$H80,CostTrack[[Holdback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80" s="512">
        <f t="shared" ca="1" si="79"/>
        <v>314</v>
      </c>
      <c r="DA80" s="504">
        <f ca="1">SUMIFS(CostTrack[[Value]:[Value]],CostTrack[[PA ID]:[PA ID]],$B80,CostTrack[[Vendor - Contract]:[Vendor - Contract]],$H80,CostTrack[[Holdback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80" s="504">
        <f ca="1">SUMIFS(CostTrack[[Value]:[Value]],CostTrack[[PA ID]:[PA ID]],$B80,CostTrack[[Vendor - Contract]:[Vendor - Contract]],$H80,CostTrack[[Holdback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80" s="504">
        <f ca="1">SUMIFS(CostTrack[[Value]:[Value]],CostTrack[[PA ID]:[PA ID]],$B80,CostTrack[[Vendor - Contract]:[Vendor - Contract]],$H80,CostTrack[[Holdback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80" s="504">
        <f ca="1">SUMIFS(CostTrack[[Value]:[Value]],CostTrack[[PA ID]:[PA ID]],$B80,CostTrack[[Vendor - Contract]:[Vendor - Contract]],$H80,CostTrack[[Holdback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80" s="504">
        <f ca="1">SUMIFS(CostTrack[[Value]:[Value]],CostTrack[[PA ID]:[PA ID]],$B80,CostTrack[[Vendor - Contract]:[Vendor - Contract]],$H80,CostTrack[[Holdback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80" s="504">
        <f ca="1">SUMIFS(CostTrack[[Value]:[Value]],CostTrack[[PA ID]:[PA ID]],$B80,CostTrack[[Vendor - Contract]:[Vendor - Contract]],$H80,CostTrack[[Holdback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80" s="504">
        <f ca="1">SUMIFS(CostTrack[[Value]:[Value]],CostTrack[[PA ID]:[PA ID]],$B80,CostTrack[[Vendor - Contract]:[Vendor - Contract]],$H80,CostTrack[[Holdback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80" s="504">
        <f ca="1">SUMIFS(CostTrack[[Value]:[Value]],CostTrack[[PA ID]:[PA ID]],$B80,CostTrack[[Vendor - Contract]:[Vendor - Contract]],$H80,CostTrack[[Holdback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80" s="504">
        <f ca="1">SUMIFS(CostTrack[[Value]:[Value]],CostTrack[[PA ID]:[PA ID]],$B80,CostTrack[[Vendor - Contract]:[Vendor - Contract]],$H80,CostTrack[[Holdback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80" s="504">
        <f ca="1">SUMIFS(CostTrack[[Value]:[Value]],CostTrack[[PA ID]:[PA ID]],$B80,CostTrack[[Vendor - Contract]:[Vendor - Contract]],$H80,CostTrack[[Holdback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235</v>
      </c>
      <c r="DK80" s="504">
        <f ca="1">SUMIFS(CostTrack[[Value]:[Value]],CostTrack[[PA ID]:[PA ID]],$B80,CostTrack[[Vendor - Contract]:[Vendor - Contract]],$H80,CostTrack[[Holdback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620</v>
      </c>
      <c r="DL80" s="504">
        <f ca="1">SUMIFS(CostTrack[[Value]:[Value]],CostTrack[[PA ID]:[PA ID]],$B80,CostTrack[[Vendor - Contract]:[Vendor - Contract]],$H80,CostTrack[[Holdback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80" s="512">
        <f t="shared" ca="1" si="80"/>
        <v>855</v>
      </c>
      <c r="DO80" s="504">
        <f ca="1">SUMIFS(CostTrack[[Value]:[Value]],CostTrack[[PA ID]:[PA ID]],$B80,CostTrack[[Vendor - Contract]:[Vendor - Contract]],$H80,CostTrack[[Holdback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80" s="504">
        <f ca="1">SUMIFS(CostTrack[[Value]:[Value]],CostTrack[[PA ID]:[PA ID]],$B80,CostTrack[[Vendor - Contract]:[Vendor - Contract]],$H80,CostTrack[[Holdback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80" s="504">
        <f ca="1">SUMIFS(CostTrack[[Value]:[Value]],CostTrack[[PA ID]:[PA ID]],$B80,CostTrack[[Vendor - Contract]:[Vendor - Contract]],$H80,CostTrack[[Holdback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80" s="504">
        <f ca="1">SUMIFS(CostTrack[[Value]:[Value]],CostTrack[[PA ID]:[PA ID]],$B80,CostTrack[[Vendor - Contract]:[Vendor - Contract]],$H80,CostTrack[[Holdback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80" s="504">
        <f ca="1">SUMIFS(CostTrack[[Value]:[Value]],CostTrack[[PA ID]:[PA ID]],$B80,CostTrack[[Vendor - Contract]:[Vendor - Contract]],$H80,CostTrack[[Holdback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80" s="504">
        <f ca="1">SUMIFS(CostTrack[[Value]:[Value]],CostTrack[[PA ID]:[PA ID]],$B80,CostTrack[[Vendor - Contract]:[Vendor - Contract]],$H80,CostTrack[[Holdback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80" s="504">
        <f ca="1">SUMIFS(CostTrack[[Value]:[Value]],CostTrack[[PA ID]:[PA ID]],$B80,CostTrack[[Vendor - Contract]:[Vendor - Contract]],$H80,CostTrack[[Holdback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80" s="504">
        <f ca="1">SUMIFS(CostTrack[[Value]:[Value]],CostTrack[[PA ID]:[PA ID]],$B80,CostTrack[[Vendor - Contract]:[Vendor - Contract]],$H80,CostTrack[[Holdback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80" s="504">
        <f ca="1">SUMIFS(CostTrack[[Value]:[Value]],CostTrack[[PA ID]:[PA ID]],$B80,CostTrack[[Vendor - Contract]:[Vendor - Contract]],$H80,CostTrack[[Holdback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80" s="504">
        <f ca="1">SUMIFS(CostTrack[[Value]:[Value]],CostTrack[[PA ID]:[PA ID]],$B80,CostTrack[[Vendor - Contract]:[Vendor - Contract]],$H80,CostTrack[[Holdback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80" s="504">
        <f ca="1">SUMIFS(CostTrack[[Value]:[Value]],CostTrack[[PA ID]:[PA ID]],$B80,CostTrack[[Vendor - Contract]:[Vendor - Contract]],$H80,CostTrack[[Holdback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80" s="504">
        <f ca="1">SUMIFS(CostTrack[[Value]:[Value]],CostTrack[[PA ID]:[PA ID]],$B80,CostTrack[[Vendor - Contract]:[Vendor - Contract]],$H80,CostTrack[[Holdback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80" s="512">
        <f t="shared" ca="1" si="81"/>
        <v>0</v>
      </c>
      <c r="EC80" s="504">
        <f ca="1">SUMIFS(CostTrack[[Value]:[Value]],CostTrack[[PA ID]:[PA ID]],$B80,CostTrack[[Vendor - Contract]:[Vendor - Contract]],$H80,CostTrack[[Holdback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80" s="505"/>
      <c r="EE80" s="505"/>
      <c r="EF80" s="505"/>
      <c r="EG80" s="505"/>
      <c r="EH80" s="505"/>
      <c r="EI80" s="505"/>
      <c r="EJ80" s="505"/>
      <c r="EK80" s="505"/>
      <c r="EL80" s="505"/>
      <c r="EM80" s="505"/>
      <c r="EN80" s="505"/>
      <c r="EO80" s="512">
        <f t="shared" ca="1" si="82"/>
        <v>0</v>
      </c>
      <c r="EQ80" s="505"/>
      <c r="ER80" s="505"/>
      <c r="ES80" s="505"/>
      <c r="ET80" s="505"/>
      <c r="EU80" s="505"/>
      <c r="EV80" s="505"/>
      <c r="EW80" s="505"/>
      <c r="EX80" s="505"/>
      <c r="EY80" s="505"/>
      <c r="EZ80" s="505"/>
      <c r="FA80" s="505"/>
      <c r="FB80" s="505"/>
      <c r="FC80" s="512">
        <f t="shared" si="83"/>
        <v>0</v>
      </c>
      <c r="FE80" s="505"/>
      <c r="FF80" s="505"/>
      <c r="FG80" s="505"/>
      <c r="FH80" s="505"/>
      <c r="FI80" s="505"/>
      <c r="FJ80" s="505"/>
      <c r="FK80" s="505"/>
      <c r="FL80" s="505"/>
      <c r="FM80" s="505"/>
      <c r="FN80" s="505"/>
      <c r="FO80" s="505"/>
      <c r="FP80" s="505"/>
      <c r="FQ80" s="512">
        <f t="shared" si="84"/>
        <v>0</v>
      </c>
      <c r="FS80" s="504">
        <f t="shared" ca="1" si="85"/>
        <v>1169</v>
      </c>
    </row>
    <row r="81" spans="1:175" ht="24" customHeight="1">
      <c r="A81" s="216">
        <v>74</v>
      </c>
      <c r="B81" s="219" t="str">
        <f ca="1">INDEX(EAC[PA ID],MATCH($A81,EAC[Row],0))</f>
        <v>300.020.F1</v>
      </c>
      <c r="C81" s="218" t="str">
        <f ca="1">INDEX(EAC[Primary Category],MATCH($A81,EAC[Row],0))</f>
        <v>Construction</v>
      </c>
      <c r="D81" s="218" t="str">
        <f ca="1">INDEX(EAC[Secondary Category],MATCH($A81,EAC[Row],0))</f>
        <v>Utilities</v>
      </c>
      <c r="E81" s="109" t="str">
        <f ca="1">INDEX(EAC[Phase / Subproject],MATCH($A81,EAC[Row],0))</f>
        <v>--</v>
      </c>
      <c r="F81" s="109" t="str">
        <f ca="1">INDEX(EAC[Phase / Subproject 2],MATCH($A81,EAC[Row],0))</f>
        <v>--</v>
      </c>
      <c r="G81" s="109" t="str">
        <f ca="1">INDEX(EAC[Funding Source],MATCH($A81,EAC[Row],0))</f>
        <v>P-002360</v>
      </c>
      <c r="H81" s="146" t="str">
        <f ca="1">INDEX(EAC[Vendor / Org. with Contract ID],MATCH($A81,EAC[Row],0))</f>
        <v>TELUS-New Service-Direct Pay</v>
      </c>
      <c r="I81" s="502">
        <f ca="1">INDEX(EAC[Estimate At Completion],MATCH($A81,EAC[Row],0))</f>
        <v>26028.39</v>
      </c>
      <c r="J81" s="502">
        <f ca="1">SUMIFS(CostTrack[Value],CostTrack[Vendor - Contract],$H81,CostTrack[PA ID],$B81,CostTrack[Holdback (Y/N/R)],"&lt;&gt;Release",CostTrack[Status],"Approved")</f>
        <v>26028.39</v>
      </c>
      <c r="K81" s="503">
        <f t="shared" ca="1" si="95"/>
        <v>0</v>
      </c>
      <c r="M81" s="504">
        <f t="shared" ref="M81" ca="1" si="96">I81-FS81</f>
        <v>0</v>
      </c>
      <c r="O81" s="504">
        <f t="shared" ref="O81:O83" ca="1" si="97">SUMIF($U$6:$FQ$6,"Previous Fiscal",AG81:FQ81)</f>
        <v>26028.39</v>
      </c>
      <c r="P81" s="504">
        <f t="array" aca="1" ref="P81" ca="1">SUM($U81:$FQ81*_xlfn.ISFORMULA($U81:$FQ81)*ISNUMBER($U$7:$FQ$7)*--(INDEX($U$6:$FQ$6,N(IF({1},COLUMN($U$6:$FQ$6)-COLUMN($T$6)))-MOD(N(IF({1},COLUMN($U$6:$FQ$6)-COLUMN($U$6))),14))="Current Fiscal"))</f>
        <v>0</v>
      </c>
      <c r="Q81" s="504">
        <f t="array" aca="1" ref="Q81" ca="1">SUM($U81:$FQ81*NOT(_xlfn.ISFORMULA($U81:$FQ81))*ISNUMBER($U$7:$FQ$7)*--(INDEX($U$6:$FQ$6,N(IF({1},COLUMN($U$6:$FQ$6)-COLUMN($T$6)))-MOD(N(IF({1},COLUMN($U$6:$FQ$6)-COLUMN($U$6))),14))="Current Fiscal"))</f>
        <v>0</v>
      </c>
      <c r="R81" s="504">
        <f t="shared" ref="R81:R83" ca="1" si="98">SUMIF($U$6:$FQ$6,"Current Fiscal",AG81:FQ81)</f>
        <v>0</v>
      </c>
      <c r="S81" s="504">
        <f t="shared" ref="S81:S83" ca="1" si="99">SUMIF($U$6:$FQ$6,"Future Fiscal",AG81:FQ81)</f>
        <v>0</v>
      </c>
      <c r="U81" s="504">
        <f ca="1">SUMIFS(CostTrack[[Value]:[Value]],CostTrack[[PA ID]:[PA ID]],$B81,CostTrack[[Vendor - Contract]:[Vendor - Contract]],$H81,CostTrack[[Holdback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81" s="504">
        <f ca="1">SUMIFS(CostTrack[[Value]:[Value]],CostTrack[[PA ID]:[PA ID]],$B81,CostTrack[[Vendor - Contract]:[Vendor - Contract]],$H81,CostTrack[[Holdback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81" s="504">
        <f ca="1">SUMIFS(CostTrack[[Value]:[Value]],CostTrack[[PA ID]:[PA ID]],$B81,CostTrack[[Vendor - Contract]:[Vendor - Contract]],$H81,CostTrack[[Holdback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81" s="504">
        <f ca="1">SUMIFS(CostTrack[[Value]:[Value]],CostTrack[[PA ID]:[PA ID]],$B81,CostTrack[[Vendor - Contract]:[Vendor - Contract]],$H81,CostTrack[[Holdback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81" s="504">
        <f ca="1">SUMIFS(CostTrack[[Value]:[Value]],CostTrack[[PA ID]:[PA ID]],$B81,CostTrack[[Vendor - Contract]:[Vendor - Contract]],$H81,CostTrack[[Holdback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81" s="504">
        <f ca="1">SUMIFS(CostTrack[[Value]:[Value]],CostTrack[[PA ID]:[PA ID]],$B81,CostTrack[[Vendor - Contract]:[Vendor - Contract]],$H81,CostTrack[[Holdback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81" s="504">
        <f ca="1">SUMIFS(CostTrack[[Value]:[Value]],CostTrack[[PA ID]:[PA ID]],$B81,CostTrack[[Vendor - Contract]:[Vendor - Contract]],$H81,CostTrack[[Holdback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81" s="504">
        <f ca="1">SUMIFS(CostTrack[[Value]:[Value]],CostTrack[[PA ID]:[PA ID]],$B81,CostTrack[[Vendor - Contract]:[Vendor - Contract]],$H81,CostTrack[[Holdback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81" s="504">
        <f ca="1">SUMIFS(CostTrack[[Value]:[Value]],CostTrack[[PA ID]:[PA ID]],$B81,CostTrack[[Vendor - Contract]:[Vendor - Contract]],$H81,CostTrack[[Holdback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81" s="504">
        <f ca="1">SUMIFS(CostTrack[[Value]:[Value]],CostTrack[[PA ID]:[PA ID]],$B81,CostTrack[[Vendor - Contract]:[Vendor - Contract]],$H81,CostTrack[[Holdback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81" s="504">
        <f ca="1">SUMIFS(CostTrack[[Value]:[Value]],CostTrack[[PA ID]:[PA ID]],$B81,CostTrack[[Vendor - Contract]:[Vendor - Contract]],$H81,CostTrack[[Holdback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81" s="504">
        <f ca="1">SUMIFS(CostTrack[[Value]:[Value]],CostTrack[[PA ID]:[PA ID]],$B81,CostTrack[[Vendor - Contract]:[Vendor - Contract]],$H81,CostTrack[[Holdback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81" s="506">
        <f t="shared" ref="AG81" ca="1" si="100">SUM(U81:AF81)</f>
        <v>0</v>
      </c>
      <c r="AI81" s="504">
        <f ca="1">SUMIFS(CostTrack[[Value]:[Value]],CostTrack[[PA ID]:[PA ID]],$B81,CostTrack[[Vendor - Contract]:[Vendor - Contract]],$H81,CostTrack[[Holdback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81" s="504">
        <f ca="1">SUMIFS(CostTrack[[Value]:[Value]],CostTrack[[PA ID]:[PA ID]],$B81,CostTrack[[Vendor - Contract]:[Vendor - Contract]],$H81,CostTrack[[Holdback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81" s="504">
        <f ca="1">SUMIFS(CostTrack[[Value]:[Value]],CostTrack[[PA ID]:[PA ID]],$B81,CostTrack[[Vendor - Contract]:[Vendor - Contract]],$H81,CostTrack[[Holdback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81" s="504">
        <f ca="1">SUMIFS(CostTrack[[Value]:[Value]],CostTrack[[PA ID]:[PA ID]],$B81,CostTrack[[Vendor - Contract]:[Vendor - Contract]],$H81,CostTrack[[Holdback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81" s="504">
        <f ca="1">SUMIFS(CostTrack[[Value]:[Value]],CostTrack[[PA ID]:[PA ID]],$B81,CostTrack[[Vendor - Contract]:[Vendor - Contract]],$H81,CostTrack[[Holdback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81" s="504">
        <f ca="1">SUMIFS(CostTrack[[Value]:[Value]],CostTrack[[PA ID]:[PA ID]],$B81,CostTrack[[Vendor - Contract]:[Vendor - Contract]],$H81,CostTrack[[Holdback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81" s="504">
        <f ca="1">SUMIFS(CostTrack[[Value]:[Value]],CostTrack[[PA ID]:[PA ID]],$B81,CostTrack[[Vendor - Contract]:[Vendor - Contract]],$H81,CostTrack[[Holdback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81" s="504">
        <f ca="1">SUMIFS(CostTrack[[Value]:[Value]],CostTrack[[PA ID]:[PA ID]],$B81,CostTrack[[Vendor - Contract]:[Vendor - Contract]],$H81,CostTrack[[Holdback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81" s="504">
        <f ca="1">SUMIFS(CostTrack[[Value]:[Value]],CostTrack[[PA ID]:[PA ID]],$B81,CostTrack[[Vendor - Contract]:[Vendor - Contract]],$H81,CostTrack[[Holdback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81" s="504">
        <f ca="1">SUMIFS(CostTrack[[Value]:[Value]],CostTrack[[PA ID]:[PA ID]],$B81,CostTrack[[Vendor - Contract]:[Vendor - Contract]],$H81,CostTrack[[Holdback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81" s="504">
        <f ca="1">SUMIFS(CostTrack[[Value]:[Value]],CostTrack[[PA ID]:[PA ID]],$B81,CostTrack[[Vendor - Contract]:[Vendor - Contract]],$H81,CostTrack[[Holdback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81" s="504">
        <f ca="1">SUMIFS(CostTrack[[Value]:[Value]],CostTrack[[PA ID]:[PA ID]],$B81,CostTrack[[Vendor - Contract]:[Vendor - Contract]],$H81,CostTrack[[Holdback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81" s="512">
        <f t="shared" ref="AU81" ca="1" si="101">SUM(AI81:AT81)</f>
        <v>0</v>
      </c>
      <c r="AW81" s="504">
        <f ca="1">SUMIFS(CostTrack[[Value]:[Value]],CostTrack[[PA ID]:[PA ID]],$B81,CostTrack[[Vendor - Contract]:[Vendor - Contract]],$H81,CostTrack[[Holdback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81" s="504">
        <f ca="1">SUMIFS(CostTrack[[Value]:[Value]],CostTrack[[PA ID]:[PA ID]],$B81,CostTrack[[Vendor - Contract]:[Vendor - Contract]],$H81,CostTrack[[Holdback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81" s="504">
        <f ca="1">SUMIFS(CostTrack[[Value]:[Value]],CostTrack[[PA ID]:[PA ID]],$B81,CostTrack[[Vendor - Contract]:[Vendor - Contract]],$H81,CostTrack[[Holdback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81" s="504">
        <f ca="1">SUMIFS(CostTrack[[Value]:[Value]],CostTrack[[PA ID]:[PA ID]],$B81,CostTrack[[Vendor - Contract]:[Vendor - Contract]],$H81,CostTrack[[Holdback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81" s="504">
        <f ca="1">SUMIFS(CostTrack[[Value]:[Value]],CostTrack[[PA ID]:[PA ID]],$B81,CostTrack[[Vendor - Contract]:[Vendor - Contract]],$H81,CostTrack[[Holdback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81" s="504">
        <f ca="1">SUMIFS(CostTrack[[Value]:[Value]],CostTrack[[PA ID]:[PA ID]],$B81,CostTrack[[Vendor - Contract]:[Vendor - Contract]],$H81,CostTrack[[Holdback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81" s="504">
        <f ca="1">SUMIFS(CostTrack[[Value]:[Value]],CostTrack[[PA ID]:[PA ID]],$B81,CostTrack[[Vendor - Contract]:[Vendor - Contract]],$H81,CostTrack[[Holdback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81" s="504">
        <f ca="1">SUMIFS(CostTrack[[Value]:[Value]],CostTrack[[PA ID]:[PA ID]],$B81,CostTrack[[Vendor - Contract]:[Vendor - Contract]],$H81,CostTrack[[Holdback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81" s="504">
        <f ca="1">SUMIFS(CostTrack[[Value]:[Value]],CostTrack[[PA ID]:[PA ID]],$B81,CostTrack[[Vendor - Contract]:[Vendor - Contract]],$H81,CostTrack[[Holdback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81" s="504">
        <f ca="1">SUMIFS(CostTrack[[Value]:[Value]],CostTrack[[PA ID]:[PA ID]],$B81,CostTrack[[Vendor - Contract]:[Vendor - Contract]],$H81,CostTrack[[Holdback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81" s="504">
        <f ca="1">SUMIFS(CostTrack[[Value]:[Value]],CostTrack[[PA ID]:[PA ID]],$B81,CostTrack[[Vendor - Contract]:[Vendor - Contract]],$H81,CostTrack[[Holdback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81" s="504">
        <f ca="1">SUMIFS(CostTrack[[Value]:[Value]],CostTrack[[PA ID]:[PA ID]],$B81,CostTrack[[Vendor - Contract]:[Vendor - Contract]],$H81,CostTrack[[Holdback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81" s="512">
        <f t="shared" ref="BI81" ca="1" si="102">SUM(AW81:BH81)</f>
        <v>0</v>
      </c>
      <c r="BK81" s="504">
        <f ca="1">SUMIFS(CostTrack[[Value]:[Value]],CostTrack[[PA ID]:[PA ID]],$B81,CostTrack[[Vendor - Contract]:[Vendor - Contract]],$H81,CostTrack[[Holdback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81" s="504">
        <f ca="1">SUMIFS(CostTrack[[Value]:[Value]],CostTrack[[PA ID]:[PA ID]],$B81,CostTrack[[Vendor - Contract]:[Vendor - Contract]],$H81,CostTrack[[Holdback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81" s="504">
        <f ca="1">SUMIFS(CostTrack[[Value]:[Value]],CostTrack[[PA ID]:[PA ID]],$B81,CostTrack[[Vendor - Contract]:[Vendor - Contract]],$H81,CostTrack[[Holdback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81" s="504">
        <f ca="1">SUMIFS(CostTrack[[Value]:[Value]],CostTrack[[PA ID]:[PA ID]],$B81,CostTrack[[Vendor - Contract]:[Vendor - Contract]],$H81,CostTrack[[Holdback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81" s="504">
        <f ca="1">SUMIFS(CostTrack[[Value]:[Value]],CostTrack[[PA ID]:[PA ID]],$B81,CostTrack[[Vendor - Contract]:[Vendor - Contract]],$H81,CostTrack[[Holdback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81" s="504">
        <f ca="1">SUMIFS(CostTrack[[Value]:[Value]],CostTrack[[PA ID]:[PA ID]],$B81,CostTrack[[Vendor - Contract]:[Vendor - Contract]],$H81,CostTrack[[Holdback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81" s="504">
        <f ca="1">SUMIFS(CostTrack[[Value]:[Value]],CostTrack[[PA ID]:[PA ID]],$B81,CostTrack[[Vendor - Contract]:[Vendor - Contract]],$H81,CostTrack[[Holdback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81" s="504">
        <f ca="1">SUMIFS(CostTrack[[Value]:[Value]],CostTrack[[PA ID]:[PA ID]],$B81,CostTrack[[Vendor - Contract]:[Vendor - Contract]],$H81,CostTrack[[Holdback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81" s="504">
        <f ca="1">SUMIFS(CostTrack[[Value]:[Value]],CostTrack[[PA ID]:[PA ID]],$B81,CostTrack[[Vendor - Contract]:[Vendor - Contract]],$H81,CostTrack[[Holdback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81" s="504">
        <f ca="1">SUMIFS(CostTrack[[Value]:[Value]],CostTrack[[PA ID]:[PA ID]],$B81,CostTrack[[Vendor - Contract]:[Vendor - Contract]],$H81,CostTrack[[Holdback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81" s="504">
        <f ca="1">SUMIFS(CostTrack[[Value]:[Value]],CostTrack[[PA ID]:[PA ID]],$B81,CostTrack[[Vendor - Contract]:[Vendor - Contract]],$H81,CostTrack[[Holdback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81" s="504">
        <f ca="1">SUMIFS(CostTrack[[Value]:[Value]],CostTrack[[PA ID]:[PA ID]],$B81,CostTrack[[Vendor - Contract]:[Vendor - Contract]],$H81,CostTrack[[Holdback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81" s="512">
        <f t="shared" ref="BW81" ca="1" si="103">SUM(BK81:BV81)</f>
        <v>0</v>
      </c>
      <c r="BY81" s="504">
        <f ca="1">SUMIFS(CostTrack[[Value]:[Value]],CostTrack[[PA ID]:[PA ID]],$B81,CostTrack[[Vendor - Contract]:[Vendor - Contract]],$H81,CostTrack[[Holdback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81" s="504">
        <f ca="1">SUMIFS(CostTrack[[Value]:[Value]],CostTrack[[PA ID]:[PA ID]],$B81,CostTrack[[Vendor - Contract]:[Vendor - Contract]],$H81,CostTrack[[Holdback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81" s="504">
        <f ca="1">SUMIFS(CostTrack[[Value]:[Value]],CostTrack[[PA ID]:[PA ID]],$B81,CostTrack[[Vendor - Contract]:[Vendor - Contract]],$H81,CostTrack[[Holdback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81" s="504">
        <f ca="1">SUMIFS(CostTrack[[Value]:[Value]],CostTrack[[PA ID]:[PA ID]],$B81,CostTrack[[Vendor - Contract]:[Vendor - Contract]],$H81,CostTrack[[Holdback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81" s="504">
        <f ca="1">SUMIFS(CostTrack[[Value]:[Value]],CostTrack[[PA ID]:[PA ID]],$B81,CostTrack[[Vendor - Contract]:[Vendor - Contract]],$H81,CostTrack[[Holdback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81" s="504">
        <f ca="1">SUMIFS(CostTrack[[Value]:[Value]],CostTrack[[PA ID]:[PA ID]],$B81,CostTrack[[Vendor - Contract]:[Vendor - Contract]],$H81,CostTrack[[Holdback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81" s="504">
        <f ca="1">SUMIFS(CostTrack[[Value]:[Value]],CostTrack[[PA ID]:[PA ID]],$B81,CostTrack[[Vendor - Contract]:[Vendor - Contract]],$H81,CostTrack[[Holdback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81" s="504">
        <f ca="1">SUMIFS(CostTrack[[Value]:[Value]],CostTrack[[PA ID]:[PA ID]],$B81,CostTrack[[Vendor - Contract]:[Vendor - Contract]],$H81,CostTrack[[Holdback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81" s="504">
        <f ca="1">SUMIFS(CostTrack[[Value]:[Value]],CostTrack[[PA ID]:[PA ID]],$B81,CostTrack[[Vendor - Contract]:[Vendor - Contract]],$H81,CostTrack[[Holdback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81" s="504">
        <f ca="1">SUMIFS(CostTrack[[Value]:[Value]],CostTrack[[PA ID]:[PA ID]],$B81,CostTrack[[Vendor - Contract]:[Vendor - Contract]],$H81,CostTrack[[Holdback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81" s="504">
        <f ca="1">SUMIFS(CostTrack[[Value]:[Value]],CostTrack[[PA ID]:[PA ID]],$B81,CostTrack[[Vendor - Contract]:[Vendor - Contract]],$H81,CostTrack[[Holdback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81" s="504">
        <f ca="1">SUMIFS(CostTrack[[Value]:[Value]],CostTrack[[PA ID]:[PA ID]],$B81,CostTrack[[Vendor - Contract]:[Vendor - Contract]],$H81,CostTrack[[Holdback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81" s="512">
        <f t="shared" ref="CK81" ca="1" si="104">SUM(BY81:CJ81)</f>
        <v>0</v>
      </c>
      <c r="CM81" s="504">
        <f ca="1">SUMIFS(CostTrack[[Value]:[Value]],CostTrack[[PA ID]:[PA ID]],$B81,CostTrack[[Vendor - Contract]:[Vendor - Contract]],$H81,CostTrack[[Holdback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81" s="504">
        <f ca="1">SUMIFS(CostTrack[[Value]:[Value]],CostTrack[[PA ID]:[PA ID]],$B81,CostTrack[[Vendor - Contract]:[Vendor - Contract]],$H81,CostTrack[[Holdback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81" s="504">
        <f ca="1">SUMIFS(CostTrack[[Value]:[Value]],CostTrack[[PA ID]:[PA ID]],$B81,CostTrack[[Vendor - Contract]:[Vendor - Contract]],$H81,CostTrack[[Holdback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81" s="504">
        <f ca="1">SUMIFS(CostTrack[[Value]:[Value]],CostTrack[[PA ID]:[PA ID]],$B81,CostTrack[[Vendor - Contract]:[Vendor - Contract]],$H81,CostTrack[[Holdback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81" s="504">
        <f ca="1">SUMIFS(CostTrack[[Value]:[Value]],CostTrack[[PA ID]:[PA ID]],$B81,CostTrack[[Vendor - Contract]:[Vendor - Contract]],$H81,CostTrack[[Holdback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81" s="504">
        <f ca="1">SUMIFS(CostTrack[[Value]:[Value]],CostTrack[[PA ID]:[PA ID]],$B81,CostTrack[[Vendor - Contract]:[Vendor - Contract]],$H81,CostTrack[[Holdback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81" s="504">
        <f ca="1">SUMIFS(CostTrack[[Value]:[Value]],CostTrack[[PA ID]:[PA ID]],$B81,CostTrack[[Vendor - Contract]:[Vendor - Contract]],$H81,CostTrack[[Holdback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81" s="504">
        <f ca="1">SUMIFS(CostTrack[[Value]:[Value]],CostTrack[[PA ID]:[PA ID]],$B81,CostTrack[[Vendor - Contract]:[Vendor - Contract]],$H81,CostTrack[[Holdback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81" s="504">
        <f ca="1">SUMIFS(CostTrack[[Value]:[Value]],CostTrack[[PA ID]:[PA ID]],$B81,CostTrack[[Vendor - Contract]:[Vendor - Contract]],$H81,CostTrack[[Holdback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81" s="504">
        <f ca="1">SUMIFS(CostTrack[[Value]:[Value]],CostTrack[[PA ID]:[PA ID]],$B81,CostTrack[[Vendor - Contract]:[Vendor - Contract]],$H81,CostTrack[[Holdback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81" s="504">
        <f ca="1">SUMIFS(CostTrack[[Value]:[Value]],CostTrack[[PA ID]:[PA ID]],$B81,CostTrack[[Vendor - Contract]:[Vendor - Contract]],$H81,CostTrack[[Holdback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81" s="504">
        <f ca="1">SUMIFS(CostTrack[[Value]:[Value]],CostTrack[[PA ID]:[PA ID]],$B81,CostTrack[[Vendor - Contract]:[Vendor - Contract]],$H81,CostTrack[[Holdback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81" s="512">
        <f t="shared" ref="CY81:CY83" ca="1" si="105">SUM(CM81:CX81)</f>
        <v>0</v>
      </c>
      <c r="DA81" s="504">
        <f ca="1">SUMIFS(CostTrack[[Value]:[Value]],CostTrack[[PA ID]:[PA ID]],$B81,CostTrack[[Vendor - Contract]:[Vendor - Contract]],$H81,CostTrack[[Holdback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81" s="504">
        <f ca="1">SUMIFS(CostTrack[[Value]:[Value]],CostTrack[[PA ID]:[PA ID]],$B81,CostTrack[[Vendor - Contract]:[Vendor - Contract]],$H81,CostTrack[[Holdback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81" s="504">
        <f ca="1">SUMIFS(CostTrack[[Value]:[Value]],CostTrack[[PA ID]:[PA ID]],$B81,CostTrack[[Vendor - Contract]:[Vendor - Contract]],$H81,CostTrack[[Holdback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81" s="504">
        <f ca="1">SUMIFS(CostTrack[[Value]:[Value]],CostTrack[[PA ID]:[PA ID]],$B81,CostTrack[[Vendor - Contract]:[Vendor - Contract]],$H81,CostTrack[[Holdback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81" s="504">
        <f ca="1">SUMIFS(CostTrack[[Value]:[Value]],CostTrack[[PA ID]:[PA ID]],$B81,CostTrack[[Vendor - Contract]:[Vendor - Contract]],$H81,CostTrack[[Holdback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81" s="504">
        <f ca="1">SUMIFS(CostTrack[[Value]:[Value]],CostTrack[[PA ID]:[PA ID]],$B81,CostTrack[[Vendor - Contract]:[Vendor - Contract]],$H81,CostTrack[[Holdback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81" s="504">
        <f ca="1">SUMIFS(CostTrack[[Value]:[Value]],CostTrack[[PA ID]:[PA ID]],$B81,CostTrack[[Vendor - Contract]:[Vendor - Contract]],$H81,CostTrack[[Holdback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81" s="504">
        <f ca="1">SUMIFS(CostTrack[[Value]:[Value]],CostTrack[[PA ID]:[PA ID]],$B81,CostTrack[[Vendor - Contract]:[Vendor - Contract]],$H81,CostTrack[[Holdback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81" s="504">
        <f ca="1">SUMIFS(CostTrack[[Value]:[Value]],CostTrack[[PA ID]:[PA ID]],$B81,CostTrack[[Vendor - Contract]:[Vendor - Contract]],$H81,CostTrack[[Holdback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81" s="504">
        <f ca="1">SUMIFS(CostTrack[[Value]:[Value]],CostTrack[[PA ID]:[PA ID]],$B81,CostTrack[[Vendor - Contract]:[Vendor - Contract]],$H81,CostTrack[[Holdback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81" s="504">
        <f ca="1">SUMIFS(CostTrack[[Value]:[Value]],CostTrack[[PA ID]:[PA ID]],$B81,CostTrack[[Vendor - Contract]:[Vendor - Contract]],$H81,CostTrack[[Holdback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81" s="504">
        <f ca="1">SUMIFS(CostTrack[[Value]:[Value]],CostTrack[[PA ID]:[PA ID]],$B81,CostTrack[[Vendor - Contract]:[Vendor - Contract]],$H81,CostTrack[[Holdback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81" s="512">
        <f t="shared" ref="DM81:DM83" ca="1" si="106">SUM(DA81:DL81)</f>
        <v>0</v>
      </c>
      <c r="DO81" s="504">
        <f ca="1">SUMIFS(CostTrack[[Value]:[Value]],CostTrack[[PA ID]:[PA ID]],$B81,CostTrack[[Vendor - Contract]:[Vendor - Contract]],$H81,CostTrack[[Holdback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81" s="504">
        <f ca="1">SUMIFS(CostTrack[[Value]:[Value]],CostTrack[[PA ID]:[PA ID]],$B81,CostTrack[[Vendor - Contract]:[Vendor - Contract]],$H81,CostTrack[[Holdback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26028.39</v>
      </c>
      <c r="DQ81" s="504">
        <f ca="1">SUMIFS(CostTrack[[Value]:[Value]],CostTrack[[PA ID]:[PA ID]],$B81,CostTrack[[Vendor - Contract]:[Vendor - Contract]],$H81,CostTrack[[Holdback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81" s="504">
        <f ca="1">SUMIFS(CostTrack[[Value]:[Value]],CostTrack[[PA ID]:[PA ID]],$B81,CostTrack[[Vendor - Contract]:[Vendor - Contract]],$H81,CostTrack[[Holdback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81" s="504">
        <f ca="1">SUMIFS(CostTrack[[Value]:[Value]],CostTrack[[PA ID]:[PA ID]],$B81,CostTrack[[Vendor - Contract]:[Vendor - Contract]],$H81,CostTrack[[Holdback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81" s="504">
        <f ca="1">SUMIFS(CostTrack[[Value]:[Value]],CostTrack[[PA ID]:[PA ID]],$B81,CostTrack[[Vendor - Contract]:[Vendor - Contract]],$H81,CostTrack[[Holdback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81" s="504">
        <f ca="1">SUMIFS(CostTrack[[Value]:[Value]],CostTrack[[PA ID]:[PA ID]],$B81,CostTrack[[Vendor - Contract]:[Vendor - Contract]],$H81,CostTrack[[Holdback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81" s="504">
        <f ca="1">SUMIFS(CostTrack[[Value]:[Value]],CostTrack[[PA ID]:[PA ID]],$B81,CostTrack[[Vendor - Contract]:[Vendor - Contract]],$H81,CostTrack[[Holdback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81" s="504">
        <f ca="1">SUMIFS(CostTrack[[Value]:[Value]],CostTrack[[PA ID]:[PA ID]],$B81,CostTrack[[Vendor - Contract]:[Vendor - Contract]],$H81,CostTrack[[Holdback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81" s="504">
        <f ca="1">SUMIFS(CostTrack[[Value]:[Value]],CostTrack[[PA ID]:[PA ID]],$B81,CostTrack[[Vendor - Contract]:[Vendor - Contract]],$H81,CostTrack[[Holdback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81" s="504">
        <f ca="1">SUMIFS(CostTrack[[Value]:[Value]],CostTrack[[PA ID]:[PA ID]],$B81,CostTrack[[Vendor - Contract]:[Vendor - Contract]],$H81,CostTrack[[Holdback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81" s="504">
        <f ca="1">SUMIFS(CostTrack[[Value]:[Value]],CostTrack[[PA ID]:[PA ID]],$B81,CostTrack[[Vendor - Contract]:[Vendor - Contract]],$H81,CostTrack[[Holdback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81" s="512">
        <f t="shared" ref="EA81:EA83" ca="1" si="107">SUM(DO81:DZ81)</f>
        <v>26028.39</v>
      </c>
      <c r="EC81" s="504">
        <f ca="1">SUMIFS(CostTrack[[Value]:[Value]],CostTrack[[PA ID]:[PA ID]],$B81,CostTrack[[Vendor - Contract]:[Vendor - Contract]],$H81,CostTrack[[Holdback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81" s="505"/>
      <c r="EE81" s="505"/>
      <c r="EF81" s="505"/>
      <c r="EG81" s="505"/>
      <c r="EH81" s="505"/>
      <c r="EI81" s="505"/>
      <c r="EJ81" s="505"/>
      <c r="EK81" s="505"/>
      <c r="EL81" s="505"/>
      <c r="EM81" s="505"/>
      <c r="EN81" s="505"/>
      <c r="EO81" s="512">
        <f t="shared" ref="EO81:EO83" ca="1" si="108">SUM(EC81:EN81)</f>
        <v>0</v>
      </c>
      <c r="EQ81" s="505"/>
      <c r="ER81" s="505"/>
      <c r="ES81" s="505"/>
      <c r="ET81" s="505"/>
      <c r="EU81" s="505"/>
      <c r="EV81" s="505"/>
      <c r="EW81" s="505"/>
      <c r="EX81" s="505"/>
      <c r="EY81" s="505"/>
      <c r="EZ81" s="505"/>
      <c r="FA81" s="505"/>
      <c r="FB81" s="505"/>
      <c r="FC81" s="512">
        <f t="shared" ref="FC81:FC83" si="109">SUM(EQ81:FB81)</f>
        <v>0</v>
      </c>
      <c r="FE81" s="505"/>
      <c r="FF81" s="505"/>
      <c r="FG81" s="505"/>
      <c r="FH81" s="505"/>
      <c r="FI81" s="505"/>
      <c r="FJ81" s="505"/>
      <c r="FK81" s="505"/>
      <c r="FL81" s="505"/>
      <c r="FM81" s="505"/>
      <c r="FN81" s="505"/>
      <c r="FO81" s="505"/>
      <c r="FP81" s="505"/>
      <c r="FQ81" s="512">
        <f t="shared" si="84"/>
        <v>0</v>
      </c>
      <c r="FS81" s="504">
        <f t="shared" ca="1" si="85"/>
        <v>26028.39</v>
      </c>
    </row>
    <row r="82" spans="1:175" ht="24" customHeight="1">
      <c r="A82" s="216">
        <v>75</v>
      </c>
      <c r="B82" s="219" t="str">
        <f ca="1">INDEX(EAC[PA ID],MATCH($A82,EAC[Row],0))</f>
        <v>100.050.F1</v>
      </c>
      <c r="C82" s="218" t="str">
        <f ca="1">INDEX(EAC[Primary Category],MATCH($A82,EAC[Row],0))</f>
        <v>Administration</v>
      </c>
      <c r="D82" s="218" t="str">
        <f ca="1">INDEX(EAC[Secondary Category],MATCH($A82,EAC[Row],0))</f>
        <v>Other Administration</v>
      </c>
      <c r="E82" s="109" t="str">
        <f ca="1">INDEX(EAC[Phase / Subproject],MATCH($A82,EAC[Row],0))</f>
        <v>--</v>
      </c>
      <c r="F82" s="109" t="str">
        <f ca="1">INDEX(EAC[Phase / Subproject 2],MATCH($A82,EAC[Row],0))</f>
        <v>--</v>
      </c>
      <c r="G82" s="109" t="str">
        <f ca="1">INDEX(EAC[Funding Source],MATCH($A82,EAC[Row],0))</f>
        <v>P-002360</v>
      </c>
      <c r="H82" s="146" t="str">
        <f ca="1">INDEX(EAC[Vendor / Org. with Contract ID],MATCH($A82,EAC[Row],0))</f>
        <v>Travel Expenses-Burk-Direct Pay</v>
      </c>
      <c r="I82" s="502">
        <f ca="1">INDEX(EAC[Estimate At Completion],MATCH($A82,EAC[Row],0))</f>
        <v>732.62</v>
      </c>
      <c r="J82" s="502">
        <f ca="1">SUMIFS(CostTrack[Value],CostTrack[Vendor - Contract],$H82,CostTrack[PA ID],$B82,CostTrack[Holdback (Y/N/R)],"&lt;&gt;Release",CostTrack[Status],"Approved")</f>
        <v>732.62</v>
      </c>
      <c r="K82" s="503">
        <f t="shared" ca="1" si="95"/>
        <v>0</v>
      </c>
      <c r="M82" s="504">
        <f t="shared" ref="M82:M88" ca="1" si="110">I82-FS82</f>
        <v>0</v>
      </c>
      <c r="O82" s="504">
        <f t="shared" ca="1" si="97"/>
        <v>732.61999999999989</v>
      </c>
      <c r="P82" s="504">
        <f t="array" aca="1" ref="P82" ca="1">SUM($U82:$FQ82*_xlfn.ISFORMULA($U82:$FQ82)*ISNUMBER($U$7:$FQ$7)*--(INDEX($U$6:$FQ$6,N(IF({1},COLUMN($U$6:$FQ$6)-COLUMN($T$6)))-MOD(N(IF({1},COLUMN($U$6:$FQ$6)-COLUMN($U$6))),14))="Current Fiscal"))</f>
        <v>0</v>
      </c>
      <c r="Q82" s="504">
        <f t="array" aca="1" ref="Q82" ca="1">SUM($U82:$FQ82*NOT(_xlfn.ISFORMULA($U82:$FQ82))*ISNUMBER($U$7:$FQ$7)*--(INDEX($U$6:$FQ$6,N(IF({1},COLUMN($U$6:$FQ$6)-COLUMN($T$6)))-MOD(N(IF({1},COLUMN($U$6:$FQ$6)-COLUMN($U$6))),14))="Current Fiscal"))</f>
        <v>0</v>
      </c>
      <c r="R82" s="504">
        <f t="shared" ca="1" si="98"/>
        <v>0</v>
      </c>
      <c r="S82" s="504">
        <f t="shared" ca="1" si="99"/>
        <v>0</v>
      </c>
      <c r="U82" s="504">
        <f ca="1">SUMIFS(CostTrack[[Value]:[Value]],CostTrack[[PA ID]:[PA ID]],$B82,CostTrack[[Vendor - Contract]:[Vendor - Contract]],$H82,CostTrack[[Holdback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82" s="504">
        <f ca="1">SUMIFS(CostTrack[[Value]:[Value]],CostTrack[[PA ID]:[PA ID]],$B82,CostTrack[[Vendor - Contract]:[Vendor - Contract]],$H82,CostTrack[[Holdback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82" s="504">
        <f ca="1">SUMIFS(CostTrack[[Value]:[Value]],CostTrack[[PA ID]:[PA ID]],$B82,CostTrack[[Vendor - Contract]:[Vendor - Contract]],$H82,CostTrack[[Holdback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82" s="504">
        <f ca="1">SUMIFS(CostTrack[[Value]:[Value]],CostTrack[[PA ID]:[PA ID]],$B82,CostTrack[[Vendor - Contract]:[Vendor - Contract]],$H82,CostTrack[[Holdback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82" s="504">
        <f ca="1">SUMIFS(CostTrack[[Value]:[Value]],CostTrack[[PA ID]:[PA ID]],$B82,CostTrack[[Vendor - Contract]:[Vendor - Contract]],$H82,CostTrack[[Holdback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82" s="504">
        <f ca="1">SUMIFS(CostTrack[[Value]:[Value]],CostTrack[[PA ID]:[PA ID]],$B82,CostTrack[[Vendor - Contract]:[Vendor - Contract]],$H82,CostTrack[[Holdback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82" s="504">
        <f ca="1">SUMIFS(CostTrack[[Value]:[Value]],CostTrack[[PA ID]:[PA ID]],$B82,CostTrack[[Vendor - Contract]:[Vendor - Contract]],$H82,CostTrack[[Holdback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82" s="504">
        <f ca="1">SUMIFS(CostTrack[[Value]:[Value]],CostTrack[[PA ID]:[PA ID]],$B82,CostTrack[[Vendor - Contract]:[Vendor - Contract]],$H82,CostTrack[[Holdback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82" s="504">
        <f ca="1">SUMIFS(CostTrack[[Value]:[Value]],CostTrack[[PA ID]:[PA ID]],$B82,CostTrack[[Vendor - Contract]:[Vendor - Contract]],$H82,CostTrack[[Holdback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82" s="504">
        <f ca="1">SUMIFS(CostTrack[[Value]:[Value]],CostTrack[[PA ID]:[PA ID]],$B82,CostTrack[[Vendor - Contract]:[Vendor - Contract]],$H82,CostTrack[[Holdback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82" s="504">
        <f ca="1">SUMIFS(CostTrack[[Value]:[Value]],CostTrack[[PA ID]:[PA ID]],$B82,CostTrack[[Vendor - Contract]:[Vendor - Contract]],$H82,CostTrack[[Holdback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82" s="504">
        <f ca="1">SUMIFS(CostTrack[[Value]:[Value]],CostTrack[[PA ID]:[PA ID]],$B82,CostTrack[[Vendor - Contract]:[Vendor - Contract]],$H82,CostTrack[[Holdback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82" s="506">
        <f t="shared" ref="AG82:AG83" ca="1" si="111">SUM(U82:AF82)</f>
        <v>0</v>
      </c>
      <c r="AI82" s="504">
        <f ca="1">SUMIFS(CostTrack[[Value]:[Value]],CostTrack[[PA ID]:[PA ID]],$B82,CostTrack[[Vendor - Contract]:[Vendor - Contract]],$H82,CostTrack[[Holdback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82" s="504">
        <f ca="1">SUMIFS(CostTrack[[Value]:[Value]],CostTrack[[PA ID]:[PA ID]],$B82,CostTrack[[Vendor - Contract]:[Vendor - Contract]],$H82,CostTrack[[Holdback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82" s="504">
        <f ca="1">SUMIFS(CostTrack[[Value]:[Value]],CostTrack[[PA ID]:[PA ID]],$B82,CostTrack[[Vendor - Contract]:[Vendor - Contract]],$H82,CostTrack[[Holdback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82" s="504">
        <f ca="1">SUMIFS(CostTrack[[Value]:[Value]],CostTrack[[PA ID]:[PA ID]],$B82,CostTrack[[Vendor - Contract]:[Vendor - Contract]],$H82,CostTrack[[Holdback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82" s="504">
        <f ca="1">SUMIFS(CostTrack[[Value]:[Value]],CostTrack[[PA ID]:[PA ID]],$B82,CostTrack[[Vendor - Contract]:[Vendor - Contract]],$H82,CostTrack[[Holdback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82" s="504">
        <f ca="1">SUMIFS(CostTrack[[Value]:[Value]],CostTrack[[PA ID]:[PA ID]],$B82,CostTrack[[Vendor - Contract]:[Vendor - Contract]],$H82,CostTrack[[Holdback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82" s="504">
        <f ca="1">SUMIFS(CostTrack[[Value]:[Value]],CostTrack[[PA ID]:[PA ID]],$B82,CostTrack[[Vendor - Contract]:[Vendor - Contract]],$H82,CostTrack[[Holdback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82" s="504">
        <f ca="1">SUMIFS(CostTrack[[Value]:[Value]],CostTrack[[PA ID]:[PA ID]],$B82,CostTrack[[Vendor - Contract]:[Vendor - Contract]],$H82,CostTrack[[Holdback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82" s="504">
        <f ca="1">SUMIFS(CostTrack[[Value]:[Value]],CostTrack[[PA ID]:[PA ID]],$B82,CostTrack[[Vendor - Contract]:[Vendor - Contract]],$H82,CostTrack[[Holdback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82" s="504">
        <f ca="1">SUMIFS(CostTrack[[Value]:[Value]],CostTrack[[PA ID]:[PA ID]],$B82,CostTrack[[Vendor - Contract]:[Vendor - Contract]],$H82,CostTrack[[Holdback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82" s="504">
        <f ca="1">SUMIFS(CostTrack[[Value]:[Value]],CostTrack[[PA ID]:[PA ID]],$B82,CostTrack[[Vendor - Contract]:[Vendor - Contract]],$H82,CostTrack[[Holdback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82" s="504">
        <f ca="1">SUMIFS(CostTrack[[Value]:[Value]],CostTrack[[PA ID]:[PA ID]],$B82,CostTrack[[Vendor - Contract]:[Vendor - Contract]],$H82,CostTrack[[Holdback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82" s="512">
        <f t="shared" ref="AU82:AU83" ca="1" si="112">SUM(AI82:AT82)</f>
        <v>0</v>
      </c>
      <c r="AW82" s="504">
        <f ca="1">SUMIFS(CostTrack[[Value]:[Value]],CostTrack[[PA ID]:[PA ID]],$B82,CostTrack[[Vendor - Contract]:[Vendor - Contract]],$H82,CostTrack[[Holdback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82" s="504">
        <f ca="1">SUMIFS(CostTrack[[Value]:[Value]],CostTrack[[PA ID]:[PA ID]],$B82,CostTrack[[Vendor - Contract]:[Vendor - Contract]],$H82,CostTrack[[Holdback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82" s="504">
        <f ca="1">SUMIFS(CostTrack[[Value]:[Value]],CostTrack[[PA ID]:[PA ID]],$B82,CostTrack[[Vendor - Contract]:[Vendor - Contract]],$H82,CostTrack[[Holdback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82" s="504">
        <f ca="1">SUMIFS(CostTrack[[Value]:[Value]],CostTrack[[PA ID]:[PA ID]],$B82,CostTrack[[Vendor - Contract]:[Vendor - Contract]],$H82,CostTrack[[Holdback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82" s="504">
        <f ca="1">SUMIFS(CostTrack[[Value]:[Value]],CostTrack[[PA ID]:[PA ID]],$B82,CostTrack[[Vendor - Contract]:[Vendor - Contract]],$H82,CostTrack[[Holdback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82" s="504">
        <f ca="1">SUMIFS(CostTrack[[Value]:[Value]],CostTrack[[PA ID]:[PA ID]],$B82,CostTrack[[Vendor - Contract]:[Vendor - Contract]],$H82,CostTrack[[Holdback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82" s="504">
        <f ca="1">SUMIFS(CostTrack[[Value]:[Value]],CostTrack[[PA ID]:[PA ID]],$B82,CostTrack[[Vendor - Contract]:[Vendor - Contract]],$H82,CostTrack[[Holdback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82" s="504">
        <f ca="1">SUMIFS(CostTrack[[Value]:[Value]],CostTrack[[PA ID]:[PA ID]],$B82,CostTrack[[Vendor - Contract]:[Vendor - Contract]],$H82,CostTrack[[Holdback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82" s="504">
        <f ca="1">SUMIFS(CostTrack[[Value]:[Value]],CostTrack[[PA ID]:[PA ID]],$B82,CostTrack[[Vendor - Contract]:[Vendor - Contract]],$H82,CostTrack[[Holdback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82" s="504">
        <f ca="1">SUMIFS(CostTrack[[Value]:[Value]],CostTrack[[PA ID]:[PA ID]],$B82,CostTrack[[Vendor - Contract]:[Vendor - Contract]],$H82,CostTrack[[Holdback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82" s="504">
        <f ca="1">SUMIFS(CostTrack[[Value]:[Value]],CostTrack[[PA ID]:[PA ID]],$B82,CostTrack[[Vendor - Contract]:[Vendor - Contract]],$H82,CostTrack[[Holdback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82" s="504">
        <f ca="1">SUMIFS(CostTrack[[Value]:[Value]],CostTrack[[PA ID]:[PA ID]],$B82,CostTrack[[Vendor - Contract]:[Vendor - Contract]],$H82,CostTrack[[Holdback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82" s="512">
        <f t="shared" ref="BI82:BI83" ca="1" si="113">SUM(AW82:BH82)</f>
        <v>0</v>
      </c>
      <c r="BK82" s="504">
        <f ca="1">SUMIFS(CostTrack[[Value]:[Value]],CostTrack[[PA ID]:[PA ID]],$B82,CostTrack[[Vendor - Contract]:[Vendor - Contract]],$H82,CostTrack[[Holdback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82" s="504">
        <f ca="1">SUMIFS(CostTrack[[Value]:[Value]],CostTrack[[PA ID]:[PA ID]],$B82,CostTrack[[Vendor - Contract]:[Vendor - Contract]],$H82,CostTrack[[Holdback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82" s="504">
        <f ca="1">SUMIFS(CostTrack[[Value]:[Value]],CostTrack[[PA ID]:[PA ID]],$B82,CostTrack[[Vendor - Contract]:[Vendor - Contract]],$H82,CostTrack[[Holdback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82" s="504">
        <f ca="1">SUMIFS(CostTrack[[Value]:[Value]],CostTrack[[PA ID]:[PA ID]],$B82,CostTrack[[Vendor - Contract]:[Vendor - Contract]],$H82,CostTrack[[Holdback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82" s="504">
        <f ca="1">SUMIFS(CostTrack[[Value]:[Value]],CostTrack[[PA ID]:[PA ID]],$B82,CostTrack[[Vendor - Contract]:[Vendor - Contract]],$H82,CostTrack[[Holdback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82" s="504">
        <f ca="1">SUMIFS(CostTrack[[Value]:[Value]],CostTrack[[PA ID]:[PA ID]],$B82,CostTrack[[Vendor - Contract]:[Vendor - Contract]],$H82,CostTrack[[Holdback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82" s="504">
        <f ca="1">SUMIFS(CostTrack[[Value]:[Value]],CostTrack[[PA ID]:[PA ID]],$B82,CostTrack[[Vendor - Contract]:[Vendor - Contract]],$H82,CostTrack[[Holdback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82" s="504">
        <f ca="1">SUMIFS(CostTrack[[Value]:[Value]],CostTrack[[PA ID]:[PA ID]],$B82,CostTrack[[Vendor - Contract]:[Vendor - Contract]],$H82,CostTrack[[Holdback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82" s="504">
        <f ca="1">SUMIFS(CostTrack[[Value]:[Value]],CostTrack[[PA ID]:[PA ID]],$B82,CostTrack[[Vendor - Contract]:[Vendor - Contract]],$H82,CostTrack[[Holdback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82" s="504">
        <f ca="1">SUMIFS(CostTrack[[Value]:[Value]],CostTrack[[PA ID]:[PA ID]],$B82,CostTrack[[Vendor - Contract]:[Vendor - Contract]],$H82,CostTrack[[Holdback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82" s="504">
        <f ca="1">SUMIFS(CostTrack[[Value]:[Value]],CostTrack[[PA ID]:[PA ID]],$B82,CostTrack[[Vendor - Contract]:[Vendor - Contract]],$H82,CostTrack[[Holdback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82" s="504">
        <f ca="1">SUMIFS(CostTrack[[Value]:[Value]],CostTrack[[PA ID]:[PA ID]],$B82,CostTrack[[Vendor - Contract]:[Vendor - Contract]],$H82,CostTrack[[Holdback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82" s="512">
        <f t="shared" ref="BW82:BW83" ca="1" si="114">SUM(BK82:BV82)</f>
        <v>0</v>
      </c>
      <c r="BY82" s="504">
        <f ca="1">SUMIFS(CostTrack[[Value]:[Value]],CostTrack[[PA ID]:[PA ID]],$B82,CostTrack[[Vendor - Contract]:[Vendor - Contract]],$H82,CostTrack[[Holdback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82" s="504">
        <f ca="1">SUMIFS(CostTrack[[Value]:[Value]],CostTrack[[PA ID]:[PA ID]],$B82,CostTrack[[Vendor - Contract]:[Vendor - Contract]],$H82,CostTrack[[Holdback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82" s="504">
        <f ca="1">SUMIFS(CostTrack[[Value]:[Value]],CostTrack[[PA ID]:[PA ID]],$B82,CostTrack[[Vendor - Contract]:[Vendor - Contract]],$H82,CostTrack[[Holdback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82" s="504">
        <f ca="1">SUMIFS(CostTrack[[Value]:[Value]],CostTrack[[PA ID]:[PA ID]],$B82,CostTrack[[Vendor - Contract]:[Vendor - Contract]],$H82,CostTrack[[Holdback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82" s="504">
        <f ca="1">SUMIFS(CostTrack[[Value]:[Value]],CostTrack[[PA ID]:[PA ID]],$B82,CostTrack[[Vendor - Contract]:[Vendor - Contract]],$H82,CostTrack[[Holdback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82" s="504">
        <f ca="1">SUMIFS(CostTrack[[Value]:[Value]],CostTrack[[PA ID]:[PA ID]],$B82,CostTrack[[Vendor - Contract]:[Vendor - Contract]],$H82,CostTrack[[Holdback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82" s="504">
        <f ca="1">SUMIFS(CostTrack[[Value]:[Value]],CostTrack[[PA ID]:[PA ID]],$B82,CostTrack[[Vendor - Contract]:[Vendor - Contract]],$H82,CostTrack[[Holdback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82" s="504">
        <f ca="1">SUMIFS(CostTrack[[Value]:[Value]],CostTrack[[PA ID]:[PA ID]],$B82,CostTrack[[Vendor - Contract]:[Vendor - Contract]],$H82,CostTrack[[Holdback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82" s="504">
        <f ca="1">SUMIFS(CostTrack[[Value]:[Value]],CostTrack[[PA ID]:[PA ID]],$B82,CostTrack[[Vendor - Contract]:[Vendor - Contract]],$H82,CostTrack[[Holdback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82" s="504">
        <f ca="1">SUMIFS(CostTrack[[Value]:[Value]],CostTrack[[PA ID]:[PA ID]],$B82,CostTrack[[Vendor - Contract]:[Vendor - Contract]],$H82,CostTrack[[Holdback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82" s="504">
        <f ca="1">SUMIFS(CostTrack[[Value]:[Value]],CostTrack[[PA ID]:[PA ID]],$B82,CostTrack[[Vendor - Contract]:[Vendor - Contract]],$H82,CostTrack[[Holdback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82" s="504">
        <f ca="1">SUMIFS(CostTrack[[Value]:[Value]],CostTrack[[PA ID]:[PA ID]],$B82,CostTrack[[Vendor - Contract]:[Vendor - Contract]],$H82,CostTrack[[Holdback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82" s="512">
        <f t="shared" ref="CK82:CK83" ca="1" si="115">SUM(BY82:CJ82)</f>
        <v>0</v>
      </c>
      <c r="CM82" s="504">
        <f ca="1">SUMIFS(CostTrack[[Value]:[Value]],CostTrack[[PA ID]:[PA ID]],$B82,CostTrack[[Vendor - Contract]:[Vendor - Contract]],$H82,CostTrack[[Holdback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82" s="504">
        <f ca="1">SUMIFS(CostTrack[[Value]:[Value]],CostTrack[[PA ID]:[PA ID]],$B82,CostTrack[[Vendor - Contract]:[Vendor - Contract]],$H82,CostTrack[[Holdback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82" s="504">
        <f ca="1">SUMIFS(CostTrack[[Value]:[Value]],CostTrack[[PA ID]:[PA ID]],$B82,CostTrack[[Vendor - Contract]:[Vendor - Contract]],$H82,CostTrack[[Holdback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82" s="504">
        <f ca="1">SUMIFS(CostTrack[[Value]:[Value]],CostTrack[[PA ID]:[PA ID]],$B82,CostTrack[[Vendor - Contract]:[Vendor - Contract]],$H82,CostTrack[[Holdback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82" s="504">
        <f ca="1">SUMIFS(CostTrack[[Value]:[Value]],CostTrack[[PA ID]:[PA ID]],$B82,CostTrack[[Vendor - Contract]:[Vendor - Contract]],$H82,CostTrack[[Holdback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82" s="504">
        <f ca="1">SUMIFS(CostTrack[[Value]:[Value]],CostTrack[[PA ID]:[PA ID]],$B82,CostTrack[[Vendor - Contract]:[Vendor - Contract]],$H82,CostTrack[[Holdback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82" s="504">
        <f ca="1">SUMIFS(CostTrack[[Value]:[Value]],CostTrack[[PA ID]:[PA ID]],$B82,CostTrack[[Vendor - Contract]:[Vendor - Contract]],$H82,CostTrack[[Holdback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82" s="504">
        <f ca="1">SUMIFS(CostTrack[[Value]:[Value]],CostTrack[[PA ID]:[PA ID]],$B82,CostTrack[[Vendor - Contract]:[Vendor - Contract]],$H82,CostTrack[[Holdback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82" s="504">
        <f ca="1">SUMIFS(CostTrack[[Value]:[Value]],CostTrack[[PA ID]:[PA ID]],$B82,CostTrack[[Vendor - Contract]:[Vendor - Contract]],$H82,CostTrack[[Holdback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82" s="504">
        <f ca="1">SUMIFS(CostTrack[[Value]:[Value]],CostTrack[[PA ID]:[PA ID]],$B82,CostTrack[[Vendor - Contract]:[Vendor - Contract]],$H82,CostTrack[[Holdback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82" s="504">
        <f ca="1">SUMIFS(CostTrack[[Value]:[Value]],CostTrack[[PA ID]:[PA ID]],$B82,CostTrack[[Vendor - Contract]:[Vendor - Contract]],$H82,CostTrack[[Holdback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415.76</v>
      </c>
      <c r="CX82" s="504">
        <f ca="1">SUMIFS(CostTrack[[Value]:[Value]],CostTrack[[PA ID]:[PA ID]],$B82,CostTrack[[Vendor - Contract]:[Vendor - Contract]],$H82,CostTrack[[Holdback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138.57</v>
      </c>
      <c r="CY82" s="512">
        <f t="shared" ca="1" si="105"/>
        <v>554.32999999999993</v>
      </c>
      <c r="DA82" s="504">
        <f ca="1">SUMIFS(CostTrack[[Value]:[Value]],CostTrack[[PA ID]:[PA ID]],$B82,CostTrack[[Vendor - Contract]:[Vendor - Contract]],$H82,CostTrack[[Holdback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82" s="504">
        <f ca="1">SUMIFS(CostTrack[[Value]:[Value]],CostTrack[[PA ID]:[PA ID]],$B82,CostTrack[[Vendor - Contract]:[Vendor - Contract]],$H82,CostTrack[[Holdback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82" s="504">
        <f ca="1">SUMIFS(CostTrack[[Value]:[Value]],CostTrack[[PA ID]:[PA ID]],$B82,CostTrack[[Vendor - Contract]:[Vendor - Contract]],$H82,CostTrack[[Holdback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82" s="504">
        <f ca="1">SUMIFS(CostTrack[[Value]:[Value]],CostTrack[[PA ID]:[PA ID]],$B82,CostTrack[[Vendor - Contract]:[Vendor - Contract]],$H82,CostTrack[[Holdback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82" s="504">
        <f ca="1">SUMIFS(CostTrack[[Value]:[Value]],CostTrack[[PA ID]:[PA ID]],$B82,CostTrack[[Vendor - Contract]:[Vendor - Contract]],$H82,CostTrack[[Holdback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138.66999999999999</v>
      </c>
      <c r="DF82" s="504">
        <f ca="1">SUMIFS(CostTrack[[Value]:[Value]],CostTrack[[PA ID]:[PA ID]],$B82,CostTrack[[Vendor - Contract]:[Vendor - Contract]],$H82,CostTrack[[Holdback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39.619999999999997</v>
      </c>
      <c r="DG82" s="504">
        <f ca="1">SUMIFS(CostTrack[[Value]:[Value]],CostTrack[[PA ID]:[PA ID]],$B82,CostTrack[[Vendor - Contract]:[Vendor - Contract]],$H82,CostTrack[[Holdback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82" s="504">
        <f ca="1">SUMIFS(CostTrack[[Value]:[Value]],CostTrack[[PA ID]:[PA ID]],$B82,CostTrack[[Vendor - Contract]:[Vendor - Contract]],$H82,CostTrack[[Holdback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82" s="504">
        <f ca="1">SUMIFS(CostTrack[[Value]:[Value]],CostTrack[[PA ID]:[PA ID]],$B82,CostTrack[[Vendor - Contract]:[Vendor - Contract]],$H82,CostTrack[[Holdback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82" s="504">
        <f ca="1">SUMIFS(CostTrack[[Value]:[Value]],CostTrack[[PA ID]:[PA ID]],$B82,CostTrack[[Vendor - Contract]:[Vendor - Contract]],$H82,CostTrack[[Holdback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82" s="504">
        <f ca="1">SUMIFS(CostTrack[[Value]:[Value]],CostTrack[[PA ID]:[PA ID]],$B82,CostTrack[[Vendor - Contract]:[Vendor - Contract]],$H82,CostTrack[[Holdback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82" s="504">
        <f ca="1">SUMIFS(CostTrack[[Value]:[Value]],CostTrack[[PA ID]:[PA ID]],$B82,CostTrack[[Vendor - Contract]:[Vendor - Contract]],$H82,CostTrack[[Holdback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82" s="512">
        <f t="shared" ca="1" si="106"/>
        <v>178.29</v>
      </c>
      <c r="DO82" s="504">
        <f ca="1">SUMIFS(CostTrack[[Value]:[Value]],CostTrack[[PA ID]:[PA ID]],$B82,CostTrack[[Vendor - Contract]:[Vendor - Contract]],$H82,CostTrack[[Holdback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82" s="504">
        <f ca="1">SUMIFS(CostTrack[[Value]:[Value]],CostTrack[[PA ID]:[PA ID]],$B82,CostTrack[[Vendor - Contract]:[Vendor - Contract]],$H82,CostTrack[[Holdback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82" s="504">
        <f ca="1">SUMIFS(CostTrack[[Value]:[Value]],CostTrack[[PA ID]:[PA ID]],$B82,CostTrack[[Vendor - Contract]:[Vendor - Contract]],$H82,CostTrack[[Holdback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82" s="504">
        <f ca="1">SUMIFS(CostTrack[[Value]:[Value]],CostTrack[[PA ID]:[PA ID]],$B82,CostTrack[[Vendor - Contract]:[Vendor - Contract]],$H82,CostTrack[[Holdback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82" s="504">
        <f ca="1">SUMIFS(CostTrack[[Value]:[Value]],CostTrack[[PA ID]:[PA ID]],$B82,CostTrack[[Vendor - Contract]:[Vendor - Contract]],$H82,CostTrack[[Holdback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82" s="504">
        <f ca="1">SUMIFS(CostTrack[[Value]:[Value]],CostTrack[[PA ID]:[PA ID]],$B82,CostTrack[[Vendor - Contract]:[Vendor - Contract]],$H82,CostTrack[[Holdback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82" s="504">
        <f ca="1">SUMIFS(CostTrack[[Value]:[Value]],CostTrack[[PA ID]:[PA ID]],$B82,CostTrack[[Vendor - Contract]:[Vendor - Contract]],$H82,CostTrack[[Holdback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82" s="504">
        <f ca="1">SUMIFS(CostTrack[[Value]:[Value]],CostTrack[[PA ID]:[PA ID]],$B82,CostTrack[[Vendor - Contract]:[Vendor - Contract]],$H82,CostTrack[[Holdback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82" s="504">
        <f ca="1">SUMIFS(CostTrack[[Value]:[Value]],CostTrack[[PA ID]:[PA ID]],$B82,CostTrack[[Vendor - Contract]:[Vendor - Contract]],$H82,CostTrack[[Holdback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82" s="504">
        <f ca="1">SUMIFS(CostTrack[[Value]:[Value]],CostTrack[[PA ID]:[PA ID]],$B82,CostTrack[[Vendor - Contract]:[Vendor - Contract]],$H82,CostTrack[[Holdback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82" s="504">
        <f ca="1">SUMIFS(CostTrack[[Value]:[Value]],CostTrack[[PA ID]:[PA ID]],$B82,CostTrack[[Vendor - Contract]:[Vendor - Contract]],$H82,CostTrack[[Holdback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82" s="504">
        <f ca="1">SUMIFS(CostTrack[[Value]:[Value]],CostTrack[[PA ID]:[PA ID]],$B82,CostTrack[[Vendor - Contract]:[Vendor - Contract]],$H82,CostTrack[[Holdback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82" s="512">
        <f t="shared" ca="1" si="107"/>
        <v>0</v>
      </c>
      <c r="EC82" s="504">
        <f ca="1">SUMIFS(CostTrack[[Value]:[Value]],CostTrack[[PA ID]:[PA ID]],$B82,CostTrack[[Vendor - Contract]:[Vendor - Contract]],$H82,CostTrack[[Holdback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82" s="505"/>
      <c r="EE82" s="505"/>
      <c r="EF82" s="505"/>
      <c r="EG82" s="505"/>
      <c r="EH82" s="505"/>
      <c r="EI82" s="505"/>
      <c r="EJ82" s="505"/>
      <c r="EK82" s="505"/>
      <c r="EL82" s="505"/>
      <c r="EM82" s="505"/>
      <c r="EN82" s="505"/>
      <c r="EO82" s="512">
        <f t="shared" ca="1" si="108"/>
        <v>0</v>
      </c>
      <c r="EQ82" s="505"/>
      <c r="ER82" s="505"/>
      <c r="ES82" s="505"/>
      <c r="ET82" s="505"/>
      <c r="EU82" s="505"/>
      <c r="EV82" s="505"/>
      <c r="EW82" s="505"/>
      <c r="EX82" s="505"/>
      <c r="EY82" s="505"/>
      <c r="EZ82" s="505"/>
      <c r="FA82" s="505"/>
      <c r="FB82" s="505"/>
      <c r="FC82" s="512">
        <f t="shared" si="109"/>
        <v>0</v>
      </c>
      <c r="FE82" s="505"/>
      <c r="FF82" s="505"/>
      <c r="FG82" s="505"/>
      <c r="FH82" s="505"/>
      <c r="FI82" s="505"/>
      <c r="FJ82" s="505"/>
      <c r="FK82" s="505"/>
      <c r="FL82" s="505"/>
      <c r="FM82" s="505"/>
      <c r="FN82" s="505"/>
      <c r="FO82" s="505"/>
      <c r="FP82" s="505"/>
      <c r="FQ82" s="512">
        <f t="shared" si="84"/>
        <v>0</v>
      </c>
      <c r="FS82" s="504">
        <f t="shared" ca="1" si="85"/>
        <v>732.61999999999989</v>
      </c>
    </row>
    <row r="83" spans="1:175">
      <c r="A83" s="216">
        <v>76</v>
      </c>
      <c r="B83" s="219" t="str">
        <f ca="1">INDEX(EAC[PA ID],MATCH($A83,EAC[Row],0))</f>
        <v>400.020.F1</v>
      </c>
      <c r="C83" s="218" t="str">
        <f ca="1">INDEX(EAC[Primary Category],MATCH($A83,EAC[Row],0))</f>
        <v>FE_IT</v>
      </c>
      <c r="D83" s="218" t="str">
        <f ca="1">INDEX(EAC[Secondary Category],MATCH($A83,EAC[Row],0))</f>
        <v>Information Technology</v>
      </c>
      <c r="E83" s="109" t="str">
        <f ca="1">INDEX(EAC[Phase / Subproject],MATCH($A83,EAC[Row],0))</f>
        <v>--</v>
      </c>
      <c r="F83" s="109" t="str">
        <f ca="1">INDEX(EAC[Phase / Subproject 2],MATCH($A83,EAC[Row],0))</f>
        <v>--</v>
      </c>
      <c r="G83" s="109" t="str">
        <f ca="1">INDEX(EAC[Funding Source],MATCH($A83,EAC[Row],0))</f>
        <v>P-002360</v>
      </c>
      <c r="H83" s="146" t="str">
        <f ca="1">INDEX(EAC[Vendor / Org. with Contract ID],MATCH($A83,EAC[Row],0))</f>
        <v>Compugen-Network AV-9000032855</v>
      </c>
      <c r="I83" s="502">
        <f ca="1">INDEX(EAC[Estimate At Completion],MATCH($A83,EAC[Row],0))</f>
        <v>4395.3599999999997</v>
      </c>
      <c r="J83" s="502">
        <f ca="1">SUMIFS(CostTrack[Value],CostTrack[Vendor - Contract],$H83,CostTrack[PA ID],$B83,CostTrack[Holdback (Y/N/R)],"&lt;&gt;Release",CostTrack[Status],"Approved")</f>
        <v>4395.3599999999997</v>
      </c>
      <c r="K83" s="503">
        <f t="shared" ca="1" si="95"/>
        <v>0</v>
      </c>
      <c r="M83" s="504">
        <f t="shared" ca="1" si="110"/>
        <v>0</v>
      </c>
      <c r="O83" s="504">
        <f t="shared" ca="1" si="97"/>
        <v>4395.3599999999997</v>
      </c>
      <c r="P83" s="504">
        <f t="array" aca="1" ref="P83" ca="1">SUM($U83:$FQ83*_xlfn.ISFORMULA($U83:$FQ83)*ISNUMBER($U$7:$FQ$7)*--(INDEX($U$6:$FQ$6,N(IF({1},COLUMN($U$6:$FQ$6)-COLUMN($T$6)))-MOD(N(IF({1},COLUMN($U$6:$FQ$6)-COLUMN($U$6))),14))="Current Fiscal"))</f>
        <v>0</v>
      </c>
      <c r="Q83" s="504">
        <f t="array" aca="1" ref="Q83" ca="1">SUM($U83:$FQ83*NOT(_xlfn.ISFORMULA($U83:$FQ83))*ISNUMBER($U$7:$FQ$7)*--(INDEX($U$6:$FQ$6,N(IF({1},COLUMN($U$6:$FQ$6)-COLUMN($T$6)))-MOD(N(IF({1},COLUMN($U$6:$FQ$6)-COLUMN($U$6))),14))="Current Fiscal"))</f>
        <v>0</v>
      </c>
      <c r="R83" s="504">
        <f t="shared" ca="1" si="98"/>
        <v>0</v>
      </c>
      <c r="S83" s="504">
        <f t="shared" ca="1" si="99"/>
        <v>0</v>
      </c>
      <c r="U83" s="504">
        <f ca="1">SUMIFS(CostTrack[[Value]:[Value]],CostTrack[[PA ID]:[PA ID]],$B83,CostTrack[[Vendor - Contract]:[Vendor - Contract]],$H83,CostTrack[[Holdback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83" s="504">
        <f ca="1">SUMIFS(CostTrack[[Value]:[Value]],CostTrack[[PA ID]:[PA ID]],$B83,CostTrack[[Vendor - Contract]:[Vendor - Contract]],$H83,CostTrack[[Holdback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83" s="504">
        <f ca="1">SUMIFS(CostTrack[[Value]:[Value]],CostTrack[[PA ID]:[PA ID]],$B83,CostTrack[[Vendor - Contract]:[Vendor - Contract]],$H83,CostTrack[[Holdback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83" s="504">
        <f ca="1">SUMIFS(CostTrack[[Value]:[Value]],CostTrack[[PA ID]:[PA ID]],$B83,CostTrack[[Vendor - Contract]:[Vendor - Contract]],$H83,CostTrack[[Holdback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83" s="504">
        <f ca="1">SUMIFS(CostTrack[[Value]:[Value]],CostTrack[[PA ID]:[PA ID]],$B83,CostTrack[[Vendor - Contract]:[Vendor - Contract]],$H83,CostTrack[[Holdback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83" s="504">
        <f ca="1">SUMIFS(CostTrack[[Value]:[Value]],CostTrack[[PA ID]:[PA ID]],$B83,CostTrack[[Vendor - Contract]:[Vendor - Contract]],$H83,CostTrack[[Holdback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83" s="504">
        <f ca="1">SUMIFS(CostTrack[[Value]:[Value]],CostTrack[[PA ID]:[PA ID]],$B83,CostTrack[[Vendor - Contract]:[Vendor - Contract]],$H83,CostTrack[[Holdback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83" s="504">
        <f ca="1">SUMIFS(CostTrack[[Value]:[Value]],CostTrack[[PA ID]:[PA ID]],$B83,CostTrack[[Vendor - Contract]:[Vendor - Contract]],$H83,CostTrack[[Holdback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83" s="504">
        <f ca="1">SUMIFS(CostTrack[[Value]:[Value]],CostTrack[[PA ID]:[PA ID]],$B83,CostTrack[[Vendor - Contract]:[Vendor - Contract]],$H83,CostTrack[[Holdback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83" s="504">
        <f ca="1">SUMIFS(CostTrack[[Value]:[Value]],CostTrack[[PA ID]:[PA ID]],$B83,CostTrack[[Vendor - Contract]:[Vendor - Contract]],$H83,CostTrack[[Holdback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83" s="504">
        <f ca="1">SUMIFS(CostTrack[[Value]:[Value]],CostTrack[[PA ID]:[PA ID]],$B83,CostTrack[[Vendor - Contract]:[Vendor - Contract]],$H83,CostTrack[[Holdback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83" s="504">
        <f ca="1">SUMIFS(CostTrack[[Value]:[Value]],CostTrack[[PA ID]:[PA ID]],$B83,CostTrack[[Vendor - Contract]:[Vendor - Contract]],$H83,CostTrack[[Holdback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83" s="506">
        <f t="shared" ca="1" si="111"/>
        <v>0</v>
      </c>
      <c r="AI83" s="504">
        <f ca="1">SUMIFS(CostTrack[[Value]:[Value]],CostTrack[[PA ID]:[PA ID]],$B83,CostTrack[[Vendor - Contract]:[Vendor - Contract]],$H83,CostTrack[[Holdback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83" s="504">
        <f ca="1">SUMIFS(CostTrack[[Value]:[Value]],CostTrack[[PA ID]:[PA ID]],$B83,CostTrack[[Vendor - Contract]:[Vendor - Contract]],$H83,CostTrack[[Holdback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83" s="504">
        <f ca="1">SUMIFS(CostTrack[[Value]:[Value]],CostTrack[[PA ID]:[PA ID]],$B83,CostTrack[[Vendor - Contract]:[Vendor - Contract]],$H83,CostTrack[[Holdback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83" s="504">
        <f ca="1">SUMIFS(CostTrack[[Value]:[Value]],CostTrack[[PA ID]:[PA ID]],$B83,CostTrack[[Vendor - Contract]:[Vendor - Contract]],$H83,CostTrack[[Holdback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83" s="504">
        <f ca="1">SUMIFS(CostTrack[[Value]:[Value]],CostTrack[[PA ID]:[PA ID]],$B83,CostTrack[[Vendor - Contract]:[Vendor - Contract]],$H83,CostTrack[[Holdback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83" s="504">
        <f ca="1">SUMIFS(CostTrack[[Value]:[Value]],CostTrack[[PA ID]:[PA ID]],$B83,CostTrack[[Vendor - Contract]:[Vendor - Contract]],$H83,CostTrack[[Holdback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83" s="504">
        <f ca="1">SUMIFS(CostTrack[[Value]:[Value]],CostTrack[[PA ID]:[PA ID]],$B83,CostTrack[[Vendor - Contract]:[Vendor - Contract]],$H83,CostTrack[[Holdback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83" s="504">
        <f ca="1">SUMIFS(CostTrack[[Value]:[Value]],CostTrack[[PA ID]:[PA ID]],$B83,CostTrack[[Vendor - Contract]:[Vendor - Contract]],$H83,CostTrack[[Holdback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83" s="504">
        <f ca="1">SUMIFS(CostTrack[[Value]:[Value]],CostTrack[[PA ID]:[PA ID]],$B83,CostTrack[[Vendor - Contract]:[Vendor - Contract]],$H83,CostTrack[[Holdback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83" s="504">
        <f ca="1">SUMIFS(CostTrack[[Value]:[Value]],CostTrack[[PA ID]:[PA ID]],$B83,CostTrack[[Vendor - Contract]:[Vendor - Contract]],$H83,CostTrack[[Holdback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83" s="504">
        <f ca="1">SUMIFS(CostTrack[[Value]:[Value]],CostTrack[[PA ID]:[PA ID]],$B83,CostTrack[[Vendor - Contract]:[Vendor - Contract]],$H83,CostTrack[[Holdback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83" s="504">
        <f ca="1">SUMIFS(CostTrack[[Value]:[Value]],CostTrack[[PA ID]:[PA ID]],$B83,CostTrack[[Vendor - Contract]:[Vendor - Contract]],$H83,CostTrack[[Holdback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83" s="512">
        <f t="shared" ca="1" si="112"/>
        <v>0</v>
      </c>
      <c r="AW83" s="504">
        <f ca="1">SUMIFS(CostTrack[[Value]:[Value]],CostTrack[[PA ID]:[PA ID]],$B83,CostTrack[[Vendor - Contract]:[Vendor - Contract]],$H83,CostTrack[[Holdback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83" s="504">
        <f ca="1">SUMIFS(CostTrack[[Value]:[Value]],CostTrack[[PA ID]:[PA ID]],$B83,CostTrack[[Vendor - Contract]:[Vendor - Contract]],$H83,CostTrack[[Holdback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83" s="504">
        <f ca="1">SUMIFS(CostTrack[[Value]:[Value]],CostTrack[[PA ID]:[PA ID]],$B83,CostTrack[[Vendor - Contract]:[Vendor - Contract]],$H83,CostTrack[[Holdback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83" s="504">
        <f ca="1">SUMIFS(CostTrack[[Value]:[Value]],CostTrack[[PA ID]:[PA ID]],$B83,CostTrack[[Vendor - Contract]:[Vendor - Contract]],$H83,CostTrack[[Holdback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83" s="504">
        <f ca="1">SUMIFS(CostTrack[[Value]:[Value]],CostTrack[[PA ID]:[PA ID]],$B83,CostTrack[[Vendor - Contract]:[Vendor - Contract]],$H83,CostTrack[[Holdback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83" s="504">
        <f ca="1">SUMIFS(CostTrack[[Value]:[Value]],CostTrack[[PA ID]:[PA ID]],$B83,CostTrack[[Vendor - Contract]:[Vendor - Contract]],$H83,CostTrack[[Holdback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83" s="504">
        <f ca="1">SUMIFS(CostTrack[[Value]:[Value]],CostTrack[[PA ID]:[PA ID]],$B83,CostTrack[[Vendor - Contract]:[Vendor - Contract]],$H83,CostTrack[[Holdback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83" s="504">
        <f ca="1">SUMIFS(CostTrack[[Value]:[Value]],CostTrack[[PA ID]:[PA ID]],$B83,CostTrack[[Vendor - Contract]:[Vendor - Contract]],$H83,CostTrack[[Holdback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83" s="504">
        <f ca="1">SUMIFS(CostTrack[[Value]:[Value]],CostTrack[[PA ID]:[PA ID]],$B83,CostTrack[[Vendor - Contract]:[Vendor - Contract]],$H83,CostTrack[[Holdback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83" s="504">
        <f ca="1">SUMIFS(CostTrack[[Value]:[Value]],CostTrack[[PA ID]:[PA ID]],$B83,CostTrack[[Vendor - Contract]:[Vendor - Contract]],$H83,CostTrack[[Holdback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83" s="504">
        <f ca="1">SUMIFS(CostTrack[[Value]:[Value]],CostTrack[[PA ID]:[PA ID]],$B83,CostTrack[[Vendor - Contract]:[Vendor - Contract]],$H83,CostTrack[[Holdback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83" s="504">
        <f ca="1">SUMIFS(CostTrack[[Value]:[Value]],CostTrack[[PA ID]:[PA ID]],$B83,CostTrack[[Vendor - Contract]:[Vendor - Contract]],$H83,CostTrack[[Holdback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83" s="512">
        <f t="shared" ca="1" si="113"/>
        <v>0</v>
      </c>
      <c r="BK83" s="504">
        <f ca="1">SUMIFS(CostTrack[[Value]:[Value]],CostTrack[[PA ID]:[PA ID]],$B83,CostTrack[[Vendor - Contract]:[Vendor - Contract]],$H83,CostTrack[[Holdback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83" s="504">
        <f ca="1">SUMIFS(CostTrack[[Value]:[Value]],CostTrack[[PA ID]:[PA ID]],$B83,CostTrack[[Vendor - Contract]:[Vendor - Contract]],$H83,CostTrack[[Holdback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83" s="504">
        <f ca="1">SUMIFS(CostTrack[[Value]:[Value]],CostTrack[[PA ID]:[PA ID]],$B83,CostTrack[[Vendor - Contract]:[Vendor - Contract]],$H83,CostTrack[[Holdback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83" s="504">
        <f ca="1">SUMIFS(CostTrack[[Value]:[Value]],CostTrack[[PA ID]:[PA ID]],$B83,CostTrack[[Vendor - Contract]:[Vendor - Contract]],$H83,CostTrack[[Holdback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83" s="504">
        <f ca="1">SUMIFS(CostTrack[[Value]:[Value]],CostTrack[[PA ID]:[PA ID]],$B83,CostTrack[[Vendor - Contract]:[Vendor - Contract]],$H83,CostTrack[[Holdback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83" s="504">
        <f ca="1">SUMIFS(CostTrack[[Value]:[Value]],CostTrack[[PA ID]:[PA ID]],$B83,CostTrack[[Vendor - Contract]:[Vendor - Contract]],$H83,CostTrack[[Holdback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83" s="504">
        <f ca="1">SUMIFS(CostTrack[[Value]:[Value]],CostTrack[[PA ID]:[PA ID]],$B83,CostTrack[[Vendor - Contract]:[Vendor - Contract]],$H83,CostTrack[[Holdback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83" s="504">
        <f ca="1">SUMIFS(CostTrack[[Value]:[Value]],CostTrack[[PA ID]:[PA ID]],$B83,CostTrack[[Vendor - Contract]:[Vendor - Contract]],$H83,CostTrack[[Holdback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83" s="504">
        <f ca="1">SUMIFS(CostTrack[[Value]:[Value]],CostTrack[[PA ID]:[PA ID]],$B83,CostTrack[[Vendor - Contract]:[Vendor - Contract]],$H83,CostTrack[[Holdback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83" s="504">
        <f ca="1">SUMIFS(CostTrack[[Value]:[Value]],CostTrack[[PA ID]:[PA ID]],$B83,CostTrack[[Vendor - Contract]:[Vendor - Contract]],$H83,CostTrack[[Holdback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83" s="504">
        <f ca="1">SUMIFS(CostTrack[[Value]:[Value]],CostTrack[[PA ID]:[PA ID]],$B83,CostTrack[[Vendor - Contract]:[Vendor - Contract]],$H83,CostTrack[[Holdback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83" s="504">
        <f ca="1">SUMIFS(CostTrack[[Value]:[Value]],CostTrack[[PA ID]:[PA ID]],$B83,CostTrack[[Vendor - Contract]:[Vendor - Contract]],$H83,CostTrack[[Holdback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83" s="512">
        <f t="shared" ca="1" si="114"/>
        <v>0</v>
      </c>
      <c r="BY83" s="504">
        <f ca="1">SUMIFS(CostTrack[[Value]:[Value]],CostTrack[[PA ID]:[PA ID]],$B83,CostTrack[[Vendor - Contract]:[Vendor - Contract]],$H83,CostTrack[[Holdback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83" s="504">
        <f ca="1">SUMIFS(CostTrack[[Value]:[Value]],CostTrack[[PA ID]:[PA ID]],$B83,CostTrack[[Vendor - Contract]:[Vendor - Contract]],$H83,CostTrack[[Holdback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83" s="504">
        <f ca="1">SUMIFS(CostTrack[[Value]:[Value]],CostTrack[[PA ID]:[PA ID]],$B83,CostTrack[[Vendor - Contract]:[Vendor - Contract]],$H83,CostTrack[[Holdback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83" s="504">
        <f ca="1">SUMIFS(CostTrack[[Value]:[Value]],CostTrack[[PA ID]:[PA ID]],$B83,CostTrack[[Vendor - Contract]:[Vendor - Contract]],$H83,CostTrack[[Holdback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83" s="504">
        <f ca="1">SUMIFS(CostTrack[[Value]:[Value]],CostTrack[[PA ID]:[PA ID]],$B83,CostTrack[[Vendor - Contract]:[Vendor - Contract]],$H83,CostTrack[[Holdback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83" s="504">
        <f ca="1">SUMIFS(CostTrack[[Value]:[Value]],CostTrack[[PA ID]:[PA ID]],$B83,CostTrack[[Vendor - Contract]:[Vendor - Contract]],$H83,CostTrack[[Holdback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83" s="504">
        <f ca="1">SUMIFS(CostTrack[[Value]:[Value]],CostTrack[[PA ID]:[PA ID]],$B83,CostTrack[[Vendor - Contract]:[Vendor - Contract]],$H83,CostTrack[[Holdback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83" s="504">
        <f ca="1">SUMIFS(CostTrack[[Value]:[Value]],CostTrack[[PA ID]:[PA ID]],$B83,CostTrack[[Vendor - Contract]:[Vendor - Contract]],$H83,CostTrack[[Holdback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83" s="504">
        <f ca="1">SUMIFS(CostTrack[[Value]:[Value]],CostTrack[[PA ID]:[PA ID]],$B83,CostTrack[[Vendor - Contract]:[Vendor - Contract]],$H83,CostTrack[[Holdback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83" s="504">
        <f ca="1">SUMIFS(CostTrack[[Value]:[Value]],CostTrack[[PA ID]:[PA ID]],$B83,CostTrack[[Vendor - Contract]:[Vendor - Contract]],$H83,CostTrack[[Holdback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83" s="504">
        <f ca="1">SUMIFS(CostTrack[[Value]:[Value]],CostTrack[[PA ID]:[PA ID]],$B83,CostTrack[[Vendor - Contract]:[Vendor - Contract]],$H83,CostTrack[[Holdback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83" s="504">
        <f ca="1">SUMIFS(CostTrack[[Value]:[Value]],CostTrack[[PA ID]:[PA ID]],$B83,CostTrack[[Vendor - Contract]:[Vendor - Contract]],$H83,CostTrack[[Holdback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83" s="512">
        <f t="shared" ca="1" si="115"/>
        <v>0</v>
      </c>
      <c r="CM83" s="504">
        <f ca="1">SUMIFS(CostTrack[[Value]:[Value]],CostTrack[[PA ID]:[PA ID]],$B83,CostTrack[[Vendor - Contract]:[Vendor - Contract]],$H83,CostTrack[[Holdback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83" s="504">
        <f ca="1">SUMIFS(CostTrack[[Value]:[Value]],CostTrack[[PA ID]:[PA ID]],$B83,CostTrack[[Vendor - Contract]:[Vendor - Contract]],$H83,CostTrack[[Holdback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83" s="504">
        <f ca="1">SUMIFS(CostTrack[[Value]:[Value]],CostTrack[[PA ID]:[PA ID]],$B83,CostTrack[[Vendor - Contract]:[Vendor - Contract]],$H83,CostTrack[[Holdback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83" s="504">
        <f ca="1">SUMIFS(CostTrack[[Value]:[Value]],CostTrack[[PA ID]:[PA ID]],$B83,CostTrack[[Vendor - Contract]:[Vendor - Contract]],$H83,CostTrack[[Holdback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83" s="504">
        <f ca="1">SUMIFS(CostTrack[[Value]:[Value]],CostTrack[[PA ID]:[PA ID]],$B83,CostTrack[[Vendor - Contract]:[Vendor - Contract]],$H83,CostTrack[[Holdback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83" s="504">
        <f ca="1">SUMIFS(CostTrack[[Value]:[Value]],CostTrack[[PA ID]:[PA ID]],$B83,CostTrack[[Vendor - Contract]:[Vendor - Contract]],$H83,CostTrack[[Holdback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83" s="504">
        <f ca="1">SUMIFS(CostTrack[[Value]:[Value]],CostTrack[[PA ID]:[PA ID]],$B83,CostTrack[[Vendor - Contract]:[Vendor - Contract]],$H83,CostTrack[[Holdback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4395.3599999999997</v>
      </c>
      <c r="CT83" s="504">
        <f ca="1">SUMIFS(CostTrack[[Value]:[Value]],CostTrack[[PA ID]:[PA ID]],$B83,CostTrack[[Vendor - Contract]:[Vendor - Contract]],$H83,CostTrack[[Holdback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83" s="504">
        <f ca="1">SUMIFS(CostTrack[[Value]:[Value]],CostTrack[[PA ID]:[PA ID]],$B83,CostTrack[[Vendor - Contract]:[Vendor - Contract]],$H83,CostTrack[[Holdback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83" s="504">
        <f ca="1">SUMIFS(CostTrack[[Value]:[Value]],CostTrack[[PA ID]:[PA ID]],$B83,CostTrack[[Vendor - Contract]:[Vendor - Contract]],$H83,CostTrack[[Holdback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83" s="504">
        <f ca="1">SUMIFS(CostTrack[[Value]:[Value]],CostTrack[[PA ID]:[PA ID]],$B83,CostTrack[[Vendor - Contract]:[Vendor - Contract]],$H83,CostTrack[[Holdback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83" s="504">
        <f ca="1">SUMIFS(CostTrack[[Value]:[Value]],CostTrack[[PA ID]:[PA ID]],$B83,CostTrack[[Vendor - Contract]:[Vendor - Contract]],$H83,CostTrack[[Holdback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83" s="512">
        <f t="shared" ca="1" si="105"/>
        <v>4395.3599999999997</v>
      </c>
      <c r="DA83" s="504">
        <f ca="1">SUMIFS(CostTrack[[Value]:[Value]],CostTrack[[PA ID]:[PA ID]],$B83,CostTrack[[Vendor - Contract]:[Vendor - Contract]],$H83,CostTrack[[Holdback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83" s="504">
        <f ca="1">SUMIFS(CostTrack[[Value]:[Value]],CostTrack[[PA ID]:[PA ID]],$B83,CostTrack[[Vendor - Contract]:[Vendor - Contract]],$H83,CostTrack[[Holdback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83" s="504">
        <f ca="1">SUMIFS(CostTrack[[Value]:[Value]],CostTrack[[PA ID]:[PA ID]],$B83,CostTrack[[Vendor - Contract]:[Vendor - Contract]],$H83,CostTrack[[Holdback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83" s="504">
        <f ca="1">SUMIFS(CostTrack[[Value]:[Value]],CostTrack[[PA ID]:[PA ID]],$B83,CostTrack[[Vendor - Contract]:[Vendor - Contract]],$H83,CostTrack[[Holdback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83" s="504">
        <f ca="1">SUMIFS(CostTrack[[Value]:[Value]],CostTrack[[PA ID]:[PA ID]],$B83,CostTrack[[Vendor - Contract]:[Vendor - Contract]],$H83,CostTrack[[Holdback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83" s="504">
        <f ca="1">SUMIFS(CostTrack[[Value]:[Value]],CostTrack[[PA ID]:[PA ID]],$B83,CostTrack[[Vendor - Contract]:[Vendor - Contract]],$H83,CostTrack[[Holdback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83" s="504">
        <f ca="1">SUMIFS(CostTrack[[Value]:[Value]],CostTrack[[PA ID]:[PA ID]],$B83,CostTrack[[Vendor - Contract]:[Vendor - Contract]],$H83,CostTrack[[Holdback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83" s="504">
        <f ca="1">SUMIFS(CostTrack[[Value]:[Value]],CostTrack[[PA ID]:[PA ID]],$B83,CostTrack[[Vendor - Contract]:[Vendor - Contract]],$H83,CostTrack[[Holdback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83" s="504">
        <f ca="1">SUMIFS(CostTrack[[Value]:[Value]],CostTrack[[PA ID]:[PA ID]],$B83,CostTrack[[Vendor - Contract]:[Vendor - Contract]],$H83,CostTrack[[Holdback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83" s="504">
        <f ca="1">SUMIFS(CostTrack[[Value]:[Value]],CostTrack[[PA ID]:[PA ID]],$B83,CostTrack[[Vendor - Contract]:[Vendor - Contract]],$H83,CostTrack[[Holdback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83" s="504">
        <f ca="1">SUMIFS(CostTrack[[Value]:[Value]],CostTrack[[PA ID]:[PA ID]],$B83,CostTrack[[Vendor - Contract]:[Vendor - Contract]],$H83,CostTrack[[Holdback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83" s="504">
        <f ca="1">SUMIFS(CostTrack[[Value]:[Value]],CostTrack[[PA ID]:[PA ID]],$B83,CostTrack[[Vendor - Contract]:[Vendor - Contract]],$H83,CostTrack[[Holdback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83" s="512">
        <f t="shared" ca="1" si="106"/>
        <v>0</v>
      </c>
      <c r="DO83" s="504">
        <f ca="1">SUMIFS(CostTrack[[Value]:[Value]],CostTrack[[PA ID]:[PA ID]],$B83,CostTrack[[Vendor - Contract]:[Vendor - Contract]],$H83,CostTrack[[Holdback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83" s="504">
        <f ca="1">SUMIFS(CostTrack[[Value]:[Value]],CostTrack[[PA ID]:[PA ID]],$B83,CostTrack[[Vendor - Contract]:[Vendor - Contract]],$H83,CostTrack[[Holdback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83" s="504">
        <f ca="1">SUMIFS(CostTrack[[Value]:[Value]],CostTrack[[PA ID]:[PA ID]],$B83,CostTrack[[Vendor - Contract]:[Vendor - Contract]],$H83,CostTrack[[Holdback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83" s="504">
        <f ca="1">SUMIFS(CostTrack[[Value]:[Value]],CostTrack[[PA ID]:[PA ID]],$B83,CostTrack[[Vendor - Contract]:[Vendor - Contract]],$H83,CostTrack[[Holdback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83" s="504">
        <f ca="1">SUMIFS(CostTrack[[Value]:[Value]],CostTrack[[PA ID]:[PA ID]],$B83,CostTrack[[Vendor - Contract]:[Vendor - Contract]],$H83,CostTrack[[Holdback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83" s="504">
        <f ca="1">SUMIFS(CostTrack[[Value]:[Value]],CostTrack[[PA ID]:[PA ID]],$B83,CostTrack[[Vendor - Contract]:[Vendor - Contract]],$H83,CostTrack[[Holdback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83" s="504">
        <f ca="1">SUMIFS(CostTrack[[Value]:[Value]],CostTrack[[PA ID]:[PA ID]],$B83,CostTrack[[Vendor - Contract]:[Vendor - Contract]],$H83,CostTrack[[Holdback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83" s="504">
        <f ca="1">SUMIFS(CostTrack[[Value]:[Value]],CostTrack[[PA ID]:[PA ID]],$B83,CostTrack[[Vendor - Contract]:[Vendor - Contract]],$H83,CostTrack[[Holdback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83" s="504">
        <f ca="1">SUMIFS(CostTrack[[Value]:[Value]],CostTrack[[PA ID]:[PA ID]],$B83,CostTrack[[Vendor - Contract]:[Vendor - Contract]],$H83,CostTrack[[Holdback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83" s="504">
        <f ca="1">SUMIFS(CostTrack[[Value]:[Value]],CostTrack[[PA ID]:[PA ID]],$B83,CostTrack[[Vendor - Contract]:[Vendor - Contract]],$H83,CostTrack[[Holdback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83" s="504">
        <f ca="1">SUMIFS(CostTrack[[Value]:[Value]],CostTrack[[PA ID]:[PA ID]],$B83,CostTrack[[Vendor - Contract]:[Vendor - Contract]],$H83,CostTrack[[Holdback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83" s="504">
        <f ca="1">SUMIFS(CostTrack[[Value]:[Value]],CostTrack[[PA ID]:[PA ID]],$B83,CostTrack[[Vendor - Contract]:[Vendor - Contract]],$H83,CostTrack[[Holdback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83" s="512">
        <f t="shared" ca="1" si="107"/>
        <v>0</v>
      </c>
      <c r="EC83" s="504">
        <f ca="1">SUMIFS(CostTrack[[Value]:[Value]],CostTrack[[PA ID]:[PA ID]],$B83,CostTrack[[Vendor - Contract]:[Vendor - Contract]],$H83,CostTrack[[Holdback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83" s="505"/>
      <c r="EE83" s="505"/>
      <c r="EF83" s="505"/>
      <c r="EG83" s="505"/>
      <c r="EH83" s="505"/>
      <c r="EI83" s="505"/>
      <c r="EJ83" s="505"/>
      <c r="EK83" s="505"/>
      <c r="EL83" s="505"/>
      <c r="EM83" s="505"/>
      <c r="EN83" s="505"/>
      <c r="EO83" s="512">
        <f t="shared" ca="1" si="108"/>
        <v>0</v>
      </c>
      <c r="EQ83" s="505"/>
      <c r="ER83" s="505"/>
      <c r="ES83" s="505"/>
      <c r="ET83" s="505"/>
      <c r="EU83" s="505"/>
      <c r="EV83" s="505"/>
      <c r="EW83" s="505"/>
      <c r="EX83" s="505"/>
      <c r="EY83" s="505"/>
      <c r="EZ83" s="505"/>
      <c r="FA83" s="505"/>
      <c r="FB83" s="505"/>
      <c r="FC83" s="512">
        <f t="shared" si="109"/>
        <v>0</v>
      </c>
      <c r="FE83" s="505"/>
      <c r="FF83" s="505"/>
      <c r="FG83" s="505"/>
      <c r="FH83" s="505"/>
      <c r="FI83" s="505"/>
      <c r="FJ83" s="505"/>
      <c r="FK83" s="505"/>
      <c r="FL83" s="505"/>
      <c r="FM83" s="505"/>
      <c r="FN83" s="505"/>
      <c r="FO83" s="505"/>
      <c r="FP83" s="505"/>
      <c r="FQ83" s="512">
        <f t="shared" si="84"/>
        <v>0</v>
      </c>
      <c r="FS83" s="504">
        <f t="shared" ca="1" si="85"/>
        <v>4395.3599999999997</v>
      </c>
    </row>
    <row r="84" spans="1:175">
      <c r="A84" s="216">
        <v>77</v>
      </c>
      <c r="B84" s="219" t="str">
        <f ca="1">INDEX(EAC[PA ID],MATCH($A84,EAC[Row],0))</f>
        <v>400.020.F1</v>
      </c>
      <c r="C84" s="218" t="str">
        <f ca="1">INDEX(EAC[Primary Category],MATCH($A84,EAC[Row],0))</f>
        <v>FE_IT</v>
      </c>
      <c r="D84" s="218" t="str">
        <f ca="1">INDEX(EAC[Secondary Category],MATCH($A84,EAC[Row],0))</f>
        <v>Information Technology</v>
      </c>
      <c r="E84" s="109" t="str">
        <f ca="1">INDEX(EAC[Phase / Subproject],MATCH($A84,EAC[Row],0))</f>
        <v>--</v>
      </c>
      <c r="F84" s="109" t="str">
        <f ca="1">INDEX(EAC[Phase / Subproject 2],MATCH($A84,EAC[Row],0))</f>
        <v>--</v>
      </c>
      <c r="G84" s="109" t="str">
        <f ca="1">INDEX(EAC[Funding Source],MATCH($A84,EAC[Row],0))</f>
        <v>P-002360</v>
      </c>
      <c r="H84" s="146" t="str">
        <f ca="1">INDEX(EAC[Vendor / Org. with Contract ID],MATCH($A84,EAC[Row],0))</f>
        <v>Schedue Reader-Direct Pay</v>
      </c>
      <c r="I84" s="502">
        <f ca="1">INDEX(EAC[Estimate At Completion],MATCH($A84,EAC[Row],0))</f>
        <v>1320</v>
      </c>
      <c r="J84" s="502">
        <f ca="1">SUMIFS(CostTrack[Value],CostTrack[Vendor - Contract],$H84,CostTrack[PA ID],$B84,CostTrack[Holdback (Y/N/R)],"&lt;&gt;Release",CostTrack[Status],"Approved")</f>
        <v>1320</v>
      </c>
      <c r="K84" s="503">
        <f t="shared" ca="1" si="95"/>
        <v>0</v>
      </c>
      <c r="M84" s="504">
        <f t="shared" ca="1" si="110"/>
        <v>0</v>
      </c>
      <c r="O84" s="504">
        <f t="shared" ref="O84:O88" ca="1" si="116">SUMIF($U$6:$FQ$6,"Previous Fiscal",AG84:FQ84)</f>
        <v>1320</v>
      </c>
      <c r="P84" s="504">
        <f t="array" aca="1" ref="P84" ca="1">SUM($U84:$FQ84*_xlfn.ISFORMULA($U84:$FQ84)*ISNUMBER($U$7:$FQ$7)*--(INDEX($U$6:$FQ$6,N(IF({1},COLUMN($U$6:$FQ$6)-COLUMN($T$6)))-MOD(N(IF({1},COLUMN($U$6:$FQ$6)-COLUMN($U$6))),14))="Current Fiscal"))</f>
        <v>0</v>
      </c>
      <c r="Q84" s="504">
        <f t="array" aca="1" ref="Q84" ca="1">SUM($U84:$FQ84*NOT(_xlfn.ISFORMULA($U84:$FQ84))*ISNUMBER($U$7:$FQ$7)*--(INDEX($U$6:$FQ$6,N(IF({1},COLUMN($U$6:$FQ$6)-COLUMN($T$6)))-MOD(N(IF({1},COLUMN($U$6:$FQ$6)-COLUMN($U$6))),14))="Current Fiscal"))</f>
        <v>0</v>
      </c>
      <c r="R84" s="504">
        <f t="shared" ref="R84:R88" ca="1" si="117">SUMIF($U$6:$FQ$6,"Current Fiscal",AG84:FQ84)</f>
        <v>0</v>
      </c>
      <c r="S84" s="504">
        <f t="shared" ref="S84:S88" ca="1" si="118">SUMIF($U$6:$FQ$6,"Future Fiscal",AG84:FQ84)</f>
        <v>0</v>
      </c>
      <c r="U84" s="504">
        <f ca="1">SUMIFS(CostTrack[[Value]:[Value]],CostTrack[[PA ID]:[PA ID]],$B84,CostTrack[[Vendor - Contract]:[Vendor - Contract]],$H84,CostTrack[[Holdback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84" s="504">
        <f ca="1">SUMIFS(CostTrack[[Value]:[Value]],CostTrack[[PA ID]:[PA ID]],$B84,CostTrack[[Vendor - Contract]:[Vendor - Contract]],$H84,CostTrack[[Holdback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84" s="504">
        <f ca="1">SUMIFS(CostTrack[[Value]:[Value]],CostTrack[[PA ID]:[PA ID]],$B84,CostTrack[[Vendor - Contract]:[Vendor - Contract]],$H84,CostTrack[[Holdback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84" s="504">
        <f ca="1">SUMIFS(CostTrack[[Value]:[Value]],CostTrack[[PA ID]:[PA ID]],$B84,CostTrack[[Vendor - Contract]:[Vendor - Contract]],$H84,CostTrack[[Holdback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84" s="504">
        <f ca="1">SUMIFS(CostTrack[[Value]:[Value]],CostTrack[[PA ID]:[PA ID]],$B84,CostTrack[[Vendor - Contract]:[Vendor - Contract]],$H84,CostTrack[[Holdback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84" s="504">
        <f ca="1">SUMIFS(CostTrack[[Value]:[Value]],CostTrack[[PA ID]:[PA ID]],$B84,CostTrack[[Vendor - Contract]:[Vendor - Contract]],$H84,CostTrack[[Holdback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84" s="504">
        <f ca="1">SUMIFS(CostTrack[[Value]:[Value]],CostTrack[[PA ID]:[PA ID]],$B84,CostTrack[[Vendor - Contract]:[Vendor - Contract]],$H84,CostTrack[[Holdback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84" s="504">
        <f ca="1">SUMIFS(CostTrack[[Value]:[Value]],CostTrack[[PA ID]:[PA ID]],$B84,CostTrack[[Vendor - Contract]:[Vendor - Contract]],$H84,CostTrack[[Holdback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84" s="504">
        <f ca="1">SUMIFS(CostTrack[[Value]:[Value]],CostTrack[[PA ID]:[PA ID]],$B84,CostTrack[[Vendor - Contract]:[Vendor - Contract]],$H84,CostTrack[[Holdback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84" s="504">
        <f ca="1">SUMIFS(CostTrack[[Value]:[Value]],CostTrack[[PA ID]:[PA ID]],$B84,CostTrack[[Vendor - Contract]:[Vendor - Contract]],$H84,CostTrack[[Holdback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84" s="504">
        <f ca="1">SUMIFS(CostTrack[[Value]:[Value]],CostTrack[[PA ID]:[PA ID]],$B84,CostTrack[[Vendor - Contract]:[Vendor - Contract]],$H84,CostTrack[[Holdback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84" s="504">
        <f ca="1">SUMIFS(CostTrack[[Value]:[Value]],CostTrack[[PA ID]:[PA ID]],$B84,CostTrack[[Vendor - Contract]:[Vendor - Contract]],$H84,CostTrack[[Holdback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84" s="506">
        <f t="shared" ref="AG84:AG88" ca="1" si="119">SUM(U84:AF84)</f>
        <v>0</v>
      </c>
      <c r="AI84" s="504">
        <f ca="1">SUMIFS(CostTrack[[Value]:[Value]],CostTrack[[PA ID]:[PA ID]],$B84,CostTrack[[Vendor - Contract]:[Vendor - Contract]],$H84,CostTrack[[Holdback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84" s="504">
        <f ca="1">SUMIFS(CostTrack[[Value]:[Value]],CostTrack[[PA ID]:[PA ID]],$B84,CostTrack[[Vendor - Contract]:[Vendor - Contract]],$H84,CostTrack[[Holdback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84" s="504">
        <f ca="1">SUMIFS(CostTrack[[Value]:[Value]],CostTrack[[PA ID]:[PA ID]],$B84,CostTrack[[Vendor - Contract]:[Vendor - Contract]],$H84,CostTrack[[Holdback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84" s="504">
        <f ca="1">SUMIFS(CostTrack[[Value]:[Value]],CostTrack[[PA ID]:[PA ID]],$B84,CostTrack[[Vendor - Contract]:[Vendor - Contract]],$H84,CostTrack[[Holdback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84" s="504">
        <f ca="1">SUMIFS(CostTrack[[Value]:[Value]],CostTrack[[PA ID]:[PA ID]],$B84,CostTrack[[Vendor - Contract]:[Vendor - Contract]],$H84,CostTrack[[Holdback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84" s="504">
        <f ca="1">SUMIFS(CostTrack[[Value]:[Value]],CostTrack[[PA ID]:[PA ID]],$B84,CostTrack[[Vendor - Contract]:[Vendor - Contract]],$H84,CostTrack[[Holdback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84" s="504">
        <f ca="1">SUMIFS(CostTrack[[Value]:[Value]],CostTrack[[PA ID]:[PA ID]],$B84,CostTrack[[Vendor - Contract]:[Vendor - Contract]],$H84,CostTrack[[Holdback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84" s="504">
        <f ca="1">SUMIFS(CostTrack[[Value]:[Value]],CostTrack[[PA ID]:[PA ID]],$B84,CostTrack[[Vendor - Contract]:[Vendor - Contract]],$H84,CostTrack[[Holdback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84" s="504">
        <f ca="1">SUMIFS(CostTrack[[Value]:[Value]],CostTrack[[PA ID]:[PA ID]],$B84,CostTrack[[Vendor - Contract]:[Vendor - Contract]],$H84,CostTrack[[Holdback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84" s="504">
        <f ca="1">SUMIFS(CostTrack[[Value]:[Value]],CostTrack[[PA ID]:[PA ID]],$B84,CostTrack[[Vendor - Contract]:[Vendor - Contract]],$H84,CostTrack[[Holdback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84" s="504">
        <f ca="1">SUMIFS(CostTrack[[Value]:[Value]],CostTrack[[PA ID]:[PA ID]],$B84,CostTrack[[Vendor - Contract]:[Vendor - Contract]],$H84,CostTrack[[Holdback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84" s="504">
        <f ca="1">SUMIFS(CostTrack[[Value]:[Value]],CostTrack[[PA ID]:[PA ID]],$B84,CostTrack[[Vendor - Contract]:[Vendor - Contract]],$H84,CostTrack[[Holdback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84" s="512">
        <f t="shared" ref="AU84:AU88" ca="1" si="120">SUM(AI84:AT84)</f>
        <v>0</v>
      </c>
      <c r="AW84" s="504">
        <f ca="1">SUMIFS(CostTrack[[Value]:[Value]],CostTrack[[PA ID]:[PA ID]],$B84,CostTrack[[Vendor - Contract]:[Vendor - Contract]],$H84,CostTrack[[Holdback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84" s="504">
        <f ca="1">SUMIFS(CostTrack[[Value]:[Value]],CostTrack[[PA ID]:[PA ID]],$B84,CostTrack[[Vendor - Contract]:[Vendor - Contract]],$H84,CostTrack[[Holdback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84" s="504">
        <f ca="1">SUMIFS(CostTrack[[Value]:[Value]],CostTrack[[PA ID]:[PA ID]],$B84,CostTrack[[Vendor - Contract]:[Vendor - Contract]],$H84,CostTrack[[Holdback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84" s="504">
        <f ca="1">SUMIFS(CostTrack[[Value]:[Value]],CostTrack[[PA ID]:[PA ID]],$B84,CostTrack[[Vendor - Contract]:[Vendor - Contract]],$H84,CostTrack[[Holdback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84" s="504">
        <f ca="1">SUMIFS(CostTrack[[Value]:[Value]],CostTrack[[PA ID]:[PA ID]],$B84,CostTrack[[Vendor - Contract]:[Vendor - Contract]],$H84,CostTrack[[Holdback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84" s="504">
        <f ca="1">SUMIFS(CostTrack[[Value]:[Value]],CostTrack[[PA ID]:[PA ID]],$B84,CostTrack[[Vendor - Contract]:[Vendor - Contract]],$H84,CostTrack[[Holdback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84" s="504">
        <f ca="1">SUMIFS(CostTrack[[Value]:[Value]],CostTrack[[PA ID]:[PA ID]],$B84,CostTrack[[Vendor - Contract]:[Vendor - Contract]],$H84,CostTrack[[Holdback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84" s="504">
        <f ca="1">SUMIFS(CostTrack[[Value]:[Value]],CostTrack[[PA ID]:[PA ID]],$B84,CostTrack[[Vendor - Contract]:[Vendor - Contract]],$H84,CostTrack[[Holdback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84" s="504">
        <f ca="1">SUMIFS(CostTrack[[Value]:[Value]],CostTrack[[PA ID]:[PA ID]],$B84,CostTrack[[Vendor - Contract]:[Vendor - Contract]],$H84,CostTrack[[Holdback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84" s="504">
        <f ca="1">SUMIFS(CostTrack[[Value]:[Value]],CostTrack[[PA ID]:[PA ID]],$B84,CostTrack[[Vendor - Contract]:[Vendor - Contract]],$H84,CostTrack[[Holdback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84" s="504">
        <f ca="1">SUMIFS(CostTrack[[Value]:[Value]],CostTrack[[PA ID]:[PA ID]],$B84,CostTrack[[Vendor - Contract]:[Vendor - Contract]],$H84,CostTrack[[Holdback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84" s="504">
        <f ca="1">SUMIFS(CostTrack[[Value]:[Value]],CostTrack[[PA ID]:[PA ID]],$B84,CostTrack[[Vendor - Contract]:[Vendor - Contract]],$H84,CostTrack[[Holdback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84" s="512">
        <f t="shared" ref="BI84:BI88" ca="1" si="121">SUM(AW84:BH84)</f>
        <v>0</v>
      </c>
      <c r="BK84" s="504">
        <f ca="1">SUMIFS(CostTrack[[Value]:[Value]],CostTrack[[PA ID]:[PA ID]],$B84,CostTrack[[Vendor - Contract]:[Vendor - Contract]],$H84,CostTrack[[Holdback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84" s="504">
        <f ca="1">SUMIFS(CostTrack[[Value]:[Value]],CostTrack[[PA ID]:[PA ID]],$B84,CostTrack[[Vendor - Contract]:[Vendor - Contract]],$H84,CostTrack[[Holdback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84" s="504">
        <f ca="1">SUMIFS(CostTrack[[Value]:[Value]],CostTrack[[PA ID]:[PA ID]],$B84,CostTrack[[Vendor - Contract]:[Vendor - Contract]],$H84,CostTrack[[Holdback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84" s="504">
        <f ca="1">SUMIFS(CostTrack[[Value]:[Value]],CostTrack[[PA ID]:[PA ID]],$B84,CostTrack[[Vendor - Contract]:[Vendor - Contract]],$H84,CostTrack[[Holdback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84" s="504">
        <f ca="1">SUMIFS(CostTrack[[Value]:[Value]],CostTrack[[PA ID]:[PA ID]],$B84,CostTrack[[Vendor - Contract]:[Vendor - Contract]],$H84,CostTrack[[Holdback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84" s="504">
        <f ca="1">SUMIFS(CostTrack[[Value]:[Value]],CostTrack[[PA ID]:[PA ID]],$B84,CostTrack[[Vendor - Contract]:[Vendor - Contract]],$H84,CostTrack[[Holdback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84" s="504">
        <f ca="1">SUMIFS(CostTrack[[Value]:[Value]],CostTrack[[PA ID]:[PA ID]],$B84,CostTrack[[Vendor - Contract]:[Vendor - Contract]],$H84,CostTrack[[Holdback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84" s="504">
        <f ca="1">SUMIFS(CostTrack[[Value]:[Value]],CostTrack[[PA ID]:[PA ID]],$B84,CostTrack[[Vendor - Contract]:[Vendor - Contract]],$H84,CostTrack[[Holdback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84" s="504">
        <f ca="1">SUMIFS(CostTrack[[Value]:[Value]],CostTrack[[PA ID]:[PA ID]],$B84,CostTrack[[Vendor - Contract]:[Vendor - Contract]],$H84,CostTrack[[Holdback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84" s="504">
        <f ca="1">SUMIFS(CostTrack[[Value]:[Value]],CostTrack[[PA ID]:[PA ID]],$B84,CostTrack[[Vendor - Contract]:[Vendor - Contract]],$H84,CostTrack[[Holdback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84" s="504">
        <f ca="1">SUMIFS(CostTrack[[Value]:[Value]],CostTrack[[PA ID]:[PA ID]],$B84,CostTrack[[Vendor - Contract]:[Vendor - Contract]],$H84,CostTrack[[Holdback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84" s="504">
        <f ca="1">SUMIFS(CostTrack[[Value]:[Value]],CostTrack[[PA ID]:[PA ID]],$B84,CostTrack[[Vendor - Contract]:[Vendor - Contract]],$H84,CostTrack[[Holdback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84" s="512">
        <f t="shared" ref="BW84:BW88" ca="1" si="122">SUM(BK84:BV84)</f>
        <v>0</v>
      </c>
      <c r="BY84" s="504">
        <f ca="1">SUMIFS(CostTrack[[Value]:[Value]],CostTrack[[PA ID]:[PA ID]],$B84,CostTrack[[Vendor - Contract]:[Vendor - Contract]],$H84,CostTrack[[Holdback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84" s="504">
        <f ca="1">SUMIFS(CostTrack[[Value]:[Value]],CostTrack[[PA ID]:[PA ID]],$B84,CostTrack[[Vendor - Contract]:[Vendor - Contract]],$H84,CostTrack[[Holdback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84" s="504">
        <f ca="1">SUMIFS(CostTrack[[Value]:[Value]],CostTrack[[PA ID]:[PA ID]],$B84,CostTrack[[Vendor - Contract]:[Vendor - Contract]],$H84,CostTrack[[Holdback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84" s="504">
        <f ca="1">SUMIFS(CostTrack[[Value]:[Value]],CostTrack[[PA ID]:[PA ID]],$B84,CostTrack[[Vendor - Contract]:[Vendor - Contract]],$H84,CostTrack[[Holdback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84" s="504">
        <f ca="1">SUMIFS(CostTrack[[Value]:[Value]],CostTrack[[PA ID]:[PA ID]],$B84,CostTrack[[Vendor - Contract]:[Vendor - Contract]],$H84,CostTrack[[Holdback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84" s="504">
        <f ca="1">SUMIFS(CostTrack[[Value]:[Value]],CostTrack[[PA ID]:[PA ID]],$B84,CostTrack[[Vendor - Contract]:[Vendor - Contract]],$H84,CostTrack[[Holdback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84" s="504">
        <f ca="1">SUMIFS(CostTrack[[Value]:[Value]],CostTrack[[PA ID]:[PA ID]],$B84,CostTrack[[Vendor - Contract]:[Vendor - Contract]],$H84,CostTrack[[Holdback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84" s="504">
        <f ca="1">SUMIFS(CostTrack[[Value]:[Value]],CostTrack[[PA ID]:[PA ID]],$B84,CostTrack[[Vendor - Contract]:[Vendor - Contract]],$H84,CostTrack[[Holdback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84" s="504">
        <f ca="1">SUMIFS(CostTrack[[Value]:[Value]],CostTrack[[PA ID]:[PA ID]],$B84,CostTrack[[Vendor - Contract]:[Vendor - Contract]],$H84,CostTrack[[Holdback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84" s="504">
        <f ca="1">SUMIFS(CostTrack[[Value]:[Value]],CostTrack[[PA ID]:[PA ID]],$B84,CostTrack[[Vendor - Contract]:[Vendor - Contract]],$H84,CostTrack[[Holdback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84" s="504">
        <f ca="1">SUMIFS(CostTrack[[Value]:[Value]],CostTrack[[PA ID]:[PA ID]],$B84,CostTrack[[Vendor - Contract]:[Vendor - Contract]],$H84,CostTrack[[Holdback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84" s="504">
        <f ca="1">SUMIFS(CostTrack[[Value]:[Value]],CostTrack[[PA ID]:[PA ID]],$B84,CostTrack[[Vendor - Contract]:[Vendor - Contract]],$H84,CostTrack[[Holdback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84" s="512">
        <f t="shared" ref="CK84:CK88" ca="1" si="123">SUM(BY84:CJ84)</f>
        <v>0</v>
      </c>
      <c r="CM84" s="504">
        <f ca="1">SUMIFS(CostTrack[[Value]:[Value]],CostTrack[[PA ID]:[PA ID]],$B84,CostTrack[[Vendor - Contract]:[Vendor - Contract]],$H84,CostTrack[[Holdback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84" s="504">
        <f ca="1">SUMIFS(CostTrack[[Value]:[Value]],CostTrack[[PA ID]:[PA ID]],$B84,CostTrack[[Vendor - Contract]:[Vendor - Contract]],$H84,CostTrack[[Holdback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84" s="504">
        <f ca="1">SUMIFS(CostTrack[[Value]:[Value]],CostTrack[[PA ID]:[PA ID]],$B84,CostTrack[[Vendor - Contract]:[Vendor - Contract]],$H84,CostTrack[[Holdback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84" s="504">
        <f ca="1">SUMIFS(CostTrack[[Value]:[Value]],CostTrack[[PA ID]:[PA ID]],$B84,CostTrack[[Vendor - Contract]:[Vendor - Contract]],$H84,CostTrack[[Holdback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84" s="504">
        <f ca="1">SUMIFS(CostTrack[[Value]:[Value]],CostTrack[[PA ID]:[PA ID]],$B84,CostTrack[[Vendor - Contract]:[Vendor - Contract]],$H84,CostTrack[[Holdback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84" s="504">
        <f ca="1">SUMIFS(CostTrack[[Value]:[Value]],CostTrack[[PA ID]:[PA ID]],$B84,CostTrack[[Vendor - Contract]:[Vendor - Contract]],$H84,CostTrack[[Holdback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84" s="504">
        <f ca="1">SUMIFS(CostTrack[[Value]:[Value]],CostTrack[[PA ID]:[PA ID]],$B84,CostTrack[[Vendor - Contract]:[Vendor - Contract]],$H84,CostTrack[[Holdback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84" s="504">
        <f ca="1">SUMIFS(CostTrack[[Value]:[Value]],CostTrack[[PA ID]:[PA ID]],$B84,CostTrack[[Vendor - Contract]:[Vendor - Contract]],$H84,CostTrack[[Holdback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84" s="504">
        <f ca="1">SUMIFS(CostTrack[[Value]:[Value]],CostTrack[[PA ID]:[PA ID]],$B84,CostTrack[[Vendor - Contract]:[Vendor - Contract]],$H84,CostTrack[[Holdback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84" s="504">
        <f ca="1">SUMIFS(CostTrack[[Value]:[Value]],CostTrack[[PA ID]:[PA ID]],$B84,CostTrack[[Vendor - Contract]:[Vendor - Contract]],$H84,CostTrack[[Holdback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84" s="504">
        <f ca="1">SUMIFS(CostTrack[[Value]:[Value]],CostTrack[[PA ID]:[PA ID]],$B84,CostTrack[[Vendor - Contract]:[Vendor - Contract]],$H84,CostTrack[[Holdback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84" s="504">
        <f ca="1">SUMIFS(CostTrack[[Value]:[Value]],CostTrack[[PA ID]:[PA ID]],$B84,CostTrack[[Vendor - Contract]:[Vendor - Contract]],$H84,CostTrack[[Holdback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1320</v>
      </c>
      <c r="CY84" s="512">
        <f t="shared" ref="CY84:CY88" ca="1" si="124">SUM(CM84:CX84)</f>
        <v>1320</v>
      </c>
      <c r="DA84" s="504">
        <f ca="1">SUMIFS(CostTrack[[Value]:[Value]],CostTrack[[PA ID]:[PA ID]],$B84,CostTrack[[Vendor - Contract]:[Vendor - Contract]],$H84,CostTrack[[Holdback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84" s="504">
        <f ca="1">SUMIFS(CostTrack[[Value]:[Value]],CostTrack[[PA ID]:[PA ID]],$B84,CostTrack[[Vendor - Contract]:[Vendor - Contract]],$H84,CostTrack[[Holdback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84" s="504">
        <f ca="1">SUMIFS(CostTrack[[Value]:[Value]],CostTrack[[PA ID]:[PA ID]],$B84,CostTrack[[Vendor - Contract]:[Vendor - Contract]],$H84,CostTrack[[Holdback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84" s="504">
        <f ca="1">SUMIFS(CostTrack[[Value]:[Value]],CostTrack[[PA ID]:[PA ID]],$B84,CostTrack[[Vendor - Contract]:[Vendor - Contract]],$H84,CostTrack[[Holdback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84" s="504">
        <f ca="1">SUMIFS(CostTrack[[Value]:[Value]],CostTrack[[PA ID]:[PA ID]],$B84,CostTrack[[Vendor - Contract]:[Vendor - Contract]],$H84,CostTrack[[Holdback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84" s="504">
        <f ca="1">SUMIFS(CostTrack[[Value]:[Value]],CostTrack[[PA ID]:[PA ID]],$B84,CostTrack[[Vendor - Contract]:[Vendor - Contract]],$H84,CostTrack[[Holdback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84" s="504">
        <f ca="1">SUMIFS(CostTrack[[Value]:[Value]],CostTrack[[PA ID]:[PA ID]],$B84,CostTrack[[Vendor - Contract]:[Vendor - Contract]],$H84,CostTrack[[Holdback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84" s="504">
        <f ca="1">SUMIFS(CostTrack[[Value]:[Value]],CostTrack[[PA ID]:[PA ID]],$B84,CostTrack[[Vendor - Contract]:[Vendor - Contract]],$H84,CostTrack[[Holdback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84" s="504">
        <f ca="1">SUMIFS(CostTrack[[Value]:[Value]],CostTrack[[PA ID]:[PA ID]],$B84,CostTrack[[Vendor - Contract]:[Vendor - Contract]],$H84,CostTrack[[Holdback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84" s="504">
        <f ca="1">SUMIFS(CostTrack[[Value]:[Value]],CostTrack[[PA ID]:[PA ID]],$B84,CostTrack[[Vendor - Contract]:[Vendor - Contract]],$H84,CostTrack[[Holdback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84" s="504">
        <f ca="1">SUMIFS(CostTrack[[Value]:[Value]],CostTrack[[PA ID]:[PA ID]],$B84,CostTrack[[Vendor - Contract]:[Vendor - Contract]],$H84,CostTrack[[Holdback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84" s="504">
        <f ca="1">SUMIFS(CostTrack[[Value]:[Value]],CostTrack[[PA ID]:[PA ID]],$B84,CostTrack[[Vendor - Contract]:[Vendor - Contract]],$H84,CostTrack[[Holdback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84" s="512">
        <f t="shared" ref="DM84:DM88" ca="1" si="125">SUM(DA84:DL84)</f>
        <v>0</v>
      </c>
      <c r="DO84" s="504">
        <f ca="1">SUMIFS(CostTrack[[Value]:[Value]],CostTrack[[PA ID]:[PA ID]],$B84,CostTrack[[Vendor - Contract]:[Vendor - Contract]],$H84,CostTrack[[Holdback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84" s="504">
        <f ca="1">SUMIFS(CostTrack[[Value]:[Value]],CostTrack[[PA ID]:[PA ID]],$B84,CostTrack[[Vendor - Contract]:[Vendor - Contract]],$H84,CostTrack[[Holdback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84" s="504">
        <f ca="1">SUMIFS(CostTrack[[Value]:[Value]],CostTrack[[PA ID]:[PA ID]],$B84,CostTrack[[Vendor - Contract]:[Vendor - Contract]],$H84,CostTrack[[Holdback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84" s="504">
        <f ca="1">SUMIFS(CostTrack[[Value]:[Value]],CostTrack[[PA ID]:[PA ID]],$B84,CostTrack[[Vendor - Contract]:[Vendor - Contract]],$H84,CostTrack[[Holdback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84" s="504">
        <f ca="1">SUMIFS(CostTrack[[Value]:[Value]],CostTrack[[PA ID]:[PA ID]],$B84,CostTrack[[Vendor - Contract]:[Vendor - Contract]],$H84,CostTrack[[Holdback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84" s="504">
        <f ca="1">SUMIFS(CostTrack[[Value]:[Value]],CostTrack[[PA ID]:[PA ID]],$B84,CostTrack[[Vendor - Contract]:[Vendor - Contract]],$H84,CostTrack[[Holdback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84" s="504">
        <f ca="1">SUMIFS(CostTrack[[Value]:[Value]],CostTrack[[PA ID]:[PA ID]],$B84,CostTrack[[Vendor - Contract]:[Vendor - Contract]],$H84,CostTrack[[Holdback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84" s="504">
        <f ca="1">SUMIFS(CostTrack[[Value]:[Value]],CostTrack[[PA ID]:[PA ID]],$B84,CostTrack[[Vendor - Contract]:[Vendor - Contract]],$H84,CostTrack[[Holdback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84" s="504">
        <f ca="1">SUMIFS(CostTrack[[Value]:[Value]],CostTrack[[PA ID]:[PA ID]],$B84,CostTrack[[Vendor - Contract]:[Vendor - Contract]],$H84,CostTrack[[Holdback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84" s="504">
        <f ca="1">SUMIFS(CostTrack[[Value]:[Value]],CostTrack[[PA ID]:[PA ID]],$B84,CostTrack[[Vendor - Contract]:[Vendor - Contract]],$H84,CostTrack[[Holdback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84" s="504">
        <f ca="1">SUMIFS(CostTrack[[Value]:[Value]],CostTrack[[PA ID]:[PA ID]],$B84,CostTrack[[Vendor - Contract]:[Vendor - Contract]],$H84,CostTrack[[Holdback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84" s="504">
        <f ca="1">SUMIFS(CostTrack[[Value]:[Value]],CostTrack[[PA ID]:[PA ID]],$B84,CostTrack[[Vendor - Contract]:[Vendor - Contract]],$H84,CostTrack[[Holdback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84" s="512">
        <f t="shared" ref="EA84:EA88" ca="1" si="126">SUM(DO84:DZ84)</f>
        <v>0</v>
      </c>
      <c r="EC84" s="504">
        <f ca="1">SUMIFS(CostTrack[[Value]:[Value]],CostTrack[[PA ID]:[PA ID]],$B84,CostTrack[[Vendor - Contract]:[Vendor - Contract]],$H84,CostTrack[[Holdback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84" s="505"/>
      <c r="EE84" s="505"/>
      <c r="EF84" s="505"/>
      <c r="EG84" s="505"/>
      <c r="EH84" s="505"/>
      <c r="EI84" s="505"/>
      <c r="EJ84" s="505"/>
      <c r="EK84" s="505"/>
      <c r="EL84" s="505"/>
      <c r="EM84" s="505"/>
      <c r="EN84" s="505"/>
      <c r="EO84" s="512">
        <f t="shared" ref="EO84:EO88" ca="1" si="127">SUM(EC84:EN84)</f>
        <v>0</v>
      </c>
      <c r="EQ84" s="505"/>
      <c r="ER84" s="505"/>
      <c r="ES84" s="505"/>
      <c r="ET84" s="505"/>
      <c r="EU84" s="505"/>
      <c r="EV84" s="505"/>
      <c r="EW84" s="505"/>
      <c r="EX84" s="505"/>
      <c r="EY84" s="505"/>
      <c r="EZ84" s="505"/>
      <c r="FA84" s="505"/>
      <c r="FB84" s="505"/>
      <c r="FC84" s="512">
        <f t="shared" ref="FC84:FC88" si="128">SUM(EQ84:FB84)</f>
        <v>0</v>
      </c>
      <c r="FE84" s="505"/>
      <c r="FF84" s="505"/>
      <c r="FG84" s="505"/>
      <c r="FH84" s="505"/>
      <c r="FI84" s="505"/>
      <c r="FJ84" s="505"/>
      <c r="FK84" s="505"/>
      <c r="FL84" s="505"/>
      <c r="FM84" s="505"/>
      <c r="FN84" s="505"/>
      <c r="FO84" s="505"/>
      <c r="FP84" s="505"/>
      <c r="FQ84" s="512">
        <f t="shared" ref="FQ84:FQ88" si="129">SUM(FE84:FP84)</f>
        <v>0</v>
      </c>
      <c r="FS84" s="504">
        <f t="shared" ref="FS84:FS88" ca="1" si="130">AG84+AU84+BI84+BW84+CK84+CY84+DM84+EA84+EO84+FC84+FQ84</f>
        <v>1320</v>
      </c>
    </row>
    <row r="85" spans="1:175">
      <c r="A85" s="216">
        <v>78</v>
      </c>
      <c r="B85" s="219" t="str">
        <f ca="1">INDEX(EAC[PA ID],MATCH($A85,EAC[Row],0))</f>
        <v>400.010.F1</v>
      </c>
      <c r="C85" s="218" t="str">
        <f ca="1">INDEX(EAC[Primary Category],MATCH($A85,EAC[Row],0))</f>
        <v>FE_IT</v>
      </c>
      <c r="D85" s="218" t="str">
        <f ca="1">INDEX(EAC[Secondary Category],MATCH($A85,EAC[Row],0))</f>
        <v>Furniture &amp; Equipment</v>
      </c>
      <c r="E85" s="109" t="str">
        <f ca="1">INDEX(EAC[Phase / Subproject],MATCH($A85,EAC[Row],0))</f>
        <v>--</v>
      </c>
      <c r="F85" s="109" t="str">
        <f ca="1">INDEX(EAC[Phase / Subproject 2],MATCH($A85,EAC[Row],0))</f>
        <v>--</v>
      </c>
      <c r="G85" s="109" t="str">
        <f ca="1">INDEX(EAC[Funding Source],MATCH($A85,EAC[Row],0))</f>
        <v>P-002360</v>
      </c>
      <c r="H85" s="146" t="str">
        <f ca="1">INDEX(EAC[Vendor / Org. with Contract ID],MATCH($A85,EAC[Row],0))</f>
        <v>HBI-Judicial Visiting Offices-C8903</v>
      </c>
      <c r="I85" s="502">
        <f ca="1">INDEX(EAC[Estimate At Completion],MATCH($A85,EAC[Row],0))</f>
        <v>52739.54</v>
      </c>
      <c r="J85" s="502">
        <f ca="1">SUMIFS(CostTrack[Value],CostTrack[Vendor - Contract],$H85,CostTrack[PA ID],$B85,CostTrack[Holdback (Y/N/R)],"&lt;&gt;Release",CostTrack[Status],"Approved")</f>
        <v>52739.54</v>
      </c>
      <c r="K85" s="503">
        <f t="shared" ca="1" si="95"/>
        <v>0</v>
      </c>
      <c r="M85" s="504">
        <f t="shared" ca="1" si="110"/>
        <v>0</v>
      </c>
      <c r="O85" s="504">
        <f t="shared" ca="1" si="116"/>
        <v>52739.54</v>
      </c>
      <c r="P85" s="504">
        <f t="array" aca="1" ref="P85" ca="1">SUM($U85:$FQ85*_xlfn.ISFORMULA($U85:$FQ85)*ISNUMBER($U$7:$FQ$7)*--(INDEX($U$6:$FQ$6,N(IF({1},COLUMN($U$6:$FQ$6)-COLUMN($T$6)))-MOD(N(IF({1},COLUMN($U$6:$FQ$6)-COLUMN($U$6))),14))="Current Fiscal"))</f>
        <v>0</v>
      </c>
      <c r="Q85" s="504">
        <f t="array" aca="1" ref="Q85" ca="1">SUM($U85:$FQ85*NOT(_xlfn.ISFORMULA($U85:$FQ85))*ISNUMBER($U$7:$FQ$7)*--(INDEX($U$6:$FQ$6,N(IF({1},COLUMN($U$6:$FQ$6)-COLUMN($T$6)))-MOD(N(IF({1},COLUMN($U$6:$FQ$6)-COLUMN($U$6))),14))="Current Fiscal"))</f>
        <v>0</v>
      </c>
      <c r="R85" s="504">
        <f t="shared" ca="1" si="117"/>
        <v>0</v>
      </c>
      <c r="S85" s="504">
        <f t="shared" ca="1" si="118"/>
        <v>0</v>
      </c>
      <c r="U85" s="504">
        <f ca="1">SUMIFS(CostTrack[[Value]:[Value]],CostTrack[[PA ID]:[PA ID]],$B85,CostTrack[[Vendor - Contract]:[Vendor - Contract]],$H85,CostTrack[[Holdback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85" s="504">
        <f ca="1">SUMIFS(CostTrack[[Value]:[Value]],CostTrack[[PA ID]:[PA ID]],$B85,CostTrack[[Vendor - Contract]:[Vendor - Contract]],$H85,CostTrack[[Holdback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85" s="504">
        <f ca="1">SUMIFS(CostTrack[[Value]:[Value]],CostTrack[[PA ID]:[PA ID]],$B85,CostTrack[[Vendor - Contract]:[Vendor - Contract]],$H85,CostTrack[[Holdback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85" s="504">
        <f ca="1">SUMIFS(CostTrack[[Value]:[Value]],CostTrack[[PA ID]:[PA ID]],$B85,CostTrack[[Vendor - Contract]:[Vendor - Contract]],$H85,CostTrack[[Holdback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85" s="504">
        <f ca="1">SUMIFS(CostTrack[[Value]:[Value]],CostTrack[[PA ID]:[PA ID]],$B85,CostTrack[[Vendor - Contract]:[Vendor - Contract]],$H85,CostTrack[[Holdback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85" s="504">
        <f ca="1">SUMIFS(CostTrack[[Value]:[Value]],CostTrack[[PA ID]:[PA ID]],$B85,CostTrack[[Vendor - Contract]:[Vendor - Contract]],$H85,CostTrack[[Holdback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85" s="504">
        <f ca="1">SUMIFS(CostTrack[[Value]:[Value]],CostTrack[[PA ID]:[PA ID]],$B85,CostTrack[[Vendor - Contract]:[Vendor - Contract]],$H85,CostTrack[[Holdback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85" s="504">
        <f ca="1">SUMIFS(CostTrack[[Value]:[Value]],CostTrack[[PA ID]:[PA ID]],$B85,CostTrack[[Vendor - Contract]:[Vendor - Contract]],$H85,CostTrack[[Holdback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85" s="504">
        <f ca="1">SUMIFS(CostTrack[[Value]:[Value]],CostTrack[[PA ID]:[PA ID]],$B85,CostTrack[[Vendor - Contract]:[Vendor - Contract]],$H85,CostTrack[[Holdback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85" s="504">
        <f ca="1">SUMIFS(CostTrack[[Value]:[Value]],CostTrack[[PA ID]:[PA ID]],$B85,CostTrack[[Vendor - Contract]:[Vendor - Contract]],$H85,CostTrack[[Holdback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85" s="504">
        <f ca="1">SUMIFS(CostTrack[[Value]:[Value]],CostTrack[[PA ID]:[PA ID]],$B85,CostTrack[[Vendor - Contract]:[Vendor - Contract]],$H85,CostTrack[[Holdback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85" s="504">
        <f ca="1">SUMIFS(CostTrack[[Value]:[Value]],CostTrack[[PA ID]:[PA ID]],$B85,CostTrack[[Vendor - Contract]:[Vendor - Contract]],$H85,CostTrack[[Holdback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85" s="506">
        <f t="shared" ca="1" si="119"/>
        <v>0</v>
      </c>
      <c r="AI85" s="504">
        <f ca="1">SUMIFS(CostTrack[[Value]:[Value]],CostTrack[[PA ID]:[PA ID]],$B85,CostTrack[[Vendor - Contract]:[Vendor - Contract]],$H85,CostTrack[[Holdback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85" s="504">
        <f ca="1">SUMIFS(CostTrack[[Value]:[Value]],CostTrack[[PA ID]:[PA ID]],$B85,CostTrack[[Vendor - Contract]:[Vendor - Contract]],$H85,CostTrack[[Holdback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85" s="504">
        <f ca="1">SUMIFS(CostTrack[[Value]:[Value]],CostTrack[[PA ID]:[PA ID]],$B85,CostTrack[[Vendor - Contract]:[Vendor - Contract]],$H85,CostTrack[[Holdback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85" s="504">
        <f ca="1">SUMIFS(CostTrack[[Value]:[Value]],CostTrack[[PA ID]:[PA ID]],$B85,CostTrack[[Vendor - Contract]:[Vendor - Contract]],$H85,CostTrack[[Holdback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85" s="504">
        <f ca="1">SUMIFS(CostTrack[[Value]:[Value]],CostTrack[[PA ID]:[PA ID]],$B85,CostTrack[[Vendor - Contract]:[Vendor - Contract]],$H85,CostTrack[[Holdback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85" s="504">
        <f ca="1">SUMIFS(CostTrack[[Value]:[Value]],CostTrack[[PA ID]:[PA ID]],$B85,CostTrack[[Vendor - Contract]:[Vendor - Contract]],$H85,CostTrack[[Holdback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85" s="504">
        <f ca="1">SUMIFS(CostTrack[[Value]:[Value]],CostTrack[[PA ID]:[PA ID]],$B85,CostTrack[[Vendor - Contract]:[Vendor - Contract]],$H85,CostTrack[[Holdback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85" s="504">
        <f ca="1">SUMIFS(CostTrack[[Value]:[Value]],CostTrack[[PA ID]:[PA ID]],$B85,CostTrack[[Vendor - Contract]:[Vendor - Contract]],$H85,CostTrack[[Holdback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85" s="504">
        <f ca="1">SUMIFS(CostTrack[[Value]:[Value]],CostTrack[[PA ID]:[PA ID]],$B85,CostTrack[[Vendor - Contract]:[Vendor - Contract]],$H85,CostTrack[[Holdback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85" s="504">
        <f ca="1">SUMIFS(CostTrack[[Value]:[Value]],CostTrack[[PA ID]:[PA ID]],$B85,CostTrack[[Vendor - Contract]:[Vendor - Contract]],$H85,CostTrack[[Holdback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85" s="504">
        <f ca="1">SUMIFS(CostTrack[[Value]:[Value]],CostTrack[[PA ID]:[PA ID]],$B85,CostTrack[[Vendor - Contract]:[Vendor - Contract]],$H85,CostTrack[[Holdback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85" s="504">
        <f ca="1">SUMIFS(CostTrack[[Value]:[Value]],CostTrack[[PA ID]:[PA ID]],$B85,CostTrack[[Vendor - Contract]:[Vendor - Contract]],$H85,CostTrack[[Holdback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85" s="512">
        <f t="shared" ca="1" si="120"/>
        <v>0</v>
      </c>
      <c r="AW85" s="504">
        <f ca="1">SUMIFS(CostTrack[[Value]:[Value]],CostTrack[[PA ID]:[PA ID]],$B85,CostTrack[[Vendor - Contract]:[Vendor - Contract]],$H85,CostTrack[[Holdback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85" s="504">
        <f ca="1">SUMIFS(CostTrack[[Value]:[Value]],CostTrack[[PA ID]:[PA ID]],$B85,CostTrack[[Vendor - Contract]:[Vendor - Contract]],$H85,CostTrack[[Holdback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85" s="504">
        <f ca="1">SUMIFS(CostTrack[[Value]:[Value]],CostTrack[[PA ID]:[PA ID]],$B85,CostTrack[[Vendor - Contract]:[Vendor - Contract]],$H85,CostTrack[[Holdback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85" s="504">
        <f ca="1">SUMIFS(CostTrack[[Value]:[Value]],CostTrack[[PA ID]:[PA ID]],$B85,CostTrack[[Vendor - Contract]:[Vendor - Contract]],$H85,CostTrack[[Holdback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85" s="504">
        <f ca="1">SUMIFS(CostTrack[[Value]:[Value]],CostTrack[[PA ID]:[PA ID]],$B85,CostTrack[[Vendor - Contract]:[Vendor - Contract]],$H85,CostTrack[[Holdback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85" s="504">
        <f ca="1">SUMIFS(CostTrack[[Value]:[Value]],CostTrack[[PA ID]:[PA ID]],$B85,CostTrack[[Vendor - Contract]:[Vendor - Contract]],$H85,CostTrack[[Holdback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85" s="504">
        <f ca="1">SUMIFS(CostTrack[[Value]:[Value]],CostTrack[[PA ID]:[PA ID]],$B85,CostTrack[[Vendor - Contract]:[Vendor - Contract]],$H85,CostTrack[[Holdback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85" s="504">
        <f ca="1">SUMIFS(CostTrack[[Value]:[Value]],CostTrack[[PA ID]:[PA ID]],$B85,CostTrack[[Vendor - Contract]:[Vendor - Contract]],$H85,CostTrack[[Holdback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85" s="504">
        <f ca="1">SUMIFS(CostTrack[[Value]:[Value]],CostTrack[[PA ID]:[PA ID]],$B85,CostTrack[[Vendor - Contract]:[Vendor - Contract]],$H85,CostTrack[[Holdback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85" s="504">
        <f ca="1">SUMIFS(CostTrack[[Value]:[Value]],CostTrack[[PA ID]:[PA ID]],$B85,CostTrack[[Vendor - Contract]:[Vendor - Contract]],$H85,CostTrack[[Holdback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85" s="504">
        <f ca="1">SUMIFS(CostTrack[[Value]:[Value]],CostTrack[[PA ID]:[PA ID]],$B85,CostTrack[[Vendor - Contract]:[Vendor - Contract]],$H85,CostTrack[[Holdback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85" s="504">
        <f ca="1">SUMIFS(CostTrack[[Value]:[Value]],CostTrack[[PA ID]:[PA ID]],$B85,CostTrack[[Vendor - Contract]:[Vendor - Contract]],$H85,CostTrack[[Holdback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85" s="512">
        <f t="shared" ca="1" si="121"/>
        <v>0</v>
      </c>
      <c r="BK85" s="504">
        <f ca="1">SUMIFS(CostTrack[[Value]:[Value]],CostTrack[[PA ID]:[PA ID]],$B85,CostTrack[[Vendor - Contract]:[Vendor - Contract]],$H85,CostTrack[[Holdback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85" s="504">
        <f ca="1">SUMIFS(CostTrack[[Value]:[Value]],CostTrack[[PA ID]:[PA ID]],$B85,CostTrack[[Vendor - Contract]:[Vendor - Contract]],$H85,CostTrack[[Holdback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85" s="504">
        <f ca="1">SUMIFS(CostTrack[[Value]:[Value]],CostTrack[[PA ID]:[PA ID]],$B85,CostTrack[[Vendor - Contract]:[Vendor - Contract]],$H85,CostTrack[[Holdback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85" s="504">
        <f ca="1">SUMIFS(CostTrack[[Value]:[Value]],CostTrack[[PA ID]:[PA ID]],$B85,CostTrack[[Vendor - Contract]:[Vendor - Contract]],$H85,CostTrack[[Holdback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85" s="504">
        <f ca="1">SUMIFS(CostTrack[[Value]:[Value]],CostTrack[[PA ID]:[PA ID]],$B85,CostTrack[[Vendor - Contract]:[Vendor - Contract]],$H85,CostTrack[[Holdback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85" s="504">
        <f ca="1">SUMIFS(CostTrack[[Value]:[Value]],CostTrack[[PA ID]:[PA ID]],$B85,CostTrack[[Vendor - Contract]:[Vendor - Contract]],$H85,CostTrack[[Holdback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85" s="504">
        <f ca="1">SUMIFS(CostTrack[[Value]:[Value]],CostTrack[[PA ID]:[PA ID]],$B85,CostTrack[[Vendor - Contract]:[Vendor - Contract]],$H85,CostTrack[[Holdback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85" s="504">
        <f ca="1">SUMIFS(CostTrack[[Value]:[Value]],CostTrack[[PA ID]:[PA ID]],$B85,CostTrack[[Vendor - Contract]:[Vendor - Contract]],$H85,CostTrack[[Holdback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85" s="504">
        <f ca="1">SUMIFS(CostTrack[[Value]:[Value]],CostTrack[[PA ID]:[PA ID]],$B85,CostTrack[[Vendor - Contract]:[Vendor - Contract]],$H85,CostTrack[[Holdback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85" s="504">
        <f ca="1">SUMIFS(CostTrack[[Value]:[Value]],CostTrack[[PA ID]:[PA ID]],$B85,CostTrack[[Vendor - Contract]:[Vendor - Contract]],$H85,CostTrack[[Holdback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85" s="504">
        <f ca="1">SUMIFS(CostTrack[[Value]:[Value]],CostTrack[[PA ID]:[PA ID]],$B85,CostTrack[[Vendor - Contract]:[Vendor - Contract]],$H85,CostTrack[[Holdback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85" s="504">
        <f ca="1">SUMIFS(CostTrack[[Value]:[Value]],CostTrack[[PA ID]:[PA ID]],$B85,CostTrack[[Vendor - Contract]:[Vendor - Contract]],$H85,CostTrack[[Holdback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85" s="512">
        <f t="shared" ca="1" si="122"/>
        <v>0</v>
      </c>
      <c r="BY85" s="504">
        <f ca="1">SUMIFS(CostTrack[[Value]:[Value]],CostTrack[[PA ID]:[PA ID]],$B85,CostTrack[[Vendor - Contract]:[Vendor - Contract]],$H85,CostTrack[[Holdback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85" s="504">
        <f ca="1">SUMIFS(CostTrack[[Value]:[Value]],CostTrack[[PA ID]:[PA ID]],$B85,CostTrack[[Vendor - Contract]:[Vendor - Contract]],$H85,CostTrack[[Holdback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85" s="504">
        <f ca="1">SUMIFS(CostTrack[[Value]:[Value]],CostTrack[[PA ID]:[PA ID]],$B85,CostTrack[[Vendor - Contract]:[Vendor - Contract]],$H85,CostTrack[[Holdback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85" s="504">
        <f ca="1">SUMIFS(CostTrack[[Value]:[Value]],CostTrack[[PA ID]:[PA ID]],$B85,CostTrack[[Vendor - Contract]:[Vendor - Contract]],$H85,CostTrack[[Holdback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85" s="504">
        <f ca="1">SUMIFS(CostTrack[[Value]:[Value]],CostTrack[[PA ID]:[PA ID]],$B85,CostTrack[[Vendor - Contract]:[Vendor - Contract]],$H85,CostTrack[[Holdback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85" s="504">
        <f ca="1">SUMIFS(CostTrack[[Value]:[Value]],CostTrack[[PA ID]:[PA ID]],$B85,CostTrack[[Vendor - Contract]:[Vendor - Contract]],$H85,CostTrack[[Holdback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85" s="504">
        <f ca="1">SUMIFS(CostTrack[[Value]:[Value]],CostTrack[[PA ID]:[PA ID]],$B85,CostTrack[[Vendor - Contract]:[Vendor - Contract]],$H85,CostTrack[[Holdback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85" s="504">
        <f ca="1">SUMIFS(CostTrack[[Value]:[Value]],CostTrack[[PA ID]:[PA ID]],$B85,CostTrack[[Vendor - Contract]:[Vendor - Contract]],$H85,CostTrack[[Holdback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85" s="504">
        <f ca="1">SUMIFS(CostTrack[[Value]:[Value]],CostTrack[[PA ID]:[PA ID]],$B85,CostTrack[[Vendor - Contract]:[Vendor - Contract]],$H85,CostTrack[[Holdback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85" s="504">
        <f ca="1">SUMIFS(CostTrack[[Value]:[Value]],CostTrack[[PA ID]:[PA ID]],$B85,CostTrack[[Vendor - Contract]:[Vendor - Contract]],$H85,CostTrack[[Holdback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85" s="504">
        <f ca="1">SUMIFS(CostTrack[[Value]:[Value]],CostTrack[[PA ID]:[PA ID]],$B85,CostTrack[[Vendor - Contract]:[Vendor - Contract]],$H85,CostTrack[[Holdback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85" s="504">
        <f ca="1">SUMIFS(CostTrack[[Value]:[Value]],CostTrack[[PA ID]:[PA ID]],$B85,CostTrack[[Vendor - Contract]:[Vendor - Contract]],$H85,CostTrack[[Holdback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85" s="512">
        <f t="shared" ca="1" si="123"/>
        <v>0</v>
      </c>
      <c r="CM85" s="504">
        <f ca="1">SUMIFS(CostTrack[[Value]:[Value]],CostTrack[[PA ID]:[PA ID]],$B85,CostTrack[[Vendor - Contract]:[Vendor - Contract]],$H85,CostTrack[[Holdback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85" s="504">
        <f ca="1">SUMIFS(CostTrack[[Value]:[Value]],CostTrack[[PA ID]:[PA ID]],$B85,CostTrack[[Vendor - Contract]:[Vendor - Contract]],$H85,CostTrack[[Holdback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85" s="504">
        <f ca="1">SUMIFS(CostTrack[[Value]:[Value]],CostTrack[[PA ID]:[PA ID]],$B85,CostTrack[[Vendor - Contract]:[Vendor - Contract]],$H85,CostTrack[[Holdback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85" s="504">
        <f ca="1">SUMIFS(CostTrack[[Value]:[Value]],CostTrack[[PA ID]:[PA ID]],$B85,CostTrack[[Vendor - Contract]:[Vendor - Contract]],$H85,CostTrack[[Holdback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85" s="504">
        <f ca="1">SUMIFS(CostTrack[[Value]:[Value]],CostTrack[[PA ID]:[PA ID]],$B85,CostTrack[[Vendor - Contract]:[Vendor - Contract]],$H85,CostTrack[[Holdback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85" s="504">
        <f ca="1">SUMIFS(CostTrack[[Value]:[Value]],CostTrack[[PA ID]:[PA ID]],$B85,CostTrack[[Vendor - Contract]:[Vendor - Contract]],$H85,CostTrack[[Holdback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85" s="504">
        <f ca="1">SUMIFS(CostTrack[[Value]:[Value]],CostTrack[[PA ID]:[PA ID]],$B85,CostTrack[[Vendor - Contract]:[Vendor - Contract]],$H85,CostTrack[[Holdback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85" s="504">
        <f ca="1">SUMIFS(CostTrack[[Value]:[Value]],CostTrack[[PA ID]:[PA ID]],$B85,CostTrack[[Vendor - Contract]:[Vendor - Contract]],$H85,CostTrack[[Holdback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85" s="504">
        <f ca="1">SUMIFS(CostTrack[[Value]:[Value]],CostTrack[[PA ID]:[PA ID]],$B85,CostTrack[[Vendor - Contract]:[Vendor - Contract]],$H85,CostTrack[[Holdback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85" s="504">
        <f ca="1">SUMIFS(CostTrack[[Value]:[Value]],CostTrack[[PA ID]:[PA ID]],$B85,CostTrack[[Vendor - Contract]:[Vendor - Contract]],$H85,CostTrack[[Holdback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85" s="504">
        <f ca="1">SUMIFS(CostTrack[[Value]:[Value]],CostTrack[[PA ID]:[PA ID]],$B85,CostTrack[[Vendor - Contract]:[Vendor - Contract]],$H85,CostTrack[[Holdback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85" s="504">
        <f ca="1">SUMIFS(CostTrack[[Value]:[Value]],CostTrack[[PA ID]:[PA ID]],$B85,CostTrack[[Vendor - Contract]:[Vendor - Contract]],$H85,CostTrack[[Holdback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85" s="512">
        <f t="shared" ca="1" si="124"/>
        <v>0</v>
      </c>
      <c r="DA85" s="504">
        <f ca="1">SUMIFS(CostTrack[[Value]:[Value]],CostTrack[[PA ID]:[PA ID]],$B85,CostTrack[[Vendor - Contract]:[Vendor - Contract]],$H85,CostTrack[[Holdback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85" s="504">
        <f ca="1">SUMIFS(CostTrack[[Value]:[Value]],CostTrack[[PA ID]:[PA ID]],$B85,CostTrack[[Vendor - Contract]:[Vendor - Contract]],$H85,CostTrack[[Holdback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85" s="504">
        <f ca="1">SUMIFS(CostTrack[[Value]:[Value]],CostTrack[[PA ID]:[PA ID]],$B85,CostTrack[[Vendor - Contract]:[Vendor - Contract]],$H85,CostTrack[[Holdback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85" s="504">
        <f ca="1">SUMIFS(CostTrack[[Value]:[Value]],CostTrack[[PA ID]:[PA ID]],$B85,CostTrack[[Vendor - Contract]:[Vendor - Contract]],$H85,CostTrack[[Holdback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85" s="504">
        <f ca="1">SUMIFS(CostTrack[[Value]:[Value]],CostTrack[[PA ID]:[PA ID]],$B85,CostTrack[[Vendor - Contract]:[Vendor - Contract]],$H85,CostTrack[[Holdback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85" s="504">
        <f ca="1">SUMIFS(CostTrack[[Value]:[Value]],CostTrack[[PA ID]:[PA ID]],$B85,CostTrack[[Vendor - Contract]:[Vendor - Contract]],$H85,CostTrack[[Holdback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85" s="504">
        <f ca="1">SUMIFS(CostTrack[[Value]:[Value]],CostTrack[[PA ID]:[PA ID]],$B85,CostTrack[[Vendor - Contract]:[Vendor - Contract]],$H85,CostTrack[[Holdback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85" s="504">
        <f ca="1">SUMIFS(CostTrack[[Value]:[Value]],CostTrack[[PA ID]:[PA ID]],$B85,CostTrack[[Vendor - Contract]:[Vendor - Contract]],$H85,CostTrack[[Holdback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85" s="504">
        <f ca="1">SUMIFS(CostTrack[[Value]:[Value]],CostTrack[[PA ID]:[PA ID]],$B85,CostTrack[[Vendor - Contract]:[Vendor - Contract]],$H85,CostTrack[[Holdback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85" s="504">
        <f ca="1">SUMIFS(CostTrack[[Value]:[Value]],CostTrack[[PA ID]:[PA ID]],$B85,CostTrack[[Vendor - Contract]:[Vendor - Contract]],$H85,CostTrack[[Holdback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85" s="504">
        <f ca="1">SUMIFS(CostTrack[[Value]:[Value]],CostTrack[[PA ID]:[PA ID]],$B85,CostTrack[[Vendor - Contract]:[Vendor - Contract]],$H85,CostTrack[[Holdback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85" s="504">
        <f ca="1">SUMIFS(CostTrack[[Value]:[Value]],CostTrack[[PA ID]:[PA ID]],$B85,CostTrack[[Vendor - Contract]:[Vendor - Contract]],$H85,CostTrack[[Holdback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85" s="512">
        <f t="shared" ca="1" si="125"/>
        <v>0</v>
      </c>
      <c r="DO85" s="504">
        <f ca="1">SUMIFS(CostTrack[[Value]:[Value]],CostTrack[[PA ID]:[PA ID]],$B85,CostTrack[[Vendor - Contract]:[Vendor - Contract]],$H85,CostTrack[[Holdback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52739.54</v>
      </c>
      <c r="DP85" s="504">
        <f ca="1">SUMIFS(CostTrack[[Value]:[Value]],CostTrack[[PA ID]:[PA ID]],$B85,CostTrack[[Vendor - Contract]:[Vendor - Contract]],$H85,CostTrack[[Holdback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85" s="504">
        <f ca="1">SUMIFS(CostTrack[[Value]:[Value]],CostTrack[[PA ID]:[PA ID]],$B85,CostTrack[[Vendor - Contract]:[Vendor - Contract]],$H85,CostTrack[[Holdback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85" s="504">
        <f ca="1">SUMIFS(CostTrack[[Value]:[Value]],CostTrack[[PA ID]:[PA ID]],$B85,CostTrack[[Vendor - Contract]:[Vendor - Contract]],$H85,CostTrack[[Holdback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85" s="504">
        <f ca="1">SUMIFS(CostTrack[[Value]:[Value]],CostTrack[[PA ID]:[PA ID]],$B85,CostTrack[[Vendor - Contract]:[Vendor - Contract]],$H85,CostTrack[[Holdback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85" s="504">
        <f ca="1">SUMIFS(CostTrack[[Value]:[Value]],CostTrack[[PA ID]:[PA ID]],$B85,CostTrack[[Vendor - Contract]:[Vendor - Contract]],$H85,CostTrack[[Holdback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85" s="504">
        <f ca="1">SUMIFS(CostTrack[[Value]:[Value]],CostTrack[[PA ID]:[PA ID]],$B85,CostTrack[[Vendor - Contract]:[Vendor - Contract]],$H85,CostTrack[[Holdback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85" s="504">
        <f ca="1">SUMIFS(CostTrack[[Value]:[Value]],CostTrack[[PA ID]:[PA ID]],$B85,CostTrack[[Vendor - Contract]:[Vendor - Contract]],$H85,CostTrack[[Holdback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85" s="504">
        <f ca="1">SUMIFS(CostTrack[[Value]:[Value]],CostTrack[[PA ID]:[PA ID]],$B85,CostTrack[[Vendor - Contract]:[Vendor - Contract]],$H85,CostTrack[[Holdback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85" s="504">
        <f ca="1">SUMIFS(CostTrack[[Value]:[Value]],CostTrack[[PA ID]:[PA ID]],$B85,CostTrack[[Vendor - Contract]:[Vendor - Contract]],$H85,CostTrack[[Holdback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85" s="504">
        <f ca="1">SUMIFS(CostTrack[[Value]:[Value]],CostTrack[[PA ID]:[PA ID]],$B85,CostTrack[[Vendor - Contract]:[Vendor - Contract]],$H85,CostTrack[[Holdback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85" s="504">
        <f ca="1">SUMIFS(CostTrack[[Value]:[Value]],CostTrack[[PA ID]:[PA ID]],$B85,CostTrack[[Vendor - Contract]:[Vendor - Contract]],$H85,CostTrack[[Holdback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85" s="512">
        <f t="shared" ca="1" si="126"/>
        <v>52739.54</v>
      </c>
      <c r="EC85" s="504">
        <f ca="1">SUMIFS(CostTrack[[Value]:[Value]],CostTrack[[PA ID]:[PA ID]],$B85,CostTrack[[Vendor - Contract]:[Vendor - Contract]],$H85,CostTrack[[Holdback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85" s="505"/>
      <c r="EE85" s="505"/>
      <c r="EF85" s="505"/>
      <c r="EG85" s="505"/>
      <c r="EH85" s="505"/>
      <c r="EI85" s="505"/>
      <c r="EJ85" s="505"/>
      <c r="EK85" s="505"/>
      <c r="EL85" s="505"/>
      <c r="EM85" s="505"/>
      <c r="EN85" s="505"/>
      <c r="EO85" s="512">
        <f t="shared" ca="1" si="127"/>
        <v>0</v>
      </c>
      <c r="EQ85" s="505"/>
      <c r="ER85" s="505"/>
      <c r="ES85" s="505"/>
      <c r="ET85" s="505"/>
      <c r="EU85" s="505"/>
      <c r="EV85" s="505"/>
      <c r="EW85" s="505"/>
      <c r="EX85" s="505"/>
      <c r="EY85" s="505"/>
      <c r="EZ85" s="505"/>
      <c r="FA85" s="505"/>
      <c r="FB85" s="505"/>
      <c r="FC85" s="512">
        <f t="shared" si="128"/>
        <v>0</v>
      </c>
      <c r="FE85" s="505"/>
      <c r="FF85" s="505"/>
      <c r="FG85" s="505"/>
      <c r="FH85" s="505"/>
      <c r="FI85" s="505"/>
      <c r="FJ85" s="505"/>
      <c r="FK85" s="505"/>
      <c r="FL85" s="505"/>
      <c r="FM85" s="505"/>
      <c r="FN85" s="505"/>
      <c r="FO85" s="505"/>
      <c r="FP85" s="505"/>
      <c r="FQ85" s="512">
        <f t="shared" si="129"/>
        <v>0</v>
      </c>
      <c r="FS85" s="504">
        <f t="shared" ca="1" si="130"/>
        <v>52739.54</v>
      </c>
    </row>
    <row r="86" spans="1:175">
      <c r="A86" s="216">
        <v>79</v>
      </c>
      <c r="B86" s="219" t="str">
        <f ca="1">INDEX(EAC[PA ID],MATCH($A86,EAC[Row],0))</f>
        <v>400.010.F1</v>
      </c>
      <c r="C86" s="218" t="str">
        <f ca="1">INDEX(EAC[Primary Category],MATCH($A86,EAC[Row],0))</f>
        <v>FE_IT</v>
      </c>
      <c r="D86" s="218" t="str">
        <f ca="1">INDEX(EAC[Secondary Category],MATCH($A86,EAC[Row],0))</f>
        <v>Furniture &amp; Equipment</v>
      </c>
      <c r="E86" s="109" t="str">
        <f ca="1">INDEX(EAC[Phase / Subproject],MATCH($A86,EAC[Row],0))</f>
        <v>--</v>
      </c>
      <c r="F86" s="109" t="str">
        <f ca="1">INDEX(EAC[Phase / Subproject 2],MATCH($A86,EAC[Row],0))</f>
        <v>--</v>
      </c>
      <c r="G86" s="109" t="str">
        <f ca="1">INDEX(EAC[Funding Source],MATCH($A86,EAC[Row],0))</f>
        <v>P-002360</v>
      </c>
      <c r="H86" s="146" t="str">
        <f ca="1">INDEX(EAC[Vendor / Org. with Contract ID],MATCH($A86,EAC[Row],0))</f>
        <v>Krug Boardroom Tables-9000054326</v>
      </c>
      <c r="I86" s="502">
        <f ca="1">INDEX(EAC[Estimate At Completion],MATCH($A86,EAC[Row],0))</f>
        <v>205685.74</v>
      </c>
      <c r="J86" s="502">
        <f ca="1">SUMIFS(CostTrack[Value],CostTrack[Vendor - Contract],$H86,CostTrack[PA ID],$B86,CostTrack[Holdback (Y/N/R)],"&lt;&gt;Release",CostTrack[Status],"Approved")</f>
        <v>205685.74</v>
      </c>
      <c r="K86" s="503">
        <f t="shared" ca="1" si="95"/>
        <v>0</v>
      </c>
      <c r="M86" s="504">
        <f t="shared" ca="1" si="110"/>
        <v>0</v>
      </c>
      <c r="O86" s="504">
        <f t="shared" ca="1" si="116"/>
        <v>205685.74</v>
      </c>
      <c r="P86" s="504">
        <f t="array" aca="1" ref="P86" ca="1">SUM($U86:$FQ86*_xlfn.ISFORMULA($U86:$FQ86)*ISNUMBER($U$7:$FQ$7)*--(INDEX($U$6:$FQ$6,N(IF({1},COLUMN($U$6:$FQ$6)-COLUMN($T$6)))-MOD(N(IF({1},COLUMN($U$6:$FQ$6)-COLUMN($U$6))),14))="Current Fiscal"))</f>
        <v>0</v>
      </c>
      <c r="Q86" s="504">
        <f t="array" aca="1" ref="Q86" ca="1">SUM($U86:$FQ86*NOT(_xlfn.ISFORMULA($U86:$FQ86))*ISNUMBER($U$7:$FQ$7)*--(INDEX($U$6:$FQ$6,N(IF({1},COLUMN($U$6:$FQ$6)-COLUMN($T$6)))-MOD(N(IF({1},COLUMN($U$6:$FQ$6)-COLUMN($U$6))),14))="Current Fiscal"))</f>
        <v>0</v>
      </c>
      <c r="R86" s="504">
        <f t="shared" ca="1" si="117"/>
        <v>0</v>
      </c>
      <c r="S86" s="504">
        <f t="shared" ca="1" si="118"/>
        <v>0</v>
      </c>
      <c r="U86" s="504">
        <f ca="1">SUMIFS(CostTrack[[Value]:[Value]],CostTrack[[PA ID]:[PA ID]],$B86,CostTrack[[Vendor - Contract]:[Vendor - Contract]],$H86,CostTrack[[Holdback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86" s="504">
        <f ca="1">SUMIFS(CostTrack[[Value]:[Value]],CostTrack[[PA ID]:[PA ID]],$B86,CostTrack[[Vendor - Contract]:[Vendor - Contract]],$H86,CostTrack[[Holdback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86" s="504">
        <f ca="1">SUMIFS(CostTrack[[Value]:[Value]],CostTrack[[PA ID]:[PA ID]],$B86,CostTrack[[Vendor - Contract]:[Vendor - Contract]],$H86,CostTrack[[Holdback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86" s="504">
        <f ca="1">SUMIFS(CostTrack[[Value]:[Value]],CostTrack[[PA ID]:[PA ID]],$B86,CostTrack[[Vendor - Contract]:[Vendor - Contract]],$H86,CostTrack[[Holdback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86" s="504">
        <f ca="1">SUMIFS(CostTrack[[Value]:[Value]],CostTrack[[PA ID]:[PA ID]],$B86,CostTrack[[Vendor - Contract]:[Vendor - Contract]],$H86,CostTrack[[Holdback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86" s="504">
        <f ca="1">SUMIFS(CostTrack[[Value]:[Value]],CostTrack[[PA ID]:[PA ID]],$B86,CostTrack[[Vendor - Contract]:[Vendor - Contract]],$H86,CostTrack[[Holdback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86" s="504">
        <f ca="1">SUMIFS(CostTrack[[Value]:[Value]],CostTrack[[PA ID]:[PA ID]],$B86,CostTrack[[Vendor - Contract]:[Vendor - Contract]],$H86,CostTrack[[Holdback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86" s="504">
        <f ca="1">SUMIFS(CostTrack[[Value]:[Value]],CostTrack[[PA ID]:[PA ID]],$B86,CostTrack[[Vendor - Contract]:[Vendor - Contract]],$H86,CostTrack[[Holdback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86" s="504">
        <f ca="1">SUMIFS(CostTrack[[Value]:[Value]],CostTrack[[PA ID]:[PA ID]],$B86,CostTrack[[Vendor - Contract]:[Vendor - Contract]],$H86,CostTrack[[Holdback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86" s="504">
        <f ca="1">SUMIFS(CostTrack[[Value]:[Value]],CostTrack[[PA ID]:[PA ID]],$B86,CostTrack[[Vendor - Contract]:[Vendor - Contract]],$H86,CostTrack[[Holdback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86" s="504">
        <f ca="1">SUMIFS(CostTrack[[Value]:[Value]],CostTrack[[PA ID]:[PA ID]],$B86,CostTrack[[Vendor - Contract]:[Vendor - Contract]],$H86,CostTrack[[Holdback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86" s="504">
        <f ca="1">SUMIFS(CostTrack[[Value]:[Value]],CostTrack[[PA ID]:[PA ID]],$B86,CostTrack[[Vendor - Contract]:[Vendor - Contract]],$H86,CostTrack[[Holdback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86" s="506">
        <f t="shared" ca="1" si="119"/>
        <v>0</v>
      </c>
      <c r="AI86" s="504">
        <f ca="1">SUMIFS(CostTrack[[Value]:[Value]],CostTrack[[PA ID]:[PA ID]],$B86,CostTrack[[Vendor - Contract]:[Vendor - Contract]],$H86,CostTrack[[Holdback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86" s="504">
        <f ca="1">SUMIFS(CostTrack[[Value]:[Value]],CostTrack[[PA ID]:[PA ID]],$B86,CostTrack[[Vendor - Contract]:[Vendor - Contract]],$H86,CostTrack[[Holdback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86" s="504">
        <f ca="1">SUMIFS(CostTrack[[Value]:[Value]],CostTrack[[PA ID]:[PA ID]],$B86,CostTrack[[Vendor - Contract]:[Vendor - Contract]],$H86,CostTrack[[Holdback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86" s="504">
        <f ca="1">SUMIFS(CostTrack[[Value]:[Value]],CostTrack[[PA ID]:[PA ID]],$B86,CostTrack[[Vendor - Contract]:[Vendor - Contract]],$H86,CostTrack[[Holdback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86" s="504">
        <f ca="1">SUMIFS(CostTrack[[Value]:[Value]],CostTrack[[PA ID]:[PA ID]],$B86,CostTrack[[Vendor - Contract]:[Vendor - Contract]],$H86,CostTrack[[Holdback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86" s="504">
        <f ca="1">SUMIFS(CostTrack[[Value]:[Value]],CostTrack[[PA ID]:[PA ID]],$B86,CostTrack[[Vendor - Contract]:[Vendor - Contract]],$H86,CostTrack[[Holdback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86" s="504">
        <f ca="1">SUMIFS(CostTrack[[Value]:[Value]],CostTrack[[PA ID]:[PA ID]],$B86,CostTrack[[Vendor - Contract]:[Vendor - Contract]],$H86,CostTrack[[Holdback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86" s="504">
        <f ca="1">SUMIFS(CostTrack[[Value]:[Value]],CostTrack[[PA ID]:[PA ID]],$B86,CostTrack[[Vendor - Contract]:[Vendor - Contract]],$H86,CostTrack[[Holdback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86" s="504">
        <f ca="1">SUMIFS(CostTrack[[Value]:[Value]],CostTrack[[PA ID]:[PA ID]],$B86,CostTrack[[Vendor - Contract]:[Vendor - Contract]],$H86,CostTrack[[Holdback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86" s="504">
        <f ca="1">SUMIFS(CostTrack[[Value]:[Value]],CostTrack[[PA ID]:[PA ID]],$B86,CostTrack[[Vendor - Contract]:[Vendor - Contract]],$H86,CostTrack[[Holdback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86" s="504">
        <f ca="1">SUMIFS(CostTrack[[Value]:[Value]],CostTrack[[PA ID]:[PA ID]],$B86,CostTrack[[Vendor - Contract]:[Vendor - Contract]],$H86,CostTrack[[Holdback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86" s="504">
        <f ca="1">SUMIFS(CostTrack[[Value]:[Value]],CostTrack[[PA ID]:[PA ID]],$B86,CostTrack[[Vendor - Contract]:[Vendor - Contract]],$H86,CostTrack[[Holdback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86" s="512">
        <f t="shared" ca="1" si="120"/>
        <v>0</v>
      </c>
      <c r="AW86" s="504">
        <f ca="1">SUMIFS(CostTrack[[Value]:[Value]],CostTrack[[PA ID]:[PA ID]],$B86,CostTrack[[Vendor - Contract]:[Vendor - Contract]],$H86,CostTrack[[Holdback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86" s="504">
        <f ca="1">SUMIFS(CostTrack[[Value]:[Value]],CostTrack[[PA ID]:[PA ID]],$B86,CostTrack[[Vendor - Contract]:[Vendor - Contract]],$H86,CostTrack[[Holdback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86" s="504">
        <f ca="1">SUMIFS(CostTrack[[Value]:[Value]],CostTrack[[PA ID]:[PA ID]],$B86,CostTrack[[Vendor - Contract]:[Vendor - Contract]],$H86,CostTrack[[Holdback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86" s="504">
        <f ca="1">SUMIFS(CostTrack[[Value]:[Value]],CostTrack[[PA ID]:[PA ID]],$B86,CostTrack[[Vendor - Contract]:[Vendor - Contract]],$H86,CostTrack[[Holdback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86" s="504">
        <f ca="1">SUMIFS(CostTrack[[Value]:[Value]],CostTrack[[PA ID]:[PA ID]],$B86,CostTrack[[Vendor - Contract]:[Vendor - Contract]],$H86,CostTrack[[Holdback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86" s="504">
        <f ca="1">SUMIFS(CostTrack[[Value]:[Value]],CostTrack[[PA ID]:[PA ID]],$B86,CostTrack[[Vendor - Contract]:[Vendor - Contract]],$H86,CostTrack[[Holdback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86" s="504">
        <f ca="1">SUMIFS(CostTrack[[Value]:[Value]],CostTrack[[PA ID]:[PA ID]],$B86,CostTrack[[Vendor - Contract]:[Vendor - Contract]],$H86,CostTrack[[Holdback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86" s="504">
        <f ca="1">SUMIFS(CostTrack[[Value]:[Value]],CostTrack[[PA ID]:[PA ID]],$B86,CostTrack[[Vendor - Contract]:[Vendor - Contract]],$H86,CostTrack[[Holdback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86" s="504">
        <f ca="1">SUMIFS(CostTrack[[Value]:[Value]],CostTrack[[PA ID]:[PA ID]],$B86,CostTrack[[Vendor - Contract]:[Vendor - Contract]],$H86,CostTrack[[Holdback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86" s="504">
        <f ca="1">SUMIFS(CostTrack[[Value]:[Value]],CostTrack[[PA ID]:[PA ID]],$B86,CostTrack[[Vendor - Contract]:[Vendor - Contract]],$H86,CostTrack[[Holdback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86" s="504">
        <f ca="1">SUMIFS(CostTrack[[Value]:[Value]],CostTrack[[PA ID]:[PA ID]],$B86,CostTrack[[Vendor - Contract]:[Vendor - Contract]],$H86,CostTrack[[Holdback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86" s="504">
        <f ca="1">SUMIFS(CostTrack[[Value]:[Value]],CostTrack[[PA ID]:[PA ID]],$B86,CostTrack[[Vendor - Contract]:[Vendor - Contract]],$H86,CostTrack[[Holdback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86" s="512">
        <f t="shared" ca="1" si="121"/>
        <v>0</v>
      </c>
      <c r="BK86" s="504">
        <f ca="1">SUMIFS(CostTrack[[Value]:[Value]],CostTrack[[PA ID]:[PA ID]],$B86,CostTrack[[Vendor - Contract]:[Vendor - Contract]],$H86,CostTrack[[Holdback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86" s="504">
        <f ca="1">SUMIFS(CostTrack[[Value]:[Value]],CostTrack[[PA ID]:[PA ID]],$B86,CostTrack[[Vendor - Contract]:[Vendor - Contract]],$H86,CostTrack[[Holdback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86" s="504">
        <f ca="1">SUMIFS(CostTrack[[Value]:[Value]],CostTrack[[PA ID]:[PA ID]],$B86,CostTrack[[Vendor - Contract]:[Vendor - Contract]],$H86,CostTrack[[Holdback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86" s="504">
        <f ca="1">SUMIFS(CostTrack[[Value]:[Value]],CostTrack[[PA ID]:[PA ID]],$B86,CostTrack[[Vendor - Contract]:[Vendor - Contract]],$H86,CostTrack[[Holdback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86" s="504">
        <f ca="1">SUMIFS(CostTrack[[Value]:[Value]],CostTrack[[PA ID]:[PA ID]],$B86,CostTrack[[Vendor - Contract]:[Vendor - Contract]],$H86,CostTrack[[Holdback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86" s="504">
        <f ca="1">SUMIFS(CostTrack[[Value]:[Value]],CostTrack[[PA ID]:[PA ID]],$B86,CostTrack[[Vendor - Contract]:[Vendor - Contract]],$H86,CostTrack[[Holdback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86" s="504">
        <f ca="1">SUMIFS(CostTrack[[Value]:[Value]],CostTrack[[PA ID]:[PA ID]],$B86,CostTrack[[Vendor - Contract]:[Vendor - Contract]],$H86,CostTrack[[Holdback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86" s="504">
        <f ca="1">SUMIFS(CostTrack[[Value]:[Value]],CostTrack[[PA ID]:[PA ID]],$B86,CostTrack[[Vendor - Contract]:[Vendor - Contract]],$H86,CostTrack[[Holdback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86" s="504">
        <f ca="1">SUMIFS(CostTrack[[Value]:[Value]],CostTrack[[PA ID]:[PA ID]],$B86,CostTrack[[Vendor - Contract]:[Vendor - Contract]],$H86,CostTrack[[Holdback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86" s="504">
        <f ca="1">SUMIFS(CostTrack[[Value]:[Value]],CostTrack[[PA ID]:[PA ID]],$B86,CostTrack[[Vendor - Contract]:[Vendor - Contract]],$H86,CostTrack[[Holdback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86" s="504">
        <f ca="1">SUMIFS(CostTrack[[Value]:[Value]],CostTrack[[PA ID]:[PA ID]],$B86,CostTrack[[Vendor - Contract]:[Vendor - Contract]],$H86,CostTrack[[Holdback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86" s="504">
        <f ca="1">SUMIFS(CostTrack[[Value]:[Value]],CostTrack[[PA ID]:[PA ID]],$B86,CostTrack[[Vendor - Contract]:[Vendor - Contract]],$H86,CostTrack[[Holdback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86" s="512">
        <f t="shared" ca="1" si="122"/>
        <v>0</v>
      </c>
      <c r="BY86" s="504">
        <f ca="1">SUMIFS(CostTrack[[Value]:[Value]],CostTrack[[PA ID]:[PA ID]],$B86,CostTrack[[Vendor - Contract]:[Vendor - Contract]],$H86,CostTrack[[Holdback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86" s="504">
        <f ca="1">SUMIFS(CostTrack[[Value]:[Value]],CostTrack[[PA ID]:[PA ID]],$B86,CostTrack[[Vendor - Contract]:[Vendor - Contract]],$H86,CostTrack[[Holdback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86" s="504">
        <f ca="1">SUMIFS(CostTrack[[Value]:[Value]],CostTrack[[PA ID]:[PA ID]],$B86,CostTrack[[Vendor - Contract]:[Vendor - Contract]],$H86,CostTrack[[Holdback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86" s="504">
        <f ca="1">SUMIFS(CostTrack[[Value]:[Value]],CostTrack[[PA ID]:[PA ID]],$B86,CostTrack[[Vendor - Contract]:[Vendor - Contract]],$H86,CostTrack[[Holdback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86" s="504">
        <f ca="1">SUMIFS(CostTrack[[Value]:[Value]],CostTrack[[PA ID]:[PA ID]],$B86,CostTrack[[Vendor - Contract]:[Vendor - Contract]],$H86,CostTrack[[Holdback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86" s="504">
        <f ca="1">SUMIFS(CostTrack[[Value]:[Value]],CostTrack[[PA ID]:[PA ID]],$B86,CostTrack[[Vendor - Contract]:[Vendor - Contract]],$H86,CostTrack[[Holdback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86" s="504">
        <f ca="1">SUMIFS(CostTrack[[Value]:[Value]],CostTrack[[PA ID]:[PA ID]],$B86,CostTrack[[Vendor - Contract]:[Vendor - Contract]],$H86,CostTrack[[Holdback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86" s="504">
        <f ca="1">SUMIFS(CostTrack[[Value]:[Value]],CostTrack[[PA ID]:[PA ID]],$B86,CostTrack[[Vendor - Contract]:[Vendor - Contract]],$H86,CostTrack[[Holdback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86" s="504">
        <f ca="1">SUMIFS(CostTrack[[Value]:[Value]],CostTrack[[PA ID]:[PA ID]],$B86,CostTrack[[Vendor - Contract]:[Vendor - Contract]],$H86,CostTrack[[Holdback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86" s="504">
        <f ca="1">SUMIFS(CostTrack[[Value]:[Value]],CostTrack[[PA ID]:[PA ID]],$B86,CostTrack[[Vendor - Contract]:[Vendor - Contract]],$H86,CostTrack[[Holdback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86" s="504">
        <f ca="1">SUMIFS(CostTrack[[Value]:[Value]],CostTrack[[PA ID]:[PA ID]],$B86,CostTrack[[Vendor - Contract]:[Vendor - Contract]],$H86,CostTrack[[Holdback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86" s="504">
        <f ca="1">SUMIFS(CostTrack[[Value]:[Value]],CostTrack[[PA ID]:[PA ID]],$B86,CostTrack[[Vendor - Contract]:[Vendor - Contract]],$H86,CostTrack[[Holdback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86" s="512">
        <f t="shared" ca="1" si="123"/>
        <v>0</v>
      </c>
      <c r="CM86" s="504">
        <f ca="1">SUMIFS(CostTrack[[Value]:[Value]],CostTrack[[PA ID]:[PA ID]],$B86,CostTrack[[Vendor - Contract]:[Vendor - Contract]],$H86,CostTrack[[Holdback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86" s="504">
        <f ca="1">SUMIFS(CostTrack[[Value]:[Value]],CostTrack[[PA ID]:[PA ID]],$B86,CostTrack[[Vendor - Contract]:[Vendor - Contract]],$H86,CostTrack[[Holdback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86" s="504">
        <f ca="1">SUMIFS(CostTrack[[Value]:[Value]],CostTrack[[PA ID]:[PA ID]],$B86,CostTrack[[Vendor - Contract]:[Vendor - Contract]],$H86,CostTrack[[Holdback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86" s="504">
        <f ca="1">SUMIFS(CostTrack[[Value]:[Value]],CostTrack[[PA ID]:[PA ID]],$B86,CostTrack[[Vendor - Contract]:[Vendor - Contract]],$H86,CostTrack[[Holdback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86" s="504">
        <f ca="1">SUMIFS(CostTrack[[Value]:[Value]],CostTrack[[PA ID]:[PA ID]],$B86,CostTrack[[Vendor - Contract]:[Vendor - Contract]],$H86,CostTrack[[Holdback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86" s="504">
        <f ca="1">SUMIFS(CostTrack[[Value]:[Value]],CostTrack[[PA ID]:[PA ID]],$B86,CostTrack[[Vendor - Contract]:[Vendor - Contract]],$H86,CostTrack[[Holdback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86" s="504">
        <f ca="1">SUMIFS(CostTrack[[Value]:[Value]],CostTrack[[PA ID]:[PA ID]],$B86,CostTrack[[Vendor - Contract]:[Vendor - Contract]],$H86,CostTrack[[Holdback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86" s="504">
        <f ca="1">SUMIFS(CostTrack[[Value]:[Value]],CostTrack[[PA ID]:[PA ID]],$B86,CostTrack[[Vendor - Contract]:[Vendor - Contract]],$H86,CostTrack[[Holdback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86" s="504">
        <f ca="1">SUMIFS(CostTrack[[Value]:[Value]],CostTrack[[PA ID]:[PA ID]],$B86,CostTrack[[Vendor - Contract]:[Vendor - Contract]],$H86,CostTrack[[Holdback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86" s="504">
        <f ca="1">SUMIFS(CostTrack[[Value]:[Value]],CostTrack[[PA ID]:[PA ID]],$B86,CostTrack[[Vendor - Contract]:[Vendor - Contract]],$H86,CostTrack[[Holdback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86" s="504">
        <f ca="1">SUMIFS(CostTrack[[Value]:[Value]],CostTrack[[PA ID]:[PA ID]],$B86,CostTrack[[Vendor - Contract]:[Vendor - Contract]],$H86,CostTrack[[Holdback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86" s="504">
        <f ca="1">SUMIFS(CostTrack[[Value]:[Value]],CostTrack[[PA ID]:[PA ID]],$B86,CostTrack[[Vendor - Contract]:[Vendor - Contract]],$H86,CostTrack[[Holdback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86" s="512">
        <f t="shared" ca="1" si="124"/>
        <v>0</v>
      </c>
      <c r="DA86" s="504">
        <f ca="1">SUMIFS(CostTrack[[Value]:[Value]],CostTrack[[PA ID]:[PA ID]],$B86,CostTrack[[Vendor - Contract]:[Vendor - Contract]],$H86,CostTrack[[Holdback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86" s="504">
        <f ca="1">SUMIFS(CostTrack[[Value]:[Value]],CostTrack[[PA ID]:[PA ID]],$B86,CostTrack[[Vendor - Contract]:[Vendor - Contract]],$H86,CostTrack[[Holdback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86" s="504">
        <f ca="1">SUMIFS(CostTrack[[Value]:[Value]],CostTrack[[PA ID]:[PA ID]],$B86,CostTrack[[Vendor - Contract]:[Vendor - Contract]],$H86,CostTrack[[Holdback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86" s="504">
        <f ca="1">SUMIFS(CostTrack[[Value]:[Value]],CostTrack[[PA ID]:[PA ID]],$B86,CostTrack[[Vendor - Contract]:[Vendor - Contract]],$H86,CostTrack[[Holdback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86" s="504">
        <f ca="1">SUMIFS(CostTrack[[Value]:[Value]],CostTrack[[PA ID]:[PA ID]],$B86,CostTrack[[Vendor - Contract]:[Vendor - Contract]],$H86,CostTrack[[Holdback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86" s="504">
        <f ca="1">SUMIFS(CostTrack[[Value]:[Value]],CostTrack[[PA ID]:[PA ID]],$B86,CostTrack[[Vendor - Contract]:[Vendor - Contract]],$H86,CostTrack[[Holdback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86" s="504">
        <f ca="1">SUMIFS(CostTrack[[Value]:[Value]],CostTrack[[PA ID]:[PA ID]],$B86,CostTrack[[Vendor - Contract]:[Vendor - Contract]],$H86,CostTrack[[Holdback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86" s="504">
        <f ca="1">SUMIFS(CostTrack[[Value]:[Value]],CostTrack[[PA ID]:[PA ID]],$B86,CostTrack[[Vendor - Contract]:[Vendor - Contract]],$H86,CostTrack[[Holdback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205685.74</v>
      </c>
      <c r="DI86" s="504">
        <f ca="1">SUMIFS(CostTrack[[Value]:[Value]],CostTrack[[PA ID]:[PA ID]],$B86,CostTrack[[Vendor - Contract]:[Vendor - Contract]],$H86,CostTrack[[Holdback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86" s="504">
        <f ca="1">SUMIFS(CostTrack[[Value]:[Value]],CostTrack[[PA ID]:[PA ID]],$B86,CostTrack[[Vendor - Contract]:[Vendor - Contract]],$H86,CostTrack[[Holdback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86" s="504">
        <f ca="1">SUMIFS(CostTrack[[Value]:[Value]],CostTrack[[PA ID]:[PA ID]],$B86,CostTrack[[Vendor - Contract]:[Vendor - Contract]],$H86,CostTrack[[Holdback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86" s="504">
        <f ca="1">SUMIFS(CostTrack[[Value]:[Value]],CostTrack[[PA ID]:[PA ID]],$B86,CostTrack[[Vendor - Contract]:[Vendor - Contract]],$H86,CostTrack[[Holdback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86" s="512">
        <f t="shared" ca="1" si="125"/>
        <v>205685.74</v>
      </c>
      <c r="DO86" s="504">
        <f ca="1">SUMIFS(CostTrack[[Value]:[Value]],CostTrack[[PA ID]:[PA ID]],$B86,CostTrack[[Vendor - Contract]:[Vendor - Contract]],$H86,CostTrack[[Holdback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86" s="504">
        <f ca="1">SUMIFS(CostTrack[[Value]:[Value]],CostTrack[[PA ID]:[PA ID]],$B86,CostTrack[[Vendor - Contract]:[Vendor - Contract]],$H86,CostTrack[[Holdback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86" s="504">
        <f ca="1">SUMIFS(CostTrack[[Value]:[Value]],CostTrack[[PA ID]:[PA ID]],$B86,CostTrack[[Vendor - Contract]:[Vendor - Contract]],$H86,CostTrack[[Holdback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86" s="504">
        <f ca="1">SUMIFS(CostTrack[[Value]:[Value]],CostTrack[[PA ID]:[PA ID]],$B86,CostTrack[[Vendor - Contract]:[Vendor - Contract]],$H86,CostTrack[[Holdback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86" s="504">
        <f ca="1">SUMIFS(CostTrack[[Value]:[Value]],CostTrack[[PA ID]:[PA ID]],$B86,CostTrack[[Vendor - Contract]:[Vendor - Contract]],$H86,CostTrack[[Holdback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86" s="504">
        <f ca="1">SUMIFS(CostTrack[[Value]:[Value]],CostTrack[[PA ID]:[PA ID]],$B86,CostTrack[[Vendor - Contract]:[Vendor - Contract]],$H86,CostTrack[[Holdback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86" s="504">
        <f ca="1">SUMIFS(CostTrack[[Value]:[Value]],CostTrack[[PA ID]:[PA ID]],$B86,CostTrack[[Vendor - Contract]:[Vendor - Contract]],$H86,CostTrack[[Holdback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86" s="504">
        <f ca="1">SUMIFS(CostTrack[[Value]:[Value]],CostTrack[[PA ID]:[PA ID]],$B86,CostTrack[[Vendor - Contract]:[Vendor - Contract]],$H86,CostTrack[[Holdback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86" s="504">
        <f ca="1">SUMIFS(CostTrack[[Value]:[Value]],CostTrack[[PA ID]:[PA ID]],$B86,CostTrack[[Vendor - Contract]:[Vendor - Contract]],$H86,CostTrack[[Holdback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86" s="504">
        <f ca="1">SUMIFS(CostTrack[[Value]:[Value]],CostTrack[[PA ID]:[PA ID]],$B86,CostTrack[[Vendor - Contract]:[Vendor - Contract]],$H86,CostTrack[[Holdback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86" s="504">
        <f ca="1">SUMIFS(CostTrack[[Value]:[Value]],CostTrack[[PA ID]:[PA ID]],$B86,CostTrack[[Vendor - Contract]:[Vendor - Contract]],$H86,CostTrack[[Holdback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86" s="504">
        <f ca="1">SUMIFS(CostTrack[[Value]:[Value]],CostTrack[[PA ID]:[PA ID]],$B86,CostTrack[[Vendor - Contract]:[Vendor - Contract]],$H86,CostTrack[[Holdback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86" s="512">
        <f t="shared" ca="1" si="126"/>
        <v>0</v>
      </c>
      <c r="EC86" s="504">
        <f ca="1">SUMIFS(CostTrack[[Value]:[Value]],CostTrack[[PA ID]:[PA ID]],$B86,CostTrack[[Vendor - Contract]:[Vendor - Contract]],$H86,CostTrack[[Holdback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86" s="505"/>
      <c r="EE86" s="505"/>
      <c r="EF86" s="505"/>
      <c r="EG86" s="505"/>
      <c r="EH86" s="505"/>
      <c r="EI86" s="505"/>
      <c r="EJ86" s="505"/>
      <c r="EK86" s="505"/>
      <c r="EL86" s="505"/>
      <c r="EM86" s="505"/>
      <c r="EN86" s="505"/>
      <c r="EO86" s="512">
        <f t="shared" ca="1" si="127"/>
        <v>0</v>
      </c>
      <c r="EQ86" s="505"/>
      <c r="ER86" s="505"/>
      <c r="ES86" s="505"/>
      <c r="ET86" s="505"/>
      <c r="EU86" s="505"/>
      <c r="EV86" s="505"/>
      <c r="EW86" s="505"/>
      <c r="EX86" s="505"/>
      <c r="EY86" s="505"/>
      <c r="EZ86" s="505"/>
      <c r="FA86" s="505"/>
      <c r="FB86" s="505"/>
      <c r="FC86" s="512">
        <f t="shared" si="128"/>
        <v>0</v>
      </c>
      <c r="FE86" s="505"/>
      <c r="FF86" s="505"/>
      <c r="FG86" s="505"/>
      <c r="FH86" s="505"/>
      <c r="FI86" s="505"/>
      <c r="FJ86" s="505"/>
      <c r="FK86" s="505"/>
      <c r="FL86" s="505"/>
      <c r="FM86" s="505"/>
      <c r="FN86" s="505"/>
      <c r="FO86" s="505"/>
      <c r="FP86" s="505"/>
      <c r="FQ86" s="512">
        <f t="shared" si="129"/>
        <v>0</v>
      </c>
      <c r="FS86" s="504">
        <f t="shared" ca="1" si="130"/>
        <v>205685.74</v>
      </c>
    </row>
    <row r="87" spans="1:175">
      <c r="A87" s="216">
        <v>80</v>
      </c>
      <c r="B87" s="219" t="str">
        <f ca="1">INDEX(EAC[PA ID],MATCH($A87,EAC[Row],0))</f>
        <v>400.010.F1</v>
      </c>
      <c r="C87" s="218" t="str">
        <f ca="1">INDEX(EAC[Primary Category],MATCH($A87,EAC[Row],0))</f>
        <v>FE_IT</v>
      </c>
      <c r="D87" s="218" t="str">
        <f ca="1">INDEX(EAC[Secondary Category],MATCH($A87,EAC[Row],0))</f>
        <v>Furniture &amp; Equipment</v>
      </c>
      <c r="E87" s="109" t="str">
        <f ca="1">INDEX(EAC[Phase / Subproject],MATCH($A87,EAC[Row],0))</f>
        <v>--</v>
      </c>
      <c r="F87" s="109" t="str">
        <f ca="1">INDEX(EAC[Phase / Subproject 2],MATCH($A87,EAC[Row],0))</f>
        <v>--</v>
      </c>
      <c r="G87" s="109" t="str">
        <f ca="1">INDEX(EAC[Funding Source],MATCH($A87,EAC[Row],0))</f>
        <v>P-002360</v>
      </c>
      <c r="H87" s="146" t="str">
        <f ca="1">INDEX(EAC[Vendor / Org. with Contract ID],MATCH($A87,EAC[Row],0))</f>
        <v>Looker Office furniture- lounge &amp;occasional tables-</v>
      </c>
      <c r="I87" s="502">
        <f ca="1">INDEX(EAC[Estimate At Completion],MATCH($A87,EAC[Row],0))</f>
        <v>0</v>
      </c>
      <c r="J87" s="502">
        <f ca="1">SUMIFS(CostTrack[Value],CostTrack[Vendor - Contract],$H87,CostTrack[PA ID],$B87,CostTrack[Holdback (Y/N/R)],"&lt;&gt;Release",CostTrack[Status],"Approved")</f>
        <v>0</v>
      </c>
      <c r="K87" s="503">
        <f t="shared" ca="1" si="95"/>
        <v>0</v>
      </c>
      <c r="M87" s="504">
        <f t="shared" ca="1" si="110"/>
        <v>0</v>
      </c>
      <c r="O87" s="504">
        <f t="shared" ca="1" si="116"/>
        <v>0</v>
      </c>
      <c r="P87" s="504">
        <f t="array" aca="1" ref="P87" ca="1">SUM($U87:$FQ87*_xlfn.ISFORMULA($U87:$FQ87)*ISNUMBER($U$7:$FQ$7)*--(INDEX($U$6:$FQ$6,N(IF({1},COLUMN($U$6:$FQ$6)-COLUMN($T$6)))-MOD(N(IF({1},COLUMN($U$6:$FQ$6)-COLUMN($U$6))),14))="Current Fiscal"))</f>
        <v>0</v>
      </c>
      <c r="Q87" s="504">
        <f t="array" aca="1" ref="Q87" ca="1">SUM($U87:$FQ87*NOT(_xlfn.ISFORMULA($U87:$FQ87))*ISNUMBER($U$7:$FQ$7)*--(INDEX($U$6:$FQ$6,N(IF({1},COLUMN($U$6:$FQ$6)-COLUMN($T$6)))-MOD(N(IF({1},COLUMN($U$6:$FQ$6)-COLUMN($U$6))),14))="Current Fiscal"))</f>
        <v>0</v>
      </c>
      <c r="R87" s="504">
        <f t="shared" ca="1" si="117"/>
        <v>0</v>
      </c>
      <c r="S87" s="504">
        <f t="shared" ca="1" si="118"/>
        <v>0</v>
      </c>
      <c r="U87" s="504">
        <f ca="1">SUMIFS(CostTrack[[Value]:[Value]],CostTrack[[PA ID]:[PA ID]],$B87,CostTrack[[Vendor - Contract]:[Vendor - Contract]],$H87,CostTrack[[Holdback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87" s="504">
        <f ca="1">SUMIFS(CostTrack[[Value]:[Value]],CostTrack[[PA ID]:[PA ID]],$B87,CostTrack[[Vendor - Contract]:[Vendor - Contract]],$H87,CostTrack[[Holdback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87" s="504">
        <f ca="1">SUMIFS(CostTrack[[Value]:[Value]],CostTrack[[PA ID]:[PA ID]],$B87,CostTrack[[Vendor - Contract]:[Vendor - Contract]],$H87,CostTrack[[Holdback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87" s="504">
        <f ca="1">SUMIFS(CostTrack[[Value]:[Value]],CostTrack[[PA ID]:[PA ID]],$B87,CostTrack[[Vendor - Contract]:[Vendor - Contract]],$H87,CostTrack[[Holdback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87" s="504">
        <f ca="1">SUMIFS(CostTrack[[Value]:[Value]],CostTrack[[PA ID]:[PA ID]],$B87,CostTrack[[Vendor - Contract]:[Vendor - Contract]],$H87,CostTrack[[Holdback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87" s="504">
        <f ca="1">SUMIFS(CostTrack[[Value]:[Value]],CostTrack[[PA ID]:[PA ID]],$B87,CostTrack[[Vendor - Contract]:[Vendor - Contract]],$H87,CostTrack[[Holdback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87" s="504">
        <f ca="1">SUMIFS(CostTrack[[Value]:[Value]],CostTrack[[PA ID]:[PA ID]],$B87,CostTrack[[Vendor - Contract]:[Vendor - Contract]],$H87,CostTrack[[Holdback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87" s="504">
        <f ca="1">SUMIFS(CostTrack[[Value]:[Value]],CostTrack[[PA ID]:[PA ID]],$B87,CostTrack[[Vendor - Contract]:[Vendor - Contract]],$H87,CostTrack[[Holdback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87" s="504">
        <f ca="1">SUMIFS(CostTrack[[Value]:[Value]],CostTrack[[PA ID]:[PA ID]],$B87,CostTrack[[Vendor - Contract]:[Vendor - Contract]],$H87,CostTrack[[Holdback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87" s="504">
        <f ca="1">SUMIFS(CostTrack[[Value]:[Value]],CostTrack[[PA ID]:[PA ID]],$B87,CostTrack[[Vendor - Contract]:[Vendor - Contract]],$H87,CostTrack[[Holdback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87" s="504">
        <f ca="1">SUMIFS(CostTrack[[Value]:[Value]],CostTrack[[PA ID]:[PA ID]],$B87,CostTrack[[Vendor - Contract]:[Vendor - Contract]],$H87,CostTrack[[Holdback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87" s="504">
        <f ca="1">SUMIFS(CostTrack[[Value]:[Value]],CostTrack[[PA ID]:[PA ID]],$B87,CostTrack[[Vendor - Contract]:[Vendor - Contract]],$H87,CostTrack[[Holdback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87" s="506">
        <f t="shared" ca="1" si="119"/>
        <v>0</v>
      </c>
      <c r="AI87" s="504">
        <f ca="1">SUMIFS(CostTrack[[Value]:[Value]],CostTrack[[PA ID]:[PA ID]],$B87,CostTrack[[Vendor - Contract]:[Vendor - Contract]],$H87,CostTrack[[Holdback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87" s="504">
        <f ca="1">SUMIFS(CostTrack[[Value]:[Value]],CostTrack[[PA ID]:[PA ID]],$B87,CostTrack[[Vendor - Contract]:[Vendor - Contract]],$H87,CostTrack[[Holdback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87" s="504">
        <f ca="1">SUMIFS(CostTrack[[Value]:[Value]],CostTrack[[PA ID]:[PA ID]],$B87,CostTrack[[Vendor - Contract]:[Vendor - Contract]],$H87,CostTrack[[Holdback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87" s="504">
        <f ca="1">SUMIFS(CostTrack[[Value]:[Value]],CostTrack[[PA ID]:[PA ID]],$B87,CostTrack[[Vendor - Contract]:[Vendor - Contract]],$H87,CostTrack[[Holdback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87" s="504">
        <f ca="1">SUMIFS(CostTrack[[Value]:[Value]],CostTrack[[PA ID]:[PA ID]],$B87,CostTrack[[Vendor - Contract]:[Vendor - Contract]],$H87,CostTrack[[Holdback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87" s="504">
        <f ca="1">SUMIFS(CostTrack[[Value]:[Value]],CostTrack[[PA ID]:[PA ID]],$B87,CostTrack[[Vendor - Contract]:[Vendor - Contract]],$H87,CostTrack[[Holdback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87" s="504">
        <f ca="1">SUMIFS(CostTrack[[Value]:[Value]],CostTrack[[PA ID]:[PA ID]],$B87,CostTrack[[Vendor - Contract]:[Vendor - Contract]],$H87,CostTrack[[Holdback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87" s="504">
        <f ca="1">SUMIFS(CostTrack[[Value]:[Value]],CostTrack[[PA ID]:[PA ID]],$B87,CostTrack[[Vendor - Contract]:[Vendor - Contract]],$H87,CostTrack[[Holdback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87" s="504">
        <f ca="1">SUMIFS(CostTrack[[Value]:[Value]],CostTrack[[PA ID]:[PA ID]],$B87,CostTrack[[Vendor - Contract]:[Vendor - Contract]],$H87,CostTrack[[Holdback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87" s="504">
        <f ca="1">SUMIFS(CostTrack[[Value]:[Value]],CostTrack[[PA ID]:[PA ID]],$B87,CostTrack[[Vendor - Contract]:[Vendor - Contract]],$H87,CostTrack[[Holdback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87" s="504">
        <f ca="1">SUMIFS(CostTrack[[Value]:[Value]],CostTrack[[PA ID]:[PA ID]],$B87,CostTrack[[Vendor - Contract]:[Vendor - Contract]],$H87,CostTrack[[Holdback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87" s="504">
        <f ca="1">SUMIFS(CostTrack[[Value]:[Value]],CostTrack[[PA ID]:[PA ID]],$B87,CostTrack[[Vendor - Contract]:[Vendor - Contract]],$H87,CostTrack[[Holdback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87" s="512">
        <f t="shared" ca="1" si="120"/>
        <v>0</v>
      </c>
      <c r="AW87" s="504">
        <f ca="1">SUMIFS(CostTrack[[Value]:[Value]],CostTrack[[PA ID]:[PA ID]],$B87,CostTrack[[Vendor - Contract]:[Vendor - Contract]],$H87,CostTrack[[Holdback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87" s="504">
        <f ca="1">SUMIFS(CostTrack[[Value]:[Value]],CostTrack[[PA ID]:[PA ID]],$B87,CostTrack[[Vendor - Contract]:[Vendor - Contract]],$H87,CostTrack[[Holdback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87" s="504">
        <f ca="1">SUMIFS(CostTrack[[Value]:[Value]],CostTrack[[PA ID]:[PA ID]],$B87,CostTrack[[Vendor - Contract]:[Vendor - Contract]],$H87,CostTrack[[Holdback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87" s="504">
        <f ca="1">SUMIFS(CostTrack[[Value]:[Value]],CostTrack[[PA ID]:[PA ID]],$B87,CostTrack[[Vendor - Contract]:[Vendor - Contract]],$H87,CostTrack[[Holdback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87" s="504">
        <f ca="1">SUMIFS(CostTrack[[Value]:[Value]],CostTrack[[PA ID]:[PA ID]],$B87,CostTrack[[Vendor - Contract]:[Vendor - Contract]],$H87,CostTrack[[Holdback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87" s="504">
        <f ca="1">SUMIFS(CostTrack[[Value]:[Value]],CostTrack[[PA ID]:[PA ID]],$B87,CostTrack[[Vendor - Contract]:[Vendor - Contract]],$H87,CostTrack[[Holdback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87" s="504">
        <f ca="1">SUMIFS(CostTrack[[Value]:[Value]],CostTrack[[PA ID]:[PA ID]],$B87,CostTrack[[Vendor - Contract]:[Vendor - Contract]],$H87,CostTrack[[Holdback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87" s="504">
        <f ca="1">SUMIFS(CostTrack[[Value]:[Value]],CostTrack[[PA ID]:[PA ID]],$B87,CostTrack[[Vendor - Contract]:[Vendor - Contract]],$H87,CostTrack[[Holdback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87" s="504">
        <f ca="1">SUMIFS(CostTrack[[Value]:[Value]],CostTrack[[PA ID]:[PA ID]],$B87,CostTrack[[Vendor - Contract]:[Vendor - Contract]],$H87,CostTrack[[Holdback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87" s="504">
        <f ca="1">SUMIFS(CostTrack[[Value]:[Value]],CostTrack[[PA ID]:[PA ID]],$B87,CostTrack[[Vendor - Contract]:[Vendor - Contract]],$H87,CostTrack[[Holdback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87" s="504">
        <f ca="1">SUMIFS(CostTrack[[Value]:[Value]],CostTrack[[PA ID]:[PA ID]],$B87,CostTrack[[Vendor - Contract]:[Vendor - Contract]],$H87,CostTrack[[Holdback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87" s="504">
        <f ca="1">SUMIFS(CostTrack[[Value]:[Value]],CostTrack[[PA ID]:[PA ID]],$B87,CostTrack[[Vendor - Contract]:[Vendor - Contract]],$H87,CostTrack[[Holdback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87" s="512">
        <f t="shared" ca="1" si="121"/>
        <v>0</v>
      </c>
      <c r="BK87" s="504">
        <f ca="1">SUMIFS(CostTrack[[Value]:[Value]],CostTrack[[PA ID]:[PA ID]],$B87,CostTrack[[Vendor - Contract]:[Vendor - Contract]],$H87,CostTrack[[Holdback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87" s="504">
        <f ca="1">SUMIFS(CostTrack[[Value]:[Value]],CostTrack[[PA ID]:[PA ID]],$B87,CostTrack[[Vendor - Contract]:[Vendor - Contract]],$H87,CostTrack[[Holdback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87" s="504">
        <f ca="1">SUMIFS(CostTrack[[Value]:[Value]],CostTrack[[PA ID]:[PA ID]],$B87,CostTrack[[Vendor - Contract]:[Vendor - Contract]],$H87,CostTrack[[Holdback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87" s="504">
        <f ca="1">SUMIFS(CostTrack[[Value]:[Value]],CostTrack[[PA ID]:[PA ID]],$B87,CostTrack[[Vendor - Contract]:[Vendor - Contract]],$H87,CostTrack[[Holdback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87" s="504">
        <f ca="1">SUMIFS(CostTrack[[Value]:[Value]],CostTrack[[PA ID]:[PA ID]],$B87,CostTrack[[Vendor - Contract]:[Vendor - Contract]],$H87,CostTrack[[Holdback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87" s="504">
        <f ca="1">SUMIFS(CostTrack[[Value]:[Value]],CostTrack[[PA ID]:[PA ID]],$B87,CostTrack[[Vendor - Contract]:[Vendor - Contract]],$H87,CostTrack[[Holdback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87" s="504">
        <f ca="1">SUMIFS(CostTrack[[Value]:[Value]],CostTrack[[PA ID]:[PA ID]],$B87,CostTrack[[Vendor - Contract]:[Vendor - Contract]],$H87,CostTrack[[Holdback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87" s="504">
        <f ca="1">SUMIFS(CostTrack[[Value]:[Value]],CostTrack[[PA ID]:[PA ID]],$B87,CostTrack[[Vendor - Contract]:[Vendor - Contract]],$H87,CostTrack[[Holdback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87" s="504">
        <f ca="1">SUMIFS(CostTrack[[Value]:[Value]],CostTrack[[PA ID]:[PA ID]],$B87,CostTrack[[Vendor - Contract]:[Vendor - Contract]],$H87,CostTrack[[Holdback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87" s="504">
        <f ca="1">SUMIFS(CostTrack[[Value]:[Value]],CostTrack[[PA ID]:[PA ID]],$B87,CostTrack[[Vendor - Contract]:[Vendor - Contract]],$H87,CostTrack[[Holdback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87" s="504">
        <f ca="1">SUMIFS(CostTrack[[Value]:[Value]],CostTrack[[PA ID]:[PA ID]],$B87,CostTrack[[Vendor - Contract]:[Vendor - Contract]],$H87,CostTrack[[Holdback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87" s="504">
        <f ca="1">SUMIFS(CostTrack[[Value]:[Value]],CostTrack[[PA ID]:[PA ID]],$B87,CostTrack[[Vendor - Contract]:[Vendor - Contract]],$H87,CostTrack[[Holdback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87" s="512">
        <f t="shared" ca="1" si="122"/>
        <v>0</v>
      </c>
      <c r="BY87" s="504">
        <f ca="1">SUMIFS(CostTrack[[Value]:[Value]],CostTrack[[PA ID]:[PA ID]],$B87,CostTrack[[Vendor - Contract]:[Vendor - Contract]],$H87,CostTrack[[Holdback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87" s="504">
        <f ca="1">SUMIFS(CostTrack[[Value]:[Value]],CostTrack[[PA ID]:[PA ID]],$B87,CostTrack[[Vendor - Contract]:[Vendor - Contract]],$H87,CostTrack[[Holdback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87" s="504">
        <f ca="1">SUMIFS(CostTrack[[Value]:[Value]],CostTrack[[PA ID]:[PA ID]],$B87,CostTrack[[Vendor - Contract]:[Vendor - Contract]],$H87,CostTrack[[Holdback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87" s="504">
        <f ca="1">SUMIFS(CostTrack[[Value]:[Value]],CostTrack[[PA ID]:[PA ID]],$B87,CostTrack[[Vendor - Contract]:[Vendor - Contract]],$H87,CostTrack[[Holdback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87" s="504">
        <f ca="1">SUMIFS(CostTrack[[Value]:[Value]],CostTrack[[PA ID]:[PA ID]],$B87,CostTrack[[Vendor - Contract]:[Vendor - Contract]],$H87,CostTrack[[Holdback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87" s="504">
        <f ca="1">SUMIFS(CostTrack[[Value]:[Value]],CostTrack[[PA ID]:[PA ID]],$B87,CostTrack[[Vendor - Contract]:[Vendor - Contract]],$H87,CostTrack[[Holdback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87" s="504">
        <f ca="1">SUMIFS(CostTrack[[Value]:[Value]],CostTrack[[PA ID]:[PA ID]],$B87,CostTrack[[Vendor - Contract]:[Vendor - Contract]],$H87,CostTrack[[Holdback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87" s="504">
        <f ca="1">SUMIFS(CostTrack[[Value]:[Value]],CostTrack[[PA ID]:[PA ID]],$B87,CostTrack[[Vendor - Contract]:[Vendor - Contract]],$H87,CostTrack[[Holdback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87" s="504">
        <f ca="1">SUMIFS(CostTrack[[Value]:[Value]],CostTrack[[PA ID]:[PA ID]],$B87,CostTrack[[Vendor - Contract]:[Vendor - Contract]],$H87,CostTrack[[Holdback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87" s="504">
        <f ca="1">SUMIFS(CostTrack[[Value]:[Value]],CostTrack[[PA ID]:[PA ID]],$B87,CostTrack[[Vendor - Contract]:[Vendor - Contract]],$H87,CostTrack[[Holdback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87" s="504">
        <f ca="1">SUMIFS(CostTrack[[Value]:[Value]],CostTrack[[PA ID]:[PA ID]],$B87,CostTrack[[Vendor - Contract]:[Vendor - Contract]],$H87,CostTrack[[Holdback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87" s="504">
        <f ca="1">SUMIFS(CostTrack[[Value]:[Value]],CostTrack[[PA ID]:[PA ID]],$B87,CostTrack[[Vendor - Contract]:[Vendor - Contract]],$H87,CostTrack[[Holdback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87" s="512">
        <f t="shared" ca="1" si="123"/>
        <v>0</v>
      </c>
      <c r="CM87" s="504">
        <f ca="1">SUMIFS(CostTrack[[Value]:[Value]],CostTrack[[PA ID]:[PA ID]],$B87,CostTrack[[Vendor - Contract]:[Vendor - Contract]],$H87,CostTrack[[Holdback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87" s="504">
        <f ca="1">SUMIFS(CostTrack[[Value]:[Value]],CostTrack[[PA ID]:[PA ID]],$B87,CostTrack[[Vendor - Contract]:[Vendor - Contract]],$H87,CostTrack[[Holdback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87" s="504">
        <f ca="1">SUMIFS(CostTrack[[Value]:[Value]],CostTrack[[PA ID]:[PA ID]],$B87,CostTrack[[Vendor - Contract]:[Vendor - Contract]],$H87,CostTrack[[Holdback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87" s="504">
        <f ca="1">SUMIFS(CostTrack[[Value]:[Value]],CostTrack[[PA ID]:[PA ID]],$B87,CostTrack[[Vendor - Contract]:[Vendor - Contract]],$H87,CostTrack[[Holdback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87" s="504">
        <f ca="1">SUMIFS(CostTrack[[Value]:[Value]],CostTrack[[PA ID]:[PA ID]],$B87,CostTrack[[Vendor - Contract]:[Vendor - Contract]],$H87,CostTrack[[Holdback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87" s="504">
        <f ca="1">SUMIFS(CostTrack[[Value]:[Value]],CostTrack[[PA ID]:[PA ID]],$B87,CostTrack[[Vendor - Contract]:[Vendor - Contract]],$H87,CostTrack[[Holdback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87" s="504">
        <f ca="1">SUMIFS(CostTrack[[Value]:[Value]],CostTrack[[PA ID]:[PA ID]],$B87,CostTrack[[Vendor - Contract]:[Vendor - Contract]],$H87,CostTrack[[Holdback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87" s="504">
        <f ca="1">SUMIFS(CostTrack[[Value]:[Value]],CostTrack[[PA ID]:[PA ID]],$B87,CostTrack[[Vendor - Contract]:[Vendor - Contract]],$H87,CostTrack[[Holdback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87" s="504">
        <f ca="1">SUMIFS(CostTrack[[Value]:[Value]],CostTrack[[PA ID]:[PA ID]],$B87,CostTrack[[Vendor - Contract]:[Vendor - Contract]],$H87,CostTrack[[Holdback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87" s="504">
        <f ca="1">SUMIFS(CostTrack[[Value]:[Value]],CostTrack[[PA ID]:[PA ID]],$B87,CostTrack[[Vendor - Contract]:[Vendor - Contract]],$H87,CostTrack[[Holdback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87" s="504">
        <f ca="1">SUMIFS(CostTrack[[Value]:[Value]],CostTrack[[PA ID]:[PA ID]],$B87,CostTrack[[Vendor - Contract]:[Vendor - Contract]],$H87,CostTrack[[Holdback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87" s="504">
        <f ca="1">SUMIFS(CostTrack[[Value]:[Value]],CostTrack[[PA ID]:[PA ID]],$B87,CostTrack[[Vendor - Contract]:[Vendor - Contract]],$H87,CostTrack[[Holdback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87" s="512">
        <f t="shared" ca="1" si="124"/>
        <v>0</v>
      </c>
      <c r="DA87" s="504">
        <f ca="1">SUMIFS(CostTrack[[Value]:[Value]],CostTrack[[PA ID]:[PA ID]],$B87,CostTrack[[Vendor - Contract]:[Vendor - Contract]],$H87,CostTrack[[Holdback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87" s="504">
        <f ca="1">SUMIFS(CostTrack[[Value]:[Value]],CostTrack[[PA ID]:[PA ID]],$B87,CostTrack[[Vendor - Contract]:[Vendor - Contract]],$H87,CostTrack[[Holdback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87" s="504">
        <f ca="1">SUMIFS(CostTrack[[Value]:[Value]],CostTrack[[PA ID]:[PA ID]],$B87,CostTrack[[Vendor - Contract]:[Vendor - Contract]],$H87,CostTrack[[Holdback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87" s="504">
        <f ca="1">SUMIFS(CostTrack[[Value]:[Value]],CostTrack[[PA ID]:[PA ID]],$B87,CostTrack[[Vendor - Contract]:[Vendor - Contract]],$H87,CostTrack[[Holdback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87" s="504">
        <f ca="1">SUMIFS(CostTrack[[Value]:[Value]],CostTrack[[PA ID]:[PA ID]],$B87,CostTrack[[Vendor - Contract]:[Vendor - Contract]],$H87,CostTrack[[Holdback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87" s="504">
        <f ca="1">SUMIFS(CostTrack[[Value]:[Value]],CostTrack[[PA ID]:[PA ID]],$B87,CostTrack[[Vendor - Contract]:[Vendor - Contract]],$H87,CostTrack[[Holdback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87" s="504">
        <f ca="1">SUMIFS(CostTrack[[Value]:[Value]],CostTrack[[PA ID]:[PA ID]],$B87,CostTrack[[Vendor - Contract]:[Vendor - Contract]],$H87,CostTrack[[Holdback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87" s="504">
        <f ca="1">SUMIFS(CostTrack[[Value]:[Value]],CostTrack[[PA ID]:[PA ID]],$B87,CostTrack[[Vendor - Contract]:[Vendor - Contract]],$H87,CostTrack[[Holdback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87" s="504">
        <f ca="1">SUMIFS(CostTrack[[Value]:[Value]],CostTrack[[PA ID]:[PA ID]],$B87,CostTrack[[Vendor - Contract]:[Vendor - Contract]],$H87,CostTrack[[Holdback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87" s="504">
        <f ca="1">SUMIFS(CostTrack[[Value]:[Value]],CostTrack[[PA ID]:[PA ID]],$B87,CostTrack[[Vendor - Contract]:[Vendor - Contract]],$H87,CostTrack[[Holdback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87" s="504">
        <f ca="1">SUMIFS(CostTrack[[Value]:[Value]],CostTrack[[PA ID]:[PA ID]],$B87,CostTrack[[Vendor - Contract]:[Vendor - Contract]],$H87,CostTrack[[Holdback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87" s="504">
        <f ca="1">SUMIFS(CostTrack[[Value]:[Value]],CostTrack[[PA ID]:[PA ID]],$B87,CostTrack[[Vendor - Contract]:[Vendor - Contract]],$H87,CostTrack[[Holdback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87" s="512">
        <f t="shared" ca="1" si="125"/>
        <v>0</v>
      </c>
      <c r="DO87" s="504">
        <f ca="1">SUMIFS(CostTrack[[Value]:[Value]],CostTrack[[PA ID]:[PA ID]],$B87,CostTrack[[Vendor - Contract]:[Vendor - Contract]],$H87,CostTrack[[Holdback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87" s="504">
        <f ca="1">SUMIFS(CostTrack[[Value]:[Value]],CostTrack[[PA ID]:[PA ID]],$B87,CostTrack[[Vendor - Contract]:[Vendor - Contract]],$H87,CostTrack[[Holdback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87" s="504">
        <f ca="1">SUMIFS(CostTrack[[Value]:[Value]],CostTrack[[PA ID]:[PA ID]],$B87,CostTrack[[Vendor - Contract]:[Vendor - Contract]],$H87,CostTrack[[Holdback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87" s="504">
        <f ca="1">SUMIFS(CostTrack[[Value]:[Value]],CostTrack[[PA ID]:[PA ID]],$B87,CostTrack[[Vendor - Contract]:[Vendor - Contract]],$H87,CostTrack[[Holdback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87" s="504">
        <f ca="1">SUMIFS(CostTrack[[Value]:[Value]],CostTrack[[PA ID]:[PA ID]],$B87,CostTrack[[Vendor - Contract]:[Vendor - Contract]],$H87,CostTrack[[Holdback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87" s="504">
        <f ca="1">SUMIFS(CostTrack[[Value]:[Value]],CostTrack[[PA ID]:[PA ID]],$B87,CostTrack[[Vendor - Contract]:[Vendor - Contract]],$H87,CostTrack[[Holdback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87" s="504">
        <f ca="1">SUMIFS(CostTrack[[Value]:[Value]],CostTrack[[PA ID]:[PA ID]],$B87,CostTrack[[Vendor - Contract]:[Vendor - Contract]],$H87,CostTrack[[Holdback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87" s="504">
        <f ca="1">SUMIFS(CostTrack[[Value]:[Value]],CostTrack[[PA ID]:[PA ID]],$B87,CostTrack[[Vendor - Contract]:[Vendor - Contract]],$H87,CostTrack[[Holdback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87" s="504">
        <f ca="1">SUMIFS(CostTrack[[Value]:[Value]],CostTrack[[PA ID]:[PA ID]],$B87,CostTrack[[Vendor - Contract]:[Vendor - Contract]],$H87,CostTrack[[Holdback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87" s="504">
        <f ca="1">SUMIFS(CostTrack[[Value]:[Value]],CostTrack[[PA ID]:[PA ID]],$B87,CostTrack[[Vendor - Contract]:[Vendor - Contract]],$H87,CostTrack[[Holdback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87" s="504">
        <f ca="1">SUMIFS(CostTrack[[Value]:[Value]],CostTrack[[PA ID]:[PA ID]],$B87,CostTrack[[Vendor - Contract]:[Vendor - Contract]],$H87,CostTrack[[Holdback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87" s="504">
        <f ca="1">SUMIFS(CostTrack[[Value]:[Value]],CostTrack[[PA ID]:[PA ID]],$B87,CostTrack[[Vendor - Contract]:[Vendor - Contract]],$H87,CostTrack[[Holdback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87" s="512">
        <f t="shared" ca="1" si="126"/>
        <v>0</v>
      </c>
      <c r="EC87" s="504">
        <f ca="1">SUMIFS(CostTrack[[Value]:[Value]],CostTrack[[PA ID]:[PA ID]],$B87,CostTrack[[Vendor - Contract]:[Vendor - Contract]],$H87,CostTrack[[Holdback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87" s="505"/>
      <c r="EE87" s="505"/>
      <c r="EF87" s="505"/>
      <c r="EG87" s="505"/>
      <c r="EH87" s="505"/>
      <c r="EI87" s="505"/>
      <c r="EJ87" s="505"/>
      <c r="EK87" s="505"/>
      <c r="EL87" s="505"/>
      <c r="EM87" s="505"/>
      <c r="EN87" s="505"/>
      <c r="EO87" s="512">
        <f t="shared" ca="1" si="127"/>
        <v>0</v>
      </c>
      <c r="EQ87" s="505"/>
      <c r="ER87" s="505"/>
      <c r="ES87" s="505"/>
      <c r="ET87" s="505"/>
      <c r="EU87" s="505"/>
      <c r="EV87" s="505"/>
      <c r="EW87" s="505"/>
      <c r="EX87" s="505"/>
      <c r="EY87" s="505"/>
      <c r="EZ87" s="505"/>
      <c r="FA87" s="505"/>
      <c r="FB87" s="505"/>
      <c r="FC87" s="512">
        <f t="shared" si="128"/>
        <v>0</v>
      </c>
      <c r="FE87" s="505"/>
      <c r="FF87" s="505"/>
      <c r="FG87" s="505"/>
      <c r="FH87" s="505"/>
      <c r="FI87" s="505"/>
      <c r="FJ87" s="505"/>
      <c r="FK87" s="505"/>
      <c r="FL87" s="505"/>
      <c r="FM87" s="505"/>
      <c r="FN87" s="505"/>
      <c r="FO87" s="505"/>
      <c r="FP87" s="505"/>
      <c r="FQ87" s="512">
        <f t="shared" si="129"/>
        <v>0</v>
      </c>
      <c r="FS87" s="504">
        <f t="shared" ca="1" si="130"/>
        <v>0</v>
      </c>
    </row>
    <row r="88" spans="1:175">
      <c r="A88" s="216">
        <v>81</v>
      </c>
      <c r="B88" s="219" t="str">
        <f ca="1">INDEX(EAC[PA ID],MATCH($A88,EAC[Row],0))</f>
        <v>400.020.F1</v>
      </c>
      <c r="C88" s="218" t="str">
        <f ca="1">INDEX(EAC[Primary Category],MATCH($A88,EAC[Row],0))</f>
        <v>FE_IT</v>
      </c>
      <c r="D88" s="218" t="str">
        <f ca="1">INDEX(EAC[Secondary Category],MATCH($A88,EAC[Row],0))</f>
        <v>Information Technology</v>
      </c>
      <c r="E88" s="109" t="str">
        <f ca="1">INDEX(EAC[Phase / Subproject],MATCH($A88,EAC[Row],0))</f>
        <v>--</v>
      </c>
      <c r="F88" s="109" t="str">
        <f ca="1">INDEX(EAC[Phase / Subproject 2],MATCH($A88,EAC[Row],0))</f>
        <v>--</v>
      </c>
      <c r="G88" s="109" t="str">
        <f ca="1">INDEX(EAC[Funding Source],MATCH($A88,EAC[Row],0))</f>
        <v>P-002360</v>
      </c>
      <c r="H88" s="146" t="str">
        <f ca="1">INDEX(EAC[Vendor / Org. with Contract ID],MATCH($A88,EAC[Row],0))</f>
        <v>Compugen- Network Switches-9000053475</v>
      </c>
      <c r="I88" s="502">
        <f ca="1">INDEX(EAC[Estimate At Completion],MATCH($A88,EAC[Row],0))</f>
        <v>1063259.17</v>
      </c>
      <c r="J88" s="502">
        <f ca="1">SUMIFS(CostTrack[Value],CostTrack[Vendor - Contract],$H88,CostTrack[PA ID],$B88,CostTrack[Holdback (Y/N/R)],"&lt;&gt;Release",CostTrack[Status],"Approved")</f>
        <v>1063259.1700000002</v>
      </c>
      <c r="K88" s="503">
        <f t="shared" ca="1" si="95"/>
        <v>-2.3283064365386963E-10</v>
      </c>
      <c r="M88" s="504">
        <f t="shared" ca="1" si="110"/>
        <v>0</v>
      </c>
      <c r="O88" s="504">
        <f t="shared" ca="1" si="116"/>
        <v>1063259.17</v>
      </c>
      <c r="P88" s="504">
        <f t="array" aca="1" ref="P88" ca="1">SUM($U88:$FQ88*_xlfn.ISFORMULA($U88:$FQ88)*ISNUMBER($U$7:$FQ$7)*--(INDEX($U$6:$FQ$6,N(IF({1},COLUMN($U$6:$FQ$6)-COLUMN($T$6)))-MOD(N(IF({1},COLUMN($U$6:$FQ$6)-COLUMN($U$6))),14))="Current Fiscal"))</f>
        <v>0</v>
      </c>
      <c r="Q88" s="504">
        <f t="array" aca="1" ref="Q88" ca="1">SUM($U88:$FQ88*NOT(_xlfn.ISFORMULA($U88:$FQ88))*ISNUMBER($U$7:$FQ$7)*--(INDEX($U$6:$FQ$6,N(IF({1},COLUMN($U$6:$FQ$6)-COLUMN($T$6)))-MOD(N(IF({1},COLUMN($U$6:$FQ$6)-COLUMN($U$6))),14))="Current Fiscal"))</f>
        <v>0</v>
      </c>
      <c r="R88" s="504">
        <f t="shared" ca="1" si="117"/>
        <v>0</v>
      </c>
      <c r="S88" s="504">
        <f t="shared" ca="1" si="118"/>
        <v>0</v>
      </c>
      <c r="U88" s="504">
        <f ca="1">SUMIFS(CostTrack[[Value]:[Value]],CostTrack[[PA ID]:[PA ID]],$B88,CostTrack[[Vendor - Contract]:[Vendor - Contract]],$H88,CostTrack[[Holdback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88" s="504">
        <f ca="1">SUMIFS(CostTrack[[Value]:[Value]],CostTrack[[PA ID]:[PA ID]],$B88,CostTrack[[Vendor - Contract]:[Vendor - Contract]],$H88,CostTrack[[Holdback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88" s="504">
        <f ca="1">SUMIFS(CostTrack[[Value]:[Value]],CostTrack[[PA ID]:[PA ID]],$B88,CostTrack[[Vendor - Contract]:[Vendor - Contract]],$H88,CostTrack[[Holdback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88" s="504">
        <f ca="1">SUMIFS(CostTrack[[Value]:[Value]],CostTrack[[PA ID]:[PA ID]],$B88,CostTrack[[Vendor - Contract]:[Vendor - Contract]],$H88,CostTrack[[Holdback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88" s="504">
        <f ca="1">SUMIFS(CostTrack[[Value]:[Value]],CostTrack[[PA ID]:[PA ID]],$B88,CostTrack[[Vendor - Contract]:[Vendor - Contract]],$H88,CostTrack[[Holdback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88" s="504">
        <f ca="1">SUMIFS(CostTrack[[Value]:[Value]],CostTrack[[PA ID]:[PA ID]],$B88,CostTrack[[Vendor - Contract]:[Vendor - Contract]],$H88,CostTrack[[Holdback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88" s="504">
        <f ca="1">SUMIFS(CostTrack[[Value]:[Value]],CostTrack[[PA ID]:[PA ID]],$B88,CostTrack[[Vendor - Contract]:[Vendor - Contract]],$H88,CostTrack[[Holdback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88" s="504">
        <f ca="1">SUMIFS(CostTrack[[Value]:[Value]],CostTrack[[PA ID]:[PA ID]],$B88,CostTrack[[Vendor - Contract]:[Vendor - Contract]],$H88,CostTrack[[Holdback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88" s="504">
        <f ca="1">SUMIFS(CostTrack[[Value]:[Value]],CostTrack[[PA ID]:[PA ID]],$B88,CostTrack[[Vendor - Contract]:[Vendor - Contract]],$H88,CostTrack[[Holdback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88" s="504">
        <f ca="1">SUMIFS(CostTrack[[Value]:[Value]],CostTrack[[PA ID]:[PA ID]],$B88,CostTrack[[Vendor - Contract]:[Vendor - Contract]],$H88,CostTrack[[Holdback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88" s="504">
        <f ca="1">SUMIFS(CostTrack[[Value]:[Value]],CostTrack[[PA ID]:[PA ID]],$B88,CostTrack[[Vendor - Contract]:[Vendor - Contract]],$H88,CostTrack[[Holdback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88" s="504">
        <f ca="1">SUMIFS(CostTrack[[Value]:[Value]],CostTrack[[PA ID]:[PA ID]],$B88,CostTrack[[Vendor - Contract]:[Vendor - Contract]],$H88,CostTrack[[Holdback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88" s="506">
        <f t="shared" ca="1" si="119"/>
        <v>0</v>
      </c>
      <c r="AI88" s="504">
        <f ca="1">SUMIFS(CostTrack[[Value]:[Value]],CostTrack[[PA ID]:[PA ID]],$B88,CostTrack[[Vendor - Contract]:[Vendor - Contract]],$H88,CostTrack[[Holdback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88" s="504">
        <f ca="1">SUMIFS(CostTrack[[Value]:[Value]],CostTrack[[PA ID]:[PA ID]],$B88,CostTrack[[Vendor - Contract]:[Vendor - Contract]],$H88,CostTrack[[Holdback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88" s="504">
        <f ca="1">SUMIFS(CostTrack[[Value]:[Value]],CostTrack[[PA ID]:[PA ID]],$B88,CostTrack[[Vendor - Contract]:[Vendor - Contract]],$H88,CostTrack[[Holdback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88" s="504">
        <f ca="1">SUMIFS(CostTrack[[Value]:[Value]],CostTrack[[PA ID]:[PA ID]],$B88,CostTrack[[Vendor - Contract]:[Vendor - Contract]],$H88,CostTrack[[Holdback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88" s="504">
        <f ca="1">SUMIFS(CostTrack[[Value]:[Value]],CostTrack[[PA ID]:[PA ID]],$B88,CostTrack[[Vendor - Contract]:[Vendor - Contract]],$H88,CostTrack[[Holdback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88" s="504">
        <f ca="1">SUMIFS(CostTrack[[Value]:[Value]],CostTrack[[PA ID]:[PA ID]],$B88,CostTrack[[Vendor - Contract]:[Vendor - Contract]],$H88,CostTrack[[Holdback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88" s="504">
        <f ca="1">SUMIFS(CostTrack[[Value]:[Value]],CostTrack[[PA ID]:[PA ID]],$B88,CostTrack[[Vendor - Contract]:[Vendor - Contract]],$H88,CostTrack[[Holdback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88" s="504">
        <f ca="1">SUMIFS(CostTrack[[Value]:[Value]],CostTrack[[PA ID]:[PA ID]],$B88,CostTrack[[Vendor - Contract]:[Vendor - Contract]],$H88,CostTrack[[Holdback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88" s="504">
        <f ca="1">SUMIFS(CostTrack[[Value]:[Value]],CostTrack[[PA ID]:[PA ID]],$B88,CostTrack[[Vendor - Contract]:[Vendor - Contract]],$H88,CostTrack[[Holdback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88" s="504">
        <f ca="1">SUMIFS(CostTrack[[Value]:[Value]],CostTrack[[PA ID]:[PA ID]],$B88,CostTrack[[Vendor - Contract]:[Vendor - Contract]],$H88,CostTrack[[Holdback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88" s="504">
        <f ca="1">SUMIFS(CostTrack[[Value]:[Value]],CostTrack[[PA ID]:[PA ID]],$B88,CostTrack[[Vendor - Contract]:[Vendor - Contract]],$H88,CostTrack[[Holdback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88" s="504">
        <f ca="1">SUMIFS(CostTrack[[Value]:[Value]],CostTrack[[PA ID]:[PA ID]],$B88,CostTrack[[Vendor - Contract]:[Vendor - Contract]],$H88,CostTrack[[Holdback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88" s="512">
        <f t="shared" ca="1" si="120"/>
        <v>0</v>
      </c>
      <c r="AW88" s="504">
        <f ca="1">SUMIFS(CostTrack[[Value]:[Value]],CostTrack[[PA ID]:[PA ID]],$B88,CostTrack[[Vendor - Contract]:[Vendor - Contract]],$H88,CostTrack[[Holdback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88" s="504">
        <f ca="1">SUMIFS(CostTrack[[Value]:[Value]],CostTrack[[PA ID]:[PA ID]],$B88,CostTrack[[Vendor - Contract]:[Vendor - Contract]],$H88,CostTrack[[Holdback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88" s="504">
        <f ca="1">SUMIFS(CostTrack[[Value]:[Value]],CostTrack[[PA ID]:[PA ID]],$B88,CostTrack[[Vendor - Contract]:[Vendor - Contract]],$H88,CostTrack[[Holdback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88" s="504">
        <f ca="1">SUMIFS(CostTrack[[Value]:[Value]],CostTrack[[PA ID]:[PA ID]],$B88,CostTrack[[Vendor - Contract]:[Vendor - Contract]],$H88,CostTrack[[Holdback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88" s="504">
        <f ca="1">SUMIFS(CostTrack[[Value]:[Value]],CostTrack[[PA ID]:[PA ID]],$B88,CostTrack[[Vendor - Contract]:[Vendor - Contract]],$H88,CostTrack[[Holdback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88" s="504">
        <f ca="1">SUMIFS(CostTrack[[Value]:[Value]],CostTrack[[PA ID]:[PA ID]],$B88,CostTrack[[Vendor - Contract]:[Vendor - Contract]],$H88,CostTrack[[Holdback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88" s="504">
        <f ca="1">SUMIFS(CostTrack[[Value]:[Value]],CostTrack[[PA ID]:[PA ID]],$B88,CostTrack[[Vendor - Contract]:[Vendor - Contract]],$H88,CostTrack[[Holdback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88" s="504">
        <f ca="1">SUMIFS(CostTrack[[Value]:[Value]],CostTrack[[PA ID]:[PA ID]],$B88,CostTrack[[Vendor - Contract]:[Vendor - Contract]],$H88,CostTrack[[Holdback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88" s="504">
        <f ca="1">SUMIFS(CostTrack[[Value]:[Value]],CostTrack[[PA ID]:[PA ID]],$B88,CostTrack[[Vendor - Contract]:[Vendor - Contract]],$H88,CostTrack[[Holdback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88" s="504">
        <f ca="1">SUMIFS(CostTrack[[Value]:[Value]],CostTrack[[PA ID]:[PA ID]],$B88,CostTrack[[Vendor - Contract]:[Vendor - Contract]],$H88,CostTrack[[Holdback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88" s="504">
        <f ca="1">SUMIFS(CostTrack[[Value]:[Value]],CostTrack[[PA ID]:[PA ID]],$B88,CostTrack[[Vendor - Contract]:[Vendor - Contract]],$H88,CostTrack[[Holdback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88" s="504">
        <f ca="1">SUMIFS(CostTrack[[Value]:[Value]],CostTrack[[PA ID]:[PA ID]],$B88,CostTrack[[Vendor - Contract]:[Vendor - Contract]],$H88,CostTrack[[Holdback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88" s="512">
        <f t="shared" ca="1" si="121"/>
        <v>0</v>
      </c>
      <c r="BK88" s="504">
        <f ca="1">SUMIFS(CostTrack[[Value]:[Value]],CostTrack[[PA ID]:[PA ID]],$B88,CostTrack[[Vendor - Contract]:[Vendor - Contract]],$H88,CostTrack[[Holdback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88" s="504">
        <f ca="1">SUMIFS(CostTrack[[Value]:[Value]],CostTrack[[PA ID]:[PA ID]],$B88,CostTrack[[Vendor - Contract]:[Vendor - Contract]],$H88,CostTrack[[Holdback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88" s="504">
        <f ca="1">SUMIFS(CostTrack[[Value]:[Value]],CostTrack[[PA ID]:[PA ID]],$B88,CostTrack[[Vendor - Contract]:[Vendor - Contract]],$H88,CostTrack[[Holdback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88" s="504">
        <f ca="1">SUMIFS(CostTrack[[Value]:[Value]],CostTrack[[PA ID]:[PA ID]],$B88,CostTrack[[Vendor - Contract]:[Vendor - Contract]],$H88,CostTrack[[Holdback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88" s="504">
        <f ca="1">SUMIFS(CostTrack[[Value]:[Value]],CostTrack[[PA ID]:[PA ID]],$B88,CostTrack[[Vendor - Contract]:[Vendor - Contract]],$H88,CostTrack[[Holdback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88" s="504">
        <f ca="1">SUMIFS(CostTrack[[Value]:[Value]],CostTrack[[PA ID]:[PA ID]],$B88,CostTrack[[Vendor - Contract]:[Vendor - Contract]],$H88,CostTrack[[Holdback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88" s="504">
        <f ca="1">SUMIFS(CostTrack[[Value]:[Value]],CostTrack[[PA ID]:[PA ID]],$B88,CostTrack[[Vendor - Contract]:[Vendor - Contract]],$H88,CostTrack[[Holdback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88" s="504">
        <f ca="1">SUMIFS(CostTrack[[Value]:[Value]],CostTrack[[PA ID]:[PA ID]],$B88,CostTrack[[Vendor - Contract]:[Vendor - Contract]],$H88,CostTrack[[Holdback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88" s="504">
        <f ca="1">SUMIFS(CostTrack[[Value]:[Value]],CostTrack[[PA ID]:[PA ID]],$B88,CostTrack[[Vendor - Contract]:[Vendor - Contract]],$H88,CostTrack[[Holdback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88" s="504">
        <f ca="1">SUMIFS(CostTrack[[Value]:[Value]],CostTrack[[PA ID]:[PA ID]],$B88,CostTrack[[Vendor - Contract]:[Vendor - Contract]],$H88,CostTrack[[Holdback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88" s="504">
        <f ca="1">SUMIFS(CostTrack[[Value]:[Value]],CostTrack[[PA ID]:[PA ID]],$B88,CostTrack[[Vendor - Contract]:[Vendor - Contract]],$H88,CostTrack[[Holdback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88" s="504">
        <f ca="1">SUMIFS(CostTrack[[Value]:[Value]],CostTrack[[PA ID]:[PA ID]],$B88,CostTrack[[Vendor - Contract]:[Vendor - Contract]],$H88,CostTrack[[Holdback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88" s="512">
        <f t="shared" ca="1" si="122"/>
        <v>0</v>
      </c>
      <c r="BY88" s="504">
        <f ca="1">SUMIFS(CostTrack[[Value]:[Value]],CostTrack[[PA ID]:[PA ID]],$B88,CostTrack[[Vendor - Contract]:[Vendor - Contract]],$H88,CostTrack[[Holdback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88" s="504">
        <f ca="1">SUMIFS(CostTrack[[Value]:[Value]],CostTrack[[PA ID]:[PA ID]],$B88,CostTrack[[Vendor - Contract]:[Vendor - Contract]],$H88,CostTrack[[Holdback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88" s="504">
        <f ca="1">SUMIFS(CostTrack[[Value]:[Value]],CostTrack[[PA ID]:[PA ID]],$B88,CostTrack[[Vendor - Contract]:[Vendor - Contract]],$H88,CostTrack[[Holdback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88" s="504">
        <f ca="1">SUMIFS(CostTrack[[Value]:[Value]],CostTrack[[PA ID]:[PA ID]],$B88,CostTrack[[Vendor - Contract]:[Vendor - Contract]],$H88,CostTrack[[Holdback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88" s="504">
        <f ca="1">SUMIFS(CostTrack[[Value]:[Value]],CostTrack[[PA ID]:[PA ID]],$B88,CostTrack[[Vendor - Contract]:[Vendor - Contract]],$H88,CostTrack[[Holdback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88" s="504">
        <f ca="1">SUMIFS(CostTrack[[Value]:[Value]],CostTrack[[PA ID]:[PA ID]],$B88,CostTrack[[Vendor - Contract]:[Vendor - Contract]],$H88,CostTrack[[Holdback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88" s="504">
        <f ca="1">SUMIFS(CostTrack[[Value]:[Value]],CostTrack[[PA ID]:[PA ID]],$B88,CostTrack[[Vendor - Contract]:[Vendor - Contract]],$H88,CostTrack[[Holdback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88" s="504">
        <f ca="1">SUMIFS(CostTrack[[Value]:[Value]],CostTrack[[PA ID]:[PA ID]],$B88,CostTrack[[Vendor - Contract]:[Vendor - Contract]],$H88,CostTrack[[Holdback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88" s="504">
        <f ca="1">SUMIFS(CostTrack[[Value]:[Value]],CostTrack[[PA ID]:[PA ID]],$B88,CostTrack[[Vendor - Contract]:[Vendor - Contract]],$H88,CostTrack[[Holdback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88" s="504">
        <f ca="1">SUMIFS(CostTrack[[Value]:[Value]],CostTrack[[PA ID]:[PA ID]],$B88,CostTrack[[Vendor - Contract]:[Vendor - Contract]],$H88,CostTrack[[Holdback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88" s="504">
        <f ca="1">SUMIFS(CostTrack[[Value]:[Value]],CostTrack[[PA ID]:[PA ID]],$B88,CostTrack[[Vendor - Contract]:[Vendor - Contract]],$H88,CostTrack[[Holdback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88" s="504">
        <f ca="1">SUMIFS(CostTrack[[Value]:[Value]],CostTrack[[PA ID]:[PA ID]],$B88,CostTrack[[Vendor - Contract]:[Vendor - Contract]],$H88,CostTrack[[Holdback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88" s="512">
        <f t="shared" ca="1" si="123"/>
        <v>0</v>
      </c>
      <c r="CM88" s="504">
        <f ca="1">SUMIFS(CostTrack[[Value]:[Value]],CostTrack[[PA ID]:[PA ID]],$B88,CostTrack[[Vendor - Contract]:[Vendor - Contract]],$H88,CostTrack[[Holdback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88" s="504">
        <f ca="1">SUMIFS(CostTrack[[Value]:[Value]],CostTrack[[PA ID]:[PA ID]],$B88,CostTrack[[Vendor - Contract]:[Vendor - Contract]],$H88,CostTrack[[Holdback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88" s="504">
        <f ca="1">SUMIFS(CostTrack[[Value]:[Value]],CostTrack[[PA ID]:[PA ID]],$B88,CostTrack[[Vendor - Contract]:[Vendor - Contract]],$H88,CostTrack[[Holdback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88" s="504">
        <f ca="1">SUMIFS(CostTrack[[Value]:[Value]],CostTrack[[PA ID]:[PA ID]],$B88,CostTrack[[Vendor - Contract]:[Vendor - Contract]],$H88,CostTrack[[Holdback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88" s="504">
        <f ca="1">SUMIFS(CostTrack[[Value]:[Value]],CostTrack[[PA ID]:[PA ID]],$B88,CostTrack[[Vendor - Contract]:[Vendor - Contract]],$H88,CostTrack[[Holdback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88" s="504">
        <f ca="1">SUMIFS(CostTrack[[Value]:[Value]],CostTrack[[PA ID]:[PA ID]],$B88,CostTrack[[Vendor - Contract]:[Vendor - Contract]],$H88,CostTrack[[Holdback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88" s="504">
        <f ca="1">SUMIFS(CostTrack[[Value]:[Value]],CostTrack[[PA ID]:[PA ID]],$B88,CostTrack[[Vendor - Contract]:[Vendor - Contract]],$H88,CostTrack[[Holdback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88" s="504">
        <f ca="1">SUMIFS(CostTrack[[Value]:[Value]],CostTrack[[PA ID]:[PA ID]],$B88,CostTrack[[Vendor - Contract]:[Vendor - Contract]],$H88,CostTrack[[Holdback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88" s="504">
        <f ca="1">SUMIFS(CostTrack[[Value]:[Value]],CostTrack[[PA ID]:[PA ID]],$B88,CostTrack[[Vendor - Contract]:[Vendor - Contract]],$H88,CostTrack[[Holdback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88" s="504">
        <f ca="1">SUMIFS(CostTrack[[Value]:[Value]],CostTrack[[PA ID]:[PA ID]],$B88,CostTrack[[Vendor - Contract]:[Vendor - Contract]],$H88,CostTrack[[Holdback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88" s="504">
        <f ca="1">SUMIFS(CostTrack[[Value]:[Value]],CostTrack[[PA ID]:[PA ID]],$B88,CostTrack[[Vendor - Contract]:[Vendor - Contract]],$H88,CostTrack[[Holdback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88" s="504">
        <f ca="1">SUMIFS(CostTrack[[Value]:[Value]],CostTrack[[PA ID]:[PA ID]],$B88,CostTrack[[Vendor - Contract]:[Vendor - Contract]],$H88,CostTrack[[Holdback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443116.6</v>
      </c>
      <c r="CY88" s="512">
        <f t="shared" ca="1" si="124"/>
        <v>443116.6</v>
      </c>
      <c r="DA88" s="504">
        <f ca="1">SUMIFS(CostTrack[[Value]:[Value]],CostTrack[[PA ID]:[PA ID]],$B88,CostTrack[[Vendor - Contract]:[Vendor - Contract]],$H88,CostTrack[[Holdback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88" s="504">
        <f ca="1">SUMIFS(CostTrack[[Value]:[Value]],CostTrack[[PA ID]:[PA ID]],$B88,CostTrack[[Vendor - Contract]:[Vendor - Contract]],$H88,CostTrack[[Holdback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88" s="504">
        <f ca="1">SUMIFS(CostTrack[[Value]:[Value]],CostTrack[[PA ID]:[PA ID]],$B88,CostTrack[[Vendor - Contract]:[Vendor - Contract]],$H88,CostTrack[[Holdback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500230.78</v>
      </c>
      <c r="DD88" s="504">
        <f ca="1">SUMIFS(CostTrack[[Value]:[Value]],CostTrack[[PA ID]:[PA ID]],$B88,CostTrack[[Vendor - Contract]:[Vendor - Contract]],$H88,CostTrack[[Holdback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119911.79</v>
      </c>
      <c r="DE88" s="504">
        <f ca="1">SUMIFS(CostTrack[[Value]:[Value]],CostTrack[[PA ID]:[PA ID]],$B88,CostTrack[[Vendor - Contract]:[Vendor - Contract]],$H88,CostTrack[[Holdback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88" s="504">
        <f ca="1">SUMIFS(CostTrack[[Value]:[Value]],CostTrack[[PA ID]:[PA ID]],$B88,CostTrack[[Vendor - Contract]:[Vendor - Contract]],$H88,CostTrack[[Holdback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88" s="504">
        <f ca="1">SUMIFS(CostTrack[[Value]:[Value]],CostTrack[[PA ID]:[PA ID]],$B88,CostTrack[[Vendor - Contract]:[Vendor - Contract]],$H88,CostTrack[[Holdback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88" s="504">
        <f ca="1">SUMIFS(CostTrack[[Value]:[Value]],CostTrack[[PA ID]:[PA ID]],$B88,CostTrack[[Vendor - Contract]:[Vendor - Contract]],$H88,CostTrack[[Holdback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88" s="504">
        <f ca="1">SUMIFS(CostTrack[[Value]:[Value]],CostTrack[[PA ID]:[PA ID]],$B88,CostTrack[[Vendor - Contract]:[Vendor - Contract]],$H88,CostTrack[[Holdback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88" s="504">
        <f ca="1">SUMIFS(CostTrack[[Value]:[Value]],CostTrack[[PA ID]:[PA ID]],$B88,CostTrack[[Vendor - Contract]:[Vendor - Contract]],$H88,CostTrack[[Holdback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88" s="504">
        <f ca="1">SUMIFS(CostTrack[[Value]:[Value]],CostTrack[[PA ID]:[PA ID]],$B88,CostTrack[[Vendor - Contract]:[Vendor - Contract]],$H88,CostTrack[[Holdback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88" s="504">
        <f ca="1">SUMIFS(CostTrack[[Value]:[Value]],CostTrack[[PA ID]:[PA ID]],$B88,CostTrack[[Vendor - Contract]:[Vendor - Contract]],$H88,CostTrack[[Holdback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88" s="512">
        <f t="shared" ca="1" si="125"/>
        <v>620142.57000000007</v>
      </c>
      <c r="DO88" s="504">
        <f ca="1">SUMIFS(CostTrack[[Value]:[Value]],CostTrack[[PA ID]:[PA ID]],$B88,CostTrack[[Vendor - Contract]:[Vendor - Contract]],$H88,CostTrack[[Holdback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88" s="504">
        <f ca="1">SUMIFS(CostTrack[[Value]:[Value]],CostTrack[[PA ID]:[PA ID]],$B88,CostTrack[[Vendor - Contract]:[Vendor - Contract]],$H88,CostTrack[[Holdback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88" s="504">
        <f ca="1">SUMIFS(CostTrack[[Value]:[Value]],CostTrack[[PA ID]:[PA ID]],$B88,CostTrack[[Vendor - Contract]:[Vendor - Contract]],$H88,CostTrack[[Holdback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88" s="504">
        <f ca="1">SUMIFS(CostTrack[[Value]:[Value]],CostTrack[[PA ID]:[PA ID]],$B88,CostTrack[[Vendor - Contract]:[Vendor - Contract]],$H88,CostTrack[[Holdback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88" s="504">
        <f ca="1">SUMIFS(CostTrack[[Value]:[Value]],CostTrack[[PA ID]:[PA ID]],$B88,CostTrack[[Vendor - Contract]:[Vendor - Contract]],$H88,CostTrack[[Holdback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88" s="504">
        <f ca="1">SUMIFS(CostTrack[[Value]:[Value]],CostTrack[[PA ID]:[PA ID]],$B88,CostTrack[[Vendor - Contract]:[Vendor - Contract]],$H88,CostTrack[[Holdback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88" s="504">
        <f ca="1">SUMIFS(CostTrack[[Value]:[Value]],CostTrack[[PA ID]:[PA ID]],$B88,CostTrack[[Vendor - Contract]:[Vendor - Contract]],$H88,CostTrack[[Holdback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88" s="504">
        <f ca="1">SUMIFS(CostTrack[[Value]:[Value]],CostTrack[[PA ID]:[PA ID]],$B88,CostTrack[[Vendor - Contract]:[Vendor - Contract]],$H88,CostTrack[[Holdback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88" s="504">
        <f ca="1">SUMIFS(CostTrack[[Value]:[Value]],CostTrack[[PA ID]:[PA ID]],$B88,CostTrack[[Vendor - Contract]:[Vendor - Contract]],$H88,CostTrack[[Holdback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88" s="504">
        <f ca="1">SUMIFS(CostTrack[[Value]:[Value]],CostTrack[[PA ID]:[PA ID]],$B88,CostTrack[[Vendor - Contract]:[Vendor - Contract]],$H88,CostTrack[[Holdback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88" s="504">
        <f ca="1">SUMIFS(CostTrack[[Value]:[Value]],CostTrack[[PA ID]:[PA ID]],$B88,CostTrack[[Vendor - Contract]:[Vendor - Contract]],$H88,CostTrack[[Holdback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88" s="504">
        <f ca="1">SUMIFS(CostTrack[[Value]:[Value]],CostTrack[[PA ID]:[PA ID]],$B88,CostTrack[[Vendor - Contract]:[Vendor - Contract]],$H88,CostTrack[[Holdback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88" s="512">
        <f t="shared" ca="1" si="126"/>
        <v>0</v>
      </c>
      <c r="EC88" s="504">
        <f ca="1">SUMIFS(CostTrack[[Value]:[Value]],CostTrack[[PA ID]:[PA ID]],$B88,CostTrack[[Vendor - Contract]:[Vendor - Contract]],$H88,CostTrack[[Holdback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88" s="505"/>
      <c r="EE88" s="505"/>
      <c r="EF88" s="505"/>
      <c r="EG88" s="505"/>
      <c r="EH88" s="505"/>
      <c r="EI88" s="505"/>
      <c r="EJ88" s="505"/>
      <c r="EK88" s="505"/>
      <c r="EL88" s="505"/>
      <c r="EM88" s="505"/>
      <c r="EN88" s="505"/>
      <c r="EO88" s="512">
        <f t="shared" ca="1" si="127"/>
        <v>0</v>
      </c>
      <c r="EQ88" s="505"/>
      <c r="ER88" s="505"/>
      <c r="ES88" s="505"/>
      <c r="ET88" s="505"/>
      <c r="EU88" s="505"/>
      <c r="EV88" s="505"/>
      <c r="EW88" s="505"/>
      <c r="EX88" s="505"/>
      <c r="EY88" s="505"/>
      <c r="EZ88" s="505"/>
      <c r="FA88" s="505"/>
      <c r="FB88" s="505"/>
      <c r="FC88" s="512">
        <f t="shared" si="128"/>
        <v>0</v>
      </c>
      <c r="FE88" s="505"/>
      <c r="FF88" s="505"/>
      <c r="FG88" s="505"/>
      <c r="FH88" s="505"/>
      <c r="FI88" s="505"/>
      <c r="FJ88" s="505"/>
      <c r="FK88" s="505"/>
      <c r="FL88" s="505"/>
      <c r="FM88" s="505"/>
      <c r="FN88" s="505"/>
      <c r="FO88" s="505"/>
      <c r="FP88" s="505"/>
      <c r="FQ88" s="512">
        <f t="shared" si="129"/>
        <v>0</v>
      </c>
      <c r="FS88" s="504">
        <f t="shared" ca="1" si="130"/>
        <v>1063259.17</v>
      </c>
    </row>
    <row r="89" spans="1:175">
      <c r="A89" s="216">
        <v>82</v>
      </c>
      <c r="B89" s="219" t="str">
        <f ca="1">INDEX(EAC[PA ID],MATCH($A89,EAC[Row],0))</f>
        <v>400.020.F1</v>
      </c>
      <c r="C89" s="218" t="str">
        <f ca="1">INDEX(EAC[Primary Category],MATCH($A89,EAC[Row],0))</f>
        <v>FE_IT</v>
      </c>
      <c r="D89" s="218" t="str">
        <f ca="1">INDEX(EAC[Secondary Category],MATCH($A89,EAC[Row],0))</f>
        <v>Information Technology</v>
      </c>
      <c r="E89" s="109" t="str">
        <f ca="1">INDEX(EAC[Phase / Subproject],MATCH($A89,EAC[Row],0))</f>
        <v>--</v>
      </c>
      <c r="F89" s="109" t="str">
        <f ca="1">INDEX(EAC[Phase / Subproject 2],MATCH($A89,EAC[Row],0))</f>
        <v>--</v>
      </c>
      <c r="G89" s="109" t="str">
        <f ca="1">INDEX(EAC[Funding Source],MATCH($A89,EAC[Row],0))</f>
        <v>P-002360</v>
      </c>
      <c r="H89" s="146" t="str">
        <f ca="1">INDEX(EAC[Vendor / Org. with Contract ID],MATCH($A89,EAC[Row],0))</f>
        <v>Compugen- SA WAPS-9000042321</v>
      </c>
      <c r="I89" s="502">
        <f ca="1">INDEX(EAC[Estimate At Completion],MATCH($A89,EAC[Row],0))</f>
        <v>56539.5</v>
      </c>
      <c r="J89" s="502">
        <f ca="1">SUMIFS(CostTrack[Value],CostTrack[Vendor - Contract],$H89,CostTrack[PA ID],$B89,CostTrack[Holdback (Y/N/R)],"&lt;&gt;Release",CostTrack[Status],"Approved")</f>
        <v>56539.5</v>
      </c>
      <c r="K89" s="503">
        <f t="shared" ca="1" si="95"/>
        <v>0</v>
      </c>
      <c r="M89" s="504">
        <f t="shared" ref="M89:M90" ca="1" si="131">I89-FS89</f>
        <v>0</v>
      </c>
      <c r="O89" s="504">
        <f t="shared" ref="O89:O90" ca="1" si="132">SUMIF($U$6:$FQ$6,"Previous Fiscal",AG89:FQ89)</f>
        <v>56539.5</v>
      </c>
      <c r="P89" s="504">
        <f t="array" aca="1" ref="P89" ca="1">SUM($U89:$FQ89*_xlfn.ISFORMULA($U89:$FQ89)*ISNUMBER($U$7:$FQ$7)*--(INDEX($U$6:$FQ$6,N(IF({1},COLUMN($U$6:$FQ$6)-COLUMN($T$6)))-MOD(N(IF({1},COLUMN($U$6:$FQ$6)-COLUMN($U$6))),14))="Current Fiscal"))</f>
        <v>0</v>
      </c>
      <c r="Q89" s="504">
        <f t="array" aca="1" ref="Q89" ca="1">SUM($U89:$FQ89*NOT(_xlfn.ISFORMULA($U89:$FQ89))*ISNUMBER($U$7:$FQ$7)*--(INDEX($U$6:$FQ$6,N(IF({1},COLUMN($U$6:$FQ$6)-COLUMN($T$6)))-MOD(N(IF({1},COLUMN($U$6:$FQ$6)-COLUMN($U$6))),14))="Current Fiscal"))</f>
        <v>0</v>
      </c>
      <c r="R89" s="504">
        <f t="shared" ref="R89:R90" ca="1" si="133">SUMIF($U$6:$FQ$6,"Current Fiscal",AG89:FQ89)</f>
        <v>0</v>
      </c>
      <c r="S89" s="504">
        <f t="shared" ref="S89:S90" ca="1" si="134">SUMIF($U$6:$FQ$6,"Future Fiscal",AG89:FQ89)</f>
        <v>0</v>
      </c>
      <c r="U89" s="504">
        <f ca="1">SUMIFS(CostTrack[[Value]:[Value]],CostTrack[[PA ID]:[PA ID]],$B89,CostTrack[[Vendor - Contract]:[Vendor - Contract]],$H89,CostTrack[[Holdback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89" s="504">
        <f ca="1">SUMIFS(CostTrack[[Value]:[Value]],CostTrack[[PA ID]:[PA ID]],$B89,CostTrack[[Vendor - Contract]:[Vendor - Contract]],$H89,CostTrack[[Holdback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89" s="504">
        <f ca="1">SUMIFS(CostTrack[[Value]:[Value]],CostTrack[[PA ID]:[PA ID]],$B89,CostTrack[[Vendor - Contract]:[Vendor - Contract]],$H89,CostTrack[[Holdback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89" s="504">
        <f ca="1">SUMIFS(CostTrack[[Value]:[Value]],CostTrack[[PA ID]:[PA ID]],$B89,CostTrack[[Vendor - Contract]:[Vendor - Contract]],$H89,CostTrack[[Holdback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89" s="504">
        <f ca="1">SUMIFS(CostTrack[[Value]:[Value]],CostTrack[[PA ID]:[PA ID]],$B89,CostTrack[[Vendor - Contract]:[Vendor - Contract]],$H89,CostTrack[[Holdback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89" s="504">
        <f ca="1">SUMIFS(CostTrack[[Value]:[Value]],CostTrack[[PA ID]:[PA ID]],$B89,CostTrack[[Vendor - Contract]:[Vendor - Contract]],$H89,CostTrack[[Holdback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89" s="504">
        <f ca="1">SUMIFS(CostTrack[[Value]:[Value]],CostTrack[[PA ID]:[PA ID]],$B89,CostTrack[[Vendor - Contract]:[Vendor - Contract]],$H89,CostTrack[[Holdback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89" s="504">
        <f ca="1">SUMIFS(CostTrack[[Value]:[Value]],CostTrack[[PA ID]:[PA ID]],$B89,CostTrack[[Vendor - Contract]:[Vendor - Contract]],$H89,CostTrack[[Holdback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89" s="504">
        <f ca="1">SUMIFS(CostTrack[[Value]:[Value]],CostTrack[[PA ID]:[PA ID]],$B89,CostTrack[[Vendor - Contract]:[Vendor - Contract]],$H89,CostTrack[[Holdback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89" s="504">
        <f ca="1">SUMIFS(CostTrack[[Value]:[Value]],CostTrack[[PA ID]:[PA ID]],$B89,CostTrack[[Vendor - Contract]:[Vendor - Contract]],$H89,CostTrack[[Holdback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89" s="504">
        <f ca="1">SUMIFS(CostTrack[[Value]:[Value]],CostTrack[[PA ID]:[PA ID]],$B89,CostTrack[[Vendor - Contract]:[Vendor - Contract]],$H89,CostTrack[[Holdback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89" s="504">
        <f ca="1">SUMIFS(CostTrack[[Value]:[Value]],CostTrack[[PA ID]:[PA ID]],$B89,CostTrack[[Vendor - Contract]:[Vendor - Contract]],$H89,CostTrack[[Holdback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89" s="506">
        <f t="shared" ref="AG89:AG90" ca="1" si="135">SUM(U89:AF89)</f>
        <v>0</v>
      </c>
      <c r="AI89" s="504">
        <f ca="1">SUMIFS(CostTrack[[Value]:[Value]],CostTrack[[PA ID]:[PA ID]],$B89,CostTrack[[Vendor - Contract]:[Vendor - Contract]],$H89,CostTrack[[Holdback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89" s="504">
        <f ca="1">SUMIFS(CostTrack[[Value]:[Value]],CostTrack[[PA ID]:[PA ID]],$B89,CostTrack[[Vendor - Contract]:[Vendor - Contract]],$H89,CostTrack[[Holdback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89" s="504">
        <f ca="1">SUMIFS(CostTrack[[Value]:[Value]],CostTrack[[PA ID]:[PA ID]],$B89,CostTrack[[Vendor - Contract]:[Vendor - Contract]],$H89,CostTrack[[Holdback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89" s="504">
        <f ca="1">SUMIFS(CostTrack[[Value]:[Value]],CostTrack[[PA ID]:[PA ID]],$B89,CostTrack[[Vendor - Contract]:[Vendor - Contract]],$H89,CostTrack[[Holdback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89" s="504">
        <f ca="1">SUMIFS(CostTrack[[Value]:[Value]],CostTrack[[PA ID]:[PA ID]],$B89,CostTrack[[Vendor - Contract]:[Vendor - Contract]],$H89,CostTrack[[Holdback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89" s="504">
        <f ca="1">SUMIFS(CostTrack[[Value]:[Value]],CostTrack[[PA ID]:[PA ID]],$B89,CostTrack[[Vendor - Contract]:[Vendor - Contract]],$H89,CostTrack[[Holdback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89" s="504">
        <f ca="1">SUMIFS(CostTrack[[Value]:[Value]],CostTrack[[PA ID]:[PA ID]],$B89,CostTrack[[Vendor - Contract]:[Vendor - Contract]],$H89,CostTrack[[Holdback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89" s="504">
        <f ca="1">SUMIFS(CostTrack[[Value]:[Value]],CostTrack[[PA ID]:[PA ID]],$B89,CostTrack[[Vendor - Contract]:[Vendor - Contract]],$H89,CostTrack[[Holdback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89" s="504">
        <f ca="1">SUMIFS(CostTrack[[Value]:[Value]],CostTrack[[PA ID]:[PA ID]],$B89,CostTrack[[Vendor - Contract]:[Vendor - Contract]],$H89,CostTrack[[Holdback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89" s="504">
        <f ca="1">SUMIFS(CostTrack[[Value]:[Value]],CostTrack[[PA ID]:[PA ID]],$B89,CostTrack[[Vendor - Contract]:[Vendor - Contract]],$H89,CostTrack[[Holdback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89" s="504">
        <f ca="1">SUMIFS(CostTrack[[Value]:[Value]],CostTrack[[PA ID]:[PA ID]],$B89,CostTrack[[Vendor - Contract]:[Vendor - Contract]],$H89,CostTrack[[Holdback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89" s="504">
        <f ca="1">SUMIFS(CostTrack[[Value]:[Value]],CostTrack[[PA ID]:[PA ID]],$B89,CostTrack[[Vendor - Contract]:[Vendor - Contract]],$H89,CostTrack[[Holdback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89" s="512">
        <f t="shared" ref="AU89:AU90" ca="1" si="136">SUM(AI89:AT89)</f>
        <v>0</v>
      </c>
      <c r="AW89" s="504">
        <f ca="1">SUMIFS(CostTrack[[Value]:[Value]],CostTrack[[PA ID]:[PA ID]],$B89,CostTrack[[Vendor - Contract]:[Vendor - Contract]],$H89,CostTrack[[Holdback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89" s="504">
        <f ca="1">SUMIFS(CostTrack[[Value]:[Value]],CostTrack[[PA ID]:[PA ID]],$B89,CostTrack[[Vendor - Contract]:[Vendor - Contract]],$H89,CostTrack[[Holdback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89" s="504">
        <f ca="1">SUMIFS(CostTrack[[Value]:[Value]],CostTrack[[PA ID]:[PA ID]],$B89,CostTrack[[Vendor - Contract]:[Vendor - Contract]],$H89,CostTrack[[Holdback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89" s="504">
        <f ca="1">SUMIFS(CostTrack[[Value]:[Value]],CostTrack[[PA ID]:[PA ID]],$B89,CostTrack[[Vendor - Contract]:[Vendor - Contract]],$H89,CostTrack[[Holdback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89" s="504">
        <f ca="1">SUMIFS(CostTrack[[Value]:[Value]],CostTrack[[PA ID]:[PA ID]],$B89,CostTrack[[Vendor - Contract]:[Vendor - Contract]],$H89,CostTrack[[Holdback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89" s="504">
        <f ca="1">SUMIFS(CostTrack[[Value]:[Value]],CostTrack[[PA ID]:[PA ID]],$B89,CostTrack[[Vendor - Contract]:[Vendor - Contract]],$H89,CostTrack[[Holdback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89" s="504">
        <f ca="1">SUMIFS(CostTrack[[Value]:[Value]],CostTrack[[PA ID]:[PA ID]],$B89,CostTrack[[Vendor - Contract]:[Vendor - Contract]],$H89,CostTrack[[Holdback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89" s="504">
        <f ca="1">SUMIFS(CostTrack[[Value]:[Value]],CostTrack[[PA ID]:[PA ID]],$B89,CostTrack[[Vendor - Contract]:[Vendor - Contract]],$H89,CostTrack[[Holdback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89" s="504">
        <f ca="1">SUMIFS(CostTrack[[Value]:[Value]],CostTrack[[PA ID]:[PA ID]],$B89,CostTrack[[Vendor - Contract]:[Vendor - Contract]],$H89,CostTrack[[Holdback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89" s="504">
        <f ca="1">SUMIFS(CostTrack[[Value]:[Value]],CostTrack[[PA ID]:[PA ID]],$B89,CostTrack[[Vendor - Contract]:[Vendor - Contract]],$H89,CostTrack[[Holdback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89" s="504">
        <f ca="1">SUMIFS(CostTrack[[Value]:[Value]],CostTrack[[PA ID]:[PA ID]],$B89,CostTrack[[Vendor - Contract]:[Vendor - Contract]],$H89,CostTrack[[Holdback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89" s="504">
        <f ca="1">SUMIFS(CostTrack[[Value]:[Value]],CostTrack[[PA ID]:[PA ID]],$B89,CostTrack[[Vendor - Contract]:[Vendor - Contract]],$H89,CostTrack[[Holdback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89" s="512">
        <f t="shared" ref="BI89:BI90" ca="1" si="137">SUM(AW89:BH89)</f>
        <v>0</v>
      </c>
      <c r="BK89" s="504">
        <f ca="1">SUMIFS(CostTrack[[Value]:[Value]],CostTrack[[PA ID]:[PA ID]],$B89,CostTrack[[Vendor - Contract]:[Vendor - Contract]],$H89,CostTrack[[Holdback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89" s="504">
        <f ca="1">SUMIFS(CostTrack[[Value]:[Value]],CostTrack[[PA ID]:[PA ID]],$B89,CostTrack[[Vendor - Contract]:[Vendor - Contract]],$H89,CostTrack[[Holdback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89" s="504">
        <f ca="1">SUMIFS(CostTrack[[Value]:[Value]],CostTrack[[PA ID]:[PA ID]],$B89,CostTrack[[Vendor - Contract]:[Vendor - Contract]],$H89,CostTrack[[Holdback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89" s="504">
        <f ca="1">SUMIFS(CostTrack[[Value]:[Value]],CostTrack[[PA ID]:[PA ID]],$B89,CostTrack[[Vendor - Contract]:[Vendor - Contract]],$H89,CostTrack[[Holdback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89" s="504">
        <f ca="1">SUMIFS(CostTrack[[Value]:[Value]],CostTrack[[PA ID]:[PA ID]],$B89,CostTrack[[Vendor - Contract]:[Vendor - Contract]],$H89,CostTrack[[Holdback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89" s="504">
        <f ca="1">SUMIFS(CostTrack[[Value]:[Value]],CostTrack[[PA ID]:[PA ID]],$B89,CostTrack[[Vendor - Contract]:[Vendor - Contract]],$H89,CostTrack[[Holdback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89" s="504">
        <f ca="1">SUMIFS(CostTrack[[Value]:[Value]],CostTrack[[PA ID]:[PA ID]],$B89,CostTrack[[Vendor - Contract]:[Vendor - Contract]],$H89,CostTrack[[Holdback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89" s="504">
        <f ca="1">SUMIFS(CostTrack[[Value]:[Value]],CostTrack[[PA ID]:[PA ID]],$B89,CostTrack[[Vendor - Contract]:[Vendor - Contract]],$H89,CostTrack[[Holdback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89" s="504">
        <f ca="1">SUMIFS(CostTrack[[Value]:[Value]],CostTrack[[PA ID]:[PA ID]],$B89,CostTrack[[Vendor - Contract]:[Vendor - Contract]],$H89,CostTrack[[Holdback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89" s="504">
        <f ca="1">SUMIFS(CostTrack[[Value]:[Value]],CostTrack[[PA ID]:[PA ID]],$B89,CostTrack[[Vendor - Contract]:[Vendor - Contract]],$H89,CostTrack[[Holdback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89" s="504">
        <f ca="1">SUMIFS(CostTrack[[Value]:[Value]],CostTrack[[PA ID]:[PA ID]],$B89,CostTrack[[Vendor - Contract]:[Vendor - Contract]],$H89,CostTrack[[Holdback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89" s="504">
        <f ca="1">SUMIFS(CostTrack[[Value]:[Value]],CostTrack[[PA ID]:[PA ID]],$B89,CostTrack[[Vendor - Contract]:[Vendor - Contract]],$H89,CostTrack[[Holdback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89" s="512">
        <f t="shared" ref="BW89:BW90" ca="1" si="138">SUM(BK89:BV89)</f>
        <v>0</v>
      </c>
      <c r="BY89" s="504">
        <f ca="1">SUMIFS(CostTrack[[Value]:[Value]],CostTrack[[PA ID]:[PA ID]],$B89,CostTrack[[Vendor - Contract]:[Vendor - Contract]],$H89,CostTrack[[Holdback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89" s="504">
        <f ca="1">SUMIFS(CostTrack[[Value]:[Value]],CostTrack[[PA ID]:[PA ID]],$B89,CostTrack[[Vendor - Contract]:[Vendor - Contract]],$H89,CostTrack[[Holdback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89" s="504">
        <f ca="1">SUMIFS(CostTrack[[Value]:[Value]],CostTrack[[PA ID]:[PA ID]],$B89,CostTrack[[Vendor - Contract]:[Vendor - Contract]],$H89,CostTrack[[Holdback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89" s="504">
        <f ca="1">SUMIFS(CostTrack[[Value]:[Value]],CostTrack[[PA ID]:[PA ID]],$B89,CostTrack[[Vendor - Contract]:[Vendor - Contract]],$H89,CostTrack[[Holdback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89" s="504">
        <f ca="1">SUMIFS(CostTrack[[Value]:[Value]],CostTrack[[PA ID]:[PA ID]],$B89,CostTrack[[Vendor - Contract]:[Vendor - Contract]],$H89,CostTrack[[Holdback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89" s="504">
        <f ca="1">SUMIFS(CostTrack[[Value]:[Value]],CostTrack[[PA ID]:[PA ID]],$B89,CostTrack[[Vendor - Contract]:[Vendor - Contract]],$H89,CostTrack[[Holdback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89" s="504">
        <f ca="1">SUMIFS(CostTrack[[Value]:[Value]],CostTrack[[PA ID]:[PA ID]],$B89,CostTrack[[Vendor - Contract]:[Vendor - Contract]],$H89,CostTrack[[Holdback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89" s="504">
        <f ca="1">SUMIFS(CostTrack[[Value]:[Value]],CostTrack[[PA ID]:[PA ID]],$B89,CostTrack[[Vendor - Contract]:[Vendor - Contract]],$H89,CostTrack[[Holdback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89" s="504">
        <f ca="1">SUMIFS(CostTrack[[Value]:[Value]],CostTrack[[PA ID]:[PA ID]],$B89,CostTrack[[Vendor - Contract]:[Vendor - Contract]],$H89,CostTrack[[Holdback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89" s="504">
        <f ca="1">SUMIFS(CostTrack[[Value]:[Value]],CostTrack[[PA ID]:[PA ID]],$B89,CostTrack[[Vendor - Contract]:[Vendor - Contract]],$H89,CostTrack[[Holdback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89" s="504">
        <f ca="1">SUMIFS(CostTrack[[Value]:[Value]],CostTrack[[PA ID]:[PA ID]],$B89,CostTrack[[Vendor - Contract]:[Vendor - Contract]],$H89,CostTrack[[Holdback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89" s="504">
        <f ca="1">SUMIFS(CostTrack[[Value]:[Value]],CostTrack[[PA ID]:[PA ID]],$B89,CostTrack[[Vendor - Contract]:[Vendor - Contract]],$H89,CostTrack[[Holdback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89" s="512">
        <f t="shared" ref="CK89:CK90" ca="1" si="139">SUM(BY89:CJ89)</f>
        <v>0</v>
      </c>
      <c r="CM89" s="504">
        <f ca="1">SUMIFS(CostTrack[[Value]:[Value]],CostTrack[[PA ID]:[PA ID]],$B89,CostTrack[[Vendor - Contract]:[Vendor - Contract]],$H89,CostTrack[[Holdback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89" s="504">
        <f ca="1">SUMIFS(CostTrack[[Value]:[Value]],CostTrack[[PA ID]:[PA ID]],$B89,CostTrack[[Vendor - Contract]:[Vendor - Contract]],$H89,CostTrack[[Holdback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89" s="504">
        <f ca="1">SUMIFS(CostTrack[[Value]:[Value]],CostTrack[[PA ID]:[PA ID]],$B89,CostTrack[[Vendor - Contract]:[Vendor - Contract]],$H89,CostTrack[[Holdback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89" s="504">
        <f ca="1">SUMIFS(CostTrack[[Value]:[Value]],CostTrack[[PA ID]:[PA ID]],$B89,CostTrack[[Vendor - Contract]:[Vendor - Contract]],$H89,CostTrack[[Holdback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89" s="504">
        <f ca="1">SUMIFS(CostTrack[[Value]:[Value]],CostTrack[[PA ID]:[PA ID]],$B89,CostTrack[[Vendor - Contract]:[Vendor - Contract]],$H89,CostTrack[[Holdback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89" s="504">
        <f ca="1">SUMIFS(CostTrack[[Value]:[Value]],CostTrack[[PA ID]:[PA ID]],$B89,CostTrack[[Vendor - Contract]:[Vendor - Contract]],$H89,CostTrack[[Holdback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89" s="504">
        <f ca="1">SUMIFS(CostTrack[[Value]:[Value]],CostTrack[[PA ID]:[PA ID]],$B89,CostTrack[[Vendor - Contract]:[Vendor - Contract]],$H89,CostTrack[[Holdback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89" s="504">
        <f ca="1">SUMIFS(CostTrack[[Value]:[Value]],CostTrack[[PA ID]:[PA ID]],$B89,CostTrack[[Vendor - Contract]:[Vendor - Contract]],$H89,CostTrack[[Holdback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89" s="504">
        <f ca="1">SUMIFS(CostTrack[[Value]:[Value]],CostTrack[[PA ID]:[PA ID]],$B89,CostTrack[[Vendor - Contract]:[Vendor - Contract]],$H89,CostTrack[[Holdback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56539.5</v>
      </c>
      <c r="CV89" s="504">
        <f ca="1">SUMIFS(CostTrack[[Value]:[Value]],CostTrack[[PA ID]:[PA ID]],$B89,CostTrack[[Vendor - Contract]:[Vendor - Contract]],$H89,CostTrack[[Holdback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89" s="504">
        <f ca="1">SUMIFS(CostTrack[[Value]:[Value]],CostTrack[[PA ID]:[PA ID]],$B89,CostTrack[[Vendor - Contract]:[Vendor - Contract]],$H89,CostTrack[[Holdback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89" s="504">
        <f ca="1">SUMIFS(CostTrack[[Value]:[Value]],CostTrack[[PA ID]:[PA ID]],$B89,CostTrack[[Vendor - Contract]:[Vendor - Contract]],$H89,CostTrack[[Holdback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89" s="512">
        <f t="shared" ref="CY89:CY90" ca="1" si="140">SUM(CM89:CX89)</f>
        <v>56539.5</v>
      </c>
      <c r="DA89" s="504">
        <f ca="1">SUMIFS(CostTrack[[Value]:[Value]],CostTrack[[PA ID]:[PA ID]],$B89,CostTrack[[Vendor - Contract]:[Vendor - Contract]],$H89,CostTrack[[Holdback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89" s="504">
        <f ca="1">SUMIFS(CostTrack[[Value]:[Value]],CostTrack[[PA ID]:[PA ID]],$B89,CostTrack[[Vendor - Contract]:[Vendor - Contract]],$H89,CostTrack[[Holdback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89" s="504">
        <f ca="1">SUMIFS(CostTrack[[Value]:[Value]],CostTrack[[PA ID]:[PA ID]],$B89,CostTrack[[Vendor - Contract]:[Vendor - Contract]],$H89,CostTrack[[Holdback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89" s="504">
        <f ca="1">SUMIFS(CostTrack[[Value]:[Value]],CostTrack[[PA ID]:[PA ID]],$B89,CostTrack[[Vendor - Contract]:[Vendor - Contract]],$H89,CostTrack[[Holdback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89" s="504">
        <f ca="1">SUMIFS(CostTrack[[Value]:[Value]],CostTrack[[PA ID]:[PA ID]],$B89,CostTrack[[Vendor - Contract]:[Vendor - Contract]],$H89,CostTrack[[Holdback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89" s="504">
        <f ca="1">SUMIFS(CostTrack[[Value]:[Value]],CostTrack[[PA ID]:[PA ID]],$B89,CostTrack[[Vendor - Contract]:[Vendor - Contract]],$H89,CostTrack[[Holdback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89" s="504">
        <f ca="1">SUMIFS(CostTrack[[Value]:[Value]],CostTrack[[PA ID]:[PA ID]],$B89,CostTrack[[Vendor - Contract]:[Vendor - Contract]],$H89,CostTrack[[Holdback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89" s="504">
        <f ca="1">SUMIFS(CostTrack[[Value]:[Value]],CostTrack[[PA ID]:[PA ID]],$B89,CostTrack[[Vendor - Contract]:[Vendor - Contract]],$H89,CostTrack[[Holdback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89" s="504">
        <f ca="1">SUMIFS(CostTrack[[Value]:[Value]],CostTrack[[PA ID]:[PA ID]],$B89,CostTrack[[Vendor - Contract]:[Vendor - Contract]],$H89,CostTrack[[Holdback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89" s="504">
        <f ca="1">SUMIFS(CostTrack[[Value]:[Value]],CostTrack[[PA ID]:[PA ID]],$B89,CostTrack[[Vendor - Contract]:[Vendor - Contract]],$H89,CostTrack[[Holdback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89" s="504">
        <f ca="1">SUMIFS(CostTrack[[Value]:[Value]],CostTrack[[PA ID]:[PA ID]],$B89,CostTrack[[Vendor - Contract]:[Vendor - Contract]],$H89,CostTrack[[Holdback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89" s="504">
        <f ca="1">SUMIFS(CostTrack[[Value]:[Value]],CostTrack[[PA ID]:[PA ID]],$B89,CostTrack[[Vendor - Contract]:[Vendor - Contract]],$H89,CostTrack[[Holdback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89" s="512">
        <f t="shared" ref="DM89:DM93" ca="1" si="141">SUM(DA89:DL89)</f>
        <v>0</v>
      </c>
      <c r="DO89" s="504">
        <f ca="1">SUMIFS(CostTrack[[Value]:[Value]],CostTrack[[PA ID]:[PA ID]],$B89,CostTrack[[Vendor - Contract]:[Vendor - Contract]],$H89,CostTrack[[Holdback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89" s="504">
        <f ca="1">SUMIFS(CostTrack[[Value]:[Value]],CostTrack[[PA ID]:[PA ID]],$B89,CostTrack[[Vendor - Contract]:[Vendor - Contract]],$H89,CostTrack[[Holdback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89" s="504">
        <f ca="1">SUMIFS(CostTrack[[Value]:[Value]],CostTrack[[PA ID]:[PA ID]],$B89,CostTrack[[Vendor - Contract]:[Vendor - Contract]],$H89,CostTrack[[Holdback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89" s="504">
        <f ca="1">SUMIFS(CostTrack[[Value]:[Value]],CostTrack[[PA ID]:[PA ID]],$B89,CostTrack[[Vendor - Contract]:[Vendor - Contract]],$H89,CostTrack[[Holdback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89" s="504">
        <f ca="1">SUMIFS(CostTrack[[Value]:[Value]],CostTrack[[PA ID]:[PA ID]],$B89,CostTrack[[Vendor - Contract]:[Vendor - Contract]],$H89,CostTrack[[Holdback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89" s="504">
        <f ca="1">SUMIFS(CostTrack[[Value]:[Value]],CostTrack[[PA ID]:[PA ID]],$B89,CostTrack[[Vendor - Contract]:[Vendor - Contract]],$H89,CostTrack[[Holdback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89" s="504">
        <f ca="1">SUMIFS(CostTrack[[Value]:[Value]],CostTrack[[PA ID]:[PA ID]],$B89,CostTrack[[Vendor - Contract]:[Vendor - Contract]],$H89,CostTrack[[Holdback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89" s="504">
        <f ca="1">SUMIFS(CostTrack[[Value]:[Value]],CostTrack[[PA ID]:[PA ID]],$B89,CostTrack[[Vendor - Contract]:[Vendor - Contract]],$H89,CostTrack[[Holdback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89" s="504">
        <f ca="1">SUMIFS(CostTrack[[Value]:[Value]],CostTrack[[PA ID]:[PA ID]],$B89,CostTrack[[Vendor - Contract]:[Vendor - Contract]],$H89,CostTrack[[Holdback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89" s="504">
        <f ca="1">SUMIFS(CostTrack[[Value]:[Value]],CostTrack[[PA ID]:[PA ID]],$B89,CostTrack[[Vendor - Contract]:[Vendor - Contract]],$H89,CostTrack[[Holdback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89" s="504">
        <f ca="1">SUMIFS(CostTrack[[Value]:[Value]],CostTrack[[PA ID]:[PA ID]],$B89,CostTrack[[Vendor - Contract]:[Vendor - Contract]],$H89,CostTrack[[Holdback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89" s="504">
        <f ca="1">SUMIFS(CostTrack[[Value]:[Value]],CostTrack[[PA ID]:[PA ID]],$B89,CostTrack[[Vendor - Contract]:[Vendor - Contract]],$H89,CostTrack[[Holdback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89" s="512">
        <f t="shared" ref="EA89:EA93" ca="1" si="142">SUM(DO89:DZ89)</f>
        <v>0</v>
      </c>
      <c r="EC89" s="504">
        <f ca="1">SUMIFS(CostTrack[[Value]:[Value]],CostTrack[[PA ID]:[PA ID]],$B89,CostTrack[[Vendor - Contract]:[Vendor - Contract]],$H89,CostTrack[[Holdback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89" s="505"/>
      <c r="EE89" s="505"/>
      <c r="EF89" s="505"/>
      <c r="EG89" s="505"/>
      <c r="EH89" s="505"/>
      <c r="EI89" s="505"/>
      <c r="EJ89" s="505"/>
      <c r="EK89" s="505"/>
      <c r="EL89" s="505"/>
      <c r="EM89" s="505"/>
      <c r="EN89" s="505"/>
      <c r="EO89" s="512">
        <f t="shared" ref="EO89:EO90" ca="1" si="143">SUM(EC89:EN89)</f>
        <v>0</v>
      </c>
      <c r="EQ89" s="505"/>
      <c r="ER89" s="505"/>
      <c r="ES89" s="505"/>
      <c r="ET89" s="505"/>
      <c r="EU89" s="505"/>
      <c r="EV89" s="505"/>
      <c r="EW89" s="505"/>
      <c r="EX89" s="505"/>
      <c r="EY89" s="505"/>
      <c r="EZ89" s="505"/>
      <c r="FA89" s="505"/>
      <c r="FB89" s="505"/>
      <c r="FC89" s="512">
        <f t="shared" ref="FC89:FC90" si="144">SUM(EQ89:FB89)</f>
        <v>0</v>
      </c>
      <c r="FE89" s="505"/>
      <c r="FF89" s="505"/>
      <c r="FG89" s="505"/>
      <c r="FH89" s="505"/>
      <c r="FI89" s="505"/>
      <c r="FJ89" s="505"/>
      <c r="FK89" s="505"/>
      <c r="FL89" s="505"/>
      <c r="FM89" s="505"/>
      <c r="FN89" s="505"/>
      <c r="FO89" s="505"/>
      <c r="FP89" s="505"/>
      <c r="FQ89" s="512">
        <f t="shared" ref="FQ89:FQ90" si="145">SUM(FE89:FP89)</f>
        <v>0</v>
      </c>
      <c r="FS89" s="504">
        <f t="shared" ref="FS89:FS93" ca="1" si="146">AG89+AU89+BI89+BW89+CK89+CY89+DM89+EA89+EO89+FC89+FQ89</f>
        <v>56539.5</v>
      </c>
    </row>
    <row r="90" spans="1:175">
      <c r="A90" s="216">
        <v>83</v>
      </c>
      <c r="B90" s="219" t="str">
        <f ca="1">INDEX(EAC[PA ID],MATCH($A90,EAC[Row],0))</f>
        <v>400.020.F1</v>
      </c>
      <c r="C90" s="218" t="str">
        <f ca="1">INDEX(EAC[Primary Category],MATCH($A90,EAC[Row],0))</f>
        <v>FE_IT</v>
      </c>
      <c r="D90" s="218" t="str">
        <f ca="1">INDEX(EAC[Secondary Category],MATCH($A90,EAC[Row],0))</f>
        <v>Information Technology</v>
      </c>
      <c r="E90" s="109" t="str">
        <f ca="1">INDEX(EAC[Phase / Subproject],MATCH($A90,EAC[Row],0))</f>
        <v>--</v>
      </c>
      <c r="F90" s="109" t="str">
        <f ca="1">INDEX(EAC[Phase / Subproject 2],MATCH($A90,EAC[Row],0))</f>
        <v>--</v>
      </c>
      <c r="G90" s="109" t="str">
        <f ca="1">INDEX(EAC[Funding Source],MATCH($A90,EAC[Row],0))</f>
        <v>P-002360</v>
      </c>
      <c r="H90" s="146" t="str">
        <f ca="1">INDEX(EAC[Vendor / Org. with Contract ID],MATCH($A90,EAC[Row],0))</f>
        <v>IUT-CTS Equipment-JSG-IUT</v>
      </c>
      <c r="I90" s="502">
        <f ca="1">INDEX(EAC[Estimate At Completion],MATCH($A90,EAC[Row],0))</f>
        <v>380132</v>
      </c>
      <c r="J90" s="502">
        <f ca="1">SUMIFS(CostTrack[Value],CostTrack[Vendor - Contract],$H90,CostTrack[PA ID],$B90,CostTrack[Holdback (Y/N/R)],"&lt;&gt;Release",CostTrack[Status],"Approved")</f>
        <v>367461.28</v>
      </c>
      <c r="K90" s="503">
        <f t="shared" ca="1" si="95"/>
        <v>12670.719999999972</v>
      </c>
      <c r="M90" s="504">
        <f t="shared" ca="1" si="131"/>
        <v>0</v>
      </c>
      <c r="O90" s="504">
        <f t="shared" ca="1" si="132"/>
        <v>367461.28</v>
      </c>
      <c r="P90" s="504">
        <f t="array" aca="1" ref="P90" ca="1">SUM($U90:$FQ90*_xlfn.ISFORMULA($U90:$FQ90)*ISNUMBER($U$7:$FQ$7)*--(INDEX($U$6:$FQ$6,N(IF({1},COLUMN($U$6:$FQ$6)-COLUMN($T$6)))-MOD(N(IF({1},COLUMN($U$6:$FQ$6)-COLUMN($U$6))),14))="Current Fiscal"))</f>
        <v>0</v>
      </c>
      <c r="Q90" s="504">
        <f t="array" aca="1" ref="Q90" ca="1">SUM($U90:$FQ90*NOT(_xlfn.ISFORMULA($U90:$FQ90))*ISNUMBER($U$7:$FQ$7)*--(INDEX($U$6:$FQ$6,N(IF({1},COLUMN($U$6:$FQ$6)-COLUMN($T$6)))-MOD(N(IF({1},COLUMN($U$6:$FQ$6)-COLUMN($U$6))),14))="Current Fiscal"))</f>
        <v>12671</v>
      </c>
      <c r="R90" s="504">
        <f t="shared" ca="1" si="133"/>
        <v>12671</v>
      </c>
      <c r="S90" s="504">
        <f t="shared" ca="1" si="134"/>
        <v>-0.28000000000000003</v>
      </c>
      <c r="U90" s="504">
        <f ca="1">SUMIFS(CostTrack[[Value]:[Value]],CostTrack[[PA ID]:[PA ID]],$B90,CostTrack[[Vendor - Contract]:[Vendor - Contract]],$H90,CostTrack[[Holdback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90" s="504">
        <f ca="1">SUMIFS(CostTrack[[Value]:[Value]],CostTrack[[PA ID]:[PA ID]],$B90,CostTrack[[Vendor - Contract]:[Vendor - Contract]],$H90,CostTrack[[Holdback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90" s="504">
        <f ca="1">SUMIFS(CostTrack[[Value]:[Value]],CostTrack[[PA ID]:[PA ID]],$B90,CostTrack[[Vendor - Contract]:[Vendor - Contract]],$H90,CostTrack[[Holdback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90" s="504">
        <f ca="1">SUMIFS(CostTrack[[Value]:[Value]],CostTrack[[PA ID]:[PA ID]],$B90,CostTrack[[Vendor - Contract]:[Vendor - Contract]],$H90,CostTrack[[Holdback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90" s="504">
        <f ca="1">SUMIFS(CostTrack[[Value]:[Value]],CostTrack[[PA ID]:[PA ID]],$B90,CostTrack[[Vendor - Contract]:[Vendor - Contract]],$H90,CostTrack[[Holdback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90" s="504">
        <f ca="1">SUMIFS(CostTrack[[Value]:[Value]],CostTrack[[PA ID]:[PA ID]],$B90,CostTrack[[Vendor - Contract]:[Vendor - Contract]],$H90,CostTrack[[Holdback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90" s="504">
        <f ca="1">SUMIFS(CostTrack[[Value]:[Value]],CostTrack[[PA ID]:[PA ID]],$B90,CostTrack[[Vendor - Contract]:[Vendor - Contract]],$H90,CostTrack[[Holdback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90" s="504">
        <f ca="1">SUMIFS(CostTrack[[Value]:[Value]],CostTrack[[PA ID]:[PA ID]],$B90,CostTrack[[Vendor - Contract]:[Vendor - Contract]],$H90,CostTrack[[Holdback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90" s="504">
        <f ca="1">SUMIFS(CostTrack[[Value]:[Value]],CostTrack[[PA ID]:[PA ID]],$B90,CostTrack[[Vendor - Contract]:[Vendor - Contract]],$H90,CostTrack[[Holdback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90" s="504">
        <f ca="1">SUMIFS(CostTrack[[Value]:[Value]],CostTrack[[PA ID]:[PA ID]],$B90,CostTrack[[Vendor - Contract]:[Vendor - Contract]],$H90,CostTrack[[Holdback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90" s="504">
        <f ca="1">SUMIFS(CostTrack[[Value]:[Value]],CostTrack[[PA ID]:[PA ID]],$B90,CostTrack[[Vendor - Contract]:[Vendor - Contract]],$H90,CostTrack[[Holdback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90" s="504">
        <f ca="1">SUMIFS(CostTrack[[Value]:[Value]],CostTrack[[PA ID]:[PA ID]],$B90,CostTrack[[Vendor - Contract]:[Vendor - Contract]],$H90,CostTrack[[Holdback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90" s="506">
        <f t="shared" ca="1" si="135"/>
        <v>0</v>
      </c>
      <c r="AI90" s="504">
        <f ca="1">SUMIFS(CostTrack[[Value]:[Value]],CostTrack[[PA ID]:[PA ID]],$B90,CostTrack[[Vendor - Contract]:[Vendor - Contract]],$H90,CostTrack[[Holdback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90" s="504">
        <f ca="1">SUMIFS(CostTrack[[Value]:[Value]],CostTrack[[PA ID]:[PA ID]],$B90,CostTrack[[Vendor - Contract]:[Vendor - Contract]],$H90,CostTrack[[Holdback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90" s="504">
        <f ca="1">SUMIFS(CostTrack[[Value]:[Value]],CostTrack[[PA ID]:[PA ID]],$B90,CostTrack[[Vendor - Contract]:[Vendor - Contract]],$H90,CostTrack[[Holdback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90" s="504">
        <f ca="1">SUMIFS(CostTrack[[Value]:[Value]],CostTrack[[PA ID]:[PA ID]],$B90,CostTrack[[Vendor - Contract]:[Vendor - Contract]],$H90,CostTrack[[Holdback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90" s="504">
        <f ca="1">SUMIFS(CostTrack[[Value]:[Value]],CostTrack[[PA ID]:[PA ID]],$B90,CostTrack[[Vendor - Contract]:[Vendor - Contract]],$H90,CostTrack[[Holdback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90" s="504">
        <f ca="1">SUMIFS(CostTrack[[Value]:[Value]],CostTrack[[PA ID]:[PA ID]],$B90,CostTrack[[Vendor - Contract]:[Vendor - Contract]],$H90,CostTrack[[Holdback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90" s="504">
        <f ca="1">SUMIFS(CostTrack[[Value]:[Value]],CostTrack[[PA ID]:[PA ID]],$B90,CostTrack[[Vendor - Contract]:[Vendor - Contract]],$H90,CostTrack[[Holdback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90" s="504">
        <f ca="1">SUMIFS(CostTrack[[Value]:[Value]],CostTrack[[PA ID]:[PA ID]],$B90,CostTrack[[Vendor - Contract]:[Vendor - Contract]],$H90,CostTrack[[Holdback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90" s="504">
        <f ca="1">SUMIFS(CostTrack[[Value]:[Value]],CostTrack[[PA ID]:[PA ID]],$B90,CostTrack[[Vendor - Contract]:[Vendor - Contract]],$H90,CostTrack[[Holdback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90" s="504">
        <f ca="1">SUMIFS(CostTrack[[Value]:[Value]],CostTrack[[PA ID]:[PA ID]],$B90,CostTrack[[Vendor - Contract]:[Vendor - Contract]],$H90,CostTrack[[Holdback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90" s="504">
        <f ca="1">SUMIFS(CostTrack[[Value]:[Value]],CostTrack[[PA ID]:[PA ID]],$B90,CostTrack[[Vendor - Contract]:[Vendor - Contract]],$H90,CostTrack[[Holdback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90" s="504">
        <f ca="1">SUMIFS(CostTrack[[Value]:[Value]],CostTrack[[PA ID]:[PA ID]],$B90,CostTrack[[Vendor - Contract]:[Vendor - Contract]],$H90,CostTrack[[Holdback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90" s="512">
        <f t="shared" ca="1" si="136"/>
        <v>0</v>
      </c>
      <c r="AW90" s="504">
        <f ca="1">SUMIFS(CostTrack[[Value]:[Value]],CostTrack[[PA ID]:[PA ID]],$B90,CostTrack[[Vendor - Contract]:[Vendor - Contract]],$H90,CostTrack[[Holdback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90" s="504">
        <f ca="1">SUMIFS(CostTrack[[Value]:[Value]],CostTrack[[PA ID]:[PA ID]],$B90,CostTrack[[Vendor - Contract]:[Vendor - Contract]],$H90,CostTrack[[Holdback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90" s="504">
        <f ca="1">SUMIFS(CostTrack[[Value]:[Value]],CostTrack[[PA ID]:[PA ID]],$B90,CostTrack[[Vendor - Contract]:[Vendor - Contract]],$H90,CostTrack[[Holdback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90" s="504">
        <f ca="1">SUMIFS(CostTrack[[Value]:[Value]],CostTrack[[PA ID]:[PA ID]],$B90,CostTrack[[Vendor - Contract]:[Vendor - Contract]],$H90,CostTrack[[Holdback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90" s="504">
        <f ca="1">SUMIFS(CostTrack[[Value]:[Value]],CostTrack[[PA ID]:[PA ID]],$B90,CostTrack[[Vendor - Contract]:[Vendor - Contract]],$H90,CostTrack[[Holdback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90" s="504">
        <f ca="1">SUMIFS(CostTrack[[Value]:[Value]],CostTrack[[PA ID]:[PA ID]],$B90,CostTrack[[Vendor - Contract]:[Vendor - Contract]],$H90,CostTrack[[Holdback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90" s="504">
        <f ca="1">SUMIFS(CostTrack[[Value]:[Value]],CostTrack[[PA ID]:[PA ID]],$B90,CostTrack[[Vendor - Contract]:[Vendor - Contract]],$H90,CostTrack[[Holdback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90" s="504">
        <f ca="1">SUMIFS(CostTrack[[Value]:[Value]],CostTrack[[PA ID]:[PA ID]],$B90,CostTrack[[Vendor - Contract]:[Vendor - Contract]],$H90,CostTrack[[Holdback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90" s="504">
        <f ca="1">SUMIFS(CostTrack[[Value]:[Value]],CostTrack[[PA ID]:[PA ID]],$B90,CostTrack[[Vendor - Contract]:[Vendor - Contract]],$H90,CostTrack[[Holdback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90" s="504">
        <f ca="1">SUMIFS(CostTrack[[Value]:[Value]],CostTrack[[PA ID]:[PA ID]],$B90,CostTrack[[Vendor - Contract]:[Vendor - Contract]],$H90,CostTrack[[Holdback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90" s="504">
        <f ca="1">SUMIFS(CostTrack[[Value]:[Value]],CostTrack[[PA ID]:[PA ID]],$B90,CostTrack[[Vendor - Contract]:[Vendor - Contract]],$H90,CostTrack[[Holdback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90" s="504">
        <f ca="1">SUMIFS(CostTrack[[Value]:[Value]],CostTrack[[PA ID]:[PA ID]],$B90,CostTrack[[Vendor - Contract]:[Vendor - Contract]],$H90,CostTrack[[Holdback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90" s="512">
        <f t="shared" ca="1" si="137"/>
        <v>0</v>
      </c>
      <c r="BK90" s="504">
        <f ca="1">SUMIFS(CostTrack[[Value]:[Value]],CostTrack[[PA ID]:[PA ID]],$B90,CostTrack[[Vendor - Contract]:[Vendor - Contract]],$H90,CostTrack[[Holdback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90" s="504">
        <f ca="1">SUMIFS(CostTrack[[Value]:[Value]],CostTrack[[PA ID]:[PA ID]],$B90,CostTrack[[Vendor - Contract]:[Vendor - Contract]],$H90,CostTrack[[Holdback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90" s="504">
        <f ca="1">SUMIFS(CostTrack[[Value]:[Value]],CostTrack[[PA ID]:[PA ID]],$B90,CostTrack[[Vendor - Contract]:[Vendor - Contract]],$H90,CostTrack[[Holdback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90" s="504">
        <f ca="1">SUMIFS(CostTrack[[Value]:[Value]],CostTrack[[PA ID]:[PA ID]],$B90,CostTrack[[Vendor - Contract]:[Vendor - Contract]],$H90,CostTrack[[Holdback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90" s="504">
        <f ca="1">SUMIFS(CostTrack[[Value]:[Value]],CostTrack[[PA ID]:[PA ID]],$B90,CostTrack[[Vendor - Contract]:[Vendor - Contract]],$H90,CostTrack[[Holdback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90" s="504">
        <f ca="1">SUMIFS(CostTrack[[Value]:[Value]],CostTrack[[PA ID]:[PA ID]],$B90,CostTrack[[Vendor - Contract]:[Vendor - Contract]],$H90,CostTrack[[Holdback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90" s="504">
        <f ca="1">SUMIFS(CostTrack[[Value]:[Value]],CostTrack[[PA ID]:[PA ID]],$B90,CostTrack[[Vendor - Contract]:[Vendor - Contract]],$H90,CostTrack[[Holdback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90" s="504">
        <f ca="1">SUMIFS(CostTrack[[Value]:[Value]],CostTrack[[PA ID]:[PA ID]],$B90,CostTrack[[Vendor - Contract]:[Vendor - Contract]],$H90,CostTrack[[Holdback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90" s="504">
        <f ca="1">SUMIFS(CostTrack[[Value]:[Value]],CostTrack[[PA ID]:[PA ID]],$B90,CostTrack[[Vendor - Contract]:[Vendor - Contract]],$H90,CostTrack[[Holdback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90" s="504">
        <f ca="1">SUMIFS(CostTrack[[Value]:[Value]],CostTrack[[PA ID]:[PA ID]],$B90,CostTrack[[Vendor - Contract]:[Vendor - Contract]],$H90,CostTrack[[Holdback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90" s="504">
        <f ca="1">SUMIFS(CostTrack[[Value]:[Value]],CostTrack[[PA ID]:[PA ID]],$B90,CostTrack[[Vendor - Contract]:[Vendor - Contract]],$H90,CostTrack[[Holdback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90" s="504">
        <f ca="1">SUMIFS(CostTrack[[Value]:[Value]],CostTrack[[PA ID]:[PA ID]],$B90,CostTrack[[Vendor - Contract]:[Vendor - Contract]],$H90,CostTrack[[Holdback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90" s="512">
        <f t="shared" ca="1" si="138"/>
        <v>0</v>
      </c>
      <c r="BY90" s="504">
        <f ca="1">SUMIFS(CostTrack[[Value]:[Value]],CostTrack[[PA ID]:[PA ID]],$B90,CostTrack[[Vendor - Contract]:[Vendor - Contract]],$H90,CostTrack[[Holdback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90" s="504">
        <f ca="1">SUMIFS(CostTrack[[Value]:[Value]],CostTrack[[PA ID]:[PA ID]],$B90,CostTrack[[Vendor - Contract]:[Vendor - Contract]],$H90,CostTrack[[Holdback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90" s="504">
        <f ca="1">SUMIFS(CostTrack[[Value]:[Value]],CostTrack[[PA ID]:[PA ID]],$B90,CostTrack[[Vendor - Contract]:[Vendor - Contract]],$H90,CostTrack[[Holdback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90" s="504">
        <f ca="1">SUMIFS(CostTrack[[Value]:[Value]],CostTrack[[PA ID]:[PA ID]],$B90,CostTrack[[Vendor - Contract]:[Vendor - Contract]],$H90,CostTrack[[Holdback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90" s="504">
        <f ca="1">SUMIFS(CostTrack[[Value]:[Value]],CostTrack[[PA ID]:[PA ID]],$B90,CostTrack[[Vendor - Contract]:[Vendor - Contract]],$H90,CostTrack[[Holdback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90" s="504">
        <f ca="1">SUMIFS(CostTrack[[Value]:[Value]],CostTrack[[PA ID]:[PA ID]],$B90,CostTrack[[Vendor - Contract]:[Vendor - Contract]],$H90,CostTrack[[Holdback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90" s="504">
        <f ca="1">SUMIFS(CostTrack[[Value]:[Value]],CostTrack[[PA ID]:[PA ID]],$B90,CostTrack[[Vendor - Contract]:[Vendor - Contract]],$H90,CostTrack[[Holdback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90" s="504">
        <f ca="1">SUMIFS(CostTrack[[Value]:[Value]],CostTrack[[PA ID]:[PA ID]],$B90,CostTrack[[Vendor - Contract]:[Vendor - Contract]],$H90,CostTrack[[Holdback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90" s="504">
        <f ca="1">SUMIFS(CostTrack[[Value]:[Value]],CostTrack[[PA ID]:[PA ID]],$B90,CostTrack[[Vendor - Contract]:[Vendor - Contract]],$H90,CostTrack[[Holdback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90" s="504">
        <f ca="1">SUMIFS(CostTrack[[Value]:[Value]],CostTrack[[PA ID]:[PA ID]],$B90,CostTrack[[Vendor - Contract]:[Vendor - Contract]],$H90,CostTrack[[Holdback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90" s="504">
        <f ca="1">SUMIFS(CostTrack[[Value]:[Value]],CostTrack[[PA ID]:[PA ID]],$B90,CostTrack[[Vendor - Contract]:[Vendor - Contract]],$H90,CostTrack[[Holdback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90" s="504">
        <f ca="1">SUMIFS(CostTrack[[Value]:[Value]],CostTrack[[PA ID]:[PA ID]],$B90,CostTrack[[Vendor - Contract]:[Vendor - Contract]],$H90,CostTrack[[Holdback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90" s="512">
        <f t="shared" ca="1" si="139"/>
        <v>0</v>
      </c>
      <c r="CM90" s="504">
        <f ca="1">SUMIFS(CostTrack[[Value]:[Value]],CostTrack[[PA ID]:[PA ID]],$B90,CostTrack[[Vendor - Contract]:[Vendor - Contract]],$H90,CostTrack[[Holdback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90" s="504">
        <f ca="1">SUMIFS(CostTrack[[Value]:[Value]],CostTrack[[PA ID]:[PA ID]],$B90,CostTrack[[Vendor - Contract]:[Vendor - Contract]],$H90,CostTrack[[Holdback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90" s="504">
        <f ca="1">SUMIFS(CostTrack[[Value]:[Value]],CostTrack[[PA ID]:[PA ID]],$B90,CostTrack[[Vendor - Contract]:[Vendor - Contract]],$H90,CostTrack[[Holdback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90" s="504">
        <f ca="1">SUMIFS(CostTrack[[Value]:[Value]],CostTrack[[PA ID]:[PA ID]],$B90,CostTrack[[Vendor - Contract]:[Vendor - Contract]],$H90,CostTrack[[Holdback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90" s="504">
        <f ca="1">SUMIFS(CostTrack[[Value]:[Value]],CostTrack[[PA ID]:[PA ID]],$B90,CostTrack[[Vendor - Contract]:[Vendor - Contract]],$H90,CostTrack[[Holdback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90" s="504">
        <f ca="1">SUMIFS(CostTrack[[Value]:[Value]],CostTrack[[PA ID]:[PA ID]],$B90,CostTrack[[Vendor - Contract]:[Vendor - Contract]],$H90,CostTrack[[Holdback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90" s="504">
        <f ca="1">SUMIFS(CostTrack[[Value]:[Value]],CostTrack[[PA ID]:[PA ID]],$B90,CostTrack[[Vendor - Contract]:[Vendor - Contract]],$H90,CostTrack[[Holdback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90" s="504">
        <f ca="1">SUMIFS(CostTrack[[Value]:[Value]],CostTrack[[PA ID]:[PA ID]],$B90,CostTrack[[Vendor - Contract]:[Vendor - Contract]],$H90,CostTrack[[Holdback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90" s="504">
        <f ca="1">SUMIFS(CostTrack[[Value]:[Value]],CostTrack[[PA ID]:[PA ID]],$B90,CostTrack[[Vendor - Contract]:[Vendor - Contract]],$H90,CostTrack[[Holdback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90" s="504">
        <f ca="1">SUMIFS(CostTrack[[Value]:[Value]],CostTrack[[PA ID]:[PA ID]],$B90,CostTrack[[Vendor - Contract]:[Vendor - Contract]],$H90,CostTrack[[Holdback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90" s="504">
        <f ca="1">SUMIFS(CostTrack[[Value]:[Value]],CostTrack[[PA ID]:[PA ID]],$B90,CostTrack[[Vendor - Contract]:[Vendor - Contract]],$H90,CostTrack[[Holdback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90" s="504">
        <f ca="1">SUMIFS(CostTrack[[Value]:[Value]],CostTrack[[PA ID]:[PA ID]],$B90,CostTrack[[Vendor - Contract]:[Vendor - Contract]],$H90,CostTrack[[Holdback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90" s="512">
        <f t="shared" ca="1" si="140"/>
        <v>0</v>
      </c>
      <c r="DA90" s="504">
        <f ca="1">SUMIFS(CostTrack[[Value]:[Value]],CostTrack[[PA ID]:[PA ID]],$B90,CostTrack[[Vendor - Contract]:[Vendor - Contract]],$H90,CostTrack[[Holdback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90" s="504">
        <f ca="1">SUMIFS(CostTrack[[Value]:[Value]],CostTrack[[PA ID]:[PA ID]],$B90,CostTrack[[Vendor - Contract]:[Vendor - Contract]],$H90,CostTrack[[Holdback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90" s="504">
        <f ca="1">SUMIFS(CostTrack[[Value]:[Value]],CostTrack[[PA ID]:[PA ID]],$B90,CostTrack[[Vendor - Contract]:[Vendor - Contract]],$H90,CostTrack[[Holdback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90" s="504">
        <f ca="1">SUMIFS(CostTrack[[Value]:[Value]],CostTrack[[PA ID]:[PA ID]],$B90,CostTrack[[Vendor - Contract]:[Vendor - Contract]],$H90,CostTrack[[Holdback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90" s="504">
        <f ca="1">SUMIFS(CostTrack[[Value]:[Value]],CostTrack[[PA ID]:[PA ID]],$B90,CostTrack[[Vendor - Contract]:[Vendor - Contract]],$H90,CostTrack[[Holdback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90" s="504">
        <f ca="1">SUMIFS(CostTrack[[Value]:[Value]],CostTrack[[PA ID]:[PA ID]],$B90,CostTrack[[Vendor - Contract]:[Vendor - Contract]],$H90,CostTrack[[Holdback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90" s="504">
        <f ca="1">SUMIFS(CostTrack[[Value]:[Value]],CostTrack[[PA ID]:[PA ID]],$B90,CostTrack[[Vendor - Contract]:[Vendor - Contract]],$H90,CostTrack[[Holdback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90" s="504">
        <f ca="1">SUMIFS(CostTrack[[Value]:[Value]],CostTrack[[PA ID]:[PA ID]],$B90,CostTrack[[Vendor - Contract]:[Vendor - Contract]],$H90,CostTrack[[Holdback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90" s="504">
        <f ca="1">SUMIFS(CostTrack[[Value]:[Value]],CostTrack[[PA ID]:[PA ID]],$B90,CostTrack[[Vendor - Contract]:[Vendor - Contract]],$H90,CostTrack[[Holdback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90" s="504">
        <f ca="1">SUMIFS(CostTrack[[Value]:[Value]],CostTrack[[PA ID]:[PA ID]],$B90,CostTrack[[Vendor - Contract]:[Vendor - Contract]],$H90,CostTrack[[Holdback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90" s="504">
        <f ca="1">SUMIFS(CostTrack[[Value]:[Value]],CostTrack[[PA ID]:[PA ID]],$B90,CostTrack[[Vendor - Contract]:[Vendor - Contract]],$H90,CostTrack[[Holdback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90" s="504">
        <f ca="1">SUMIFS(CostTrack[[Value]:[Value]],CostTrack[[PA ID]:[PA ID]],$B90,CostTrack[[Vendor - Contract]:[Vendor - Contract]],$H90,CostTrack[[Holdback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204789.28</v>
      </c>
      <c r="DM90" s="512">
        <f t="shared" ca="1" si="141"/>
        <v>204789.28</v>
      </c>
      <c r="DO90" s="504">
        <f ca="1">SUMIFS(CostTrack[[Value]:[Value]],CostTrack[[PA ID]:[PA ID]],$B90,CostTrack[[Vendor - Contract]:[Vendor - Contract]],$H90,CostTrack[[Holdback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90" s="504">
        <f ca="1">SUMIFS(CostTrack[[Value]:[Value]],CostTrack[[PA ID]:[PA ID]],$B90,CostTrack[[Vendor - Contract]:[Vendor - Contract]],$H90,CostTrack[[Holdback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90" s="504">
        <f ca="1">SUMIFS(CostTrack[[Value]:[Value]],CostTrack[[PA ID]:[PA ID]],$B90,CostTrack[[Vendor - Contract]:[Vendor - Contract]],$H90,CostTrack[[Holdback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26981</v>
      </c>
      <c r="DR90" s="504">
        <f ca="1">SUMIFS(CostTrack[[Value]:[Value]],CostTrack[[PA ID]:[PA ID]],$B90,CostTrack[[Vendor - Contract]:[Vendor - Contract]],$H90,CostTrack[[Holdback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90" s="504">
        <f ca="1">SUMIFS(CostTrack[[Value]:[Value]],CostTrack[[PA ID]:[PA ID]],$B90,CostTrack[[Vendor - Contract]:[Vendor - Contract]],$H90,CostTrack[[Holdback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90" s="504">
        <f ca="1">SUMIFS(CostTrack[[Value]:[Value]],CostTrack[[PA ID]:[PA ID]],$B90,CostTrack[[Vendor - Contract]:[Vendor - Contract]],$H90,CostTrack[[Holdback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90" s="504">
        <f ca="1">SUMIFS(CostTrack[[Value]:[Value]],CostTrack[[PA ID]:[PA ID]],$B90,CostTrack[[Vendor - Contract]:[Vendor - Contract]],$H90,CostTrack[[Holdback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90" s="504">
        <f ca="1">SUMIFS(CostTrack[[Value]:[Value]],CostTrack[[PA ID]:[PA ID]],$B90,CostTrack[[Vendor - Contract]:[Vendor - Contract]],$H90,CostTrack[[Holdback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37574.5</v>
      </c>
      <c r="DW90" s="504">
        <f ca="1">SUMIFS(CostTrack[[Value]:[Value]],CostTrack[[PA ID]:[PA ID]],$B90,CostTrack[[Vendor - Contract]:[Vendor - Contract]],$H90,CostTrack[[Holdback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90" s="504">
        <f ca="1">SUMIFS(CostTrack[[Value]:[Value]],CostTrack[[PA ID]:[PA ID]],$B90,CostTrack[[Vendor - Contract]:[Vendor - Contract]],$H90,CostTrack[[Holdback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38375.5</v>
      </c>
      <c r="DY90" s="504">
        <f ca="1">SUMIFS(CostTrack[[Value]:[Value]],CostTrack[[PA ID]:[PA ID]],$B90,CostTrack[[Vendor - Contract]:[Vendor - Contract]],$H90,CostTrack[[Holdback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90" s="504">
        <f ca="1">SUMIFS(CostTrack[[Value]:[Value]],CostTrack[[PA ID]:[PA ID]],$B90,CostTrack[[Vendor - Contract]:[Vendor - Contract]],$H90,CostTrack[[Holdback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59741</v>
      </c>
      <c r="EA90" s="512">
        <f ca="1">SUM(DO90:DZ90)</f>
        <v>162672</v>
      </c>
      <c r="EC90" s="504">
        <f ca="1">SUMIFS(CostTrack[[Value]:[Value]],CostTrack[[PA ID]:[PA ID]],$B90,CostTrack[[Vendor - Contract]:[Vendor - Contract]],$H90,CostTrack[[Holdback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E90" s="505"/>
      <c r="EF90" s="505"/>
      <c r="EG90" s="505">
        <v>12671</v>
      </c>
      <c r="EH90" s="505"/>
      <c r="EI90" s="505"/>
      <c r="EJ90" s="505"/>
      <c r="EK90" s="505"/>
      <c r="EL90" s="505"/>
      <c r="EM90" s="505"/>
      <c r="EN90" s="505"/>
      <c r="EO90" s="512">
        <f t="shared" ca="1" si="143"/>
        <v>12671</v>
      </c>
      <c r="EQ90" s="505"/>
      <c r="ER90" s="505"/>
      <c r="ES90" s="505"/>
      <c r="ET90" s="505"/>
      <c r="EU90" s="505"/>
      <c r="EV90" s="505"/>
      <c r="EW90" s="505"/>
      <c r="EX90" s="505"/>
      <c r="EY90" s="505"/>
      <c r="EZ90" s="505"/>
      <c r="FA90" s="505"/>
      <c r="FB90" s="505">
        <v>-0.28000000000000003</v>
      </c>
      <c r="FC90" s="512">
        <f t="shared" si="144"/>
        <v>-0.28000000000000003</v>
      </c>
      <c r="FE90" s="505"/>
      <c r="FF90" s="505"/>
      <c r="FG90" s="505"/>
      <c r="FH90" s="505"/>
      <c r="FI90" s="505"/>
      <c r="FJ90" s="505"/>
      <c r="FK90" s="505"/>
      <c r="FL90" s="505"/>
      <c r="FM90" s="505"/>
      <c r="FN90" s="505"/>
      <c r="FO90" s="505"/>
      <c r="FP90" s="505"/>
      <c r="FQ90" s="512">
        <f t="shared" si="145"/>
        <v>0</v>
      </c>
      <c r="FS90" s="504">
        <f t="shared" ca="1" si="146"/>
        <v>380132</v>
      </c>
    </row>
    <row r="91" spans="1:175">
      <c r="A91" s="216">
        <v>84</v>
      </c>
      <c r="B91" s="219" t="str">
        <f ca="1">INDEX(EAC[PA ID],MATCH($A91,EAC[Row],0))</f>
        <v>400.020.F1</v>
      </c>
      <c r="C91" s="218" t="str">
        <f ca="1">INDEX(EAC[Primary Category],MATCH($A91,EAC[Row],0))</f>
        <v>FE_IT</v>
      </c>
      <c r="D91" s="218" t="str">
        <f ca="1">INDEX(EAC[Secondary Category],MATCH($A91,EAC[Row],0))</f>
        <v>Information Technology</v>
      </c>
      <c r="E91" s="109" t="str">
        <f ca="1">INDEX(EAC[Phase / Subproject],MATCH($A91,EAC[Row],0))</f>
        <v>--</v>
      </c>
      <c r="F91" s="109" t="str">
        <f ca="1">INDEX(EAC[Phase / Subproject 2],MATCH($A91,EAC[Row],0))</f>
        <v>--</v>
      </c>
      <c r="G91" s="109" t="str">
        <f ca="1">INDEX(EAC[Funding Source],MATCH($A91,EAC[Row],0))</f>
        <v>P-002360</v>
      </c>
      <c r="H91" s="146" t="str">
        <f ca="1">INDEX(EAC[Vendor / Org. with Contract ID],MATCH($A91,EAC[Row],0))</f>
        <v>Keverest-PDUs-9000054828</v>
      </c>
      <c r="I91" s="502">
        <f ca="1">INDEX(EAC[Estimate At Completion],MATCH($A91,EAC[Row],0))</f>
        <v>210540.7</v>
      </c>
      <c r="J91" s="502">
        <f ca="1">SUMIFS(CostTrack[Value],CostTrack[Vendor - Contract],$H91,CostTrack[PA ID],$B91,CostTrack[Holdback (Y/N/R)],"&lt;&gt;Release",CostTrack[Status],"Approved")</f>
        <v>210540.7</v>
      </c>
      <c r="K91" s="503">
        <f t="shared" ca="1" si="95"/>
        <v>0</v>
      </c>
      <c r="M91" s="504">
        <f t="shared" ref="M91:M93" ca="1" si="147">I91-FS91</f>
        <v>0</v>
      </c>
      <c r="O91" s="504">
        <f t="shared" ref="O91:O93" ca="1" si="148">SUMIF($U$6:$FQ$6,"Previous Fiscal",AG91:FQ91)</f>
        <v>210540.7</v>
      </c>
      <c r="P91" s="504">
        <f t="array" aca="1" ref="P91" ca="1">SUM($U91:$FQ91*_xlfn.ISFORMULA($U91:$FQ91)*ISNUMBER($U$7:$FQ$7)*--(INDEX($U$6:$FQ$6,N(IF({1},COLUMN($U$6:$FQ$6)-COLUMN($T$6)))-MOD(N(IF({1},COLUMN($U$6:$FQ$6)-COLUMN($U$6))),14))="Current Fiscal"))</f>
        <v>0</v>
      </c>
      <c r="Q91" s="504">
        <f t="array" aca="1" ref="Q91" ca="1">SUM($U91:$FQ91*NOT(_xlfn.ISFORMULA($U91:$FQ91))*ISNUMBER($U$7:$FQ$7)*--(INDEX($U$6:$FQ$6,N(IF({1},COLUMN($U$6:$FQ$6)-COLUMN($T$6)))-MOD(N(IF({1},COLUMN($U$6:$FQ$6)-COLUMN($U$6))),14))="Current Fiscal"))</f>
        <v>0</v>
      </c>
      <c r="R91" s="504">
        <f t="shared" ref="R91:R93" ca="1" si="149">SUMIF($U$6:$FQ$6,"Current Fiscal",AG91:FQ91)</f>
        <v>0</v>
      </c>
      <c r="S91" s="504">
        <f t="shared" ref="S91:S93" ca="1" si="150">SUMIF($U$6:$FQ$6,"Future Fiscal",AG91:FQ91)</f>
        <v>0</v>
      </c>
      <c r="U91" s="504">
        <f ca="1">SUMIFS(CostTrack[[Value]:[Value]],CostTrack[[PA ID]:[PA ID]],$B91,CostTrack[[Vendor - Contract]:[Vendor - Contract]],$H91,CostTrack[[Holdback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91" s="504">
        <f ca="1">SUMIFS(CostTrack[[Value]:[Value]],CostTrack[[PA ID]:[PA ID]],$B91,CostTrack[[Vendor - Contract]:[Vendor - Contract]],$H91,CostTrack[[Holdback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91" s="504">
        <f ca="1">SUMIFS(CostTrack[[Value]:[Value]],CostTrack[[PA ID]:[PA ID]],$B91,CostTrack[[Vendor - Contract]:[Vendor - Contract]],$H91,CostTrack[[Holdback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91" s="504">
        <f ca="1">SUMIFS(CostTrack[[Value]:[Value]],CostTrack[[PA ID]:[PA ID]],$B91,CostTrack[[Vendor - Contract]:[Vendor - Contract]],$H91,CostTrack[[Holdback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91" s="504">
        <f ca="1">SUMIFS(CostTrack[[Value]:[Value]],CostTrack[[PA ID]:[PA ID]],$B91,CostTrack[[Vendor - Contract]:[Vendor - Contract]],$H91,CostTrack[[Holdback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91" s="504">
        <f ca="1">SUMIFS(CostTrack[[Value]:[Value]],CostTrack[[PA ID]:[PA ID]],$B91,CostTrack[[Vendor - Contract]:[Vendor - Contract]],$H91,CostTrack[[Holdback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91" s="504">
        <f ca="1">SUMIFS(CostTrack[[Value]:[Value]],CostTrack[[PA ID]:[PA ID]],$B91,CostTrack[[Vendor - Contract]:[Vendor - Contract]],$H91,CostTrack[[Holdback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91" s="504">
        <f ca="1">SUMIFS(CostTrack[[Value]:[Value]],CostTrack[[PA ID]:[PA ID]],$B91,CostTrack[[Vendor - Contract]:[Vendor - Contract]],$H91,CostTrack[[Holdback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91" s="504">
        <f ca="1">SUMIFS(CostTrack[[Value]:[Value]],CostTrack[[PA ID]:[PA ID]],$B91,CostTrack[[Vendor - Contract]:[Vendor - Contract]],$H91,CostTrack[[Holdback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91" s="504">
        <f ca="1">SUMIFS(CostTrack[[Value]:[Value]],CostTrack[[PA ID]:[PA ID]],$B91,CostTrack[[Vendor - Contract]:[Vendor - Contract]],$H91,CostTrack[[Holdback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91" s="504">
        <f ca="1">SUMIFS(CostTrack[[Value]:[Value]],CostTrack[[PA ID]:[PA ID]],$B91,CostTrack[[Vendor - Contract]:[Vendor - Contract]],$H91,CostTrack[[Holdback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91" s="504">
        <f ca="1">SUMIFS(CostTrack[[Value]:[Value]],CostTrack[[PA ID]:[PA ID]],$B91,CostTrack[[Vendor - Contract]:[Vendor - Contract]],$H91,CostTrack[[Holdback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91" s="506">
        <f t="shared" ref="AG91:AG93" ca="1" si="151">SUM(U91:AF91)</f>
        <v>0</v>
      </c>
      <c r="AI91" s="504">
        <f ca="1">SUMIFS(CostTrack[[Value]:[Value]],CostTrack[[PA ID]:[PA ID]],$B91,CostTrack[[Vendor - Contract]:[Vendor - Contract]],$H91,CostTrack[[Holdback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91" s="504">
        <f ca="1">SUMIFS(CostTrack[[Value]:[Value]],CostTrack[[PA ID]:[PA ID]],$B91,CostTrack[[Vendor - Contract]:[Vendor - Contract]],$H91,CostTrack[[Holdback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91" s="504">
        <f ca="1">SUMIFS(CostTrack[[Value]:[Value]],CostTrack[[PA ID]:[PA ID]],$B91,CostTrack[[Vendor - Contract]:[Vendor - Contract]],$H91,CostTrack[[Holdback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91" s="504">
        <f ca="1">SUMIFS(CostTrack[[Value]:[Value]],CostTrack[[PA ID]:[PA ID]],$B91,CostTrack[[Vendor - Contract]:[Vendor - Contract]],$H91,CostTrack[[Holdback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91" s="504">
        <f ca="1">SUMIFS(CostTrack[[Value]:[Value]],CostTrack[[PA ID]:[PA ID]],$B91,CostTrack[[Vendor - Contract]:[Vendor - Contract]],$H91,CostTrack[[Holdback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91" s="504">
        <f ca="1">SUMIFS(CostTrack[[Value]:[Value]],CostTrack[[PA ID]:[PA ID]],$B91,CostTrack[[Vendor - Contract]:[Vendor - Contract]],$H91,CostTrack[[Holdback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91" s="504">
        <f ca="1">SUMIFS(CostTrack[[Value]:[Value]],CostTrack[[PA ID]:[PA ID]],$B91,CostTrack[[Vendor - Contract]:[Vendor - Contract]],$H91,CostTrack[[Holdback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91" s="504">
        <f ca="1">SUMIFS(CostTrack[[Value]:[Value]],CostTrack[[PA ID]:[PA ID]],$B91,CostTrack[[Vendor - Contract]:[Vendor - Contract]],$H91,CostTrack[[Holdback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91" s="504">
        <f ca="1">SUMIFS(CostTrack[[Value]:[Value]],CostTrack[[PA ID]:[PA ID]],$B91,CostTrack[[Vendor - Contract]:[Vendor - Contract]],$H91,CostTrack[[Holdback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91" s="504">
        <f ca="1">SUMIFS(CostTrack[[Value]:[Value]],CostTrack[[PA ID]:[PA ID]],$B91,CostTrack[[Vendor - Contract]:[Vendor - Contract]],$H91,CostTrack[[Holdback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91" s="504">
        <f ca="1">SUMIFS(CostTrack[[Value]:[Value]],CostTrack[[PA ID]:[PA ID]],$B91,CostTrack[[Vendor - Contract]:[Vendor - Contract]],$H91,CostTrack[[Holdback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91" s="504">
        <f ca="1">SUMIFS(CostTrack[[Value]:[Value]],CostTrack[[PA ID]:[PA ID]],$B91,CostTrack[[Vendor - Contract]:[Vendor - Contract]],$H91,CostTrack[[Holdback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91" s="512">
        <f t="shared" ref="AU91:AU93" ca="1" si="152">SUM(AI91:AT91)</f>
        <v>0</v>
      </c>
      <c r="AW91" s="504">
        <f ca="1">SUMIFS(CostTrack[[Value]:[Value]],CostTrack[[PA ID]:[PA ID]],$B91,CostTrack[[Vendor - Contract]:[Vendor - Contract]],$H91,CostTrack[[Holdback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91" s="504">
        <f ca="1">SUMIFS(CostTrack[[Value]:[Value]],CostTrack[[PA ID]:[PA ID]],$B91,CostTrack[[Vendor - Contract]:[Vendor - Contract]],$H91,CostTrack[[Holdback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91" s="504">
        <f ca="1">SUMIFS(CostTrack[[Value]:[Value]],CostTrack[[PA ID]:[PA ID]],$B91,CostTrack[[Vendor - Contract]:[Vendor - Contract]],$H91,CostTrack[[Holdback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91" s="504">
        <f ca="1">SUMIFS(CostTrack[[Value]:[Value]],CostTrack[[PA ID]:[PA ID]],$B91,CostTrack[[Vendor - Contract]:[Vendor - Contract]],$H91,CostTrack[[Holdback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91" s="504">
        <f ca="1">SUMIFS(CostTrack[[Value]:[Value]],CostTrack[[PA ID]:[PA ID]],$B91,CostTrack[[Vendor - Contract]:[Vendor - Contract]],$H91,CostTrack[[Holdback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91" s="504">
        <f ca="1">SUMIFS(CostTrack[[Value]:[Value]],CostTrack[[PA ID]:[PA ID]],$B91,CostTrack[[Vendor - Contract]:[Vendor - Contract]],$H91,CostTrack[[Holdback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91" s="504">
        <f ca="1">SUMIFS(CostTrack[[Value]:[Value]],CostTrack[[PA ID]:[PA ID]],$B91,CostTrack[[Vendor - Contract]:[Vendor - Contract]],$H91,CostTrack[[Holdback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91" s="504">
        <f ca="1">SUMIFS(CostTrack[[Value]:[Value]],CostTrack[[PA ID]:[PA ID]],$B91,CostTrack[[Vendor - Contract]:[Vendor - Contract]],$H91,CostTrack[[Holdback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91" s="504">
        <f ca="1">SUMIFS(CostTrack[[Value]:[Value]],CostTrack[[PA ID]:[PA ID]],$B91,CostTrack[[Vendor - Contract]:[Vendor - Contract]],$H91,CostTrack[[Holdback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91" s="504">
        <f ca="1">SUMIFS(CostTrack[[Value]:[Value]],CostTrack[[PA ID]:[PA ID]],$B91,CostTrack[[Vendor - Contract]:[Vendor - Contract]],$H91,CostTrack[[Holdback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91" s="504">
        <f ca="1">SUMIFS(CostTrack[[Value]:[Value]],CostTrack[[PA ID]:[PA ID]],$B91,CostTrack[[Vendor - Contract]:[Vendor - Contract]],$H91,CostTrack[[Holdback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91" s="504">
        <f ca="1">SUMIFS(CostTrack[[Value]:[Value]],CostTrack[[PA ID]:[PA ID]],$B91,CostTrack[[Vendor - Contract]:[Vendor - Contract]],$H91,CostTrack[[Holdback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91" s="512">
        <f t="shared" ref="BI91:BI93" ca="1" si="153">SUM(AW91:BH91)</f>
        <v>0</v>
      </c>
      <c r="BK91" s="504">
        <f ca="1">SUMIFS(CostTrack[[Value]:[Value]],CostTrack[[PA ID]:[PA ID]],$B91,CostTrack[[Vendor - Contract]:[Vendor - Contract]],$H91,CostTrack[[Holdback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91" s="504">
        <f ca="1">SUMIFS(CostTrack[[Value]:[Value]],CostTrack[[PA ID]:[PA ID]],$B91,CostTrack[[Vendor - Contract]:[Vendor - Contract]],$H91,CostTrack[[Holdback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91" s="504">
        <f ca="1">SUMIFS(CostTrack[[Value]:[Value]],CostTrack[[PA ID]:[PA ID]],$B91,CostTrack[[Vendor - Contract]:[Vendor - Contract]],$H91,CostTrack[[Holdback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91" s="504">
        <f ca="1">SUMIFS(CostTrack[[Value]:[Value]],CostTrack[[PA ID]:[PA ID]],$B91,CostTrack[[Vendor - Contract]:[Vendor - Contract]],$H91,CostTrack[[Holdback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91" s="504">
        <f ca="1">SUMIFS(CostTrack[[Value]:[Value]],CostTrack[[PA ID]:[PA ID]],$B91,CostTrack[[Vendor - Contract]:[Vendor - Contract]],$H91,CostTrack[[Holdback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91" s="504">
        <f ca="1">SUMIFS(CostTrack[[Value]:[Value]],CostTrack[[PA ID]:[PA ID]],$B91,CostTrack[[Vendor - Contract]:[Vendor - Contract]],$H91,CostTrack[[Holdback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91" s="504">
        <f ca="1">SUMIFS(CostTrack[[Value]:[Value]],CostTrack[[PA ID]:[PA ID]],$B91,CostTrack[[Vendor - Contract]:[Vendor - Contract]],$H91,CostTrack[[Holdback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91" s="504">
        <f ca="1">SUMIFS(CostTrack[[Value]:[Value]],CostTrack[[PA ID]:[PA ID]],$B91,CostTrack[[Vendor - Contract]:[Vendor - Contract]],$H91,CostTrack[[Holdback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91" s="504">
        <f ca="1">SUMIFS(CostTrack[[Value]:[Value]],CostTrack[[PA ID]:[PA ID]],$B91,CostTrack[[Vendor - Contract]:[Vendor - Contract]],$H91,CostTrack[[Holdback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91" s="504">
        <f ca="1">SUMIFS(CostTrack[[Value]:[Value]],CostTrack[[PA ID]:[PA ID]],$B91,CostTrack[[Vendor - Contract]:[Vendor - Contract]],$H91,CostTrack[[Holdback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91" s="504">
        <f ca="1">SUMIFS(CostTrack[[Value]:[Value]],CostTrack[[PA ID]:[PA ID]],$B91,CostTrack[[Vendor - Contract]:[Vendor - Contract]],$H91,CostTrack[[Holdback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91" s="504">
        <f ca="1">SUMIFS(CostTrack[[Value]:[Value]],CostTrack[[PA ID]:[PA ID]],$B91,CostTrack[[Vendor - Contract]:[Vendor - Contract]],$H91,CostTrack[[Holdback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91" s="512">
        <f t="shared" ref="BW91:BW93" ca="1" si="154">SUM(BK91:BV91)</f>
        <v>0</v>
      </c>
      <c r="BY91" s="504">
        <f ca="1">SUMIFS(CostTrack[[Value]:[Value]],CostTrack[[PA ID]:[PA ID]],$B91,CostTrack[[Vendor - Contract]:[Vendor - Contract]],$H91,CostTrack[[Holdback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91" s="504">
        <f ca="1">SUMIFS(CostTrack[[Value]:[Value]],CostTrack[[PA ID]:[PA ID]],$B91,CostTrack[[Vendor - Contract]:[Vendor - Contract]],$H91,CostTrack[[Holdback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91" s="504">
        <f ca="1">SUMIFS(CostTrack[[Value]:[Value]],CostTrack[[PA ID]:[PA ID]],$B91,CostTrack[[Vendor - Contract]:[Vendor - Contract]],$H91,CostTrack[[Holdback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91" s="504">
        <f ca="1">SUMIFS(CostTrack[[Value]:[Value]],CostTrack[[PA ID]:[PA ID]],$B91,CostTrack[[Vendor - Contract]:[Vendor - Contract]],$H91,CostTrack[[Holdback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91" s="504">
        <f ca="1">SUMIFS(CostTrack[[Value]:[Value]],CostTrack[[PA ID]:[PA ID]],$B91,CostTrack[[Vendor - Contract]:[Vendor - Contract]],$H91,CostTrack[[Holdback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91" s="504">
        <f ca="1">SUMIFS(CostTrack[[Value]:[Value]],CostTrack[[PA ID]:[PA ID]],$B91,CostTrack[[Vendor - Contract]:[Vendor - Contract]],$H91,CostTrack[[Holdback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91" s="504">
        <f ca="1">SUMIFS(CostTrack[[Value]:[Value]],CostTrack[[PA ID]:[PA ID]],$B91,CostTrack[[Vendor - Contract]:[Vendor - Contract]],$H91,CostTrack[[Holdback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91" s="504">
        <f ca="1">SUMIFS(CostTrack[[Value]:[Value]],CostTrack[[PA ID]:[PA ID]],$B91,CostTrack[[Vendor - Contract]:[Vendor - Contract]],$H91,CostTrack[[Holdback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91" s="504">
        <f ca="1">SUMIFS(CostTrack[[Value]:[Value]],CostTrack[[PA ID]:[PA ID]],$B91,CostTrack[[Vendor - Contract]:[Vendor - Contract]],$H91,CostTrack[[Holdback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91" s="504">
        <f ca="1">SUMIFS(CostTrack[[Value]:[Value]],CostTrack[[PA ID]:[PA ID]],$B91,CostTrack[[Vendor - Contract]:[Vendor - Contract]],$H91,CostTrack[[Holdback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91" s="504">
        <f ca="1">SUMIFS(CostTrack[[Value]:[Value]],CostTrack[[PA ID]:[PA ID]],$B91,CostTrack[[Vendor - Contract]:[Vendor - Contract]],$H91,CostTrack[[Holdback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91" s="504">
        <f ca="1">SUMIFS(CostTrack[[Value]:[Value]],CostTrack[[PA ID]:[PA ID]],$B91,CostTrack[[Vendor - Contract]:[Vendor - Contract]],$H91,CostTrack[[Holdback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91" s="512">
        <f t="shared" ref="CK91:CK93" ca="1" si="155">SUM(BY91:CJ91)</f>
        <v>0</v>
      </c>
      <c r="CM91" s="504">
        <f ca="1">SUMIFS(CostTrack[[Value]:[Value]],CostTrack[[PA ID]:[PA ID]],$B91,CostTrack[[Vendor - Contract]:[Vendor - Contract]],$H91,CostTrack[[Holdback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91" s="504">
        <f ca="1">SUMIFS(CostTrack[[Value]:[Value]],CostTrack[[PA ID]:[PA ID]],$B91,CostTrack[[Vendor - Contract]:[Vendor - Contract]],$H91,CostTrack[[Holdback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91" s="504">
        <f ca="1">SUMIFS(CostTrack[[Value]:[Value]],CostTrack[[PA ID]:[PA ID]],$B91,CostTrack[[Vendor - Contract]:[Vendor - Contract]],$H91,CostTrack[[Holdback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91" s="504">
        <f ca="1">SUMIFS(CostTrack[[Value]:[Value]],CostTrack[[PA ID]:[PA ID]],$B91,CostTrack[[Vendor - Contract]:[Vendor - Contract]],$H91,CostTrack[[Holdback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91" s="504">
        <f ca="1">SUMIFS(CostTrack[[Value]:[Value]],CostTrack[[PA ID]:[PA ID]],$B91,CostTrack[[Vendor - Contract]:[Vendor - Contract]],$H91,CostTrack[[Holdback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91" s="504">
        <f ca="1">SUMIFS(CostTrack[[Value]:[Value]],CostTrack[[PA ID]:[PA ID]],$B91,CostTrack[[Vendor - Contract]:[Vendor - Contract]],$H91,CostTrack[[Holdback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91" s="504">
        <f ca="1">SUMIFS(CostTrack[[Value]:[Value]],CostTrack[[PA ID]:[PA ID]],$B91,CostTrack[[Vendor - Contract]:[Vendor - Contract]],$H91,CostTrack[[Holdback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91" s="504">
        <f ca="1">SUMIFS(CostTrack[[Value]:[Value]],CostTrack[[PA ID]:[PA ID]],$B91,CostTrack[[Vendor - Contract]:[Vendor - Contract]],$H91,CostTrack[[Holdback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91" s="504">
        <f ca="1">SUMIFS(CostTrack[[Value]:[Value]],CostTrack[[PA ID]:[PA ID]],$B91,CostTrack[[Vendor - Contract]:[Vendor - Contract]],$H91,CostTrack[[Holdback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91" s="504">
        <f ca="1">SUMIFS(CostTrack[[Value]:[Value]],CostTrack[[PA ID]:[PA ID]],$B91,CostTrack[[Vendor - Contract]:[Vendor - Contract]],$H91,CostTrack[[Holdback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91" s="504">
        <f ca="1">SUMIFS(CostTrack[[Value]:[Value]],CostTrack[[PA ID]:[PA ID]],$B91,CostTrack[[Vendor - Contract]:[Vendor - Contract]],$H91,CostTrack[[Holdback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91" s="504">
        <f ca="1">SUMIFS(CostTrack[[Value]:[Value]],CostTrack[[PA ID]:[PA ID]],$B91,CostTrack[[Vendor - Contract]:[Vendor - Contract]],$H91,CostTrack[[Holdback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91" s="512">
        <f t="shared" ref="CY91:CY93" ca="1" si="156">SUM(CM91:CX91)</f>
        <v>0</v>
      </c>
      <c r="DA91" s="504">
        <f ca="1">SUMIFS(CostTrack[[Value]:[Value]],CostTrack[[PA ID]:[PA ID]],$B91,CostTrack[[Vendor - Contract]:[Vendor - Contract]],$H91,CostTrack[[Holdback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91" s="504">
        <f ca="1">SUMIFS(CostTrack[[Value]:[Value]],CostTrack[[PA ID]:[PA ID]],$B91,CostTrack[[Vendor - Contract]:[Vendor - Contract]],$H91,CostTrack[[Holdback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91" s="504">
        <f ca="1">SUMIFS(CostTrack[[Value]:[Value]],CostTrack[[PA ID]:[PA ID]],$B91,CostTrack[[Vendor - Contract]:[Vendor - Contract]],$H91,CostTrack[[Holdback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210540.7</v>
      </c>
      <c r="DD91" s="504">
        <f ca="1">SUMIFS(CostTrack[[Value]:[Value]],CostTrack[[PA ID]:[PA ID]],$B91,CostTrack[[Vendor - Contract]:[Vendor - Contract]],$H91,CostTrack[[Holdback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91" s="504">
        <f ca="1">SUMIFS(CostTrack[[Value]:[Value]],CostTrack[[PA ID]:[PA ID]],$B91,CostTrack[[Vendor - Contract]:[Vendor - Contract]],$H91,CostTrack[[Holdback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91" s="504">
        <f ca="1">SUMIFS(CostTrack[[Value]:[Value]],CostTrack[[PA ID]:[PA ID]],$B91,CostTrack[[Vendor - Contract]:[Vendor - Contract]],$H91,CostTrack[[Holdback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91" s="504">
        <f ca="1">SUMIFS(CostTrack[[Value]:[Value]],CostTrack[[PA ID]:[PA ID]],$B91,CostTrack[[Vendor - Contract]:[Vendor - Contract]],$H91,CostTrack[[Holdback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91" s="504">
        <f ca="1">SUMIFS(CostTrack[[Value]:[Value]],CostTrack[[PA ID]:[PA ID]],$B91,CostTrack[[Vendor - Contract]:[Vendor - Contract]],$H91,CostTrack[[Holdback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91" s="504">
        <f ca="1">SUMIFS(CostTrack[[Value]:[Value]],CostTrack[[PA ID]:[PA ID]],$B91,CostTrack[[Vendor - Contract]:[Vendor - Contract]],$H91,CostTrack[[Holdback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91" s="504">
        <f ca="1">SUMIFS(CostTrack[[Value]:[Value]],CostTrack[[PA ID]:[PA ID]],$B91,CostTrack[[Vendor - Contract]:[Vendor - Contract]],$H91,CostTrack[[Holdback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91" s="504">
        <f ca="1">SUMIFS(CostTrack[[Value]:[Value]],CostTrack[[PA ID]:[PA ID]],$B91,CostTrack[[Vendor - Contract]:[Vendor - Contract]],$H91,CostTrack[[Holdback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91" s="504">
        <f ca="1">SUMIFS(CostTrack[[Value]:[Value]],CostTrack[[PA ID]:[PA ID]],$B91,CostTrack[[Vendor - Contract]:[Vendor - Contract]],$H91,CostTrack[[Holdback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91" s="512">
        <f t="shared" ca="1" si="141"/>
        <v>210540.7</v>
      </c>
      <c r="DO91" s="504">
        <f ca="1">SUMIFS(CostTrack[[Value]:[Value]],CostTrack[[PA ID]:[PA ID]],$B91,CostTrack[[Vendor - Contract]:[Vendor - Contract]],$H91,CostTrack[[Holdback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91" s="504">
        <f ca="1">SUMIFS(CostTrack[[Value]:[Value]],CostTrack[[PA ID]:[PA ID]],$B91,CostTrack[[Vendor - Contract]:[Vendor - Contract]],$H91,CostTrack[[Holdback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91" s="504">
        <f ca="1">SUMIFS(CostTrack[[Value]:[Value]],CostTrack[[PA ID]:[PA ID]],$B91,CostTrack[[Vendor - Contract]:[Vendor - Contract]],$H91,CostTrack[[Holdback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91" s="504">
        <f ca="1">SUMIFS(CostTrack[[Value]:[Value]],CostTrack[[PA ID]:[PA ID]],$B91,CostTrack[[Vendor - Contract]:[Vendor - Contract]],$H91,CostTrack[[Holdback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91" s="504">
        <f ca="1">SUMIFS(CostTrack[[Value]:[Value]],CostTrack[[PA ID]:[PA ID]],$B91,CostTrack[[Vendor - Contract]:[Vendor - Contract]],$H91,CostTrack[[Holdback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91" s="504">
        <f ca="1">SUMIFS(CostTrack[[Value]:[Value]],CostTrack[[PA ID]:[PA ID]],$B91,CostTrack[[Vendor - Contract]:[Vendor - Contract]],$H91,CostTrack[[Holdback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91" s="504">
        <f ca="1">SUMIFS(CostTrack[[Value]:[Value]],CostTrack[[PA ID]:[PA ID]],$B91,CostTrack[[Vendor - Contract]:[Vendor - Contract]],$H91,CostTrack[[Holdback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91" s="504">
        <f ca="1">SUMIFS(CostTrack[[Value]:[Value]],CostTrack[[PA ID]:[PA ID]],$B91,CostTrack[[Vendor - Contract]:[Vendor - Contract]],$H91,CostTrack[[Holdback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91" s="504">
        <f ca="1">SUMIFS(CostTrack[[Value]:[Value]],CostTrack[[PA ID]:[PA ID]],$B91,CostTrack[[Vendor - Contract]:[Vendor - Contract]],$H91,CostTrack[[Holdback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91" s="504">
        <f ca="1">SUMIFS(CostTrack[[Value]:[Value]],CostTrack[[PA ID]:[PA ID]],$B91,CostTrack[[Vendor - Contract]:[Vendor - Contract]],$H91,CostTrack[[Holdback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91" s="504">
        <f ca="1">SUMIFS(CostTrack[[Value]:[Value]],CostTrack[[PA ID]:[PA ID]],$B91,CostTrack[[Vendor - Contract]:[Vendor - Contract]],$H91,CostTrack[[Holdback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91" s="504">
        <f ca="1">SUMIFS(CostTrack[[Value]:[Value]],CostTrack[[PA ID]:[PA ID]],$B91,CostTrack[[Vendor - Contract]:[Vendor - Contract]],$H91,CostTrack[[Holdback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91" s="512">
        <f t="shared" ca="1" si="142"/>
        <v>0</v>
      </c>
      <c r="EC91" s="504">
        <f ca="1">SUMIFS(CostTrack[[Value]:[Value]],CostTrack[[PA ID]:[PA ID]],$B91,CostTrack[[Vendor - Contract]:[Vendor - Contract]],$H91,CostTrack[[Holdback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91" s="505"/>
      <c r="EE91" s="505"/>
      <c r="EF91" s="505"/>
      <c r="EG91" s="505"/>
      <c r="EH91" s="505"/>
      <c r="EI91" s="505"/>
      <c r="EJ91" s="505"/>
      <c r="EK91" s="505"/>
      <c r="EL91" s="505"/>
      <c r="EM91" s="505"/>
      <c r="EN91" s="505"/>
      <c r="EO91" s="512">
        <f t="shared" ref="EO91:EO93" ca="1" si="157">SUM(EC91:EN91)</f>
        <v>0</v>
      </c>
      <c r="EQ91" s="505"/>
      <c r="ER91" s="505"/>
      <c r="ES91" s="505"/>
      <c r="ET91" s="505"/>
      <c r="EU91" s="505"/>
      <c r="EV91" s="505"/>
      <c r="EW91" s="505"/>
      <c r="EX91" s="505"/>
      <c r="EY91" s="505"/>
      <c r="EZ91" s="505"/>
      <c r="FA91" s="505"/>
      <c r="FB91" s="505"/>
      <c r="FC91" s="512">
        <f t="shared" ref="FC91:FC97" si="158">SUM(EQ91:FB91)</f>
        <v>0</v>
      </c>
      <c r="FE91" s="505"/>
      <c r="FF91" s="505"/>
      <c r="FG91" s="505"/>
      <c r="FH91" s="505"/>
      <c r="FI91" s="505"/>
      <c r="FJ91" s="505"/>
      <c r="FK91" s="505"/>
      <c r="FL91" s="505"/>
      <c r="FM91" s="505"/>
      <c r="FN91" s="505"/>
      <c r="FO91" s="505"/>
      <c r="FP91" s="505"/>
      <c r="FQ91" s="512">
        <f t="shared" ref="FQ91:FQ97" si="159">SUM(FE91:FP91)</f>
        <v>0</v>
      </c>
      <c r="FS91" s="504">
        <f t="shared" ca="1" si="146"/>
        <v>210540.7</v>
      </c>
    </row>
    <row r="92" spans="1:175">
      <c r="A92" s="216">
        <v>85</v>
      </c>
      <c r="B92" s="219" t="str">
        <f ca="1">INDEX(EAC[PA ID],MATCH($A92,EAC[Row],0))</f>
        <v>100.050.F1</v>
      </c>
      <c r="C92" s="218" t="str">
        <f ca="1">INDEX(EAC[Primary Category],MATCH($A92,EAC[Row],0))</f>
        <v>Administration</v>
      </c>
      <c r="D92" s="218" t="str">
        <f ca="1">INDEX(EAC[Secondary Category],MATCH($A92,EAC[Row],0))</f>
        <v>Other Administration</v>
      </c>
      <c r="E92" s="109" t="str">
        <f ca="1">INDEX(EAC[Phase / Subproject],MATCH($A92,EAC[Row],0))</f>
        <v>--</v>
      </c>
      <c r="F92" s="109" t="str">
        <f ca="1">INDEX(EAC[Phase / Subproject 2],MATCH($A92,EAC[Row],0))</f>
        <v>--</v>
      </c>
      <c r="G92" s="109" t="str">
        <f ca="1">INDEX(EAC[Funding Source],MATCH($A92,EAC[Row],0))</f>
        <v>P-002360</v>
      </c>
      <c r="H92" s="146" t="str">
        <f ca="1">INDEX(EAC[Vendor / Org. with Contract ID],MATCH($A92,EAC[Row],0))</f>
        <v>Captain Courier Edmonton-Direct Pay</v>
      </c>
      <c r="I92" s="502">
        <f ca="1">INDEX(EAC[Estimate At Completion],MATCH($A92,EAC[Row],0))</f>
        <v>23.94</v>
      </c>
      <c r="J92" s="502">
        <f ca="1">SUMIFS(CostTrack[Value],CostTrack[Vendor - Contract],$H92,CostTrack[PA ID],$B92,CostTrack[Holdback (Y/N/R)],"&lt;&gt;Release",CostTrack[Status],"Approved")</f>
        <v>23.94</v>
      </c>
      <c r="K92" s="503">
        <f t="shared" ca="1" si="95"/>
        <v>0</v>
      </c>
      <c r="M92" s="504">
        <f t="shared" ca="1" si="147"/>
        <v>0</v>
      </c>
      <c r="O92" s="504">
        <f t="shared" ca="1" si="148"/>
        <v>23.94</v>
      </c>
      <c r="P92" s="504">
        <f t="array" aca="1" ref="P92" ca="1">SUM($U92:$FQ92*_xlfn.ISFORMULA($U92:$FQ92)*ISNUMBER($U$7:$FQ$7)*--(INDEX($U$6:$FQ$6,N(IF({1},COLUMN($U$6:$FQ$6)-COLUMN($T$6)))-MOD(N(IF({1},COLUMN($U$6:$FQ$6)-COLUMN($U$6))),14))="Current Fiscal"))</f>
        <v>0</v>
      </c>
      <c r="Q92" s="504">
        <f t="array" aca="1" ref="Q92" ca="1">SUM($U92:$FQ92*NOT(_xlfn.ISFORMULA($U92:$FQ92))*ISNUMBER($U$7:$FQ$7)*--(INDEX($U$6:$FQ$6,N(IF({1},COLUMN($U$6:$FQ$6)-COLUMN($T$6)))-MOD(N(IF({1},COLUMN($U$6:$FQ$6)-COLUMN($U$6))),14))="Current Fiscal"))</f>
        <v>0</v>
      </c>
      <c r="R92" s="504">
        <f t="shared" ca="1" si="149"/>
        <v>0</v>
      </c>
      <c r="S92" s="504">
        <f t="shared" ca="1" si="150"/>
        <v>0</v>
      </c>
      <c r="U92" s="504">
        <f ca="1">SUMIFS(CostTrack[[Value]:[Value]],CostTrack[[PA ID]:[PA ID]],$B92,CostTrack[[Vendor - Contract]:[Vendor - Contract]],$H92,CostTrack[[Holdback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92" s="504">
        <f ca="1">SUMIFS(CostTrack[[Value]:[Value]],CostTrack[[PA ID]:[PA ID]],$B92,CostTrack[[Vendor - Contract]:[Vendor - Contract]],$H92,CostTrack[[Holdback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92" s="504">
        <f ca="1">SUMIFS(CostTrack[[Value]:[Value]],CostTrack[[PA ID]:[PA ID]],$B92,CostTrack[[Vendor - Contract]:[Vendor - Contract]],$H92,CostTrack[[Holdback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92" s="504">
        <f ca="1">SUMIFS(CostTrack[[Value]:[Value]],CostTrack[[PA ID]:[PA ID]],$B92,CostTrack[[Vendor - Contract]:[Vendor - Contract]],$H92,CostTrack[[Holdback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92" s="504">
        <f ca="1">SUMIFS(CostTrack[[Value]:[Value]],CostTrack[[PA ID]:[PA ID]],$B92,CostTrack[[Vendor - Contract]:[Vendor - Contract]],$H92,CostTrack[[Holdback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92" s="504">
        <f ca="1">SUMIFS(CostTrack[[Value]:[Value]],CostTrack[[PA ID]:[PA ID]],$B92,CostTrack[[Vendor - Contract]:[Vendor - Contract]],$H92,CostTrack[[Holdback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92" s="504">
        <f ca="1">SUMIFS(CostTrack[[Value]:[Value]],CostTrack[[PA ID]:[PA ID]],$B92,CostTrack[[Vendor - Contract]:[Vendor - Contract]],$H92,CostTrack[[Holdback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92" s="504">
        <f ca="1">SUMIFS(CostTrack[[Value]:[Value]],CostTrack[[PA ID]:[PA ID]],$B92,CostTrack[[Vendor - Contract]:[Vendor - Contract]],$H92,CostTrack[[Holdback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92" s="504">
        <f ca="1">SUMIFS(CostTrack[[Value]:[Value]],CostTrack[[PA ID]:[PA ID]],$B92,CostTrack[[Vendor - Contract]:[Vendor - Contract]],$H92,CostTrack[[Holdback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92" s="504">
        <f ca="1">SUMIFS(CostTrack[[Value]:[Value]],CostTrack[[PA ID]:[PA ID]],$B92,CostTrack[[Vendor - Contract]:[Vendor - Contract]],$H92,CostTrack[[Holdback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92" s="504">
        <f ca="1">SUMIFS(CostTrack[[Value]:[Value]],CostTrack[[PA ID]:[PA ID]],$B92,CostTrack[[Vendor - Contract]:[Vendor - Contract]],$H92,CostTrack[[Holdback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92" s="504">
        <f ca="1">SUMIFS(CostTrack[[Value]:[Value]],CostTrack[[PA ID]:[PA ID]],$B92,CostTrack[[Vendor - Contract]:[Vendor - Contract]],$H92,CostTrack[[Holdback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92" s="506">
        <f t="shared" ca="1" si="151"/>
        <v>0</v>
      </c>
      <c r="AI92" s="504">
        <f ca="1">SUMIFS(CostTrack[[Value]:[Value]],CostTrack[[PA ID]:[PA ID]],$B92,CostTrack[[Vendor - Contract]:[Vendor - Contract]],$H92,CostTrack[[Holdback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92" s="504">
        <f ca="1">SUMIFS(CostTrack[[Value]:[Value]],CostTrack[[PA ID]:[PA ID]],$B92,CostTrack[[Vendor - Contract]:[Vendor - Contract]],$H92,CostTrack[[Holdback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92" s="504">
        <f ca="1">SUMIFS(CostTrack[[Value]:[Value]],CostTrack[[PA ID]:[PA ID]],$B92,CostTrack[[Vendor - Contract]:[Vendor - Contract]],$H92,CostTrack[[Holdback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92" s="504">
        <f ca="1">SUMIFS(CostTrack[[Value]:[Value]],CostTrack[[PA ID]:[PA ID]],$B92,CostTrack[[Vendor - Contract]:[Vendor - Contract]],$H92,CostTrack[[Holdback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92" s="504">
        <f ca="1">SUMIFS(CostTrack[[Value]:[Value]],CostTrack[[PA ID]:[PA ID]],$B92,CostTrack[[Vendor - Contract]:[Vendor - Contract]],$H92,CostTrack[[Holdback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92" s="504">
        <f ca="1">SUMIFS(CostTrack[[Value]:[Value]],CostTrack[[PA ID]:[PA ID]],$B92,CostTrack[[Vendor - Contract]:[Vendor - Contract]],$H92,CostTrack[[Holdback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92" s="504">
        <f ca="1">SUMIFS(CostTrack[[Value]:[Value]],CostTrack[[PA ID]:[PA ID]],$B92,CostTrack[[Vendor - Contract]:[Vendor - Contract]],$H92,CostTrack[[Holdback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92" s="504">
        <f ca="1">SUMIFS(CostTrack[[Value]:[Value]],CostTrack[[PA ID]:[PA ID]],$B92,CostTrack[[Vendor - Contract]:[Vendor - Contract]],$H92,CostTrack[[Holdback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92" s="504">
        <f ca="1">SUMIFS(CostTrack[[Value]:[Value]],CostTrack[[PA ID]:[PA ID]],$B92,CostTrack[[Vendor - Contract]:[Vendor - Contract]],$H92,CostTrack[[Holdback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92" s="504">
        <f ca="1">SUMIFS(CostTrack[[Value]:[Value]],CostTrack[[PA ID]:[PA ID]],$B92,CostTrack[[Vendor - Contract]:[Vendor - Contract]],$H92,CostTrack[[Holdback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92" s="504">
        <f ca="1">SUMIFS(CostTrack[[Value]:[Value]],CostTrack[[PA ID]:[PA ID]],$B92,CostTrack[[Vendor - Contract]:[Vendor - Contract]],$H92,CostTrack[[Holdback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92" s="504">
        <f ca="1">SUMIFS(CostTrack[[Value]:[Value]],CostTrack[[PA ID]:[PA ID]],$B92,CostTrack[[Vendor - Contract]:[Vendor - Contract]],$H92,CostTrack[[Holdback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92" s="512">
        <f t="shared" ca="1" si="152"/>
        <v>0</v>
      </c>
      <c r="AW92" s="504">
        <f ca="1">SUMIFS(CostTrack[[Value]:[Value]],CostTrack[[PA ID]:[PA ID]],$B92,CostTrack[[Vendor - Contract]:[Vendor - Contract]],$H92,CostTrack[[Holdback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92" s="504">
        <f ca="1">SUMIFS(CostTrack[[Value]:[Value]],CostTrack[[PA ID]:[PA ID]],$B92,CostTrack[[Vendor - Contract]:[Vendor - Contract]],$H92,CostTrack[[Holdback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92" s="504">
        <f ca="1">SUMIFS(CostTrack[[Value]:[Value]],CostTrack[[PA ID]:[PA ID]],$B92,CostTrack[[Vendor - Contract]:[Vendor - Contract]],$H92,CostTrack[[Holdback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92" s="504">
        <f ca="1">SUMIFS(CostTrack[[Value]:[Value]],CostTrack[[PA ID]:[PA ID]],$B92,CostTrack[[Vendor - Contract]:[Vendor - Contract]],$H92,CostTrack[[Holdback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92" s="504">
        <f ca="1">SUMIFS(CostTrack[[Value]:[Value]],CostTrack[[PA ID]:[PA ID]],$B92,CostTrack[[Vendor - Contract]:[Vendor - Contract]],$H92,CostTrack[[Holdback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92" s="504">
        <f ca="1">SUMIFS(CostTrack[[Value]:[Value]],CostTrack[[PA ID]:[PA ID]],$B92,CostTrack[[Vendor - Contract]:[Vendor - Contract]],$H92,CostTrack[[Holdback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92" s="504">
        <f ca="1">SUMIFS(CostTrack[[Value]:[Value]],CostTrack[[PA ID]:[PA ID]],$B92,CostTrack[[Vendor - Contract]:[Vendor - Contract]],$H92,CostTrack[[Holdback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92" s="504">
        <f ca="1">SUMIFS(CostTrack[[Value]:[Value]],CostTrack[[PA ID]:[PA ID]],$B92,CostTrack[[Vendor - Contract]:[Vendor - Contract]],$H92,CostTrack[[Holdback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92" s="504">
        <f ca="1">SUMIFS(CostTrack[[Value]:[Value]],CostTrack[[PA ID]:[PA ID]],$B92,CostTrack[[Vendor - Contract]:[Vendor - Contract]],$H92,CostTrack[[Holdback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92" s="504">
        <f ca="1">SUMIFS(CostTrack[[Value]:[Value]],CostTrack[[PA ID]:[PA ID]],$B92,CostTrack[[Vendor - Contract]:[Vendor - Contract]],$H92,CostTrack[[Holdback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92" s="504">
        <f ca="1">SUMIFS(CostTrack[[Value]:[Value]],CostTrack[[PA ID]:[PA ID]],$B92,CostTrack[[Vendor - Contract]:[Vendor - Contract]],$H92,CostTrack[[Holdback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92" s="504">
        <f ca="1">SUMIFS(CostTrack[[Value]:[Value]],CostTrack[[PA ID]:[PA ID]],$B92,CostTrack[[Vendor - Contract]:[Vendor - Contract]],$H92,CostTrack[[Holdback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92" s="512">
        <f t="shared" ca="1" si="153"/>
        <v>0</v>
      </c>
      <c r="BK92" s="504">
        <f ca="1">SUMIFS(CostTrack[[Value]:[Value]],CostTrack[[PA ID]:[PA ID]],$B92,CostTrack[[Vendor - Contract]:[Vendor - Contract]],$H92,CostTrack[[Holdback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92" s="504">
        <f ca="1">SUMIFS(CostTrack[[Value]:[Value]],CostTrack[[PA ID]:[PA ID]],$B92,CostTrack[[Vendor - Contract]:[Vendor - Contract]],$H92,CostTrack[[Holdback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92" s="504">
        <f ca="1">SUMIFS(CostTrack[[Value]:[Value]],CostTrack[[PA ID]:[PA ID]],$B92,CostTrack[[Vendor - Contract]:[Vendor - Contract]],$H92,CostTrack[[Holdback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92" s="504">
        <f ca="1">SUMIFS(CostTrack[[Value]:[Value]],CostTrack[[PA ID]:[PA ID]],$B92,CostTrack[[Vendor - Contract]:[Vendor - Contract]],$H92,CostTrack[[Holdback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92" s="504">
        <f ca="1">SUMIFS(CostTrack[[Value]:[Value]],CostTrack[[PA ID]:[PA ID]],$B92,CostTrack[[Vendor - Contract]:[Vendor - Contract]],$H92,CostTrack[[Holdback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92" s="504">
        <f ca="1">SUMIFS(CostTrack[[Value]:[Value]],CostTrack[[PA ID]:[PA ID]],$B92,CostTrack[[Vendor - Contract]:[Vendor - Contract]],$H92,CostTrack[[Holdback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92" s="504">
        <f ca="1">SUMIFS(CostTrack[[Value]:[Value]],CostTrack[[PA ID]:[PA ID]],$B92,CostTrack[[Vendor - Contract]:[Vendor - Contract]],$H92,CostTrack[[Holdback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92" s="504">
        <f ca="1">SUMIFS(CostTrack[[Value]:[Value]],CostTrack[[PA ID]:[PA ID]],$B92,CostTrack[[Vendor - Contract]:[Vendor - Contract]],$H92,CostTrack[[Holdback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92" s="504">
        <f ca="1">SUMIFS(CostTrack[[Value]:[Value]],CostTrack[[PA ID]:[PA ID]],$B92,CostTrack[[Vendor - Contract]:[Vendor - Contract]],$H92,CostTrack[[Holdback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92" s="504">
        <f ca="1">SUMIFS(CostTrack[[Value]:[Value]],CostTrack[[PA ID]:[PA ID]],$B92,CostTrack[[Vendor - Contract]:[Vendor - Contract]],$H92,CostTrack[[Holdback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92" s="504">
        <f ca="1">SUMIFS(CostTrack[[Value]:[Value]],CostTrack[[PA ID]:[PA ID]],$B92,CostTrack[[Vendor - Contract]:[Vendor - Contract]],$H92,CostTrack[[Holdback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92" s="504">
        <f ca="1">SUMIFS(CostTrack[[Value]:[Value]],CostTrack[[PA ID]:[PA ID]],$B92,CostTrack[[Vendor - Contract]:[Vendor - Contract]],$H92,CostTrack[[Holdback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92" s="512">
        <f t="shared" ca="1" si="154"/>
        <v>0</v>
      </c>
      <c r="BY92" s="504">
        <f ca="1">SUMIFS(CostTrack[[Value]:[Value]],CostTrack[[PA ID]:[PA ID]],$B92,CostTrack[[Vendor - Contract]:[Vendor - Contract]],$H92,CostTrack[[Holdback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92" s="504">
        <f ca="1">SUMIFS(CostTrack[[Value]:[Value]],CostTrack[[PA ID]:[PA ID]],$B92,CostTrack[[Vendor - Contract]:[Vendor - Contract]],$H92,CostTrack[[Holdback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92" s="504">
        <f ca="1">SUMIFS(CostTrack[[Value]:[Value]],CostTrack[[PA ID]:[PA ID]],$B92,CostTrack[[Vendor - Contract]:[Vendor - Contract]],$H92,CostTrack[[Holdback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92" s="504">
        <f ca="1">SUMIFS(CostTrack[[Value]:[Value]],CostTrack[[PA ID]:[PA ID]],$B92,CostTrack[[Vendor - Contract]:[Vendor - Contract]],$H92,CostTrack[[Holdback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92" s="504">
        <f ca="1">SUMIFS(CostTrack[[Value]:[Value]],CostTrack[[PA ID]:[PA ID]],$B92,CostTrack[[Vendor - Contract]:[Vendor - Contract]],$H92,CostTrack[[Holdback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92" s="504">
        <f ca="1">SUMIFS(CostTrack[[Value]:[Value]],CostTrack[[PA ID]:[PA ID]],$B92,CostTrack[[Vendor - Contract]:[Vendor - Contract]],$H92,CostTrack[[Holdback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92" s="504">
        <f ca="1">SUMIFS(CostTrack[[Value]:[Value]],CostTrack[[PA ID]:[PA ID]],$B92,CostTrack[[Vendor - Contract]:[Vendor - Contract]],$H92,CostTrack[[Holdback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92" s="504">
        <f ca="1">SUMIFS(CostTrack[[Value]:[Value]],CostTrack[[PA ID]:[PA ID]],$B92,CostTrack[[Vendor - Contract]:[Vendor - Contract]],$H92,CostTrack[[Holdback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92" s="504">
        <f ca="1">SUMIFS(CostTrack[[Value]:[Value]],CostTrack[[PA ID]:[PA ID]],$B92,CostTrack[[Vendor - Contract]:[Vendor - Contract]],$H92,CostTrack[[Holdback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92" s="504">
        <f ca="1">SUMIFS(CostTrack[[Value]:[Value]],CostTrack[[PA ID]:[PA ID]],$B92,CostTrack[[Vendor - Contract]:[Vendor - Contract]],$H92,CostTrack[[Holdback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92" s="504">
        <f ca="1">SUMIFS(CostTrack[[Value]:[Value]],CostTrack[[PA ID]:[PA ID]],$B92,CostTrack[[Vendor - Contract]:[Vendor - Contract]],$H92,CostTrack[[Holdback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92" s="504">
        <f ca="1">SUMIFS(CostTrack[[Value]:[Value]],CostTrack[[PA ID]:[PA ID]],$B92,CostTrack[[Vendor - Contract]:[Vendor - Contract]],$H92,CostTrack[[Holdback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92" s="512">
        <f t="shared" ca="1" si="155"/>
        <v>0</v>
      </c>
      <c r="CM92" s="504">
        <f ca="1">SUMIFS(CostTrack[[Value]:[Value]],CostTrack[[PA ID]:[PA ID]],$B92,CostTrack[[Vendor - Contract]:[Vendor - Contract]],$H92,CostTrack[[Holdback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92" s="504">
        <f ca="1">SUMIFS(CostTrack[[Value]:[Value]],CostTrack[[PA ID]:[PA ID]],$B92,CostTrack[[Vendor - Contract]:[Vendor - Contract]],$H92,CostTrack[[Holdback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92" s="504">
        <f ca="1">SUMIFS(CostTrack[[Value]:[Value]],CostTrack[[PA ID]:[PA ID]],$B92,CostTrack[[Vendor - Contract]:[Vendor - Contract]],$H92,CostTrack[[Holdback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92" s="504">
        <f ca="1">SUMIFS(CostTrack[[Value]:[Value]],CostTrack[[PA ID]:[PA ID]],$B92,CostTrack[[Vendor - Contract]:[Vendor - Contract]],$H92,CostTrack[[Holdback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92" s="504">
        <f ca="1">SUMIFS(CostTrack[[Value]:[Value]],CostTrack[[PA ID]:[PA ID]],$B92,CostTrack[[Vendor - Contract]:[Vendor - Contract]],$H92,CostTrack[[Holdback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92" s="504">
        <f ca="1">SUMIFS(CostTrack[[Value]:[Value]],CostTrack[[PA ID]:[PA ID]],$B92,CostTrack[[Vendor - Contract]:[Vendor - Contract]],$H92,CostTrack[[Holdback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92" s="504">
        <f ca="1">SUMIFS(CostTrack[[Value]:[Value]],CostTrack[[PA ID]:[PA ID]],$B92,CostTrack[[Vendor - Contract]:[Vendor - Contract]],$H92,CostTrack[[Holdback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92" s="504">
        <f ca="1">SUMIFS(CostTrack[[Value]:[Value]],CostTrack[[PA ID]:[PA ID]],$B92,CostTrack[[Vendor - Contract]:[Vendor - Contract]],$H92,CostTrack[[Holdback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92" s="504">
        <f ca="1">SUMIFS(CostTrack[[Value]:[Value]],CostTrack[[PA ID]:[PA ID]],$B92,CostTrack[[Vendor - Contract]:[Vendor - Contract]],$H92,CostTrack[[Holdback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92" s="504">
        <f ca="1">SUMIFS(CostTrack[[Value]:[Value]],CostTrack[[PA ID]:[PA ID]],$B92,CostTrack[[Vendor - Contract]:[Vendor - Contract]],$H92,CostTrack[[Holdback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92" s="504">
        <f ca="1">SUMIFS(CostTrack[[Value]:[Value]],CostTrack[[PA ID]:[PA ID]],$B92,CostTrack[[Vendor - Contract]:[Vendor - Contract]],$H92,CostTrack[[Holdback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92" s="504">
        <f ca="1">SUMIFS(CostTrack[[Value]:[Value]],CostTrack[[PA ID]:[PA ID]],$B92,CostTrack[[Vendor - Contract]:[Vendor - Contract]],$H92,CostTrack[[Holdback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92" s="512">
        <f t="shared" ca="1" si="156"/>
        <v>0</v>
      </c>
      <c r="DA92" s="504">
        <f ca="1">SUMIFS(CostTrack[[Value]:[Value]],CostTrack[[PA ID]:[PA ID]],$B92,CostTrack[[Vendor - Contract]:[Vendor - Contract]],$H92,CostTrack[[Holdback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23.94</v>
      </c>
      <c r="DB92" s="504">
        <f ca="1">SUMIFS(CostTrack[[Value]:[Value]],CostTrack[[PA ID]:[PA ID]],$B92,CostTrack[[Vendor - Contract]:[Vendor - Contract]],$H92,CostTrack[[Holdback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92" s="504">
        <f ca="1">SUMIFS(CostTrack[[Value]:[Value]],CostTrack[[PA ID]:[PA ID]],$B92,CostTrack[[Vendor - Contract]:[Vendor - Contract]],$H92,CostTrack[[Holdback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92" s="504">
        <f ca="1">SUMIFS(CostTrack[[Value]:[Value]],CostTrack[[PA ID]:[PA ID]],$B92,CostTrack[[Vendor - Contract]:[Vendor - Contract]],$H92,CostTrack[[Holdback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92" s="504">
        <f ca="1">SUMIFS(CostTrack[[Value]:[Value]],CostTrack[[PA ID]:[PA ID]],$B92,CostTrack[[Vendor - Contract]:[Vendor - Contract]],$H92,CostTrack[[Holdback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92" s="504">
        <f ca="1">SUMIFS(CostTrack[[Value]:[Value]],CostTrack[[PA ID]:[PA ID]],$B92,CostTrack[[Vendor - Contract]:[Vendor - Contract]],$H92,CostTrack[[Holdback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92" s="504">
        <f ca="1">SUMIFS(CostTrack[[Value]:[Value]],CostTrack[[PA ID]:[PA ID]],$B92,CostTrack[[Vendor - Contract]:[Vendor - Contract]],$H92,CostTrack[[Holdback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92" s="504">
        <f ca="1">SUMIFS(CostTrack[[Value]:[Value]],CostTrack[[PA ID]:[PA ID]],$B92,CostTrack[[Vendor - Contract]:[Vendor - Contract]],$H92,CostTrack[[Holdback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92" s="504">
        <f ca="1">SUMIFS(CostTrack[[Value]:[Value]],CostTrack[[PA ID]:[PA ID]],$B92,CostTrack[[Vendor - Contract]:[Vendor - Contract]],$H92,CostTrack[[Holdback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92" s="504">
        <f ca="1">SUMIFS(CostTrack[[Value]:[Value]],CostTrack[[PA ID]:[PA ID]],$B92,CostTrack[[Vendor - Contract]:[Vendor - Contract]],$H92,CostTrack[[Holdback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92" s="504">
        <f ca="1">SUMIFS(CostTrack[[Value]:[Value]],CostTrack[[PA ID]:[PA ID]],$B92,CostTrack[[Vendor - Contract]:[Vendor - Contract]],$H92,CostTrack[[Holdback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92" s="504">
        <f ca="1">SUMIFS(CostTrack[[Value]:[Value]],CostTrack[[PA ID]:[PA ID]],$B92,CostTrack[[Vendor - Contract]:[Vendor - Contract]],$H92,CostTrack[[Holdback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92" s="512">
        <f t="shared" ca="1" si="141"/>
        <v>23.94</v>
      </c>
      <c r="DO92" s="504">
        <f ca="1">SUMIFS(CostTrack[[Value]:[Value]],CostTrack[[PA ID]:[PA ID]],$B92,CostTrack[[Vendor - Contract]:[Vendor - Contract]],$H92,CostTrack[[Holdback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92" s="504">
        <f ca="1">SUMIFS(CostTrack[[Value]:[Value]],CostTrack[[PA ID]:[PA ID]],$B92,CostTrack[[Vendor - Contract]:[Vendor - Contract]],$H92,CostTrack[[Holdback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92" s="504">
        <f ca="1">SUMIFS(CostTrack[[Value]:[Value]],CostTrack[[PA ID]:[PA ID]],$B92,CostTrack[[Vendor - Contract]:[Vendor - Contract]],$H92,CostTrack[[Holdback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92" s="504">
        <f ca="1">SUMIFS(CostTrack[[Value]:[Value]],CostTrack[[PA ID]:[PA ID]],$B92,CostTrack[[Vendor - Contract]:[Vendor - Contract]],$H92,CostTrack[[Holdback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92" s="504">
        <f ca="1">SUMIFS(CostTrack[[Value]:[Value]],CostTrack[[PA ID]:[PA ID]],$B92,CostTrack[[Vendor - Contract]:[Vendor - Contract]],$H92,CostTrack[[Holdback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92" s="504">
        <f ca="1">SUMIFS(CostTrack[[Value]:[Value]],CostTrack[[PA ID]:[PA ID]],$B92,CostTrack[[Vendor - Contract]:[Vendor - Contract]],$H92,CostTrack[[Holdback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92" s="504">
        <f ca="1">SUMIFS(CostTrack[[Value]:[Value]],CostTrack[[PA ID]:[PA ID]],$B92,CostTrack[[Vendor - Contract]:[Vendor - Contract]],$H92,CostTrack[[Holdback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92" s="504">
        <f ca="1">SUMIFS(CostTrack[[Value]:[Value]],CostTrack[[PA ID]:[PA ID]],$B92,CostTrack[[Vendor - Contract]:[Vendor - Contract]],$H92,CostTrack[[Holdback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92" s="504">
        <f ca="1">SUMIFS(CostTrack[[Value]:[Value]],CostTrack[[PA ID]:[PA ID]],$B92,CostTrack[[Vendor - Contract]:[Vendor - Contract]],$H92,CostTrack[[Holdback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92" s="504">
        <f ca="1">SUMIFS(CostTrack[[Value]:[Value]],CostTrack[[PA ID]:[PA ID]],$B92,CostTrack[[Vendor - Contract]:[Vendor - Contract]],$H92,CostTrack[[Holdback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92" s="504">
        <f ca="1">SUMIFS(CostTrack[[Value]:[Value]],CostTrack[[PA ID]:[PA ID]],$B92,CostTrack[[Vendor - Contract]:[Vendor - Contract]],$H92,CostTrack[[Holdback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92" s="504">
        <f ca="1">SUMIFS(CostTrack[[Value]:[Value]],CostTrack[[PA ID]:[PA ID]],$B92,CostTrack[[Vendor - Contract]:[Vendor - Contract]],$H92,CostTrack[[Holdback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92" s="512">
        <f t="shared" ca="1" si="142"/>
        <v>0</v>
      </c>
      <c r="EC92" s="504">
        <f ca="1">SUMIFS(CostTrack[[Value]:[Value]],CostTrack[[PA ID]:[PA ID]],$B92,CostTrack[[Vendor - Contract]:[Vendor - Contract]],$H92,CostTrack[[Holdback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92" s="505"/>
      <c r="EE92" s="505"/>
      <c r="EF92" s="505"/>
      <c r="EG92" s="505"/>
      <c r="EH92" s="505"/>
      <c r="EI92" s="505"/>
      <c r="EJ92" s="505"/>
      <c r="EK92" s="505"/>
      <c r="EL92" s="505"/>
      <c r="EM92" s="505"/>
      <c r="EN92" s="505"/>
      <c r="EO92" s="512">
        <f t="shared" ca="1" si="157"/>
        <v>0</v>
      </c>
      <c r="EQ92" s="505"/>
      <c r="ER92" s="505"/>
      <c r="ES92" s="505"/>
      <c r="ET92" s="505"/>
      <c r="EU92" s="505"/>
      <c r="EV92" s="505"/>
      <c r="EW92" s="505"/>
      <c r="EX92" s="505"/>
      <c r="EY92" s="505"/>
      <c r="EZ92" s="505"/>
      <c r="FA92" s="505"/>
      <c r="FB92" s="505"/>
      <c r="FC92" s="512">
        <f t="shared" si="158"/>
        <v>0</v>
      </c>
      <c r="FE92" s="505"/>
      <c r="FF92" s="505"/>
      <c r="FG92" s="505"/>
      <c r="FH92" s="505"/>
      <c r="FI92" s="505"/>
      <c r="FJ92" s="505"/>
      <c r="FK92" s="505"/>
      <c r="FL92" s="505"/>
      <c r="FM92" s="505"/>
      <c r="FN92" s="505"/>
      <c r="FO92" s="505"/>
      <c r="FP92" s="505"/>
      <c r="FQ92" s="512">
        <f t="shared" si="159"/>
        <v>0</v>
      </c>
      <c r="FS92" s="504">
        <f t="shared" ca="1" si="146"/>
        <v>23.94</v>
      </c>
    </row>
    <row r="93" spans="1:175">
      <c r="A93" s="216">
        <v>86</v>
      </c>
      <c r="B93" s="219" t="str">
        <f ca="1">INDEX(EAC[PA ID],MATCH($A93,EAC[Row],0))</f>
        <v>400.020.F1</v>
      </c>
      <c r="C93" s="218" t="str">
        <f ca="1">INDEX(EAC[Primary Category],MATCH($A93,EAC[Row],0))</f>
        <v>FE_IT</v>
      </c>
      <c r="D93" s="218" t="str">
        <f ca="1">INDEX(EAC[Secondary Category],MATCH($A93,EAC[Row],0))</f>
        <v>Information Technology</v>
      </c>
      <c r="E93" s="109" t="str">
        <f ca="1">INDEX(EAC[Phase / Subproject],MATCH($A93,EAC[Row],0))</f>
        <v>--</v>
      </c>
      <c r="F93" s="109" t="str">
        <f ca="1">INDEX(EAC[Phase / Subproject 2],MATCH($A93,EAC[Row],0))</f>
        <v>--</v>
      </c>
      <c r="G93" s="109" t="str">
        <f ca="1">INDEX(EAC[Funding Source],MATCH($A93,EAC[Row],0))</f>
        <v>P-002360</v>
      </c>
      <c r="H93" s="146" t="str">
        <f ca="1">INDEX(EAC[Vendor / Org. with Contract ID],MATCH($A93,EAC[Row],0))</f>
        <v>MICROSERVE 
341234 B.C. LTD.-40381</v>
      </c>
      <c r="I93" s="502">
        <f ca="1">INDEX(EAC[Estimate At Completion],MATCH($A93,EAC[Row],0))</f>
        <v>107181.12</v>
      </c>
      <c r="J93" s="502">
        <f ca="1">SUMIFS(CostTrack[Value],CostTrack[Vendor - Contract],$H93,CostTrack[PA ID],$B93,CostTrack[Holdback (Y/N/R)],"&lt;&gt;Release",CostTrack[Status],"Approved")</f>
        <v>107181.12</v>
      </c>
      <c r="K93" s="503">
        <f t="shared" ca="1" si="95"/>
        <v>0</v>
      </c>
      <c r="M93" s="504">
        <f t="shared" ca="1" si="147"/>
        <v>0</v>
      </c>
      <c r="O93" s="504">
        <f t="shared" ca="1" si="148"/>
        <v>107181.12</v>
      </c>
      <c r="P93" s="504">
        <f t="array" aca="1" ref="P93" ca="1">SUM($U93:$FQ93*_xlfn.ISFORMULA($U93:$FQ93)*ISNUMBER($U$7:$FQ$7)*--(INDEX($U$6:$FQ$6,N(IF({1},COLUMN($U$6:$FQ$6)-COLUMN($T$6)))-MOD(N(IF({1},COLUMN($U$6:$FQ$6)-COLUMN($U$6))),14))="Current Fiscal"))</f>
        <v>0</v>
      </c>
      <c r="Q93" s="504">
        <f t="array" aca="1" ref="Q93" ca="1">SUM($U93:$FQ93*NOT(_xlfn.ISFORMULA($U93:$FQ93))*ISNUMBER($U$7:$FQ$7)*--(INDEX($U$6:$FQ$6,N(IF({1},COLUMN($U$6:$FQ$6)-COLUMN($T$6)))-MOD(N(IF({1},COLUMN($U$6:$FQ$6)-COLUMN($U$6))),14))="Current Fiscal"))</f>
        <v>0</v>
      </c>
      <c r="R93" s="504">
        <f t="shared" ca="1" si="149"/>
        <v>0</v>
      </c>
      <c r="S93" s="504">
        <f t="shared" ca="1" si="150"/>
        <v>0</v>
      </c>
      <c r="U93" s="504">
        <f ca="1">SUMIFS(CostTrack[[Value]:[Value]],CostTrack[[PA ID]:[PA ID]],$B93,CostTrack[[Vendor - Contract]:[Vendor - Contract]],$H93,CostTrack[[Holdback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93" s="504">
        <f ca="1">SUMIFS(CostTrack[[Value]:[Value]],CostTrack[[PA ID]:[PA ID]],$B93,CostTrack[[Vendor - Contract]:[Vendor - Contract]],$H93,CostTrack[[Holdback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93" s="504">
        <f ca="1">SUMIFS(CostTrack[[Value]:[Value]],CostTrack[[PA ID]:[PA ID]],$B93,CostTrack[[Vendor - Contract]:[Vendor - Contract]],$H93,CostTrack[[Holdback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93" s="504">
        <f ca="1">SUMIFS(CostTrack[[Value]:[Value]],CostTrack[[PA ID]:[PA ID]],$B93,CostTrack[[Vendor - Contract]:[Vendor - Contract]],$H93,CostTrack[[Holdback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93" s="504">
        <f ca="1">SUMIFS(CostTrack[[Value]:[Value]],CostTrack[[PA ID]:[PA ID]],$B93,CostTrack[[Vendor - Contract]:[Vendor - Contract]],$H93,CostTrack[[Holdback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93" s="504">
        <f ca="1">SUMIFS(CostTrack[[Value]:[Value]],CostTrack[[PA ID]:[PA ID]],$B93,CostTrack[[Vendor - Contract]:[Vendor - Contract]],$H93,CostTrack[[Holdback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93" s="504">
        <f ca="1">SUMIFS(CostTrack[[Value]:[Value]],CostTrack[[PA ID]:[PA ID]],$B93,CostTrack[[Vendor - Contract]:[Vendor - Contract]],$H93,CostTrack[[Holdback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93" s="504">
        <f ca="1">SUMIFS(CostTrack[[Value]:[Value]],CostTrack[[PA ID]:[PA ID]],$B93,CostTrack[[Vendor - Contract]:[Vendor - Contract]],$H93,CostTrack[[Holdback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93" s="504">
        <f ca="1">SUMIFS(CostTrack[[Value]:[Value]],CostTrack[[PA ID]:[PA ID]],$B93,CostTrack[[Vendor - Contract]:[Vendor - Contract]],$H93,CostTrack[[Holdback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93" s="504">
        <f ca="1">SUMIFS(CostTrack[[Value]:[Value]],CostTrack[[PA ID]:[PA ID]],$B93,CostTrack[[Vendor - Contract]:[Vendor - Contract]],$H93,CostTrack[[Holdback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93" s="504">
        <f ca="1">SUMIFS(CostTrack[[Value]:[Value]],CostTrack[[PA ID]:[PA ID]],$B93,CostTrack[[Vendor - Contract]:[Vendor - Contract]],$H93,CostTrack[[Holdback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93" s="504">
        <f ca="1">SUMIFS(CostTrack[[Value]:[Value]],CostTrack[[PA ID]:[PA ID]],$B93,CostTrack[[Vendor - Contract]:[Vendor - Contract]],$H93,CostTrack[[Holdback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93" s="506">
        <f t="shared" ca="1" si="151"/>
        <v>0</v>
      </c>
      <c r="AI93" s="504">
        <f ca="1">SUMIFS(CostTrack[[Value]:[Value]],CostTrack[[PA ID]:[PA ID]],$B93,CostTrack[[Vendor - Contract]:[Vendor - Contract]],$H93,CostTrack[[Holdback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93" s="504">
        <f ca="1">SUMIFS(CostTrack[[Value]:[Value]],CostTrack[[PA ID]:[PA ID]],$B93,CostTrack[[Vendor - Contract]:[Vendor - Contract]],$H93,CostTrack[[Holdback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93" s="504">
        <f ca="1">SUMIFS(CostTrack[[Value]:[Value]],CostTrack[[PA ID]:[PA ID]],$B93,CostTrack[[Vendor - Contract]:[Vendor - Contract]],$H93,CostTrack[[Holdback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93" s="504">
        <f ca="1">SUMIFS(CostTrack[[Value]:[Value]],CostTrack[[PA ID]:[PA ID]],$B93,CostTrack[[Vendor - Contract]:[Vendor - Contract]],$H93,CostTrack[[Holdback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93" s="504">
        <f ca="1">SUMIFS(CostTrack[[Value]:[Value]],CostTrack[[PA ID]:[PA ID]],$B93,CostTrack[[Vendor - Contract]:[Vendor - Contract]],$H93,CostTrack[[Holdback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93" s="504">
        <f ca="1">SUMIFS(CostTrack[[Value]:[Value]],CostTrack[[PA ID]:[PA ID]],$B93,CostTrack[[Vendor - Contract]:[Vendor - Contract]],$H93,CostTrack[[Holdback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93" s="504">
        <f ca="1">SUMIFS(CostTrack[[Value]:[Value]],CostTrack[[PA ID]:[PA ID]],$B93,CostTrack[[Vendor - Contract]:[Vendor - Contract]],$H93,CostTrack[[Holdback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93" s="504">
        <f ca="1">SUMIFS(CostTrack[[Value]:[Value]],CostTrack[[PA ID]:[PA ID]],$B93,CostTrack[[Vendor - Contract]:[Vendor - Contract]],$H93,CostTrack[[Holdback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93" s="504">
        <f ca="1">SUMIFS(CostTrack[[Value]:[Value]],CostTrack[[PA ID]:[PA ID]],$B93,CostTrack[[Vendor - Contract]:[Vendor - Contract]],$H93,CostTrack[[Holdback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93" s="504">
        <f ca="1">SUMIFS(CostTrack[[Value]:[Value]],CostTrack[[PA ID]:[PA ID]],$B93,CostTrack[[Vendor - Contract]:[Vendor - Contract]],$H93,CostTrack[[Holdback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93" s="504">
        <f ca="1">SUMIFS(CostTrack[[Value]:[Value]],CostTrack[[PA ID]:[PA ID]],$B93,CostTrack[[Vendor - Contract]:[Vendor - Contract]],$H93,CostTrack[[Holdback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93" s="504">
        <f ca="1">SUMIFS(CostTrack[[Value]:[Value]],CostTrack[[PA ID]:[PA ID]],$B93,CostTrack[[Vendor - Contract]:[Vendor - Contract]],$H93,CostTrack[[Holdback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93" s="512">
        <f t="shared" ca="1" si="152"/>
        <v>0</v>
      </c>
      <c r="AW93" s="504">
        <f ca="1">SUMIFS(CostTrack[[Value]:[Value]],CostTrack[[PA ID]:[PA ID]],$B93,CostTrack[[Vendor - Contract]:[Vendor - Contract]],$H93,CostTrack[[Holdback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93" s="504">
        <f ca="1">SUMIFS(CostTrack[[Value]:[Value]],CostTrack[[PA ID]:[PA ID]],$B93,CostTrack[[Vendor - Contract]:[Vendor - Contract]],$H93,CostTrack[[Holdback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93" s="504">
        <f ca="1">SUMIFS(CostTrack[[Value]:[Value]],CostTrack[[PA ID]:[PA ID]],$B93,CostTrack[[Vendor - Contract]:[Vendor - Contract]],$H93,CostTrack[[Holdback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93" s="504">
        <f ca="1">SUMIFS(CostTrack[[Value]:[Value]],CostTrack[[PA ID]:[PA ID]],$B93,CostTrack[[Vendor - Contract]:[Vendor - Contract]],$H93,CostTrack[[Holdback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93" s="504">
        <f ca="1">SUMIFS(CostTrack[[Value]:[Value]],CostTrack[[PA ID]:[PA ID]],$B93,CostTrack[[Vendor - Contract]:[Vendor - Contract]],$H93,CostTrack[[Holdback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93" s="504">
        <f ca="1">SUMIFS(CostTrack[[Value]:[Value]],CostTrack[[PA ID]:[PA ID]],$B93,CostTrack[[Vendor - Contract]:[Vendor - Contract]],$H93,CostTrack[[Holdback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93" s="504">
        <f ca="1">SUMIFS(CostTrack[[Value]:[Value]],CostTrack[[PA ID]:[PA ID]],$B93,CostTrack[[Vendor - Contract]:[Vendor - Contract]],$H93,CostTrack[[Holdback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93" s="504">
        <f ca="1">SUMIFS(CostTrack[[Value]:[Value]],CostTrack[[PA ID]:[PA ID]],$B93,CostTrack[[Vendor - Contract]:[Vendor - Contract]],$H93,CostTrack[[Holdback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93" s="504">
        <f ca="1">SUMIFS(CostTrack[[Value]:[Value]],CostTrack[[PA ID]:[PA ID]],$B93,CostTrack[[Vendor - Contract]:[Vendor - Contract]],$H93,CostTrack[[Holdback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93" s="504">
        <f ca="1">SUMIFS(CostTrack[[Value]:[Value]],CostTrack[[PA ID]:[PA ID]],$B93,CostTrack[[Vendor - Contract]:[Vendor - Contract]],$H93,CostTrack[[Holdback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93" s="504">
        <f ca="1">SUMIFS(CostTrack[[Value]:[Value]],CostTrack[[PA ID]:[PA ID]],$B93,CostTrack[[Vendor - Contract]:[Vendor - Contract]],$H93,CostTrack[[Holdback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93" s="504">
        <f ca="1">SUMIFS(CostTrack[[Value]:[Value]],CostTrack[[PA ID]:[PA ID]],$B93,CostTrack[[Vendor - Contract]:[Vendor - Contract]],$H93,CostTrack[[Holdback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93" s="512">
        <f t="shared" ca="1" si="153"/>
        <v>0</v>
      </c>
      <c r="BK93" s="504">
        <f ca="1">SUMIFS(CostTrack[[Value]:[Value]],CostTrack[[PA ID]:[PA ID]],$B93,CostTrack[[Vendor - Contract]:[Vendor - Contract]],$H93,CostTrack[[Holdback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93" s="504">
        <f ca="1">SUMIFS(CostTrack[[Value]:[Value]],CostTrack[[PA ID]:[PA ID]],$B93,CostTrack[[Vendor - Contract]:[Vendor - Contract]],$H93,CostTrack[[Holdback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93" s="504">
        <f ca="1">SUMIFS(CostTrack[[Value]:[Value]],CostTrack[[PA ID]:[PA ID]],$B93,CostTrack[[Vendor - Contract]:[Vendor - Contract]],$H93,CostTrack[[Holdback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93" s="504">
        <f ca="1">SUMIFS(CostTrack[[Value]:[Value]],CostTrack[[PA ID]:[PA ID]],$B93,CostTrack[[Vendor - Contract]:[Vendor - Contract]],$H93,CostTrack[[Holdback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93" s="504">
        <f ca="1">SUMIFS(CostTrack[[Value]:[Value]],CostTrack[[PA ID]:[PA ID]],$B93,CostTrack[[Vendor - Contract]:[Vendor - Contract]],$H93,CostTrack[[Holdback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93" s="504">
        <f ca="1">SUMIFS(CostTrack[[Value]:[Value]],CostTrack[[PA ID]:[PA ID]],$B93,CostTrack[[Vendor - Contract]:[Vendor - Contract]],$H93,CostTrack[[Holdback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93" s="504">
        <f ca="1">SUMIFS(CostTrack[[Value]:[Value]],CostTrack[[PA ID]:[PA ID]],$B93,CostTrack[[Vendor - Contract]:[Vendor - Contract]],$H93,CostTrack[[Holdback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93" s="504">
        <f ca="1">SUMIFS(CostTrack[[Value]:[Value]],CostTrack[[PA ID]:[PA ID]],$B93,CostTrack[[Vendor - Contract]:[Vendor - Contract]],$H93,CostTrack[[Holdback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93" s="504">
        <f ca="1">SUMIFS(CostTrack[[Value]:[Value]],CostTrack[[PA ID]:[PA ID]],$B93,CostTrack[[Vendor - Contract]:[Vendor - Contract]],$H93,CostTrack[[Holdback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93" s="504">
        <f ca="1">SUMIFS(CostTrack[[Value]:[Value]],CostTrack[[PA ID]:[PA ID]],$B93,CostTrack[[Vendor - Contract]:[Vendor - Contract]],$H93,CostTrack[[Holdback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93" s="504">
        <f ca="1">SUMIFS(CostTrack[[Value]:[Value]],CostTrack[[PA ID]:[PA ID]],$B93,CostTrack[[Vendor - Contract]:[Vendor - Contract]],$H93,CostTrack[[Holdback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93" s="504">
        <f ca="1">SUMIFS(CostTrack[[Value]:[Value]],CostTrack[[PA ID]:[PA ID]],$B93,CostTrack[[Vendor - Contract]:[Vendor - Contract]],$H93,CostTrack[[Holdback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93" s="512">
        <f t="shared" ca="1" si="154"/>
        <v>0</v>
      </c>
      <c r="BY93" s="504">
        <f ca="1">SUMIFS(CostTrack[[Value]:[Value]],CostTrack[[PA ID]:[PA ID]],$B93,CostTrack[[Vendor - Contract]:[Vendor - Contract]],$H93,CostTrack[[Holdback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93" s="504">
        <f ca="1">SUMIFS(CostTrack[[Value]:[Value]],CostTrack[[PA ID]:[PA ID]],$B93,CostTrack[[Vendor - Contract]:[Vendor - Contract]],$H93,CostTrack[[Holdback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93" s="504">
        <f ca="1">SUMIFS(CostTrack[[Value]:[Value]],CostTrack[[PA ID]:[PA ID]],$B93,CostTrack[[Vendor - Contract]:[Vendor - Contract]],$H93,CostTrack[[Holdback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93" s="504">
        <f ca="1">SUMIFS(CostTrack[[Value]:[Value]],CostTrack[[PA ID]:[PA ID]],$B93,CostTrack[[Vendor - Contract]:[Vendor - Contract]],$H93,CostTrack[[Holdback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93" s="504">
        <f ca="1">SUMIFS(CostTrack[[Value]:[Value]],CostTrack[[PA ID]:[PA ID]],$B93,CostTrack[[Vendor - Contract]:[Vendor - Contract]],$H93,CostTrack[[Holdback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93" s="504">
        <f ca="1">SUMIFS(CostTrack[[Value]:[Value]],CostTrack[[PA ID]:[PA ID]],$B93,CostTrack[[Vendor - Contract]:[Vendor - Contract]],$H93,CostTrack[[Holdback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93" s="504">
        <f ca="1">SUMIFS(CostTrack[[Value]:[Value]],CostTrack[[PA ID]:[PA ID]],$B93,CostTrack[[Vendor - Contract]:[Vendor - Contract]],$H93,CostTrack[[Holdback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93" s="504">
        <f ca="1">SUMIFS(CostTrack[[Value]:[Value]],CostTrack[[PA ID]:[PA ID]],$B93,CostTrack[[Vendor - Contract]:[Vendor - Contract]],$H93,CostTrack[[Holdback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93" s="504">
        <f ca="1">SUMIFS(CostTrack[[Value]:[Value]],CostTrack[[PA ID]:[PA ID]],$B93,CostTrack[[Vendor - Contract]:[Vendor - Contract]],$H93,CostTrack[[Holdback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93" s="504">
        <f ca="1">SUMIFS(CostTrack[[Value]:[Value]],CostTrack[[PA ID]:[PA ID]],$B93,CostTrack[[Vendor - Contract]:[Vendor - Contract]],$H93,CostTrack[[Holdback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93" s="504">
        <f ca="1">SUMIFS(CostTrack[[Value]:[Value]],CostTrack[[PA ID]:[PA ID]],$B93,CostTrack[[Vendor - Contract]:[Vendor - Contract]],$H93,CostTrack[[Holdback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93" s="504">
        <f ca="1">SUMIFS(CostTrack[[Value]:[Value]],CostTrack[[PA ID]:[PA ID]],$B93,CostTrack[[Vendor - Contract]:[Vendor - Contract]],$H93,CostTrack[[Holdback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93" s="512">
        <f t="shared" ca="1" si="155"/>
        <v>0</v>
      </c>
      <c r="CM93" s="504">
        <f ca="1">SUMIFS(CostTrack[[Value]:[Value]],CostTrack[[PA ID]:[PA ID]],$B93,CostTrack[[Vendor - Contract]:[Vendor - Contract]],$H93,CostTrack[[Holdback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93" s="504">
        <f ca="1">SUMIFS(CostTrack[[Value]:[Value]],CostTrack[[PA ID]:[PA ID]],$B93,CostTrack[[Vendor - Contract]:[Vendor - Contract]],$H93,CostTrack[[Holdback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93" s="504">
        <f ca="1">SUMIFS(CostTrack[[Value]:[Value]],CostTrack[[PA ID]:[PA ID]],$B93,CostTrack[[Vendor - Contract]:[Vendor - Contract]],$H93,CostTrack[[Holdback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93" s="504">
        <f ca="1">SUMIFS(CostTrack[[Value]:[Value]],CostTrack[[PA ID]:[PA ID]],$B93,CostTrack[[Vendor - Contract]:[Vendor - Contract]],$H93,CostTrack[[Holdback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93" s="504">
        <f ca="1">SUMIFS(CostTrack[[Value]:[Value]],CostTrack[[PA ID]:[PA ID]],$B93,CostTrack[[Vendor - Contract]:[Vendor - Contract]],$H93,CostTrack[[Holdback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93" s="504">
        <f ca="1">SUMIFS(CostTrack[[Value]:[Value]],CostTrack[[PA ID]:[PA ID]],$B93,CostTrack[[Vendor - Contract]:[Vendor - Contract]],$H93,CostTrack[[Holdback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93" s="504">
        <f ca="1">SUMIFS(CostTrack[[Value]:[Value]],CostTrack[[PA ID]:[PA ID]],$B93,CostTrack[[Vendor - Contract]:[Vendor - Contract]],$H93,CostTrack[[Holdback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93" s="504">
        <f ca="1">SUMIFS(CostTrack[[Value]:[Value]],CostTrack[[PA ID]:[PA ID]],$B93,CostTrack[[Vendor - Contract]:[Vendor - Contract]],$H93,CostTrack[[Holdback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93" s="504">
        <f ca="1">SUMIFS(CostTrack[[Value]:[Value]],CostTrack[[PA ID]:[PA ID]],$B93,CostTrack[[Vendor - Contract]:[Vendor - Contract]],$H93,CostTrack[[Holdback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93" s="504">
        <f ca="1">SUMIFS(CostTrack[[Value]:[Value]],CostTrack[[PA ID]:[PA ID]],$B93,CostTrack[[Vendor - Contract]:[Vendor - Contract]],$H93,CostTrack[[Holdback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93" s="504">
        <f ca="1">SUMIFS(CostTrack[[Value]:[Value]],CostTrack[[PA ID]:[PA ID]],$B93,CostTrack[[Vendor - Contract]:[Vendor - Contract]],$H93,CostTrack[[Holdback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93" s="504">
        <f ca="1">SUMIFS(CostTrack[[Value]:[Value]],CostTrack[[PA ID]:[PA ID]],$B93,CostTrack[[Vendor - Contract]:[Vendor - Contract]],$H93,CostTrack[[Holdback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93" s="512">
        <f t="shared" ca="1" si="156"/>
        <v>0</v>
      </c>
      <c r="DA93" s="504">
        <f ca="1">SUMIFS(CostTrack[[Value]:[Value]],CostTrack[[PA ID]:[PA ID]],$B93,CostTrack[[Vendor - Contract]:[Vendor - Contract]],$H93,CostTrack[[Holdback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93" s="504">
        <f ca="1">SUMIFS(CostTrack[[Value]:[Value]],CostTrack[[PA ID]:[PA ID]],$B93,CostTrack[[Vendor - Contract]:[Vendor - Contract]],$H93,CostTrack[[Holdback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93" s="504">
        <f ca="1">SUMIFS(CostTrack[[Value]:[Value]],CostTrack[[PA ID]:[PA ID]],$B93,CostTrack[[Vendor - Contract]:[Vendor - Contract]],$H93,CostTrack[[Holdback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93" s="504">
        <f ca="1">SUMIFS(CostTrack[[Value]:[Value]],CostTrack[[PA ID]:[PA ID]],$B93,CostTrack[[Vendor - Contract]:[Vendor - Contract]],$H93,CostTrack[[Holdback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93" s="504">
        <f ca="1">SUMIFS(CostTrack[[Value]:[Value]],CostTrack[[PA ID]:[PA ID]],$B93,CostTrack[[Vendor - Contract]:[Vendor - Contract]],$H93,CostTrack[[Holdback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93" s="504">
        <f ca="1">SUMIFS(CostTrack[[Value]:[Value]],CostTrack[[PA ID]:[PA ID]],$B93,CostTrack[[Vendor - Contract]:[Vendor - Contract]],$H93,CostTrack[[Holdback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93" s="504">
        <f ca="1">SUMIFS(CostTrack[[Value]:[Value]],CostTrack[[PA ID]:[PA ID]],$B93,CostTrack[[Vendor - Contract]:[Vendor - Contract]],$H93,CostTrack[[Holdback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93" s="504">
        <f ca="1">SUMIFS(CostTrack[[Value]:[Value]],CostTrack[[PA ID]:[PA ID]],$B93,CostTrack[[Vendor - Contract]:[Vendor - Contract]],$H93,CostTrack[[Holdback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93" s="504">
        <f ca="1">SUMIFS(CostTrack[[Value]:[Value]],CostTrack[[PA ID]:[PA ID]],$B93,CostTrack[[Vendor - Contract]:[Vendor - Contract]],$H93,CostTrack[[Holdback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93" s="504">
        <f ca="1">SUMIFS(CostTrack[[Value]:[Value]],CostTrack[[PA ID]:[PA ID]],$B93,CostTrack[[Vendor - Contract]:[Vendor - Contract]],$H93,CostTrack[[Holdback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93" s="504">
        <f ca="1">SUMIFS(CostTrack[[Value]:[Value]],CostTrack[[PA ID]:[PA ID]],$B93,CostTrack[[Vendor - Contract]:[Vendor - Contract]],$H93,CostTrack[[Holdback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93" s="504">
        <f ca="1">SUMIFS(CostTrack[[Value]:[Value]],CostTrack[[PA ID]:[PA ID]],$B93,CostTrack[[Vendor - Contract]:[Vendor - Contract]],$H93,CostTrack[[Holdback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107043.69</v>
      </c>
      <c r="DM93" s="512">
        <f t="shared" ca="1" si="141"/>
        <v>107043.69</v>
      </c>
      <c r="DO93" s="504">
        <f ca="1">SUMIFS(CostTrack[[Value]:[Value]],CostTrack[[PA ID]:[PA ID]],$B93,CostTrack[[Vendor - Contract]:[Vendor - Contract]],$H93,CostTrack[[Holdback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93" s="504">
        <f ca="1">SUMIFS(CostTrack[[Value]:[Value]],CostTrack[[PA ID]:[PA ID]],$B93,CostTrack[[Vendor - Contract]:[Vendor - Contract]],$H93,CostTrack[[Holdback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93" s="504">
        <f ca="1">SUMIFS(CostTrack[[Value]:[Value]],CostTrack[[PA ID]:[PA ID]],$B93,CostTrack[[Vendor - Contract]:[Vendor - Contract]],$H93,CostTrack[[Holdback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93" s="504">
        <f ca="1">SUMIFS(CostTrack[[Value]:[Value]],CostTrack[[PA ID]:[PA ID]],$B93,CostTrack[[Vendor - Contract]:[Vendor - Contract]],$H93,CostTrack[[Holdback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137.43</v>
      </c>
      <c r="DS93" s="504">
        <f ca="1">SUMIFS(CostTrack[[Value]:[Value]],CostTrack[[PA ID]:[PA ID]],$B93,CostTrack[[Vendor - Contract]:[Vendor - Contract]],$H93,CostTrack[[Holdback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93" s="504">
        <f ca="1">SUMIFS(CostTrack[[Value]:[Value]],CostTrack[[PA ID]:[PA ID]],$B93,CostTrack[[Vendor - Contract]:[Vendor - Contract]],$H93,CostTrack[[Holdback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93" s="504">
        <f ca="1">SUMIFS(CostTrack[[Value]:[Value]],CostTrack[[PA ID]:[PA ID]],$B93,CostTrack[[Vendor - Contract]:[Vendor - Contract]],$H93,CostTrack[[Holdback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93" s="504">
        <f ca="1">SUMIFS(CostTrack[[Value]:[Value]],CostTrack[[PA ID]:[PA ID]],$B93,CostTrack[[Vendor - Contract]:[Vendor - Contract]],$H93,CostTrack[[Holdback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93" s="504">
        <f ca="1">SUMIFS(CostTrack[[Value]:[Value]],CostTrack[[PA ID]:[PA ID]],$B93,CostTrack[[Vendor - Contract]:[Vendor - Contract]],$H93,CostTrack[[Holdback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93" s="504">
        <f ca="1">SUMIFS(CostTrack[[Value]:[Value]],CostTrack[[PA ID]:[PA ID]],$B93,CostTrack[[Vendor - Contract]:[Vendor - Contract]],$H93,CostTrack[[Holdback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93" s="504">
        <f ca="1">SUMIFS(CostTrack[[Value]:[Value]],CostTrack[[PA ID]:[PA ID]],$B93,CostTrack[[Vendor - Contract]:[Vendor - Contract]],$H93,CostTrack[[Holdback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93" s="504">
        <f ca="1">SUMIFS(CostTrack[[Value]:[Value]],CostTrack[[PA ID]:[PA ID]],$B93,CostTrack[[Vendor - Contract]:[Vendor - Contract]],$H93,CostTrack[[Holdback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93" s="512">
        <f t="shared" ca="1" si="142"/>
        <v>137.43</v>
      </c>
      <c r="EC93" s="504">
        <f ca="1">SUMIFS(CostTrack[[Value]:[Value]],CostTrack[[PA ID]:[PA ID]],$B93,CostTrack[[Vendor - Contract]:[Vendor - Contract]],$H93,CostTrack[[Holdback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93" s="505"/>
      <c r="EE93" s="505"/>
      <c r="EF93" s="505"/>
      <c r="EG93" s="505"/>
      <c r="EH93" s="505"/>
      <c r="EI93" s="505"/>
      <c r="EJ93" s="505"/>
      <c r="EK93" s="505"/>
      <c r="EL93" s="505"/>
      <c r="EM93" s="505"/>
      <c r="EN93" s="505"/>
      <c r="EO93" s="512">
        <f t="shared" ca="1" si="157"/>
        <v>0</v>
      </c>
      <c r="EQ93" s="505"/>
      <c r="ER93" s="505"/>
      <c r="ES93" s="505"/>
      <c r="ET93" s="505"/>
      <c r="EU93" s="505"/>
      <c r="EV93" s="505"/>
      <c r="EW93" s="505"/>
      <c r="EX93" s="505"/>
      <c r="EY93" s="505"/>
      <c r="EZ93" s="505"/>
      <c r="FA93" s="505"/>
      <c r="FB93" s="505"/>
      <c r="FC93" s="512">
        <f t="shared" si="158"/>
        <v>0</v>
      </c>
      <c r="FE93" s="505"/>
      <c r="FF93" s="505"/>
      <c r="FG93" s="505"/>
      <c r="FH93" s="505"/>
      <c r="FI93" s="505"/>
      <c r="FJ93" s="505"/>
      <c r="FK93" s="505"/>
      <c r="FL93" s="505"/>
      <c r="FM93" s="505"/>
      <c r="FN93" s="505"/>
      <c r="FO93" s="505"/>
      <c r="FP93" s="505"/>
      <c r="FQ93" s="512">
        <f t="shared" si="159"/>
        <v>0</v>
      </c>
      <c r="FS93" s="504">
        <f t="shared" ca="1" si="146"/>
        <v>107181.12</v>
      </c>
    </row>
    <row r="94" spans="1:175">
      <c r="A94" s="216">
        <v>87</v>
      </c>
      <c r="B94" s="219" t="str">
        <f ca="1">INDEX(EAC[PA ID],MATCH($A94,EAC[Row],0))</f>
        <v>400.010.F1</v>
      </c>
      <c r="C94" s="218" t="str">
        <f ca="1">INDEX(EAC[Primary Category],MATCH($A94,EAC[Row],0))</f>
        <v>FE_IT</v>
      </c>
      <c r="D94" s="218" t="str">
        <f ca="1">INDEX(EAC[Secondary Category],MATCH($A94,EAC[Row],0))</f>
        <v>Furniture &amp; Equipment</v>
      </c>
      <c r="E94" s="109" t="str">
        <f ca="1">INDEX(EAC[Phase / Subproject],MATCH($A94,EAC[Row],0))</f>
        <v>--</v>
      </c>
      <c r="F94" s="109" t="str">
        <f ca="1">INDEX(EAC[Phase / Subproject 2],MATCH($A94,EAC[Row],0))</f>
        <v>--</v>
      </c>
      <c r="G94" s="109" t="str">
        <f ca="1">INDEX(EAC[Funding Source],MATCH($A94,EAC[Row],0))</f>
        <v>P-002360</v>
      </c>
      <c r="H94" s="146" t="str">
        <f ca="1">INDEX(EAC[Vendor / Org. with Contract ID],MATCH($A94,EAC[Row],0))</f>
        <v>Allwest Fursnishing Ltd.-Library Shelving-PR101095</v>
      </c>
      <c r="I94" s="502">
        <f ca="1">INDEX(EAC[Estimate At Completion],MATCH($A94,EAC[Row],0))</f>
        <v>140694.82</v>
      </c>
      <c r="J94" s="502">
        <f ca="1">SUMIFS(CostTrack[Value],CostTrack[Vendor - Contract],$H94,CostTrack[PA ID],$B94,CostTrack[Holdback (Y/N/R)],"&lt;&gt;Release",CostTrack[Status],"Approved")</f>
        <v>140694.82</v>
      </c>
      <c r="K94" s="503">
        <f t="shared" ca="1" si="95"/>
        <v>0</v>
      </c>
      <c r="M94" s="504">
        <f t="shared" ref="M94:M97" ca="1" si="160">I94-FS94</f>
        <v>0</v>
      </c>
      <c r="O94" s="504">
        <f t="shared" ref="O94:O97" ca="1" si="161">SUMIF($U$6:$FQ$6,"Previous Fiscal",AG94:FQ94)</f>
        <v>140694.82</v>
      </c>
      <c r="P94" s="504">
        <f t="array" aca="1" ref="P94" ca="1">SUM($U94:$FQ94*_xlfn.ISFORMULA($U94:$FQ94)*ISNUMBER($U$7:$FQ$7)*--(INDEX($U$6:$FQ$6,N(IF({1},COLUMN($U$6:$FQ$6)-COLUMN($T$6)))-MOD(N(IF({1},COLUMN($U$6:$FQ$6)-COLUMN($U$6))),14))="Current Fiscal"))</f>
        <v>0</v>
      </c>
      <c r="Q94" s="504">
        <f t="array" aca="1" ref="Q94" ca="1">SUM($U94:$FQ94*NOT(_xlfn.ISFORMULA($U94:$FQ94))*ISNUMBER($U$7:$FQ$7)*--(INDEX($U$6:$FQ$6,N(IF({1},COLUMN($U$6:$FQ$6)-COLUMN($T$6)))-MOD(N(IF({1},COLUMN($U$6:$FQ$6)-COLUMN($U$6))),14))="Current Fiscal"))</f>
        <v>0</v>
      </c>
      <c r="R94" s="504">
        <f t="shared" ref="R94" ca="1" si="162">SUMIF($U$6:$FQ$6,"Current Fiscal",AG94:FQ94)</f>
        <v>0</v>
      </c>
      <c r="S94" s="504">
        <f t="shared" ref="S94" ca="1" si="163">SUMIF($U$6:$FQ$6,"Future Fiscal",AG94:FQ94)</f>
        <v>0</v>
      </c>
      <c r="U94" s="504">
        <f ca="1">SUMIFS(CostTrack[[Value]:[Value]],CostTrack[[PA ID]:[PA ID]],$B94,CostTrack[[Vendor - Contract]:[Vendor - Contract]],$H94,CostTrack[[Holdback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94" s="504">
        <f ca="1">SUMIFS(CostTrack[[Value]:[Value]],CostTrack[[PA ID]:[PA ID]],$B94,CostTrack[[Vendor - Contract]:[Vendor - Contract]],$H94,CostTrack[[Holdback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94" s="504">
        <f ca="1">SUMIFS(CostTrack[[Value]:[Value]],CostTrack[[PA ID]:[PA ID]],$B94,CostTrack[[Vendor - Contract]:[Vendor - Contract]],$H94,CostTrack[[Holdback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94" s="504">
        <f ca="1">SUMIFS(CostTrack[[Value]:[Value]],CostTrack[[PA ID]:[PA ID]],$B94,CostTrack[[Vendor - Contract]:[Vendor - Contract]],$H94,CostTrack[[Holdback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94" s="504">
        <f ca="1">SUMIFS(CostTrack[[Value]:[Value]],CostTrack[[PA ID]:[PA ID]],$B94,CostTrack[[Vendor - Contract]:[Vendor - Contract]],$H94,CostTrack[[Holdback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94" s="504">
        <f ca="1">SUMIFS(CostTrack[[Value]:[Value]],CostTrack[[PA ID]:[PA ID]],$B94,CostTrack[[Vendor - Contract]:[Vendor - Contract]],$H94,CostTrack[[Holdback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94" s="504">
        <f ca="1">SUMIFS(CostTrack[[Value]:[Value]],CostTrack[[PA ID]:[PA ID]],$B94,CostTrack[[Vendor - Contract]:[Vendor - Contract]],$H94,CostTrack[[Holdback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94" s="504">
        <f ca="1">SUMIFS(CostTrack[[Value]:[Value]],CostTrack[[PA ID]:[PA ID]],$B94,CostTrack[[Vendor - Contract]:[Vendor - Contract]],$H94,CostTrack[[Holdback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94" s="504">
        <f ca="1">SUMIFS(CostTrack[[Value]:[Value]],CostTrack[[PA ID]:[PA ID]],$B94,CostTrack[[Vendor - Contract]:[Vendor - Contract]],$H94,CostTrack[[Holdback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94" s="504">
        <f ca="1">SUMIFS(CostTrack[[Value]:[Value]],CostTrack[[PA ID]:[PA ID]],$B94,CostTrack[[Vendor - Contract]:[Vendor - Contract]],$H94,CostTrack[[Holdback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94" s="504">
        <f ca="1">SUMIFS(CostTrack[[Value]:[Value]],CostTrack[[PA ID]:[PA ID]],$B94,CostTrack[[Vendor - Contract]:[Vendor - Contract]],$H94,CostTrack[[Holdback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94" s="504">
        <f ca="1">SUMIFS(CostTrack[[Value]:[Value]],CostTrack[[PA ID]:[PA ID]],$B94,CostTrack[[Vendor - Contract]:[Vendor - Contract]],$H94,CostTrack[[Holdback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94" s="506">
        <f t="shared" ref="AG94" ca="1" si="164">SUM(U94:AF94)</f>
        <v>0</v>
      </c>
      <c r="AI94" s="504">
        <f ca="1">SUMIFS(CostTrack[[Value]:[Value]],CostTrack[[PA ID]:[PA ID]],$B94,CostTrack[[Vendor - Contract]:[Vendor - Contract]],$H94,CostTrack[[Holdback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94" s="504">
        <f ca="1">SUMIFS(CostTrack[[Value]:[Value]],CostTrack[[PA ID]:[PA ID]],$B94,CostTrack[[Vendor - Contract]:[Vendor - Contract]],$H94,CostTrack[[Holdback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94" s="504">
        <f ca="1">SUMIFS(CostTrack[[Value]:[Value]],CostTrack[[PA ID]:[PA ID]],$B94,CostTrack[[Vendor - Contract]:[Vendor - Contract]],$H94,CostTrack[[Holdback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94" s="504">
        <f ca="1">SUMIFS(CostTrack[[Value]:[Value]],CostTrack[[PA ID]:[PA ID]],$B94,CostTrack[[Vendor - Contract]:[Vendor - Contract]],$H94,CostTrack[[Holdback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94" s="504">
        <f ca="1">SUMIFS(CostTrack[[Value]:[Value]],CostTrack[[PA ID]:[PA ID]],$B94,CostTrack[[Vendor - Contract]:[Vendor - Contract]],$H94,CostTrack[[Holdback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94" s="504">
        <f ca="1">SUMIFS(CostTrack[[Value]:[Value]],CostTrack[[PA ID]:[PA ID]],$B94,CostTrack[[Vendor - Contract]:[Vendor - Contract]],$H94,CostTrack[[Holdback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94" s="504">
        <f ca="1">SUMIFS(CostTrack[[Value]:[Value]],CostTrack[[PA ID]:[PA ID]],$B94,CostTrack[[Vendor - Contract]:[Vendor - Contract]],$H94,CostTrack[[Holdback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94" s="504">
        <f ca="1">SUMIFS(CostTrack[[Value]:[Value]],CostTrack[[PA ID]:[PA ID]],$B94,CostTrack[[Vendor - Contract]:[Vendor - Contract]],$H94,CostTrack[[Holdback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94" s="504">
        <f ca="1">SUMIFS(CostTrack[[Value]:[Value]],CostTrack[[PA ID]:[PA ID]],$B94,CostTrack[[Vendor - Contract]:[Vendor - Contract]],$H94,CostTrack[[Holdback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94" s="504">
        <f ca="1">SUMIFS(CostTrack[[Value]:[Value]],CostTrack[[PA ID]:[PA ID]],$B94,CostTrack[[Vendor - Contract]:[Vendor - Contract]],$H94,CostTrack[[Holdback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94" s="504">
        <f ca="1">SUMIFS(CostTrack[[Value]:[Value]],CostTrack[[PA ID]:[PA ID]],$B94,CostTrack[[Vendor - Contract]:[Vendor - Contract]],$H94,CostTrack[[Holdback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94" s="504">
        <f ca="1">SUMIFS(CostTrack[[Value]:[Value]],CostTrack[[PA ID]:[PA ID]],$B94,CostTrack[[Vendor - Contract]:[Vendor - Contract]],$H94,CostTrack[[Holdback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94" s="512">
        <f t="shared" ref="AU94:AU97" ca="1" si="165">SUM(AI94:AT94)</f>
        <v>0</v>
      </c>
      <c r="AW94" s="504">
        <f ca="1">SUMIFS(CostTrack[[Value]:[Value]],CostTrack[[PA ID]:[PA ID]],$B94,CostTrack[[Vendor - Contract]:[Vendor - Contract]],$H94,CostTrack[[Holdback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94" s="504">
        <f ca="1">SUMIFS(CostTrack[[Value]:[Value]],CostTrack[[PA ID]:[PA ID]],$B94,CostTrack[[Vendor - Contract]:[Vendor - Contract]],$H94,CostTrack[[Holdback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94" s="504">
        <f ca="1">SUMIFS(CostTrack[[Value]:[Value]],CostTrack[[PA ID]:[PA ID]],$B94,CostTrack[[Vendor - Contract]:[Vendor - Contract]],$H94,CostTrack[[Holdback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94" s="504">
        <f ca="1">SUMIFS(CostTrack[[Value]:[Value]],CostTrack[[PA ID]:[PA ID]],$B94,CostTrack[[Vendor - Contract]:[Vendor - Contract]],$H94,CostTrack[[Holdback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94" s="504">
        <f ca="1">SUMIFS(CostTrack[[Value]:[Value]],CostTrack[[PA ID]:[PA ID]],$B94,CostTrack[[Vendor - Contract]:[Vendor - Contract]],$H94,CostTrack[[Holdback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94" s="504">
        <f ca="1">SUMIFS(CostTrack[[Value]:[Value]],CostTrack[[PA ID]:[PA ID]],$B94,CostTrack[[Vendor - Contract]:[Vendor - Contract]],$H94,CostTrack[[Holdback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94" s="504">
        <f ca="1">SUMIFS(CostTrack[[Value]:[Value]],CostTrack[[PA ID]:[PA ID]],$B94,CostTrack[[Vendor - Contract]:[Vendor - Contract]],$H94,CostTrack[[Holdback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94" s="504">
        <f ca="1">SUMIFS(CostTrack[[Value]:[Value]],CostTrack[[PA ID]:[PA ID]],$B94,CostTrack[[Vendor - Contract]:[Vendor - Contract]],$H94,CostTrack[[Holdback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94" s="504">
        <f ca="1">SUMIFS(CostTrack[[Value]:[Value]],CostTrack[[PA ID]:[PA ID]],$B94,CostTrack[[Vendor - Contract]:[Vendor - Contract]],$H94,CostTrack[[Holdback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94" s="504">
        <f ca="1">SUMIFS(CostTrack[[Value]:[Value]],CostTrack[[PA ID]:[PA ID]],$B94,CostTrack[[Vendor - Contract]:[Vendor - Contract]],$H94,CostTrack[[Holdback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94" s="504">
        <f ca="1">SUMIFS(CostTrack[[Value]:[Value]],CostTrack[[PA ID]:[PA ID]],$B94,CostTrack[[Vendor - Contract]:[Vendor - Contract]],$H94,CostTrack[[Holdback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94" s="504">
        <f ca="1">SUMIFS(CostTrack[[Value]:[Value]],CostTrack[[PA ID]:[PA ID]],$B94,CostTrack[[Vendor - Contract]:[Vendor - Contract]],$H94,CostTrack[[Holdback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94" s="512">
        <f t="shared" ref="BI94:BI97" ca="1" si="166">SUM(AW94:BH94)</f>
        <v>0</v>
      </c>
      <c r="BK94" s="504">
        <f ca="1">SUMIFS(CostTrack[[Value]:[Value]],CostTrack[[PA ID]:[PA ID]],$B94,CostTrack[[Vendor - Contract]:[Vendor - Contract]],$H94,CostTrack[[Holdback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94" s="504">
        <f ca="1">SUMIFS(CostTrack[[Value]:[Value]],CostTrack[[PA ID]:[PA ID]],$B94,CostTrack[[Vendor - Contract]:[Vendor - Contract]],$H94,CostTrack[[Holdback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94" s="504">
        <f ca="1">SUMIFS(CostTrack[[Value]:[Value]],CostTrack[[PA ID]:[PA ID]],$B94,CostTrack[[Vendor - Contract]:[Vendor - Contract]],$H94,CostTrack[[Holdback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94" s="504">
        <f ca="1">SUMIFS(CostTrack[[Value]:[Value]],CostTrack[[PA ID]:[PA ID]],$B94,CostTrack[[Vendor - Contract]:[Vendor - Contract]],$H94,CostTrack[[Holdback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94" s="504">
        <f ca="1">SUMIFS(CostTrack[[Value]:[Value]],CostTrack[[PA ID]:[PA ID]],$B94,CostTrack[[Vendor - Contract]:[Vendor - Contract]],$H94,CostTrack[[Holdback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94" s="504">
        <f ca="1">SUMIFS(CostTrack[[Value]:[Value]],CostTrack[[PA ID]:[PA ID]],$B94,CostTrack[[Vendor - Contract]:[Vendor - Contract]],$H94,CostTrack[[Holdback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94" s="504">
        <f ca="1">SUMIFS(CostTrack[[Value]:[Value]],CostTrack[[PA ID]:[PA ID]],$B94,CostTrack[[Vendor - Contract]:[Vendor - Contract]],$H94,CostTrack[[Holdback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94" s="504">
        <f ca="1">SUMIFS(CostTrack[[Value]:[Value]],CostTrack[[PA ID]:[PA ID]],$B94,CostTrack[[Vendor - Contract]:[Vendor - Contract]],$H94,CostTrack[[Holdback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94" s="504">
        <f ca="1">SUMIFS(CostTrack[[Value]:[Value]],CostTrack[[PA ID]:[PA ID]],$B94,CostTrack[[Vendor - Contract]:[Vendor - Contract]],$H94,CostTrack[[Holdback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94" s="504">
        <f ca="1">SUMIFS(CostTrack[[Value]:[Value]],CostTrack[[PA ID]:[PA ID]],$B94,CostTrack[[Vendor - Contract]:[Vendor - Contract]],$H94,CostTrack[[Holdback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94" s="504">
        <f ca="1">SUMIFS(CostTrack[[Value]:[Value]],CostTrack[[PA ID]:[PA ID]],$B94,CostTrack[[Vendor - Contract]:[Vendor - Contract]],$H94,CostTrack[[Holdback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94" s="504">
        <f ca="1">SUMIFS(CostTrack[[Value]:[Value]],CostTrack[[PA ID]:[PA ID]],$B94,CostTrack[[Vendor - Contract]:[Vendor - Contract]],$H94,CostTrack[[Holdback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94" s="512">
        <f t="shared" ref="BW94:BW97" ca="1" si="167">SUM(BK94:BV94)</f>
        <v>0</v>
      </c>
      <c r="BY94" s="504">
        <f ca="1">SUMIFS(CostTrack[[Value]:[Value]],CostTrack[[PA ID]:[PA ID]],$B94,CostTrack[[Vendor - Contract]:[Vendor - Contract]],$H94,CostTrack[[Holdback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94" s="504">
        <f ca="1">SUMIFS(CostTrack[[Value]:[Value]],CostTrack[[PA ID]:[PA ID]],$B94,CostTrack[[Vendor - Contract]:[Vendor - Contract]],$H94,CostTrack[[Holdback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94" s="504">
        <f ca="1">SUMIFS(CostTrack[[Value]:[Value]],CostTrack[[PA ID]:[PA ID]],$B94,CostTrack[[Vendor - Contract]:[Vendor - Contract]],$H94,CostTrack[[Holdback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94" s="504">
        <f ca="1">SUMIFS(CostTrack[[Value]:[Value]],CostTrack[[PA ID]:[PA ID]],$B94,CostTrack[[Vendor - Contract]:[Vendor - Contract]],$H94,CostTrack[[Holdback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94" s="504">
        <f ca="1">SUMIFS(CostTrack[[Value]:[Value]],CostTrack[[PA ID]:[PA ID]],$B94,CostTrack[[Vendor - Contract]:[Vendor - Contract]],$H94,CostTrack[[Holdback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94" s="504">
        <f ca="1">SUMIFS(CostTrack[[Value]:[Value]],CostTrack[[PA ID]:[PA ID]],$B94,CostTrack[[Vendor - Contract]:[Vendor - Contract]],$H94,CostTrack[[Holdback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94" s="504">
        <f ca="1">SUMIFS(CostTrack[[Value]:[Value]],CostTrack[[PA ID]:[PA ID]],$B94,CostTrack[[Vendor - Contract]:[Vendor - Contract]],$H94,CostTrack[[Holdback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94" s="504">
        <f ca="1">SUMIFS(CostTrack[[Value]:[Value]],CostTrack[[PA ID]:[PA ID]],$B94,CostTrack[[Vendor - Contract]:[Vendor - Contract]],$H94,CostTrack[[Holdback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94" s="504">
        <f ca="1">SUMIFS(CostTrack[[Value]:[Value]],CostTrack[[PA ID]:[PA ID]],$B94,CostTrack[[Vendor - Contract]:[Vendor - Contract]],$H94,CostTrack[[Holdback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94" s="504">
        <f ca="1">SUMIFS(CostTrack[[Value]:[Value]],CostTrack[[PA ID]:[PA ID]],$B94,CostTrack[[Vendor - Contract]:[Vendor - Contract]],$H94,CostTrack[[Holdback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94" s="504">
        <f ca="1">SUMIFS(CostTrack[[Value]:[Value]],CostTrack[[PA ID]:[PA ID]],$B94,CostTrack[[Vendor - Contract]:[Vendor - Contract]],$H94,CostTrack[[Holdback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94" s="504">
        <f ca="1">SUMIFS(CostTrack[[Value]:[Value]],CostTrack[[PA ID]:[PA ID]],$B94,CostTrack[[Vendor - Contract]:[Vendor - Contract]],$H94,CostTrack[[Holdback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94" s="512">
        <f t="shared" ref="CK94:CK97" ca="1" si="168">SUM(BY94:CJ94)</f>
        <v>0</v>
      </c>
      <c r="CM94" s="504">
        <f ca="1">SUMIFS(CostTrack[[Value]:[Value]],CostTrack[[PA ID]:[PA ID]],$B94,CostTrack[[Vendor - Contract]:[Vendor - Contract]],$H94,CostTrack[[Holdback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94" s="504">
        <f ca="1">SUMIFS(CostTrack[[Value]:[Value]],CostTrack[[PA ID]:[PA ID]],$B94,CostTrack[[Vendor - Contract]:[Vendor - Contract]],$H94,CostTrack[[Holdback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94" s="504">
        <f ca="1">SUMIFS(CostTrack[[Value]:[Value]],CostTrack[[PA ID]:[PA ID]],$B94,CostTrack[[Vendor - Contract]:[Vendor - Contract]],$H94,CostTrack[[Holdback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94" s="504">
        <f ca="1">SUMIFS(CostTrack[[Value]:[Value]],CostTrack[[PA ID]:[PA ID]],$B94,CostTrack[[Vendor - Contract]:[Vendor - Contract]],$H94,CostTrack[[Holdback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94" s="504">
        <f ca="1">SUMIFS(CostTrack[[Value]:[Value]],CostTrack[[PA ID]:[PA ID]],$B94,CostTrack[[Vendor - Contract]:[Vendor - Contract]],$H94,CostTrack[[Holdback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94" s="504">
        <f ca="1">SUMIFS(CostTrack[[Value]:[Value]],CostTrack[[PA ID]:[PA ID]],$B94,CostTrack[[Vendor - Contract]:[Vendor - Contract]],$H94,CostTrack[[Holdback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94" s="504">
        <f ca="1">SUMIFS(CostTrack[[Value]:[Value]],CostTrack[[PA ID]:[PA ID]],$B94,CostTrack[[Vendor - Contract]:[Vendor - Contract]],$H94,CostTrack[[Holdback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94" s="504">
        <f ca="1">SUMIFS(CostTrack[[Value]:[Value]],CostTrack[[PA ID]:[PA ID]],$B94,CostTrack[[Vendor - Contract]:[Vendor - Contract]],$H94,CostTrack[[Holdback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94" s="504">
        <f ca="1">SUMIFS(CostTrack[[Value]:[Value]],CostTrack[[PA ID]:[PA ID]],$B94,CostTrack[[Vendor - Contract]:[Vendor - Contract]],$H94,CostTrack[[Holdback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94" s="504">
        <f ca="1">SUMIFS(CostTrack[[Value]:[Value]],CostTrack[[PA ID]:[PA ID]],$B94,CostTrack[[Vendor - Contract]:[Vendor - Contract]],$H94,CostTrack[[Holdback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94" s="504">
        <f ca="1">SUMIFS(CostTrack[[Value]:[Value]],CostTrack[[PA ID]:[PA ID]],$B94,CostTrack[[Vendor - Contract]:[Vendor - Contract]],$H94,CostTrack[[Holdback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94" s="504">
        <f ca="1">SUMIFS(CostTrack[[Value]:[Value]],CostTrack[[PA ID]:[PA ID]],$B94,CostTrack[[Vendor - Contract]:[Vendor - Contract]],$H94,CostTrack[[Holdback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94" s="512">
        <f t="shared" ref="CY94" ca="1" si="169">SUM(CM94:CX94)</f>
        <v>0</v>
      </c>
      <c r="DA94" s="504">
        <f ca="1">SUMIFS(CostTrack[[Value]:[Value]],CostTrack[[PA ID]:[PA ID]],$B94,CostTrack[[Vendor - Contract]:[Vendor - Contract]],$H94,CostTrack[[Holdback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94" s="504">
        <f ca="1">SUMIFS(CostTrack[[Value]:[Value]],CostTrack[[PA ID]:[PA ID]],$B94,CostTrack[[Vendor - Contract]:[Vendor - Contract]],$H94,CostTrack[[Holdback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94" s="504">
        <f ca="1">SUMIFS(CostTrack[[Value]:[Value]],CostTrack[[PA ID]:[PA ID]],$B94,CostTrack[[Vendor - Contract]:[Vendor - Contract]],$H94,CostTrack[[Holdback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94" s="504">
        <f ca="1">SUMIFS(CostTrack[[Value]:[Value]],CostTrack[[PA ID]:[PA ID]],$B94,CostTrack[[Vendor - Contract]:[Vendor - Contract]],$H94,CostTrack[[Holdback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94" s="504">
        <f ca="1">SUMIFS(CostTrack[[Value]:[Value]],CostTrack[[PA ID]:[PA ID]],$B94,CostTrack[[Vendor - Contract]:[Vendor - Contract]],$H94,CostTrack[[Holdback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94" s="504">
        <f ca="1">SUMIFS(CostTrack[[Value]:[Value]],CostTrack[[PA ID]:[PA ID]],$B94,CostTrack[[Vendor - Contract]:[Vendor - Contract]],$H94,CostTrack[[Holdback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94" s="504">
        <f ca="1">SUMIFS(CostTrack[[Value]:[Value]],CostTrack[[PA ID]:[PA ID]],$B94,CostTrack[[Vendor - Contract]:[Vendor - Contract]],$H94,CostTrack[[Holdback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94" s="504">
        <f ca="1">SUMIFS(CostTrack[[Value]:[Value]],CostTrack[[PA ID]:[PA ID]],$B94,CostTrack[[Vendor - Contract]:[Vendor - Contract]],$H94,CostTrack[[Holdback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94" s="504">
        <f ca="1">SUMIFS(CostTrack[[Value]:[Value]],CostTrack[[PA ID]:[PA ID]],$B94,CostTrack[[Vendor - Contract]:[Vendor - Contract]],$H94,CostTrack[[Holdback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94" s="504">
        <f ca="1">SUMIFS(CostTrack[[Value]:[Value]],CostTrack[[PA ID]:[PA ID]],$B94,CostTrack[[Vendor - Contract]:[Vendor - Contract]],$H94,CostTrack[[Holdback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94" s="504">
        <f ca="1">SUMIFS(CostTrack[[Value]:[Value]],CostTrack[[PA ID]:[PA ID]],$B94,CostTrack[[Vendor - Contract]:[Vendor - Contract]],$H94,CostTrack[[Holdback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94" s="504">
        <f ca="1">SUMIFS(CostTrack[[Value]:[Value]],CostTrack[[PA ID]:[PA ID]],$B94,CostTrack[[Vendor - Contract]:[Vendor - Contract]],$H94,CostTrack[[Holdback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140694.82</v>
      </c>
      <c r="DM94" s="512">
        <f ca="1">SUM(DA94:DL94)</f>
        <v>140694.82</v>
      </c>
      <c r="DO94" s="504">
        <f ca="1">SUMIFS(CostTrack[[Value]:[Value]],CostTrack[[PA ID]:[PA ID]],$B94,CostTrack[[Vendor - Contract]:[Vendor - Contract]],$H94,CostTrack[[Holdback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94" s="504">
        <f ca="1">SUMIFS(CostTrack[[Value]:[Value]],CostTrack[[PA ID]:[PA ID]],$B94,CostTrack[[Vendor - Contract]:[Vendor - Contract]],$H94,CostTrack[[Holdback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94" s="504">
        <f ca="1">SUMIFS(CostTrack[[Value]:[Value]],CostTrack[[PA ID]:[PA ID]],$B94,CostTrack[[Vendor - Contract]:[Vendor - Contract]],$H94,CostTrack[[Holdback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94" s="504">
        <f ca="1">SUMIFS(CostTrack[[Value]:[Value]],CostTrack[[PA ID]:[PA ID]],$B94,CostTrack[[Vendor - Contract]:[Vendor - Contract]],$H94,CostTrack[[Holdback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94" s="504">
        <f ca="1">SUMIFS(CostTrack[[Value]:[Value]],CostTrack[[PA ID]:[PA ID]],$B94,CostTrack[[Vendor - Contract]:[Vendor - Contract]],$H94,CostTrack[[Holdback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94" s="504">
        <f ca="1">SUMIFS(CostTrack[[Value]:[Value]],CostTrack[[PA ID]:[PA ID]],$B94,CostTrack[[Vendor - Contract]:[Vendor - Contract]],$H94,CostTrack[[Holdback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94" s="504">
        <f ca="1">SUMIFS(CostTrack[[Value]:[Value]],CostTrack[[PA ID]:[PA ID]],$B94,CostTrack[[Vendor - Contract]:[Vendor - Contract]],$H94,CostTrack[[Holdback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94" s="504">
        <f ca="1">SUMIFS(CostTrack[[Value]:[Value]],CostTrack[[PA ID]:[PA ID]],$B94,CostTrack[[Vendor - Contract]:[Vendor - Contract]],$H94,CostTrack[[Holdback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94" s="504">
        <f ca="1">SUMIFS(CostTrack[[Value]:[Value]],CostTrack[[PA ID]:[PA ID]],$B94,CostTrack[[Vendor - Contract]:[Vendor - Contract]],$H94,CostTrack[[Holdback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94" s="504">
        <f ca="1">SUMIFS(CostTrack[[Value]:[Value]],CostTrack[[PA ID]:[PA ID]],$B94,CostTrack[[Vendor - Contract]:[Vendor - Contract]],$H94,CostTrack[[Holdback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94" s="504">
        <f ca="1">SUMIFS(CostTrack[[Value]:[Value]],CostTrack[[PA ID]:[PA ID]],$B94,CostTrack[[Vendor - Contract]:[Vendor - Contract]],$H94,CostTrack[[Holdback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94" s="504">
        <f ca="1">SUMIFS(CostTrack[[Value]:[Value]],CostTrack[[PA ID]:[PA ID]],$B94,CostTrack[[Vendor - Contract]:[Vendor - Contract]],$H94,CostTrack[[Holdback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94" s="512">
        <f t="shared" ref="EA94:EA97" ca="1" si="170">SUM(DO94:DZ94)</f>
        <v>0</v>
      </c>
      <c r="EC94" s="504">
        <f ca="1">SUMIFS(CostTrack[[Value]:[Value]],CostTrack[[PA ID]:[PA ID]],$B94,CostTrack[[Vendor - Contract]:[Vendor - Contract]],$H94,CostTrack[[Holdback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94" s="505"/>
      <c r="EE94" s="505"/>
      <c r="EF94" s="505"/>
      <c r="EG94" s="505"/>
      <c r="EH94" s="505"/>
      <c r="EI94" s="505"/>
      <c r="EJ94" s="505"/>
      <c r="EK94" s="505"/>
      <c r="EL94" s="505"/>
      <c r="EM94" s="505"/>
      <c r="EN94" s="505"/>
      <c r="EO94" s="512">
        <f t="shared" ref="EO94:EO97" ca="1" si="171">SUM(EC94:EN94)</f>
        <v>0</v>
      </c>
      <c r="EQ94" s="505"/>
      <c r="ER94" s="505"/>
      <c r="ES94" s="505"/>
      <c r="ET94" s="505"/>
      <c r="EU94" s="505"/>
      <c r="EV94" s="505"/>
      <c r="EW94" s="505"/>
      <c r="EX94" s="505"/>
      <c r="EY94" s="505"/>
      <c r="EZ94" s="505"/>
      <c r="FA94" s="505"/>
      <c r="FB94" s="505"/>
      <c r="FC94" s="512">
        <f t="shared" si="158"/>
        <v>0</v>
      </c>
      <c r="FE94" s="505"/>
      <c r="FF94" s="505"/>
      <c r="FG94" s="505"/>
      <c r="FH94" s="505"/>
      <c r="FI94" s="505"/>
      <c r="FJ94" s="505"/>
      <c r="FK94" s="505"/>
      <c r="FL94" s="505"/>
      <c r="FM94" s="505"/>
      <c r="FN94" s="505"/>
      <c r="FO94" s="505"/>
      <c r="FP94" s="505"/>
      <c r="FQ94" s="512">
        <f t="shared" si="159"/>
        <v>0</v>
      </c>
      <c r="FS94" s="504">
        <f t="shared" ref="FS94:FS97" ca="1" si="172">AG94+AU94+BI94+BW94+CK94+CY94+DM94+EA94+EO94+FC94+FQ94</f>
        <v>140694.82</v>
      </c>
    </row>
    <row r="95" spans="1:175">
      <c r="A95" s="216">
        <v>88</v>
      </c>
      <c r="B95" s="219" t="str">
        <f ca="1">INDEX(EAC[PA ID],MATCH($A95,EAC[Row],0))</f>
        <v>400.010.F1</v>
      </c>
      <c r="C95" s="218" t="str">
        <f ca="1">INDEX(EAC[Primary Category],MATCH($A95,EAC[Row],0))</f>
        <v>FE_IT</v>
      </c>
      <c r="D95" s="218" t="str">
        <f ca="1">INDEX(EAC[Secondary Category],MATCH($A95,EAC[Row],0))</f>
        <v>Furniture &amp; Equipment</v>
      </c>
      <c r="E95" s="109" t="str">
        <f ca="1">INDEX(EAC[Phase / Subproject],MATCH($A95,EAC[Row],0))</f>
        <v>--</v>
      </c>
      <c r="F95" s="109" t="str">
        <f ca="1">INDEX(EAC[Phase / Subproject 2],MATCH($A95,EAC[Row],0))</f>
        <v>--</v>
      </c>
      <c r="G95" s="109" t="str">
        <f ca="1">INDEX(EAC[Funding Source],MATCH($A95,EAC[Row],0))</f>
        <v>P-002360</v>
      </c>
      <c r="H95" s="146" t="str">
        <f ca="1">INDEX(EAC[Vendor / Org. with Contract ID],MATCH($A95,EAC[Row],0))</f>
        <v>Aurora Flags-Direct Pay</v>
      </c>
      <c r="I95" s="502">
        <f ca="1">INDEX(EAC[Estimate At Completion],MATCH($A95,EAC[Row],0))</f>
        <v>6054</v>
      </c>
      <c r="J95" s="502">
        <f ca="1">SUMIFS(CostTrack[Value],CostTrack[Vendor - Contract],$H95,CostTrack[PA ID],$B95,CostTrack[Holdback (Y/N/R)],"&lt;&gt;Release",CostTrack[Status],"Approved")</f>
        <v>6054</v>
      </c>
      <c r="K95" s="503">
        <f t="shared" ref="K95:K97" ca="1" si="173">IFERROR(I95-J95,"")</f>
        <v>0</v>
      </c>
      <c r="M95" s="504">
        <f t="shared" ca="1" si="160"/>
        <v>0</v>
      </c>
      <c r="O95" s="504">
        <f t="shared" ca="1" si="161"/>
        <v>6054</v>
      </c>
      <c r="P95" s="504">
        <f t="array" aca="1" ref="P95" ca="1">SUM($U95:$FQ95*_xlfn.ISFORMULA($U95:$FQ95)*ISNUMBER($U$7:$FQ$7)*--(INDEX($U$6:$FQ$6,N(IF({1},COLUMN($U$6:$FQ$6)-COLUMN($T$6)))-MOD(N(IF({1},COLUMN($U$6:$FQ$6)-COLUMN($U$6))),14))="Current Fiscal"))</f>
        <v>0</v>
      </c>
      <c r="Q95" s="504">
        <f t="array" aca="1" ref="Q95" ca="1">SUM($U95:$FQ95*NOT(_xlfn.ISFORMULA($U95:$FQ95))*ISNUMBER($U$7:$FQ$7)*--(INDEX($U$6:$FQ$6,N(IF({1},COLUMN($U$6:$FQ$6)-COLUMN($T$6)))-MOD(N(IF({1},COLUMN($U$6:$FQ$6)-COLUMN($U$6))),14))="Current Fiscal"))</f>
        <v>0</v>
      </c>
      <c r="R95" s="504">
        <f t="shared" ref="R95:R97" ca="1" si="174">SUMIF($U$6:$FQ$6,"Current Fiscal",AG95:FQ95)</f>
        <v>0</v>
      </c>
      <c r="S95" s="504">
        <f t="shared" ref="S95:S97" ca="1" si="175">SUMIF($U$6:$FQ$6,"Future Fiscal",AG95:FQ95)</f>
        <v>0</v>
      </c>
      <c r="U95" s="504">
        <f ca="1">SUMIFS(CostTrack[[Value]:[Value]],CostTrack[[PA ID]:[PA ID]],$B95,CostTrack[[Vendor - Contract]:[Vendor - Contract]],$H95,CostTrack[[Holdback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95" s="504">
        <f ca="1">SUMIFS(CostTrack[[Value]:[Value]],CostTrack[[PA ID]:[PA ID]],$B95,CostTrack[[Vendor - Contract]:[Vendor - Contract]],$H95,CostTrack[[Holdback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95" s="504">
        <f ca="1">SUMIFS(CostTrack[[Value]:[Value]],CostTrack[[PA ID]:[PA ID]],$B95,CostTrack[[Vendor - Contract]:[Vendor - Contract]],$H95,CostTrack[[Holdback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95" s="504">
        <f ca="1">SUMIFS(CostTrack[[Value]:[Value]],CostTrack[[PA ID]:[PA ID]],$B95,CostTrack[[Vendor - Contract]:[Vendor - Contract]],$H95,CostTrack[[Holdback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95" s="504">
        <f ca="1">SUMIFS(CostTrack[[Value]:[Value]],CostTrack[[PA ID]:[PA ID]],$B95,CostTrack[[Vendor - Contract]:[Vendor - Contract]],$H95,CostTrack[[Holdback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95" s="504">
        <f ca="1">SUMIFS(CostTrack[[Value]:[Value]],CostTrack[[PA ID]:[PA ID]],$B95,CostTrack[[Vendor - Contract]:[Vendor - Contract]],$H95,CostTrack[[Holdback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95" s="504">
        <f ca="1">SUMIFS(CostTrack[[Value]:[Value]],CostTrack[[PA ID]:[PA ID]],$B95,CostTrack[[Vendor - Contract]:[Vendor - Contract]],$H95,CostTrack[[Holdback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95" s="504">
        <f ca="1">SUMIFS(CostTrack[[Value]:[Value]],CostTrack[[PA ID]:[PA ID]],$B95,CostTrack[[Vendor - Contract]:[Vendor - Contract]],$H95,CostTrack[[Holdback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95" s="504">
        <f ca="1">SUMIFS(CostTrack[[Value]:[Value]],CostTrack[[PA ID]:[PA ID]],$B95,CostTrack[[Vendor - Contract]:[Vendor - Contract]],$H95,CostTrack[[Holdback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95" s="504">
        <f ca="1">SUMIFS(CostTrack[[Value]:[Value]],CostTrack[[PA ID]:[PA ID]],$B95,CostTrack[[Vendor - Contract]:[Vendor - Contract]],$H95,CostTrack[[Holdback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95" s="504">
        <f ca="1">SUMIFS(CostTrack[[Value]:[Value]],CostTrack[[PA ID]:[PA ID]],$B95,CostTrack[[Vendor - Contract]:[Vendor - Contract]],$H95,CostTrack[[Holdback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95" s="504">
        <f ca="1">SUMIFS(CostTrack[[Value]:[Value]],CostTrack[[PA ID]:[PA ID]],$B95,CostTrack[[Vendor - Contract]:[Vendor - Contract]],$H95,CostTrack[[Holdback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95" s="506">
        <f t="shared" ref="AG95:AG97" ca="1" si="176">SUM(U95:AF95)</f>
        <v>0</v>
      </c>
      <c r="AI95" s="504">
        <f ca="1">SUMIFS(CostTrack[[Value]:[Value]],CostTrack[[PA ID]:[PA ID]],$B95,CostTrack[[Vendor - Contract]:[Vendor - Contract]],$H95,CostTrack[[Holdback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95" s="504">
        <f ca="1">SUMIFS(CostTrack[[Value]:[Value]],CostTrack[[PA ID]:[PA ID]],$B95,CostTrack[[Vendor - Contract]:[Vendor - Contract]],$H95,CostTrack[[Holdback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95" s="504">
        <f ca="1">SUMIFS(CostTrack[[Value]:[Value]],CostTrack[[PA ID]:[PA ID]],$B95,CostTrack[[Vendor - Contract]:[Vendor - Contract]],$H95,CostTrack[[Holdback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95" s="504">
        <f ca="1">SUMIFS(CostTrack[[Value]:[Value]],CostTrack[[PA ID]:[PA ID]],$B95,CostTrack[[Vendor - Contract]:[Vendor - Contract]],$H95,CostTrack[[Holdback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95" s="504">
        <f ca="1">SUMIFS(CostTrack[[Value]:[Value]],CostTrack[[PA ID]:[PA ID]],$B95,CostTrack[[Vendor - Contract]:[Vendor - Contract]],$H95,CostTrack[[Holdback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95" s="504">
        <f ca="1">SUMIFS(CostTrack[[Value]:[Value]],CostTrack[[PA ID]:[PA ID]],$B95,CostTrack[[Vendor - Contract]:[Vendor - Contract]],$H95,CostTrack[[Holdback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95" s="504">
        <f ca="1">SUMIFS(CostTrack[[Value]:[Value]],CostTrack[[PA ID]:[PA ID]],$B95,CostTrack[[Vendor - Contract]:[Vendor - Contract]],$H95,CostTrack[[Holdback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95" s="504">
        <f ca="1">SUMIFS(CostTrack[[Value]:[Value]],CostTrack[[PA ID]:[PA ID]],$B95,CostTrack[[Vendor - Contract]:[Vendor - Contract]],$H95,CostTrack[[Holdback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95" s="504">
        <f ca="1">SUMIFS(CostTrack[[Value]:[Value]],CostTrack[[PA ID]:[PA ID]],$B95,CostTrack[[Vendor - Contract]:[Vendor - Contract]],$H95,CostTrack[[Holdback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95" s="504">
        <f ca="1">SUMIFS(CostTrack[[Value]:[Value]],CostTrack[[PA ID]:[PA ID]],$B95,CostTrack[[Vendor - Contract]:[Vendor - Contract]],$H95,CostTrack[[Holdback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95" s="504">
        <f ca="1">SUMIFS(CostTrack[[Value]:[Value]],CostTrack[[PA ID]:[PA ID]],$B95,CostTrack[[Vendor - Contract]:[Vendor - Contract]],$H95,CostTrack[[Holdback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95" s="504">
        <f ca="1">SUMIFS(CostTrack[[Value]:[Value]],CostTrack[[PA ID]:[PA ID]],$B95,CostTrack[[Vendor - Contract]:[Vendor - Contract]],$H95,CostTrack[[Holdback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95" s="512">
        <f t="shared" ca="1" si="165"/>
        <v>0</v>
      </c>
      <c r="AW95" s="504">
        <f ca="1">SUMIFS(CostTrack[[Value]:[Value]],CostTrack[[PA ID]:[PA ID]],$B95,CostTrack[[Vendor - Contract]:[Vendor - Contract]],$H95,CostTrack[[Holdback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95" s="504">
        <f ca="1">SUMIFS(CostTrack[[Value]:[Value]],CostTrack[[PA ID]:[PA ID]],$B95,CostTrack[[Vendor - Contract]:[Vendor - Contract]],$H95,CostTrack[[Holdback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95" s="504">
        <f ca="1">SUMIFS(CostTrack[[Value]:[Value]],CostTrack[[PA ID]:[PA ID]],$B95,CostTrack[[Vendor - Contract]:[Vendor - Contract]],$H95,CostTrack[[Holdback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95" s="504">
        <f ca="1">SUMIFS(CostTrack[[Value]:[Value]],CostTrack[[PA ID]:[PA ID]],$B95,CostTrack[[Vendor - Contract]:[Vendor - Contract]],$H95,CostTrack[[Holdback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95" s="504">
        <f ca="1">SUMIFS(CostTrack[[Value]:[Value]],CostTrack[[PA ID]:[PA ID]],$B95,CostTrack[[Vendor - Contract]:[Vendor - Contract]],$H95,CostTrack[[Holdback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95" s="504">
        <f ca="1">SUMIFS(CostTrack[[Value]:[Value]],CostTrack[[PA ID]:[PA ID]],$B95,CostTrack[[Vendor - Contract]:[Vendor - Contract]],$H95,CostTrack[[Holdback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95" s="504">
        <f ca="1">SUMIFS(CostTrack[[Value]:[Value]],CostTrack[[PA ID]:[PA ID]],$B95,CostTrack[[Vendor - Contract]:[Vendor - Contract]],$H95,CostTrack[[Holdback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95" s="504">
        <f ca="1">SUMIFS(CostTrack[[Value]:[Value]],CostTrack[[PA ID]:[PA ID]],$B95,CostTrack[[Vendor - Contract]:[Vendor - Contract]],$H95,CostTrack[[Holdback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95" s="504">
        <f ca="1">SUMIFS(CostTrack[[Value]:[Value]],CostTrack[[PA ID]:[PA ID]],$B95,CostTrack[[Vendor - Contract]:[Vendor - Contract]],$H95,CostTrack[[Holdback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95" s="504">
        <f ca="1">SUMIFS(CostTrack[[Value]:[Value]],CostTrack[[PA ID]:[PA ID]],$B95,CostTrack[[Vendor - Contract]:[Vendor - Contract]],$H95,CostTrack[[Holdback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95" s="504">
        <f ca="1">SUMIFS(CostTrack[[Value]:[Value]],CostTrack[[PA ID]:[PA ID]],$B95,CostTrack[[Vendor - Contract]:[Vendor - Contract]],$H95,CostTrack[[Holdback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95" s="504">
        <f ca="1">SUMIFS(CostTrack[[Value]:[Value]],CostTrack[[PA ID]:[PA ID]],$B95,CostTrack[[Vendor - Contract]:[Vendor - Contract]],$H95,CostTrack[[Holdback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95" s="512">
        <f t="shared" ca="1" si="166"/>
        <v>0</v>
      </c>
      <c r="BK95" s="504">
        <f ca="1">SUMIFS(CostTrack[[Value]:[Value]],CostTrack[[PA ID]:[PA ID]],$B95,CostTrack[[Vendor - Contract]:[Vendor - Contract]],$H95,CostTrack[[Holdback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95" s="504">
        <f ca="1">SUMIFS(CostTrack[[Value]:[Value]],CostTrack[[PA ID]:[PA ID]],$B95,CostTrack[[Vendor - Contract]:[Vendor - Contract]],$H95,CostTrack[[Holdback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95" s="504">
        <f ca="1">SUMIFS(CostTrack[[Value]:[Value]],CostTrack[[PA ID]:[PA ID]],$B95,CostTrack[[Vendor - Contract]:[Vendor - Contract]],$H95,CostTrack[[Holdback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95" s="504">
        <f ca="1">SUMIFS(CostTrack[[Value]:[Value]],CostTrack[[PA ID]:[PA ID]],$B95,CostTrack[[Vendor - Contract]:[Vendor - Contract]],$H95,CostTrack[[Holdback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95" s="504">
        <f ca="1">SUMIFS(CostTrack[[Value]:[Value]],CostTrack[[PA ID]:[PA ID]],$B95,CostTrack[[Vendor - Contract]:[Vendor - Contract]],$H95,CostTrack[[Holdback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95" s="504">
        <f ca="1">SUMIFS(CostTrack[[Value]:[Value]],CostTrack[[PA ID]:[PA ID]],$B95,CostTrack[[Vendor - Contract]:[Vendor - Contract]],$H95,CostTrack[[Holdback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95" s="504">
        <f ca="1">SUMIFS(CostTrack[[Value]:[Value]],CostTrack[[PA ID]:[PA ID]],$B95,CostTrack[[Vendor - Contract]:[Vendor - Contract]],$H95,CostTrack[[Holdback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95" s="504">
        <f ca="1">SUMIFS(CostTrack[[Value]:[Value]],CostTrack[[PA ID]:[PA ID]],$B95,CostTrack[[Vendor - Contract]:[Vendor - Contract]],$H95,CostTrack[[Holdback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95" s="504">
        <f ca="1">SUMIFS(CostTrack[[Value]:[Value]],CostTrack[[PA ID]:[PA ID]],$B95,CostTrack[[Vendor - Contract]:[Vendor - Contract]],$H95,CostTrack[[Holdback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95" s="504">
        <f ca="1">SUMIFS(CostTrack[[Value]:[Value]],CostTrack[[PA ID]:[PA ID]],$B95,CostTrack[[Vendor - Contract]:[Vendor - Contract]],$H95,CostTrack[[Holdback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95" s="504">
        <f ca="1">SUMIFS(CostTrack[[Value]:[Value]],CostTrack[[PA ID]:[PA ID]],$B95,CostTrack[[Vendor - Contract]:[Vendor - Contract]],$H95,CostTrack[[Holdback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95" s="504">
        <f ca="1">SUMIFS(CostTrack[[Value]:[Value]],CostTrack[[PA ID]:[PA ID]],$B95,CostTrack[[Vendor - Contract]:[Vendor - Contract]],$H95,CostTrack[[Holdback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95" s="512">
        <f t="shared" ca="1" si="167"/>
        <v>0</v>
      </c>
      <c r="BY95" s="504">
        <f ca="1">SUMIFS(CostTrack[[Value]:[Value]],CostTrack[[PA ID]:[PA ID]],$B95,CostTrack[[Vendor - Contract]:[Vendor - Contract]],$H95,CostTrack[[Holdback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95" s="504">
        <f ca="1">SUMIFS(CostTrack[[Value]:[Value]],CostTrack[[PA ID]:[PA ID]],$B95,CostTrack[[Vendor - Contract]:[Vendor - Contract]],$H95,CostTrack[[Holdback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95" s="504">
        <f ca="1">SUMIFS(CostTrack[[Value]:[Value]],CostTrack[[PA ID]:[PA ID]],$B95,CostTrack[[Vendor - Contract]:[Vendor - Contract]],$H95,CostTrack[[Holdback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95" s="504">
        <f ca="1">SUMIFS(CostTrack[[Value]:[Value]],CostTrack[[PA ID]:[PA ID]],$B95,CostTrack[[Vendor - Contract]:[Vendor - Contract]],$H95,CostTrack[[Holdback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95" s="504">
        <f ca="1">SUMIFS(CostTrack[[Value]:[Value]],CostTrack[[PA ID]:[PA ID]],$B95,CostTrack[[Vendor - Contract]:[Vendor - Contract]],$H95,CostTrack[[Holdback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95" s="504">
        <f ca="1">SUMIFS(CostTrack[[Value]:[Value]],CostTrack[[PA ID]:[PA ID]],$B95,CostTrack[[Vendor - Contract]:[Vendor - Contract]],$H95,CostTrack[[Holdback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95" s="504">
        <f ca="1">SUMIFS(CostTrack[[Value]:[Value]],CostTrack[[PA ID]:[PA ID]],$B95,CostTrack[[Vendor - Contract]:[Vendor - Contract]],$H95,CostTrack[[Holdback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95" s="504">
        <f ca="1">SUMIFS(CostTrack[[Value]:[Value]],CostTrack[[PA ID]:[PA ID]],$B95,CostTrack[[Vendor - Contract]:[Vendor - Contract]],$H95,CostTrack[[Holdback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95" s="504">
        <f ca="1">SUMIFS(CostTrack[[Value]:[Value]],CostTrack[[PA ID]:[PA ID]],$B95,CostTrack[[Vendor - Contract]:[Vendor - Contract]],$H95,CostTrack[[Holdback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95" s="504">
        <f ca="1">SUMIFS(CostTrack[[Value]:[Value]],CostTrack[[PA ID]:[PA ID]],$B95,CostTrack[[Vendor - Contract]:[Vendor - Contract]],$H95,CostTrack[[Holdback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95" s="504">
        <f ca="1">SUMIFS(CostTrack[[Value]:[Value]],CostTrack[[PA ID]:[PA ID]],$B95,CostTrack[[Vendor - Contract]:[Vendor - Contract]],$H95,CostTrack[[Holdback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95" s="504">
        <f ca="1">SUMIFS(CostTrack[[Value]:[Value]],CostTrack[[PA ID]:[PA ID]],$B95,CostTrack[[Vendor - Contract]:[Vendor - Contract]],$H95,CostTrack[[Holdback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95" s="512">
        <f t="shared" ca="1" si="168"/>
        <v>0</v>
      </c>
      <c r="CM95" s="504">
        <f ca="1">SUMIFS(CostTrack[[Value]:[Value]],CostTrack[[PA ID]:[PA ID]],$B95,CostTrack[[Vendor - Contract]:[Vendor - Contract]],$H95,CostTrack[[Holdback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95" s="504">
        <f ca="1">SUMIFS(CostTrack[[Value]:[Value]],CostTrack[[PA ID]:[PA ID]],$B95,CostTrack[[Vendor - Contract]:[Vendor - Contract]],$H95,CostTrack[[Holdback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95" s="504">
        <f ca="1">SUMIFS(CostTrack[[Value]:[Value]],CostTrack[[PA ID]:[PA ID]],$B95,CostTrack[[Vendor - Contract]:[Vendor - Contract]],$H95,CostTrack[[Holdback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95" s="504">
        <f ca="1">SUMIFS(CostTrack[[Value]:[Value]],CostTrack[[PA ID]:[PA ID]],$B95,CostTrack[[Vendor - Contract]:[Vendor - Contract]],$H95,CostTrack[[Holdback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95" s="504">
        <f ca="1">SUMIFS(CostTrack[[Value]:[Value]],CostTrack[[PA ID]:[PA ID]],$B95,CostTrack[[Vendor - Contract]:[Vendor - Contract]],$H95,CostTrack[[Holdback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95" s="504">
        <f ca="1">SUMIFS(CostTrack[[Value]:[Value]],CostTrack[[PA ID]:[PA ID]],$B95,CostTrack[[Vendor - Contract]:[Vendor - Contract]],$H95,CostTrack[[Holdback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95" s="504">
        <f ca="1">SUMIFS(CostTrack[[Value]:[Value]],CostTrack[[PA ID]:[PA ID]],$B95,CostTrack[[Vendor - Contract]:[Vendor - Contract]],$H95,CostTrack[[Holdback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95" s="504">
        <f ca="1">SUMIFS(CostTrack[[Value]:[Value]],CostTrack[[PA ID]:[PA ID]],$B95,CostTrack[[Vendor - Contract]:[Vendor - Contract]],$H95,CostTrack[[Holdback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95" s="504">
        <f ca="1">SUMIFS(CostTrack[[Value]:[Value]],CostTrack[[PA ID]:[PA ID]],$B95,CostTrack[[Vendor - Contract]:[Vendor - Contract]],$H95,CostTrack[[Holdback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95" s="504">
        <f ca="1">SUMIFS(CostTrack[[Value]:[Value]],CostTrack[[PA ID]:[PA ID]],$B95,CostTrack[[Vendor - Contract]:[Vendor - Contract]],$H95,CostTrack[[Holdback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95" s="504">
        <f ca="1">SUMIFS(CostTrack[[Value]:[Value]],CostTrack[[PA ID]:[PA ID]],$B95,CostTrack[[Vendor - Contract]:[Vendor - Contract]],$H95,CostTrack[[Holdback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95" s="504">
        <f ca="1">SUMIFS(CostTrack[[Value]:[Value]],CostTrack[[PA ID]:[PA ID]],$B95,CostTrack[[Vendor - Contract]:[Vendor - Contract]],$H95,CostTrack[[Holdback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95" s="512">
        <f t="shared" ref="CY95:CY97" ca="1" si="177">SUM(CM95:CX95)</f>
        <v>0</v>
      </c>
      <c r="DA95" s="504">
        <f ca="1">SUMIFS(CostTrack[[Value]:[Value]],CostTrack[[PA ID]:[PA ID]],$B95,CostTrack[[Vendor - Contract]:[Vendor - Contract]],$H95,CostTrack[[Holdback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95" s="504">
        <f ca="1">SUMIFS(CostTrack[[Value]:[Value]],CostTrack[[PA ID]:[PA ID]],$B95,CostTrack[[Vendor - Contract]:[Vendor - Contract]],$H95,CostTrack[[Holdback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95" s="504">
        <f ca="1">SUMIFS(CostTrack[[Value]:[Value]],CostTrack[[PA ID]:[PA ID]],$B95,CostTrack[[Vendor - Contract]:[Vendor - Contract]],$H95,CostTrack[[Holdback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5614</v>
      </c>
      <c r="DD95" s="504">
        <f ca="1">SUMIFS(CostTrack[[Value]:[Value]],CostTrack[[PA ID]:[PA ID]],$B95,CostTrack[[Vendor - Contract]:[Vendor - Contract]],$H95,CostTrack[[Holdback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95" s="504">
        <f ca="1">SUMIFS(CostTrack[[Value]:[Value]],CostTrack[[PA ID]:[PA ID]],$B95,CostTrack[[Vendor - Contract]:[Vendor - Contract]],$H95,CostTrack[[Holdback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95" s="504">
        <f ca="1">SUMIFS(CostTrack[[Value]:[Value]],CostTrack[[PA ID]:[PA ID]],$B95,CostTrack[[Vendor - Contract]:[Vendor - Contract]],$H95,CostTrack[[Holdback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95" s="504">
        <f ca="1">SUMIFS(CostTrack[[Value]:[Value]],CostTrack[[PA ID]:[PA ID]],$B95,CostTrack[[Vendor - Contract]:[Vendor - Contract]],$H95,CostTrack[[Holdback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95" s="504">
        <f ca="1">SUMIFS(CostTrack[[Value]:[Value]],CostTrack[[PA ID]:[PA ID]],$B95,CostTrack[[Vendor - Contract]:[Vendor - Contract]],$H95,CostTrack[[Holdback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95" s="504">
        <f ca="1">SUMIFS(CostTrack[[Value]:[Value]],CostTrack[[PA ID]:[PA ID]],$B95,CostTrack[[Vendor - Contract]:[Vendor - Contract]],$H95,CostTrack[[Holdback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95" s="504">
        <f ca="1">SUMIFS(CostTrack[[Value]:[Value]],CostTrack[[PA ID]:[PA ID]],$B95,CostTrack[[Vendor - Contract]:[Vendor - Contract]],$H95,CostTrack[[Holdback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95" s="504">
        <f ca="1">SUMIFS(CostTrack[[Value]:[Value]],CostTrack[[PA ID]:[PA ID]],$B95,CostTrack[[Vendor - Contract]:[Vendor - Contract]],$H95,CostTrack[[Holdback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95" s="504">
        <f ca="1">SUMIFS(CostTrack[[Value]:[Value]],CostTrack[[PA ID]:[PA ID]],$B95,CostTrack[[Vendor - Contract]:[Vendor - Contract]],$H95,CostTrack[[Holdback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95" s="512">
        <f t="shared" ref="DM95:DM97" ca="1" si="178">SUM(DA95:DL95)</f>
        <v>5614</v>
      </c>
      <c r="DO95" s="504">
        <f ca="1">SUMIFS(CostTrack[[Value]:[Value]],CostTrack[[PA ID]:[PA ID]],$B95,CostTrack[[Vendor - Contract]:[Vendor - Contract]],$H95,CostTrack[[Holdback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440</v>
      </c>
      <c r="DP95" s="504">
        <f ca="1">SUMIFS(CostTrack[[Value]:[Value]],CostTrack[[PA ID]:[PA ID]],$B95,CostTrack[[Vendor - Contract]:[Vendor - Contract]],$H95,CostTrack[[Holdback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95" s="504">
        <f ca="1">SUMIFS(CostTrack[[Value]:[Value]],CostTrack[[PA ID]:[PA ID]],$B95,CostTrack[[Vendor - Contract]:[Vendor - Contract]],$H95,CostTrack[[Holdback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95" s="504">
        <f ca="1">SUMIFS(CostTrack[[Value]:[Value]],CostTrack[[PA ID]:[PA ID]],$B95,CostTrack[[Vendor - Contract]:[Vendor - Contract]],$H95,CostTrack[[Holdback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95" s="504">
        <f ca="1">SUMIFS(CostTrack[[Value]:[Value]],CostTrack[[PA ID]:[PA ID]],$B95,CostTrack[[Vendor - Contract]:[Vendor - Contract]],$H95,CostTrack[[Holdback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95" s="504">
        <f ca="1">SUMIFS(CostTrack[[Value]:[Value]],CostTrack[[PA ID]:[PA ID]],$B95,CostTrack[[Vendor - Contract]:[Vendor - Contract]],$H95,CostTrack[[Holdback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95" s="504">
        <f ca="1">SUMIFS(CostTrack[[Value]:[Value]],CostTrack[[PA ID]:[PA ID]],$B95,CostTrack[[Vendor - Contract]:[Vendor - Contract]],$H95,CostTrack[[Holdback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95" s="504">
        <f ca="1">SUMIFS(CostTrack[[Value]:[Value]],CostTrack[[PA ID]:[PA ID]],$B95,CostTrack[[Vendor - Contract]:[Vendor - Contract]],$H95,CostTrack[[Holdback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95" s="504">
        <f ca="1">SUMIFS(CostTrack[[Value]:[Value]],CostTrack[[PA ID]:[PA ID]],$B95,CostTrack[[Vendor - Contract]:[Vendor - Contract]],$H95,CostTrack[[Holdback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95" s="504">
        <f ca="1">SUMIFS(CostTrack[[Value]:[Value]],CostTrack[[PA ID]:[PA ID]],$B95,CostTrack[[Vendor - Contract]:[Vendor - Contract]],$H95,CostTrack[[Holdback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95" s="504">
        <f ca="1">SUMIFS(CostTrack[[Value]:[Value]],CostTrack[[PA ID]:[PA ID]],$B95,CostTrack[[Vendor - Contract]:[Vendor - Contract]],$H95,CostTrack[[Holdback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95" s="504">
        <f ca="1">SUMIFS(CostTrack[[Value]:[Value]],CostTrack[[PA ID]:[PA ID]],$B95,CostTrack[[Vendor - Contract]:[Vendor - Contract]],$H95,CostTrack[[Holdback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95" s="512">
        <f t="shared" ca="1" si="170"/>
        <v>440</v>
      </c>
      <c r="EC95" s="504">
        <f ca="1">SUMIFS(CostTrack[[Value]:[Value]],CostTrack[[PA ID]:[PA ID]],$B95,CostTrack[[Vendor - Contract]:[Vendor - Contract]],$H95,CostTrack[[Holdback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95" s="505"/>
      <c r="EE95" s="505"/>
      <c r="EF95" s="505"/>
      <c r="EG95" s="505"/>
      <c r="EH95" s="505"/>
      <c r="EI95" s="505"/>
      <c r="EJ95" s="505"/>
      <c r="EK95" s="505"/>
      <c r="EL95" s="505"/>
      <c r="EM95" s="505"/>
      <c r="EN95" s="505"/>
      <c r="EO95" s="512">
        <f t="shared" ca="1" si="171"/>
        <v>0</v>
      </c>
      <c r="EQ95" s="505"/>
      <c r="ER95" s="505"/>
      <c r="ES95" s="505"/>
      <c r="ET95" s="505"/>
      <c r="EU95" s="505"/>
      <c r="EV95" s="505"/>
      <c r="EW95" s="505"/>
      <c r="EX95" s="505"/>
      <c r="EY95" s="505"/>
      <c r="EZ95" s="505"/>
      <c r="FA95" s="505"/>
      <c r="FB95" s="505"/>
      <c r="FC95" s="512">
        <f t="shared" si="158"/>
        <v>0</v>
      </c>
      <c r="FE95" s="505"/>
      <c r="FF95" s="505"/>
      <c r="FG95" s="505"/>
      <c r="FH95" s="505"/>
      <c r="FI95" s="505"/>
      <c r="FJ95" s="505"/>
      <c r="FK95" s="505"/>
      <c r="FL95" s="505"/>
      <c r="FM95" s="505"/>
      <c r="FN95" s="505"/>
      <c r="FO95" s="505"/>
      <c r="FP95" s="505"/>
      <c r="FQ95" s="512">
        <f t="shared" si="159"/>
        <v>0</v>
      </c>
      <c r="FS95" s="504">
        <f t="shared" ca="1" si="172"/>
        <v>6054</v>
      </c>
    </row>
    <row r="96" spans="1:175">
      <c r="A96" s="216">
        <v>89</v>
      </c>
      <c r="B96" s="219" t="str">
        <f ca="1">INDEX(EAC[PA ID],MATCH($A96,EAC[Row],0))</f>
        <v>400.030.F1</v>
      </c>
      <c r="C96" s="218" t="str">
        <f ca="1">INDEX(EAC[Primary Category],MATCH($A96,EAC[Row],0))</f>
        <v>FE_IT</v>
      </c>
      <c r="D96" s="218" t="str">
        <f ca="1">INDEX(EAC[Secondary Category],MATCH($A96,EAC[Row],0))</f>
        <v>Movers</v>
      </c>
      <c r="E96" s="109" t="str">
        <f ca="1">INDEX(EAC[Phase / Subproject],MATCH($A96,EAC[Row],0))</f>
        <v>--</v>
      </c>
      <c r="F96" s="109" t="str">
        <f ca="1">INDEX(EAC[Phase / Subproject 2],MATCH($A96,EAC[Row],0))</f>
        <v>--</v>
      </c>
      <c r="G96" s="109" t="str">
        <f ca="1">INDEX(EAC[Funding Source],MATCH($A96,EAC[Row],0))</f>
        <v>P-002360</v>
      </c>
      <c r="H96" s="146" t="str">
        <f ca="1">INDEX(EAC[Vendor / Org. with Contract ID],MATCH($A96,EAC[Row],0))</f>
        <v>Impact Movers Ltd.- Misc Moves-40467</v>
      </c>
      <c r="I96" s="502">
        <f ca="1">INDEX(EAC[Estimate At Completion],MATCH($A96,EAC[Row],0))</f>
        <v>9683</v>
      </c>
      <c r="J96" s="502">
        <f ca="1">SUMIFS(CostTrack[Value],CostTrack[Vendor - Contract],$H96,CostTrack[PA ID],$B96,CostTrack[Holdback (Y/N/R)],"&lt;&gt;Release",CostTrack[Status],"Approved")</f>
        <v>9683</v>
      </c>
      <c r="K96" s="503">
        <f t="shared" ca="1" si="173"/>
        <v>0</v>
      </c>
      <c r="M96" s="504">
        <f t="shared" ca="1" si="160"/>
        <v>0</v>
      </c>
      <c r="O96" s="504">
        <f t="shared" ca="1" si="161"/>
        <v>9683</v>
      </c>
      <c r="P96" s="504">
        <f t="array" aca="1" ref="P96" ca="1">SUM($U96:$FQ96*_xlfn.ISFORMULA($U96:$FQ96)*ISNUMBER($U$7:$FQ$7)*--(INDEX($U$6:$FQ$6,N(IF({1},COLUMN($U$6:$FQ$6)-COLUMN($T$6)))-MOD(N(IF({1},COLUMN($U$6:$FQ$6)-COLUMN($U$6))),14))="Current Fiscal"))</f>
        <v>0</v>
      </c>
      <c r="Q96" s="504">
        <f t="array" aca="1" ref="Q96" ca="1">SUM($U96:$FQ96*NOT(_xlfn.ISFORMULA($U96:$FQ96))*ISNUMBER($U$7:$FQ$7)*--(INDEX($U$6:$FQ$6,N(IF({1},COLUMN($U$6:$FQ$6)-COLUMN($T$6)))-MOD(N(IF({1},COLUMN($U$6:$FQ$6)-COLUMN($U$6))),14))="Current Fiscal"))</f>
        <v>0</v>
      </c>
      <c r="R96" s="504">
        <f t="shared" ca="1" si="174"/>
        <v>0</v>
      </c>
      <c r="S96" s="504">
        <f t="shared" ca="1" si="175"/>
        <v>0</v>
      </c>
      <c r="U96" s="504">
        <f ca="1">SUMIFS(CostTrack[[Value]:[Value]],CostTrack[[PA ID]:[PA ID]],$B96,CostTrack[[Vendor - Contract]:[Vendor - Contract]],$H96,CostTrack[[Holdback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96" s="504">
        <f ca="1">SUMIFS(CostTrack[[Value]:[Value]],CostTrack[[PA ID]:[PA ID]],$B96,CostTrack[[Vendor - Contract]:[Vendor - Contract]],$H96,CostTrack[[Holdback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96" s="504">
        <f ca="1">SUMIFS(CostTrack[[Value]:[Value]],CostTrack[[PA ID]:[PA ID]],$B96,CostTrack[[Vendor - Contract]:[Vendor - Contract]],$H96,CostTrack[[Holdback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96" s="504">
        <f ca="1">SUMIFS(CostTrack[[Value]:[Value]],CostTrack[[PA ID]:[PA ID]],$B96,CostTrack[[Vendor - Contract]:[Vendor - Contract]],$H96,CostTrack[[Holdback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96" s="504">
        <f ca="1">SUMIFS(CostTrack[[Value]:[Value]],CostTrack[[PA ID]:[PA ID]],$B96,CostTrack[[Vendor - Contract]:[Vendor - Contract]],$H96,CostTrack[[Holdback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96" s="504">
        <f ca="1">SUMIFS(CostTrack[[Value]:[Value]],CostTrack[[PA ID]:[PA ID]],$B96,CostTrack[[Vendor - Contract]:[Vendor - Contract]],$H96,CostTrack[[Holdback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96" s="504">
        <f ca="1">SUMIFS(CostTrack[[Value]:[Value]],CostTrack[[PA ID]:[PA ID]],$B96,CostTrack[[Vendor - Contract]:[Vendor - Contract]],$H96,CostTrack[[Holdback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96" s="504">
        <f ca="1">SUMIFS(CostTrack[[Value]:[Value]],CostTrack[[PA ID]:[PA ID]],$B96,CostTrack[[Vendor - Contract]:[Vendor - Contract]],$H96,CostTrack[[Holdback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96" s="504">
        <f ca="1">SUMIFS(CostTrack[[Value]:[Value]],CostTrack[[PA ID]:[PA ID]],$B96,CostTrack[[Vendor - Contract]:[Vendor - Contract]],$H96,CostTrack[[Holdback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96" s="504">
        <f ca="1">SUMIFS(CostTrack[[Value]:[Value]],CostTrack[[PA ID]:[PA ID]],$B96,CostTrack[[Vendor - Contract]:[Vendor - Contract]],$H96,CostTrack[[Holdback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96" s="504">
        <f ca="1">SUMIFS(CostTrack[[Value]:[Value]],CostTrack[[PA ID]:[PA ID]],$B96,CostTrack[[Vendor - Contract]:[Vendor - Contract]],$H96,CostTrack[[Holdback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96" s="504">
        <f ca="1">SUMIFS(CostTrack[[Value]:[Value]],CostTrack[[PA ID]:[PA ID]],$B96,CostTrack[[Vendor - Contract]:[Vendor - Contract]],$H96,CostTrack[[Holdback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96" s="506">
        <f t="shared" ca="1" si="176"/>
        <v>0</v>
      </c>
      <c r="AI96" s="504">
        <f ca="1">SUMIFS(CostTrack[[Value]:[Value]],CostTrack[[PA ID]:[PA ID]],$B96,CostTrack[[Vendor - Contract]:[Vendor - Contract]],$H96,CostTrack[[Holdback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96" s="504">
        <f ca="1">SUMIFS(CostTrack[[Value]:[Value]],CostTrack[[PA ID]:[PA ID]],$B96,CostTrack[[Vendor - Contract]:[Vendor - Contract]],$H96,CostTrack[[Holdback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96" s="504">
        <f ca="1">SUMIFS(CostTrack[[Value]:[Value]],CostTrack[[PA ID]:[PA ID]],$B96,CostTrack[[Vendor - Contract]:[Vendor - Contract]],$H96,CostTrack[[Holdback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96" s="504">
        <f ca="1">SUMIFS(CostTrack[[Value]:[Value]],CostTrack[[PA ID]:[PA ID]],$B96,CostTrack[[Vendor - Contract]:[Vendor - Contract]],$H96,CostTrack[[Holdback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96" s="504">
        <f ca="1">SUMIFS(CostTrack[[Value]:[Value]],CostTrack[[PA ID]:[PA ID]],$B96,CostTrack[[Vendor - Contract]:[Vendor - Contract]],$H96,CostTrack[[Holdback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96" s="504">
        <f ca="1">SUMIFS(CostTrack[[Value]:[Value]],CostTrack[[PA ID]:[PA ID]],$B96,CostTrack[[Vendor - Contract]:[Vendor - Contract]],$H96,CostTrack[[Holdback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96" s="504">
        <f ca="1">SUMIFS(CostTrack[[Value]:[Value]],CostTrack[[PA ID]:[PA ID]],$B96,CostTrack[[Vendor - Contract]:[Vendor - Contract]],$H96,CostTrack[[Holdback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96" s="504">
        <f ca="1">SUMIFS(CostTrack[[Value]:[Value]],CostTrack[[PA ID]:[PA ID]],$B96,CostTrack[[Vendor - Contract]:[Vendor - Contract]],$H96,CostTrack[[Holdback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96" s="504">
        <f ca="1">SUMIFS(CostTrack[[Value]:[Value]],CostTrack[[PA ID]:[PA ID]],$B96,CostTrack[[Vendor - Contract]:[Vendor - Contract]],$H96,CostTrack[[Holdback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96" s="504">
        <f ca="1">SUMIFS(CostTrack[[Value]:[Value]],CostTrack[[PA ID]:[PA ID]],$B96,CostTrack[[Vendor - Contract]:[Vendor - Contract]],$H96,CostTrack[[Holdback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96" s="504">
        <f ca="1">SUMIFS(CostTrack[[Value]:[Value]],CostTrack[[PA ID]:[PA ID]],$B96,CostTrack[[Vendor - Contract]:[Vendor - Contract]],$H96,CostTrack[[Holdback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96" s="504">
        <f ca="1">SUMIFS(CostTrack[[Value]:[Value]],CostTrack[[PA ID]:[PA ID]],$B96,CostTrack[[Vendor - Contract]:[Vendor - Contract]],$H96,CostTrack[[Holdback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96" s="512">
        <f t="shared" ca="1" si="165"/>
        <v>0</v>
      </c>
      <c r="AW96" s="504">
        <f ca="1">SUMIFS(CostTrack[[Value]:[Value]],CostTrack[[PA ID]:[PA ID]],$B96,CostTrack[[Vendor - Contract]:[Vendor - Contract]],$H96,CostTrack[[Holdback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96" s="504">
        <f ca="1">SUMIFS(CostTrack[[Value]:[Value]],CostTrack[[PA ID]:[PA ID]],$B96,CostTrack[[Vendor - Contract]:[Vendor - Contract]],$H96,CostTrack[[Holdback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96" s="504">
        <f ca="1">SUMIFS(CostTrack[[Value]:[Value]],CostTrack[[PA ID]:[PA ID]],$B96,CostTrack[[Vendor - Contract]:[Vendor - Contract]],$H96,CostTrack[[Holdback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96" s="504">
        <f ca="1">SUMIFS(CostTrack[[Value]:[Value]],CostTrack[[PA ID]:[PA ID]],$B96,CostTrack[[Vendor - Contract]:[Vendor - Contract]],$H96,CostTrack[[Holdback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96" s="504">
        <f ca="1">SUMIFS(CostTrack[[Value]:[Value]],CostTrack[[PA ID]:[PA ID]],$B96,CostTrack[[Vendor - Contract]:[Vendor - Contract]],$H96,CostTrack[[Holdback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96" s="504">
        <f ca="1">SUMIFS(CostTrack[[Value]:[Value]],CostTrack[[PA ID]:[PA ID]],$B96,CostTrack[[Vendor - Contract]:[Vendor - Contract]],$H96,CostTrack[[Holdback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96" s="504">
        <f ca="1">SUMIFS(CostTrack[[Value]:[Value]],CostTrack[[PA ID]:[PA ID]],$B96,CostTrack[[Vendor - Contract]:[Vendor - Contract]],$H96,CostTrack[[Holdback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96" s="504">
        <f ca="1">SUMIFS(CostTrack[[Value]:[Value]],CostTrack[[PA ID]:[PA ID]],$B96,CostTrack[[Vendor - Contract]:[Vendor - Contract]],$H96,CostTrack[[Holdback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96" s="504">
        <f ca="1">SUMIFS(CostTrack[[Value]:[Value]],CostTrack[[PA ID]:[PA ID]],$B96,CostTrack[[Vendor - Contract]:[Vendor - Contract]],$H96,CostTrack[[Holdback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96" s="504">
        <f ca="1">SUMIFS(CostTrack[[Value]:[Value]],CostTrack[[PA ID]:[PA ID]],$B96,CostTrack[[Vendor - Contract]:[Vendor - Contract]],$H96,CostTrack[[Holdback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96" s="504">
        <f ca="1">SUMIFS(CostTrack[[Value]:[Value]],CostTrack[[PA ID]:[PA ID]],$B96,CostTrack[[Vendor - Contract]:[Vendor - Contract]],$H96,CostTrack[[Holdback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96" s="504">
        <f ca="1">SUMIFS(CostTrack[[Value]:[Value]],CostTrack[[PA ID]:[PA ID]],$B96,CostTrack[[Vendor - Contract]:[Vendor - Contract]],$H96,CostTrack[[Holdback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96" s="512">
        <f t="shared" ca="1" si="166"/>
        <v>0</v>
      </c>
      <c r="BK96" s="504">
        <f ca="1">SUMIFS(CostTrack[[Value]:[Value]],CostTrack[[PA ID]:[PA ID]],$B96,CostTrack[[Vendor - Contract]:[Vendor - Contract]],$H96,CostTrack[[Holdback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96" s="504">
        <f ca="1">SUMIFS(CostTrack[[Value]:[Value]],CostTrack[[PA ID]:[PA ID]],$B96,CostTrack[[Vendor - Contract]:[Vendor - Contract]],$H96,CostTrack[[Holdback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96" s="504">
        <f ca="1">SUMIFS(CostTrack[[Value]:[Value]],CostTrack[[PA ID]:[PA ID]],$B96,CostTrack[[Vendor - Contract]:[Vendor - Contract]],$H96,CostTrack[[Holdback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96" s="504">
        <f ca="1">SUMIFS(CostTrack[[Value]:[Value]],CostTrack[[PA ID]:[PA ID]],$B96,CostTrack[[Vendor - Contract]:[Vendor - Contract]],$H96,CostTrack[[Holdback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96" s="504">
        <f ca="1">SUMIFS(CostTrack[[Value]:[Value]],CostTrack[[PA ID]:[PA ID]],$B96,CostTrack[[Vendor - Contract]:[Vendor - Contract]],$H96,CostTrack[[Holdback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96" s="504">
        <f ca="1">SUMIFS(CostTrack[[Value]:[Value]],CostTrack[[PA ID]:[PA ID]],$B96,CostTrack[[Vendor - Contract]:[Vendor - Contract]],$H96,CostTrack[[Holdback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96" s="504">
        <f ca="1">SUMIFS(CostTrack[[Value]:[Value]],CostTrack[[PA ID]:[PA ID]],$B96,CostTrack[[Vendor - Contract]:[Vendor - Contract]],$H96,CostTrack[[Holdback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96" s="504">
        <f ca="1">SUMIFS(CostTrack[[Value]:[Value]],CostTrack[[PA ID]:[PA ID]],$B96,CostTrack[[Vendor - Contract]:[Vendor - Contract]],$H96,CostTrack[[Holdback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96" s="504">
        <f ca="1">SUMIFS(CostTrack[[Value]:[Value]],CostTrack[[PA ID]:[PA ID]],$B96,CostTrack[[Vendor - Contract]:[Vendor - Contract]],$H96,CostTrack[[Holdback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96" s="504">
        <f ca="1">SUMIFS(CostTrack[[Value]:[Value]],CostTrack[[PA ID]:[PA ID]],$B96,CostTrack[[Vendor - Contract]:[Vendor - Contract]],$H96,CostTrack[[Holdback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96" s="504">
        <f ca="1">SUMIFS(CostTrack[[Value]:[Value]],CostTrack[[PA ID]:[PA ID]],$B96,CostTrack[[Vendor - Contract]:[Vendor - Contract]],$H96,CostTrack[[Holdback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96" s="504">
        <f ca="1">SUMIFS(CostTrack[[Value]:[Value]],CostTrack[[PA ID]:[PA ID]],$B96,CostTrack[[Vendor - Contract]:[Vendor - Contract]],$H96,CostTrack[[Holdback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96" s="512">
        <f t="shared" ca="1" si="167"/>
        <v>0</v>
      </c>
      <c r="BY96" s="504">
        <f ca="1">SUMIFS(CostTrack[[Value]:[Value]],CostTrack[[PA ID]:[PA ID]],$B96,CostTrack[[Vendor - Contract]:[Vendor - Contract]],$H96,CostTrack[[Holdback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96" s="504">
        <f ca="1">SUMIFS(CostTrack[[Value]:[Value]],CostTrack[[PA ID]:[PA ID]],$B96,CostTrack[[Vendor - Contract]:[Vendor - Contract]],$H96,CostTrack[[Holdback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96" s="504">
        <f ca="1">SUMIFS(CostTrack[[Value]:[Value]],CostTrack[[PA ID]:[PA ID]],$B96,CostTrack[[Vendor - Contract]:[Vendor - Contract]],$H96,CostTrack[[Holdback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96" s="504">
        <f ca="1">SUMIFS(CostTrack[[Value]:[Value]],CostTrack[[PA ID]:[PA ID]],$B96,CostTrack[[Vendor - Contract]:[Vendor - Contract]],$H96,CostTrack[[Holdback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96" s="504">
        <f ca="1">SUMIFS(CostTrack[[Value]:[Value]],CostTrack[[PA ID]:[PA ID]],$B96,CostTrack[[Vendor - Contract]:[Vendor - Contract]],$H96,CostTrack[[Holdback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96" s="504">
        <f ca="1">SUMIFS(CostTrack[[Value]:[Value]],CostTrack[[PA ID]:[PA ID]],$B96,CostTrack[[Vendor - Contract]:[Vendor - Contract]],$H96,CostTrack[[Holdback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96" s="504">
        <f ca="1">SUMIFS(CostTrack[[Value]:[Value]],CostTrack[[PA ID]:[PA ID]],$B96,CostTrack[[Vendor - Contract]:[Vendor - Contract]],$H96,CostTrack[[Holdback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96" s="504">
        <f ca="1">SUMIFS(CostTrack[[Value]:[Value]],CostTrack[[PA ID]:[PA ID]],$B96,CostTrack[[Vendor - Contract]:[Vendor - Contract]],$H96,CostTrack[[Holdback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96" s="504">
        <f ca="1">SUMIFS(CostTrack[[Value]:[Value]],CostTrack[[PA ID]:[PA ID]],$B96,CostTrack[[Vendor - Contract]:[Vendor - Contract]],$H96,CostTrack[[Holdback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96" s="504">
        <f ca="1">SUMIFS(CostTrack[[Value]:[Value]],CostTrack[[PA ID]:[PA ID]],$B96,CostTrack[[Vendor - Contract]:[Vendor - Contract]],$H96,CostTrack[[Holdback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96" s="504">
        <f ca="1">SUMIFS(CostTrack[[Value]:[Value]],CostTrack[[PA ID]:[PA ID]],$B96,CostTrack[[Vendor - Contract]:[Vendor - Contract]],$H96,CostTrack[[Holdback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96" s="504">
        <f ca="1">SUMIFS(CostTrack[[Value]:[Value]],CostTrack[[PA ID]:[PA ID]],$B96,CostTrack[[Vendor - Contract]:[Vendor - Contract]],$H96,CostTrack[[Holdback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96" s="512">
        <f t="shared" ca="1" si="168"/>
        <v>0</v>
      </c>
      <c r="CM96" s="504">
        <f ca="1">SUMIFS(CostTrack[[Value]:[Value]],CostTrack[[PA ID]:[PA ID]],$B96,CostTrack[[Vendor - Contract]:[Vendor - Contract]],$H96,CostTrack[[Holdback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96" s="504">
        <f ca="1">SUMIFS(CostTrack[[Value]:[Value]],CostTrack[[PA ID]:[PA ID]],$B96,CostTrack[[Vendor - Contract]:[Vendor - Contract]],$H96,CostTrack[[Holdback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96" s="504">
        <f ca="1">SUMIFS(CostTrack[[Value]:[Value]],CostTrack[[PA ID]:[PA ID]],$B96,CostTrack[[Vendor - Contract]:[Vendor - Contract]],$H96,CostTrack[[Holdback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96" s="504">
        <f ca="1">SUMIFS(CostTrack[[Value]:[Value]],CostTrack[[PA ID]:[PA ID]],$B96,CostTrack[[Vendor - Contract]:[Vendor - Contract]],$H96,CostTrack[[Holdback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96" s="504">
        <f ca="1">SUMIFS(CostTrack[[Value]:[Value]],CostTrack[[PA ID]:[PA ID]],$B96,CostTrack[[Vendor - Contract]:[Vendor - Contract]],$H96,CostTrack[[Holdback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96" s="504">
        <f ca="1">SUMIFS(CostTrack[[Value]:[Value]],CostTrack[[PA ID]:[PA ID]],$B96,CostTrack[[Vendor - Contract]:[Vendor - Contract]],$H96,CostTrack[[Holdback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96" s="504">
        <f ca="1">SUMIFS(CostTrack[[Value]:[Value]],CostTrack[[PA ID]:[PA ID]],$B96,CostTrack[[Vendor - Contract]:[Vendor - Contract]],$H96,CostTrack[[Holdback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96" s="504">
        <f ca="1">SUMIFS(CostTrack[[Value]:[Value]],CostTrack[[PA ID]:[PA ID]],$B96,CostTrack[[Vendor - Contract]:[Vendor - Contract]],$H96,CostTrack[[Holdback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96" s="504">
        <f ca="1">SUMIFS(CostTrack[[Value]:[Value]],CostTrack[[PA ID]:[PA ID]],$B96,CostTrack[[Vendor - Contract]:[Vendor - Contract]],$H96,CostTrack[[Holdback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96" s="504">
        <f ca="1">SUMIFS(CostTrack[[Value]:[Value]],CostTrack[[PA ID]:[PA ID]],$B96,CostTrack[[Vendor - Contract]:[Vendor - Contract]],$H96,CostTrack[[Holdback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96" s="504">
        <f ca="1">SUMIFS(CostTrack[[Value]:[Value]],CostTrack[[PA ID]:[PA ID]],$B96,CostTrack[[Vendor - Contract]:[Vendor - Contract]],$H96,CostTrack[[Holdback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96" s="504">
        <f ca="1">SUMIFS(CostTrack[[Value]:[Value]],CostTrack[[PA ID]:[PA ID]],$B96,CostTrack[[Vendor - Contract]:[Vendor - Contract]],$H96,CostTrack[[Holdback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96" s="512">
        <f t="shared" ca="1" si="177"/>
        <v>0</v>
      </c>
      <c r="DA96" s="504">
        <f ca="1">SUMIFS(CostTrack[[Value]:[Value]],CostTrack[[PA ID]:[PA ID]],$B96,CostTrack[[Vendor - Contract]:[Vendor - Contract]],$H96,CostTrack[[Holdback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96" s="504">
        <f ca="1">SUMIFS(CostTrack[[Value]:[Value]],CostTrack[[PA ID]:[PA ID]],$B96,CostTrack[[Vendor - Contract]:[Vendor - Contract]],$H96,CostTrack[[Holdback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96" s="504">
        <f ca="1">SUMIFS(CostTrack[[Value]:[Value]],CostTrack[[PA ID]:[PA ID]],$B96,CostTrack[[Vendor - Contract]:[Vendor - Contract]],$H96,CostTrack[[Holdback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96" s="504">
        <f ca="1">SUMIFS(CostTrack[[Value]:[Value]],CostTrack[[PA ID]:[PA ID]],$B96,CostTrack[[Vendor - Contract]:[Vendor - Contract]],$H96,CostTrack[[Holdback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4550</v>
      </c>
      <c r="DE96" s="504">
        <f ca="1">SUMIFS(CostTrack[[Value]:[Value]],CostTrack[[PA ID]:[PA ID]],$B96,CostTrack[[Vendor - Contract]:[Vendor - Contract]],$H96,CostTrack[[Holdback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96" s="504">
        <f ca="1">SUMIFS(CostTrack[[Value]:[Value]],CostTrack[[PA ID]:[PA ID]],$B96,CostTrack[[Vendor - Contract]:[Vendor - Contract]],$H96,CostTrack[[Holdback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980</v>
      </c>
      <c r="DG96" s="504">
        <f ca="1">SUMIFS(CostTrack[[Value]:[Value]],CostTrack[[PA ID]:[PA ID]],$B96,CostTrack[[Vendor - Contract]:[Vendor - Contract]],$H96,CostTrack[[Holdback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96" s="504">
        <f ca="1">SUMIFS(CostTrack[[Value]:[Value]],CostTrack[[PA ID]:[PA ID]],$B96,CostTrack[[Vendor - Contract]:[Vendor - Contract]],$H96,CostTrack[[Holdback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2208</v>
      </c>
      <c r="DI96" s="504">
        <f ca="1">SUMIFS(CostTrack[[Value]:[Value]],CostTrack[[PA ID]:[PA ID]],$B96,CostTrack[[Vendor - Contract]:[Vendor - Contract]],$H96,CostTrack[[Holdback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96" s="504">
        <f ca="1">SUMIFS(CostTrack[[Value]:[Value]],CostTrack[[PA ID]:[PA ID]],$B96,CostTrack[[Vendor - Contract]:[Vendor - Contract]],$H96,CostTrack[[Holdback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96" s="504">
        <f ca="1">SUMIFS(CostTrack[[Value]:[Value]],CostTrack[[PA ID]:[PA ID]],$B96,CostTrack[[Vendor - Contract]:[Vendor - Contract]],$H96,CostTrack[[Holdback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96" s="504">
        <f ca="1">SUMIFS(CostTrack[[Value]:[Value]],CostTrack[[PA ID]:[PA ID]],$B96,CostTrack[[Vendor - Contract]:[Vendor - Contract]],$H96,CostTrack[[Holdback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96" s="512">
        <f t="shared" ca="1" si="178"/>
        <v>7738</v>
      </c>
      <c r="DO96" s="504">
        <f ca="1">SUMIFS(CostTrack[[Value]:[Value]],CostTrack[[PA ID]:[PA ID]],$B96,CostTrack[[Vendor - Contract]:[Vendor - Contract]],$H96,CostTrack[[Holdback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96" s="504">
        <f ca="1">SUMIFS(CostTrack[[Value]:[Value]],CostTrack[[PA ID]:[PA ID]],$B96,CostTrack[[Vendor - Contract]:[Vendor - Contract]],$H96,CostTrack[[Holdback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1250</v>
      </c>
      <c r="DQ96" s="504">
        <f ca="1">SUMIFS(CostTrack[[Value]:[Value]],CostTrack[[PA ID]:[PA ID]],$B96,CostTrack[[Vendor - Contract]:[Vendor - Contract]],$H96,CostTrack[[Holdback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96" s="504">
        <f ca="1">SUMIFS(CostTrack[[Value]:[Value]],CostTrack[[PA ID]:[PA ID]],$B96,CostTrack[[Vendor - Contract]:[Vendor - Contract]],$H96,CostTrack[[Holdback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96" s="504">
        <f ca="1">SUMIFS(CostTrack[[Value]:[Value]],CostTrack[[PA ID]:[PA ID]],$B96,CostTrack[[Vendor - Contract]:[Vendor - Contract]],$H96,CostTrack[[Holdback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695</v>
      </c>
      <c r="DT96" s="504">
        <f ca="1">SUMIFS(CostTrack[[Value]:[Value]],CostTrack[[PA ID]:[PA ID]],$B96,CostTrack[[Vendor - Contract]:[Vendor - Contract]],$H96,CostTrack[[Holdback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96" s="504">
        <f ca="1">SUMIFS(CostTrack[[Value]:[Value]],CostTrack[[PA ID]:[PA ID]],$B96,CostTrack[[Vendor - Contract]:[Vendor - Contract]],$H96,CostTrack[[Holdback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96" s="504">
        <f ca="1">SUMIFS(CostTrack[[Value]:[Value]],CostTrack[[PA ID]:[PA ID]],$B96,CostTrack[[Vendor - Contract]:[Vendor - Contract]],$H96,CostTrack[[Holdback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96" s="504">
        <f ca="1">SUMIFS(CostTrack[[Value]:[Value]],CostTrack[[PA ID]:[PA ID]],$B96,CostTrack[[Vendor - Contract]:[Vendor - Contract]],$H96,CostTrack[[Holdback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96" s="504">
        <f ca="1">SUMIFS(CostTrack[[Value]:[Value]],CostTrack[[PA ID]:[PA ID]],$B96,CostTrack[[Vendor - Contract]:[Vendor - Contract]],$H96,CostTrack[[Holdback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96" s="504">
        <f ca="1">SUMIFS(CostTrack[[Value]:[Value]],CostTrack[[PA ID]:[PA ID]],$B96,CostTrack[[Vendor - Contract]:[Vendor - Contract]],$H96,CostTrack[[Holdback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96" s="504">
        <f ca="1">SUMIFS(CostTrack[[Value]:[Value]],CostTrack[[PA ID]:[PA ID]],$B96,CostTrack[[Vendor - Contract]:[Vendor - Contract]],$H96,CostTrack[[Holdback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96" s="512">
        <f t="shared" ca="1" si="170"/>
        <v>1945</v>
      </c>
      <c r="EC96" s="504">
        <f ca="1">SUMIFS(CostTrack[[Value]:[Value]],CostTrack[[PA ID]:[PA ID]],$B96,CostTrack[[Vendor - Contract]:[Vendor - Contract]],$H96,CostTrack[[Holdback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96" s="505"/>
      <c r="EE96" s="505"/>
      <c r="EF96" s="505"/>
      <c r="EG96" s="505"/>
      <c r="EH96" s="505"/>
      <c r="EI96" s="505"/>
      <c r="EJ96" s="505"/>
      <c r="EK96" s="505"/>
      <c r="EL96" s="505"/>
      <c r="EM96" s="505"/>
      <c r="EN96" s="505"/>
      <c r="EO96" s="512">
        <f t="shared" ca="1" si="171"/>
        <v>0</v>
      </c>
      <c r="EQ96" s="505"/>
      <c r="ER96" s="505"/>
      <c r="ES96" s="505"/>
      <c r="ET96" s="505"/>
      <c r="EU96" s="505"/>
      <c r="EV96" s="505"/>
      <c r="EW96" s="505"/>
      <c r="EX96" s="505"/>
      <c r="EY96" s="505"/>
      <c r="EZ96" s="505"/>
      <c r="FA96" s="505"/>
      <c r="FB96" s="505"/>
      <c r="FC96" s="512">
        <f t="shared" si="158"/>
        <v>0</v>
      </c>
      <c r="FE96" s="505"/>
      <c r="FF96" s="505"/>
      <c r="FG96" s="505"/>
      <c r="FH96" s="505"/>
      <c r="FI96" s="505"/>
      <c r="FJ96" s="505"/>
      <c r="FK96" s="505"/>
      <c r="FL96" s="505"/>
      <c r="FM96" s="505"/>
      <c r="FN96" s="505"/>
      <c r="FO96" s="505"/>
      <c r="FP96" s="505"/>
      <c r="FQ96" s="512">
        <f t="shared" si="159"/>
        <v>0</v>
      </c>
      <c r="FS96" s="504">
        <f t="shared" ca="1" si="172"/>
        <v>9683</v>
      </c>
    </row>
    <row r="97" spans="1:175">
      <c r="A97" s="216">
        <v>90</v>
      </c>
      <c r="B97" s="219" t="str">
        <f ca="1">INDEX(EAC[PA ID],MATCH($A97,EAC[Row],0))</f>
        <v>400.010.F1</v>
      </c>
      <c r="C97" s="218" t="str">
        <f ca="1">INDEX(EAC[Primary Category],MATCH($A97,EAC[Row],0))</f>
        <v>FE_IT</v>
      </c>
      <c r="D97" s="218" t="str">
        <f ca="1">INDEX(EAC[Secondary Category],MATCH($A97,EAC[Row],0))</f>
        <v>Furniture &amp; Equipment</v>
      </c>
      <c r="E97" s="109" t="str">
        <f ca="1">INDEX(EAC[Phase / Subproject],MATCH($A97,EAC[Row],0))</f>
        <v>--</v>
      </c>
      <c r="F97" s="109" t="str">
        <f ca="1">INDEX(EAC[Phase / Subproject 2],MATCH($A97,EAC[Row],0))</f>
        <v>--</v>
      </c>
      <c r="G97" s="109" t="str">
        <f ca="1">INDEX(EAC[Funding Source],MATCH($A97,EAC[Row],0))</f>
        <v>P-002360</v>
      </c>
      <c r="H97" s="146" t="str">
        <f ca="1">INDEX(EAC[Vendor / Org. with Contract ID],MATCH($A97,EAC[Row],0))</f>
        <v>Krug Boardroom Tables- delivery-9000069690</v>
      </c>
      <c r="I97" s="502">
        <f ca="1">INDEX(EAC[Estimate At Completion],MATCH($A97,EAC[Row],0))</f>
        <v>1900</v>
      </c>
      <c r="J97" s="502">
        <f ca="1">SUMIFS(CostTrack[Value],CostTrack[Vendor - Contract],$H97,CostTrack[PA ID],$B97,CostTrack[Holdback (Y/N/R)],"&lt;&gt;Release",CostTrack[Status],"Approved")</f>
        <v>1900</v>
      </c>
      <c r="K97" s="503">
        <f t="shared" ca="1" si="173"/>
        <v>0</v>
      </c>
      <c r="M97" s="504">
        <f t="shared" ca="1" si="160"/>
        <v>0</v>
      </c>
      <c r="O97" s="504">
        <f t="shared" ca="1" si="161"/>
        <v>1900</v>
      </c>
      <c r="P97" s="504">
        <f t="array" aca="1" ref="P97" ca="1">SUM($U97:$FQ97*_xlfn.ISFORMULA($U97:$FQ97)*ISNUMBER($U$7:$FQ$7)*--(INDEX($U$6:$FQ$6,N(IF({1},COLUMN($U$6:$FQ$6)-COLUMN($T$6)))-MOD(N(IF({1},COLUMN($U$6:$FQ$6)-COLUMN($U$6))),14))="Current Fiscal"))</f>
        <v>0</v>
      </c>
      <c r="Q97" s="504">
        <f t="array" aca="1" ref="Q97" ca="1">SUM($U97:$FQ97*NOT(_xlfn.ISFORMULA($U97:$FQ97))*ISNUMBER($U$7:$FQ$7)*--(INDEX($U$6:$FQ$6,N(IF({1},COLUMN($U$6:$FQ$6)-COLUMN($T$6)))-MOD(N(IF({1},COLUMN($U$6:$FQ$6)-COLUMN($U$6))),14))="Current Fiscal"))</f>
        <v>0</v>
      </c>
      <c r="R97" s="504">
        <f t="shared" ca="1" si="174"/>
        <v>0</v>
      </c>
      <c r="S97" s="504">
        <f t="shared" ca="1" si="175"/>
        <v>0</v>
      </c>
      <c r="U97" s="504">
        <f ca="1">SUMIFS(CostTrack[[Value]:[Value]],CostTrack[[PA ID]:[PA ID]],$B97,CostTrack[[Vendor - Contract]:[Vendor - Contract]],$H97,CostTrack[[Holdback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97" s="504">
        <f ca="1">SUMIFS(CostTrack[[Value]:[Value]],CostTrack[[PA ID]:[PA ID]],$B97,CostTrack[[Vendor - Contract]:[Vendor - Contract]],$H97,CostTrack[[Holdback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97" s="504">
        <f ca="1">SUMIFS(CostTrack[[Value]:[Value]],CostTrack[[PA ID]:[PA ID]],$B97,CostTrack[[Vendor - Contract]:[Vendor - Contract]],$H97,CostTrack[[Holdback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97" s="504">
        <f ca="1">SUMIFS(CostTrack[[Value]:[Value]],CostTrack[[PA ID]:[PA ID]],$B97,CostTrack[[Vendor - Contract]:[Vendor - Contract]],$H97,CostTrack[[Holdback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97" s="504">
        <f ca="1">SUMIFS(CostTrack[[Value]:[Value]],CostTrack[[PA ID]:[PA ID]],$B97,CostTrack[[Vendor - Contract]:[Vendor - Contract]],$H97,CostTrack[[Holdback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97" s="504">
        <f ca="1">SUMIFS(CostTrack[[Value]:[Value]],CostTrack[[PA ID]:[PA ID]],$B97,CostTrack[[Vendor - Contract]:[Vendor - Contract]],$H97,CostTrack[[Holdback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97" s="504">
        <f ca="1">SUMIFS(CostTrack[[Value]:[Value]],CostTrack[[PA ID]:[PA ID]],$B97,CostTrack[[Vendor - Contract]:[Vendor - Contract]],$H97,CostTrack[[Holdback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97" s="504">
        <f ca="1">SUMIFS(CostTrack[[Value]:[Value]],CostTrack[[PA ID]:[PA ID]],$B97,CostTrack[[Vendor - Contract]:[Vendor - Contract]],$H97,CostTrack[[Holdback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97" s="504">
        <f ca="1">SUMIFS(CostTrack[[Value]:[Value]],CostTrack[[PA ID]:[PA ID]],$B97,CostTrack[[Vendor - Contract]:[Vendor - Contract]],$H97,CostTrack[[Holdback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97" s="504">
        <f ca="1">SUMIFS(CostTrack[[Value]:[Value]],CostTrack[[PA ID]:[PA ID]],$B97,CostTrack[[Vendor - Contract]:[Vendor - Contract]],$H97,CostTrack[[Holdback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97" s="504">
        <f ca="1">SUMIFS(CostTrack[[Value]:[Value]],CostTrack[[PA ID]:[PA ID]],$B97,CostTrack[[Vendor - Contract]:[Vendor - Contract]],$H97,CostTrack[[Holdback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97" s="504">
        <f ca="1">SUMIFS(CostTrack[[Value]:[Value]],CostTrack[[PA ID]:[PA ID]],$B97,CostTrack[[Vendor - Contract]:[Vendor - Contract]],$H97,CostTrack[[Holdback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97" s="506">
        <f t="shared" ca="1" si="176"/>
        <v>0</v>
      </c>
      <c r="AI97" s="504">
        <f ca="1">SUMIFS(CostTrack[[Value]:[Value]],CostTrack[[PA ID]:[PA ID]],$B97,CostTrack[[Vendor - Contract]:[Vendor - Contract]],$H97,CostTrack[[Holdback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97" s="504">
        <f ca="1">SUMIFS(CostTrack[[Value]:[Value]],CostTrack[[PA ID]:[PA ID]],$B97,CostTrack[[Vendor - Contract]:[Vendor - Contract]],$H97,CostTrack[[Holdback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97" s="504">
        <f ca="1">SUMIFS(CostTrack[[Value]:[Value]],CostTrack[[PA ID]:[PA ID]],$B97,CostTrack[[Vendor - Contract]:[Vendor - Contract]],$H97,CostTrack[[Holdback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97" s="504">
        <f ca="1">SUMIFS(CostTrack[[Value]:[Value]],CostTrack[[PA ID]:[PA ID]],$B97,CostTrack[[Vendor - Contract]:[Vendor - Contract]],$H97,CostTrack[[Holdback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97" s="504">
        <f ca="1">SUMIFS(CostTrack[[Value]:[Value]],CostTrack[[PA ID]:[PA ID]],$B97,CostTrack[[Vendor - Contract]:[Vendor - Contract]],$H97,CostTrack[[Holdback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97" s="504">
        <f ca="1">SUMIFS(CostTrack[[Value]:[Value]],CostTrack[[PA ID]:[PA ID]],$B97,CostTrack[[Vendor - Contract]:[Vendor - Contract]],$H97,CostTrack[[Holdback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97" s="504">
        <f ca="1">SUMIFS(CostTrack[[Value]:[Value]],CostTrack[[PA ID]:[PA ID]],$B97,CostTrack[[Vendor - Contract]:[Vendor - Contract]],$H97,CostTrack[[Holdback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97" s="504">
        <f ca="1">SUMIFS(CostTrack[[Value]:[Value]],CostTrack[[PA ID]:[PA ID]],$B97,CostTrack[[Vendor - Contract]:[Vendor - Contract]],$H97,CostTrack[[Holdback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97" s="504">
        <f ca="1">SUMIFS(CostTrack[[Value]:[Value]],CostTrack[[PA ID]:[PA ID]],$B97,CostTrack[[Vendor - Contract]:[Vendor - Contract]],$H97,CostTrack[[Holdback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97" s="504">
        <f ca="1">SUMIFS(CostTrack[[Value]:[Value]],CostTrack[[PA ID]:[PA ID]],$B97,CostTrack[[Vendor - Contract]:[Vendor - Contract]],$H97,CostTrack[[Holdback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97" s="504">
        <f ca="1">SUMIFS(CostTrack[[Value]:[Value]],CostTrack[[PA ID]:[PA ID]],$B97,CostTrack[[Vendor - Contract]:[Vendor - Contract]],$H97,CostTrack[[Holdback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97" s="504">
        <f ca="1">SUMIFS(CostTrack[[Value]:[Value]],CostTrack[[PA ID]:[PA ID]],$B97,CostTrack[[Vendor - Contract]:[Vendor - Contract]],$H97,CostTrack[[Holdback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97" s="512">
        <f t="shared" ca="1" si="165"/>
        <v>0</v>
      </c>
      <c r="AW97" s="504">
        <f ca="1">SUMIFS(CostTrack[[Value]:[Value]],CostTrack[[PA ID]:[PA ID]],$B97,CostTrack[[Vendor - Contract]:[Vendor - Contract]],$H97,CostTrack[[Holdback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97" s="504">
        <f ca="1">SUMIFS(CostTrack[[Value]:[Value]],CostTrack[[PA ID]:[PA ID]],$B97,CostTrack[[Vendor - Contract]:[Vendor - Contract]],$H97,CostTrack[[Holdback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97" s="504">
        <f ca="1">SUMIFS(CostTrack[[Value]:[Value]],CostTrack[[PA ID]:[PA ID]],$B97,CostTrack[[Vendor - Contract]:[Vendor - Contract]],$H97,CostTrack[[Holdback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97" s="504">
        <f ca="1">SUMIFS(CostTrack[[Value]:[Value]],CostTrack[[PA ID]:[PA ID]],$B97,CostTrack[[Vendor - Contract]:[Vendor - Contract]],$H97,CostTrack[[Holdback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97" s="504">
        <f ca="1">SUMIFS(CostTrack[[Value]:[Value]],CostTrack[[PA ID]:[PA ID]],$B97,CostTrack[[Vendor - Contract]:[Vendor - Contract]],$H97,CostTrack[[Holdback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97" s="504">
        <f ca="1">SUMIFS(CostTrack[[Value]:[Value]],CostTrack[[PA ID]:[PA ID]],$B97,CostTrack[[Vendor - Contract]:[Vendor - Contract]],$H97,CostTrack[[Holdback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97" s="504">
        <f ca="1">SUMIFS(CostTrack[[Value]:[Value]],CostTrack[[PA ID]:[PA ID]],$B97,CostTrack[[Vendor - Contract]:[Vendor - Contract]],$H97,CostTrack[[Holdback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97" s="504">
        <f ca="1">SUMIFS(CostTrack[[Value]:[Value]],CostTrack[[PA ID]:[PA ID]],$B97,CostTrack[[Vendor - Contract]:[Vendor - Contract]],$H97,CostTrack[[Holdback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97" s="504">
        <f ca="1">SUMIFS(CostTrack[[Value]:[Value]],CostTrack[[PA ID]:[PA ID]],$B97,CostTrack[[Vendor - Contract]:[Vendor - Contract]],$H97,CostTrack[[Holdback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97" s="504">
        <f ca="1">SUMIFS(CostTrack[[Value]:[Value]],CostTrack[[PA ID]:[PA ID]],$B97,CostTrack[[Vendor - Contract]:[Vendor - Contract]],$H97,CostTrack[[Holdback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97" s="504">
        <f ca="1">SUMIFS(CostTrack[[Value]:[Value]],CostTrack[[PA ID]:[PA ID]],$B97,CostTrack[[Vendor - Contract]:[Vendor - Contract]],$H97,CostTrack[[Holdback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97" s="504">
        <f ca="1">SUMIFS(CostTrack[[Value]:[Value]],CostTrack[[PA ID]:[PA ID]],$B97,CostTrack[[Vendor - Contract]:[Vendor - Contract]],$H97,CostTrack[[Holdback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97" s="512">
        <f t="shared" ca="1" si="166"/>
        <v>0</v>
      </c>
      <c r="BK97" s="504">
        <f ca="1">SUMIFS(CostTrack[[Value]:[Value]],CostTrack[[PA ID]:[PA ID]],$B97,CostTrack[[Vendor - Contract]:[Vendor - Contract]],$H97,CostTrack[[Holdback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97" s="504">
        <f ca="1">SUMIFS(CostTrack[[Value]:[Value]],CostTrack[[PA ID]:[PA ID]],$B97,CostTrack[[Vendor - Contract]:[Vendor - Contract]],$H97,CostTrack[[Holdback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97" s="504">
        <f ca="1">SUMIFS(CostTrack[[Value]:[Value]],CostTrack[[PA ID]:[PA ID]],$B97,CostTrack[[Vendor - Contract]:[Vendor - Contract]],$H97,CostTrack[[Holdback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97" s="504">
        <f ca="1">SUMIFS(CostTrack[[Value]:[Value]],CostTrack[[PA ID]:[PA ID]],$B97,CostTrack[[Vendor - Contract]:[Vendor - Contract]],$H97,CostTrack[[Holdback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97" s="504">
        <f ca="1">SUMIFS(CostTrack[[Value]:[Value]],CostTrack[[PA ID]:[PA ID]],$B97,CostTrack[[Vendor - Contract]:[Vendor - Contract]],$H97,CostTrack[[Holdback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97" s="504">
        <f ca="1">SUMIFS(CostTrack[[Value]:[Value]],CostTrack[[PA ID]:[PA ID]],$B97,CostTrack[[Vendor - Contract]:[Vendor - Contract]],$H97,CostTrack[[Holdback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97" s="504">
        <f ca="1">SUMIFS(CostTrack[[Value]:[Value]],CostTrack[[PA ID]:[PA ID]],$B97,CostTrack[[Vendor - Contract]:[Vendor - Contract]],$H97,CostTrack[[Holdback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97" s="504">
        <f ca="1">SUMIFS(CostTrack[[Value]:[Value]],CostTrack[[PA ID]:[PA ID]],$B97,CostTrack[[Vendor - Contract]:[Vendor - Contract]],$H97,CostTrack[[Holdback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97" s="504">
        <f ca="1">SUMIFS(CostTrack[[Value]:[Value]],CostTrack[[PA ID]:[PA ID]],$B97,CostTrack[[Vendor - Contract]:[Vendor - Contract]],$H97,CostTrack[[Holdback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97" s="504">
        <f ca="1">SUMIFS(CostTrack[[Value]:[Value]],CostTrack[[PA ID]:[PA ID]],$B97,CostTrack[[Vendor - Contract]:[Vendor - Contract]],$H97,CostTrack[[Holdback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97" s="504">
        <f ca="1">SUMIFS(CostTrack[[Value]:[Value]],CostTrack[[PA ID]:[PA ID]],$B97,CostTrack[[Vendor - Contract]:[Vendor - Contract]],$H97,CostTrack[[Holdback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97" s="504">
        <f ca="1">SUMIFS(CostTrack[[Value]:[Value]],CostTrack[[PA ID]:[PA ID]],$B97,CostTrack[[Vendor - Contract]:[Vendor - Contract]],$H97,CostTrack[[Holdback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97" s="512">
        <f t="shared" ca="1" si="167"/>
        <v>0</v>
      </c>
      <c r="BY97" s="504">
        <f ca="1">SUMIFS(CostTrack[[Value]:[Value]],CostTrack[[PA ID]:[PA ID]],$B97,CostTrack[[Vendor - Contract]:[Vendor - Contract]],$H97,CostTrack[[Holdback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97" s="504">
        <f ca="1">SUMIFS(CostTrack[[Value]:[Value]],CostTrack[[PA ID]:[PA ID]],$B97,CostTrack[[Vendor - Contract]:[Vendor - Contract]],$H97,CostTrack[[Holdback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97" s="504">
        <f ca="1">SUMIFS(CostTrack[[Value]:[Value]],CostTrack[[PA ID]:[PA ID]],$B97,CostTrack[[Vendor - Contract]:[Vendor - Contract]],$H97,CostTrack[[Holdback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97" s="504">
        <f ca="1">SUMIFS(CostTrack[[Value]:[Value]],CostTrack[[PA ID]:[PA ID]],$B97,CostTrack[[Vendor - Contract]:[Vendor - Contract]],$H97,CostTrack[[Holdback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97" s="504">
        <f ca="1">SUMIFS(CostTrack[[Value]:[Value]],CostTrack[[PA ID]:[PA ID]],$B97,CostTrack[[Vendor - Contract]:[Vendor - Contract]],$H97,CostTrack[[Holdback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97" s="504">
        <f ca="1">SUMIFS(CostTrack[[Value]:[Value]],CostTrack[[PA ID]:[PA ID]],$B97,CostTrack[[Vendor - Contract]:[Vendor - Contract]],$H97,CostTrack[[Holdback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97" s="504">
        <f ca="1">SUMIFS(CostTrack[[Value]:[Value]],CostTrack[[PA ID]:[PA ID]],$B97,CostTrack[[Vendor - Contract]:[Vendor - Contract]],$H97,CostTrack[[Holdback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97" s="504">
        <f ca="1">SUMIFS(CostTrack[[Value]:[Value]],CostTrack[[PA ID]:[PA ID]],$B97,CostTrack[[Vendor - Contract]:[Vendor - Contract]],$H97,CostTrack[[Holdback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97" s="504">
        <f ca="1">SUMIFS(CostTrack[[Value]:[Value]],CostTrack[[PA ID]:[PA ID]],$B97,CostTrack[[Vendor - Contract]:[Vendor - Contract]],$H97,CostTrack[[Holdback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97" s="504">
        <f ca="1">SUMIFS(CostTrack[[Value]:[Value]],CostTrack[[PA ID]:[PA ID]],$B97,CostTrack[[Vendor - Contract]:[Vendor - Contract]],$H97,CostTrack[[Holdback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97" s="504">
        <f ca="1">SUMIFS(CostTrack[[Value]:[Value]],CostTrack[[PA ID]:[PA ID]],$B97,CostTrack[[Vendor - Contract]:[Vendor - Contract]],$H97,CostTrack[[Holdback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97" s="504">
        <f ca="1">SUMIFS(CostTrack[[Value]:[Value]],CostTrack[[PA ID]:[PA ID]],$B97,CostTrack[[Vendor - Contract]:[Vendor - Contract]],$H97,CostTrack[[Holdback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97" s="512">
        <f t="shared" ca="1" si="168"/>
        <v>0</v>
      </c>
      <c r="CM97" s="504">
        <f ca="1">SUMIFS(CostTrack[[Value]:[Value]],CostTrack[[PA ID]:[PA ID]],$B97,CostTrack[[Vendor - Contract]:[Vendor - Contract]],$H97,CostTrack[[Holdback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97" s="504">
        <f ca="1">SUMIFS(CostTrack[[Value]:[Value]],CostTrack[[PA ID]:[PA ID]],$B97,CostTrack[[Vendor - Contract]:[Vendor - Contract]],$H97,CostTrack[[Holdback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97" s="504">
        <f ca="1">SUMIFS(CostTrack[[Value]:[Value]],CostTrack[[PA ID]:[PA ID]],$B97,CostTrack[[Vendor - Contract]:[Vendor - Contract]],$H97,CostTrack[[Holdback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97" s="504">
        <f ca="1">SUMIFS(CostTrack[[Value]:[Value]],CostTrack[[PA ID]:[PA ID]],$B97,CostTrack[[Vendor - Contract]:[Vendor - Contract]],$H97,CostTrack[[Holdback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97" s="504">
        <f ca="1">SUMIFS(CostTrack[[Value]:[Value]],CostTrack[[PA ID]:[PA ID]],$B97,CostTrack[[Vendor - Contract]:[Vendor - Contract]],$H97,CostTrack[[Holdback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97" s="504">
        <f ca="1">SUMIFS(CostTrack[[Value]:[Value]],CostTrack[[PA ID]:[PA ID]],$B97,CostTrack[[Vendor - Contract]:[Vendor - Contract]],$H97,CostTrack[[Holdback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97" s="504">
        <f ca="1">SUMIFS(CostTrack[[Value]:[Value]],CostTrack[[PA ID]:[PA ID]],$B97,CostTrack[[Vendor - Contract]:[Vendor - Contract]],$H97,CostTrack[[Holdback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97" s="504">
        <f ca="1">SUMIFS(CostTrack[[Value]:[Value]],CostTrack[[PA ID]:[PA ID]],$B97,CostTrack[[Vendor - Contract]:[Vendor - Contract]],$H97,CostTrack[[Holdback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97" s="504">
        <f ca="1">SUMIFS(CostTrack[[Value]:[Value]],CostTrack[[PA ID]:[PA ID]],$B97,CostTrack[[Vendor - Contract]:[Vendor - Contract]],$H97,CostTrack[[Holdback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97" s="504">
        <f ca="1">SUMIFS(CostTrack[[Value]:[Value]],CostTrack[[PA ID]:[PA ID]],$B97,CostTrack[[Vendor - Contract]:[Vendor - Contract]],$H97,CostTrack[[Holdback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97" s="504">
        <f ca="1">SUMIFS(CostTrack[[Value]:[Value]],CostTrack[[PA ID]:[PA ID]],$B97,CostTrack[[Vendor - Contract]:[Vendor - Contract]],$H97,CostTrack[[Holdback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97" s="504">
        <f ca="1">SUMIFS(CostTrack[[Value]:[Value]],CostTrack[[PA ID]:[PA ID]],$B97,CostTrack[[Vendor - Contract]:[Vendor - Contract]],$H97,CostTrack[[Holdback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97" s="512">
        <f t="shared" ca="1" si="177"/>
        <v>0</v>
      </c>
      <c r="DA97" s="504">
        <f ca="1">SUMIFS(CostTrack[[Value]:[Value]],CostTrack[[PA ID]:[PA ID]],$B97,CostTrack[[Vendor - Contract]:[Vendor - Contract]],$H97,CostTrack[[Holdback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97" s="504">
        <f ca="1">SUMIFS(CostTrack[[Value]:[Value]],CostTrack[[PA ID]:[PA ID]],$B97,CostTrack[[Vendor - Contract]:[Vendor - Contract]],$H97,CostTrack[[Holdback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97" s="504">
        <f ca="1">SUMIFS(CostTrack[[Value]:[Value]],CostTrack[[PA ID]:[PA ID]],$B97,CostTrack[[Vendor - Contract]:[Vendor - Contract]],$H97,CostTrack[[Holdback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97" s="504">
        <f ca="1">SUMIFS(CostTrack[[Value]:[Value]],CostTrack[[PA ID]:[PA ID]],$B97,CostTrack[[Vendor - Contract]:[Vendor - Contract]],$H97,CostTrack[[Holdback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97" s="504">
        <f ca="1">SUMIFS(CostTrack[[Value]:[Value]],CostTrack[[PA ID]:[PA ID]],$B97,CostTrack[[Vendor - Contract]:[Vendor - Contract]],$H97,CostTrack[[Holdback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97" s="504">
        <f ca="1">SUMIFS(CostTrack[[Value]:[Value]],CostTrack[[PA ID]:[PA ID]],$B97,CostTrack[[Vendor - Contract]:[Vendor - Contract]],$H97,CostTrack[[Holdback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97" s="504">
        <f ca="1">SUMIFS(CostTrack[[Value]:[Value]],CostTrack[[PA ID]:[PA ID]],$B97,CostTrack[[Vendor - Contract]:[Vendor - Contract]],$H97,CostTrack[[Holdback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97" s="504">
        <f ca="1">SUMIFS(CostTrack[[Value]:[Value]],CostTrack[[PA ID]:[PA ID]],$B97,CostTrack[[Vendor - Contract]:[Vendor - Contract]],$H97,CostTrack[[Holdback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1900</v>
      </c>
      <c r="DI97" s="504">
        <f ca="1">SUMIFS(CostTrack[[Value]:[Value]],CostTrack[[PA ID]:[PA ID]],$B97,CostTrack[[Vendor - Contract]:[Vendor - Contract]],$H97,CostTrack[[Holdback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97" s="504">
        <f ca="1">SUMIFS(CostTrack[[Value]:[Value]],CostTrack[[PA ID]:[PA ID]],$B97,CostTrack[[Vendor - Contract]:[Vendor - Contract]],$H97,CostTrack[[Holdback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97" s="504">
        <f ca="1">SUMIFS(CostTrack[[Value]:[Value]],CostTrack[[PA ID]:[PA ID]],$B97,CostTrack[[Vendor - Contract]:[Vendor - Contract]],$H97,CostTrack[[Holdback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97" s="504">
        <f ca="1">SUMIFS(CostTrack[[Value]:[Value]],CostTrack[[PA ID]:[PA ID]],$B97,CostTrack[[Vendor - Contract]:[Vendor - Contract]],$H97,CostTrack[[Holdback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97" s="512">
        <f t="shared" ca="1" si="178"/>
        <v>1900</v>
      </c>
      <c r="DO97" s="504">
        <f ca="1">SUMIFS(CostTrack[[Value]:[Value]],CostTrack[[PA ID]:[PA ID]],$B97,CostTrack[[Vendor - Contract]:[Vendor - Contract]],$H97,CostTrack[[Holdback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97" s="504">
        <f ca="1">SUMIFS(CostTrack[[Value]:[Value]],CostTrack[[PA ID]:[PA ID]],$B97,CostTrack[[Vendor - Contract]:[Vendor - Contract]],$H97,CostTrack[[Holdback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97" s="504">
        <f ca="1">SUMIFS(CostTrack[[Value]:[Value]],CostTrack[[PA ID]:[PA ID]],$B97,CostTrack[[Vendor - Contract]:[Vendor - Contract]],$H97,CostTrack[[Holdback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97" s="504">
        <f ca="1">SUMIFS(CostTrack[[Value]:[Value]],CostTrack[[PA ID]:[PA ID]],$B97,CostTrack[[Vendor - Contract]:[Vendor - Contract]],$H97,CostTrack[[Holdback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97" s="504">
        <f ca="1">SUMIFS(CostTrack[[Value]:[Value]],CostTrack[[PA ID]:[PA ID]],$B97,CostTrack[[Vendor - Contract]:[Vendor - Contract]],$H97,CostTrack[[Holdback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97" s="504">
        <f ca="1">SUMIFS(CostTrack[[Value]:[Value]],CostTrack[[PA ID]:[PA ID]],$B97,CostTrack[[Vendor - Contract]:[Vendor - Contract]],$H97,CostTrack[[Holdback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97" s="504">
        <f ca="1">SUMIFS(CostTrack[[Value]:[Value]],CostTrack[[PA ID]:[PA ID]],$B97,CostTrack[[Vendor - Contract]:[Vendor - Contract]],$H97,CostTrack[[Holdback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97" s="504">
        <f ca="1">SUMIFS(CostTrack[[Value]:[Value]],CostTrack[[PA ID]:[PA ID]],$B97,CostTrack[[Vendor - Contract]:[Vendor - Contract]],$H97,CostTrack[[Holdback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97" s="504">
        <f ca="1">SUMIFS(CostTrack[[Value]:[Value]],CostTrack[[PA ID]:[PA ID]],$B97,CostTrack[[Vendor - Contract]:[Vendor - Contract]],$H97,CostTrack[[Holdback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97" s="504">
        <f ca="1">SUMIFS(CostTrack[[Value]:[Value]],CostTrack[[PA ID]:[PA ID]],$B97,CostTrack[[Vendor - Contract]:[Vendor - Contract]],$H97,CostTrack[[Holdback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97" s="504">
        <f ca="1">SUMIFS(CostTrack[[Value]:[Value]],CostTrack[[PA ID]:[PA ID]],$B97,CostTrack[[Vendor - Contract]:[Vendor - Contract]],$H97,CostTrack[[Holdback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97" s="504">
        <f ca="1">SUMIFS(CostTrack[[Value]:[Value]],CostTrack[[PA ID]:[PA ID]],$B97,CostTrack[[Vendor - Contract]:[Vendor - Contract]],$H97,CostTrack[[Holdback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97" s="512">
        <f t="shared" ca="1" si="170"/>
        <v>0</v>
      </c>
      <c r="EC97" s="504">
        <f ca="1">SUMIFS(CostTrack[[Value]:[Value]],CostTrack[[PA ID]:[PA ID]],$B97,CostTrack[[Vendor - Contract]:[Vendor - Contract]],$H97,CostTrack[[Holdback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97" s="505"/>
      <c r="EE97" s="505"/>
      <c r="EF97" s="505"/>
      <c r="EG97" s="505"/>
      <c r="EH97" s="505"/>
      <c r="EI97" s="505"/>
      <c r="EJ97" s="505"/>
      <c r="EK97" s="505"/>
      <c r="EL97" s="505"/>
      <c r="EM97" s="505"/>
      <c r="EN97" s="505"/>
      <c r="EO97" s="512">
        <f t="shared" ca="1" si="171"/>
        <v>0</v>
      </c>
      <c r="EQ97" s="505"/>
      <c r="ER97" s="505"/>
      <c r="ES97" s="505"/>
      <c r="ET97" s="505"/>
      <c r="EU97" s="505"/>
      <c r="EV97" s="505"/>
      <c r="EW97" s="505"/>
      <c r="EX97" s="505"/>
      <c r="EY97" s="505"/>
      <c r="EZ97" s="505"/>
      <c r="FA97" s="505"/>
      <c r="FB97" s="505"/>
      <c r="FC97" s="512">
        <f t="shared" si="158"/>
        <v>0</v>
      </c>
      <c r="FE97" s="505"/>
      <c r="FF97" s="505"/>
      <c r="FG97" s="505"/>
      <c r="FH97" s="505"/>
      <c r="FI97" s="505"/>
      <c r="FJ97" s="505"/>
      <c r="FK97" s="505"/>
      <c r="FL97" s="505"/>
      <c r="FM97" s="505"/>
      <c r="FN97" s="505"/>
      <c r="FO97" s="505"/>
      <c r="FP97" s="505"/>
      <c r="FQ97" s="512">
        <f t="shared" si="159"/>
        <v>0</v>
      </c>
      <c r="FS97" s="504">
        <f t="shared" ca="1" si="172"/>
        <v>1900</v>
      </c>
    </row>
    <row r="98" spans="1:175">
      <c r="A98" s="216">
        <v>91</v>
      </c>
      <c r="B98" s="219" t="str">
        <f ca="1">INDEX(EAC[PA ID],MATCH($A98,EAC[Row],0))</f>
        <v>400.010.F1</v>
      </c>
      <c r="C98" s="218" t="str">
        <f ca="1">INDEX(EAC[Primary Category],MATCH($A98,EAC[Row],0))</f>
        <v>FE_IT</v>
      </c>
      <c r="D98" s="218" t="str">
        <f ca="1">INDEX(EAC[Secondary Category],MATCH($A98,EAC[Row],0))</f>
        <v>Furniture &amp; Equipment</v>
      </c>
      <c r="E98" s="109" t="str">
        <f ca="1">INDEX(EAC[Phase / Subproject],MATCH($A98,EAC[Row],0))</f>
        <v>--</v>
      </c>
      <c r="F98" s="109" t="str">
        <f ca="1">INDEX(EAC[Phase / Subproject 2],MATCH($A98,EAC[Row],0))</f>
        <v>--</v>
      </c>
      <c r="G98" s="109" t="str">
        <f ca="1">INDEX(EAC[Funding Source],MATCH($A98,EAC[Row],0))</f>
        <v>P-002360</v>
      </c>
      <c r="H98" s="146" t="str">
        <f ca="1">INDEX(EAC[Vendor / Org. with Contract ID],MATCH($A98,EAC[Row],0))</f>
        <v>APA-Access Cards-9000081170</v>
      </c>
      <c r="I98" s="502">
        <f ca="1">INDEX(EAC[Estimate At Completion],MATCH($A98,EAC[Row],0))</f>
        <v>1065</v>
      </c>
      <c r="J98" s="502">
        <f ca="1">SUMIFS(CostTrack[Value],CostTrack[Vendor - Contract],$H98,CostTrack[PA ID],$B98,CostTrack[Holdback (Y/N/R)],"&lt;&gt;Release",CostTrack[Status],"Approved")</f>
        <v>1065</v>
      </c>
      <c r="K98" s="503">
        <f t="shared" ref="K98:K103" ca="1" si="179">IFERROR(I98-J98,"")</f>
        <v>0</v>
      </c>
      <c r="M98" s="504">
        <f t="shared" ref="M98:M103" ca="1" si="180">I98-FS98</f>
        <v>0</v>
      </c>
      <c r="O98" s="504">
        <f t="shared" ref="O98:O103" ca="1" si="181">SUMIF($U$6:$FQ$6,"Previous Fiscal",AG98:FQ98)</f>
        <v>1065</v>
      </c>
      <c r="P98" s="504">
        <f t="array" aca="1" ref="P98" ca="1">SUM($U98:$FQ98*_xlfn.ISFORMULA($U98:$FQ98)*ISNUMBER($U$7:$FQ$7)*--(INDEX($U$6:$FQ$6,N(IF({1},COLUMN($U$6:$FQ$6)-COLUMN($T$6)))-MOD(N(IF({1},COLUMN($U$6:$FQ$6)-COLUMN($U$6))),14))="Current Fiscal"))</f>
        <v>0</v>
      </c>
      <c r="Q98" s="504">
        <f t="array" aca="1" ref="Q98" ca="1">SUM($U98:$FQ98*NOT(_xlfn.ISFORMULA($U98:$FQ98))*ISNUMBER($U$7:$FQ$7)*--(INDEX($U$6:$FQ$6,N(IF({1},COLUMN($U$6:$FQ$6)-COLUMN($T$6)))-MOD(N(IF({1},COLUMN($U$6:$FQ$6)-COLUMN($U$6))),14))="Current Fiscal"))</f>
        <v>0</v>
      </c>
      <c r="R98" s="504">
        <f t="shared" ref="R98:R103" ca="1" si="182">SUMIF($U$6:$FQ$6,"Current Fiscal",AG98:FQ98)</f>
        <v>0</v>
      </c>
      <c r="S98" s="504">
        <f t="shared" ref="S98:S103" ca="1" si="183">SUMIF($U$6:$FQ$6,"Future Fiscal",AG98:FQ98)</f>
        <v>0</v>
      </c>
      <c r="U98" s="504">
        <f ca="1">SUMIFS(CostTrack[[Value]:[Value]],CostTrack[[PA ID]:[PA ID]],$B98,CostTrack[[Vendor - Contract]:[Vendor - Contract]],$H98,CostTrack[[Holdback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98" s="504">
        <f ca="1">SUMIFS(CostTrack[[Value]:[Value]],CostTrack[[PA ID]:[PA ID]],$B98,CostTrack[[Vendor - Contract]:[Vendor - Contract]],$H98,CostTrack[[Holdback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98" s="504">
        <f ca="1">SUMIFS(CostTrack[[Value]:[Value]],CostTrack[[PA ID]:[PA ID]],$B98,CostTrack[[Vendor - Contract]:[Vendor - Contract]],$H98,CostTrack[[Holdback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98" s="504">
        <f ca="1">SUMIFS(CostTrack[[Value]:[Value]],CostTrack[[PA ID]:[PA ID]],$B98,CostTrack[[Vendor - Contract]:[Vendor - Contract]],$H98,CostTrack[[Holdback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98" s="504">
        <f ca="1">SUMIFS(CostTrack[[Value]:[Value]],CostTrack[[PA ID]:[PA ID]],$B98,CostTrack[[Vendor - Contract]:[Vendor - Contract]],$H98,CostTrack[[Holdback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98" s="504">
        <f ca="1">SUMIFS(CostTrack[[Value]:[Value]],CostTrack[[PA ID]:[PA ID]],$B98,CostTrack[[Vendor - Contract]:[Vendor - Contract]],$H98,CostTrack[[Holdback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98" s="504">
        <f ca="1">SUMIFS(CostTrack[[Value]:[Value]],CostTrack[[PA ID]:[PA ID]],$B98,CostTrack[[Vendor - Contract]:[Vendor - Contract]],$H98,CostTrack[[Holdback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98" s="504">
        <f ca="1">SUMIFS(CostTrack[[Value]:[Value]],CostTrack[[PA ID]:[PA ID]],$B98,CostTrack[[Vendor - Contract]:[Vendor - Contract]],$H98,CostTrack[[Holdback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98" s="504">
        <f ca="1">SUMIFS(CostTrack[[Value]:[Value]],CostTrack[[PA ID]:[PA ID]],$B98,CostTrack[[Vendor - Contract]:[Vendor - Contract]],$H98,CostTrack[[Holdback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98" s="504">
        <f ca="1">SUMIFS(CostTrack[[Value]:[Value]],CostTrack[[PA ID]:[PA ID]],$B98,CostTrack[[Vendor - Contract]:[Vendor - Contract]],$H98,CostTrack[[Holdback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98" s="504">
        <f ca="1">SUMIFS(CostTrack[[Value]:[Value]],CostTrack[[PA ID]:[PA ID]],$B98,CostTrack[[Vendor - Contract]:[Vendor - Contract]],$H98,CostTrack[[Holdback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98" s="504">
        <f ca="1">SUMIFS(CostTrack[[Value]:[Value]],CostTrack[[PA ID]:[PA ID]],$B98,CostTrack[[Vendor - Contract]:[Vendor - Contract]],$H98,CostTrack[[Holdback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98" s="506">
        <f t="shared" ref="AG98:AG103" ca="1" si="184">SUM(U98:AF98)</f>
        <v>0</v>
      </c>
      <c r="AI98" s="504">
        <f ca="1">SUMIFS(CostTrack[[Value]:[Value]],CostTrack[[PA ID]:[PA ID]],$B98,CostTrack[[Vendor - Contract]:[Vendor - Contract]],$H98,CostTrack[[Holdback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98" s="504">
        <f ca="1">SUMIFS(CostTrack[[Value]:[Value]],CostTrack[[PA ID]:[PA ID]],$B98,CostTrack[[Vendor - Contract]:[Vendor - Contract]],$H98,CostTrack[[Holdback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98" s="504">
        <f ca="1">SUMIFS(CostTrack[[Value]:[Value]],CostTrack[[PA ID]:[PA ID]],$B98,CostTrack[[Vendor - Contract]:[Vendor - Contract]],$H98,CostTrack[[Holdback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98" s="504">
        <f ca="1">SUMIFS(CostTrack[[Value]:[Value]],CostTrack[[PA ID]:[PA ID]],$B98,CostTrack[[Vendor - Contract]:[Vendor - Contract]],$H98,CostTrack[[Holdback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98" s="504">
        <f ca="1">SUMIFS(CostTrack[[Value]:[Value]],CostTrack[[PA ID]:[PA ID]],$B98,CostTrack[[Vendor - Contract]:[Vendor - Contract]],$H98,CostTrack[[Holdback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98" s="504">
        <f ca="1">SUMIFS(CostTrack[[Value]:[Value]],CostTrack[[PA ID]:[PA ID]],$B98,CostTrack[[Vendor - Contract]:[Vendor - Contract]],$H98,CostTrack[[Holdback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98" s="504">
        <f ca="1">SUMIFS(CostTrack[[Value]:[Value]],CostTrack[[PA ID]:[PA ID]],$B98,CostTrack[[Vendor - Contract]:[Vendor - Contract]],$H98,CostTrack[[Holdback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98" s="504">
        <f ca="1">SUMIFS(CostTrack[[Value]:[Value]],CostTrack[[PA ID]:[PA ID]],$B98,CostTrack[[Vendor - Contract]:[Vendor - Contract]],$H98,CostTrack[[Holdback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98" s="504">
        <f ca="1">SUMIFS(CostTrack[[Value]:[Value]],CostTrack[[PA ID]:[PA ID]],$B98,CostTrack[[Vendor - Contract]:[Vendor - Contract]],$H98,CostTrack[[Holdback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98" s="504">
        <f ca="1">SUMIFS(CostTrack[[Value]:[Value]],CostTrack[[PA ID]:[PA ID]],$B98,CostTrack[[Vendor - Contract]:[Vendor - Contract]],$H98,CostTrack[[Holdback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98" s="504">
        <f ca="1">SUMIFS(CostTrack[[Value]:[Value]],CostTrack[[PA ID]:[PA ID]],$B98,CostTrack[[Vendor - Contract]:[Vendor - Contract]],$H98,CostTrack[[Holdback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98" s="504">
        <f ca="1">SUMIFS(CostTrack[[Value]:[Value]],CostTrack[[PA ID]:[PA ID]],$B98,CostTrack[[Vendor - Contract]:[Vendor - Contract]],$H98,CostTrack[[Holdback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98" s="512">
        <f t="shared" ref="AU98:AU103" ca="1" si="185">SUM(AI98:AT98)</f>
        <v>0</v>
      </c>
      <c r="AW98" s="504">
        <f ca="1">SUMIFS(CostTrack[[Value]:[Value]],CostTrack[[PA ID]:[PA ID]],$B98,CostTrack[[Vendor - Contract]:[Vendor - Contract]],$H98,CostTrack[[Holdback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98" s="504">
        <f ca="1">SUMIFS(CostTrack[[Value]:[Value]],CostTrack[[PA ID]:[PA ID]],$B98,CostTrack[[Vendor - Contract]:[Vendor - Contract]],$H98,CostTrack[[Holdback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98" s="504">
        <f ca="1">SUMIFS(CostTrack[[Value]:[Value]],CostTrack[[PA ID]:[PA ID]],$B98,CostTrack[[Vendor - Contract]:[Vendor - Contract]],$H98,CostTrack[[Holdback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98" s="504">
        <f ca="1">SUMIFS(CostTrack[[Value]:[Value]],CostTrack[[PA ID]:[PA ID]],$B98,CostTrack[[Vendor - Contract]:[Vendor - Contract]],$H98,CostTrack[[Holdback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98" s="504">
        <f ca="1">SUMIFS(CostTrack[[Value]:[Value]],CostTrack[[PA ID]:[PA ID]],$B98,CostTrack[[Vendor - Contract]:[Vendor - Contract]],$H98,CostTrack[[Holdback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98" s="504">
        <f ca="1">SUMIFS(CostTrack[[Value]:[Value]],CostTrack[[PA ID]:[PA ID]],$B98,CostTrack[[Vendor - Contract]:[Vendor - Contract]],$H98,CostTrack[[Holdback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98" s="504">
        <f ca="1">SUMIFS(CostTrack[[Value]:[Value]],CostTrack[[PA ID]:[PA ID]],$B98,CostTrack[[Vendor - Contract]:[Vendor - Contract]],$H98,CostTrack[[Holdback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98" s="504">
        <f ca="1">SUMIFS(CostTrack[[Value]:[Value]],CostTrack[[PA ID]:[PA ID]],$B98,CostTrack[[Vendor - Contract]:[Vendor - Contract]],$H98,CostTrack[[Holdback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98" s="504">
        <f ca="1">SUMIFS(CostTrack[[Value]:[Value]],CostTrack[[PA ID]:[PA ID]],$B98,CostTrack[[Vendor - Contract]:[Vendor - Contract]],$H98,CostTrack[[Holdback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98" s="504">
        <f ca="1">SUMIFS(CostTrack[[Value]:[Value]],CostTrack[[PA ID]:[PA ID]],$B98,CostTrack[[Vendor - Contract]:[Vendor - Contract]],$H98,CostTrack[[Holdback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98" s="504">
        <f ca="1">SUMIFS(CostTrack[[Value]:[Value]],CostTrack[[PA ID]:[PA ID]],$B98,CostTrack[[Vendor - Contract]:[Vendor - Contract]],$H98,CostTrack[[Holdback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98" s="504">
        <f ca="1">SUMIFS(CostTrack[[Value]:[Value]],CostTrack[[PA ID]:[PA ID]],$B98,CostTrack[[Vendor - Contract]:[Vendor - Contract]],$H98,CostTrack[[Holdback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98" s="512">
        <f t="shared" ref="BI98:BI103" ca="1" si="186">SUM(AW98:BH98)</f>
        <v>0</v>
      </c>
      <c r="BK98" s="504">
        <f ca="1">SUMIFS(CostTrack[[Value]:[Value]],CostTrack[[PA ID]:[PA ID]],$B98,CostTrack[[Vendor - Contract]:[Vendor - Contract]],$H98,CostTrack[[Holdback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98" s="504">
        <f ca="1">SUMIFS(CostTrack[[Value]:[Value]],CostTrack[[PA ID]:[PA ID]],$B98,CostTrack[[Vendor - Contract]:[Vendor - Contract]],$H98,CostTrack[[Holdback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98" s="504">
        <f ca="1">SUMIFS(CostTrack[[Value]:[Value]],CostTrack[[PA ID]:[PA ID]],$B98,CostTrack[[Vendor - Contract]:[Vendor - Contract]],$H98,CostTrack[[Holdback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98" s="504">
        <f ca="1">SUMIFS(CostTrack[[Value]:[Value]],CostTrack[[PA ID]:[PA ID]],$B98,CostTrack[[Vendor - Contract]:[Vendor - Contract]],$H98,CostTrack[[Holdback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98" s="504">
        <f ca="1">SUMIFS(CostTrack[[Value]:[Value]],CostTrack[[PA ID]:[PA ID]],$B98,CostTrack[[Vendor - Contract]:[Vendor - Contract]],$H98,CostTrack[[Holdback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98" s="504">
        <f ca="1">SUMIFS(CostTrack[[Value]:[Value]],CostTrack[[PA ID]:[PA ID]],$B98,CostTrack[[Vendor - Contract]:[Vendor - Contract]],$H98,CostTrack[[Holdback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98" s="504">
        <f ca="1">SUMIFS(CostTrack[[Value]:[Value]],CostTrack[[PA ID]:[PA ID]],$B98,CostTrack[[Vendor - Contract]:[Vendor - Contract]],$H98,CostTrack[[Holdback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98" s="504">
        <f ca="1">SUMIFS(CostTrack[[Value]:[Value]],CostTrack[[PA ID]:[PA ID]],$B98,CostTrack[[Vendor - Contract]:[Vendor - Contract]],$H98,CostTrack[[Holdback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98" s="504">
        <f ca="1">SUMIFS(CostTrack[[Value]:[Value]],CostTrack[[PA ID]:[PA ID]],$B98,CostTrack[[Vendor - Contract]:[Vendor - Contract]],$H98,CostTrack[[Holdback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98" s="504">
        <f ca="1">SUMIFS(CostTrack[[Value]:[Value]],CostTrack[[PA ID]:[PA ID]],$B98,CostTrack[[Vendor - Contract]:[Vendor - Contract]],$H98,CostTrack[[Holdback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98" s="504">
        <f ca="1">SUMIFS(CostTrack[[Value]:[Value]],CostTrack[[PA ID]:[PA ID]],$B98,CostTrack[[Vendor - Contract]:[Vendor - Contract]],$H98,CostTrack[[Holdback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98" s="504">
        <f ca="1">SUMIFS(CostTrack[[Value]:[Value]],CostTrack[[PA ID]:[PA ID]],$B98,CostTrack[[Vendor - Contract]:[Vendor - Contract]],$H98,CostTrack[[Holdback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98" s="512">
        <f t="shared" ref="BW98:BW103" ca="1" si="187">SUM(BK98:BV98)</f>
        <v>0</v>
      </c>
      <c r="BY98" s="504">
        <f ca="1">SUMIFS(CostTrack[[Value]:[Value]],CostTrack[[PA ID]:[PA ID]],$B98,CostTrack[[Vendor - Contract]:[Vendor - Contract]],$H98,CostTrack[[Holdback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98" s="504">
        <f ca="1">SUMIFS(CostTrack[[Value]:[Value]],CostTrack[[PA ID]:[PA ID]],$B98,CostTrack[[Vendor - Contract]:[Vendor - Contract]],$H98,CostTrack[[Holdback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98" s="504">
        <f ca="1">SUMIFS(CostTrack[[Value]:[Value]],CostTrack[[PA ID]:[PA ID]],$B98,CostTrack[[Vendor - Contract]:[Vendor - Contract]],$H98,CostTrack[[Holdback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98" s="504">
        <f ca="1">SUMIFS(CostTrack[[Value]:[Value]],CostTrack[[PA ID]:[PA ID]],$B98,CostTrack[[Vendor - Contract]:[Vendor - Contract]],$H98,CostTrack[[Holdback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98" s="504">
        <f ca="1">SUMIFS(CostTrack[[Value]:[Value]],CostTrack[[PA ID]:[PA ID]],$B98,CostTrack[[Vendor - Contract]:[Vendor - Contract]],$H98,CostTrack[[Holdback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98" s="504">
        <f ca="1">SUMIFS(CostTrack[[Value]:[Value]],CostTrack[[PA ID]:[PA ID]],$B98,CostTrack[[Vendor - Contract]:[Vendor - Contract]],$H98,CostTrack[[Holdback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98" s="504">
        <f ca="1">SUMIFS(CostTrack[[Value]:[Value]],CostTrack[[PA ID]:[PA ID]],$B98,CostTrack[[Vendor - Contract]:[Vendor - Contract]],$H98,CostTrack[[Holdback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98" s="504">
        <f ca="1">SUMIFS(CostTrack[[Value]:[Value]],CostTrack[[PA ID]:[PA ID]],$B98,CostTrack[[Vendor - Contract]:[Vendor - Contract]],$H98,CostTrack[[Holdback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98" s="504">
        <f ca="1">SUMIFS(CostTrack[[Value]:[Value]],CostTrack[[PA ID]:[PA ID]],$B98,CostTrack[[Vendor - Contract]:[Vendor - Contract]],$H98,CostTrack[[Holdback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98" s="504">
        <f ca="1">SUMIFS(CostTrack[[Value]:[Value]],CostTrack[[PA ID]:[PA ID]],$B98,CostTrack[[Vendor - Contract]:[Vendor - Contract]],$H98,CostTrack[[Holdback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98" s="504">
        <f ca="1">SUMIFS(CostTrack[[Value]:[Value]],CostTrack[[PA ID]:[PA ID]],$B98,CostTrack[[Vendor - Contract]:[Vendor - Contract]],$H98,CostTrack[[Holdback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98" s="504">
        <f ca="1">SUMIFS(CostTrack[[Value]:[Value]],CostTrack[[PA ID]:[PA ID]],$B98,CostTrack[[Vendor - Contract]:[Vendor - Contract]],$H98,CostTrack[[Holdback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98" s="512">
        <f t="shared" ref="CK98:CK103" ca="1" si="188">SUM(BY98:CJ98)</f>
        <v>0</v>
      </c>
      <c r="CM98" s="504">
        <f ca="1">SUMIFS(CostTrack[[Value]:[Value]],CostTrack[[PA ID]:[PA ID]],$B98,CostTrack[[Vendor - Contract]:[Vendor - Contract]],$H98,CostTrack[[Holdback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98" s="504">
        <f ca="1">SUMIFS(CostTrack[[Value]:[Value]],CostTrack[[PA ID]:[PA ID]],$B98,CostTrack[[Vendor - Contract]:[Vendor - Contract]],$H98,CostTrack[[Holdback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98" s="504">
        <f ca="1">SUMIFS(CostTrack[[Value]:[Value]],CostTrack[[PA ID]:[PA ID]],$B98,CostTrack[[Vendor - Contract]:[Vendor - Contract]],$H98,CostTrack[[Holdback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98" s="504">
        <f ca="1">SUMIFS(CostTrack[[Value]:[Value]],CostTrack[[PA ID]:[PA ID]],$B98,CostTrack[[Vendor - Contract]:[Vendor - Contract]],$H98,CostTrack[[Holdback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98" s="504">
        <f ca="1">SUMIFS(CostTrack[[Value]:[Value]],CostTrack[[PA ID]:[PA ID]],$B98,CostTrack[[Vendor - Contract]:[Vendor - Contract]],$H98,CostTrack[[Holdback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98" s="504">
        <f ca="1">SUMIFS(CostTrack[[Value]:[Value]],CostTrack[[PA ID]:[PA ID]],$B98,CostTrack[[Vendor - Contract]:[Vendor - Contract]],$H98,CostTrack[[Holdback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98" s="504">
        <f ca="1">SUMIFS(CostTrack[[Value]:[Value]],CostTrack[[PA ID]:[PA ID]],$B98,CostTrack[[Vendor - Contract]:[Vendor - Contract]],$H98,CostTrack[[Holdback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98" s="504">
        <f ca="1">SUMIFS(CostTrack[[Value]:[Value]],CostTrack[[PA ID]:[PA ID]],$B98,CostTrack[[Vendor - Contract]:[Vendor - Contract]],$H98,CostTrack[[Holdback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98" s="504">
        <f ca="1">SUMIFS(CostTrack[[Value]:[Value]],CostTrack[[PA ID]:[PA ID]],$B98,CostTrack[[Vendor - Contract]:[Vendor - Contract]],$H98,CostTrack[[Holdback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98" s="504">
        <f ca="1">SUMIFS(CostTrack[[Value]:[Value]],CostTrack[[PA ID]:[PA ID]],$B98,CostTrack[[Vendor - Contract]:[Vendor - Contract]],$H98,CostTrack[[Holdback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98" s="504">
        <f ca="1">SUMIFS(CostTrack[[Value]:[Value]],CostTrack[[PA ID]:[PA ID]],$B98,CostTrack[[Vendor - Contract]:[Vendor - Contract]],$H98,CostTrack[[Holdback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98" s="504">
        <f ca="1">SUMIFS(CostTrack[[Value]:[Value]],CostTrack[[PA ID]:[PA ID]],$B98,CostTrack[[Vendor - Contract]:[Vendor - Contract]],$H98,CostTrack[[Holdback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98" s="512">
        <f t="shared" ref="CY98:CY103" ca="1" si="189">SUM(CM98:CX98)</f>
        <v>0</v>
      </c>
      <c r="DA98" s="504">
        <f ca="1">SUMIFS(CostTrack[[Value]:[Value]],CostTrack[[PA ID]:[PA ID]],$B98,CostTrack[[Vendor - Contract]:[Vendor - Contract]],$H98,CostTrack[[Holdback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98" s="504">
        <f ca="1">SUMIFS(CostTrack[[Value]:[Value]],CostTrack[[PA ID]:[PA ID]],$B98,CostTrack[[Vendor - Contract]:[Vendor - Contract]],$H98,CostTrack[[Holdback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98" s="504">
        <f ca="1">SUMIFS(CostTrack[[Value]:[Value]],CostTrack[[PA ID]:[PA ID]],$B98,CostTrack[[Vendor - Contract]:[Vendor - Contract]],$H98,CostTrack[[Holdback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98" s="504">
        <f ca="1">SUMIFS(CostTrack[[Value]:[Value]],CostTrack[[PA ID]:[PA ID]],$B98,CostTrack[[Vendor - Contract]:[Vendor - Contract]],$H98,CostTrack[[Holdback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98" s="504">
        <f ca="1">SUMIFS(CostTrack[[Value]:[Value]],CostTrack[[PA ID]:[PA ID]],$B98,CostTrack[[Vendor - Contract]:[Vendor - Contract]],$H98,CostTrack[[Holdback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98" s="504">
        <f ca="1">SUMIFS(CostTrack[[Value]:[Value]],CostTrack[[PA ID]:[PA ID]],$B98,CostTrack[[Vendor - Contract]:[Vendor - Contract]],$H98,CostTrack[[Holdback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98" s="504">
        <f ca="1">SUMIFS(CostTrack[[Value]:[Value]],CostTrack[[PA ID]:[PA ID]],$B98,CostTrack[[Vendor - Contract]:[Vendor - Contract]],$H98,CostTrack[[Holdback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98" s="504">
        <f ca="1">SUMIFS(CostTrack[[Value]:[Value]],CostTrack[[PA ID]:[PA ID]],$B98,CostTrack[[Vendor - Contract]:[Vendor - Contract]],$H98,CostTrack[[Holdback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98" s="504">
        <f ca="1">SUMIFS(CostTrack[[Value]:[Value]],CostTrack[[PA ID]:[PA ID]],$B98,CostTrack[[Vendor - Contract]:[Vendor - Contract]],$H98,CostTrack[[Holdback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98" s="504">
        <f ca="1">SUMIFS(CostTrack[[Value]:[Value]],CostTrack[[PA ID]:[PA ID]],$B98,CostTrack[[Vendor - Contract]:[Vendor - Contract]],$H98,CostTrack[[Holdback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98" s="504">
        <f ca="1">SUMIFS(CostTrack[[Value]:[Value]],CostTrack[[PA ID]:[PA ID]],$B98,CostTrack[[Vendor - Contract]:[Vendor - Contract]],$H98,CostTrack[[Holdback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98" s="504">
        <f ca="1">SUMIFS(CostTrack[[Value]:[Value]],CostTrack[[PA ID]:[PA ID]],$B98,CostTrack[[Vendor - Contract]:[Vendor - Contract]],$H98,CostTrack[[Holdback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98" s="512">
        <f t="shared" ref="DM98:DM103" ca="1" si="190">SUM(DA98:DL98)</f>
        <v>0</v>
      </c>
      <c r="DO98" s="504">
        <f ca="1">SUMIFS(CostTrack[[Value]:[Value]],CostTrack[[PA ID]:[PA ID]],$B98,CostTrack[[Vendor - Contract]:[Vendor - Contract]],$H98,CostTrack[[Holdback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1065</v>
      </c>
      <c r="DP98" s="504">
        <f ca="1">SUMIFS(CostTrack[[Value]:[Value]],CostTrack[[PA ID]:[PA ID]],$B98,CostTrack[[Vendor - Contract]:[Vendor - Contract]],$H98,CostTrack[[Holdback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98" s="504">
        <f ca="1">SUMIFS(CostTrack[[Value]:[Value]],CostTrack[[PA ID]:[PA ID]],$B98,CostTrack[[Vendor - Contract]:[Vendor - Contract]],$H98,CostTrack[[Holdback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98" s="504">
        <f ca="1">SUMIFS(CostTrack[[Value]:[Value]],CostTrack[[PA ID]:[PA ID]],$B98,CostTrack[[Vendor - Contract]:[Vendor - Contract]],$H98,CostTrack[[Holdback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98" s="504">
        <f ca="1">SUMIFS(CostTrack[[Value]:[Value]],CostTrack[[PA ID]:[PA ID]],$B98,CostTrack[[Vendor - Contract]:[Vendor - Contract]],$H98,CostTrack[[Holdback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98" s="504">
        <f ca="1">SUMIFS(CostTrack[[Value]:[Value]],CostTrack[[PA ID]:[PA ID]],$B98,CostTrack[[Vendor - Contract]:[Vendor - Contract]],$H98,CostTrack[[Holdback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98" s="504">
        <f ca="1">SUMIFS(CostTrack[[Value]:[Value]],CostTrack[[PA ID]:[PA ID]],$B98,CostTrack[[Vendor - Contract]:[Vendor - Contract]],$H98,CostTrack[[Holdback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98" s="504">
        <f ca="1">SUMIFS(CostTrack[[Value]:[Value]],CostTrack[[PA ID]:[PA ID]],$B98,CostTrack[[Vendor - Contract]:[Vendor - Contract]],$H98,CostTrack[[Holdback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98" s="504">
        <f ca="1">SUMIFS(CostTrack[[Value]:[Value]],CostTrack[[PA ID]:[PA ID]],$B98,CostTrack[[Vendor - Contract]:[Vendor - Contract]],$H98,CostTrack[[Holdback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98" s="504">
        <f ca="1">SUMIFS(CostTrack[[Value]:[Value]],CostTrack[[PA ID]:[PA ID]],$B98,CostTrack[[Vendor - Contract]:[Vendor - Contract]],$H98,CostTrack[[Holdback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98" s="504">
        <f ca="1">SUMIFS(CostTrack[[Value]:[Value]],CostTrack[[PA ID]:[PA ID]],$B98,CostTrack[[Vendor - Contract]:[Vendor - Contract]],$H98,CostTrack[[Holdback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98" s="504">
        <f ca="1">SUMIFS(CostTrack[[Value]:[Value]],CostTrack[[PA ID]:[PA ID]],$B98,CostTrack[[Vendor - Contract]:[Vendor - Contract]],$H98,CostTrack[[Holdback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98" s="512">
        <f t="shared" ref="EA98:EA103" ca="1" si="191">SUM(DO98:DZ98)</f>
        <v>1065</v>
      </c>
      <c r="EC98" s="504">
        <f ca="1">SUMIFS(CostTrack[[Value]:[Value]],CostTrack[[PA ID]:[PA ID]],$B98,CostTrack[[Vendor - Contract]:[Vendor - Contract]],$H98,CostTrack[[Holdback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98" s="505"/>
      <c r="EE98" s="505"/>
      <c r="EF98" s="505"/>
      <c r="EG98" s="505"/>
      <c r="EH98" s="505"/>
      <c r="EI98" s="505"/>
      <c r="EJ98" s="505"/>
      <c r="EK98" s="505"/>
      <c r="EL98" s="505"/>
      <c r="EM98" s="505"/>
      <c r="EN98" s="505"/>
      <c r="EO98" s="512">
        <f t="shared" ref="EO98:EO103" ca="1" si="192">SUM(EC98:EN98)</f>
        <v>0</v>
      </c>
      <c r="EQ98" s="505"/>
      <c r="ER98" s="505"/>
      <c r="ES98" s="505"/>
      <c r="ET98" s="505"/>
      <c r="EU98" s="505"/>
      <c r="EV98" s="505"/>
      <c r="EW98" s="505"/>
      <c r="EX98" s="505"/>
      <c r="EY98" s="505"/>
      <c r="EZ98" s="505"/>
      <c r="FA98" s="505"/>
      <c r="FB98" s="505"/>
      <c r="FC98" s="512">
        <f t="shared" ref="FC98:FC103" si="193">SUM(EQ98:FB98)</f>
        <v>0</v>
      </c>
      <c r="FE98" s="505"/>
      <c r="FF98" s="505"/>
      <c r="FG98" s="505"/>
      <c r="FH98" s="505"/>
      <c r="FI98" s="505"/>
      <c r="FJ98" s="505"/>
      <c r="FK98" s="505"/>
      <c r="FL98" s="505"/>
      <c r="FM98" s="505"/>
      <c r="FN98" s="505"/>
      <c r="FO98" s="505"/>
      <c r="FP98" s="505"/>
      <c r="FQ98" s="512">
        <f t="shared" ref="FQ98:FQ103" si="194">SUM(FE98:FP98)</f>
        <v>0</v>
      </c>
      <c r="FS98" s="504">
        <f t="shared" ref="FS98:FS103" ca="1" si="195">AG98+AU98+BI98+BW98+CK98+CY98+DM98+EA98+EO98+FC98+FQ98</f>
        <v>1065</v>
      </c>
    </row>
    <row r="99" spans="1:175">
      <c r="A99" s="216">
        <v>92</v>
      </c>
      <c r="B99" s="219" t="str">
        <f ca="1">INDEX(EAC[PA ID],MATCH($A99,EAC[Row],0))</f>
        <v>400.020.F1</v>
      </c>
      <c r="C99" s="218" t="str">
        <f ca="1">INDEX(EAC[Primary Category],MATCH($A99,EAC[Row],0))</f>
        <v>FE_IT</v>
      </c>
      <c r="D99" s="218" t="str">
        <f ca="1">INDEX(EAC[Secondary Category],MATCH($A99,EAC[Row],0))</f>
        <v>Information Technology</v>
      </c>
      <c r="E99" s="109" t="str">
        <f ca="1">INDEX(EAC[Phase / Subproject],MATCH($A99,EAC[Row],0))</f>
        <v>--</v>
      </c>
      <c r="F99" s="109" t="str">
        <f ca="1">INDEX(EAC[Phase / Subproject 2],MATCH($A99,EAC[Row],0))</f>
        <v>--</v>
      </c>
      <c r="G99" s="109" t="str">
        <f ca="1">INDEX(EAC[Funding Source],MATCH($A99,EAC[Row],0))</f>
        <v>P-002360</v>
      </c>
      <c r="H99" s="146" t="str">
        <f ca="1">INDEX(EAC[Vendor / Org. with Contract ID],MATCH($A99,EAC[Row],0))</f>
        <v>Compugen - WAP brackets-9000050226</v>
      </c>
      <c r="I99" s="502">
        <f ca="1">INDEX(EAC[Estimate At Completion],MATCH($A99,EAC[Row],0))</f>
        <v>1881.6</v>
      </c>
      <c r="J99" s="502">
        <f ca="1">SUMIFS(CostTrack[Value],CostTrack[Vendor - Contract],$H99,CostTrack[PA ID],$B99,CostTrack[Holdback (Y/N/R)],"&lt;&gt;Release",CostTrack[Status],"Approved")</f>
        <v>1881.6</v>
      </c>
      <c r="K99" s="503">
        <f t="shared" ca="1" si="179"/>
        <v>0</v>
      </c>
      <c r="M99" s="504">
        <f t="shared" ca="1" si="180"/>
        <v>0</v>
      </c>
      <c r="O99" s="504">
        <f t="shared" ca="1" si="181"/>
        <v>1881.6</v>
      </c>
      <c r="P99" s="504">
        <f t="array" aca="1" ref="P99" ca="1">SUM($U99:$FQ99*_xlfn.ISFORMULA($U99:$FQ99)*ISNUMBER($U$7:$FQ$7)*--(INDEX($U$6:$FQ$6,N(IF({1},COLUMN($U$6:$FQ$6)-COLUMN($T$6)))-MOD(N(IF({1},COLUMN($U$6:$FQ$6)-COLUMN($U$6))),14))="Current Fiscal"))</f>
        <v>0</v>
      </c>
      <c r="Q99" s="504">
        <f t="array" aca="1" ref="Q99" ca="1">SUM($U99:$FQ99*NOT(_xlfn.ISFORMULA($U99:$FQ99))*ISNUMBER($U$7:$FQ$7)*--(INDEX($U$6:$FQ$6,N(IF({1},COLUMN($U$6:$FQ$6)-COLUMN($T$6)))-MOD(N(IF({1},COLUMN($U$6:$FQ$6)-COLUMN($U$6))),14))="Current Fiscal"))</f>
        <v>0</v>
      </c>
      <c r="R99" s="504">
        <f t="shared" ca="1" si="182"/>
        <v>0</v>
      </c>
      <c r="S99" s="504">
        <f t="shared" ca="1" si="183"/>
        <v>0</v>
      </c>
      <c r="U99" s="504">
        <f ca="1">SUMIFS(CostTrack[[Value]:[Value]],CostTrack[[PA ID]:[PA ID]],$B99,CostTrack[[Vendor - Contract]:[Vendor - Contract]],$H99,CostTrack[[Holdback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99" s="504">
        <f ca="1">SUMIFS(CostTrack[[Value]:[Value]],CostTrack[[PA ID]:[PA ID]],$B99,CostTrack[[Vendor - Contract]:[Vendor - Contract]],$H99,CostTrack[[Holdback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99" s="504">
        <f ca="1">SUMIFS(CostTrack[[Value]:[Value]],CostTrack[[PA ID]:[PA ID]],$B99,CostTrack[[Vendor - Contract]:[Vendor - Contract]],$H99,CostTrack[[Holdback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99" s="504">
        <f ca="1">SUMIFS(CostTrack[[Value]:[Value]],CostTrack[[PA ID]:[PA ID]],$B99,CostTrack[[Vendor - Contract]:[Vendor - Contract]],$H99,CostTrack[[Holdback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99" s="504">
        <f ca="1">SUMIFS(CostTrack[[Value]:[Value]],CostTrack[[PA ID]:[PA ID]],$B99,CostTrack[[Vendor - Contract]:[Vendor - Contract]],$H99,CostTrack[[Holdback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99" s="504">
        <f ca="1">SUMIFS(CostTrack[[Value]:[Value]],CostTrack[[PA ID]:[PA ID]],$B99,CostTrack[[Vendor - Contract]:[Vendor - Contract]],$H99,CostTrack[[Holdback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99" s="504">
        <f ca="1">SUMIFS(CostTrack[[Value]:[Value]],CostTrack[[PA ID]:[PA ID]],$B99,CostTrack[[Vendor - Contract]:[Vendor - Contract]],$H99,CostTrack[[Holdback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99" s="504">
        <f ca="1">SUMIFS(CostTrack[[Value]:[Value]],CostTrack[[PA ID]:[PA ID]],$B99,CostTrack[[Vendor - Contract]:[Vendor - Contract]],$H99,CostTrack[[Holdback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99" s="504">
        <f ca="1">SUMIFS(CostTrack[[Value]:[Value]],CostTrack[[PA ID]:[PA ID]],$B99,CostTrack[[Vendor - Contract]:[Vendor - Contract]],$H99,CostTrack[[Holdback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99" s="504">
        <f ca="1">SUMIFS(CostTrack[[Value]:[Value]],CostTrack[[PA ID]:[PA ID]],$B99,CostTrack[[Vendor - Contract]:[Vendor - Contract]],$H99,CostTrack[[Holdback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99" s="504">
        <f ca="1">SUMIFS(CostTrack[[Value]:[Value]],CostTrack[[PA ID]:[PA ID]],$B99,CostTrack[[Vendor - Contract]:[Vendor - Contract]],$H99,CostTrack[[Holdback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99" s="504">
        <f ca="1">SUMIFS(CostTrack[[Value]:[Value]],CostTrack[[PA ID]:[PA ID]],$B99,CostTrack[[Vendor - Contract]:[Vendor - Contract]],$H99,CostTrack[[Holdback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99" s="506">
        <f t="shared" ca="1" si="184"/>
        <v>0</v>
      </c>
      <c r="AI99" s="504">
        <f ca="1">SUMIFS(CostTrack[[Value]:[Value]],CostTrack[[PA ID]:[PA ID]],$B99,CostTrack[[Vendor - Contract]:[Vendor - Contract]],$H99,CostTrack[[Holdback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99" s="504">
        <f ca="1">SUMIFS(CostTrack[[Value]:[Value]],CostTrack[[PA ID]:[PA ID]],$B99,CostTrack[[Vendor - Contract]:[Vendor - Contract]],$H99,CostTrack[[Holdback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99" s="504">
        <f ca="1">SUMIFS(CostTrack[[Value]:[Value]],CostTrack[[PA ID]:[PA ID]],$B99,CostTrack[[Vendor - Contract]:[Vendor - Contract]],$H99,CostTrack[[Holdback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99" s="504">
        <f ca="1">SUMIFS(CostTrack[[Value]:[Value]],CostTrack[[PA ID]:[PA ID]],$B99,CostTrack[[Vendor - Contract]:[Vendor - Contract]],$H99,CostTrack[[Holdback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99" s="504">
        <f ca="1">SUMIFS(CostTrack[[Value]:[Value]],CostTrack[[PA ID]:[PA ID]],$B99,CostTrack[[Vendor - Contract]:[Vendor - Contract]],$H99,CostTrack[[Holdback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99" s="504">
        <f ca="1">SUMIFS(CostTrack[[Value]:[Value]],CostTrack[[PA ID]:[PA ID]],$B99,CostTrack[[Vendor - Contract]:[Vendor - Contract]],$H99,CostTrack[[Holdback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99" s="504">
        <f ca="1">SUMIFS(CostTrack[[Value]:[Value]],CostTrack[[PA ID]:[PA ID]],$B99,CostTrack[[Vendor - Contract]:[Vendor - Contract]],$H99,CostTrack[[Holdback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99" s="504">
        <f ca="1">SUMIFS(CostTrack[[Value]:[Value]],CostTrack[[PA ID]:[PA ID]],$B99,CostTrack[[Vendor - Contract]:[Vendor - Contract]],$H99,CostTrack[[Holdback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99" s="504">
        <f ca="1">SUMIFS(CostTrack[[Value]:[Value]],CostTrack[[PA ID]:[PA ID]],$B99,CostTrack[[Vendor - Contract]:[Vendor - Contract]],$H99,CostTrack[[Holdback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99" s="504">
        <f ca="1">SUMIFS(CostTrack[[Value]:[Value]],CostTrack[[PA ID]:[PA ID]],$B99,CostTrack[[Vendor - Contract]:[Vendor - Contract]],$H99,CostTrack[[Holdback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99" s="504">
        <f ca="1">SUMIFS(CostTrack[[Value]:[Value]],CostTrack[[PA ID]:[PA ID]],$B99,CostTrack[[Vendor - Contract]:[Vendor - Contract]],$H99,CostTrack[[Holdback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99" s="504">
        <f ca="1">SUMIFS(CostTrack[[Value]:[Value]],CostTrack[[PA ID]:[PA ID]],$B99,CostTrack[[Vendor - Contract]:[Vendor - Contract]],$H99,CostTrack[[Holdback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99" s="512">
        <f t="shared" ca="1" si="185"/>
        <v>0</v>
      </c>
      <c r="AW99" s="504">
        <f ca="1">SUMIFS(CostTrack[[Value]:[Value]],CostTrack[[PA ID]:[PA ID]],$B99,CostTrack[[Vendor - Contract]:[Vendor - Contract]],$H99,CostTrack[[Holdback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99" s="504">
        <f ca="1">SUMIFS(CostTrack[[Value]:[Value]],CostTrack[[PA ID]:[PA ID]],$B99,CostTrack[[Vendor - Contract]:[Vendor - Contract]],$H99,CostTrack[[Holdback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99" s="504">
        <f ca="1">SUMIFS(CostTrack[[Value]:[Value]],CostTrack[[PA ID]:[PA ID]],$B99,CostTrack[[Vendor - Contract]:[Vendor - Contract]],$H99,CostTrack[[Holdback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99" s="504">
        <f ca="1">SUMIFS(CostTrack[[Value]:[Value]],CostTrack[[PA ID]:[PA ID]],$B99,CostTrack[[Vendor - Contract]:[Vendor - Contract]],$H99,CostTrack[[Holdback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99" s="504">
        <f ca="1">SUMIFS(CostTrack[[Value]:[Value]],CostTrack[[PA ID]:[PA ID]],$B99,CostTrack[[Vendor - Contract]:[Vendor - Contract]],$H99,CostTrack[[Holdback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99" s="504">
        <f ca="1">SUMIFS(CostTrack[[Value]:[Value]],CostTrack[[PA ID]:[PA ID]],$B99,CostTrack[[Vendor - Contract]:[Vendor - Contract]],$H99,CostTrack[[Holdback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99" s="504">
        <f ca="1">SUMIFS(CostTrack[[Value]:[Value]],CostTrack[[PA ID]:[PA ID]],$B99,CostTrack[[Vendor - Contract]:[Vendor - Contract]],$H99,CostTrack[[Holdback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99" s="504">
        <f ca="1">SUMIFS(CostTrack[[Value]:[Value]],CostTrack[[PA ID]:[PA ID]],$B99,CostTrack[[Vendor - Contract]:[Vendor - Contract]],$H99,CostTrack[[Holdback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99" s="504">
        <f ca="1">SUMIFS(CostTrack[[Value]:[Value]],CostTrack[[PA ID]:[PA ID]],$B99,CostTrack[[Vendor - Contract]:[Vendor - Contract]],$H99,CostTrack[[Holdback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99" s="504">
        <f ca="1">SUMIFS(CostTrack[[Value]:[Value]],CostTrack[[PA ID]:[PA ID]],$B99,CostTrack[[Vendor - Contract]:[Vendor - Contract]],$H99,CostTrack[[Holdback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99" s="504">
        <f ca="1">SUMIFS(CostTrack[[Value]:[Value]],CostTrack[[PA ID]:[PA ID]],$B99,CostTrack[[Vendor - Contract]:[Vendor - Contract]],$H99,CostTrack[[Holdback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99" s="504">
        <f ca="1">SUMIFS(CostTrack[[Value]:[Value]],CostTrack[[PA ID]:[PA ID]],$B99,CostTrack[[Vendor - Contract]:[Vendor - Contract]],$H99,CostTrack[[Holdback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99" s="512">
        <f t="shared" ca="1" si="186"/>
        <v>0</v>
      </c>
      <c r="BK99" s="504">
        <f ca="1">SUMIFS(CostTrack[[Value]:[Value]],CostTrack[[PA ID]:[PA ID]],$B99,CostTrack[[Vendor - Contract]:[Vendor - Contract]],$H99,CostTrack[[Holdback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99" s="504">
        <f ca="1">SUMIFS(CostTrack[[Value]:[Value]],CostTrack[[PA ID]:[PA ID]],$B99,CostTrack[[Vendor - Contract]:[Vendor - Contract]],$H99,CostTrack[[Holdback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99" s="504">
        <f ca="1">SUMIFS(CostTrack[[Value]:[Value]],CostTrack[[PA ID]:[PA ID]],$B99,CostTrack[[Vendor - Contract]:[Vendor - Contract]],$H99,CostTrack[[Holdback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99" s="504">
        <f ca="1">SUMIFS(CostTrack[[Value]:[Value]],CostTrack[[PA ID]:[PA ID]],$B99,CostTrack[[Vendor - Contract]:[Vendor - Contract]],$H99,CostTrack[[Holdback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99" s="504">
        <f ca="1">SUMIFS(CostTrack[[Value]:[Value]],CostTrack[[PA ID]:[PA ID]],$B99,CostTrack[[Vendor - Contract]:[Vendor - Contract]],$H99,CostTrack[[Holdback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99" s="504">
        <f ca="1">SUMIFS(CostTrack[[Value]:[Value]],CostTrack[[PA ID]:[PA ID]],$B99,CostTrack[[Vendor - Contract]:[Vendor - Contract]],$H99,CostTrack[[Holdback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99" s="504">
        <f ca="1">SUMIFS(CostTrack[[Value]:[Value]],CostTrack[[PA ID]:[PA ID]],$B99,CostTrack[[Vendor - Contract]:[Vendor - Contract]],$H99,CostTrack[[Holdback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99" s="504">
        <f ca="1">SUMIFS(CostTrack[[Value]:[Value]],CostTrack[[PA ID]:[PA ID]],$B99,CostTrack[[Vendor - Contract]:[Vendor - Contract]],$H99,CostTrack[[Holdback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99" s="504">
        <f ca="1">SUMIFS(CostTrack[[Value]:[Value]],CostTrack[[PA ID]:[PA ID]],$B99,CostTrack[[Vendor - Contract]:[Vendor - Contract]],$H99,CostTrack[[Holdback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99" s="504">
        <f ca="1">SUMIFS(CostTrack[[Value]:[Value]],CostTrack[[PA ID]:[PA ID]],$B99,CostTrack[[Vendor - Contract]:[Vendor - Contract]],$H99,CostTrack[[Holdback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99" s="504">
        <f ca="1">SUMIFS(CostTrack[[Value]:[Value]],CostTrack[[PA ID]:[PA ID]],$B99,CostTrack[[Vendor - Contract]:[Vendor - Contract]],$H99,CostTrack[[Holdback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99" s="504">
        <f ca="1">SUMIFS(CostTrack[[Value]:[Value]],CostTrack[[PA ID]:[PA ID]],$B99,CostTrack[[Vendor - Contract]:[Vendor - Contract]],$H99,CostTrack[[Holdback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99" s="512">
        <f t="shared" ca="1" si="187"/>
        <v>0</v>
      </c>
      <c r="BY99" s="504">
        <f ca="1">SUMIFS(CostTrack[[Value]:[Value]],CostTrack[[PA ID]:[PA ID]],$B99,CostTrack[[Vendor - Contract]:[Vendor - Contract]],$H99,CostTrack[[Holdback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99" s="504">
        <f ca="1">SUMIFS(CostTrack[[Value]:[Value]],CostTrack[[PA ID]:[PA ID]],$B99,CostTrack[[Vendor - Contract]:[Vendor - Contract]],$H99,CostTrack[[Holdback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99" s="504">
        <f ca="1">SUMIFS(CostTrack[[Value]:[Value]],CostTrack[[PA ID]:[PA ID]],$B99,CostTrack[[Vendor - Contract]:[Vendor - Contract]],$H99,CostTrack[[Holdback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99" s="504">
        <f ca="1">SUMIFS(CostTrack[[Value]:[Value]],CostTrack[[PA ID]:[PA ID]],$B99,CostTrack[[Vendor - Contract]:[Vendor - Contract]],$H99,CostTrack[[Holdback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99" s="504">
        <f ca="1">SUMIFS(CostTrack[[Value]:[Value]],CostTrack[[PA ID]:[PA ID]],$B99,CostTrack[[Vendor - Contract]:[Vendor - Contract]],$H99,CostTrack[[Holdback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99" s="504">
        <f ca="1">SUMIFS(CostTrack[[Value]:[Value]],CostTrack[[PA ID]:[PA ID]],$B99,CostTrack[[Vendor - Contract]:[Vendor - Contract]],$H99,CostTrack[[Holdback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99" s="504">
        <f ca="1">SUMIFS(CostTrack[[Value]:[Value]],CostTrack[[PA ID]:[PA ID]],$B99,CostTrack[[Vendor - Contract]:[Vendor - Contract]],$H99,CostTrack[[Holdback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99" s="504">
        <f ca="1">SUMIFS(CostTrack[[Value]:[Value]],CostTrack[[PA ID]:[PA ID]],$B99,CostTrack[[Vendor - Contract]:[Vendor - Contract]],$H99,CostTrack[[Holdback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99" s="504">
        <f ca="1">SUMIFS(CostTrack[[Value]:[Value]],CostTrack[[PA ID]:[PA ID]],$B99,CostTrack[[Vendor - Contract]:[Vendor - Contract]],$H99,CostTrack[[Holdback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99" s="504">
        <f ca="1">SUMIFS(CostTrack[[Value]:[Value]],CostTrack[[PA ID]:[PA ID]],$B99,CostTrack[[Vendor - Contract]:[Vendor - Contract]],$H99,CostTrack[[Holdback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99" s="504">
        <f ca="1">SUMIFS(CostTrack[[Value]:[Value]],CostTrack[[PA ID]:[PA ID]],$B99,CostTrack[[Vendor - Contract]:[Vendor - Contract]],$H99,CostTrack[[Holdback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99" s="504">
        <f ca="1">SUMIFS(CostTrack[[Value]:[Value]],CostTrack[[PA ID]:[PA ID]],$B99,CostTrack[[Vendor - Contract]:[Vendor - Contract]],$H99,CostTrack[[Holdback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99" s="512">
        <f t="shared" ca="1" si="188"/>
        <v>0</v>
      </c>
      <c r="CM99" s="504">
        <f ca="1">SUMIFS(CostTrack[[Value]:[Value]],CostTrack[[PA ID]:[PA ID]],$B99,CostTrack[[Vendor - Contract]:[Vendor - Contract]],$H99,CostTrack[[Holdback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99" s="504">
        <f ca="1">SUMIFS(CostTrack[[Value]:[Value]],CostTrack[[PA ID]:[PA ID]],$B99,CostTrack[[Vendor - Contract]:[Vendor - Contract]],$H99,CostTrack[[Holdback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99" s="504">
        <f ca="1">SUMIFS(CostTrack[[Value]:[Value]],CostTrack[[PA ID]:[PA ID]],$B99,CostTrack[[Vendor - Contract]:[Vendor - Contract]],$H99,CostTrack[[Holdback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99" s="504">
        <f ca="1">SUMIFS(CostTrack[[Value]:[Value]],CostTrack[[PA ID]:[PA ID]],$B99,CostTrack[[Vendor - Contract]:[Vendor - Contract]],$H99,CostTrack[[Holdback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99" s="504">
        <f ca="1">SUMIFS(CostTrack[[Value]:[Value]],CostTrack[[PA ID]:[PA ID]],$B99,CostTrack[[Vendor - Contract]:[Vendor - Contract]],$H99,CostTrack[[Holdback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99" s="504">
        <f ca="1">SUMIFS(CostTrack[[Value]:[Value]],CostTrack[[PA ID]:[PA ID]],$B99,CostTrack[[Vendor - Contract]:[Vendor - Contract]],$H99,CostTrack[[Holdback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99" s="504">
        <f ca="1">SUMIFS(CostTrack[[Value]:[Value]],CostTrack[[PA ID]:[PA ID]],$B99,CostTrack[[Vendor - Contract]:[Vendor - Contract]],$H99,CostTrack[[Holdback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99" s="504">
        <f ca="1">SUMIFS(CostTrack[[Value]:[Value]],CostTrack[[PA ID]:[PA ID]],$B99,CostTrack[[Vendor - Contract]:[Vendor - Contract]],$H99,CostTrack[[Holdback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99" s="504">
        <f ca="1">SUMIFS(CostTrack[[Value]:[Value]],CostTrack[[PA ID]:[PA ID]],$B99,CostTrack[[Vendor - Contract]:[Vendor - Contract]],$H99,CostTrack[[Holdback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99" s="504">
        <f ca="1">SUMIFS(CostTrack[[Value]:[Value]],CostTrack[[PA ID]:[PA ID]],$B99,CostTrack[[Vendor - Contract]:[Vendor - Contract]],$H99,CostTrack[[Holdback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99" s="504">
        <f ca="1">SUMIFS(CostTrack[[Value]:[Value]],CostTrack[[PA ID]:[PA ID]],$B99,CostTrack[[Vendor - Contract]:[Vendor - Contract]],$H99,CostTrack[[Holdback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99" s="504">
        <f ca="1">SUMIFS(CostTrack[[Value]:[Value]],CostTrack[[PA ID]:[PA ID]],$B99,CostTrack[[Vendor - Contract]:[Vendor - Contract]],$H99,CostTrack[[Holdback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99" s="512">
        <f t="shared" ca="1" si="189"/>
        <v>0</v>
      </c>
      <c r="DA99" s="504">
        <f ca="1">SUMIFS(CostTrack[[Value]:[Value]],CostTrack[[PA ID]:[PA ID]],$B99,CostTrack[[Vendor - Contract]:[Vendor - Contract]],$H99,CostTrack[[Holdback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99" s="504">
        <f ca="1">SUMIFS(CostTrack[[Value]:[Value]],CostTrack[[PA ID]:[PA ID]],$B99,CostTrack[[Vendor - Contract]:[Vendor - Contract]],$H99,CostTrack[[Holdback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1881.6</v>
      </c>
      <c r="DC99" s="504">
        <f ca="1">SUMIFS(CostTrack[[Value]:[Value]],CostTrack[[PA ID]:[PA ID]],$B99,CostTrack[[Vendor - Contract]:[Vendor - Contract]],$H99,CostTrack[[Holdback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99" s="504">
        <f ca="1">SUMIFS(CostTrack[[Value]:[Value]],CostTrack[[PA ID]:[PA ID]],$B99,CostTrack[[Vendor - Contract]:[Vendor - Contract]],$H99,CostTrack[[Holdback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99" s="504">
        <f ca="1">SUMIFS(CostTrack[[Value]:[Value]],CostTrack[[PA ID]:[PA ID]],$B99,CostTrack[[Vendor - Contract]:[Vendor - Contract]],$H99,CostTrack[[Holdback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99" s="504">
        <f ca="1">SUMIFS(CostTrack[[Value]:[Value]],CostTrack[[PA ID]:[PA ID]],$B99,CostTrack[[Vendor - Contract]:[Vendor - Contract]],$H99,CostTrack[[Holdback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99" s="504">
        <f ca="1">SUMIFS(CostTrack[[Value]:[Value]],CostTrack[[PA ID]:[PA ID]],$B99,CostTrack[[Vendor - Contract]:[Vendor - Contract]],$H99,CostTrack[[Holdback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99" s="504">
        <f ca="1">SUMIFS(CostTrack[[Value]:[Value]],CostTrack[[PA ID]:[PA ID]],$B99,CostTrack[[Vendor - Contract]:[Vendor - Contract]],$H99,CostTrack[[Holdback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99" s="504">
        <f ca="1">SUMIFS(CostTrack[[Value]:[Value]],CostTrack[[PA ID]:[PA ID]],$B99,CostTrack[[Vendor - Contract]:[Vendor - Contract]],$H99,CostTrack[[Holdback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99" s="504">
        <f ca="1">SUMIFS(CostTrack[[Value]:[Value]],CostTrack[[PA ID]:[PA ID]],$B99,CostTrack[[Vendor - Contract]:[Vendor - Contract]],$H99,CostTrack[[Holdback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99" s="504">
        <f ca="1">SUMIFS(CostTrack[[Value]:[Value]],CostTrack[[PA ID]:[PA ID]],$B99,CostTrack[[Vendor - Contract]:[Vendor - Contract]],$H99,CostTrack[[Holdback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99" s="504">
        <f ca="1">SUMIFS(CostTrack[[Value]:[Value]],CostTrack[[PA ID]:[PA ID]],$B99,CostTrack[[Vendor - Contract]:[Vendor - Contract]],$H99,CostTrack[[Holdback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99" s="512">
        <f t="shared" ca="1" si="190"/>
        <v>1881.6</v>
      </c>
      <c r="DO99" s="504">
        <f ca="1">SUMIFS(CostTrack[[Value]:[Value]],CostTrack[[PA ID]:[PA ID]],$B99,CostTrack[[Vendor - Contract]:[Vendor - Contract]],$H99,CostTrack[[Holdback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99" s="504">
        <f ca="1">SUMIFS(CostTrack[[Value]:[Value]],CostTrack[[PA ID]:[PA ID]],$B99,CostTrack[[Vendor - Contract]:[Vendor - Contract]],$H99,CostTrack[[Holdback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99" s="504">
        <f ca="1">SUMIFS(CostTrack[[Value]:[Value]],CostTrack[[PA ID]:[PA ID]],$B99,CostTrack[[Vendor - Contract]:[Vendor - Contract]],$H99,CostTrack[[Holdback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99" s="504">
        <f ca="1">SUMIFS(CostTrack[[Value]:[Value]],CostTrack[[PA ID]:[PA ID]],$B99,CostTrack[[Vendor - Contract]:[Vendor - Contract]],$H99,CostTrack[[Holdback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99" s="504">
        <f ca="1">SUMIFS(CostTrack[[Value]:[Value]],CostTrack[[PA ID]:[PA ID]],$B99,CostTrack[[Vendor - Contract]:[Vendor - Contract]],$H99,CostTrack[[Holdback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99" s="504">
        <f ca="1">SUMIFS(CostTrack[[Value]:[Value]],CostTrack[[PA ID]:[PA ID]],$B99,CostTrack[[Vendor - Contract]:[Vendor - Contract]],$H99,CostTrack[[Holdback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99" s="504">
        <f ca="1">SUMIFS(CostTrack[[Value]:[Value]],CostTrack[[PA ID]:[PA ID]],$B99,CostTrack[[Vendor - Contract]:[Vendor - Contract]],$H99,CostTrack[[Holdback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99" s="504">
        <f ca="1">SUMIFS(CostTrack[[Value]:[Value]],CostTrack[[PA ID]:[PA ID]],$B99,CostTrack[[Vendor - Contract]:[Vendor - Contract]],$H99,CostTrack[[Holdback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99" s="504">
        <f ca="1">SUMIFS(CostTrack[[Value]:[Value]],CostTrack[[PA ID]:[PA ID]],$B99,CostTrack[[Vendor - Contract]:[Vendor - Contract]],$H99,CostTrack[[Holdback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99" s="504">
        <f ca="1">SUMIFS(CostTrack[[Value]:[Value]],CostTrack[[PA ID]:[PA ID]],$B99,CostTrack[[Vendor - Contract]:[Vendor - Contract]],$H99,CostTrack[[Holdback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99" s="504">
        <f ca="1">SUMIFS(CostTrack[[Value]:[Value]],CostTrack[[PA ID]:[PA ID]],$B99,CostTrack[[Vendor - Contract]:[Vendor - Contract]],$H99,CostTrack[[Holdback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99" s="504">
        <f ca="1">SUMIFS(CostTrack[[Value]:[Value]],CostTrack[[PA ID]:[PA ID]],$B99,CostTrack[[Vendor - Contract]:[Vendor - Contract]],$H99,CostTrack[[Holdback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99" s="512">
        <f t="shared" ca="1" si="191"/>
        <v>0</v>
      </c>
      <c r="EC99" s="504">
        <f ca="1">SUMIFS(CostTrack[[Value]:[Value]],CostTrack[[PA ID]:[PA ID]],$B99,CostTrack[[Vendor - Contract]:[Vendor - Contract]],$H99,CostTrack[[Holdback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99" s="505"/>
      <c r="EE99" s="505"/>
      <c r="EF99" s="505"/>
      <c r="EG99" s="505"/>
      <c r="EH99" s="505"/>
      <c r="EI99" s="505"/>
      <c r="EJ99" s="505"/>
      <c r="EK99" s="505"/>
      <c r="EL99" s="505"/>
      <c r="EM99" s="505"/>
      <c r="EN99" s="505"/>
      <c r="EO99" s="512">
        <f t="shared" ca="1" si="192"/>
        <v>0</v>
      </c>
      <c r="EQ99" s="505"/>
      <c r="ER99" s="505"/>
      <c r="ES99" s="505"/>
      <c r="ET99" s="505"/>
      <c r="EU99" s="505"/>
      <c r="EV99" s="505"/>
      <c r="EW99" s="505"/>
      <c r="EX99" s="505"/>
      <c r="EY99" s="505"/>
      <c r="EZ99" s="505"/>
      <c r="FA99" s="505"/>
      <c r="FB99" s="505"/>
      <c r="FC99" s="512">
        <f t="shared" si="193"/>
        <v>0</v>
      </c>
      <c r="FE99" s="505"/>
      <c r="FF99" s="505"/>
      <c r="FG99" s="505"/>
      <c r="FH99" s="505"/>
      <c r="FI99" s="505"/>
      <c r="FJ99" s="505"/>
      <c r="FK99" s="505"/>
      <c r="FL99" s="505"/>
      <c r="FM99" s="505"/>
      <c r="FN99" s="505"/>
      <c r="FO99" s="505"/>
      <c r="FP99" s="505"/>
      <c r="FQ99" s="512">
        <f t="shared" si="194"/>
        <v>0</v>
      </c>
      <c r="FS99" s="504">
        <f t="shared" ca="1" si="195"/>
        <v>1881.6</v>
      </c>
    </row>
    <row r="100" spans="1:175">
      <c r="A100" s="216">
        <v>93</v>
      </c>
      <c r="B100" s="219" t="str">
        <f ca="1">INDEX(EAC[PA ID],MATCH($A100,EAC[Row],0))</f>
        <v>400.010.F1</v>
      </c>
      <c r="C100" s="218" t="str">
        <f ca="1">INDEX(EAC[Primary Category],MATCH($A100,EAC[Row],0))</f>
        <v>FE_IT</v>
      </c>
      <c r="D100" s="218" t="str">
        <f ca="1">INDEX(EAC[Secondary Category],MATCH($A100,EAC[Row],0))</f>
        <v>Furniture &amp; Equipment</v>
      </c>
      <c r="E100" s="109" t="str">
        <f ca="1">INDEX(EAC[Phase / Subproject],MATCH($A100,EAC[Row],0))</f>
        <v>--</v>
      </c>
      <c r="F100" s="109" t="str">
        <f ca="1">INDEX(EAC[Phase / Subproject 2],MATCH($A100,EAC[Row],0))</f>
        <v>--</v>
      </c>
      <c r="G100" s="109" t="str">
        <f ca="1">INDEX(EAC[Funding Source],MATCH($A100,EAC[Row],0))</f>
        <v>P-002360</v>
      </c>
      <c r="H100" s="146" t="str">
        <f ca="1">INDEX(EAC[Vendor / Org. with Contract ID],MATCH($A100,EAC[Row],0))</f>
        <v>COI- Beam Seating-9000072438</v>
      </c>
      <c r="I100" s="502">
        <f ca="1">INDEX(EAC[Estimate At Completion],MATCH($A100,EAC[Row],0))</f>
        <v>530330.59</v>
      </c>
      <c r="J100" s="502">
        <f ca="1">SUMIFS(CostTrack[Value],CostTrack[Vendor - Contract],$H100,CostTrack[PA ID],$B100,CostTrack[Holdback (Y/N/R)],"&lt;&gt;Release",CostTrack[Status],"Approved")</f>
        <v>530330.59</v>
      </c>
      <c r="K100" s="503">
        <f t="shared" ca="1" si="179"/>
        <v>0</v>
      </c>
      <c r="M100" s="504">
        <f t="shared" ca="1" si="180"/>
        <v>0</v>
      </c>
      <c r="O100" s="504">
        <f t="shared" ca="1" si="181"/>
        <v>530330.59</v>
      </c>
      <c r="P100" s="504">
        <f t="array" aca="1" ref="P100" ca="1">SUM($U100:$FQ100*_xlfn.ISFORMULA($U100:$FQ100)*ISNUMBER($U$7:$FQ$7)*--(INDEX($U$6:$FQ$6,N(IF({1},COLUMN($U$6:$FQ$6)-COLUMN($T$6)))-MOD(N(IF({1},COLUMN($U$6:$FQ$6)-COLUMN($U$6))),14))="Current Fiscal"))</f>
        <v>0</v>
      </c>
      <c r="Q100" s="504">
        <f t="array" aca="1" ref="Q100" ca="1">SUM($U100:$FQ100*NOT(_xlfn.ISFORMULA($U100:$FQ100))*ISNUMBER($U$7:$FQ$7)*--(INDEX($U$6:$FQ$6,N(IF({1},COLUMN($U$6:$FQ$6)-COLUMN($T$6)))-MOD(N(IF({1},COLUMN($U$6:$FQ$6)-COLUMN($U$6))),14))="Current Fiscal"))</f>
        <v>0</v>
      </c>
      <c r="R100" s="504">
        <f t="shared" ca="1" si="182"/>
        <v>0</v>
      </c>
      <c r="S100" s="504">
        <f t="shared" ca="1" si="183"/>
        <v>0</v>
      </c>
      <c r="U100" s="504">
        <f ca="1">SUMIFS(CostTrack[[Value]:[Value]],CostTrack[[PA ID]:[PA ID]],$B100,CostTrack[[Vendor - Contract]:[Vendor - Contract]],$H100,CostTrack[[Holdback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00" s="504">
        <f ca="1">SUMIFS(CostTrack[[Value]:[Value]],CostTrack[[PA ID]:[PA ID]],$B100,CostTrack[[Vendor - Contract]:[Vendor - Contract]],$H100,CostTrack[[Holdback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00" s="504">
        <f ca="1">SUMIFS(CostTrack[[Value]:[Value]],CostTrack[[PA ID]:[PA ID]],$B100,CostTrack[[Vendor - Contract]:[Vendor - Contract]],$H100,CostTrack[[Holdback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00" s="504">
        <f ca="1">SUMIFS(CostTrack[[Value]:[Value]],CostTrack[[PA ID]:[PA ID]],$B100,CostTrack[[Vendor - Contract]:[Vendor - Contract]],$H100,CostTrack[[Holdback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00" s="504">
        <f ca="1">SUMIFS(CostTrack[[Value]:[Value]],CostTrack[[PA ID]:[PA ID]],$B100,CostTrack[[Vendor - Contract]:[Vendor - Contract]],$H100,CostTrack[[Holdback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00" s="504">
        <f ca="1">SUMIFS(CostTrack[[Value]:[Value]],CostTrack[[PA ID]:[PA ID]],$B100,CostTrack[[Vendor - Contract]:[Vendor - Contract]],$H100,CostTrack[[Holdback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00" s="504">
        <f ca="1">SUMIFS(CostTrack[[Value]:[Value]],CostTrack[[PA ID]:[PA ID]],$B100,CostTrack[[Vendor - Contract]:[Vendor - Contract]],$H100,CostTrack[[Holdback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00" s="504">
        <f ca="1">SUMIFS(CostTrack[[Value]:[Value]],CostTrack[[PA ID]:[PA ID]],$B100,CostTrack[[Vendor - Contract]:[Vendor - Contract]],$H100,CostTrack[[Holdback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00" s="504">
        <f ca="1">SUMIFS(CostTrack[[Value]:[Value]],CostTrack[[PA ID]:[PA ID]],$B100,CostTrack[[Vendor - Contract]:[Vendor - Contract]],$H100,CostTrack[[Holdback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00" s="504">
        <f ca="1">SUMIFS(CostTrack[[Value]:[Value]],CostTrack[[PA ID]:[PA ID]],$B100,CostTrack[[Vendor - Contract]:[Vendor - Contract]],$H100,CostTrack[[Holdback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00" s="504">
        <f ca="1">SUMIFS(CostTrack[[Value]:[Value]],CostTrack[[PA ID]:[PA ID]],$B100,CostTrack[[Vendor - Contract]:[Vendor - Contract]],$H100,CostTrack[[Holdback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00" s="504">
        <f ca="1">SUMIFS(CostTrack[[Value]:[Value]],CostTrack[[PA ID]:[PA ID]],$B100,CostTrack[[Vendor - Contract]:[Vendor - Contract]],$H100,CostTrack[[Holdback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00" s="506">
        <f t="shared" ca="1" si="184"/>
        <v>0</v>
      </c>
      <c r="AI100" s="504">
        <f ca="1">SUMIFS(CostTrack[[Value]:[Value]],CostTrack[[PA ID]:[PA ID]],$B100,CostTrack[[Vendor - Contract]:[Vendor - Contract]],$H100,CostTrack[[Holdback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00" s="504">
        <f ca="1">SUMIFS(CostTrack[[Value]:[Value]],CostTrack[[PA ID]:[PA ID]],$B100,CostTrack[[Vendor - Contract]:[Vendor - Contract]],$H100,CostTrack[[Holdback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00" s="504">
        <f ca="1">SUMIFS(CostTrack[[Value]:[Value]],CostTrack[[PA ID]:[PA ID]],$B100,CostTrack[[Vendor - Contract]:[Vendor - Contract]],$H100,CostTrack[[Holdback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00" s="504">
        <f ca="1">SUMIFS(CostTrack[[Value]:[Value]],CostTrack[[PA ID]:[PA ID]],$B100,CostTrack[[Vendor - Contract]:[Vendor - Contract]],$H100,CostTrack[[Holdback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00" s="504">
        <f ca="1">SUMIFS(CostTrack[[Value]:[Value]],CostTrack[[PA ID]:[PA ID]],$B100,CostTrack[[Vendor - Contract]:[Vendor - Contract]],$H100,CostTrack[[Holdback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00" s="504">
        <f ca="1">SUMIFS(CostTrack[[Value]:[Value]],CostTrack[[PA ID]:[PA ID]],$B100,CostTrack[[Vendor - Contract]:[Vendor - Contract]],$H100,CostTrack[[Holdback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00" s="504">
        <f ca="1">SUMIFS(CostTrack[[Value]:[Value]],CostTrack[[PA ID]:[PA ID]],$B100,CostTrack[[Vendor - Contract]:[Vendor - Contract]],$H100,CostTrack[[Holdback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00" s="504">
        <f ca="1">SUMIFS(CostTrack[[Value]:[Value]],CostTrack[[PA ID]:[PA ID]],$B100,CostTrack[[Vendor - Contract]:[Vendor - Contract]],$H100,CostTrack[[Holdback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00" s="504">
        <f ca="1">SUMIFS(CostTrack[[Value]:[Value]],CostTrack[[PA ID]:[PA ID]],$B100,CostTrack[[Vendor - Contract]:[Vendor - Contract]],$H100,CostTrack[[Holdback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00" s="504">
        <f ca="1">SUMIFS(CostTrack[[Value]:[Value]],CostTrack[[PA ID]:[PA ID]],$B100,CostTrack[[Vendor - Contract]:[Vendor - Contract]],$H100,CostTrack[[Holdback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00" s="504">
        <f ca="1">SUMIFS(CostTrack[[Value]:[Value]],CostTrack[[PA ID]:[PA ID]],$B100,CostTrack[[Vendor - Contract]:[Vendor - Contract]],$H100,CostTrack[[Holdback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00" s="504">
        <f ca="1">SUMIFS(CostTrack[[Value]:[Value]],CostTrack[[PA ID]:[PA ID]],$B100,CostTrack[[Vendor - Contract]:[Vendor - Contract]],$H100,CostTrack[[Holdback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00" s="512">
        <f t="shared" ca="1" si="185"/>
        <v>0</v>
      </c>
      <c r="AW100" s="504">
        <f ca="1">SUMIFS(CostTrack[[Value]:[Value]],CostTrack[[PA ID]:[PA ID]],$B100,CostTrack[[Vendor - Contract]:[Vendor - Contract]],$H100,CostTrack[[Holdback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00" s="504">
        <f ca="1">SUMIFS(CostTrack[[Value]:[Value]],CostTrack[[PA ID]:[PA ID]],$B100,CostTrack[[Vendor - Contract]:[Vendor - Contract]],$H100,CostTrack[[Holdback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00" s="504">
        <f ca="1">SUMIFS(CostTrack[[Value]:[Value]],CostTrack[[PA ID]:[PA ID]],$B100,CostTrack[[Vendor - Contract]:[Vendor - Contract]],$H100,CostTrack[[Holdback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00" s="504">
        <f ca="1">SUMIFS(CostTrack[[Value]:[Value]],CostTrack[[PA ID]:[PA ID]],$B100,CostTrack[[Vendor - Contract]:[Vendor - Contract]],$H100,CostTrack[[Holdback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00" s="504">
        <f ca="1">SUMIFS(CostTrack[[Value]:[Value]],CostTrack[[PA ID]:[PA ID]],$B100,CostTrack[[Vendor - Contract]:[Vendor - Contract]],$H100,CostTrack[[Holdback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00" s="504">
        <f ca="1">SUMIFS(CostTrack[[Value]:[Value]],CostTrack[[PA ID]:[PA ID]],$B100,CostTrack[[Vendor - Contract]:[Vendor - Contract]],$H100,CostTrack[[Holdback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00" s="504">
        <f ca="1">SUMIFS(CostTrack[[Value]:[Value]],CostTrack[[PA ID]:[PA ID]],$B100,CostTrack[[Vendor - Contract]:[Vendor - Contract]],$H100,CostTrack[[Holdback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00" s="504">
        <f ca="1">SUMIFS(CostTrack[[Value]:[Value]],CostTrack[[PA ID]:[PA ID]],$B100,CostTrack[[Vendor - Contract]:[Vendor - Contract]],$H100,CostTrack[[Holdback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00" s="504">
        <f ca="1">SUMIFS(CostTrack[[Value]:[Value]],CostTrack[[PA ID]:[PA ID]],$B100,CostTrack[[Vendor - Contract]:[Vendor - Contract]],$H100,CostTrack[[Holdback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00" s="504">
        <f ca="1">SUMIFS(CostTrack[[Value]:[Value]],CostTrack[[PA ID]:[PA ID]],$B100,CostTrack[[Vendor - Contract]:[Vendor - Contract]],$H100,CostTrack[[Holdback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00" s="504">
        <f ca="1">SUMIFS(CostTrack[[Value]:[Value]],CostTrack[[PA ID]:[PA ID]],$B100,CostTrack[[Vendor - Contract]:[Vendor - Contract]],$H100,CostTrack[[Holdback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00" s="504">
        <f ca="1">SUMIFS(CostTrack[[Value]:[Value]],CostTrack[[PA ID]:[PA ID]],$B100,CostTrack[[Vendor - Contract]:[Vendor - Contract]],$H100,CostTrack[[Holdback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00" s="512">
        <f t="shared" ca="1" si="186"/>
        <v>0</v>
      </c>
      <c r="BK100" s="504">
        <f ca="1">SUMIFS(CostTrack[[Value]:[Value]],CostTrack[[PA ID]:[PA ID]],$B100,CostTrack[[Vendor - Contract]:[Vendor - Contract]],$H100,CostTrack[[Holdback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00" s="504">
        <f ca="1">SUMIFS(CostTrack[[Value]:[Value]],CostTrack[[PA ID]:[PA ID]],$B100,CostTrack[[Vendor - Contract]:[Vendor - Contract]],$H100,CostTrack[[Holdback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00" s="504">
        <f ca="1">SUMIFS(CostTrack[[Value]:[Value]],CostTrack[[PA ID]:[PA ID]],$B100,CostTrack[[Vendor - Contract]:[Vendor - Contract]],$H100,CostTrack[[Holdback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00" s="504">
        <f ca="1">SUMIFS(CostTrack[[Value]:[Value]],CostTrack[[PA ID]:[PA ID]],$B100,CostTrack[[Vendor - Contract]:[Vendor - Contract]],$H100,CostTrack[[Holdback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00" s="504">
        <f ca="1">SUMIFS(CostTrack[[Value]:[Value]],CostTrack[[PA ID]:[PA ID]],$B100,CostTrack[[Vendor - Contract]:[Vendor - Contract]],$H100,CostTrack[[Holdback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00" s="504">
        <f ca="1">SUMIFS(CostTrack[[Value]:[Value]],CostTrack[[PA ID]:[PA ID]],$B100,CostTrack[[Vendor - Contract]:[Vendor - Contract]],$H100,CostTrack[[Holdback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00" s="504">
        <f ca="1">SUMIFS(CostTrack[[Value]:[Value]],CostTrack[[PA ID]:[PA ID]],$B100,CostTrack[[Vendor - Contract]:[Vendor - Contract]],$H100,CostTrack[[Holdback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00" s="504">
        <f ca="1">SUMIFS(CostTrack[[Value]:[Value]],CostTrack[[PA ID]:[PA ID]],$B100,CostTrack[[Vendor - Contract]:[Vendor - Contract]],$H100,CostTrack[[Holdback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00" s="504">
        <f ca="1">SUMIFS(CostTrack[[Value]:[Value]],CostTrack[[PA ID]:[PA ID]],$B100,CostTrack[[Vendor - Contract]:[Vendor - Contract]],$H100,CostTrack[[Holdback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00" s="504">
        <f ca="1">SUMIFS(CostTrack[[Value]:[Value]],CostTrack[[PA ID]:[PA ID]],$B100,CostTrack[[Vendor - Contract]:[Vendor - Contract]],$H100,CostTrack[[Holdback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00" s="504">
        <f ca="1">SUMIFS(CostTrack[[Value]:[Value]],CostTrack[[PA ID]:[PA ID]],$B100,CostTrack[[Vendor - Contract]:[Vendor - Contract]],$H100,CostTrack[[Holdback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00" s="504">
        <f ca="1">SUMIFS(CostTrack[[Value]:[Value]],CostTrack[[PA ID]:[PA ID]],$B100,CostTrack[[Vendor - Contract]:[Vendor - Contract]],$H100,CostTrack[[Holdback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00" s="512">
        <f t="shared" ca="1" si="187"/>
        <v>0</v>
      </c>
      <c r="BY100" s="504">
        <f ca="1">SUMIFS(CostTrack[[Value]:[Value]],CostTrack[[PA ID]:[PA ID]],$B100,CostTrack[[Vendor - Contract]:[Vendor - Contract]],$H100,CostTrack[[Holdback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00" s="504">
        <f ca="1">SUMIFS(CostTrack[[Value]:[Value]],CostTrack[[PA ID]:[PA ID]],$B100,CostTrack[[Vendor - Contract]:[Vendor - Contract]],$H100,CostTrack[[Holdback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00" s="504">
        <f ca="1">SUMIFS(CostTrack[[Value]:[Value]],CostTrack[[PA ID]:[PA ID]],$B100,CostTrack[[Vendor - Contract]:[Vendor - Contract]],$H100,CostTrack[[Holdback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00" s="504">
        <f ca="1">SUMIFS(CostTrack[[Value]:[Value]],CostTrack[[PA ID]:[PA ID]],$B100,CostTrack[[Vendor - Contract]:[Vendor - Contract]],$H100,CostTrack[[Holdback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00" s="504">
        <f ca="1">SUMIFS(CostTrack[[Value]:[Value]],CostTrack[[PA ID]:[PA ID]],$B100,CostTrack[[Vendor - Contract]:[Vendor - Contract]],$H100,CostTrack[[Holdback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00" s="504">
        <f ca="1">SUMIFS(CostTrack[[Value]:[Value]],CostTrack[[PA ID]:[PA ID]],$B100,CostTrack[[Vendor - Contract]:[Vendor - Contract]],$H100,CostTrack[[Holdback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00" s="504">
        <f ca="1">SUMIFS(CostTrack[[Value]:[Value]],CostTrack[[PA ID]:[PA ID]],$B100,CostTrack[[Vendor - Contract]:[Vendor - Contract]],$H100,CostTrack[[Holdback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00" s="504">
        <f ca="1">SUMIFS(CostTrack[[Value]:[Value]],CostTrack[[PA ID]:[PA ID]],$B100,CostTrack[[Vendor - Contract]:[Vendor - Contract]],$H100,CostTrack[[Holdback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00" s="504">
        <f ca="1">SUMIFS(CostTrack[[Value]:[Value]],CostTrack[[PA ID]:[PA ID]],$B100,CostTrack[[Vendor - Contract]:[Vendor - Contract]],$H100,CostTrack[[Holdback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00" s="504">
        <f ca="1">SUMIFS(CostTrack[[Value]:[Value]],CostTrack[[PA ID]:[PA ID]],$B100,CostTrack[[Vendor - Contract]:[Vendor - Contract]],$H100,CostTrack[[Holdback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00" s="504">
        <f ca="1">SUMIFS(CostTrack[[Value]:[Value]],CostTrack[[PA ID]:[PA ID]],$B100,CostTrack[[Vendor - Contract]:[Vendor - Contract]],$H100,CostTrack[[Holdback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00" s="504">
        <f ca="1">SUMIFS(CostTrack[[Value]:[Value]],CostTrack[[PA ID]:[PA ID]],$B100,CostTrack[[Vendor - Contract]:[Vendor - Contract]],$H100,CostTrack[[Holdback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00" s="512">
        <f t="shared" ca="1" si="188"/>
        <v>0</v>
      </c>
      <c r="CM100" s="504">
        <f ca="1">SUMIFS(CostTrack[[Value]:[Value]],CostTrack[[PA ID]:[PA ID]],$B100,CostTrack[[Vendor - Contract]:[Vendor - Contract]],$H100,CostTrack[[Holdback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00" s="504">
        <f ca="1">SUMIFS(CostTrack[[Value]:[Value]],CostTrack[[PA ID]:[PA ID]],$B100,CostTrack[[Vendor - Contract]:[Vendor - Contract]],$H100,CostTrack[[Holdback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00" s="504">
        <f ca="1">SUMIFS(CostTrack[[Value]:[Value]],CostTrack[[PA ID]:[PA ID]],$B100,CostTrack[[Vendor - Contract]:[Vendor - Contract]],$H100,CostTrack[[Holdback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00" s="504">
        <f ca="1">SUMIFS(CostTrack[[Value]:[Value]],CostTrack[[PA ID]:[PA ID]],$B100,CostTrack[[Vendor - Contract]:[Vendor - Contract]],$H100,CostTrack[[Holdback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00" s="504">
        <f ca="1">SUMIFS(CostTrack[[Value]:[Value]],CostTrack[[PA ID]:[PA ID]],$B100,CostTrack[[Vendor - Contract]:[Vendor - Contract]],$H100,CostTrack[[Holdback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00" s="504">
        <f ca="1">SUMIFS(CostTrack[[Value]:[Value]],CostTrack[[PA ID]:[PA ID]],$B100,CostTrack[[Vendor - Contract]:[Vendor - Contract]],$H100,CostTrack[[Holdback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00" s="504">
        <f ca="1">SUMIFS(CostTrack[[Value]:[Value]],CostTrack[[PA ID]:[PA ID]],$B100,CostTrack[[Vendor - Contract]:[Vendor - Contract]],$H100,CostTrack[[Holdback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00" s="504">
        <f ca="1">SUMIFS(CostTrack[[Value]:[Value]],CostTrack[[PA ID]:[PA ID]],$B100,CostTrack[[Vendor - Contract]:[Vendor - Contract]],$H100,CostTrack[[Holdback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00" s="504">
        <f ca="1">SUMIFS(CostTrack[[Value]:[Value]],CostTrack[[PA ID]:[PA ID]],$B100,CostTrack[[Vendor - Contract]:[Vendor - Contract]],$H100,CostTrack[[Holdback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00" s="504">
        <f ca="1">SUMIFS(CostTrack[[Value]:[Value]],CostTrack[[PA ID]:[PA ID]],$B100,CostTrack[[Vendor - Contract]:[Vendor - Contract]],$H100,CostTrack[[Holdback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00" s="504">
        <f ca="1">SUMIFS(CostTrack[[Value]:[Value]],CostTrack[[PA ID]:[PA ID]],$B100,CostTrack[[Vendor - Contract]:[Vendor - Contract]],$H100,CostTrack[[Holdback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00" s="504">
        <f ca="1">SUMIFS(CostTrack[[Value]:[Value]],CostTrack[[PA ID]:[PA ID]],$B100,CostTrack[[Vendor - Contract]:[Vendor - Contract]],$H100,CostTrack[[Holdback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00" s="512">
        <f t="shared" ca="1" si="189"/>
        <v>0</v>
      </c>
      <c r="DA100" s="504">
        <f ca="1">SUMIFS(CostTrack[[Value]:[Value]],CostTrack[[PA ID]:[PA ID]],$B100,CostTrack[[Vendor - Contract]:[Vendor - Contract]],$H100,CostTrack[[Holdback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00" s="504">
        <f ca="1">SUMIFS(CostTrack[[Value]:[Value]],CostTrack[[PA ID]:[PA ID]],$B100,CostTrack[[Vendor - Contract]:[Vendor - Contract]],$H100,CostTrack[[Holdback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00" s="504">
        <f ca="1">SUMIFS(CostTrack[[Value]:[Value]],CostTrack[[PA ID]:[PA ID]],$B100,CostTrack[[Vendor - Contract]:[Vendor - Contract]],$H100,CostTrack[[Holdback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00" s="504">
        <f ca="1">SUMIFS(CostTrack[[Value]:[Value]],CostTrack[[PA ID]:[PA ID]],$B100,CostTrack[[Vendor - Contract]:[Vendor - Contract]],$H100,CostTrack[[Holdback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00" s="504">
        <f ca="1">SUMIFS(CostTrack[[Value]:[Value]],CostTrack[[PA ID]:[PA ID]],$B100,CostTrack[[Vendor - Contract]:[Vendor - Contract]],$H100,CostTrack[[Holdback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00" s="504">
        <f ca="1">SUMIFS(CostTrack[[Value]:[Value]],CostTrack[[PA ID]:[PA ID]],$B100,CostTrack[[Vendor - Contract]:[Vendor - Contract]],$H100,CostTrack[[Holdback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00" s="504">
        <f ca="1">SUMIFS(CostTrack[[Value]:[Value]],CostTrack[[PA ID]:[PA ID]],$B100,CostTrack[[Vendor - Contract]:[Vendor - Contract]],$H100,CostTrack[[Holdback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00" s="504">
        <f ca="1">SUMIFS(CostTrack[[Value]:[Value]],CostTrack[[PA ID]:[PA ID]],$B100,CostTrack[[Vendor - Contract]:[Vendor - Contract]],$H100,CostTrack[[Holdback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00" s="504">
        <f ca="1">SUMIFS(CostTrack[[Value]:[Value]],CostTrack[[PA ID]:[PA ID]],$B100,CostTrack[[Vendor - Contract]:[Vendor - Contract]],$H100,CostTrack[[Holdback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00" s="504">
        <f ca="1">SUMIFS(CostTrack[[Value]:[Value]],CostTrack[[PA ID]:[PA ID]],$B100,CostTrack[[Vendor - Contract]:[Vendor - Contract]],$H100,CostTrack[[Holdback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00" s="504">
        <f ca="1">SUMIFS(CostTrack[[Value]:[Value]],CostTrack[[PA ID]:[PA ID]],$B100,CostTrack[[Vendor - Contract]:[Vendor - Contract]],$H100,CostTrack[[Holdback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00" s="504">
        <f ca="1">SUMIFS(CostTrack[[Value]:[Value]],CostTrack[[PA ID]:[PA ID]],$B100,CostTrack[[Vendor - Contract]:[Vendor - Contract]],$H100,CostTrack[[Holdback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00" s="512">
        <f t="shared" ca="1" si="190"/>
        <v>0</v>
      </c>
      <c r="DO100" s="504">
        <f ca="1">SUMIFS(CostTrack[[Value]:[Value]],CostTrack[[PA ID]:[PA ID]],$B100,CostTrack[[Vendor - Contract]:[Vendor - Contract]],$H100,CostTrack[[Holdback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00" s="504">
        <f ca="1">SUMIFS(CostTrack[[Value]:[Value]],CostTrack[[PA ID]:[PA ID]],$B100,CostTrack[[Vendor - Contract]:[Vendor - Contract]],$H100,CostTrack[[Holdback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00" s="504">
        <f ca="1">SUMIFS(CostTrack[[Value]:[Value]],CostTrack[[PA ID]:[PA ID]],$B100,CostTrack[[Vendor - Contract]:[Vendor - Contract]],$H100,CostTrack[[Holdback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530330.59</v>
      </c>
      <c r="DR100" s="504">
        <f ca="1">SUMIFS(CostTrack[[Value]:[Value]],CostTrack[[PA ID]:[PA ID]],$B100,CostTrack[[Vendor - Contract]:[Vendor - Contract]],$H100,CostTrack[[Holdback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00" s="504">
        <f ca="1">SUMIFS(CostTrack[[Value]:[Value]],CostTrack[[PA ID]:[PA ID]],$B100,CostTrack[[Vendor - Contract]:[Vendor - Contract]],$H100,CostTrack[[Holdback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00" s="504">
        <f ca="1">SUMIFS(CostTrack[[Value]:[Value]],CostTrack[[PA ID]:[PA ID]],$B100,CostTrack[[Vendor - Contract]:[Vendor - Contract]],$H100,CostTrack[[Holdback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00" s="504">
        <f ca="1">SUMIFS(CostTrack[[Value]:[Value]],CostTrack[[PA ID]:[PA ID]],$B100,CostTrack[[Vendor - Contract]:[Vendor - Contract]],$H100,CostTrack[[Holdback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00" s="504">
        <f ca="1">SUMIFS(CostTrack[[Value]:[Value]],CostTrack[[PA ID]:[PA ID]],$B100,CostTrack[[Vendor - Contract]:[Vendor - Contract]],$H100,CostTrack[[Holdback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00" s="504">
        <f ca="1">SUMIFS(CostTrack[[Value]:[Value]],CostTrack[[PA ID]:[PA ID]],$B100,CostTrack[[Vendor - Contract]:[Vendor - Contract]],$H100,CostTrack[[Holdback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00" s="504">
        <f ca="1">SUMIFS(CostTrack[[Value]:[Value]],CostTrack[[PA ID]:[PA ID]],$B100,CostTrack[[Vendor - Contract]:[Vendor - Contract]],$H100,CostTrack[[Holdback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00" s="504">
        <f ca="1">SUMIFS(CostTrack[[Value]:[Value]],CostTrack[[PA ID]:[PA ID]],$B100,CostTrack[[Vendor - Contract]:[Vendor - Contract]],$H100,CostTrack[[Holdback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00" s="504">
        <f ca="1">SUMIFS(CostTrack[[Value]:[Value]],CostTrack[[PA ID]:[PA ID]],$B100,CostTrack[[Vendor - Contract]:[Vendor - Contract]],$H100,CostTrack[[Holdback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00" s="512">
        <f t="shared" ca="1" si="191"/>
        <v>530330.59</v>
      </c>
      <c r="EC100" s="504">
        <f ca="1">SUMIFS(CostTrack[[Value]:[Value]],CostTrack[[PA ID]:[PA ID]],$B100,CostTrack[[Vendor - Contract]:[Vendor - Contract]],$H100,CostTrack[[Holdback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00" s="505"/>
      <c r="EE100" s="505"/>
      <c r="EF100" s="505"/>
      <c r="EG100" s="505"/>
      <c r="EH100" s="505"/>
      <c r="EI100" s="505"/>
      <c r="EJ100" s="505"/>
      <c r="EK100" s="505"/>
      <c r="EL100" s="505"/>
      <c r="EM100" s="505"/>
      <c r="EN100" s="505"/>
      <c r="EO100" s="512">
        <f t="shared" ca="1" si="192"/>
        <v>0</v>
      </c>
      <c r="EQ100" s="505"/>
      <c r="ER100" s="505"/>
      <c r="ES100" s="505"/>
      <c r="ET100" s="505"/>
      <c r="EU100" s="505"/>
      <c r="EV100" s="505"/>
      <c r="EW100" s="505"/>
      <c r="EX100" s="505"/>
      <c r="EY100" s="505"/>
      <c r="EZ100" s="505"/>
      <c r="FA100" s="505"/>
      <c r="FB100" s="505"/>
      <c r="FC100" s="512">
        <f t="shared" si="193"/>
        <v>0</v>
      </c>
      <c r="FE100" s="505"/>
      <c r="FF100" s="505"/>
      <c r="FG100" s="505"/>
      <c r="FH100" s="505"/>
      <c r="FI100" s="505"/>
      <c r="FJ100" s="505"/>
      <c r="FK100" s="505"/>
      <c r="FL100" s="505"/>
      <c r="FM100" s="505"/>
      <c r="FN100" s="505"/>
      <c r="FO100" s="505"/>
      <c r="FP100" s="505"/>
      <c r="FQ100" s="512">
        <f t="shared" si="194"/>
        <v>0</v>
      </c>
      <c r="FS100" s="504">
        <f t="shared" ca="1" si="195"/>
        <v>530330.59</v>
      </c>
    </row>
    <row r="101" spans="1:175">
      <c r="A101" s="216">
        <v>94</v>
      </c>
      <c r="B101" s="219" t="str">
        <f ca="1">INDEX(EAC[PA ID],MATCH($A101,EAC[Row],0))</f>
        <v>400.010.F1</v>
      </c>
      <c r="C101" s="218" t="str">
        <f ca="1">INDEX(EAC[Primary Category],MATCH($A101,EAC[Row],0))</f>
        <v>FE_IT</v>
      </c>
      <c r="D101" s="218" t="str">
        <f ca="1">INDEX(EAC[Secondary Category],MATCH($A101,EAC[Row],0))</f>
        <v>Furniture &amp; Equipment</v>
      </c>
      <c r="E101" s="109" t="str">
        <f ca="1">INDEX(EAC[Phase / Subproject],MATCH($A101,EAC[Row],0))</f>
        <v>--</v>
      </c>
      <c r="F101" s="109" t="str">
        <f ca="1">INDEX(EAC[Phase / Subproject 2],MATCH($A101,EAC[Row],0))</f>
        <v>--</v>
      </c>
      <c r="G101" s="109" t="str">
        <f ca="1">INDEX(EAC[Funding Source],MATCH($A101,EAC[Row],0))</f>
        <v>P-002360</v>
      </c>
      <c r="H101" s="146" t="str">
        <f ca="1">INDEX(EAC[Vendor / Org. with Contract ID],MATCH($A101,EAC[Row],0))</f>
        <v>Krug Boardroom tables-storage-900068755</v>
      </c>
      <c r="I101" s="502">
        <f ca="1">INDEX(EAC[Estimate At Completion],MATCH($A101,EAC[Row],0))</f>
        <v>3285</v>
      </c>
      <c r="J101" s="502">
        <f ca="1">SUMIFS(CostTrack[Value],CostTrack[Vendor - Contract],$H101,CostTrack[PA ID],$B101,CostTrack[Holdback (Y/N/R)],"&lt;&gt;Release",CostTrack[Status],"Approved")</f>
        <v>3285</v>
      </c>
      <c r="K101" s="503">
        <f t="shared" ca="1" si="179"/>
        <v>0</v>
      </c>
      <c r="M101" s="504">
        <f t="shared" ca="1" si="180"/>
        <v>0</v>
      </c>
      <c r="O101" s="504">
        <f t="shared" ca="1" si="181"/>
        <v>3285</v>
      </c>
      <c r="P101" s="504">
        <f t="array" aca="1" ref="P101" ca="1">SUM($U101:$FQ101*_xlfn.ISFORMULA($U101:$FQ101)*ISNUMBER($U$7:$FQ$7)*--(INDEX($U$6:$FQ$6,N(IF({1},COLUMN($U$6:$FQ$6)-COLUMN($T$6)))-MOD(N(IF({1},COLUMN($U$6:$FQ$6)-COLUMN($U$6))),14))="Current Fiscal"))</f>
        <v>0</v>
      </c>
      <c r="Q101" s="504">
        <f t="array" aca="1" ref="Q101" ca="1">SUM($U101:$FQ101*NOT(_xlfn.ISFORMULA($U101:$FQ101))*ISNUMBER($U$7:$FQ$7)*--(INDEX($U$6:$FQ$6,N(IF({1},COLUMN($U$6:$FQ$6)-COLUMN($T$6)))-MOD(N(IF({1},COLUMN($U$6:$FQ$6)-COLUMN($U$6))),14))="Current Fiscal"))</f>
        <v>0</v>
      </c>
      <c r="R101" s="504">
        <f t="shared" ca="1" si="182"/>
        <v>0</v>
      </c>
      <c r="S101" s="504">
        <f t="shared" ca="1" si="183"/>
        <v>0</v>
      </c>
      <c r="U101" s="504">
        <f ca="1">SUMIFS(CostTrack[[Value]:[Value]],CostTrack[[PA ID]:[PA ID]],$B101,CostTrack[[Vendor - Contract]:[Vendor - Contract]],$H101,CostTrack[[Holdback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01" s="504">
        <f ca="1">SUMIFS(CostTrack[[Value]:[Value]],CostTrack[[PA ID]:[PA ID]],$B101,CostTrack[[Vendor - Contract]:[Vendor - Contract]],$H101,CostTrack[[Holdback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01" s="504">
        <f ca="1">SUMIFS(CostTrack[[Value]:[Value]],CostTrack[[PA ID]:[PA ID]],$B101,CostTrack[[Vendor - Contract]:[Vendor - Contract]],$H101,CostTrack[[Holdback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01" s="504">
        <f ca="1">SUMIFS(CostTrack[[Value]:[Value]],CostTrack[[PA ID]:[PA ID]],$B101,CostTrack[[Vendor - Contract]:[Vendor - Contract]],$H101,CostTrack[[Holdback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01" s="504">
        <f ca="1">SUMIFS(CostTrack[[Value]:[Value]],CostTrack[[PA ID]:[PA ID]],$B101,CostTrack[[Vendor - Contract]:[Vendor - Contract]],$H101,CostTrack[[Holdback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01" s="504">
        <f ca="1">SUMIFS(CostTrack[[Value]:[Value]],CostTrack[[PA ID]:[PA ID]],$B101,CostTrack[[Vendor - Contract]:[Vendor - Contract]],$H101,CostTrack[[Holdback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01" s="504">
        <f ca="1">SUMIFS(CostTrack[[Value]:[Value]],CostTrack[[PA ID]:[PA ID]],$B101,CostTrack[[Vendor - Contract]:[Vendor - Contract]],$H101,CostTrack[[Holdback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01" s="504">
        <f ca="1">SUMIFS(CostTrack[[Value]:[Value]],CostTrack[[PA ID]:[PA ID]],$B101,CostTrack[[Vendor - Contract]:[Vendor - Contract]],$H101,CostTrack[[Holdback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01" s="504">
        <f ca="1">SUMIFS(CostTrack[[Value]:[Value]],CostTrack[[PA ID]:[PA ID]],$B101,CostTrack[[Vendor - Contract]:[Vendor - Contract]],$H101,CostTrack[[Holdback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01" s="504">
        <f ca="1">SUMIFS(CostTrack[[Value]:[Value]],CostTrack[[PA ID]:[PA ID]],$B101,CostTrack[[Vendor - Contract]:[Vendor - Contract]],$H101,CostTrack[[Holdback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01" s="504">
        <f ca="1">SUMIFS(CostTrack[[Value]:[Value]],CostTrack[[PA ID]:[PA ID]],$B101,CostTrack[[Vendor - Contract]:[Vendor - Contract]],$H101,CostTrack[[Holdback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01" s="504">
        <f ca="1">SUMIFS(CostTrack[[Value]:[Value]],CostTrack[[PA ID]:[PA ID]],$B101,CostTrack[[Vendor - Contract]:[Vendor - Contract]],$H101,CostTrack[[Holdback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01" s="506">
        <f t="shared" ca="1" si="184"/>
        <v>0</v>
      </c>
      <c r="AI101" s="504">
        <f ca="1">SUMIFS(CostTrack[[Value]:[Value]],CostTrack[[PA ID]:[PA ID]],$B101,CostTrack[[Vendor - Contract]:[Vendor - Contract]],$H101,CostTrack[[Holdback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01" s="504">
        <f ca="1">SUMIFS(CostTrack[[Value]:[Value]],CostTrack[[PA ID]:[PA ID]],$B101,CostTrack[[Vendor - Contract]:[Vendor - Contract]],$H101,CostTrack[[Holdback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01" s="504">
        <f ca="1">SUMIFS(CostTrack[[Value]:[Value]],CostTrack[[PA ID]:[PA ID]],$B101,CostTrack[[Vendor - Contract]:[Vendor - Contract]],$H101,CostTrack[[Holdback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01" s="504">
        <f ca="1">SUMIFS(CostTrack[[Value]:[Value]],CostTrack[[PA ID]:[PA ID]],$B101,CostTrack[[Vendor - Contract]:[Vendor - Contract]],$H101,CostTrack[[Holdback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01" s="504">
        <f ca="1">SUMIFS(CostTrack[[Value]:[Value]],CostTrack[[PA ID]:[PA ID]],$B101,CostTrack[[Vendor - Contract]:[Vendor - Contract]],$H101,CostTrack[[Holdback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01" s="504">
        <f ca="1">SUMIFS(CostTrack[[Value]:[Value]],CostTrack[[PA ID]:[PA ID]],$B101,CostTrack[[Vendor - Contract]:[Vendor - Contract]],$H101,CostTrack[[Holdback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01" s="504">
        <f ca="1">SUMIFS(CostTrack[[Value]:[Value]],CostTrack[[PA ID]:[PA ID]],$B101,CostTrack[[Vendor - Contract]:[Vendor - Contract]],$H101,CostTrack[[Holdback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01" s="504">
        <f ca="1">SUMIFS(CostTrack[[Value]:[Value]],CostTrack[[PA ID]:[PA ID]],$B101,CostTrack[[Vendor - Contract]:[Vendor - Contract]],$H101,CostTrack[[Holdback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01" s="504">
        <f ca="1">SUMIFS(CostTrack[[Value]:[Value]],CostTrack[[PA ID]:[PA ID]],$B101,CostTrack[[Vendor - Contract]:[Vendor - Contract]],$H101,CostTrack[[Holdback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01" s="504">
        <f ca="1">SUMIFS(CostTrack[[Value]:[Value]],CostTrack[[PA ID]:[PA ID]],$B101,CostTrack[[Vendor - Contract]:[Vendor - Contract]],$H101,CostTrack[[Holdback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01" s="504">
        <f ca="1">SUMIFS(CostTrack[[Value]:[Value]],CostTrack[[PA ID]:[PA ID]],$B101,CostTrack[[Vendor - Contract]:[Vendor - Contract]],$H101,CostTrack[[Holdback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01" s="504">
        <f ca="1">SUMIFS(CostTrack[[Value]:[Value]],CostTrack[[PA ID]:[PA ID]],$B101,CostTrack[[Vendor - Contract]:[Vendor - Contract]],$H101,CostTrack[[Holdback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01" s="512">
        <f t="shared" ca="1" si="185"/>
        <v>0</v>
      </c>
      <c r="AW101" s="504">
        <f ca="1">SUMIFS(CostTrack[[Value]:[Value]],CostTrack[[PA ID]:[PA ID]],$B101,CostTrack[[Vendor - Contract]:[Vendor - Contract]],$H101,CostTrack[[Holdback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01" s="504">
        <f ca="1">SUMIFS(CostTrack[[Value]:[Value]],CostTrack[[PA ID]:[PA ID]],$B101,CostTrack[[Vendor - Contract]:[Vendor - Contract]],$H101,CostTrack[[Holdback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01" s="504">
        <f ca="1">SUMIFS(CostTrack[[Value]:[Value]],CostTrack[[PA ID]:[PA ID]],$B101,CostTrack[[Vendor - Contract]:[Vendor - Contract]],$H101,CostTrack[[Holdback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01" s="504">
        <f ca="1">SUMIFS(CostTrack[[Value]:[Value]],CostTrack[[PA ID]:[PA ID]],$B101,CostTrack[[Vendor - Contract]:[Vendor - Contract]],$H101,CostTrack[[Holdback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01" s="504">
        <f ca="1">SUMIFS(CostTrack[[Value]:[Value]],CostTrack[[PA ID]:[PA ID]],$B101,CostTrack[[Vendor - Contract]:[Vendor - Contract]],$H101,CostTrack[[Holdback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01" s="504">
        <f ca="1">SUMIFS(CostTrack[[Value]:[Value]],CostTrack[[PA ID]:[PA ID]],$B101,CostTrack[[Vendor - Contract]:[Vendor - Contract]],$H101,CostTrack[[Holdback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01" s="504">
        <f ca="1">SUMIFS(CostTrack[[Value]:[Value]],CostTrack[[PA ID]:[PA ID]],$B101,CostTrack[[Vendor - Contract]:[Vendor - Contract]],$H101,CostTrack[[Holdback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01" s="504">
        <f ca="1">SUMIFS(CostTrack[[Value]:[Value]],CostTrack[[PA ID]:[PA ID]],$B101,CostTrack[[Vendor - Contract]:[Vendor - Contract]],$H101,CostTrack[[Holdback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01" s="504">
        <f ca="1">SUMIFS(CostTrack[[Value]:[Value]],CostTrack[[PA ID]:[PA ID]],$B101,CostTrack[[Vendor - Contract]:[Vendor - Contract]],$H101,CostTrack[[Holdback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01" s="504">
        <f ca="1">SUMIFS(CostTrack[[Value]:[Value]],CostTrack[[PA ID]:[PA ID]],$B101,CostTrack[[Vendor - Contract]:[Vendor - Contract]],$H101,CostTrack[[Holdback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01" s="504">
        <f ca="1">SUMIFS(CostTrack[[Value]:[Value]],CostTrack[[PA ID]:[PA ID]],$B101,CostTrack[[Vendor - Contract]:[Vendor - Contract]],$H101,CostTrack[[Holdback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01" s="504">
        <f ca="1">SUMIFS(CostTrack[[Value]:[Value]],CostTrack[[PA ID]:[PA ID]],$B101,CostTrack[[Vendor - Contract]:[Vendor - Contract]],$H101,CostTrack[[Holdback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01" s="512">
        <f t="shared" ca="1" si="186"/>
        <v>0</v>
      </c>
      <c r="BK101" s="504">
        <f ca="1">SUMIFS(CostTrack[[Value]:[Value]],CostTrack[[PA ID]:[PA ID]],$B101,CostTrack[[Vendor - Contract]:[Vendor - Contract]],$H101,CostTrack[[Holdback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01" s="504">
        <f ca="1">SUMIFS(CostTrack[[Value]:[Value]],CostTrack[[PA ID]:[PA ID]],$B101,CostTrack[[Vendor - Contract]:[Vendor - Contract]],$H101,CostTrack[[Holdback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01" s="504">
        <f ca="1">SUMIFS(CostTrack[[Value]:[Value]],CostTrack[[PA ID]:[PA ID]],$B101,CostTrack[[Vendor - Contract]:[Vendor - Contract]],$H101,CostTrack[[Holdback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01" s="504">
        <f ca="1">SUMIFS(CostTrack[[Value]:[Value]],CostTrack[[PA ID]:[PA ID]],$B101,CostTrack[[Vendor - Contract]:[Vendor - Contract]],$H101,CostTrack[[Holdback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01" s="504">
        <f ca="1">SUMIFS(CostTrack[[Value]:[Value]],CostTrack[[PA ID]:[PA ID]],$B101,CostTrack[[Vendor - Contract]:[Vendor - Contract]],$H101,CostTrack[[Holdback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01" s="504">
        <f ca="1">SUMIFS(CostTrack[[Value]:[Value]],CostTrack[[PA ID]:[PA ID]],$B101,CostTrack[[Vendor - Contract]:[Vendor - Contract]],$H101,CostTrack[[Holdback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01" s="504">
        <f ca="1">SUMIFS(CostTrack[[Value]:[Value]],CostTrack[[PA ID]:[PA ID]],$B101,CostTrack[[Vendor - Contract]:[Vendor - Contract]],$H101,CostTrack[[Holdback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01" s="504">
        <f ca="1">SUMIFS(CostTrack[[Value]:[Value]],CostTrack[[PA ID]:[PA ID]],$B101,CostTrack[[Vendor - Contract]:[Vendor - Contract]],$H101,CostTrack[[Holdback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01" s="504">
        <f ca="1">SUMIFS(CostTrack[[Value]:[Value]],CostTrack[[PA ID]:[PA ID]],$B101,CostTrack[[Vendor - Contract]:[Vendor - Contract]],$H101,CostTrack[[Holdback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01" s="504">
        <f ca="1">SUMIFS(CostTrack[[Value]:[Value]],CostTrack[[PA ID]:[PA ID]],$B101,CostTrack[[Vendor - Contract]:[Vendor - Contract]],$H101,CostTrack[[Holdback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01" s="504">
        <f ca="1">SUMIFS(CostTrack[[Value]:[Value]],CostTrack[[PA ID]:[PA ID]],$B101,CostTrack[[Vendor - Contract]:[Vendor - Contract]],$H101,CostTrack[[Holdback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01" s="504">
        <f ca="1">SUMIFS(CostTrack[[Value]:[Value]],CostTrack[[PA ID]:[PA ID]],$B101,CostTrack[[Vendor - Contract]:[Vendor - Contract]],$H101,CostTrack[[Holdback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01" s="512">
        <f t="shared" ca="1" si="187"/>
        <v>0</v>
      </c>
      <c r="BY101" s="504">
        <f ca="1">SUMIFS(CostTrack[[Value]:[Value]],CostTrack[[PA ID]:[PA ID]],$B101,CostTrack[[Vendor - Contract]:[Vendor - Contract]],$H101,CostTrack[[Holdback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01" s="504">
        <f ca="1">SUMIFS(CostTrack[[Value]:[Value]],CostTrack[[PA ID]:[PA ID]],$B101,CostTrack[[Vendor - Contract]:[Vendor - Contract]],$H101,CostTrack[[Holdback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01" s="504">
        <f ca="1">SUMIFS(CostTrack[[Value]:[Value]],CostTrack[[PA ID]:[PA ID]],$B101,CostTrack[[Vendor - Contract]:[Vendor - Contract]],$H101,CostTrack[[Holdback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01" s="504">
        <f ca="1">SUMIFS(CostTrack[[Value]:[Value]],CostTrack[[PA ID]:[PA ID]],$B101,CostTrack[[Vendor - Contract]:[Vendor - Contract]],$H101,CostTrack[[Holdback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01" s="504">
        <f ca="1">SUMIFS(CostTrack[[Value]:[Value]],CostTrack[[PA ID]:[PA ID]],$B101,CostTrack[[Vendor - Contract]:[Vendor - Contract]],$H101,CostTrack[[Holdback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01" s="504">
        <f ca="1">SUMIFS(CostTrack[[Value]:[Value]],CostTrack[[PA ID]:[PA ID]],$B101,CostTrack[[Vendor - Contract]:[Vendor - Contract]],$H101,CostTrack[[Holdback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01" s="504">
        <f ca="1">SUMIFS(CostTrack[[Value]:[Value]],CostTrack[[PA ID]:[PA ID]],$B101,CostTrack[[Vendor - Contract]:[Vendor - Contract]],$H101,CostTrack[[Holdback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01" s="504">
        <f ca="1">SUMIFS(CostTrack[[Value]:[Value]],CostTrack[[PA ID]:[PA ID]],$B101,CostTrack[[Vendor - Contract]:[Vendor - Contract]],$H101,CostTrack[[Holdback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01" s="504">
        <f ca="1">SUMIFS(CostTrack[[Value]:[Value]],CostTrack[[PA ID]:[PA ID]],$B101,CostTrack[[Vendor - Contract]:[Vendor - Contract]],$H101,CostTrack[[Holdback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01" s="504">
        <f ca="1">SUMIFS(CostTrack[[Value]:[Value]],CostTrack[[PA ID]:[PA ID]],$B101,CostTrack[[Vendor - Contract]:[Vendor - Contract]],$H101,CostTrack[[Holdback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01" s="504">
        <f ca="1">SUMIFS(CostTrack[[Value]:[Value]],CostTrack[[PA ID]:[PA ID]],$B101,CostTrack[[Vendor - Contract]:[Vendor - Contract]],$H101,CostTrack[[Holdback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01" s="504">
        <f ca="1">SUMIFS(CostTrack[[Value]:[Value]],CostTrack[[PA ID]:[PA ID]],$B101,CostTrack[[Vendor - Contract]:[Vendor - Contract]],$H101,CostTrack[[Holdback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01" s="512">
        <f t="shared" ca="1" si="188"/>
        <v>0</v>
      </c>
      <c r="CM101" s="504">
        <f ca="1">SUMIFS(CostTrack[[Value]:[Value]],CostTrack[[PA ID]:[PA ID]],$B101,CostTrack[[Vendor - Contract]:[Vendor - Contract]],$H101,CostTrack[[Holdback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01" s="504">
        <f ca="1">SUMIFS(CostTrack[[Value]:[Value]],CostTrack[[PA ID]:[PA ID]],$B101,CostTrack[[Vendor - Contract]:[Vendor - Contract]],$H101,CostTrack[[Holdback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01" s="504">
        <f ca="1">SUMIFS(CostTrack[[Value]:[Value]],CostTrack[[PA ID]:[PA ID]],$B101,CostTrack[[Vendor - Contract]:[Vendor - Contract]],$H101,CostTrack[[Holdback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01" s="504">
        <f ca="1">SUMIFS(CostTrack[[Value]:[Value]],CostTrack[[PA ID]:[PA ID]],$B101,CostTrack[[Vendor - Contract]:[Vendor - Contract]],$H101,CostTrack[[Holdback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01" s="504">
        <f ca="1">SUMIFS(CostTrack[[Value]:[Value]],CostTrack[[PA ID]:[PA ID]],$B101,CostTrack[[Vendor - Contract]:[Vendor - Contract]],$H101,CostTrack[[Holdback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01" s="504">
        <f ca="1">SUMIFS(CostTrack[[Value]:[Value]],CostTrack[[PA ID]:[PA ID]],$B101,CostTrack[[Vendor - Contract]:[Vendor - Contract]],$H101,CostTrack[[Holdback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01" s="504">
        <f ca="1">SUMIFS(CostTrack[[Value]:[Value]],CostTrack[[PA ID]:[PA ID]],$B101,CostTrack[[Vendor - Contract]:[Vendor - Contract]],$H101,CostTrack[[Holdback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01" s="504">
        <f ca="1">SUMIFS(CostTrack[[Value]:[Value]],CostTrack[[PA ID]:[PA ID]],$B101,CostTrack[[Vendor - Contract]:[Vendor - Contract]],$H101,CostTrack[[Holdback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01" s="504">
        <f ca="1">SUMIFS(CostTrack[[Value]:[Value]],CostTrack[[PA ID]:[PA ID]],$B101,CostTrack[[Vendor - Contract]:[Vendor - Contract]],$H101,CostTrack[[Holdback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01" s="504">
        <f ca="1">SUMIFS(CostTrack[[Value]:[Value]],CostTrack[[PA ID]:[PA ID]],$B101,CostTrack[[Vendor - Contract]:[Vendor - Contract]],$H101,CostTrack[[Holdback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01" s="504">
        <f ca="1">SUMIFS(CostTrack[[Value]:[Value]],CostTrack[[PA ID]:[PA ID]],$B101,CostTrack[[Vendor - Contract]:[Vendor - Contract]],$H101,CostTrack[[Holdback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01" s="504">
        <f ca="1">SUMIFS(CostTrack[[Value]:[Value]],CostTrack[[PA ID]:[PA ID]],$B101,CostTrack[[Vendor - Contract]:[Vendor - Contract]],$H101,CostTrack[[Holdback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01" s="512">
        <f t="shared" ca="1" si="189"/>
        <v>0</v>
      </c>
      <c r="DA101" s="504">
        <f ca="1">SUMIFS(CostTrack[[Value]:[Value]],CostTrack[[PA ID]:[PA ID]],$B101,CostTrack[[Vendor - Contract]:[Vendor - Contract]],$H101,CostTrack[[Holdback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01" s="504">
        <f ca="1">SUMIFS(CostTrack[[Value]:[Value]],CostTrack[[PA ID]:[PA ID]],$B101,CostTrack[[Vendor - Contract]:[Vendor - Contract]],$H101,CostTrack[[Holdback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01" s="504">
        <f ca="1">SUMIFS(CostTrack[[Value]:[Value]],CostTrack[[PA ID]:[PA ID]],$B101,CostTrack[[Vendor - Contract]:[Vendor - Contract]],$H101,CostTrack[[Holdback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01" s="504">
        <f ca="1">SUMIFS(CostTrack[[Value]:[Value]],CostTrack[[PA ID]:[PA ID]],$B101,CostTrack[[Vendor - Contract]:[Vendor - Contract]],$H101,CostTrack[[Holdback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01" s="504">
        <f ca="1">SUMIFS(CostTrack[[Value]:[Value]],CostTrack[[PA ID]:[PA ID]],$B101,CostTrack[[Vendor - Contract]:[Vendor - Contract]],$H101,CostTrack[[Holdback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01" s="504">
        <f ca="1">SUMIFS(CostTrack[[Value]:[Value]],CostTrack[[PA ID]:[PA ID]],$B101,CostTrack[[Vendor - Contract]:[Vendor - Contract]],$H101,CostTrack[[Holdback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01" s="504">
        <f ca="1">SUMIFS(CostTrack[[Value]:[Value]],CostTrack[[PA ID]:[PA ID]],$B101,CostTrack[[Vendor - Contract]:[Vendor - Contract]],$H101,CostTrack[[Holdback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3285</v>
      </c>
      <c r="DH101" s="504">
        <f ca="1">SUMIFS(CostTrack[[Value]:[Value]],CostTrack[[PA ID]:[PA ID]],$B101,CostTrack[[Vendor - Contract]:[Vendor - Contract]],$H101,CostTrack[[Holdback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01" s="504">
        <f ca="1">SUMIFS(CostTrack[[Value]:[Value]],CostTrack[[PA ID]:[PA ID]],$B101,CostTrack[[Vendor - Contract]:[Vendor - Contract]],$H101,CostTrack[[Holdback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01" s="504">
        <f ca="1">SUMIFS(CostTrack[[Value]:[Value]],CostTrack[[PA ID]:[PA ID]],$B101,CostTrack[[Vendor - Contract]:[Vendor - Contract]],$H101,CostTrack[[Holdback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01" s="504">
        <f ca="1">SUMIFS(CostTrack[[Value]:[Value]],CostTrack[[PA ID]:[PA ID]],$B101,CostTrack[[Vendor - Contract]:[Vendor - Contract]],$H101,CostTrack[[Holdback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01" s="504">
        <f ca="1">SUMIFS(CostTrack[[Value]:[Value]],CostTrack[[PA ID]:[PA ID]],$B101,CostTrack[[Vendor - Contract]:[Vendor - Contract]],$H101,CostTrack[[Holdback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01" s="512">
        <f t="shared" ca="1" si="190"/>
        <v>3285</v>
      </c>
      <c r="DO101" s="504">
        <f ca="1">SUMIFS(CostTrack[[Value]:[Value]],CostTrack[[PA ID]:[PA ID]],$B101,CostTrack[[Vendor - Contract]:[Vendor - Contract]],$H101,CostTrack[[Holdback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01" s="504">
        <f ca="1">SUMIFS(CostTrack[[Value]:[Value]],CostTrack[[PA ID]:[PA ID]],$B101,CostTrack[[Vendor - Contract]:[Vendor - Contract]],$H101,CostTrack[[Holdback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01" s="504">
        <f ca="1">SUMIFS(CostTrack[[Value]:[Value]],CostTrack[[PA ID]:[PA ID]],$B101,CostTrack[[Vendor - Contract]:[Vendor - Contract]],$H101,CostTrack[[Holdback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01" s="504">
        <f ca="1">SUMIFS(CostTrack[[Value]:[Value]],CostTrack[[PA ID]:[PA ID]],$B101,CostTrack[[Vendor - Contract]:[Vendor - Contract]],$H101,CostTrack[[Holdback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01" s="504">
        <f ca="1">SUMIFS(CostTrack[[Value]:[Value]],CostTrack[[PA ID]:[PA ID]],$B101,CostTrack[[Vendor - Contract]:[Vendor - Contract]],$H101,CostTrack[[Holdback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01" s="504">
        <f ca="1">SUMIFS(CostTrack[[Value]:[Value]],CostTrack[[PA ID]:[PA ID]],$B101,CostTrack[[Vendor - Contract]:[Vendor - Contract]],$H101,CostTrack[[Holdback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01" s="504">
        <f ca="1">SUMIFS(CostTrack[[Value]:[Value]],CostTrack[[PA ID]:[PA ID]],$B101,CostTrack[[Vendor - Contract]:[Vendor - Contract]],$H101,CostTrack[[Holdback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01" s="504">
        <f ca="1">SUMIFS(CostTrack[[Value]:[Value]],CostTrack[[PA ID]:[PA ID]],$B101,CostTrack[[Vendor - Contract]:[Vendor - Contract]],$H101,CostTrack[[Holdback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01" s="504">
        <f ca="1">SUMIFS(CostTrack[[Value]:[Value]],CostTrack[[PA ID]:[PA ID]],$B101,CostTrack[[Vendor - Contract]:[Vendor - Contract]],$H101,CostTrack[[Holdback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01" s="504">
        <f ca="1">SUMIFS(CostTrack[[Value]:[Value]],CostTrack[[PA ID]:[PA ID]],$B101,CostTrack[[Vendor - Contract]:[Vendor - Contract]],$H101,CostTrack[[Holdback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01" s="504">
        <f ca="1">SUMIFS(CostTrack[[Value]:[Value]],CostTrack[[PA ID]:[PA ID]],$B101,CostTrack[[Vendor - Contract]:[Vendor - Contract]],$H101,CostTrack[[Holdback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01" s="504">
        <f ca="1">SUMIFS(CostTrack[[Value]:[Value]],CostTrack[[PA ID]:[PA ID]],$B101,CostTrack[[Vendor - Contract]:[Vendor - Contract]],$H101,CostTrack[[Holdback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01" s="512">
        <f t="shared" ca="1" si="191"/>
        <v>0</v>
      </c>
      <c r="EC101" s="504">
        <f ca="1">SUMIFS(CostTrack[[Value]:[Value]],CostTrack[[PA ID]:[PA ID]],$B101,CostTrack[[Vendor - Contract]:[Vendor - Contract]],$H101,CostTrack[[Holdback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01" s="505"/>
      <c r="EE101" s="505"/>
      <c r="EF101" s="505"/>
      <c r="EG101" s="505"/>
      <c r="EH101" s="505"/>
      <c r="EI101" s="505"/>
      <c r="EJ101" s="505"/>
      <c r="EK101" s="505"/>
      <c r="EL101" s="505"/>
      <c r="EM101" s="505"/>
      <c r="EN101" s="505"/>
      <c r="EO101" s="512">
        <f t="shared" ca="1" si="192"/>
        <v>0</v>
      </c>
      <c r="EQ101" s="505"/>
      <c r="ER101" s="505"/>
      <c r="ES101" s="505"/>
      <c r="ET101" s="505"/>
      <c r="EU101" s="505"/>
      <c r="EV101" s="505"/>
      <c r="EW101" s="505"/>
      <c r="EX101" s="505"/>
      <c r="EY101" s="505"/>
      <c r="EZ101" s="505"/>
      <c r="FA101" s="505"/>
      <c r="FB101" s="505"/>
      <c r="FC101" s="512">
        <f t="shared" si="193"/>
        <v>0</v>
      </c>
      <c r="FE101" s="505"/>
      <c r="FF101" s="505"/>
      <c r="FG101" s="505"/>
      <c r="FH101" s="505"/>
      <c r="FI101" s="505"/>
      <c r="FJ101" s="505"/>
      <c r="FK101" s="505"/>
      <c r="FL101" s="505"/>
      <c r="FM101" s="505"/>
      <c r="FN101" s="505"/>
      <c r="FO101" s="505"/>
      <c r="FP101" s="505"/>
      <c r="FQ101" s="512">
        <f t="shared" si="194"/>
        <v>0</v>
      </c>
      <c r="FS101" s="504">
        <f t="shared" ca="1" si="195"/>
        <v>3285</v>
      </c>
    </row>
    <row r="102" spans="1:175">
      <c r="A102" s="216">
        <v>95</v>
      </c>
      <c r="B102" s="219" t="str">
        <f ca="1">INDEX(EAC[PA ID],MATCH($A102,EAC[Row],0))</f>
        <v>300.040.F1</v>
      </c>
      <c r="C102" s="218" t="str">
        <f ca="1">INDEX(EAC[Primary Category],MATCH($A102,EAC[Row],0))</f>
        <v>Construction</v>
      </c>
      <c r="D102" s="218" t="str">
        <f ca="1">INDEX(EAC[Secondary Category],MATCH($A102,EAC[Row],0))</f>
        <v>Other Contractor</v>
      </c>
      <c r="E102" s="109" t="str">
        <f ca="1">INDEX(EAC[Phase / Subproject],MATCH($A102,EAC[Row],0))</f>
        <v>--</v>
      </c>
      <c r="F102" s="109" t="str">
        <f ca="1">INDEX(EAC[Phase / Subproject 2],MATCH($A102,EAC[Row],0))</f>
        <v>--</v>
      </c>
      <c r="G102" s="109" t="str">
        <f ca="1">INDEX(EAC[Funding Source],MATCH($A102,EAC[Row],0))</f>
        <v>P-002360</v>
      </c>
      <c r="H102" s="146" t="str">
        <f ca="1">INDEX(EAC[Vendor / Org. with Contract ID],MATCH($A102,EAC[Row],0))</f>
        <v>Realty in Red Deer Ltd-Cleaning Fees-Direct Pay</v>
      </c>
      <c r="I102" s="502">
        <f ca="1">INDEX(EAC[Estimate At Completion],MATCH($A102,EAC[Row],0))</f>
        <v>800</v>
      </c>
      <c r="J102" s="502">
        <f ca="1">SUMIFS(CostTrack[Value],CostTrack[Vendor - Contract],$H102,CostTrack[PA ID],$B102,CostTrack[Holdback (Y/N/R)],"&lt;&gt;Release",CostTrack[Status],"Approved")</f>
        <v>800</v>
      </c>
      <c r="K102" s="503">
        <f t="shared" ca="1" si="179"/>
        <v>0</v>
      </c>
      <c r="M102" s="504">
        <f t="shared" ca="1" si="180"/>
        <v>0</v>
      </c>
      <c r="O102" s="504">
        <f t="shared" ca="1" si="181"/>
        <v>800</v>
      </c>
      <c r="P102" s="504">
        <f t="array" aca="1" ref="P102" ca="1">SUM($U102:$FQ102*_xlfn.ISFORMULA($U102:$FQ102)*ISNUMBER($U$7:$FQ$7)*--(INDEX($U$6:$FQ$6,N(IF({1},COLUMN($U$6:$FQ$6)-COLUMN($T$6)))-MOD(N(IF({1},COLUMN($U$6:$FQ$6)-COLUMN($U$6))),14))="Current Fiscal"))</f>
        <v>0</v>
      </c>
      <c r="Q102" s="504">
        <f t="array" aca="1" ref="Q102" ca="1">SUM($U102:$FQ102*NOT(_xlfn.ISFORMULA($U102:$FQ102))*ISNUMBER($U$7:$FQ$7)*--(INDEX($U$6:$FQ$6,N(IF({1},COLUMN($U$6:$FQ$6)-COLUMN($T$6)))-MOD(N(IF({1},COLUMN($U$6:$FQ$6)-COLUMN($U$6))),14))="Current Fiscal"))</f>
        <v>0</v>
      </c>
      <c r="R102" s="504">
        <f t="shared" ca="1" si="182"/>
        <v>0</v>
      </c>
      <c r="S102" s="504">
        <f t="shared" ca="1" si="183"/>
        <v>0</v>
      </c>
      <c r="U102" s="504">
        <f ca="1">SUMIFS(CostTrack[[Value]:[Value]],CostTrack[[PA ID]:[PA ID]],$B102,CostTrack[[Vendor - Contract]:[Vendor - Contract]],$H102,CostTrack[[Holdback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02" s="504">
        <f ca="1">SUMIFS(CostTrack[[Value]:[Value]],CostTrack[[PA ID]:[PA ID]],$B102,CostTrack[[Vendor - Contract]:[Vendor - Contract]],$H102,CostTrack[[Holdback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02" s="504">
        <f ca="1">SUMIFS(CostTrack[[Value]:[Value]],CostTrack[[PA ID]:[PA ID]],$B102,CostTrack[[Vendor - Contract]:[Vendor - Contract]],$H102,CostTrack[[Holdback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02" s="504">
        <f ca="1">SUMIFS(CostTrack[[Value]:[Value]],CostTrack[[PA ID]:[PA ID]],$B102,CostTrack[[Vendor - Contract]:[Vendor - Contract]],$H102,CostTrack[[Holdback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02" s="504">
        <f ca="1">SUMIFS(CostTrack[[Value]:[Value]],CostTrack[[PA ID]:[PA ID]],$B102,CostTrack[[Vendor - Contract]:[Vendor - Contract]],$H102,CostTrack[[Holdback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02" s="504">
        <f ca="1">SUMIFS(CostTrack[[Value]:[Value]],CostTrack[[PA ID]:[PA ID]],$B102,CostTrack[[Vendor - Contract]:[Vendor - Contract]],$H102,CostTrack[[Holdback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02" s="504">
        <f ca="1">SUMIFS(CostTrack[[Value]:[Value]],CostTrack[[PA ID]:[PA ID]],$B102,CostTrack[[Vendor - Contract]:[Vendor - Contract]],$H102,CostTrack[[Holdback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02" s="504">
        <f ca="1">SUMIFS(CostTrack[[Value]:[Value]],CostTrack[[PA ID]:[PA ID]],$B102,CostTrack[[Vendor - Contract]:[Vendor - Contract]],$H102,CostTrack[[Holdback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02" s="504">
        <f ca="1">SUMIFS(CostTrack[[Value]:[Value]],CostTrack[[PA ID]:[PA ID]],$B102,CostTrack[[Vendor - Contract]:[Vendor - Contract]],$H102,CostTrack[[Holdback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02" s="504">
        <f ca="1">SUMIFS(CostTrack[[Value]:[Value]],CostTrack[[PA ID]:[PA ID]],$B102,CostTrack[[Vendor - Contract]:[Vendor - Contract]],$H102,CostTrack[[Holdback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02" s="504">
        <f ca="1">SUMIFS(CostTrack[[Value]:[Value]],CostTrack[[PA ID]:[PA ID]],$B102,CostTrack[[Vendor - Contract]:[Vendor - Contract]],$H102,CostTrack[[Holdback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02" s="504">
        <f ca="1">SUMIFS(CostTrack[[Value]:[Value]],CostTrack[[PA ID]:[PA ID]],$B102,CostTrack[[Vendor - Contract]:[Vendor - Contract]],$H102,CostTrack[[Holdback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02" s="506">
        <f t="shared" ca="1" si="184"/>
        <v>0</v>
      </c>
      <c r="AI102" s="504">
        <f ca="1">SUMIFS(CostTrack[[Value]:[Value]],CostTrack[[PA ID]:[PA ID]],$B102,CostTrack[[Vendor - Contract]:[Vendor - Contract]],$H102,CostTrack[[Holdback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02" s="504">
        <f ca="1">SUMIFS(CostTrack[[Value]:[Value]],CostTrack[[PA ID]:[PA ID]],$B102,CostTrack[[Vendor - Contract]:[Vendor - Contract]],$H102,CostTrack[[Holdback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02" s="504">
        <f ca="1">SUMIFS(CostTrack[[Value]:[Value]],CostTrack[[PA ID]:[PA ID]],$B102,CostTrack[[Vendor - Contract]:[Vendor - Contract]],$H102,CostTrack[[Holdback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02" s="504">
        <f ca="1">SUMIFS(CostTrack[[Value]:[Value]],CostTrack[[PA ID]:[PA ID]],$B102,CostTrack[[Vendor - Contract]:[Vendor - Contract]],$H102,CostTrack[[Holdback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02" s="504">
        <f ca="1">SUMIFS(CostTrack[[Value]:[Value]],CostTrack[[PA ID]:[PA ID]],$B102,CostTrack[[Vendor - Contract]:[Vendor - Contract]],$H102,CostTrack[[Holdback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02" s="504">
        <f ca="1">SUMIFS(CostTrack[[Value]:[Value]],CostTrack[[PA ID]:[PA ID]],$B102,CostTrack[[Vendor - Contract]:[Vendor - Contract]],$H102,CostTrack[[Holdback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02" s="504">
        <f ca="1">SUMIFS(CostTrack[[Value]:[Value]],CostTrack[[PA ID]:[PA ID]],$B102,CostTrack[[Vendor - Contract]:[Vendor - Contract]],$H102,CostTrack[[Holdback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02" s="504">
        <f ca="1">SUMIFS(CostTrack[[Value]:[Value]],CostTrack[[PA ID]:[PA ID]],$B102,CostTrack[[Vendor - Contract]:[Vendor - Contract]],$H102,CostTrack[[Holdback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02" s="504">
        <f ca="1">SUMIFS(CostTrack[[Value]:[Value]],CostTrack[[PA ID]:[PA ID]],$B102,CostTrack[[Vendor - Contract]:[Vendor - Contract]],$H102,CostTrack[[Holdback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02" s="504">
        <f ca="1">SUMIFS(CostTrack[[Value]:[Value]],CostTrack[[PA ID]:[PA ID]],$B102,CostTrack[[Vendor - Contract]:[Vendor - Contract]],$H102,CostTrack[[Holdback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02" s="504">
        <f ca="1">SUMIFS(CostTrack[[Value]:[Value]],CostTrack[[PA ID]:[PA ID]],$B102,CostTrack[[Vendor - Contract]:[Vendor - Contract]],$H102,CostTrack[[Holdback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02" s="504">
        <f ca="1">SUMIFS(CostTrack[[Value]:[Value]],CostTrack[[PA ID]:[PA ID]],$B102,CostTrack[[Vendor - Contract]:[Vendor - Contract]],$H102,CostTrack[[Holdback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02" s="512">
        <f t="shared" ca="1" si="185"/>
        <v>0</v>
      </c>
      <c r="AW102" s="504">
        <f ca="1">SUMIFS(CostTrack[[Value]:[Value]],CostTrack[[PA ID]:[PA ID]],$B102,CostTrack[[Vendor - Contract]:[Vendor - Contract]],$H102,CostTrack[[Holdback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02" s="504">
        <f ca="1">SUMIFS(CostTrack[[Value]:[Value]],CostTrack[[PA ID]:[PA ID]],$B102,CostTrack[[Vendor - Contract]:[Vendor - Contract]],$H102,CostTrack[[Holdback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02" s="504">
        <f ca="1">SUMIFS(CostTrack[[Value]:[Value]],CostTrack[[PA ID]:[PA ID]],$B102,CostTrack[[Vendor - Contract]:[Vendor - Contract]],$H102,CostTrack[[Holdback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02" s="504">
        <f ca="1">SUMIFS(CostTrack[[Value]:[Value]],CostTrack[[PA ID]:[PA ID]],$B102,CostTrack[[Vendor - Contract]:[Vendor - Contract]],$H102,CostTrack[[Holdback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02" s="504">
        <f ca="1">SUMIFS(CostTrack[[Value]:[Value]],CostTrack[[PA ID]:[PA ID]],$B102,CostTrack[[Vendor - Contract]:[Vendor - Contract]],$H102,CostTrack[[Holdback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02" s="504">
        <f ca="1">SUMIFS(CostTrack[[Value]:[Value]],CostTrack[[PA ID]:[PA ID]],$B102,CostTrack[[Vendor - Contract]:[Vendor - Contract]],$H102,CostTrack[[Holdback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02" s="504">
        <f ca="1">SUMIFS(CostTrack[[Value]:[Value]],CostTrack[[PA ID]:[PA ID]],$B102,CostTrack[[Vendor - Contract]:[Vendor - Contract]],$H102,CostTrack[[Holdback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02" s="504">
        <f ca="1">SUMIFS(CostTrack[[Value]:[Value]],CostTrack[[PA ID]:[PA ID]],$B102,CostTrack[[Vendor - Contract]:[Vendor - Contract]],$H102,CostTrack[[Holdback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02" s="504">
        <f ca="1">SUMIFS(CostTrack[[Value]:[Value]],CostTrack[[PA ID]:[PA ID]],$B102,CostTrack[[Vendor - Contract]:[Vendor - Contract]],$H102,CostTrack[[Holdback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02" s="504">
        <f ca="1">SUMIFS(CostTrack[[Value]:[Value]],CostTrack[[PA ID]:[PA ID]],$B102,CostTrack[[Vendor - Contract]:[Vendor - Contract]],$H102,CostTrack[[Holdback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02" s="504">
        <f ca="1">SUMIFS(CostTrack[[Value]:[Value]],CostTrack[[PA ID]:[PA ID]],$B102,CostTrack[[Vendor - Contract]:[Vendor - Contract]],$H102,CostTrack[[Holdback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02" s="504">
        <f ca="1">SUMIFS(CostTrack[[Value]:[Value]],CostTrack[[PA ID]:[PA ID]],$B102,CostTrack[[Vendor - Contract]:[Vendor - Contract]],$H102,CostTrack[[Holdback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02" s="512">
        <f t="shared" ca="1" si="186"/>
        <v>0</v>
      </c>
      <c r="BK102" s="504">
        <f ca="1">SUMIFS(CostTrack[[Value]:[Value]],CostTrack[[PA ID]:[PA ID]],$B102,CostTrack[[Vendor - Contract]:[Vendor - Contract]],$H102,CostTrack[[Holdback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02" s="504">
        <f ca="1">SUMIFS(CostTrack[[Value]:[Value]],CostTrack[[PA ID]:[PA ID]],$B102,CostTrack[[Vendor - Contract]:[Vendor - Contract]],$H102,CostTrack[[Holdback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02" s="504">
        <f ca="1">SUMIFS(CostTrack[[Value]:[Value]],CostTrack[[PA ID]:[PA ID]],$B102,CostTrack[[Vendor - Contract]:[Vendor - Contract]],$H102,CostTrack[[Holdback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02" s="504">
        <f ca="1">SUMIFS(CostTrack[[Value]:[Value]],CostTrack[[PA ID]:[PA ID]],$B102,CostTrack[[Vendor - Contract]:[Vendor - Contract]],$H102,CostTrack[[Holdback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02" s="504">
        <f ca="1">SUMIFS(CostTrack[[Value]:[Value]],CostTrack[[PA ID]:[PA ID]],$B102,CostTrack[[Vendor - Contract]:[Vendor - Contract]],$H102,CostTrack[[Holdback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02" s="504">
        <f ca="1">SUMIFS(CostTrack[[Value]:[Value]],CostTrack[[PA ID]:[PA ID]],$B102,CostTrack[[Vendor - Contract]:[Vendor - Contract]],$H102,CostTrack[[Holdback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02" s="504">
        <f ca="1">SUMIFS(CostTrack[[Value]:[Value]],CostTrack[[PA ID]:[PA ID]],$B102,CostTrack[[Vendor - Contract]:[Vendor - Contract]],$H102,CostTrack[[Holdback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02" s="504">
        <f ca="1">SUMIFS(CostTrack[[Value]:[Value]],CostTrack[[PA ID]:[PA ID]],$B102,CostTrack[[Vendor - Contract]:[Vendor - Contract]],$H102,CostTrack[[Holdback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02" s="504">
        <f ca="1">SUMIFS(CostTrack[[Value]:[Value]],CostTrack[[PA ID]:[PA ID]],$B102,CostTrack[[Vendor - Contract]:[Vendor - Contract]],$H102,CostTrack[[Holdback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02" s="504">
        <f ca="1">SUMIFS(CostTrack[[Value]:[Value]],CostTrack[[PA ID]:[PA ID]],$B102,CostTrack[[Vendor - Contract]:[Vendor - Contract]],$H102,CostTrack[[Holdback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02" s="504">
        <f ca="1">SUMIFS(CostTrack[[Value]:[Value]],CostTrack[[PA ID]:[PA ID]],$B102,CostTrack[[Vendor - Contract]:[Vendor - Contract]],$H102,CostTrack[[Holdback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02" s="504">
        <f ca="1">SUMIFS(CostTrack[[Value]:[Value]],CostTrack[[PA ID]:[PA ID]],$B102,CostTrack[[Vendor - Contract]:[Vendor - Contract]],$H102,CostTrack[[Holdback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02" s="512">
        <f t="shared" ca="1" si="187"/>
        <v>0</v>
      </c>
      <c r="BY102" s="504">
        <f ca="1">SUMIFS(CostTrack[[Value]:[Value]],CostTrack[[PA ID]:[PA ID]],$B102,CostTrack[[Vendor - Contract]:[Vendor - Contract]],$H102,CostTrack[[Holdback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02" s="504">
        <f ca="1">SUMIFS(CostTrack[[Value]:[Value]],CostTrack[[PA ID]:[PA ID]],$B102,CostTrack[[Vendor - Contract]:[Vendor - Contract]],$H102,CostTrack[[Holdback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02" s="504">
        <f ca="1">SUMIFS(CostTrack[[Value]:[Value]],CostTrack[[PA ID]:[PA ID]],$B102,CostTrack[[Vendor - Contract]:[Vendor - Contract]],$H102,CostTrack[[Holdback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02" s="504">
        <f ca="1">SUMIFS(CostTrack[[Value]:[Value]],CostTrack[[PA ID]:[PA ID]],$B102,CostTrack[[Vendor - Contract]:[Vendor - Contract]],$H102,CostTrack[[Holdback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02" s="504">
        <f ca="1">SUMIFS(CostTrack[[Value]:[Value]],CostTrack[[PA ID]:[PA ID]],$B102,CostTrack[[Vendor - Contract]:[Vendor - Contract]],$H102,CostTrack[[Holdback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02" s="504">
        <f ca="1">SUMIFS(CostTrack[[Value]:[Value]],CostTrack[[PA ID]:[PA ID]],$B102,CostTrack[[Vendor - Contract]:[Vendor - Contract]],$H102,CostTrack[[Holdback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02" s="504">
        <f ca="1">SUMIFS(CostTrack[[Value]:[Value]],CostTrack[[PA ID]:[PA ID]],$B102,CostTrack[[Vendor - Contract]:[Vendor - Contract]],$H102,CostTrack[[Holdback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02" s="504">
        <f ca="1">SUMIFS(CostTrack[[Value]:[Value]],CostTrack[[PA ID]:[PA ID]],$B102,CostTrack[[Vendor - Contract]:[Vendor - Contract]],$H102,CostTrack[[Holdback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02" s="504">
        <f ca="1">SUMIFS(CostTrack[[Value]:[Value]],CostTrack[[PA ID]:[PA ID]],$B102,CostTrack[[Vendor - Contract]:[Vendor - Contract]],$H102,CostTrack[[Holdback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02" s="504">
        <f ca="1">SUMIFS(CostTrack[[Value]:[Value]],CostTrack[[PA ID]:[PA ID]],$B102,CostTrack[[Vendor - Contract]:[Vendor - Contract]],$H102,CostTrack[[Holdback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02" s="504">
        <f ca="1">SUMIFS(CostTrack[[Value]:[Value]],CostTrack[[PA ID]:[PA ID]],$B102,CostTrack[[Vendor - Contract]:[Vendor - Contract]],$H102,CostTrack[[Holdback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02" s="504">
        <f ca="1">SUMIFS(CostTrack[[Value]:[Value]],CostTrack[[PA ID]:[PA ID]],$B102,CostTrack[[Vendor - Contract]:[Vendor - Contract]],$H102,CostTrack[[Holdback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02" s="512">
        <f t="shared" ca="1" si="188"/>
        <v>0</v>
      </c>
      <c r="CM102" s="504">
        <f ca="1">SUMIFS(CostTrack[[Value]:[Value]],CostTrack[[PA ID]:[PA ID]],$B102,CostTrack[[Vendor - Contract]:[Vendor - Contract]],$H102,CostTrack[[Holdback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02" s="504">
        <f ca="1">SUMIFS(CostTrack[[Value]:[Value]],CostTrack[[PA ID]:[PA ID]],$B102,CostTrack[[Vendor - Contract]:[Vendor - Contract]],$H102,CostTrack[[Holdback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02" s="504">
        <f ca="1">SUMIFS(CostTrack[[Value]:[Value]],CostTrack[[PA ID]:[PA ID]],$B102,CostTrack[[Vendor - Contract]:[Vendor - Contract]],$H102,CostTrack[[Holdback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02" s="504">
        <f ca="1">SUMIFS(CostTrack[[Value]:[Value]],CostTrack[[PA ID]:[PA ID]],$B102,CostTrack[[Vendor - Contract]:[Vendor - Contract]],$H102,CostTrack[[Holdback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02" s="504">
        <f ca="1">SUMIFS(CostTrack[[Value]:[Value]],CostTrack[[PA ID]:[PA ID]],$B102,CostTrack[[Vendor - Contract]:[Vendor - Contract]],$H102,CostTrack[[Holdback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02" s="504">
        <f ca="1">SUMIFS(CostTrack[[Value]:[Value]],CostTrack[[PA ID]:[PA ID]],$B102,CostTrack[[Vendor - Contract]:[Vendor - Contract]],$H102,CostTrack[[Holdback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02" s="504">
        <f ca="1">SUMIFS(CostTrack[[Value]:[Value]],CostTrack[[PA ID]:[PA ID]],$B102,CostTrack[[Vendor - Contract]:[Vendor - Contract]],$H102,CostTrack[[Holdback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02" s="504">
        <f ca="1">SUMIFS(CostTrack[[Value]:[Value]],CostTrack[[PA ID]:[PA ID]],$B102,CostTrack[[Vendor - Contract]:[Vendor - Contract]],$H102,CostTrack[[Holdback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02" s="504">
        <f ca="1">SUMIFS(CostTrack[[Value]:[Value]],CostTrack[[PA ID]:[PA ID]],$B102,CostTrack[[Vendor - Contract]:[Vendor - Contract]],$H102,CostTrack[[Holdback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02" s="504">
        <f ca="1">SUMIFS(CostTrack[[Value]:[Value]],CostTrack[[PA ID]:[PA ID]],$B102,CostTrack[[Vendor - Contract]:[Vendor - Contract]],$H102,CostTrack[[Holdback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02" s="504">
        <f ca="1">SUMIFS(CostTrack[[Value]:[Value]],CostTrack[[PA ID]:[PA ID]],$B102,CostTrack[[Vendor - Contract]:[Vendor - Contract]],$H102,CostTrack[[Holdback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02" s="504">
        <f ca="1">SUMIFS(CostTrack[[Value]:[Value]],CostTrack[[PA ID]:[PA ID]],$B102,CostTrack[[Vendor - Contract]:[Vendor - Contract]],$H102,CostTrack[[Holdback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02" s="512">
        <f t="shared" ca="1" si="189"/>
        <v>0</v>
      </c>
      <c r="DA102" s="504">
        <f ca="1">SUMIFS(CostTrack[[Value]:[Value]],CostTrack[[PA ID]:[PA ID]],$B102,CostTrack[[Vendor - Contract]:[Vendor - Contract]],$H102,CostTrack[[Holdback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02" s="504">
        <f ca="1">SUMIFS(CostTrack[[Value]:[Value]],CostTrack[[PA ID]:[PA ID]],$B102,CostTrack[[Vendor - Contract]:[Vendor - Contract]],$H102,CostTrack[[Holdback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02" s="504">
        <f ca="1">SUMIFS(CostTrack[[Value]:[Value]],CostTrack[[PA ID]:[PA ID]],$B102,CostTrack[[Vendor - Contract]:[Vendor - Contract]],$H102,CostTrack[[Holdback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02" s="504">
        <f ca="1">SUMIFS(CostTrack[[Value]:[Value]],CostTrack[[PA ID]:[PA ID]],$B102,CostTrack[[Vendor - Contract]:[Vendor - Contract]],$H102,CostTrack[[Holdback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02" s="504">
        <f ca="1">SUMIFS(CostTrack[[Value]:[Value]],CostTrack[[PA ID]:[PA ID]],$B102,CostTrack[[Vendor - Contract]:[Vendor - Contract]],$H102,CostTrack[[Holdback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02" s="504">
        <f ca="1">SUMIFS(CostTrack[[Value]:[Value]],CostTrack[[PA ID]:[PA ID]],$B102,CostTrack[[Vendor - Contract]:[Vendor - Contract]],$H102,CostTrack[[Holdback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02" s="504">
        <f ca="1">SUMIFS(CostTrack[[Value]:[Value]],CostTrack[[PA ID]:[PA ID]],$B102,CostTrack[[Vendor - Contract]:[Vendor - Contract]],$H102,CostTrack[[Holdback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02" s="504">
        <f ca="1">SUMIFS(CostTrack[[Value]:[Value]],CostTrack[[PA ID]:[PA ID]],$B102,CostTrack[[Vendor - Contract]:[Vendor - Contract]],$H102,CostTrack[[Holdback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02" s="504">
        <f ca="1">SUMIFS(CostTrack[[Value]:[Value]],CostTrack[[PA ID]:[PA ID]],$B102,CostTrack[[Vendor - Contract]:[Vendor - Contract]],$H102,CostTrack[[Holdback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02" s="504">
        <f ca="1">SUMIFS(CostTrack[[Value]:[Value]],CostTrack[[PA ID]:[PA ID]],$B102,CostTrack[[Vendor - Contract]:[Vendor - Contract]],$H102,CostTrack[[Holdback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800</v>
      </c>
      <c r="DK102" s="504">
        <f ca="1">SUMIFS(CostTrack[[Value]:[Value]],CostTrack[[PA ID]:[PA ID]],$B102,CostTrack[[Vendor - Contract]:[Vendor - Contract]],$H102,CostTrack[[Holdback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02" s="504">
        <f ca="1">SUMIFS(CostTrack[[Value]:[Value]],CostTrack[[PA ID]:[PA ID]],$B102,CostTrack[[Vendor - Contract]:[Vendor - Contract]],$H102,CostTrack[[Holdback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02" s="512">
        <f t="shared" ca="1" si="190"/>
        <v>800</v>
      </c>
      <c r="DO102" s="504">
        <f ca="1">SUMIFS(CostTrack[[Value]:[Value]],CostTrack[[PA ID]:[PA ID]],$B102,CostTrack[[Vendor - Contract]:[Vendor - Contract]],$H102,CostTrack[[Holdback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02" s="504">
        <f ca="1">SUMIFS(CostTrack[[Value]:[Value]],CostTrack[[PA ID]:[PA ID]],$B102,CostTrack[[Vendor - Contract]:[Vendor - Contract]],$H102,CostTrack[[Holdback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02" s="504">
        <f ca="1">SUMIFS(CostTrack[[Value]:[Value]],CostTrack[[PA ID]:[PA ID]],$B102,CostTrack[[Vendor - Contract]:[Vendor - Contract]],$H102,CostTrack[[Holdback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02" s="504">
        <f ca="1">SUMIFS(CostTrack[[Value]:[Value]],CostTrack[[PA ID]:[PA ID]],$B102,CostTrack[[Vendor - Contract]:[Vendor - Contract]],$H102,CostTrack[[Holdback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02" s="504">
        <f ca="1">SUMIFS(CostTrack[[Value]:[Value]],CostTrack[[PA ID]:[PA ID]],$B102,CostTrack[[Vendor - Contract]:[Vendor - Contract]],$H102,CostTrack[[Holdback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02" s="504">
        <f ca="1">SUMIFS(CostTrack[[Value]:[Value]],CostTrack[[PA ID]:[PA ID]],$B102,CostTrack[[Vendor - Contract]:[Vendor - Contract]],$H102,CostTrack[[Holdback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02" s="504">
        <f ca="1">SUMIFS(CostTrack[[Value]:[Value]],CostTrack[[PA ID]:[PA ID]],$B102,CostTrack[[Vendor - Contract]:[Vendor - Contract]],$H102,CostTrack[[Holdback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02" s="504">
        <f ca="1">SUMIFS(CostTrack[[Value]:[Value]],CostTrack[[PA ID]:[PA ID]],$B102,CostTrack[[Vendor - Contract]:[Vendor - Contract]],$H102,CostTrack[[Holdback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02" s="504">
        <f ca="1">SUMIFS(CostTrack[[Value]:[Value]],CostTrack[[PA ID]:[PA ID]],$B102,CostTrack[[Vendor - Contract]:[Vendor - Contract]],$H102,CostTrack[[Holdback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02" s="504">
        <f ca="1">SUMIFS(CostTrack[[Value]:[Value]],CostTrack[[PA ID]:[PA ID]],$B102,CostTrack[[Vendor - Contract]:[Vendor - Contract]],$H102,CostTrack[[Holdback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02" s="504">
        <f ca="1">SUMIFS(CostTrack[[Value]:[Value]],CostTrack[[PA ID]:[PA ID]],$B102,CostTrack[[Vendor - Contract]:[Vendor - Contract]],$H102,CostTrack[[Holdback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02" s="504">
        <f ca="1">SUMIFS(CostTrack[[Value]:[Value]],CostTrack[[PA ID]:[PA ID]],$B102,CostTrack[[Vendor - Contract]:[Vendor - Contract]],$H102,CostTrack[[Holdback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02" s="512">
        <f t="shared" ca="1" si="191"/>
        <v>0</v>
      </c>
      <c r="EC102" s="504">
        <f ca="1">SUMIFS(CostTrack[[Value]:[Value]],CostTrack[[PA ID]:[PA ID]],$B102,CostTrack[[Vendor - Contract]:[Vendor - Contract]],$H102,CostTrack[[Holdback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02" s="505"/>
      <c r="EE102" s="505"/>
      <c r="EF102" s="505"/>
      <c r="EG102" s="505"/>
      <c r="EH102" s="505"/>
      <c r="EI102" s="505"/>
      <c r="EJ102" s="505"/>
      <c r="EK102" s="505"/>
      <c r="EL102" s="505"/>
      <c r="EM102" s="505"/>
      <c r="EN102" s="505"/>
      <c r="EO102" s="512">
        <f t="shared" ca="1" si="192"/>
        <v>0</v>
      </c>
      <c r="EQ102" s="505"/>
      <c r="ER102" s="505"/>
      <c r="ES102" s="505"/>
      <c r="ET102" s="505"/>
      <c r="EU102" s="505"/>
      <c r="EV102" s="505"/>
      <c r="EW102" s="505"/>
      <c r="EX102" s="505"/>
      <c r="EY102" s="505"/>
      <c r="EZ102" s="505"/>
      <c r="FA102" s="505"/>
      <c r="FB102" s="505"/>
      <c r="FC102" s="512">
        <f t="shared" si="193"/>
        <v>0</v>
      </c>
      <c r="FE102" s="505"/>
      <c r="FF102" s="505"/>
      <c r="FG102" s="505"/>
      <c r="FH102" s="505"/>
      <c r="FI102" s="505"/>
      <c r="FJ102" s="505"/>
      <c r="FK102" s="505"/>
      <c r="FL102" s="505"/>
      <c r="FM102" s="505"/>
      <c r="FN102" s="505"/>
      <c r="FO102" s="505"/>
      <c r="FP102" s="505"/>
      <c r="FQ102" s="512">
        <f t="shared" si="194"/>
        <v>0</v>
      </c>
      <c r="FS102" s="504">
        <f t="shared" ca="1" si="195"/>
        <v>800</v>
      </c>
    </row>
    <row r="103" spans="1:175">
      <c r="A103" s="216">
        <v>96</v>
      </c>
      <c r="B103" s="219" t="str">
        <f ca="1">INDEX(EAC[PA ID],MATCH($A103,EAC[Row],0))</f>
        <v>400.010.F1</v>
      </c>
      <c r="C103" s="218" t="str">
        <f ca="1">INDEX(EAC[Primary Category],MATCH($A103,EAC[Row],0))</f>
        <v>FE_IT</v>
      </c>
      <c r="D103" s="218" t="str">
        <f ca="1">INDEX(EAC[Secondary Category],MATCH($A103,EAC[Row],0))</f>
        <v>Furniture &amp; Equipment</v>
      </c>
      <c r="E103" s="109" t="str">
        <f ca="1">INDEX(EAC[Phase / Subproject],MATCH($A103,EAC[Row],0))</f>
        <v>--</v>
      </c>
      <c r="F103" s="109" t="str">
        <f ca="1">INDEX(EAC[Phase / Subproject 2],MATCH($A103,EAC[Row],0))</f>
        <v>--</v>
      </c>
      <c r="G103" s="109" t="str">
        <f ca="1">INDEX(EAC[Funding Source],MATCH($A103,EAC[Row],0))</f>
        <v>P-002360</v>
      </c>
      <c r="H103" s="146" t="str">
        <f ca="1">INDEX(EAC[Vendor / Org. with Contract ID],MATCH($A103,EAC[Row],0))</f>
        <v>ALLWEST Furnishings- Pac poles-9000075998</v>
      </c>
      <c r="I103" s="502">
        <f ca="1">INDEX(EAC[Estimate At Completion],MATCH($A103,EAC[Row],0))</f>
        <v>732</v>
      </c>
      <c r="J103" s="502">
        <f ca="1">SUMIFS(CostTrack[Value],CostTrack[Vendor - Contract],$H103,CostTrack[PA ID],$B103,CostTrack[Holdback (Y/N/R)],"&lt;&gt;Release",CostTrack[Status],"Approved")</f>
        <v>732</v>
      </c>
      <c r="K103" s="503">
        <f t="shared" ca="1" si="179"/>
        <v>0</v>
      </c>
      <c r="M103" s="504">
        <f t="shared" ca="1" si="180"/>
        <v>0</v>
      </c>
      <c r="O103" s="504">
        <f t="shared" ca="1" si="181"/>
        <v>732</v>
      </c>
      <c r="P103" s="504">
        <f t="array" aca="1" ref="P103" ca="1">SUM($U103:$FQ103*_xlfn.ISFORMULA($U103:$FQ103)*ISNUMBER($U$7:$FQ$7)*--(INDEX($U$6:$FQ$6,N(IF({1},COLUMN($U$6:$FQ$6)-COLUMN($T$6)))-MOD(N(IF({1},COLUMN($U$6:$FQ$6)-COLUMN($U$6))),14))="Current Fiscal"))</f>
        <v>0</v>
      </c>
      <c r="Q103" s="504">
        <f t="array" aca="1" ref="Q103" ca="1">SUM($U103:$FQ103*NOT(_xlfn.ISFORMULA($U103:$FQ103))*ISNUMBER($U$7:$FQ$7)*--(INDEX($U$6:$FQ$6,N(IF({1},COLUMN($U$6:$FQ$6)-COLUMN($T$6)))-MOD(N(IF({1},COLUMN($U$6:$FQ$6)-COLUMN($U$6))),14))="Current Fiscal"))</f>
        <v>0</v>
      </c>
      <c r="R103" s="504">
        <f t="shared" ca="1" si="182"/>
        <v>0</v>
      </c>
      <c r="S103" s="504">
        <f t="shared" ca="1" si="183"/>
        <v>0</v>
      </c>
      <c r="U103" s="504">
        <f ca="1">SUMIFS(CostTrack[[Value]:[Value]],CostTrack[[PA ID]:[PA ID]],$B103,CostTrack[[Vendor - Contract]:[Vendor - Contract]],$H103,CostTrack[[Holdback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03" s="504">
        <f ca="1">SUMIFS(CostTrack[[Value]:[Value]],CostTrack[[PA ID]:[PA ID]],$B103,CostTrack[[Vendor - Contract]:[Vendor - Contract]],$H103,CostTrack[[Holdback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03" s="504">
        <f ca="1">SUMIFS(CostTrack[[Value]:[Value]],CostTrack[[PA ID]:[PA ID]],$B103,CostTrack[[Vendor - Contract]:[Vendor - Contract]],$H103,CostTrack[[Holdback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03" s="504">
        <f ca="1">SUMIFS(CostTrack[[Value]:[Value]],CostTrack[[PA ID]:[PA ID]],$B103,CostTrack[[Vendor - Contract]:[Vendor - Contract]],$H103,CostTrack[[Holdback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03" s="504">
        <f ca="1">SUMIFS(CostTrack[[Value]:[Value]],CostTrack[[PA ID]:[PA ID]],$B103,CostTrack[[Vendor - Contract]:[Vendor - Contract]],$H103,CostTrack[[Holdback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03" s="504">
        <f ca="1">SUMIFS(CostTrack[[Value]:[Value]],CostTrack[[PA ID]:[PA ID]],$B103,CostTrack[[Vendor - Contract]:[Vendor - Contract]],$H103,CostTrack[[Holdback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03" s="504">
        <f ca="1">SUMIFS(CostTrack[[Value]:[Value]],CostTrack[[PA ID]:[PA ID]],$B103,CostTrack[[Vendor - Contract]:[Vendor - Contract]],$H103,CostTrack[[Holdback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03" s="504">
        <f ca="1">SUMIFS(CostTrack[[Value]:[Value]],CostTrack[[PA ID]:[PA ID]],$B103,CostTrack[[Vendor - Contract]:[Vendor - Contract]],$H103,CostTrack[[Holdback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03" s="504">
        <f ca="1">SUMIFS(CostTrack[[Value]:[Value]],CostTrack[[PA ID]:[PA ID]],$B103,CostTrack[[Vendor - Contract]:[Vendor - Contract]],$H103,CostTrack[[Holdback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03" s="504">
        <f ca="1">SUMIFS(CostTrack[[Value]:[Value]],CostTrack[[PA ID]:[PA ID]],$B103,CostTrack[[Vendor - Contract]:[Vendor - Contract]],$H103,CostTrack[[Holdback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03" s="504">
        <f ca="1">SUMIFS(CostTrack[[Value]:[Value]],CostTrack[[PA ID]:[PA ID]],$B103,CostTrack[[Vendor - Contract]:[Vendor - Contract]],$H103,CostTrack[[Holdback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03" s="504">
        <f ca="1">SUMIFS(CostTrack[[Value]:[Value]],CostTrack[[PA ID]:[PA ID]],$B103,CostTrack[[Vendor - Contract]:[Vendor - Contract]],$H103,CostTrack[[Holdback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03" s="506">
        <f t="shared" ca="1" si="184"/>
        <v>0</v>
      </c>
      <c r="AI103" s="504">
        <f ca="1">SUMIFS(CostTrack[[Value]:[Value]],CostTrack[[PA ID]:[PA ID]],$B103,CostTrack[[Vendor - Contract]:[Vendor - Contract]],$H103,CostTrack[[Holdback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03" s="504">
        <f ca="1">SUMIFS(CostTrack[[Value]:[Value]],CostTrack[[PA ID]:[PA ID]],$B103,CostTrack[[Vendor - Contract]:[Vendor - Contract]],$H103,CostTrack[[Holdback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03" s="504">
        <f ca="1">SUMIFS(CostTrack[[Value]:[Value]],CostTrack[[PA ID]:[PA ID]],$B103,CostTrack[[Vendor - Contract]:[Vendor - Contract]],$H103,CostTrack[[Holdback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03" s="504">
        <f ca="1">SUMIFS(CostTrack[[Value]:[Value]],CostTrack[[PA ID]:[PA ID]],$B103,CostTrack[[Vendor - Contract]:[Vendor - Contract]],$H103,CostTrack[[Holdback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03" s="504">
        <f ca="1">SUMIFS(CostTrack[[Value]:[Value]],CostTrack[[PA ID]:[PA ID]],$B103,CostTrack[[Vendor - Contract]:[Vendor - Contract]],$H103,CostTrack[[Holdback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03" s="504">
        <f ca="1">SUMIFS(CostTrack[[Value]:[Value]],CostTrack[[PA ID]:[PA ID]],$B103,CostTrack[[Vendor - Contract]:[Vendor - Contract]],$H103,CostTrack[[Holdback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03" s="504">
        <f ca="1">SUMIFS(CostTrack[[Value]:[Value]],CostTrack[[PA ID]:[PA ID]],$B103,CostTrack[[Vendor - Contract]:[Vendor - Contract]],$H103,CostTrack[[Holdback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03" s="504">
        <f ca="1">SUMIFS(CostTrack[[Value]:[Value]],CostTrack[[PA ID]:[PA ID]],$B103,CostTrack[[Vendor - Contract]:[Vendor - Contract]],$H103,CostTrack[[Holdback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03" s="504">
        <f ca="1">SUMIFS(CostTrack[[Value]:[Value]],CostTrack[[PA ID]:[PA ID]],$B103,CostTrack[[Vendor - Contract]:[Vendor - Contract]],$H103,CostTrack[[Holdback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03" s="504">
        <f ca="1">SUMIFS(CostTrack[[Value]:[Value]],CostTrack[[PA ID]:[PA ID]],$B103,CostTrack[[Vendor - Contract]:[Vendor - Contract]],$H103,CostTrack[[Holdback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03" s="504">
        <f ca="1">SUMIFS(CostTrack[[Value]:[Value]],CostTrack[[PA ID]:[PA ID]],$B103,CostTrack[[Vendor - Contract]:[Vendor - Contract]],$H103,CostTrack[[Holdback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03" s="504">
        <f ca="1">SUMIFS(CostTrack[[Value]:[Value]],CostTrack[[PA ID]:[PA ID]],$B103,CostTrack[[Vendor - Contract]:[Vendor - Contract]],$H103,CostTrack[[Holdback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03" s="512">
        <f t="shared" ca="1" si="185"/>
        <v>0</v>
      </c>
      <c r="AW103" s="504">
        <f ca="1">SUMIFS(CostTrack[[Value]:[Value]],CostTrack[[PA ID]:[PA ID]],$B103,CostTrack[[Vendor - Contract]:[Vendor - Contract]],$H103,CostTrack[[Holdback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03" s="504">
        <f ca="1">SUMIFS(CostTrack[[Value]:[Value]],CostTrack[[PA ID]:[PA ID]],$B103,CostTrack[[Vendor - Contract]:[Vendor - Contract]],$H103,CostTrack[[Holdback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03" s="504">
        <f ca="1">SUMIFS(CostTrack[[Value]:[Value]],CostTrack[[PA ID]:[PA ID]],$B103,CostTrack[[Vendor - Contract]:[Vendor - Contract]],$H103,CostTrack[[Holdback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03" s="504">
        <f ca="1">SUMIFS(CostTrack[[Value]:[Value]],CostTrack[[PA ID]:[PA ID]],$B103,CostTrack[[Vendor - Contract]:[Vendor - Contract]],$H103,CostTrack[[Holdback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03" s="504">
        <f ca="1">SUMIFS(CostTrack[[Value]:[Value]],CostTrack[[PA ID]:[PA ID]],$B103,CostTrack[[Vendor - Contract]:[Vendor - Contract]],$H103,CostTrack[[Holdback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03" s="504">
        <f ca="1">SUMIFS(CostTrack[[Value]:[Value]],CostTrack[[PA ID]:[PA ID]],$B103,CostTrack[[Vendor - Contract]:[Vendor - Contract]],$H103,CostTrack[[Holdback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03" s="504">
        <f ca="1">SUMIFS(CostTrack[[Value]:[Value]],CostTrack[[PA ID]:[PA ID]],$B103,CostTrack[[Vendor - Contract]:[Vendor - Contract]],$H103,CostTrack[[Holdback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03" s="504">
        <f ca="1">SUMIFS(CostTrack[[Value]:[Value]],CostTrack[[PA ID]:[PA ID]],$B103,CostTrack[[Vendor - Contract]:[Vendor - Contract]],$H103,CostTrack[[Holdback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03" s="504">
        <f ca="1">SUMIFS(CostTrack[[Value]:[Value]],CostTrack[[PA ID]:[PA ID]],$B103,CostTrack[[Vendor - Contract]:[Vendor - Contract]],$H103,CostTrack[[Holdback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03" s="504">
        <f ca="1">SUMIFS(CostTrack[[Value]:[Value]],CostTrack[[PA ID]:[PA ID]],$B103,CostTrack[[Vendor - Contract]:[Vendor - Contract]],$H103,CostTrack[[Holdback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03" s="504">
        <f ca="1">SUMIFS(CostTrack[[Value]:[Value]],CostTrack[[PA ID]:[PA ID]],$B103,CostTrack[[Vendor - Contract]:[Vendor - Contract]],$H103,CostTrack[[Holdback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03" s="504">
        <f ca="1">SUMIFS(CostTrack[[Value]:[Value]],CostTrack[[PA ID]:[PA ID]],$B103,CostTrack[[Vendor - Contract]:[Vendor - Contract]],$H103,CostTrack[[Holdback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03" s="512">
        <f t="shared" ca="1" si="186"/>
        <v>0</v>
      </c>
      <c r="BK103" s="504">
        <f ca="1">SUMIFS(CostTrack[[Value]:[Value]],CostTrack[[PA ID]:[PA ID]],$B103,CostTrack[[Vendor - Contract]:[Vendor - Contract]],$H103,CostTrack[[Holdback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03" s="504">
        <f ca="1">SUMIFS(CostTrack[[Value]:[Value]],CostTrack[[PA ID]:[PA ID]],$B103,CostTrack[[Vendor - Contract]:[Vendor - Contract]],$H103,CostTrack[[Holdback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03" s="504">
        <f ca="1">SUMIFS(CostTrack[[Value]:[Value]],CostTrack[[PA ID]:[PA ID]],$B103,CostTrack[[Vendor - Contract]:[Vendor - Contract]],$H103,CostTrack[[Holdback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03" s="504">
        <f ca="1">SUMIFS(CostTrack[[Value]:[Value]],CostTrack[[PA ID]:[PA ID]],$B103,CostTrack[[Vendor - Contract]:[Vendor - Contract]],$H103,CostTrack[[Holdback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03" s="504">
        <f ca="1">SUMIFS(CostTrack[[Value]:[Value]],CostTrack[[PA ID]:[PA ID]],$B103,CostTrack[[Vendor - Contract]:[Vendor - Contract]],$H103,CostTrack[[Holdback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03" s="504">
        <f ca="1">SUMIFS(CostTrack[[Value]:[Value]],CostTrack[[PA ID]:[PA ID]],$B103,CostTrack[[Vendor - Contract]:[Vendor - Contract]],$H103,CostTrack[[Holdback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03" s="504">
        <f ca="1">SUMIFS(CostTrack[[Value]:[Value]],CostTrack[[PA ID]:[PA ID]],$B103,CostTrack[[Vendor - Contract]:[Vendor - Contract]],$H103,CostTrack[[Holdback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03" s="504">
        <f ca="1">SUMIFS(CostTrack[[Value]:[Value]],CostTrack[[PA ID]:[PA ID]],$B103,CostTrack[[Vendor - Contract]:[Vendor - Contract]],$H103,CostTrack[[Holdback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03" s="504">
        <f ca="1">SUMIFS(CostTrack[[Value]:[Value]],CostTrack[[PA ID]:[PA ID]],$B103,CostTrack[[Vendor - Contract]:[Vendor - Contract]],$H103,CostTrack[[Holdback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03" s="504">
        <f ca="1">SUMIFS(CostTrack[[Value]:[Value]],CostTrack[[PA ID]:[PA ID]],$B103,CostTrack[[Vendor - Contract]:[Vendor - Contract]],$H103,CostTrack[[Holdback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03" s="504">
        <f ca="1">SUMIFS(CostTrack[[Value]:[Value]],CostTrack[[PA ID]:[PA ID]],$B103,CostTrack[[Vendor - Contract]:[Vendor - Contract]],$H103,CostTrack[[Holdback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03" s="504">
        <f ca="1">SUMIFS(CostTrack[[Value]:[Value]],CostTrack[[PA ID]:[PA ID]],$B103,CostTrack[[Vendor - Contract]:[Vendor - Contract]],$H103,CostTrack[[Holdback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03" s="512">
        <f t="shared" ca="1" si="187"/>
        <v>0</v>
      </c>
      <c r="BY103" s="504">
        <f ca="1">SUMIFS(CostTrack[[Value]:[Value]],CostTrack[[PA ID]:[PA ID]],$B103,CostTrack[[Vendor - Contract]:[Vendor - Contract]],$H103,CostTrack[[Holdback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03" s="504">
        <f ca="1">SUMIFS(CostTrack[[Value]:[Value]],CostTrack[[PA ID]:[PA ID]],$B103,CostTrack[[Vendor - Contract]:[Vendor - Contract]],$H103,CostTrack[[Holdback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03" s="504">
        <f ca="1">SUMIFS(CostTrack[[Value]:[Value]],CostTrack[[PA ID]:[PA ID]],$B103,CostTrack[[Vendor - Contract]:[Vendor - Contract]],$H103,CostTrack[[Holdback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03" s="504">
        <f ca="1">SUMIFS(CostTrack[[Value]:[Value]],CostTrack[[PA ID]:[PA ID]],$B103,CostTrack[[Vendor - Contract]:[Vendor - Contract]],$H103,CostTrack[[Holdback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03" s="504">
        <f ca="1">SUMIFS(CostTrack[[Value]:[Value]],CostTrack[[PA ID]:[PA ID]],$B103,CostTrack[[Vendor - Contract]:[Vendor - Contract]],$H103,CostTrack[[Holdback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03" s="504">
        <f ca="1">SUMIFS(CostTrack[[Value]:[Value]],CostTrack[[PA ID]:[PA ID]],$B103,CostTrack[[Vendor - Contract]:[Vendor - Contract]],$H103,CostTrack[[Holdback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03" s="504">
        <f ca="1">SUMIFS(CostTrack[[Value]:[Value]],CostTrack[[PA ID]:[PA ID]],$B103,CostTrack[[Vendor - Contract]:[Vendor - Contract]],$H103,CostTrack[[Holdback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03" s="504">
        <f ca="1">SUMIFS(CostTrack[[Value]:[Value]],CostTrack[[PA ID]:[PA ID]],$B103,CostTrack[[Vendor - Contract]:[Vendor - Contract]],$H103,CostTrack[[Holdback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03" s="504">
        <f ca="1">SUMIFS(CostTrack[[Value]:[Value]],CostTrack[[PA ID]:[PA ID]],$B103,CostTrack[[Vendor - Contract]:[Vendor - Contract]],$H103,CostTrack[[Holdback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03" s="504">
        <f ca="1">SUMIFS(CostTrack[[Value]:[Value]],CostTrack[[PA ID]:[PA ID]],$B103,CostTrack[[Vendor - Contract]:[Vendor - Contract]],$H103,CostTrack[[Holdback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03" s="504">
        <f ca="1">SUMIFS(CostTrack[[Value]:[Value]],CostTrack[[PA ID]:[PA ID]],$B103,CostTrack[[Vendor - Contract]:[Vendor - Contract]],$H103,CostTrack[[Holdback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03" s="504">
        <f ca="1">SUMIFS(CostTrack[[Value]:[Value]],CostTrack[[PA ID]:[PA ID]],$B103,CostTrack[[Vendor - Contract]:[Vendor - Contract]],$H103,CostTrack[[Holdback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03" s="512">
        <f t="shared" ca="1" si="188"/>
        <v>0</v>
      </c>
      <c r="CM103" s="504">
        <f ca="1">SUMIFS(CostTrack[[Value]:[Value]],CostTrack[[PA ID]:[PA ID]],$B103,CostTrack[[Vendor - Contract]:[Vendor - Contract]],$H103,CostTrack[[Holdback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03" s="504">
        <f ca="1">SUMIFS(CostTrack[[Value]:[Value]],CostTrack[[PA ID]:[PA ID]],$B103,CostTrack[[Vendor - Contract]:[Vendor - Contract]],$H103,CostTrack[[Holdback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03" s="504">
        <f ca="1">SUMIFS(CostTrack[[Value]:[Value]],CostTrack[[PA ID]:[PA ID]],$B103,CostTrack[[Vendor - Contract]:[Vendor - Contract]],$H103,CostTrack[[Holdback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03" s="504">
        <f ca="1">SUMIFS(CostTrack[[Value]:[Value]],CostTrack[[PA ID]:[PA ID]],$B103,CostTrack[[Vendor - Contract]:[Vendor - Contract]],$H103,CostTrack[[Holdback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03" s="504">
        <f ca="1">SUMIFS(CostTrack[[Value]:[Value]],CostTrack[[PA ID]:[PA ID]],$B103,CostTrack[[Vendor - Contract]:[Vendor - Contract]],$H103,CostTrack[[Holdback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03" s="504">
        <f ca="1">SUMIFS(CostTrack[[Value]:[Value]],CostTrack[[PA ID]:[PA ID]],$B103,CostTrack[[Vendor - Contract]:[Vendor - Contract]],$H103,CostTrack[[Holdback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03" s="504">
        <f ca="1">SUMIFS(CostTrack[[Value]:[Value]],CostTrack[[PA ID]:[PA ID]],$B103,CostTrack[[Vendor - Contract]:[Vendor - Contract]],$H103,CostTrack[[Holdback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03" s="504">
        <f ca="1">SUMIFS(CostTrack[[Value]:[Value]],CostTrack[[PA ID]:[PA ID]],$B103,CostTrack[[Vendor - Contract]:[Vendor - Contract]],$H103,CostTrack[[Holdback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03" s="504">
        <f ca="1">SUMIFS(CostTrack[[Value]:[Value]],CostTrack[[PA ID]:[PA ID]],$B103,CostTrack[[Vendor - Contract]:[Vendor - Contract]],$H103,CostTrack[[Holdback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03" s="504">
        <f ca="1">SUMIFS(CostTrack[[Value]:[Value]],CostTrack[[PA ID]:[PA ID]],$B103,CostTrack[[Vendor - Contract]:[Vendor - Contract]],$H103,CostTrack[[Holdback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03" s="504">
        <f ca="1">SUMIFS(CostTrack[[Value]:[Value]],CostTrack[[PA ID]:[PA ID]],$B103,CostTrack[[Vendor - Contract]:[Vendor - Contract]],$H103,CostTrack[[Holdback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03" s="504">
        <f ca="1">SUMIFS(CostTrack[[Value]:[Value]],CostTrack[[PA ID]:[PA ID]],$B103,CostTrack[[Vendor - Contract]:[Vendor - Contract]],$H103,CostTrack[[Holdback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03" s="512">
        <f t="shared" ca="1" si="189"/>
        <v>0</v>
      </c>
      <c r="DA103" s="504">
        <f ca="1">SUMIFS(CostTrack[[Value]:[Value]],CostTrack[[PA ID]:[PA ID]],$B103,CostTrack[[Vendor - Contract]:[Vendor - Contract]],$H103,CostTrack[[Holdback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03" s="504">
        <f ca="1">SUMIFS(CostTrack[[Value]:[Value]],CostTrack[[PA ID]:[PA ID]],$B103,CostTrack[[Vendor - Contract]:[Vendor - Contract]],$H103,CostTrack[[Holdback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03" s="504">
        <f ca="1">SUMIFS(CostTrack[[Value]:[Value]],CostTrack[[PA ID]:[PA ID]],$B103,CostTrack[[Vendor - Contract]:[Vendor - Contract]],$H103,CostTrack[[Holdback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03" s="504">
        <f ca="1">SUMIFS(CostTrack[[Value]:[Value]],CostTrack[[PA ID]:[PA ID]],$B103,CostTrack[[Vendor - Contract]:[Vendor - Contract]],$H103,CostTrack[[Holdback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03" s="504">
        <f ca="1">SUMIFS(CostTrack[[Value]:[Value]],CostTrack[[PA ID]:[PA ID]],$B103,CostTrack[[Vendor - Contract]:[Vendor - Contract]],$H103,CostTrack[[Holdback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03" s="504">
        <f ca="1">SUMIFS(CostTrack[[Value]:[Value]],CostTrack[[PA ID]:[PA ID]],$B103,CostTrack[[Vendor - Contract]:[Vendor - Contract]],$H103,CostTrack[[Holdback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03" s="504">
        <f ca="1">SUMIFS(CostTrack[[Value]:[Value]],CostTrack[[PA ID]:[PA ID]],$B103,CostTrack[[Vendor - Contract]:[Vendor - Contract]],$H103,CostTrack[[Holdback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03" s="504">
        <f ca="1">SUMIFS(CostTrack[[Value]:[Value]],CostTrack[[PA ID]:[PA ID]],$B103,CostTrack[[Vendor - Contract]:[Vendor - Contract]],$H103,CostTrack[[Holdback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03" s="504">
        <f ca="1">SUMIFS(CostTrack[[Value]:[Value]],CostTrack[[PA ID]:[PA ID]],$B103,CostTrack[[Vendor - Contract]:[Vendor - Contract]],$H103,CostTrack[[Holdback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03" s="504">
        <f ca="1">SUMIFS(CostTrack[[Value]:[Value]],CostTrack[[PA ID]:[PA ID]],$B103,CostTrack[[Vendor - Contract]:[Vendor - Contract]],$H103,CostTrack[[Holdback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03" s="504">
        <f ca="1">SUMIFS(CostTrack[[Value]:[Value]],CostTrack[[PA ID]:[PA ID]],$B103,CostTrack[[Vendor - Contract]:[Vendor - Contract]],$H103,CostTrack[[Holdback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03" s="504">
        <f ca="1">SUMIFS(CostTrack[[Value]:[Value]],CostTrack[[PA ID]:[PA ID]],$B103,CostTrack[[Vendor - Contract]:[Vendor - Contract]],$H103,CostTrack[[Holdback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732</v>
      </c>
      <c r="DM103" s="512">
        <f t="shared" ca="1" si="190"/>
        <v>732</v>
      </c>
      <c r="DO103" s="504">
        <f ca="1">SUMIFS(CostTrack[[Value]:[Value]],CostTrack[[PA ID]:[PA ID]],$B103,CostTrack[[Vendor - Contract]:[Vendor - Contract]],$H103,CostTrack[[Holdback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03" s="504">
        <f ca="1">SUMIFS(CostTrack[[Value]:[Value]],CostTrack[[PA ID]:[PA ID]],$B103,CostTrack[[Vendor - Contract]:[Vendor - Contract]],$H103,CostTrack[[Holdback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03" s="504">
        <f ca="1">SUMIFS(CostTrack[[Value]:[Value]],CostTrack[[PA ID]:[PA ID]],$B103,CostTrack[[Vendor - Contract]:[Vendor - Contract]],$H103,CostTrack[[Holdback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03" s="504">
        <f ca="1">SUMIFS(CostTrack[[Value]:[Value]],CostTrack[[PA ID]:[PA ID]],$B103,CostTrack[[Vendor - Contract]:[Vendor - Contract]],$H103,CostTrack[[Holdback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03" s="504">
        <f ca="1">SUMIFS(CostTrack[[Value]:[Value]],CostTrack[[PA ID]:[PA ID]],$B103,CostTrack[[Vendor - Contract]:[Vendor - Contract]],$H103,CostTrack[[Holdback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03" s="504">
        <f ca="1">SUMIFS(CostTrack[[Value]:[Value]],CostTrack[[PA ID]:[PA ID]],$B103,CostTrack[[Vendor - Contract]:[Vendor - Contract]],$H103,CostTrack[[Holdback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03" s="504">
        <f ca="1">SUMIFS(CostTrack[[Value]:[Value]],CostTrack[[PA ID]:[PA ID]],$B103,CostTrack[[Vendor - Contract]:[Vendor - Contract]],$H103,CostTrack[[Holdback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03" s="504">
        <f ca="1">SUMIFS(CostTrack[[Value]:[Value]],CostTrack[[PA ID]:[PA ID]],$B103,CostTrack[[Vendor - Contract]:[Vendor - Contract]],$H103,CostTrack[[Holdback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03" s="504">
        <f ca="1">SUMIFS(CostTrack[[Value]:[Value]],CostTrack[[PA ID]:[PA ID]],$B103,CostTrack[[Vendor - Contract]:[Vendor - Contract]],$H103,CostTrack[[Holdback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03" s="504">
        <f ca="1">SUMIFS(CostTrack[[Value]:[Value]],CostTrack[[PA ID]:[PA ID]],$B103,CostTrack[[Vendor - Contract]:[Vendor - Contract]],$H103,CostTrack[[Holdback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03" s="504">
        <f ca="1">SUMIFS(CostTrack[[Value]:[Value]],CostTrack[[PA ID]:[PA ID]],$B103,CostTrack[[Vendor - Contract]:[Vendor - Contract]],$H103,CostTrack[[Holdback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03" s="504">
        <f ca="1">SUMIFS(CostTrack[[Value]:[Value]],CostTrack[[PA ID]:[PA ID]],$B103,CostTrack[[Vendor - Contract]:[Vendor - Contract]],$H103,CostTrack[[Holdback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03" s="512">
        <f t="shared" ca="1" si="191"/>
        <v>0</v>
      </c>
      <c r="EC103" s="504">
        <f ca="1">SUMIFS(CostTrack[[Value]:[Value]],CostTrack[[PA ID]:[PA ID]],$B103,CostTrack[[Vendor - Contract]:[Vendor - Contract]],$H103,CostTrack[[Holdback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03" s="505"/>
      <c r="EE103" s="505"/>
      <c r="EF103" s="505"/>
      <c r="EG103" s="505"/>
      <c r="EH103" s="505"/>
      <c r="EI103" s="505"/>
      <c r="EJ103" s="505"/>
      <c r="EK103" s="505"/>
      <c r="EL103" s="505"/>
      <c r="EM103" s="505"/>
      <c r="EN103" s="505"/>
      <c r="EO103" s="512">
        <f t="shared" ca="1" si="192"/>
        <v>0</v>
      </c>
      <c r="EQ103" s="505"/>
      <c r="ER103" s="505"/>
      <c r="ES103" s="505"/>
      <c r="ET103" s="505"/>
      <c r="EU103" s="505"/>
      <c r="EV103" s="505"/>
      <c r="EW103" s="505"/>
      <c r="EX103" s="505"/>
      <c r="EY103" s="505"/>
      <c r="EZ103" s="505"/>
      <c r="FA103" s="505"/>
      <c r="FB103" s="505"/>
      <c r="FC103" s="512">
        <f t="shared" si="193"/>
        <v>0</v>
      </c>
      <c r="FE103" s="505"/>
      <c r="FF103" s="505"/>
      <c r="FG103" s="505"/>
      <c r="FH103" s="505"/>
      <c r="FI103" s="505"/>
      <c r="FJ103" s="505"/>
      <c r="FK103" s="505"/>
      <c r="FL103" s="505"/>
      <c r="FM103" s="505"/>
      <c r="FN103" s="505"/>
      <c r="FO103" s="505"/>
      <c r="FP103" s="505"/>
      <c r="FQ103" s="512">
        <f t="shared" si="194"/>
        <v>0</v>
      </c>
      <c r="FS103" s="504">
        <f t="shared" ca="1" si="195"/>
        <v>732</v>
      </c>
    </row>
    <row r="104" spans="1:175">
      <c r="A104" s="216">
        <v>97</v>
      </c>
      <c r="B104" s="219" t="str">
        <f ca="1">INDEX(EAC[PA ID],MATCH($A104,EAC[Row],0))</f>
        <v>400.010.F1</v>
      </c>
      <c r="C104" s="218" t="str">
        <f ca="1">INDEX(EAC[Primary Category],MATCH($A104,EAC[Row],0))</f>
        <v>FE_IT</v>
      </c>
      <c r="D104" s="218" t="str">
        <f ca="1">INDEX(EAC[Secondary Category],MATCH($A104,EAC[Row],0))</f>
        <v>Furniture &amp; Equipment</v>
      </c>
      <c r="E104" s="109" t="str">
        <f ca="1">INDEX(EAC[Phase / Subproject],MATCH($A104,EAC[Row],0))</f>
        <v>--</v>
      </c>
      <c r="F104" s="109" t="str">
        <f ca="1">INDEX(EAC[Phase / Subproject 2],MATCH($A104,EAC[Row],0))</f>
        <v>--</v>
      </c>
      <c r="G104" s="109" t="str">
        <f ca="1">INDEX(EAC[Funding Source],MATCH($A104,EAC[Row],0))</f>
        <v>P-002360</v>
      </c>
      <c r="H104" s="146" t="str">
        <f ca="1">INDEX(EAC[Vendor / Org. with Contract ID],MATCH($A104,EAC[Row],0))</f>
        <v>ALLWEST Furnishings-Add't Fees-9000077924</v>
      </c>
      <c r="I104" s="502">
        <f ca="1">INDEX(EAC[Estimate At Completion],MATCH($A104,EAC[Row],0))</f>
        <v>10335</v>
      </c>
      <c r="J104" s="502">
        <f ca="1">SUMIFS(CostTrack[Value],CostTrack[Vendor - Contract],$H104,CostTrack[PA ID],$B104,CostTrack[Holdback (Y/N/R)],"&lt;&gt;Release",CostTrack[Status],"Approved")</f>
        <v>10335</v>
      </c>
      <c r="K104" s="503">
        <f t="shared" ref="K104" ca="1" si="196">IFERROR(I104-J104,"")</f>
        <v>0</v>
      </c>
      <c r="M104" s="504">
        <f t="shared" ref="M104" ca="1" si="197">I104-FS104</f>
        <v>0</v>
      </c>
      <c r="O104" s="504">
        <f t="shared" ref="O104" ca="1" si="198">SUMIF($U$6:$FQ$6,"Previous Fiscal",AG104:FQ104)</f>
        <v>10335</v>
      </c>
      <c r="P104" s="504">
        <f t="array" aca="1" ref="P104" ca="1">SUM($U104:$FQ104*_xlfn.ISFORMULA($U104:$FQ104)*ISNUMBER($U$7:$FQ$7)*--(INDEX($U$6:$FQ$6,N(IF({1},COLUMN($U$6:$FQ$6)-COLUMN($T$6)))-MOD(N(IF({1},COLUMN($U$6:$FQ$6)-COLUMN($U$6))),14))="Current Fiscal"))</f>
        <v>0</v>
      </c>
      <c r="Q104" s="504">
        <f t="array" aca="1" ref="Q104" ca="1">SUM($U104:$FQ104*NOT(_xlfn.ISFORMULA($U104:$FQ104))*ISNUMBER($U$7:$FQ$7)*--(INDEX($U$6:$FQ$6,N(IF({1},COLUMN($U$6:$FQ$6)-COLUMN($T$6)))-MOD(N(IF({1},COLUMN($U$6:$FQ$6)-COLUMN($U$6))),14))="Current Fiscal"))</f>
        <v>0</v>
      </c>
      <c r="R104" s="504">
        <f t="shared" ref="R104" ca="1" si="199">SUMIF($U$6:$FQ$6,"Current Fiscal",AG104:FQ104)</f>
        <v>0</v>
      </c>
      <c r="S104" s="504">
        <f t="shared" ref="S104" ca="1" si="200">SUMIF($U$6:$FQ$6,"Future Fiscal",AG104:FQ104)</f>
        <v>0</v>
      </c>
      <c r="U104" s="504">
        <f ca="1">SUMIFS(CostTrack[[Value]:[Value]],CostTrack[[PA ID]:[PA ID]],$B104,CostTrack[[Vendor - Contract]:[Vendor - Contract]],$H104,CostTrack[[Holdback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04" s="504">
        <f ca="1">SUMIFS(CostTrack[[Value]:[Value]],CostTrack[[PA ID]:[PA ID]],$B104,CostTrack[[Vendor - Contract]:[Vendor - Contract]],$H104,CostTrack[[Holdback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04" s="504">
        <f ca="1">SUMIFS(CostTrack[[Value]:[Value]],CostTrack[[PA ID]:[PA ID]],$B104,CostTrack[[Vendor - Contract]:[Vendor - Contract]],$H104,CostTrack[[Holdback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04" s="504">
        <f ca="1">SUMIFS(CostTrack[[Value]:[Value]],CostTrack[[PA ID]:[PA ID]],$B104,CostTrack[[Vendor - Contract]:[Vendor - Contract]],$H104,CostTrack[[Holdback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04" s="504">
        <f ca="1">SUMIFS(CostTrack[[Value]:[Value]],CostTrack[[PA ID]:[PA ID]],$B104,CostTrack[[Vendor - Contract]:[Vendor - Contract]],$H104,CostTrack[[Holdback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04" s="504">
        <f ca="1">SUMIFS(CostTrack[[Value]:[Value]],CostTrack[[PA ID]:[PA ID]],$B104,CostTrack[[Vendor - Contract]:[Vendor - Contract]],$H104,CostTrack[[Holdback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04" s="504">
        <f ca="1">SUMIFS(CostTrack[[Value]:[Value]],CostTrack[[PA ID]:[PA ID]],$B104,CostTrack[[Vendor - Contract]:[Vendor - Contract]],$H104,CostTrack[[Holdback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04" s="504">
        <f ca="1">SUMIFS(CostTrack[[Value]:[Value]],CostTrack[[PA ID]:[PA ID]],$B104,CostTrack[[Vendor - Contract]:[Vendor - Contract]],$H104,CostTrack[[Holdback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04" s="504">
        <f ca="1">SUMIFS(CostTrack[[Value]:[Value]],CostTrack[[PA ID]:[PA ID]],$B104,CostTrack[[Vendor - Contract]:[Vendor - Contract]],$H104,CostTrack[[Holdback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04" s="504">
        <f ca="1">SUMIFS(CostTrack[[Value]:[Value]],CostTrack[[PA ID]:[PA ID]],$B104,CostTrack[[Vendor - Contract]:[Vendor - Contract]],$H104,CostTrack[[Holdback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04" s="504">
        <f ca="1">SUMIFS(CostTrack[[Value]:[Value]],CostTrack[[PA ID]:[PA ID]],$B104,CostTrack[[Vendor - Contract]:[Vendor - Contract]],$H104,CostTrack[[Holdback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04" s="504">
        <f ca="1">SUMIFS(CostTrack[[Value]:[Value]],CostTrack[[PA ID]:[PA ID]],$B104,CostTrack[[Vendor - Contract]:[Vendor - Contract]],$H104,CostTrack[[Holdback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04" s="506">
        <f t="shared" ref="AG104" ca="1" si="201">SUM(U104:AF104)</f>
        <v>0</v>
      </c>
      <c r="AI104" s="504">
        <f ca="1">SUMIFS(CostTrack[[Value]:[Value]],CostTrack[[PA ID]:[PA ID]],$B104,CostTrack[[Vendor - Contract]:[Vendor - Contract]],$H104,CostTrack[[Holdback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04" s="504">
        <f ca="1">SUMIFS(CostTrack[[Value]:[Value]],CostTrack[[PA ID]:[PA ID]],$B104,CostTrack[[Vendor - Contract]:[Vendor - Contract]],$H104,CostTrack[[Holdback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04" s="504">
        <f ca="1">SUMIFS(CostTrack[[Value]:[Value]],CostTrack[[PA ID]:[PA ID]],$B104,CostTrack[[Vendor - Contract]:[Vendor - Contract]],$H104,CostTrack[[Holdback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04" s="504">
        <f ca="1">SUMIFS(CostTrack[[Value]:[Value]],CostTrack[[PA ID]:[PA ID]],$B104,CostTrack[[Vendor - Contract]:[Vendor - Contract]],$H104,CostTrack[[Holdback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04" s="504">
        <f ca="1">SUMIFS(CostTrack[[Value]:[Value]],CostTrack[[PA ID]:[PA ID]],$B104,CostTrack[[Vendor - Contract]:[Vendor - Contract]],$H104,CostTrack[[Holdback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04" s="504">
        <f ca="1">SUMIFS(CostTrack[[Value]:[Value]],CostTrack[[PA ID]:[PA ID]],$B104,CostTrack[[Vendor - Contract]:[Vendor - Contract]],$H104,CostTrack[[Holdback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04" s="504">
        <f ca="1">SUMIFS(CostTrack[[Value]:[Value]],CostTrack[[PA ID]:[PA ID]],$B104,CostTrack[[Vendor - Contract]:[Vendor - Contract]],$H104,CostTrack[[Holdback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04" s="504">
        <f ca="1">SUMIFS(CostTrack[[Value]:[Value]],CostTrack[[PA ID]:[PA ID]],$B104,CostTrack[[Vendor - Contract]:[Vendor - Contract]],$H104,CostTrack[[Holdback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04" s="504">
        <f ca="1">SUMIFS(CostTrack[[Value]:[Value]],CostTrack[[PA ID]:[PA ID]],$B104,CostTrack[[Vendor - Contract]:[Vendor - Contract]],$H104,CostTrack[[Holdback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04" s="504">
        <f ca="1">SUMIFS(CostTrack[[Value]:[Value]],CostTrack[[PA ID]:[PA ID]],$B104,CostTrack[[Vendor - Contract]:[Vendor - Contract]],$H104,CostTrack[[Holdback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04" s="504">
        <f ca="1">SUMIFS(CostTrack[[Value]:[Value]],CostTrack[[PA ID]:[PA ID]],$B104,CostTrack[[Vendor - Contract]:[Vendor - Contract]],$H104,CostTrack[[Holdback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04" s="504">
        <f ca="1">SUMIFS(CostTrack[[Value]:[Value]],CostTrack[[PA ID]:[PA ID]],$B104,CostTrack[[Vendor - Contract]:[Vendor - Contract]],$H104,CostTrack[[Holdback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04" s="512">
        <f t="shared" ref="AU104" ca="1" si="202">SUM(AI104:AT104)</f>
        <v>0</v>
      </c>
      <c r="AW104" s="504">
        <f ca="1">SUMIFS(CostTrack[[Value]:[Value]],CostTrack[[PA ID]:[PA ID]],$B104,CostTrack[[Vendor - Contract]:[Vendor - Contract]],$H104,CostTrack[[Holdback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04" s="504">
        <f ca="1">SUMIFS(CostTrack[[Value]:[Value]],CostTrack[[PA ID]:[PA ID]],$B104,CostTrack[[Vendor - Contract]:[Vendor - Contract]],$H104,CostTrack[[Holdback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04" s="504">
        <f ca="1">SUMIFS(CostTrack[[Value]:[Value]],CostTrack[[PA ID]:[PA ID]],$B104,CostTrack[[Vendor - Contract]:[Vendor - Contract]],$H104,CostTrack[[Holdback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04" s="504">
        <f ca="1">SUMIFS(CostTrack[[Value]:[Value]],CostTrack[[PA ID]:[PA ID]],$B104,CostTrack[[Vendor - Contract]:[Vendor - Contract]],$H104,CostTrack[[Holdback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04" s="504">
        <f ca="1">SUMIFS(CostTrack[[Value]:[Value]],CostTrack[[PA ID]:[PA ID]],$B104,CostTrack[[Vendor - Contract]:[Vendor - Contract]],$H104,CostTrack[[Holdback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04" s="504">
        <f ca="1">SUMIFS(CostTrack[[Value]:[Value]],CostTrack[[PA ID]:[PA ID]],$B104,CostTrack[[Vendor - Contract]:[Vendor - Contract]],$H104,CostTrack[[Holdback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04" s="504">
        <f ca="1">SUMIFS(CostTrack[[Value]:[Value]],CostTrack[[PA ID]:[PA ID]],$B104,CostTrack[[Vendor - Contract]:[Vendor - Contract]],$H104,CostTrack[[Holdback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04" s="504">
        <f ca="1">SUMIFS(CostTrack[[Value]:[Value]],CostTrack[[PA ID]:[PA ID]],$B104,CostTrack[[Vendor - Contract]:[Vendor - Contract]],$H104,CostTrack[[Holdback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04" s="504">
        <f ca="1">SUMIFS(CostTrack[[Value]:[Value]],CostTrack[[PA ID]:[PA ID]],$B104,CostTrack[[Vendor - Contract]:[Vendor - Contract]],$H104,CostTrack[[Holdback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04" s="504">
        <f ca="1">SUMIFS(CostTrack[[Value]:[Value]],CostTrack[[PA ID]:[PA ID]],$B104,CostTrack[[Vendor - Contract]:[Vendor - Contract]],$H104,CostTrack[[Holdback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04" s="504">
        <f ca="1">SUMIFS(CostTrack[[Value]:[Value]],CostTrack[[PA ID]:[PA ID]],$B104,CostTrack[[Vendor - Contract]:[Vendor - Contract]],$H104,CostTrack[[Holdback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04" s="504">
        <f ca="1">SUMIFS(CostTrack[[Value]:[Value]],CostTrack[[PA ID]:[PA ID]],$B104,CostTrack[[Vendor - Contract]:[Vendor - Contract]],$H104,CostTrack[[Holdback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04" s="512">
        <f t="shared" ref="BI104" ca="1" si="203">SUM(AW104:BH104)</f>
        <v>0</v>
      </c>
      <c r="BK104" s="504">
        <f ca="1">SUMIFS(CostTrack[[Value]:[Value]],CostTrack[[PA ID]:[PA ID]],$B104,CostTrack[[Vendor - Contract]:[Vendor - Contract]],$H104,CostTrack[[Holdback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04" s="504">
        <f ca="1">SUMIFS(CostTrack[[Value]:[Value]],CostTrack[[PA ID]:[PA ID]],$B104,CostTrack[[Vendor - Contract]:[Vendor - Contract]],$H104,CostTrack[[Holdback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04" s="504">
        <f ca="1">SUMIFS(CostTrack[[Value]:[Value]],CostTrack[[PA ID]:[PA ID]],$B104,CostTrack[[Vendor - Contract]:[Vendor - Contract]],$H104,CostTrack[[Holdback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04" s="504">
        <f ca="1">SUMIFS(CostTrack[[Value]:[Value]],CostTrack[[PA ID]:[PA ID]],$B104,CostTrack[[Vendor - Contract]:[Vendor - Contract]],$H104,CostTrack[[Holdback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04" s="504">
        <f ca="1">SUMIFS(CostTrack[[Value]:[Value]],CostTrack[[PA ID]:[PA ID]],$B104,CostTrack[[Vendor - Contract]:[Vendor - Contract]],$H104,CostTrack[[Holdback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04" s="504">
        <f ca="1">SUMIFS(CostTrack[[Value]:[Value]],CostTrack[[PA ID]:[PA ID]],$B104,CostTrack[[Vendor - Contract]:[Vendor - Contract]],$H104,CostTrack[[Holdback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04" s="504">
        <f ca="1">SUMIFS(CostTrack[[Value]:[Value]],CostTrack[[PA ID]:[PA ID]],$B104,CostTrack[[Vendor - Contract]:[Vendor - Contract]],$H104,CostTrack[[Holdback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04" s="504">
        <f ca="1">SUMIFS(CostTrack[[Value]:[Value]],CostTrack[[PA ID]:[PA ID]],$B104,CostTrack[[Vendor - Contract]:[Vendor - Contract]],$H104,CostTrack[[Holdback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04" s="504">
        <f ca="1">SUMIFS(CostTrack[[Value]:[Value]],CostTrack[[PA ID]:[PA ID]],$B104,CostTrack[[Vendor - Contract]:[Vendor - Contract]],$H104,CostTrack[[Holdback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04" s="504">
        <f ca="1">SUMIFS(CostTrack[[Value]:[Value]],CostTrack[[PA ID]:[PA ID]],$B104,CostTrack[[Vendor - Contract]:[Vendor - Contract]],$H104,CostTrack[[Holdback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04" s="504">
        <f ca="1">SUMIFS(CostTrack[[Value]:[Value]],CostTrack[[PA ID]:[PA ID]],$B104,CostTrack[[Vendor - Contract]:[Vendor - Contract]],$H104,CostTrack[[Holdback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04" s="504">
        <f ca="1">SUMIFS(CostTrack[[Value]:[Value]],CostTrack[[PA ID]:[PA ID]],$B104,CostTrack[[Vendor - Contract]:[Vendor - Contract]],$H104,CostTrack[[Holdback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04" s="512">
        <f t="shared" ref="BW104" ca="1" si="204">SUM(BK104:BV104)</f>
        <v>0</v>
      </c>
      <c r="BY104" s="504">
        <f ca="1">SUMIFS(CostTrack[[Value]:[Value]],CostTrack[[PA ID]:[PA ID]],$B104,CostTrack[[Vendor - Contract]:[Vendor - Contract]],$H104,CostTrack[[Holdback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04" s="504">
        <f ca="1">SUMIFS(CostTrack[[Value]:[Value]],CostTrack[[PA ID]:[PA ID]],$B104,CostTrack[[Vendor - Contract]:[Vendor - Contract]],$H104,CostTrack[[Holdback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04" s="504">
        <f ca="1">SUMIFS(CostTrack[[Value]:[Value]],CostTrack[[PA ID]:[PA ID]],$B104,CostTrack[[Vendor - Contract]:[Vendor - Contract]],$H104,CostTrack[[Holdback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04" s="504">
        <f ca="1">SUMIFS(CostTrack[[Value]:[Value]],CostTrack[[PA ID]:[PA ID]],$B104,CostTrack[[Vendor - Contract]:[Vendor - Contract]],$H104,CostTrack[[Holdback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04" s="504">
        <f ca="1">SUMIFS(CostTrack[[Value]:[Value]],CostTrack[[PA ID]:[PA ID]],$B104,CostTrack[[Vendor - Contract]:[Vendor - Contract]],$H104,CostTrack[[Holdback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04" s="504">
        <f ca="1">SUMIFS(CostTrack[[Value]:[Value]],CostTrack[[PA ID]:[PA ID]],$B104,CostTrack[[Vendor - Contract]:[Vendor - Contract]],$H104,CostTrack[[Holdback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04" s="504">
        <f ca="1">SUMIFS(CostTrack[[Value]:[Value]],CostTrack[[PA ID]:[PA ID]],$B104,CostTrack[[Vendor - Contract]:[Vendor - Contract]],$H104,CostTrack[[Holdback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04" s="504">
        <f ca="1">SUMIFS(CostTrack[[Value]:[Value]],CostTrack[[PA ID]:[PA ID]],$B104,CostTrack[[Vendor - Contract]:[Vendor - Contract]],$H104,CostTrack[[Holdback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04" s="504">
        <f ca="1">SUMIFS(CostTrack[[Value]:[Value]],CostTrack[[PA ID]:[PA ID]],$B104,CostTrack[[Vendor - Contract]:[Vendor - Contract]],$H104,CostTrack[[Holdback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04" s="504">
        <f ca="1">SUMIFS(CostTrack[[Value]:[Value]],CostTrack[[PA ID]:[PA ID]],$B104,CostTrack[[Vendor - Contract]:[Vendor - Contract]],$H104,CostTrack[[Holdback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04" s="504">
        <f ca="1">SUMIFS(CostTrack[[Value]:[Value]],CostTrack[[PA ID]:[PA ID]],$B104,CostTrack[[Vendor - Contract]:[Vendor - Contract]],$H104,CostTrack[[Holdback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04" s="504">
        <f ca="1">SUMIFS(CostTrack[[Value]:[Value]],CostTrack[[PA ID]:[PA ID]],$B104,CostTrack[[Vendor - Contract]:[Vendor - Contract]],$H104,CostTrack[[Holdback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04" s="512">
        <f t="shared" ref="CK104" ca="1" si="205">SUM(BY104:CJ104)</f>
        <v>0</v>
      </c>
      <c r="CM104" s="504">
        <f ca="1">SUMIFS(CostTrack[[Value]:[Value]],CostTrack[[PA ID]:[PA ID]],$B104,CostTrack[[Vendor - Contract]:[Vendor - Contract]],$H104,CostTrack[[Holdback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04" s="504">
        <f ca="1">SUMIFS(CostTrack[[Value]:[Value]],CostTrack[[PA ID]:[PA ID]],$B104,CostTrack[[Vendor - Contract]:[Vendor - Contract]],$H104,CostTrack[[Holdback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04" s="504">
        <f ca="1">SUMIFS(CostTrack[[Value]:[Value]],CostTrack[[PA ID]:[PA ID]],$B104,CostTrack[[Vendor - Contract]:[Vendor - Contract]],$H104,CostTrack[[Holdback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04" s="504">
        <f ca="1">SUMIFS(CostTrack[[Value]:[Value]],CostTrack[[PA ID]:[PA ID]],$B104,CostTrack[[Vendor - Contract]:[Vendor - Contract]],$H104,CostTrack[[Holdback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04" s="504">
        <f ca="1">SUMIFS(CostTrack[[Value]:[Value]],CostTrack[[PA ID]:[PA ID]],$B104,CostTrack[[Vendor - Contract]:[Vendor - Contract]],$H104,CostTrack[[Holdback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04" s="504">
        <f ca="1">SUMIFS(CostTrack[[Value]:[Value]],CostTrack[[PA ID]:[PA ID]],$B104,CostTrack[[Vendor - Contract]:[Vendor - Contract]],$H104,CostTrack[[Holdback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04" s="504">
        <f ca="1">SUMIFS(CostTrack[[Value]:[Value]],CostTrack[[PA ID]:[PA ID]],$B104,CostTrack[[Vendor - Contract]:[Vendor - Contract]],$H104,CostTrack[[Holdback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04" s="504">
        <f ca="1">SUMIFS(CostTrack[[Value]:[Value]],CostTrack[[PA ID]:[PA ID]],$B104,CostTrack[[Vendor - Contract]:[Vendor - Contract]],$H104,CostTrack[[Holdback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04" s="504">
        <f ca="1">SUMIFS(CostTrack[[Value]:[Value]],CostTrack[[PA ID]:[PA ID]],$B104,CostTrack[[Vendor - Contract]:[Vendor - Contract]],$H104,CostTrack[[Holdback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04" s="504">
        <f ca="1">SUMIFS(CostTrack[[Value]:[Value]],CostTrack[[PA ID]:[PA ID]],$B104,CostTrack[[Vendor - Contract]:[Vendor - Contract]],$H104,CostTrack[[Holdback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04" s="504">
        <f ca="1">SUMIFS(CostTrack[[Value]:[Value]],CostTrack[[PA ID]:[PA ID]],$B104,CostTrack[[Vendor - Contract]:[Vendor - Contract]],$H104,CostTrack[[Holdback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04" s="504">
        <f ca="1">SUMIFS(CostTrack[[Value]:[Value]],CostTrack[[PA ID]:[PA ID]],$B104,CostTrack[[Vendor - Contract]:[Vendor - Contract]],$H104,CostTrack[[Holdback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04" s="512">
        <f t="shared" ref="CY104" ca="1" si="206">SUM(CM104:CX104)</f>
        <v>0</v>
      </c>
      <c r="DA104" s="504">
        <f ca="1">SUMIFS(CostTrack[[Value]:[Value]],CostTrack[[PA ID]:[PA ID]],$B104,CostTrack[[Vendor - Contract]:[Vendor - Contract]],$H104,CostTrack[[Holdback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04" s="504">
        <f ca="1">SUMIFS(CostTrack[[Value]:[Value]],CostTrack[[PA ID]:[PA ID]],$B104,CostTrack[[Vendor - Contract]:[Vendor - Contract]],$H104,CostTrack[[Holdback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04" s="504">
        <f ca="1">SUMIFS(CostTrack[[Value]:[Value]],CostTrack[[PA ID]:[PA ID]],$B104,CostTrack[[Vendor - Contract]:[Vendor - Contract]],$H104,CostTrack[[Holdback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04" s="504">
        <f ca="1">SUMIFS(CostTrack[[Value]:[Value]],CostTrack[[PA ID]:[PA ID]],$B104,CostTrack[[Vendor - Contract]:[Vendor - Contract]],$H104,CostTrack[[Holdback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04" s="504">
        <f ca="1">SUMIFS(CostTrack[[Value]:[Value]],CostTrack[[PA ID]:[PA ID]],$B104,CostTrack[[Vendor - Contract]:[Vendor - Contract]],$H104,CostTrack[[Holdback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04" s="504">
        <f ca="1">SUMIFS(CostTrack[[Value]:[Value]],CostTrack[[PA ID]:[PA ID]],$B104,CostTrack[[Vendor - Contract]:[Vendor - Contract]],$H104,CostTrack[[Holdback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04" s="504">
        <f ca="1">SUMIFS(CostTrack[[Value]:[Value]],CostTrack[[PA ID]:[PA ID]],$B104,CostTrack[[Vendor - Contract]:[Vendor - Contract]],$H104,CostTrack[[Holdback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04" s="504">
        <f ca="1">SUMIFS(CostTrack[[Value]:[Value]],CostTrack[[PA ID]:[PA ID]],$B104,CostTrack[[Vendor - Contract]:[Vendor - Contract]],$H104,CostTrack[[Holdback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04" s="504">
        <f ca="1">SUMIFS(CostTrack[[Value]:[Value]],CostTrack[[PA ID]:[PA ID]],$B104,CostTrack[[Vendor - Contract]:[Vendor - Contract]],$H104,CostTrack[[Holdback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04" s="504">
        <f ca="1">SUMIFS(CostTrack[[Value]:[Value]],CostTrack[[PA ID]:[PA ID]],$B104,CostTrack[[Vendor - Contract]:[Vendor - Contract]],$H104,CostTrack[[Holdback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04" s="504">
        <f ca="1">SUMIFS(CostTrack[[Value]:[Value]],CostTrack[[PA ID]:[PA ID]],$B104,CostTrack[[Vendor - Contract]:[Vendor - Contract]],$H104,CostTrack[[Holdback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04" s="504">
        <f ca="1">SUMIFS(CostTrack[[Value]:[Value]],CostTrack[[PA ID]:[PA ID]],$B104,CostTrack[[Vendor - Contract]:[Vendor - Contract]],$H104,CostTrack[[Holdback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10335</v>
      </c>
      <c r="DM104" s="512">
        <f t="shared" ref="DM104" ca="1" si="207">SUM(DA104:DL104)</f>
        <v>10335</v>
      </c>
      <c r="DO104" s="504">
        <f ca="1">SUMIFS(CostTrack[[Value]:[Value]],CostTrack[[PA ID]:[PA ID]],$B104,CostTrack[[Vendor - Contract]:[Vendor - Contract]],$H104,CostTrack[[Holdback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04" s="504">
        <f ca="1">SUMIFS(CostTrack[[Value]:[Value]],CostTrack[[PA ID]:[PA ID]],$B104,CostTrack[[Vendor - Contract]:[Vendor - Contract]],$H104,CostTrack[[Holdback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04" s="504">
        <f ca="1">SUMIFS(CostTrack[[Value]:[Value]],CostTrack[[PA ID]:[PA ID]],$B104,CostTrack[[Vendor - Contract]:[Vendor - Contract]],$H104,CostTrack[[Holdback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04" s="504">
        <f ca="1">SUMIFS(CostTrack[[Value]:[Value]],CostTrack[[PA ID]:[PA ID]],$B104,CostTrack[[Vendor - Contract]:[Vendor - Contract]],$H104,CostTrack[[Holdback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04" s="504">
        <f ca="1">SUMIFS(CostTrack[[Value]:[Value]],CostTrack[[PA ID]:[PA ID]],$B104,CostTrack[[Vendor - Contract]:[Vendor - Contract]],$H104,CostTrack[[Holdback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04" s="504">
        <f ca="1">SUMIFS(CostTrack[[Value]:[Value]],CostTrack[[PA ID]:[PA ID]],$B104,CostTrack[[Vendor - Contract]:[Vendor - Contract]],$H104,CostTrack[[Holdback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04" s="504">
        <f ca="1">SUMIFS(CostTrack[[Value]:[Value]],CostTrack[[PA ID]:[PA ID]],$B104,CostTrack[[Vendor - Contract]:[Vendor - Contract]],$H104,CostTrack[[Holdback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04" s="504">
        <f ca="1">SUMIFS(CostTrack[[Value]:[Value]],CostTrack[[PA ID]:[PA ID]],$B104,CostTrack[[Vendor - Contract]:[Vendor - Contract]],$H104,CostTrack[[Holdback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04" s="504">
        <f ca="1">SUMIFS(CostTrack[[Value]:[Value]],CostTrack[[PA ID]:[PA ID]],$B104,CostTrack[[Vendor - Contract]:[Vendor - Contract]],$H104,CostTrack[[Holdback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04" s="504">
        <f ca="1">SUMIFS(CostTrack[[Value]:[Value]],CostTrack[[PA ID]:[PA ID]],$B104,CostTrack[[Vendor - Contract]:[Vendor - Contract]],$H104,CostTrack[[Holdback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04" s="504">
        <f ca="1">SUMIFS(CostTrack[[Value]:[Value]],CostTrack[[PA ID]:[PA ID]],$B104,CostTrack[[Vendor - Contract]:[Vendor - Contract]],$H104,CostTrack[[Holdback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04" s="504">
        <f ca="1">SUMIFS(CostTrack[[Value]:[Value]],CostTrack[[PA ID]:[PA ID]],$B104,CostTrack[[Vendor - Contract]:[Vendor - Contract]],$H104,CostTrack[[Holdback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04" s="512">
        <f t="shared" ref="EA104" ca="1" si="208">SUM(DO104:DZ104)</f>
        <v>0</v>
      </c>
      <c r="EC104" s="504">
        <f ca="1">SUMIFS(CostTrack[[Value]:[Value]],CostTrack[[PA ID]:[PA ID]],$B104,CostTrack[[Vendor - Contract]:[Vendor - Contract]],$H104,CostTrack[[Holdback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04" s="505"/>
      <c r="EE104" s="505"/>
      <c r="EF104" s="505"/>
      <c r="EG104" s="505"/>
      <c r="EH104" s="505"/>
      <c r="EI104" s="505"/>
      <c r="EJ104" s="505"/>
      <c r="EK104" s="505"/>
      <c r="EL104" s="505"/>
      <c r="EM104" s="505"/>
      <c r="EN104" s="505"/>
      <c r="EO104" s="512">
        <f t="shared" ref="EO104" ca="1" si="209">SUM(EC104:EN104)</f>
        <v>0</v>
      </c>
      <c r="EQ104" s="505"/>
      <c r="ER104" s="505"/>
      <c r="ES104" s="505"/>
      <c r="ET104" s="505"/>
      <c r="EU104" s="505"/>
      <c r="EV104" s="505"/>
      <c r="EW104" s="505"/>
      <c r="EX104" s="505"/>
      <c r="EY104" s="505"/>
      <c r="EZ104" s="505"/>
      <c r="FA104" s="505"/>
      <c r="FB104" s="505"/>
      <c r="FC104" s="512">
        <f t="shared" ref="FC104" si="210">SUM(EQ104:FB104)</f>
        <v>0</v>
      </c>
      <c r="FE104" s="505"/>
      <c r="FF104" s="505"/>
      <c r="FG104" s="505"/>
      <c r="FH104" s="505"/>
      <c r="FI104" s="505"/>
      <c r="FJ104" s="505"/>
      <c r="FK104" s="505"/>
      <c r="FL104" s="505"/>
      <c r="FM104" s="505"/>
      <c r="FN104" s="505"/>
      <c r="FO104" s="505"/>
      <c r="FP104" s="505"/>
      <c r="FQ104" s="512">
        <f t="shared" ref="FQ104" si="211">SUM(FE104:FP104)</f>
        <v>0</v>
      </c>
      <c r="FS104" s="504">
        <f t="shared" ref="FS104" ca="1" si="212">AG104+AU104+BI104+BW104+CK104+CY104+DM104+EA104+EO104+FC104+FQ104</f>
        <v>10335</v>
      </c>
    </row>
    <row r="105" spans="1:175">
      <c r="A105" s="216">
        <v>98</v>
      </c>
      <c r="B105" s="219" t="str">
        <f ca="1">INDEX(EAC[PA ID],MATCH($A105,EAC[Row],0))</f>
        <v>400.010.F1</v>
      </c>
      <c r="C105" s="218" t="str">
        <f ca="1">INDEX(EAC[Primary Category],MATCH($A105,EAC[Row],0))</f>
        <v>FE_IT</v>
      </c>
      <c r="D105" s="218" t="str">
        <f ca="1">INDEX(EAC[Secondary Category],MATCH($A105,EAC[Row],0))</f>
        <v>Furniture &amp; Equipment</v>
      </c>
      <c r="E105" s="109" t="str">
        <f ca="1">INDEX(EAC[Phase / Subproject],MATCH($A105,EAC[Row],0))</f>
        <v>--</v>
      </c>
      <c r="F105" s="109" t="str">
        <f ca="1">INDEX(EAC[Phase / Subproject 2],MATCH($A105,EAC[Row],0))</f>
        <v>--</v>
      </c>
      <c r="G105" s="109" t="str">
        <f ca="1">INDEX(EAC[Funding Source],MATCH($A105,EAC[Row],0))</f>
        <v>P-002360</v>
      </c>
      <c r="H105" s="146" t="str">
        <f ca="1">INDEX(EAC[Vendor / Org. with Contract ID],MATCH($A105,EAC[Row],0))</f>
        <v>HBI-Credenzas-9000082358</v>
      </c>
      <c r="I105" s="502">
        <f ca="1">INDEX(EAC[Estimate At Completion],MATCH($A105,EAC[Row],0))</f>
        <v>14616.14</v>
      </c>
      <c r="J105" s="502">
        <f ca="1">SUMIFS(CostTrack[Value],CostTrack[Vendor - Contract],$H105,CostTrack[PA ID],$B105,CostTrack[Holdback (Y/N/R)],"&lt;&gt;Release",CostTrack[Status],"Approved")</f>
        <v>14616.14</v>
      </c>
      <c r="K105" s="503">
        <f t="shared" ref="K105" ca="1" si="213">IFERROR(I105-J105,"")</f>
        <v>0</v>
      </c>
      <c r="M105" s="504">
        <f t="shared" ref="M105" ca="1" si="214">I105-FS105</f>
        <v>0</v>
      </c>
      <c r="O105" s="504">
        <f t="shared" ref="O105" ca="1" si="215">SUMIF($U$6:$FQ$6,"Previous Fiscal",AG105:FQ105)</f>
        <v>14616.14</v>
      </c>
      <c r="P105" s="504">
        <f t="array" aca="1" ref="P105" ca="1">SUM($U105:$FQ105*_xlfn.ISFORMULA($U105:$FQ105)*ISNUMBER($U$7:$FQ$7)*--(INDEX($U$6:$FQ$6,N(IF({1},COLUMN($U$6:$FQ$6)-COLUMN($T$6)))-MOD(N(IF({1},COLUMN($U$6:$FQ$6)-COLUMN($U$6))),14))="Current Fiscal"))</f>
        <v>0</v>
      </c>
      <c r="Q105" s="504">
        <f t="array" aca="1" ref="Q105" ca="1">SUM($U105:$FQ105*NOT(_xlfn.ISFORMULA($U105:$FQ105))*ISNUMBER($U$7:$FQ$7)*--(INDEX($U$6:$FQ$6,N(IF({1},COLUMN($U$6:$FQ$6)-COLUMN($T$6)))-MOD(N(IF({1},COLUMN($U$6:$FQ$6)-COLUMN($U$6))),14))="Current Fiscal"))</f>
        <v>0</v>
      </c>
      <c r="R105" s="504">
        <f t="shared" ref="R105" ca="1" si="216">SUMIF($U$6:$FQ$6,"Current Fiscal",AG105:FQ105)</f>
        <v>0</v>
      </c>
      <c r="S105" s="504">
        <f t="shared" ref="S105" ca="1" si="217">SUMIF($U$6:$FQ$6,"Future Fiscal",AG105:FQ105)</f>
        <v>0</v>
      </c>
      <c r="U105" s="504">
        <f ca="1">SUMIFS(CostTrack[[Value]:[Value]],CostTrack[[PA ID]:[PA ID]],$B105,CostTrack[[Vendor - Contract]:[Vendor - Contract]],$H105,CostTrack[[Holdback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05" s="504">
        <f ca="1">SUMIFS(CostTrack[[Value]:[Value]],CostTrack[[PA ID]:[PA ID]],$B105,CostTrack[[Vendor - Contract]:[Vendor - Contract]],$H105,CostTrack[[Holdback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05" s="504">
        <f ca="1">SUMIFS(CostTrack[[Value]:[Value]],CostTrack[[PA ID]:[PA ID]],$B105,CostTrack[[Vendor - Contract]:[Vendor - Contract]],$H105,CostTrack[[Holdback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05" s="504">
        <f ca="1">SUMIFS(CostTrack[[Value]:[Value]],CostTrack[[PA ID]:[PA ID]],$B105,CostTrack[[Vendor - Contract]:[Vendor - Contract]],$H105,CostTrack[[Holdback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05" s="504">
        <f ca="1">SUMIFS(CostTrack[[Value]:[Value]],CostTrack[[PA ID]:[PA ID]],$B105,CostTrack[[Vendor - Contract]:[Vendor - Contract]],$H105,CostTrack[[Holdback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05" s="504">
        <f ca="1">SUMIFS(CostTrack[[Value]:[Value]],CostTrack[[PA ID]:[PA ID]],$B105,CostTrack[[Vendor - Contract]:[Vendor - Contract]],$H105,CostTrack[[Holdback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05" s="504">
        <f ca="1">SUMIFS(CostTrack[[Value]:[Value]],CostTrack[[PA ID]:[PA ID]],$B105,CostTrack[[Vendor - Contract]:[Vendor - Contract]],$H105,CostTrack[[Holdback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05" s="504">
        <f ca="1">SUMIFS(CostTrack[[Value]:[Value]],CostTrack[[PA ID]:[PA ID]],$B105,CostTrack[[Vendor - Contract]:[Vendor - Contract]],$H105,CostTrack[[Holdback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05" s="504">
        <f ca="1">SUMIFS(CostTrack[[Value]:[Value]],CostTrack[[PA ID]:[PA ID]],$B105,CostTrack[[Vendor - Contract]:[Vendor - Contract]],$H105,CostTrack[[Holdback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05" s="504">
        <f ca="1">SUMIFS(CostTrack[[Value]:[Value]],CostTrack[[PA ID]:[PA ID]],$B105,CostTrack[[Vendor - Contract]:[Vendor - Contract]],$H105,CostTrack[[Holdback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05" s="504">
        <f ca="1">SUMIFS(CostTrack[[Value]:[Value]],CostTrack[[PA ID]:[PA ID]],$B105,CostTrack[[Vendor - Contract]:[Vendor - Contract]],$H105,CostTrack[[Holdback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05" s="504">
        <f ca="1">SUMIFS(CostTrack[[Value]:[Value]],CostTrack[[PA ID]:[PA ID]],$B105,CostTrack[[Vendor - Contract]:[Vendor - Contract]],$H105,CostTrack[[Holdback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05" s="506">
        <f t="shared" ref="AG105" ca="1" si="218">SUM(U105:AF105)</f>
        <v>0</v>
      </c>
      <c r="AI105" s="504">
        <f ca="1">SUMIFS(CostTrack[[Value]:[Value]],CostTrack[[PA ID]:[PA ID]],$B105,CostTrack[[Vendor - Contract]:[Vendor - Contract]],$H105,CostTrack[[Holdback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05" s="504">
        <f ca="1">SUMIFS(CostTrack[[Value]:[Value]],CostTrack[[PA ID]:[PA ID]],$B105,CostTrack[[Vendor - Contract]:[Vendor - Contract]],$H105,CostTrack[[Holdback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05" s="504">
        <f ca="1">SUMIFS(CostTrack[[Value]:[Value]],CostTrack[[PA ID]:[PA ID]],$B105,CostTrack[[Vendor - Contract]:[Vendor - Contract]],$H105,CostTrack[[Holdback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05" s="504">
        <f ca="1">SUMIFS(CostTrack[[Value]:[Value]],CostTrack[[PA ID]:[PA ID]],$B105,CostTrack[[Vendor - Contract]:[Vendor - Contract]],$H105,CostTrack[[Holdback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05" s="504">
        <f ca="1">SUMIFS(CostTrack[[Value]:[Value]],CostTrack[[PA ID]:[PA ID]],$B105,CostTrack[[Vendor - Contract]:[Vendor - Contract]],$H105,CostTrack[[Holdback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05" s="504">
        <f ca="1">SUMIFS(CostTrack[[Value]:[Value]],CostTrack[[PA ID]:[PA ID]],$B105,CostTrack[[Vendor - Contract]:[Vendor - Contract]],$H105,CostTrack[[Holdback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05" s="504">
        <f ca="1">SUMIFS(CostTrack[[Value]:[Value]],CostTrack[[PA ID]:[PA ID]],$B105,CostTrack[[Vendor - Contract]:[Vendor - Contract]],$H105,CostTrack[[Holdback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05" s="504">
        <f ca="1">SUMIFS(CostTrack[[Value]:[Value]],CostTrack[[PA ID]:[PA ID]],$B105,CostTrack[[Vendor - Contract]:[Vendor - Contract]],$H105,CostTrack[[Holdback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05" s="504">
        <f ca="1">SUMIFS(CostTrack[[Value]:[Value]],CostTrack[[PA ID]:[PA ID]],$B105,CostTrack[[Vendor - Contract]:[Vendor - Contract]],$H105,CostTrack[[Holdback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05" s="504">
        <f ca="1">SUMIFS(CostTrack[[Value]:[Value]],CostTrack[[PA ID]:[PA ID]],$B105,CostTrack[[Vendor - Contract]:[Vendor - Contract]],$H105,CostTrack[[Holdback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05" s="504">
        <f ca="1">SUMIFS(CostTrack[[Value]:[Value]],CostTrack[[PA ID]:[PA ID]],$B105,CostTrack[[Vendor - Contract]:[Vendor - Contract]],$H105,CostTrack[[Holdback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05" s="504">
        <f ca="1">SUMIFS(CostTrack[[Value]:[Value]],CostTrack[[PA ID]:[PA ID]],$B105,CostTrack[[Vendor - Contract]:[Vendor - Contract]],$H105,CostTrack[[Holdback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05" s="512">
        <f t="shared" ref="AU105" ca="1" si="219">SUM(AI105:AT105)</f>
        <v>0</v>
      </c>
      <c r="AW105" s="504">
        <f ca="1">SUMIFS(CostTrack[[Value]:[Value]],CostTrack[[PA ID]:[PA ID]],$B105,CostTrack[[Vendor - Contract]:[Vendor - Contract]],$H105,CostTrack[[Holdback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05" s="504">
        <f ca="1">SUMIFS(CostTrack[[Value]:[Value]],CostTrack[[PA ID]:[PA ID]],$B105,CostTrack[[Vendor - Contract]:[Vendor - Contract]],$H105,CostTrack[[Holdback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05" s="504">
        <f ca="1">SUMIFS(CostTrack[[Value]:[Value]],CostTrack[[PA ID]:[PA ID]],$B105,CostTrack[[Vendor - Contract]:[Vendor - Contract]],$H105,CostTrack[[Holdback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05" s="504">
        <f ca="1">SUMIFS(CostTrack[[Value]:[Value]],CostTrack[[PA ID]:[PA ID]],$B105,CostTrack[[Vendor - Contract]:[Vendor - Contract]],$H105,CostTrack[[Holdback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05" s="504">
        <f ca="1">SUMIFS(CostTrack[[Value]:[Value]],CostTrack[[PA ID]:[PA ID]],$B105,CostTrack[[Vendor - Contract]:[Vendor - Contract]],$H105,CostTrack[[Holdback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05" s="504">
        <f ca="1">SUMIFS(CostTrack[[Value]:[Value]],CostTrack[[PA ID]:[PA ID]],$B105,CostTrack[[Vendor - Contract]:[Vendor - Contract]],$H105,CostTrack[[Holdback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05" s="504">
        <f ca="1">SUMIFS(CostTrack[[Value]:[Value]],CostTrack[[PA ID]:[PA ID]],$B105,CostTrack[[Vendor - Contract]:[Vendor - Contract]],$H105,CostTrack[[Holdback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05" s="504">
        <f ca="1">SUMIFS(CostTrack[[Value]:[Value]],CostTrack[[PA ID]:[PA ID]],$B105,CostTrack[[Vendor - Contract]:[Vendor - Contract]],$H105,CostTrack[[Holdback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05" s="504">
        <f ca="1">SUMIFS(CostTrack[[Value]:[Value]],CostTrack[[PA ID]:[PA ID]],$B105,CostTrack[[Vendor - Contract]:[Vendor - Contract]],$H105,CostTrack[[Holdback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05" s="504">
        <f ca="1">SUMIFS(CostTrack[[Value]:[Value]],CostTrack[[PA ID]:[PA ID]],$B105,CostTrack[[Vendor - Contract]:[Vendor - Contract]],$H105,CostTrack[[Holdback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05" s="504">
        <f ca="1">SUMIFS(CostTrack[[Value]:[Value]],CostTrack[[PA ID]:[PA ID]],$B105,CostTrack[[Vendor - Contract]:[Vendor - Contract]],$H105,CostTrack[[Holdback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05" s="504">
        <f ca="1">SUMIFS(CostTrack[[Value]:[Value]],CostTrack[[PA ID]:[PA ID]],$B105,CostTrack[[Vendor - Contract]:[Vendor - Contract]],$H105,CostTrack[[Holdback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05" s="512">
        <f t="shared" ref="BI105" ca="1" si="220">SUM(AW105:BH105)</f>
        <v>0</v>
      </c>
      <c r="BK105" s="504">
        <f ca="1">SUMIFS(CostTrack[[Value]:[Value]],CostTrack[[PA ID]:[PA ID]],$B105,CostTrack[[Vendor - Contract]:[Vendor - Contract]],$H105,CostTrack[[Holdback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05" s="504">
        <f ca="1">SUMIFS(CostTrack[[Value]:[Value]],CostTrack[[PA ID]:[PA ID]],$B105,CostTrack[[Vendor - Contract]:[Vendor - Contract]],$H105,CostTrack[[Holdback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05" s="504">
        <f ca="1">SUMIFS(CostTrack[[Value]:[Value]],CostTrack[[PA ID]:[PA ID]],$B105,CostTrack[[Vendor - Contract]:[Vendor - Contract]],$H105,CostTrack[[Holdback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05" s="504">
        <f ca="1">SUMIFS(CostTrack[[Value]:[Value]],CostTrack[[PA ID]:[PA ID]],$B105,CostTrack[[Vendor - Contract]:[Vendor - Contract]],$H105,CostTrack[[Holdback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05" s="504">
        <f ca="1">SUMIFS(CostTrack[[Value]:[Value]],CostTrack[[PA ID]:[PA ID]],$B105,CostTrack[[Vendor - Contract]:[Vendor - Contract]],$H105,CostTrack[[Holdback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05" s="504">
        <f ca="1">SUMIFS(CostTrack[[Value]:[Value]],CostTrack[[PA ID]:[PA ID]],$B105,CostTrack[[Vendor - Contract]:[Vendor - Contract]],$H105,CostTrack[[Holdback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05" s="504">
        <f ca="1">SUMIFS(CostTrack[[Value]:[Value]],CostTrack[[PA ID]:[PA ID]],$B105,CostTrack[[Vendor - Contract]:[Vendor - Contract]],$H105,CostTrack[[Holdback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05" s="504">
        <f ca="1">SUMIFS(CostTrack[[Value]:[Value]],CostTrack[[PA ID]:[PA ID]],$B105,CostTrack[[Vendor - Contract]:[Vendor - Contract]],$H105,CostTrack[[Holdback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05" s="504">
        <f ca="1">SUMIFS(CostTrack[[Value]:[Value]],CostTrack[[PA ID]:[PA ID]],$B105,CostTrack[[Vendor - Contract]:[Vendor - Contract]],$H105,CostTrack[[Holdback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05" s="504">
        <f ca="1">SUMIFS(CostTrack[[Value]:[Value]],CostTrack[[PA ID]:[PA ID]],$B105,CostTrack[[Vendor - Contract]:[Vendor - Contract]],$H105,CostTrack[[Holdback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05" s="504">
        <f ca="1">SUMIFS(CostTrack[[Value]:[Value]],CostTrack[[PA ID]:[PA ID]],$B105,CostTrack[[Vendor - Contract]:[Vendor - Contract]],$H105,CostTrack[[Holdback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05" s="504">
        <f ca="1">SUMIFS(CostTrack[[Value]:[Value]],CostTrack[[PA ID]:[PA ID]],$B105,CostTrack[[Vendor - Contract]:[Vendor - Contract]],$H105,CostTrack[[Holdback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05" s="512">
        <f t="shared" ref="BW105" ca="1" si="221">SUM(BK105:BV105)</f>
        <v>0</v>
      </c>
      <c r="BY105" s="504">
        <f ca="1">SUMIFS(CostTrack[[Value]:[Value]],CostTrack[[PA ID]:[PA ID]],$B105,CostTrack[[Vendor - Contract]:[Vendor - Contract]],$H105,CostTrack[[Holdback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05" s="504">
        <f ca="1">SUMIFS(CostTrack[[Value]:[Value]],CostTrack[[PA ID]:[PA ID]],$B105,CostTrack[[Vendor - Contract]:[Vendor - Contract]],$H105,CostTrack[[Holdback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05" s="504">
        <f ca="1">SUMIFS(CostTrack[[Value]:[Value]],CostTrack[[PA ID]:[PA ID]],$B105,CostTrack[[Vendor - Contract]:[Vendor - Contract]],$H105,CostTrack[[Holdback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05" s="504">
        <f ca="1">SUMIFS(CostTrack[[Value]:[Value]],CostTrack[[PA ID]:[PA ID]],$B105,CostTrack[[Vendor - Contract]:[Vendor - Contract]],$H105,CostTrack[[Holdback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05" s="504">
        <f ca="1">SUMIFS(CostTrack[[Value]:[Value]],CostTrack[[PA ID]:[PA ID]],$B105,CostTrack[[Vendor - Contract]:[Vendor - Contract]],$H105,CostTrack[[Holdback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05" s="504">
        <f ca="1">SUMIFS(CostTrack[[Value]:[Value]],CostTrack[[PA ID]:[PA ID]],$B105,CostTrack[[Vendor - Contract]:[Vendor - Contract]],$H105,CostTrack[[Holdback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05" s="504">
        <f ca="1">SUMIFS(CostTrack[[Value]:[Value]],CostTrack[[PA ID]:[PA ID]],$B105,CostTrack[[Vendor - Contract]:[Vendor - Contract]],$H105,CostTrack[[Holdback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05" s="504">
        <f ca="1">SUMIFS(CostTrack[[Value]:[Value]],CostTrack[[PA ID]:[PA ID]],$B105,CostTrack[[Vendor - Contract]:[Vendor - Contract]],$H105,CostTrack[[Holdback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05" s="504">
        <f ca="1">SUMIFS(CostTrack[[Value]:[Value]],CostTrack[[PA ID]:[PA ID]],$B105,CostTrack[[Vendor - Contract]:[Vendor - Contract]],$H105,CostTrack[[Holdback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05" s="504">
        <f ca="1">SUMIFS(CostTrack[[Value]:[Value]],CostTrack[[PA ID]:[PA ID]],$B105,CostTrack[[Vendor - Contract]:[Vendor - Contract]],$H105,CostTrack[[Holdback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05" s="504">
        <f ca="1">SUMIFS(CostTrack[[Value]:[Value]],CostTrack[[PA ID]:[PA ID]],$B105,CostTrack[[Vendor - Contract]:[Vendor - Contract]],$H105,CostTrack[[Holdback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05" s="504">
        <f ca="1">SUMIFS(CostTrack[[Value]:[Value]],CostTrack[[PA ID]:[PA ID]],$B105,CostTrack[[Vendor - Contract]:[Vendor - Contract]],$H105,CostTrack[[Holdback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05" s="512">
        <f t="shared" ref="CK105" ca="1" si="222">SUM(BY105:CJ105)</f>
        <v>0</v>
      </c>
      <c r="CM105" s="504">
        <f ca="1">SUMIFS(CostTrack[[Value]:[Value]],CostTrack[[PA ID]:[PA ID]],$B105,CostTrack[[Vendor - Contract]:[Vendor - Contract]],$H105,CostTrack[[Holdback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05" s="504">
        <f ca="1">SUMIFS(CostTrack[[Value]:[Value]],CostTrack[[PA ID]:[PA ID]],$B105,CostTrack[[Vendor - Contract]:[Vendor - Contract]],$H105,CostTrack[[Holdback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05" s="504">
        <f ca="1">SUMIFS(CostTrack[[Value]:[Value]],CostTrack[[PA ID]:[PA ID]],$B105,CostTrack[[Vendor - Contract]:[Vendor - Contract]],$H105,CostTrack[[Holdback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05" s="504">
        <f ca="1">SUMIFS(CostTrack[[Value]:[Value]],CostTrack[[PA ID]:[PA ID]],$B105,CostTrack[[Vendor - Contract]:[Vendor - Contract]],$H105,CostTrack[[Holdback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05" s="504">
        <f ca="1">SUMIFS(CostTrack[[Value]:[Value]],CostTrack[[PA ID]:[PA ID]],$B105,CostTrack[[Vendor - Contract]:[Vendor - Contract]],$H105,CostTrack[[Holdback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05" s="504">
        <f ca="1">SUMIFS(CostTrack[[Value]:[Value]],CostTrack[[PA ID]:[PA ID]],$B105,CostTrack[[Vendor - Contract]:[Vendor - Contract]],$H105,CostTrack[[Holdback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05" s="504">
        <f ca="1">SUMIFS(CostTrack[[Value]:[Value]],CostTrack[[PA ID]:[PA ID]],$B105,CostTrack[[Vendor - Contract]:[Vendor - Contract]],$H105,CostTrack[[Holdback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05" s="504">
        <f ca="1">SUMIFS(CostTrack[[Value]:[Value]],CostTrack[[PA ID]:[PA ID]],$B105,CostTrack[[Vendor - Contract]:[Vendor - Contract]],$H105,CostTrack[[Holdback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05" s="504">
        <f ca="1">SUMIFS(CostTrack[[Value]:[Value]],CostTrack[[PA ID]:[PA ID]],$B105,CostTrack[[Vendor - Contract]:[Vendor - Contract]],$H105,CostTrack[[Holdback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05" s="504">
        <f ca="1">SUMIFS(CostTrack[[Value]:[Value]],CostTrack[[PA ID]:[PA ID]],$B105,CostTrack[[Vendor - Contract]:[Vendor - Contract]],$H105,CostTrack[[Holdback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05" s="504">
        <f ca="1">SUMIFS(CostTrack[[Value]:[Value]],CostTrack[[PA ID]:[PA ID]],$B105,CostTrack[[Vendor - Contract]:[Vendor - Contract]],$H105,CostTrack[[Holdback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05" s="504">
        <f ca="1">SUMIFS(CostTrack[[Value]:[Value]],CostTrack[[PA ID]:[PA ID]],$B105,CostTrack[[Vendor - Contract]:[Vendor - Contract]],$H105,CostTrack[[Holdback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05" s="512">
        <f t="shared" ref="CY105" ca="1" si="223">SUM(CM105:CX105)</f>
        <v>0</v>
      </c>
      <c r="DA105" s="504">
        <f ca="1">SUMIFS(CostTrack[[Value]:[Value]],CostTrack[[PA ID]:[PA ID]],$B105,CostTrack[[Vendor - Contract]:[Vendor - Contract]],$H105,CostTrack[[Holdback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05" s="504">
        <f ca="1">SUMIFS(CostTrack[[Value]:[Value]],CostTrack[[PA ID]:[PA ID]],$B105,CostTrack[[Vendor - Contract]:[Vendor - Contract]],$H105,CostTrack[[Holdback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05" s="504">
        <f ca="1">SUMIFS(CostTrack[[Value]:[Value]],CostTrack[[PA ID]:[PA ID]],$B105,CostTrack[[Vendor - Contract]:[Vendor - Contract]],$H105,CostTrack[[Holdback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05" s="504">
        <f ca="1">SUMIFS(CostTrack[[Value]:[Value]],CostTrack[[PA ID]:[PA ID]],$B105,CostTrack[[Vendor - Contract]:[Vendor - Contract]],$H105,CostTrack[[Holdback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05" s="504">
        <f ca="1">SUMIFS(CostTrack[[Value]:[Value]],CostTrack[[PA ID]:[PA ID]],$B105,CostTrack[[Vendor - Contract]:[Vendor - Contract]],$H105,CostTrack[[Holdback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05" s="504">
        <f ca="1">SUMIFS(CostTrack[[Value]:[Value]],CostTrack[[PA ID]:[PA ID]],$B105,CostTrack[[Vendor - Contract]:[Vendor - Contract]],$H105,CostTrack[[Holdback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05" s="504">
        <f ca="1">SUMIFS(CostTrack[[Value]:[Value]],CostTrack[[PA ID]:[PA ID]],$B105,CostTrack[[Vendor - Contract]:[Vendor - Contract]],$H105,CostTrack[[Holdback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05" s="504">
        <f ca="1">SUMIFS(CostTrack[[Value]:[Value]],CostTrack[[PA ID]:[PA ID]],$B105,CostTrack[[Vendor - Contract]:[Vendor - Contract]],$H105,CostTrack[[Holdback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05" s="504">
        <f ca="1">SUMIFS(CostTrack[[Value]:[Value]],CostTrack[[PA ID]:[PA ID]],$B105,CostTrack[[Vendor - Contract]:[Vendor - Contract]],$H105,CostTrack[[Holdback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05" s="504">
        <f ca="1">SUMIFS(CostTrack[[Value]:[Value]],CostTrack[[PA ID]:[PA ID]],$B105,CostTrack[[Vendor - Contract]:[Vendor - Contract]],$H105,CostTrack[[Holdback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05" s="504">
        <f ca="1">SUMIFS(CostTrack[[Value]:[Value]],CostTrack[[PA ID]:[PA ID]],$B105,CostTrack[[Vendor - Contract]:[Vendor - Contract]],$H105,CostTrack[[Holdback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05" s="504">
        <f ca="1">SUMIFS(CostTrack[[Value]:[Value]],CostTrack[[PA ID]:[PA ID]],$B105,CostTrack[[Vendor - Contract]:[Vendor - Contract]],$H105,CostTrack[[Holdback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05" s="512">
        <f t="shared" ref="DM105" ca="1" si="224">SUM(DA105:DL105)</f>
        <v>0</v>
      </c>
      <c r="DO105" s="504">
        <f ca="1">SUMIFS(CostTrack[[Value]:[Value]],CostTrack[[PA ID]:[PA ID]],$B105,CostTrack[[Vendor - Contract]:[Vendor - Contract]],$H105,CostTrack[[Holdback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05" s="504">
        <f ca="1">SUMIFS(CostTrack[[Value]:[Value]],CostTrack[[PA ID]:[PA ID]],$B105,CostTrack[[Vendor - Contract]:[Vendor - Contract]],$H105,CostTrack[[Holdback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05" s="504">
        <f ca="1">SUMIFS(CostTrack[[Value]:[Value]],CostTrack[[PA ID]:[PA ID]],$B105,CostTrack[[Vendor - Contract]:[Vendor - Contract]],$H105,CostTrack[[Holdback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14616.14</v>
      </c>
      <c r="DR105" s="504">
        <f ca="1">SUMIFS(CostTrack[[Value]:[Value]],CostTrack[[PA ID]:[PA ID]],$B105,CostTrack[[Vendor - Contract]:[Vendor - Contract]],$H105,CostTrack[[Holdback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05" s="504">
        <f ca="1">SUMIFS(CostTrack[[Value]:[Value]],CostTrack[[PA ID]:[PA ID]],$B105,CostTrack[[Vendor - Contract]:[Vendor - Contract]],$H105,CostTrack[[Holdback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05" s="504">
        <f ca="1">SUMIFS(CostTrack[[Value]:[Value]],CostTrack[[PA ID]:[PA ID]],$B105,CostTrack[[Vendor - Contract]:[Vendor - Contract]],$H105,CostTrack[[Holdback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05" s="504">
        <f ca="1">SUMIFS(CostTrack[[Value]:[Value]],CostTrack[[PA ID]:[PA ID]],$B105,CostTrack[[Vendor - Contract]:[Vendor - Contract]],$H105,CostTrack[[Holdback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05" s="504">
        <f ca="1">SUMIFS(CostTrack[[Value]:[Value]],CostTrack[[PA ID]:[PA ID]],$B105,CostTrack[[Vendor - Contract]:[Vendor - Contract]],$H105,CostTrack[[Holdback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05" s="504">
        <f ca="1">SUMIFS(CostTrack[[Value]:[Value]],CostTrack[[PA ID]:[PA ID]],$B105,CostTrack[[Vendor - Contract]:[Vendor - Contract]],$H105,CostTrack[[Holdback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05" s="504">
        <f ca="1">SUMIFS(CostTrack[[Value]:[Value]],CostTrack[[PA ID]:[PA ID]],$B105,CostTrack[[Vendor - Contract]:[Vendor - Contract]],$H105,CostTrack[[Holdback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05" s="504">
        <f ca="1">SUMIFS(CostTrack[[Value]:[Value]],CostTrack[[PA ID]:[PA ID]],$B105,CostTrack[[Vendor - Contract]:[Vendor - Contract]],$H105,CostTrack[[Holdback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05" s="504">
        <f ca="1">SUMIFS(CostTrack[[Value]:[Value]],CostTrack[[PA ID]:[PA ID]],$B105,CostTrack[[Vendor - Contract]:[Vendor - Contract]],$H105,CostTrack[[Holdback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05" s="512">
        <f t="shared" ref="EA105" ca="1" si="225">SUM(DO105:DZ105)</f>
        <v>14616.14</v>
      </c>
      <c r="EC105" s="504">
        <f ca="1">SUMIFS(CostTrack[[Value]:[Value]],CostTrack[[PA ID]:[PA ID]],$B105,CostTrack[[Vendor - Contract]:[Vendor - Contract]],$H105,CostTrack[[Holdback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05" s="505"/>
      <c r="EE105" s="505"/>
      <c r="EF105" s="505"/>
      <c r="EG105" s="505"/>
      <c r="EH105" s="505"/>
      <c r="EI105" s="505"/>
      <c r="EJ105" s="505"/>
      <c r="EK105" s="505"/>
      <c r="EL105" s="505"/>
      <c r="EM105" s="505"/>
      <c r="EN105" s="505"/>
      <c r="EO105" s="512">
        <f t="shared" ref="EO105" ca="1" si="226">SUM(EC105:EN105)</f>
        <v>0</v>
      </c>
      <c r="EQ105" s="505"/>
      <c r="ER105" s="505"/>
      <c r="ES105" s="505"/>
      <c r="ET105" s="505"/>
      <c r="EU105" s="505"/>
      <c r="EV105" s="505"/>
      <c r="EW105" s="505"/>
      <c r="EX105" s="505"/>
      <c r="EY105" s="505"/>
      <c r="EZ105" s="505"/>
      <c r="FA105" s="505"/>
      <c r="FB105" s="505"/>
      <c r="FC105" s="512">
        <f t="shared" ref="FC105" si="227">SUM(EQ105:FB105)</f>
        <v>0</v>
      </c>
      <c r="FE105" s="505"/>
      <c r="FF105" s="505"/>
      <c r="FG105" s="505"/>
      <c r="FH105" s="505"/>
      <c r="FI105" s="505"/>
      <c r="FJ105" s="505"/>
      <c r="FK105" s="505"/>
      <c r="FL105" s="505"/>
      <c r="FM105" s="505"/>
      <c r="FN105" s="505"/>
      <c r="FO105" s="505"/>
      <c r="FP105" s="505"/>
      <c r="FQ105" s="512">
        <f t="shared" ref="FQ105" si="228">SUM(FE105:FP105)</f>
        <v>0</v>
      </c>
      <c r="FS105" s="504">
        <f t="shared" ref="FS105" ca="1" si="229">AG105+AU105+BI105+BW105+CK105+CY105+DM105+EA105+EO105+FC105+FQ105</f>
        <v>14616.14</v>
      </c>
    </row>
    <row r="106" spans="1:175">
      <c r="A106" s="216">
        <v>99</v>
      </c>
      <c r="B106" s="219" t="str">
        <f ca="1">INDEX(EAC[PA ID],MATCH($A106,EAC[Row],0))</f>
        <v>300.040.F1</v>
      </c>
      <c r="C106" s="218" t="str">
        <f ca="1">INDEX(EAC[Primary Category],MATCH($A106,EAC[Row],0))</f>
        <v>Construction</v>
      </c>
      <c r="D106" s="218" t="str">
        <f ca="1">INDEX(EAC[Secondary Category],MATCH($A106,EAC[Row],0))</f>
        <v>Other Contractor</v>
      </c>
      <c r="E106" s="109" t="str">
        <f ca="1">INDEX(EAC[Phase / Subproject],MATCH($A106,EAC[Row],0))</f>
        <v>--</v>
      </c>
      <c r="F106" s="109" t="str">
        <f ca="1">INDEX(EAC[Phase / Subproject 2],MATCH($A106,EAC[Row],0))</f>
        <v>--</v>
      </c>
      <c r="G106" s="109" t="str">
        <f ca="1">INDEX(EAC[Funding Source],MATCH($A106,EAC[Row],0))</f>
        <v>P-002360</v>
      </c>
      <c r="H106" s="146" t="str">
        <f ca="1">INDEX(EAC[Vendor / Org. with Contract ID],MATCH($A106,EAC[Row],0))</f>
        <v>EDON- AC units-Direct Pay</v>
      </c>
      <c r="I106" s="502">
        <f ca="1">INDEX(EAC[Estimate At Completion],MATCH($A106,EAC[Row],0))</f>
        <v>1058.57</v>
      </c>
      <c r="J106" s="502">
        <f ca="1">SUMIFS(CostTrack[Value],CostTrack[Vendor - Contract],$H106,CostTrack[PA ID],$B106,CostTrack[Holdback (Y/N/R)],"&lt;&gt;Release",CostTrack[Status],"Approved")</f>
        <v>1058.57</v>
      </c>
      <c r="K106" s="503">
        <f t="shared" ref="K106:K107" ca="1" si="230">IFERROR(I106-J106,"")</f>
        <v>0</v>
      </c>
      <c r="M106" s="504">
        <f t="shared" ref="M106:M107" ca="1" si="231">I106-FS106</f>
        <v>0</v>
      </c>
      <c r="O106" s="504">
        <f t="shared" ref="O106:O107" ca="1" si="232">SUMIF($U$6:$FQ$6,"Previous Fiscal",AG106:FQ106)</f>
        <v>1058.57</v>
      </c>
      <c r="P106" s="504">
        <f t="array" aca="1" ref="P106" ca="1">SUM($U106:$FQ106*_xlfn.ISFORMULA($U106:$FQ106)*ISNUMBER($U$7:$FQ$7)*--(INDEX($U$6:$FQ$6,N(IF({1},COLUMN($U$6:$FQ$6)-COLUMN($T$6)))-MOD(N(IF({1},COLUMN($U$6:$FQ$6)-COLUMN($U$6))),14))="Current Fiscal"))</f>
        <v>0</v>
      </c>
      <c r="Q106" s="504">
        <f t="array" aca="1" ref="Q106" ca="1">SUM($U106:$FQ106*NOT(_xlfn.ISFORMULA($U106:$FQ106))*ISNUMBER($U$7:$FQ$7)*--(INDEX($U$6:$FQ$6,N(IF({1},COLUMN($U$6:$FQ$6)-COLUMN($T$6)))-MOD(N(IF({1},COLUMN($U$6:$FQ$6)-COLUMN($U$6))),14))="Current Fiscal"))</f>
        <v>0</v>
      </c>
      <c r="R106" s="504">
        <f t="shared" ref="R106:R107" ca="1" si="233">SUMIF($U$6:$FQ$6,"Current Fiscal",AG106:FQ106)</f>
        <v>0</v>
      </c>
      <c r="S106" s="504">
        <f t="shared" ref="S106:S107" ca="1" si="234">SUMIF($U$6:$FQ$6,"Future Fiscal",AG106:FQ106)</f>
        <v>0</v>
      </c>
      <c r="U106" s="504">
        <f ca="1">SUMIFS(CostTrack[[Value]:[Value]],CostTrack[[PA ID]:[PA ID]],$B106,CostTrack[[Vendor - Contract]:[Vendor - Contract]],$H106,CostTrack[[Holdback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06" s="504">
        <f ca="1">SUMIFS(CostTrack[[Value]:[Value]],CostTrack[[PA ID]:[PA ID]],$B106,CostTrack[[Vendor - Contract]:[Vendor - Contract]],$H106,CostTrack[[Holdback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06" s="504">
        <f ca="1">SUMIFS(CostTrack[[Value]:[Value]],CostTrack[[PA ID]:[PA ID]],$B106,CostTrack[[Vendor - Contract]:[Vendor - Contract]],$H106,CostTrack[[Holdback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06" s="504">
        <f ca="1">SUMIFS(CostTrack[[Value]:[Value]],CostTrack[[PA ID]:[PA ID]],$B106,CostTrack[[Vendor - Contract]:[Vendor - Contract]],$H106,CostTrack[[Holdback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06" s="504">
        <f ca="1">SUMIFS(CostTrack[[Value]:[Value]],CostTrack[[PA ID]:[PA ID]],$B106,CostTrack[[Vendor - Contract]:[Vendor - Contract]],$H106,CostTrack[[Holdback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06" s="504">
        <f ca="1">SUMIFS(CostTrack[[Value]:[Value]],CostTrack[[PA ID]:[PA ID]],$B106,CostTrack[[Vendor - Contract]:[Vendor - Contract]],$H106,CostTrack[[Holdback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06" s="504">
        <f ca="1">SUMIFS(CostTrack[[Value]:[Value]],CostTrack[[PA ID]:[PA ID]],$B106,CostTrack[[Vendor - Contract]:[Vendor - Contract]],$H106,CostTrack[[Holdback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06" s="504">
        <f ca="1">SUMIFS(CostTrack[[Value]:[Value]],CostTrack[[PA ID]:[PA ID]],$B106,CostTrack[[Vendor - Contract]:[Vendor - Contract]],$H106,CostTrack[[Holdback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06" s="504">
        <f ca="1">SUMIFS(CostTrack[[Value]:[Value]],CostTrack[[PA ID]:[PA ID]],$B106,CostTrack[[Vendor - Contract]:[Vendor - Contract]],$H106,CostTrack[[Holdback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06" s="504">
        <f ca="1">SUMIFS(CostTrack[[Value]:[Value]],CostTrack[[PA ID]:[PA ID]],$B106,CostTrack[[Vendor - Contract]:[Vendor - Contract]],$H106,CostTrack[[Holdback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06" s="504">
        <f ca="1">SUMIFS(CostTrack[[Value]:[Value]],CostTrack[[PA ID]:[PA ID]],$B106,CostTrack[[Vendor - Contract]:[Vendor - Contract]],$H106,CostTrack[[Holdback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06" s="504">
        <f ca="1">SUMIFS(CostTrack[[Value]:[Value]],CostTrack[[PA ID]:[PA ID]],$B106,CostTrack[[Vendor - Contract]:[Vendor - Contract]],$H106,CostTrack[[Holdback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06" s="506">
        <f t="shared" ref="AG106:AG139" ca="1" si="235">SUM(U106:AF106)</f>
        <v>0</v>
      </c>
      <c r="AI106" s="504">
        <f ca="1">SUMIFS(CostTrack[[Value]:[Value]],CostTrack[[PA ID]:[PA ID]],$B106,CostTrack[[Vendor - Contract]:[Vendor - Contract]],$H106,CostTrack[[Holdback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06" s="504">
        <f ca="1">SUMIFS(CostTrack[[Value]:[Value]],CostTrack[[PA ID]:[PA ID]],$B106,CostTrack[[Vendor - Contract]:[Vendor - Contract]],$H106,CostTrack[[Holdback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06" s="504">
        <f ca="1">SUMIFS(CostTrack[[Value]:[Value]],CostTrack[[PA ID]:[PA ID]],$B106,CostTrack[[Vendor - Contract]:[Vendor - Contract]],$H106,CostTrack[[Holdback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06" s="504">
        <f ca="1">SUMIFS(CostTrack[[Value]:[Value]],CostTrack[[PA ID]:[PA ID]],$B106,CostTrack[[Vendor - Contract]:[Vendor - Contract]],$H106,CostTrack[[Holdback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06" s="504">
        <f ca="1">SUMIFS(CostTrack[[Value]:[Value]],CostTrack[[PA ID]:[PA ID]],$B106,CostTrack[[Vendor - Contract]:[Vendor - Contract]],$H106,CostTrack[[Holdback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06" s="504">
        <f ca="1">SUMIFS(CostTrack[[Value]:[Value]],CostTrack[[PA ID]:[PA ID]],$B106,CostTrack[[Vendor - Contract]:[Vendor - Contract]],$H106,CostTrack[[Holdback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06" s="504">
        <f ca="1">SUMIFS(CostTrack[[Value]:[Value]],CostTrack[[PA ID]:[PA ID]],$B106,CostTrack[[Vendor - Contract]:[Vendor - Contract]],$H106,CostTrack[[Holdback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06" s="504">
        <f ca="1">SUMIFS(CostTrack[[Value]:[Value]],CostTrack[[PA ID]:[PA ID]],$B106,CostTrack[[Vendor - Contract]:[Vendor - Contract]],$H106,CostTrack[[Holdback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06" s="504">
        <f ca="1">SUMIFS(CostTrack[[Value]:[Value]],CostTrack[[PA ID]:[PA ID]],$B106,CostTrack[[Vendor - Contract]:[Vendor - Contract]],$H106,CostTrack[[Holdback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06" s="504">
        <f ca="1">SUMIFS(CostTrack[[Value]:[Value]],CostTrack[[PA ID]:[PA ID]],$B106,CostTrack[[Vendor - Contract]:[Vendor - Contract]],$H106,CostTrack[[Holdback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06" s="504">
        <f ca="1">SUMIFS(CostTrack[[Value]:[Value]],CostTrack[[PA ID]:[PA ID]],$B106,CostTrack[[Vendor - Contract]:[Vendor - Contract]],$H106,CostTrack[[Holdback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06" s="504">
        <f ca="1">SUMIFS(CostTrack[[Value]:[Value]],CostTrack[[PA ID]:[PA ID]],$B106,CostTrack[[Vendor - Contract]:[Vendor - Contract]],$H106,CostTrack[[Holdback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06" s="512">
        <f t="shared" ref="AU106:AU107" ca="1" si="236">SUM(AI106:AT106)</f>
        <v>0</v>
      </c>
      <c r="AW106" s="504">
        <f ca="1">SUMIFS(CostTrack[[Value]:[Value]],CostTrack[[PA ID]:[PA ID]],$B106,CostTrack[[Vendor - Contract]:[Vendor - Contract]],$H106,CostTrack[[Holdback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06" s="504">
        <f ca="1">SUMIFS(CostTrack[[Value]:[Value]],CostTrack[[PA ID]:[PA ID]],$B106,CostTrack[[Vendor - Contract]:[Vendor - Contract]],$H106,CostTrack[[Holdback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06" s="504">
        <f ca="1">SUMIFS(CostTrack[[Value]:[Value]],CostTrack[[PA ID]:[PA ID]],$B106,CostTrack[[Vendor - Contract]:[Vendor - Contract]],$H106,CostTrack[[Holdback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06" s="504">
        <f ca="1">SUMIFS(CostTrack[[Value]:[Value]],CostTrack[[PA ID]:[PA ID]],$B106,CostTrack[[Vendor - Contract]:[Vendor - Contract]],$H106,CostTrack[[Holdback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06" s="504">
        <f ca="1">SUMIFS(CostTrack[[Value]:[Value]],CostTrack[[PA ID]:[PA ID]],$B106,CostTrack[[Vendor - Contract]:[Vendor - Contract]],$H106,CostTrack[[Holdback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06" s="504">
        <f ca="1">SUMIFS(CostTrack[[Value]:[Value]],CostTrack[[PA ID]:[PA ID]],$B106,CostTrack[[Vendor - Contract]:[Vendor - Contract]],$H106,CostTrack[[Holdback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06" s="504">
        <f ca="1">SUMIFS(CostTrack[[Value]:[Value]],CostTrack[[PA ID]:[PA ID]],$B106,CostTrack[[Vendor - Contract]:[Vendor - Contract]],$H106,CostTrack[[Holdback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06" s="504">
        <f ca="1">SUMIFS(CostTrack[[Value]:[Value]],CostTrack[[PA ID]:[PA ID]],$B106,CostTrack[[Vendor - Contract]:[Vendor - Contract]],$H106,CostTrack[[Holdback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06" s="504">
        <f ca="1">SUMIFS(CostTrack[[Value]:[Value]],CostTrack[[PA ID]:[PA ID]],$B106,CostTrack[[Vendor - Contract]:[Vendor - Contract]],$H106,CostTrack[[Holdback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06" s="504">
        <f ca="1">SUMIFS(CostTrack[[Value]:[Value]],CostTrack[[PA ID]:[PA ID]],$B106,CostTrack[[Vendor - Contract]:[Vendor - Contract]],$H106,CostTrack[[Holdback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06" s="504">
        <f ca="1">SUMIFS(CostTrack[[Value]:[Value]],CostTrack[[PA ID]:[PA ID]],$B106,CostTrack[[Vendor - Contract]:[Vendor - Contract]],$H106,CostTrack[[Holdback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06" s="504">
        <f ca="1">SUMIFS(CostTrack[[Value]:[Value]],CostTrack[[PA ID]:[PA ID]],$B106,CostTrack[[Vendor - Contract]:[Vendor - Contract]],$H106,CostTrack[[Holdback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06" s="512">
        <f t="shared" ref="BI106:BI107" ca="1" si="237">SUM(AW106:BH106)</f>
        <v>0</v>
      </c>
      <c r="BK106" s="504">
        <f ca="1">SUMIFS(CostTrack[[Value]:[Value]],CostTrack[[PA ID]:[PA ID]],$B106,CostTrack[[Vendor - Contract]:[Vendor - Contract]],$H106,CostTrack[[Holdback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06" s="504">
        <f ca="1">SUMIFS(CostTrack[[Value]:[Value]],CostTrack[[PA ID]:[PA ID]],$B106,CostTrack[[Vendor - Contract]:[Vendor - Contract]],$H106,CostTrack[[Holdback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06" s="504">
        <f ca="1">SUMIFS(CostTrack[[Value]:[Value]],CostTrack[[PA ID]:[PA ID]],$B106,CostTrack[[Vendor - Contract]:[Vendor - Contract]],$H106,CostTrack[[Holdback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06" s="504">
        <f ca="1">SUMIFS(CostTrack[[Value]:[Value]],CostTrack[[PA ID]:[PA ID]],$B106,CostTrack[[Vendor - Contract]:[Vendor - Contract]],$H106,CostTrack[[Holdback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06" s="504">
        <f ca="1">SUMIFS(CostTrack[[Value]:[Value]],CostTrack[[PA ID]:[PA ID]],$B106,CostTrack[[Vendor - Contract]:[Vendor - Contract]],$H106,CostTrack[[Holdback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06" s="504">
        <f ca="1">SUMIFS(CostTrack[[Value]:[Value]],CostTrack[[PA ID]:[PA ID]],$B106,CostTrack[[Vendor - Contract]:[Vendor - Contract]],$H106,CostTrack[[Holdback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06" s="504">
        <f ca="1">SUMIFS(CostTrack[[Value]:[Value]],CostTrack[[PA ID]:[PA ID]],$B106,CostTrack[[Vendor - Contract]:[Vendor - Contract]],$H106,CostTrack[[Holdback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06" s="504">
        <f ca="1">SUMIFS(CostTrack[[Value]:[Value]],CostTrack[[PA ID]:[PA ID]],$B106,CostTrack[[Vendor - Contract]:[Vendor - Contract]],$H106,CostTrack[[Holdback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06" s="504">
        <f ca="1">SUMIFS(CostTrack[[Value]:[Value]],CostTrack[[PA ID]:[PA ID]],$B106,CostTrack[[Vendor - Contract]:[Vendor - Contract]],$H106,CostTrack[[Holdback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06" s="504">
        <f ca="1">SUMIFS(CostTrack[[Value]:[Value]],CostTrack[[PA ID]:[PA ID]],$B106,CostTrack[[Vendor - Contract]:[Vendor - Contract]],$H106,CostTrack[[Holdback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06" s="504">
        <f ca="1">SUMIFS(CostTrack[[Value]:[Value]],CostTrack[[PA ID]:[PA ID]],$B106,CostTrack[[Vendor - Contract]:[Vendor - Contract]],$H106,CostTrack[[Holdback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06" s="504">
        <f ca="1">SUMIFS(CostTrack[[Value]:[Value]],CostTrack[[PA ID]:[PA ID]],$B106,CostTrack[[Vendor - Contract]:[Vendor - Contract]],$H106,CostTrack[[Holdback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06" s="512">
        <f t="shared" ref="BW106:BW107" ca="1" si="238">SUM(BK106:BV106)</f>
        <v>0</v>
      </c>
      <c r="BY106" s="504">
        <f ca="1">SUMIFS(CostTrack[[Value]:[Value]],CostTrack[[PA ID]:[PA ID]],$B106,CostTrack[[Vendor - Contract]:[Vendor - Contract]],$H106,CostTrack[[Holdback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06" s="504">
        <f ca="1">SUMIFS(CostTrack[[Value]:[Value]],CostTrack[[PA ID]:[PA ID]],$B106,CostTrack[[Vendor - Contract]:[Vendor - Contract]],$H106,CostTrack[[Holdback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06" s="504">
        <f ca="1">SUMIFS(CostTrack[[Value]:[Value]],CostTrack[[PA ID]:[PA ID]],$B106,CostTrack[[Vendor - Contract]:[Vendor - Contract]],$H106,CostTrack[[Holdback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06" s="504">
        <f ca="1">SUMIFS(CostTrack[[Value]:[Value]],CostTrack[[PA ID]:[PA ID]],$B106,CostTrack[[Vendor - Contract]:[Vendor - Contract]],$H106,CostTrack[[Holdback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06" s="504">
        <f ca="1">SUMIFS(CostTrack[[Value]:[Value]],CostTrack[[PA ID]:[PA ID]],$B106,CostTrack[[Vendor - Contract]:[Vendor - Contract]],$H106,CostTrack[[Holdback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06" s="504">
        <f ca="1">SUMIFS(CostTrack[[Value]:[Value]],CostTrack[[PA ID]:[PA ID]],$B106,CostTrack[[Vendor - Contract]:[Vendor - Contract]],$H106,CostTrack[[Holdback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06" s="504">
        <f ca="1">SUMIFS(CostTrack[[Value]:[Value]],CostTrack[[PA ID]:[PA ID]],$B106,CostTrack[[Vendor - Contract]:[Vendor - Contract]],$H106,CostTrack[[Holdback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06" s="504">
        <f ca="1">SUMIFS(CostTrack[[Value]:[Value]],CostTrack[[PA ID]:[PA ID]],$B106,CostTrack[[Vendor - Contract]:[Vendor - Contract]],$H106,CostTrack[[Holdback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06" s="504">
        <f ca="1">SUMIFS(CostTrack[[Value]:[Value]],CostTrack[[PA ID]:[PA ID]],$B106,CostTrack[[Vendor - Contract]:[Vendor - Contract]],$H106,CostTrack[[Holdback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06" s="504">
        <f ca="1">SUMIFS(CostTrack[[Value]:[Value]],CostTrack[[PA ID]:[PA ID]],$B106,CostTrack[[Vendor - Contract]:[Vendor - Contract]],$H106,CostTrack[[Holdback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06" s="504">
        <f ca="1">SUMIFS(CostTrack[[Value]:[Value]],CostTrack[[PA ID]:[PA ID]],$B106,CostTrack[[Vendor - Contract]:[Vendor - Contract]],$H106,CostTrack[[Holdback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06" s="504">
        <f ca="1">SUMIFS(CostTrack[[Value]:[Value]],CostTrack[[PA ID]:[PA ID]],$B106,CostTrack[[Vendor - Contract]:[Vendor - Contract]],$H106,CostTrack[[Holdback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06" s="512">
        <f t="shared" ref="CK106:CK107" ca="1" si="239">SUM(BY106:CJ106)</f>
        <v>0</v>
      </c>
      <c r="CM106" s="504">
        <f ca="1">SUMIFS(CostTrack[[Value]:[Value]],CostTrack[[PA ID]:[PA ID]],$B106,CostTrack[[Vendor - Contract]:[Vendor - Contract]],$H106,CostTrack[[Holdback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06" s="504">
        <f ca="1">SUMIFS(CostTrack[[Value]:[Value]],CostTrack[[PA ID]:[PA ID]],$B106,CostTrack[[Vendor - Contract]:[Vendor - Contract]],$H106,CostTrack[[Holdback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06" s="504">
        <f ca="1">SUMIFS(CostTrack[[Value]:[Value]],CostTrack[[PA ID]:[PA ID]],$B106,CostTrack[[Vendor - Contract]:[Vendor - Contract]],$H106,CostTrack[[Holdback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06" s="504">
        <f ca="1">SUMIFS(CostTrack[[Value]:[Value]],CostTrack[[PA ID]:[PA ID]],$B106,CostTrack[[Vendor - Contract]:[Vendor - Contract]],$H106,CostTrack[[Holdback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06" s="504">
        <f ca="1">SUMIFS(CostTrack[[Value]:[Value]],CostTrack[[PA ID]:[PA ID]],$B106,CostTrack[[Vendor - Contract]:[Vendor - Contract]],$H106,CostTrack[[Holdback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06" s="504">
        <f ca="1">SUMIFS(CostTrack[[Value]:[Value]],CostTrack[[PA ID]:[PA ID]],$B106,CostTrack[[Vendor - Contract]:[Vendor - Contract]],$H106,CostTrack[[Holdback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06" s="504">
        <f ca="1">SUMIFS(CostTrack[[Value]:[Value]],CostTrack[[PA ID]:[PA ID]],$B106,CostTrack[[Vendor - Contract]:[Vendor - Contract]],$H106,CostTrack[[Holdback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06" s="504">
        <f ca="1">SUMIFS(CostTrack[[Value]:[Value]],CostTrack[[PA ID]:[PA ID]],$B106,CostTrack[[Vendor - Contract]:[Vendor - Contract]],$H106,CostTrack[[Holdback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06" s="504">
        <f ca="1">SUMIFS(CostTrack[[Value]:[Value]],CostTrack[[PA ID]:[PA ID]],$B106,CostTrack[[Vendor - Contract]:[Vendor - Contract]],$H106,CostTrack[[Holdback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06" s="504">
        <f ca="1">SUMIFS(CostTrack[[Value]:[Value]],CostTrack[[PA ID]:[PA ID]],$B106,CostTrack[[Vendor - Contract]:[Vendor - Contract]],$H106,CostTrack[[Holdback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06" s="504">
        <f ca="1">SUMIFS(CostTrack[[Value]:[Value]],CostTrack[[PA ID]:[PA ID]],$B106,CostTrack[[Vendor - Contract]:[Vendor - Contract]],$H106,CostTrack[[Holdback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06" s="504">
        <f ca="1">SUMIFS(CostTrack[[Value]:[Value]],CostTrack[[PA ID]:[PA ID]],$B106,CostTrack[[Vendor - Contract]:[Vendor - Contract]],$H106,CostTrack[[Holdback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06" s="512">
        <f t="shared" ref="CY106:CY107" ca="1" si="240">SUM(CM106:CX106)</f>
        <v>0</v>
      </c>
      <c r="DA106" s="504">
        <f ca="1">SUMIFS(CostTrack[[Value]:[Value]],CostTrack[[PA ID]:[PA ID]],$B106,CostTrack[[Vendor - Contract]:[Vendor - Contract]],$H106,CostTrack[[Holdback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06" s="504">
        <f ca="1">SUMIFS(CostTrack[[Value]:[Value]],CostTrack[[PA ID]:[PA ID]],$B106,CostTrack[[Vendor - Contract]:[Vendor - Contract]],$H106,CostTrack[[Holdback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06" s="504">
        <f ca="1">SUMIFS(CostTrack[[Value]:[Value]],CostTrack[[PA ID]:[PA ID]],$B106,CostTrack[[Vendor - Contract]:[Vendor - Contract]],$H106,CostTrack[[Holdback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06" s="504">
        <f ca="1">SUMIFS(CostTrack[[Value]:[Value]],CostTrack[[PA ID]:[PA ID]],$B106,CostTrack[[Vendor - Contract]:[Vendor - Contract]],$H106,CostTrack[[Holdback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06" s="504">
        <f ca="1">SUMIFS(CostTrack[[Value]:[Value]],CostTrack[[PA ID]:[PA ID]],$B106,CostTrack[[Vendor - Contract]:[Vendor - Contract]],$H106,CostTrack[[Holdback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06" s="504">
        <f ca="1">SUMIFS(CostTrack[[Value]:[Value]],CostTrack[[PA ID]:[PA ID]],$B106,CostTrack[[Vendor - Contract]:[Vendor - Contract]],$H106,CostTrack[[Holdback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06" s="504">
        <f ca="1">SUMIFS(CostTrack[[Value]:[Value]],CostTrack[[PA ID]:[PA ID]],$B106,CostTrack[[Vendor - Contract]:[Vendor - Contract]],$H106,CostTrack[[Holdback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06" s="504">
        <f ca="1">SUMIFS(CostTrack[[Value]:[Value]],CostTrack[[PA ID]:[PA ID]],$B106,CostTrack[[Vendor - Contract]:[Vendor - Contract]],$H106,CostTrack[[Holdback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06" s="504">
        <f ca="1">SUMIFS(CostTrack[[Value]:[Value]],CostTrack[[PA ID]:[PA ID]],$B106,CostTrack[[Vendor - Contract]:[Vendor - Contract]],$H106,CostTrack[[Holdback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06" s="504">
        <f ca="1">SUMIFS(CostTrack[[Value]:[Value]],CostTrack[[PA ID]:[PA ID]],$B106,CostTrack[[Vendor - Contract]:[Vendor - Contract]],$H106,CostTrack[[Holdback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06" s="504">
        <f ca="1">SUMIFS(CostTrack[[Value]:[Value]],CostTrack[[PA ID]:[PA ID]],$B106,CostTrack[[Vendor - Contract]:[Vendor - Contract]],$H106,CostTrack[[Holdback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06" s="504">
        <f ca="1">SUMIFS(CostTrack[[Value]:[Value]],CostTrack[[PA ID]:[PA ID]],$B106,CostTrack[[Vendor - Contract]:[Vendor - Contract]],$H106,CostTrack[[Holdback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1058.57</v>
      </c>
      <c r="DM106" s="512">
        <f t="shared" ref="DM106:DM107" ca="1" si="241">SUM(DA106:DL106)</f>
        <v>1058.57</v>
      </c>
      <c r="DO106" s="504">
        <f ca="1">SUMIFS(CostTrack[[Value]:[Value]],CostTrack[[PA ID]:[PA ID]],$B106,CostTrack[[Vendor - Contract]:[Vendor - Contract]],$H106,CostTrack[[Holdback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06" s="504">
        <f ca="1">SUMIFS(CostTrack[[Value]:[Value]],CostTrack[[PA ID]:[PA ID]],$B106,CostTrack[[Vendor - Contract]:[Vendor - Contract]],$H106,CostTrack[[Holdback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06" s="504">
        <f ca="1">SUMIFS(CostTrack[[Value]:[Value]],CostTrack[[PA ID]:[PA ID]],$B106,CostTrack[[Vendor - Contract]:[Vendor - Contract]],$H106,CostTrack[[Holdback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06" s="504">
        <f ca="1">SUMIFS(CostTrack[[Value]:[Value]],CostTrack[[PA ID]:[PA ID]],$B106,CostTrack[[Vendor - Contract]:[Vendor - Contract]],$H106,CostTrack[[Holdback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06" s="504">
        <f ca="1">SUMIFS(CostTrack[[Value]:[Value]],CostTrack[[PA ID]:[PA ID]],$B106,CostTrack[[Vendor - Contract]:[Vendor - Contract]],$H106,CostTrack[[Holdback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06" s="504">
        <f ca="1">SUMIFS(CostTrack[[Value]:[Value]],CostTrack[[PA ID]:[PA ID]],$B106,CostTrack[[Vendor - Contract]:[Vendor - Contract]],$H106,CostTrack[[Holdback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06" s="504">
        <f ca="1">SUMIFS(CostTrack[[Value]:[Value]],CostTrack[[PA ID]:[PA ID]],$B106,CostTrack[[Vendor - Contract]:[Vendor - Contract]],$H106,CostTrack[[Holdback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06" s="504">
        <f ca="1">SUMIFS(CostTrack[[Value]:[Value]],CostTrack[[PA ID]:[PA ID]],$B106,CostTrack[[Vendor - Contract]:[Vendor - Contract]],$H106,CostTrack[[Holdback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06" s="504">
        <f ca="1">SUMIFS(CostTrack[[Value]:[Value]],CostTrack[[PA ID]:[PA ID]],$B106,CostTrack[[Vendor - Contract]:[Vendor - Contract]],$H106,CostTrack[[Holdback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06" s="504">
        <f ca="1">SUMIFS(CostTrack[[Value]:[Value]],CostTrack[[PA ID]:[PA ID]],$B106,CostTrack[[Vendor - Contract]:[Vendor - Contract]],$H106,CostTrack[[Holdback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06" s="504">
        <f ca="1">SUMIFS(CostTrack[[Value]:[Value]],CostTrack[[PA ID]:[PA ID]],$B106,CostTrack[[Vendor - Contract]:[Vendor - Contract]],$H106,CostTrack[[Holdback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06" s="504">
        <f ca="1">SUMIFS(CostTrack[[Value]:[Value]],CostTrack[[PA ID]:[PA ID]],$B106,CostTrack[[Vendor - Contract]:[Vendor - Contract]],$H106,CostTrack[[Holdback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06" s="512">
        <f t="shared" ref="EA106:EA107" ca="1" si="242">SUM(DO106:DZ106)</f>
        <v>0</v>
      </c>
      <c r="EC106" s="504">
        <f ca="1">SUMIFS(CostTrack[[Value]:[Value]],CostTrack[[PA ID]:[PA ID]],$B106,CostTrack[[Vendor - Contract]:[Vendor - Contract]],$H106,CostTrack[[Holdback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06" s="505"/>
      <c r="EE106" s="505"/>
      <c r="EF106" s="505"/>
      <c r="EG106" s="505"/>
      <c r="EH106" s="505"/>
      <c r="EI106" s="505"/>
      <c r="EJ106" s="505"/>
      <c r="EK106" s="505"/>
      <c r="EL106" s="505"/>
      <c r="EM106" s="505"/>
      <c r="EN106" s="505"/>
      <c r="EO106" s="512">
        <f t="shared" ref="EO106:EO107" ca="1" si="243">SUM(EC106:EN106)</f>
        <v>0</v>
      </c>
      <c r="EQ106" s="505"/>
      <c r="ER106" s="505"/>
      <c r="ES106" s="505"/>
      <c r="ET106" s="505"/>
      <c r="EU106" s="505"/>
      <c r="EV106" s="505"/>
      <c r="EW106" s="505"/>
      <c r="EX106" s="505"/>
      <c r="EY106" s="505"/>
      <c r="EZ106" s="505"/>
      <c r="FA106" s="505"/>
      <c r="FB106" s="505"/>
      <c r="FC106" s="512">
        <f t="shared" ref="FC106:FC107" si="244">SUM(EQ106:FB106)</f>
        <v>0</v>
      </c>
      <c r="FE106" s="505"/>
      <c r="FF106" s="505"/>
      <c r="FG106" s="505"/>
      <c r="FH106" s="505"/>
      <c r="FI106" s="505"/>
      <c r="FJ106" s="505"/>
      <c r="FK106" s="505"/>
      <c r="FL106" s="505"/>
      <c r="FM106" s="505"/>
      <c r="FN106" s="505"/>
      <c r="FO106" s="505"/>
      <c r="FP106" s="505"/>
      <c r="FQ106" s="512">
        <f t="shared" ref="FQ106:FQ107" si="245">SUM(FE106:FP106)</f>
        <v>0</v>
      </c>
      <c r="FS106" s="504">
        <f t="shared" ref="FS106:FS107" ca="1" si="246">AG106+AU106+BI106+BW106+CK106+CY106+DM106+EA106+EO106+FC106+FQ106</f>
        <v>1058.57</v>
      </c>
    </row>
    <row r="107" spans="1:175">
      <c r="A107" s="216">
        <v>100</v>
      </c>
      <c r="B107" s="219" t="str">
        <f ca="1">INDEX(EAC[PA ID],MATCH($A107,EAC[Row],0))</f>
        <v>400.010.F1</v>
      </c>
      <c r="C107" s="218" t="str">
        <f ca="1">INDEX(EAC[Primary Category],MATCH($A107,EAC[Row],0))</f>
        <v>FE_IT</v>
      </c>
      <c r="D107" s="218" t="str">
        <f ca="1">INDEX(EAC[Secondary Category],MATCH($A107,EAC[Row],0))</f>
        <v>Furniture &amp; Equipment</v>
      </c>
      <c r="E107" s="109" t="str">
        <f ca="1">INDEX(EAC[Phase / Subproject],MATCH($A107,EAC[Row],0))</f>
        <v>--</v>
      </c>
      <c r="F107" s="109" t="str">
        <f ca="1">INDEX(EAC[Phase / Subproject 2],MATCH($A107,EAC[Row],0))</f>
        <v>--</v>
      </c>
      <c r="G107" s="109" t="str">
        <f ca="1">INDEX(EAC[Funding Source],MATCH($A107,EAC[Row],0))</f>
        <v>P-002360</v>
      </c>
      <c r="H107" s="146" t="str">
        <f ca="1">INDEX(EAC[Vendor / Org. with Contract ID],MATCH($A107,EAC[Row],0))</f>
        <v>Allwest- Additional System Power components -9000082421</v>
      </c>
      <c r="I107" s="502">
        <f ca="1">INDEX(EAC[Estimate At Completion],MATCH($A107,EAC[Row],0))</f>
        <v>2449.5</v>
      </c>
      <c r="J107" s="502">
        <f ca="1">SUMIFS(CostTrack[Value],CostTrack[Vendor - Contract],$H107,CostTrack[PA ID],$B107,CostTrack[Holdback (Y/N/R)],"&lt;&gt;Release",CostTrack[Status],"Approved")</f>
        <v>2449.5</v>
      </c>
      <c r="K107" s="503">
        <f t="shared" ca="1" si="230"/>
        <v>0</v>
      </c>
      <c r="M107" s="504">
        <f t="shared" ca="1" si="231"/>
        <v>0</v>
      </c>
      <c r="O107" s="504">
        <f t="shared" ca="1" si="232"/>
        <v>2449.5</v>
      </c>
      <c r="P107" s="504">
        <f t="array" aca="1" ref="P107" ca="1">SUM($U107:$FQ107*_xlfn.ISFORMULA($U107:$FQ107)*ISNUMBER($U$7:$FQ$7)*--(INDEX($U$6:$FQ$6,N(IF({1},COLUMN($U$6:$FQ$6)-COLUMN($T$6)))-MOD(N(IF({1},COLUMN($U$6:$FQ$6)-COLUMN($U$6))),14))="Current Fiscal"))</f>
        <v>0</v>
      </c>
      <c r="Q107" s="504">
        <f t="array" aca="1" ref="Q107" ca="1">SUM($U107:$FQ107*NOT(_xlfn.ISFORMULA($U107:$FQ107))*ISNUMBER($U$7:$FQ$7)*--(INDEX($U$6:$FQ$6,N(IF({1},COLUMN($U$6:$FQ$6)-COLUMN($T$6)))-MOD(N(IF({1},COLUMN($U$6:$FQ$6)-COLUMN($U$6))),14))="Current Fiscal"))</f>
        <v>0</v>
      </c>
      <c r="R107" s="504">
        <f t="shared" ca="1" si="233"/>
        <v>0</v>
      </c>
      <c r="S107" s="504">
        <f t="shared" ca="1" si="234"/>
        <v>0</v>
      </c>
      <c r="U107" s="504">
        <f ca="1">SUMIFS(CostTrack[[Value]:[Value]],CostTrack[[PA ID]:[PA ID]],$B107,CostTrack[[Vendor - Contract]:[Vendor - Contract]],$H107,CostTrack[[Holdback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07" s="504">
        <f ca="1">SUMIFS(CostTrack[[Value]:[Value]],CostTrack[[PA ID]:[PA ID]],$B107,CostTrack[[Vendor - Contract]:[Vendor - Contract]],$H107,CostTrack[[Holdback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07" s="504">
        <f ca="1">SUMIFS(CostTrack[[Value]:[Value]],CostTrack[[PA ID]:[PA ID]],$B107,CostTrack[[Vendor - Contract]:[Vendor - Contract]],$H107,CostTrack[[Holdback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07" s="504">
        <f ca="1">SUMIFS(CostTrack[[Value]:[Value]],CostTrack[[PA ID]:[PA ID]],$B107,CostTrack[[Vendor - Contract]:[Vendor - Contract]],$H107,CostTrack[[Holdback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07" s="504">
        <f ca="1">SUMIFS(CostTrack[[Value]:[Value]],CostTrack[[PA ID]:[PA ID]],$B107,CostTrack[[Vendor - Contract]:[Vendor - Contract]],$H107,CostTrack[[Holdback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07" s="504">
        <f ca="1">SUMIFS(CostTrack[[Value]:[Value]],CostTrack[[PA ID]:[PA ID]],$B107,CostTrack[[Vendor - Contract]:[Vendor - Contract]],$H107,CostTrack[[Holdback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07" s="504">
        <f ca="1">SUMIFS(CostTrack[[Value]:[Value]],CostTrack[[PA ID]:[PA ID]],$B107,CostTrack[[Vendor - Contract]:[Vendor - Contract]],$H107,CostTrack[[Holdback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07" s="504">
        <f ca="1">SUMIFS(CostTrack[[Value]:[Value]],CostTrack[[PA ID]:[PA ID]],$B107,CostTrack[[Vendor - Contract]:[Vendor - Contract]],$H107,CostTrack[[Holdback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07" s="504">
        <f ca="1">SUMIFS(CostTrack[[Value]:[Value]],CostTrack[[PA ID]:[PA ID]],$B107,CostTrack[[Vendor - Contract]:[Vendor - Contract]],$H107,CostTrack[[Holdback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07" s="504">
        <f ca="1">SUMIFS(CostTrack[[Value]:[Value]],CostTrack[[PA ID]:[PA ID]],$B107,CostTrack[[Vendor - Contract]:[Vendor - Contract]],$H107,CostTrack[[Holdback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07" s="504">
        <f ca="1">SUMIFS(CostTrack[[Value]:[Value]],CostTrack[[PA ID]:[PA ID]],$B107,CostTrack[[Vendor - Contract]:[Vendor - Contract]],$H107,CostTrack[[Holdback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07" s="504">
        <f ca="1">SUMIFS(CostTrack[[Value]:[Value]],CostTrack[[PA ID]:[PA ID]],$B107,CostTrack[[Vendor - Contract]:[Vendor - Contract]],$H107,CostTrack[[Holdback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07" s="506">
        <f t="shared" ca="1" si="235"/>
        <v>0</v>
      </c>
      <c r="AI107" s="504">
        <f ca="1">SUMIFS(CostTrack[[Value]:[Value]],CostTrack[[PA ID]:[PA ID]],$B107,CostTrack[[Vendor - Contract]:[Vendor - Contract]],$H107,CostTrack[[Holdback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07" s="504">
        <f ca="1">SUMIFS(CostTrack[[Value]:[Value]],CostTrack[[PA ID]:[PA ID]],$B107,CostTrack[[Vendor - Contract]:[Vendor - Contract]],$H107,CostTrack[[Holdback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07" s="504">
        <f ca="1">SUMIFS(CostTrack[[Value]:[Value]],CostTrack[[PA ID]:[PA ID]],$B107,CostTrack[[Vendor - Contract]:[Vendor - Contract]],$H107,CostTrack[[Holdback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07" s="504">
        <f ca="1">SUMIFS(CostTrack[[Value]:[Value]],CostTrack[[PA ID]:[PA ID]],$B107,CostTrack[[Vendor - Contract]:[Vendor - Contract]],$H107,CostTrack[[Holdback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07" s="504">
        <f ca="1">SUMIFS(CostTrack[[Value]:[Value]],CostTrack[[PA ID]:[PA ID]],$B107,CostTrack[[Vendor - Contract]:[Vendor - Contract]],$H107,CostTrack[[Holdback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07" s="504">
        <f ca="1">SUMIFS(CostTrack[[Value]:[Value]],CostTrack[[PA ID]:[PA ID]],$B107,CostTrack[[Vendor - Contract]:[Vendor - Contract]],$H107,CostTrack[[Holdback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07" s="504">
        <f ca="1">SUMIFS(CostTrack[[Value]:[Value]],CostTrack[[PA ID]:[PA ID]],$B107,CostTrack[[Vendor - Contract]:[Vendor - Contract]],$H107,CostTrack[[Holdback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07" s="504">
        <f ca="1">SUMIFS(CostTrack[[Value]:[Value]],CostTrack[[PA ID]:[PA ID]],$B107,CostTrack[[Vendor - Contract]:[Vendor - Contract]],$H107,CostTrack[[Holdback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07" s="504">
        <f ca="1">SUMIFS(CostTrack[[Value]:[Value]],CostTrack[[PA ID]:[PA ID]],$B107,CostTrack[[Vendor - Contract]:[Vendor - Contract]],$H107,CostTrack[[Holdback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07" s="504">
        <f ca="1">SUMIFS(CostTrack[[Value]:[Value]],CostTrack[[PA ID]:[PA ID]],$B107,CostTrack[[Vendor - Contract]:[Vendor - Contract]],$H107,CostTrack[[Holdback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07" s="504">
        <f ca="1">SUMIFS(CostTrack[[Value]:[Value]],CostTrack[[PA ID]:[PA ID]],$B107,CostTrack[[Vendor - Contract]:[Vendor - Contract]],$H107,CostTrack[[Holdback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07" s="504">
        <f ca="1">SUMIFS(CostTrack[[Value]:[Value]],CostTrack[[PA ID]:[PA ID]],$B107,CostTrack[[Vendor - Contract]:[Vendor - Contract]],$H107,CostTrack[[Holdback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07" s="512">
        <f t="shared" ca="1" si="236"/>
        <v>0</v>
      </c>
      <c r="AW107" s="504">
        <f ca="1">SUMIFS(CostTrack[[Value]:[Value]],CostTrack[[PA ID]:[PA ID]],$B107,CostTrack[[Vendor - Contract]:[Vendor - Contract]],$H107,CostTrack[[Holdback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07" s="504">
        <f ca="1">SUMIFS(CostTrack[[Value]:[Value]],CostTrack[[PA ID]:[PA ID]],$B107,CostTrack[[Vendor - Contract]:[Vendor - Contract]],$H107,CostTrack[[Holdback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07" s="504">
        <f ca="1">SUMIFS(CostTrack[[Value]:[Value]],CostTrack[[PA ID]:[PA ID]],$B107,CostTrack[[Vendor - Contract]:[Vendor - Contract]],$H107,CostTrack[[Holdback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07" s="504">
        <f ca="1">SUMIFS(CostTrack[[Value]:[Value]],CostTrack[[PA ID]:[PA ID]],$B107,CostTrack[[Vendor - Contract]:[Vendor - Contract]],$H107,CostTrack[[Holdback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07" s="504">
        <f ca="1">SUMIFS(CostTrack[[Value]:[Value]],CostTrack[[PA ID]:[PA ID]],$B107,CostTrack[[Vendor - Contract]:[Vendor - Contract]],$H107,CostTrack[[Holdback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07" s="504">
        <f ca="1">SUMIFS(CostTrack[[Value]:[Value]],CostTrack[[PA ID]:[PA ID]],$B107,CostTrack[[Vendor - Contract]:[Vendor - Contract]],$H107,CostTrack[[Holdback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07" s="504">
        <f ca="1">SUMIFS(CostTrack[[Value]:[Value]],CostTrack[[PA ID]:[PA ID]],$B107,CostTrack[[Vendor - Contract]:[Vendor - Contract]],$H107,CostTrack[[Holdback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07" s="504">
        <f ca="1">SUMIFS(CostTrack[[Value]:[Value]],CostTrack[[PA ID]:[PA ID]],$B107,CostTrack[[Vendor - Contract]:[Vendor - Contract]],$H107,CostTrack[[Holdback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07" s="504">
        <f ca="1">SUMIFS(CostTrack[[Value]:[Value]],CostTrack[[PA ID]:[PA ID]],$B107,CostTrack[[Vendor - Contract]:[Vendor - Contract]],$H107,CostTrack[[Holdback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07" s="504">
        <f ca="1">SUMIFS(CostTrack[[Value]:[Value]],CostTrack[[PA ID]:[PA ID]],$B107,CostTrack[[Vendor - Contract]:[Vendor - Contract]],$H107,CostTrack[[Holdback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07" s="504">
        <f ca="1">SUMIFS(CostTrack[[Value]:[Value]],CostTrack[[PA ID]:[PA ID]],$B107,CostTrack[[Vendor - Contract]:[Vendor - Contract]],$H107,CostTrack[[Holdback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07" s="504">
        <f ca="1">SUMIFS(CostTrack[[Value]:[Value]],CostTrack[[PA ID]:[PA ID]],$B107,CostTrack[[Vendor - Contract]:[Vendor - Contract]],$H107,CostTrack[[Holdback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07" s="512">
        <f t="shared" ca="1" si="237"/>
        <v>0</v>
      </c>
      <c r="BK107" s="504">
        <f ca="1">SUMIFS(CostTrack[[Value]:[Value]],CostTrack[[PA ID]:[PA ID]],$B107,CostTrack[[Vendor - Contract]:[Vendor - Contract]],$H107,CostTrack[[Holdback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07" s="504">
        <f ca="1">SUMIFS(CostTrack[[Value]:[Value]],CostTrack[[PA ID]:[PA ID]],$B107,CostTrack[[Vendor - Contract]:[Vendor - Contract]],$H107,CostTrack[[Holdback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07" s="504">
        <f ca="1">SUMIFS(CostTrack[[Value]:[Value]],CostTrack[[PA ID]:[PA ID]],$B107,CostTrack[[Vendor - Contract]:[Vendor - Contract]],$H107,CostTrack[[Holdback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07" s="504">
        <f ca="1">SUMIFS(CostTrack[[Value]:[Value]],CostTrack[[PA ID]:[PA ID]],$B107,CostTrack[[Vendor - Contract]:[Vendor - Contract]],$H107,CostTrack[[Holdback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07" s="504">
        <f ca="1">SUMIFS(CostTrack[[Value]:[Value]],CostTrack[[PA ID]:[PA ID]],$B107,CostTrack[[Vendor - Contract]:[Vendor - Contract]],$H107,CostTrack[[Holdback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07" s="504">
        <f ca="1">SUMIFS(CostTrack[[Value]:[Value]],CostTrack[[PA ID]:[PA ID]],$B107,CostTrack[[Vendor - Contract]:[Vendor - Contract]],$H107,CostTrack[[Holdback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07" s="504">
        <f ca="1">SUMIFS(CostTrack[[Value]:[Value]],CostTrack[[PA ID]:[PA ID]],$B107,CostTrack[[Vendor - Contract]:[Vendor - Contract]],$H107,CostTrack[[Holdback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07" s="504">
        <f ca="1">SUMIFS(CostTrack[[Value]:[Value]],CostTrack[[PA ID]:[PA ID]],$B107,CostTrack[[Vendor - Contract]:[Vendor - Contract]],$H107,CostTrack[[Holdback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07" s="504">
        <f ca="1">SUMIFS(CostTrack[[Value]:[Value]],CostTrack[[PA ID]:[PA ID]],$B107,CostTrack[[Vendor - Contract]:[Vendor - Contract]],$H107,CostTrack[[Holdback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07" s="504">
        <f ca="1">SUMIFS(CostTrack[[Value]:[Value]],CostTrack[[PA ID]:[PA ID]],$B107,CostTrack[[Vendor - Contract]:[Vendor - Contract]],$H107,CostTrack[[Holdback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07" s="504">
        <f ca="1">SUMIFS(CostTrack[[Value]:[Value]],CostTrack[[PA ID]:[PA ID]],$B107,CostTrack[[Vendor - Contract]:[Vendor - Contract]],$H107,CostTrack[[Holdback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07" s="504">
        <f ca="1">SUMIFS(CostTrack[[Value]:[Value]],CostTrack[[PA ID]:[PA ID]],$B107,CostTrack[[Vendor - Contract]:[Vendor - Contract]],$H107,CostTrack[[Holdback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07" s="512">
        <f t="shared" ca="1" si="238"/>
        <v>0</v>
      </c>
      <c r="BY107" s="504">
        <f ca="1">SUMIFS(CostTrack[[Value]:[Value]],CostTrack[[PA ID]:[PA ID]],$B107,CostTrack[[Vendor - Contract]:[Vendor - Contract]],$H107,CostTrack[[Holdback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07" s="504">
        <f ca="1">SUMIFS(CostTrack[[Value]:[Value]],CostTrack[[PA ID]:[PA ID]],$B107,CostTrack[[Vendor - Contract]:[Vendor - Contract]],$H107,CostTrack[[Holdback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07" s="504">
        <f ca="1">SUMIFS(CostTrack[[Value]:[Value]],CostTrack[[PA ID]:[PA ID]],$B107,CostTrack[[Vendor - Contract]:[Vendor - Contract]],$H107,CostTrack[[Holdback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07" s="504">
        <f ca="1">SUMIFS(CostTrack[[Value]:[Value]],CostTrack[[PA ID]:[PA ID]],$B107,CostTrack[[Vendor - Contract]:[Vendor - Contract]],$H107,CostTrack[[Holdback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07" s="504">
        <f ca="1">SUMIFS(CostTrack[[Value]:[Value]],CostTrack[[PA ID]:[PA ID]],$B107,CostTrack[[Vendor - Contract]:[Vendor - Contract]],$H107,CostTrack[[Holdback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07" s="504">
        <f ca="1">SUMIFS(CostTrack[[Value]:[Value]],CostTrack[[PA ID]:[PA ID]],$B107,CostTrack[[Vendor - Contract]:[Vendor - Contract]],$H107,CostTrack[[Holdback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07" s="504">
        <f ca="1">SUMIFS(CostTrack[[Value]:[Value]],CostTrack[[PA ID]:[PA ID]],$B107,CostTrack[[Vendor - Contract]:[Vendor - Contract]],$H107,CostTrack[[Holdback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07" s="504">
        <f ca="1">SUMIFS(CostTrack[[Value]:[Value]],CostTrack[[PA ID]:[PA ID]],$B107,CostTrack[[Vendor - Contract]:[Vendor - Contract]],$H107,CostTrack[[Holdback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07" s="504">
        <f ca="1">SUMIFS(CostTrack[[Value]:[Value]],CostTrack[[PA ID]:[PA ID]],$B107,CostTrack[[Vendor - Contract]:[Vendor - Contract]],$H107,CostTrack[[Holdback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07" s="504">
        <f ca="1">SUMIFS(CostTrack[[Value]:[Value]],CostTrack[[PA ID]:[PA ID]],$B107,CostTrack[[Vendor - Contract]:[Vendor - Contract]],$H107,CostTrack[[Holdback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07" s="504">
        <f ca="1">SUMIFS(CostTrack[[Value]:[Value]],CostTrack[[PA ID]:[PA ID]],$B107,CostTrack[[Vendor - Contract]:[Vendor - Contract]],$H107,CostTrack[[Holdback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07" s="504">
        <f ca="1">SUMIFS(CostTrack[[Value]:[Value]],CostTrack[[PA ID]:[PA ID]],$B107,CostTrack[[Vendor - Contract]:[Vendor - Contract]],$H107,CostTrack[[Holdback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07" s="512">
        <f t="shared" ca="1" si="239"/>
        <v>0</v>
      </c>
      <c r="CM107" s="504">
        <f ca="1">SUMIFS(CostTrack[[Value]:[Value]],CostTrack[[PA ID]:[PA ID]],$B107,CostTrack[[Vendor - Contract]:[Vendor - Contract]],$H107,CostTrack[[Holdback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07" s="504">
        <f ca="1">SUMIFS(CostTrack[[Value]:[Value]],CostTrack[[PA ID]:[PA ID]],$B107,CostTrack[[Vendor - Contract]:[Vendor - Contract]],$H107,CostTrack[[Holdback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07" s="504">
        <f ca="1">SUMIFS(CostTrack[[Value]:[Value]],CostTrack[[PA ID]:[PA ID]],$B107,CostTrack[[Vendor - Contract]:[Vendor - Contract]],$H107,CostTrack[[Holdback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07" s="504">
        <f ca="1">SUMIFS(CostTrack[[Value]:[Value]],CostTrack[[PA ID]:[PA ID]],$B107,CostTrack[[Vendor - Contract]:[Vendor - Contract]],$H107,CostTrack[[Holdback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07" s="504">
        <f ca="1">SUMIFS(CostTrack[[Value]:[Value]],CostTrack[[PA ID]:[PA ID]],$B107,CostTrack[[Vendor - Contract]:[Vendor - Contract]],$H107,CostTrack[[Holdback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07" s="504">
        <f ca="1">SUMIFS(CostTrack[[Value]:[Value]],CostTrack[[PA ID]:[PA ID]],$B107,CostTrack[[Vendor - Contract]:[Vendor - Contract]],$H107,CostTrack[[Holdback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07" s="504">
        <f ca="1">SUMIFS(CostTrack[[Value]:[Value]],CostTrack[[PA ID]:[PA ID]],$B107,CostTrack[[Vendor - Contract]:[Vendor - Contract]],$H107,CostTrack[[Holdback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07" s="504">
        <f ca="1">SUMIFS(CostTrack[[Value]:[Value]],CostTrack[[PA ID]:[PA ID]],$B107,CostTrack[[Vendor - Contract]:[Vendor - Contract]],$H107,CostTrack[[Holdback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07" s="504">
        <f ca="1">SUMIFS(CostTrack[[Value]:[Value]],CostTrack[[PA ID]:[PA ID]],$B107,CostTrack[[Vendor - Contract]:[Vendor - Contract]],$H107,CostTrack[[Holdback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07" s="504">
        <f ca="1">SUMIFS(CostTrack[[Value]:[Value]],CostTrack[[PA ID]:[PA ID]],$B107,CostTrack[[Vendor - Contract]:[Vendor - Contract]],$H107,CostTrack[[Holdback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07" s="504">
        <f ca="1">SUMIFS(CostTrack[[Value]:[Value]],CostTrack[[PA ID]:[PA ID]],$B107,CostTrack[[Vendor - Contract]:[Vendor - Contract]],$H107,CostTrack[[Holdback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07" s="504">
        <f ca="1">SUMIFS(CostTrack[[Value]:[Value]],CostTrack[[PA ID]:[PA ID]],$B107,CostTrack[[Vendor - Contract]:[Vendor - Contract]],$H107,CostTrack[[Holdback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07" s="512">
        <f t="shared" ca="1" si="240"/>
        <v>0</v>
      </c>
      <c r="DA107" s="504">
        <f ca="1">SUMIFS(CostTrack[[Value]:[Value]],CostTrack[[PA ID]:[PA ID]],$B107,CostTrack[[Vendor - Contract]:[Vendor - Contract]],$H107,CostTrack[[Holdback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07" s="504">
        <f ca="1">SUMIFS(CostTrack[[Value]:[Value]],CostTrack[[PA ID]:[PA ID]],$B107,CostTrack[[Vendor - Contract]:[Vendor - Contract]],$H107,CostTrack[[Holdback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07" s="504">
        <f ca="1">SUMIFS(CostTrack[[Value]:[Value]],CostTrack[[PA ID]:[PA ID]],$B107,CostTrack[[Vendor - Contract]:[Vendor - Contract]],$H107,CostTrack[[Holdback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07" s="504">
        <f ca="1">SUMIFS(CostTrack[[Value]:[Value]],CostTrack[[PA ID]:[PA ID]],$B107,CostTrack[[Vendor - Contract]:[Vendor - Contract]],$H107,CostTrack[[Holdback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07" s="504">
        <f ca="1">SUMIFS(CostTrack[[Value]:[Value]],CostTrack[[PA ID]:[PA ID]],$B107,CostTrack[[Vendor - Contract]:[Vendor - Contract]],$H107,CostTrack[[Holdback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07" s="504">
        <f ca="1">SUMIFS(CostTrack[[Value]:[Value]],CostTrack[[PA ID]:[PA ID]],$B107,CostTrack[[Vendor - Contract]:[Vendor - Contract]],$H107,CostTrack[[Holdback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07" s="504">
        <f ca="1">SUMIFS(CostTrack[[Value]:[Value]],CostTrack[[PA ID]:[PA ID]],$B107,CostTrack[[Vendor - Contract]:[Vendor - Contract]],$H107,CostTrack[[Holdback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07" s="504">
        <f ca="1">SUMIFS(CostTrack[[Value]:[Value]],CostTrack[[PA ID]:[PA ID]],$B107,CostTrack[[Vendor - Contract]:[Vendor - Contract]],$H107,CostTrack[[Holdback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07" s="504">
        <f ca="1">SUMIFS(CostTrack[[Value]:[Value]],CostTrack[[PA ID]:[PA ID]],$B107,CostTrack[[Vendor - Contract]:[Vendor - Contract]],$H107,CostTrack[[Holdback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07" s="504">
        <f ca="1">SUMIFS(CostTrack[[Value]:[Value]],CostTrack[[PA ID]:[PA ID]],$B107,CostTrack[[Vendor - Contract]:[Vendor - Contract]],$H107,CostTrack[[Holdback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07" s="504">
        <f ca="1">SUMIFS(CostTrack[[Value]:[Value]],CostTrack[[PA ID]:[PA ID]],$B107,CostTrack[[Vendor - Contract]:[Vendor - Contract]],$H107,CostTrack[[Holdback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07" s="504">
        <f ca="1">SUMIFS(CostTrack[[Value]:[Value]],CostTrack[[PA ID]:[PA ID]],$B107,CostTrack[[Vendor - Contract]:[Vendor - Contract]],$H107,CostTrack[[Holdback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07" s="512">
        <f t="shared" ca="1" si="241"/>
        <v>0</v>
      </c>
      <c r="DO107" s="504">
        <f ca="1">SUMIFS(CostTrack[[Value]:[Value]],CostTrack[[PA ID]:[PA ID]],$B107,CostTrack[[Vendor - Contract]:[Vendor - Contract]],$H107,CostTrack[[Holdback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07" s="504">
        <f ca="1">SUMIFS(CostTrack[[Value]:[Value]],CostTrack[[PA ID]:[PA ID]],$B107,CostTrack[[Vendor - Contract]:[Vendor - Contract]],$H107,CostTrack[[Holdback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07" s="504">
        <f ca="1">SUMIFS(CostTrack[[Value]:[Value]],CostTrack[[PA ID]:[PA ID]],$B107,CostTrack[[Vendor - Contract]:[Vendor - Contract]],$H107,CostTrack[[Holdback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07" s="504">
        <f ca="1">SUMIFS(CostTrack[[Value]:[Value]],CostTrack[[PA ID]:[PA ID]],$B107,CostTrack[[Vendor - Contract]:[Vendor - Contract]],$H107,CostTrack[[Holdback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2449.5</v>
      </c>
      <c r="DS107" s="504">
        <f ca="1">SUMIFS(CostTrack[[Value]:[Value]],CostTrack[[PA ID]:[PA ID]],$B107,CostTrack[[Vendor - Contract]:[Vendor - Contract]],$H107,CostTrack[[Holdback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07" s="504">
        <f ca="1">SUMIFS(CostTrack[[Value]:[Value]],CostTrack[[PA ID]:[PA ID]],$B107,CostTrack[[Vendor - Contract]:[Vendor - Contract]],$H107,CostTrack[[Holdback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07" s="504">
        <f ca="1">SUMIFS(CostTrack[[Value]:[Value]],CostTrack[[PA ID]:[PA ID]],$B107,CostTrack[[Vendor - Contract]:[Vendor - Contract]],$H107,CostTrack[[Holdback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07" s="504">
        <f ca="1">SUMIFS(CostTrack[[Value]:[Value]],CostTrack[[PA ID]:[PA ID]],$B107,CostTrack[[Vendor - Contract]:[Vendor - Contract]],$H107,CostTrack[[Holdback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07" s="504">
        <f ca="1">SUMIFS(CostTrack[[Value]:[Value]],CostTrack[[PA ID]:[PA ID]],$B107,CostTrack[[Vendor - Contract]:[Vendor - Contract]],$H107,CostTrack[[Holdback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07" s="504">
        <f ca="1">SUMIFS(CostTrack[[Value]:[Value]],CostTrack[[PA ID]:[PA ID]],$B107,CostTrack[[Vendor - Contract]:[Vendor - Contract]],$H107,CostTrack[[Holdback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07" s="504">
        <f ca="1">SUMIFS(CostTrack[[Value]:[Value]],CostTrack[[PA ID]:[PA ID]],$B107,CostTrack[[Vendor - Contract]:[Vendor - Contract]],$H107,CostTrack[[Holdback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07" s="504">
        <f ca="1">SUMIFS(CostTrack[[Value]:[Value]],CostTrack[[PA ID]:[PA ID]],$B107,CostTrack[[Vendor - Contract]:[Vendor - Contract]],$H107,CostTrack[[Holdback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07" s="512">
        <f t="shared" ca="1" si="242"/>
        <v>2449.5</v>
      </c>
      <c r="EC107" s="504">
        <f ca="1">SUMIFS(CostTrack[[Value]:[Value]],CostTrack[[PA ID]:[PA ID]],$B107,CostTrack[[Vendor - Contract]:[Vendor - Contract]],$H107,CostTrack[[Holdback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07" s="505"/>
      <c r="EE107" s="505"/>
      <c r="EF107" s="505"/>
      <c r="EG107" s="505"/>
      <c r="EH107" s="505"/>
      <c r="EI107" s="505"/>
      <c r="EJ107" s="505"/>
      <c r="EK107" s="505"/>
      <c r="EL107" s="505"/>
      <c r="EM107" s="505"/>
      <c r="EN107" s="505"/>
      <c r="EO107" s="512">
        <f t="shared" ca="1" si="243"/>
        <v>0</v>
      </c>
      <c r="EQ107" s="505"/>
      <c r="ER107" s="505"/>
      <c r="ES107" s="505"/>
      <c r="ET107" s="505"/>
      <c r="EU107" s="505"/>
      <c r="EV107" s="505"/>
      <c r="EW107" s="505"/>
      <c r="EX107" s="505"/>
      <c r="EY107" s="505"/>
      <c r="EZ107" s="505"/>
      <c r="FA107" s="505"/>
      <c r="FB107" s="505"/>
      <c r="FC107" s="512">
        <f t="shared" si="244"/>
        <v>0</v>
      </c>
      <c r="FE107" s="505"/>
      <c r="FF107" s="505"/>
      <c r="FG107" s="505"/>
      <c r="FH107" s="505"/>
      <c r="FI107" s="505"/>
      <c r="FJ107" s="505"/>
      <c r="FK107" s="505"/>
      <c r="FL107" s="505"/>
      <c r="FM107" s="505"/>
      <c r="FN107" s="505"/>
      <c r="FO107" s="505"/>
      <c r="FP107" s="505"/>
      <c r="FQ107" s="512">
        <f t="shared" si="245"/>
        <v>0</v>
      </c>
      <c r="FS107" s="504">
        <f t="shared" ca="1" si="246"/>
        <v>2449.5</v>
      </c>
    </row>
    <row r="108" spans="1:175">
      <c r="A108" s="216">
        <v>101</v>
      </c>
      <c r="B108" s="219" t="str">
        <f ca="1">INDEX(EAC[PA ID],MATCH($A108,EAC[Row],0))</f>
        <v>400.010.F1</v>
      </c>
      <c r="C108" s="218" t="str">
        <f ca="1">INDEX(EAC[Primary Category],MATCH($A108,EAC[Row],0))</f>
        <v>FE_IT</v>
      </c>
      <c r="D108" s="218" t="str">
        <f ca="1">INDEX(EAC[Secondary Category],MATCH($A108,EAC[Row],0))</f>
        <v>Furniture &amp; Equipment</v>
      </c>
      <c r="E108" s="109" t="str">
        <f ca="1">INDEX(EAC[Phase / Subproject],MATCH($A108,EAC[Row],0))</f>
        <v>--</v>
      </c>
      <c r="F108" s="109" t="str">
        <f ca="1">INDEX(EAC[Phase / Subproject 2],MATCH($A108,EAC[Row],0))</f>
        <v>--</v>
      </c>
      <c r="G108" s="109" t="str">
        <f ca="1">INDEX(EAC[Funding Source],MATCH($A108,EAC[Row],0))</f>
        <v>P-002360</v>
      </c>
      <c r="H108" s="146" t="str">
        <f ca="1">INDEX(EAC[Vendor / Org. with Contract ID],MATCH($A108,EAC[Row],0))</f>
        <v>Allwest- Lateral Top Cut down-9000082427</v>
      </c>
      <c r="I108" s="502">
        <f ca="1">INDEX(EAC[Estimate At Completion],MATCH($A108,EAC[Row],0))</f>
        <v>1254</v>
      </c>
      <c r="J108" s="502">
        <f ca="1">SUMIFS(CostTrack[Value],CostTrack[Vendor - Contract],$H108,CostTrack[PA ID],$B108,CostTrack[Holdback (Y/N/R)],"&lt;&gt;Release",CostTrack[Status],"Approved")</f>
        <v>1254</v>
      </c>
      <c r="K108" s="503">
        <f t="shared" ref="K108" ca="1" si="247">IFERROR(I108-J108,"")</f>
        <v>0</v>
      </c>
      <c r="M108" s="504">
        <f t="shared" ref="M108" ca="1" si="248">I108-FS108</f>
        <v>0</v>
      </c>
      <c r="O108" s="504">
        <f t="shared" ref="O108" ca="1" si="249">SUMIF($U$6:$FQ$6,"Previous Fiscal",AG108:FQ108)</f>
        <v>1254</v>
      </c>
      <c r="P108" s="504">
        <f t="array" aca="1" ref="P108" ca="1">SUM($U108:$FQ108*_xlfn.ISFORMULA($U108:$FQ108)*ISNUMBER($U$7:$FQ$7)*--(INDEX($U$6:$FQ$6,N(IF({1},COLUMN($U$6:$FQ$6)-COLUMN($T$6)))-MOD(N(IF({1},COLUMN($U$6:$FQ$6)-COLUMN($U$6))),14))="Current Fiscal"))</f>
        <v>0</v>
      </c>
      <c r="Q108" s="504">
        <f t="array" aca="1" ref="Q108" ca="1">SUM($U108:$FQ108*NOT(_xlfn.ISFORMULA($U108:$FQ108))*ISNUMBER($U$7:$FQ$7)*--(INDEX($U$6:$FQ$6,N(IF({1},COLUMN($U$6:$FQ$6)-COLUMN($T$6)))-MOD(N(IF({1},COLUMN($U$6:$FQ$6)-COLUMN($U$6))),14))="Current Fiscal"))</f>
        <v>0</v>
      </c>
      <c r="R108" s="504">
        <f t="shared" ref="R108" ca="1" si="250">SUMIF($U$6:$FQ$6,"Current Fiscal",AG108:FQ108)</f>
        <v>0</v>
      </c>
      <c r="S108" s="504">
        <f t="shared" ref="S108" ca="1" si="251">SUMIF($U$6:$FQ$6,"Future Fiscal",AG108:FQ108)</f>
        <v>0</v>
      </c>
      <c r="U108" s="504">
        <f ca="1">SUMIFS(CostTrack[[Value]:[Value]],CostTrack[[PA ID]:[PA ID]],$B108,CostTrack[[Vendor - Contract]:[Vendor - Contract]],$H108,CostTrack[[Holdback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08" s="504">
        <f ca="1">SUMIFS(CostTrack[[Value]:[Value]],CostTrack[[PA ID]:[PA ID]],$B108,CostTrack[[Vendor - Contract]:[Vendor - Contract]],$H108,CostTrack[[Holdback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08" s="504">
        <f ca="1">SUMIFS(CostTrack[[Value]:[Value]],CostTrack[[PA ID]:[PA ID]],$B108,CostTrack[[Vendor - Contract]:[Vendor - Contract]],$H108,CostTrack[[Holdback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08" s="504">
        <f ca="1">SUMIFS(CostTrack[[Value]:[Value]],CostTrack[[PA ID]:[PA ID]],$B108,CostTrack[[Vendor - Contract]:[Vendor - Contract]],$H108,CostTrack[[Holdback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08" s="504">
        <f ca="1">SUMIFS(CostTrack[[Value]:[Value]],CostTrack[[PA ID]:[PA ID]],$B108,CostTrack[[Vendor - Contract]:[Vendor - Contract]],$H108,CostTrack[[Holdback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08" s="504">
        <f ca="1">SUMIFS(CostTrack[[Value]:[Value]],CostTrack[[PA ID]:[PA ID]],$B108,CostTrack[[Vendor - Contract]:[Vendor - Contract]],$H108,CostTrack[[Holdback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08" s="504">
        <f ca="1">SUMIFS(CostTrack[[Value]:[Value]],CostTrack[[PA ID]:[PA ID]],$B108,CostTrack[[Vendor - Contract]:[Vendor - Contract]],$H108,CostTrack[[Holdback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08" s="504">
        <f ca="1">SUMIFS(CostTrack[[Value]:[Value]],CostTrack[[PA ID]:[PA ID]],$B108,CostTrack[[Vendor - Contract]:[Vendor - Contract]],$H108,CostTrack[[Holdback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08" s="504">
        <f ca="1">SUMIFS(CostTrack[[Value]:[Value]],CostTrack[[PA ID]:[PA ID]],$B108,CostTrack[[Vendor - Contract]:[Vendor - Contract]],$H108,CostTrack[[Holdback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08" s="504">
        <f ca="1">SUMIFS(CostTrack[[Value]:[Value]],CostTrack[[PA ID]:[PA ID]],$B108,CostTrack[[Vendor - Contract]:[Vendor - Contract]],$H108,CostTrack[[Holdback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08" s="504">
        <f ca="1">SUMIFS(CostTrack[[Value]:[Value]],CostTrack[[PA ID]:[PA ID]],$B108,CostTrack[[Vendor - Contract]:[Vendor - Contract]],$H108,CostTrack[[Holdback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08" s="504">
        <f ca="1">SUMIFS(CostTrack[[Value]:[Value]],CostTrack[[PA ID]:[PA ID]],$B108,CostTrack[[Vendor - Contract]:[Vendor - Contract]],$H108,CostTrack[[Holdback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08" s="506">
        <f t="shared" ca="1" si="235"/>
        <v>0</v>
      </c>
      <c r="AI108" s="504">
        <f ca="1">SUMIFS(CostTrack[[Value]:[Value]],CostTrack[[PA ID]:[PA ID]],$B108,CostTrack[[Vendor - Contract]:[Vendor - Contract]],$H108,CostTrack[[Holdback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08" s="504">
        <f ca="1">SUMIFS(CostTrack[[Value]:[Value]],CostTrack[[PA ID]:[PA ID]],$B108,CostTrack[[Vendor - Contract]:[Vendor - Contract]],$H108,CostTrack[[Holdback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08" s="504">
        <f ca="1">SUMIFS(CostTrack[[Value]:[Value]],CostTrack[[PA ID]:[PA ID]],$B108,CostTrack[[Vendor - Contract]:[Vendor - Contract]],$H108,CostTrack[[Holdback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08" s="504">
        <f ca="1">SUMIFS(CostTrack[[Value]:[Value]],CostTrack[[PA ID]:[PA ID]],$B108,CostTrack[[Vendor - Contract]:[Vendor - Contract]],$H108,CostTrack[[Holdback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08" s="504">
        <f ca="1">SUMIFS(CostTrack[[Value]:[Value]],CostTrack[[PA ID]:[PA ID]],$B108,CostTrack[[Vendor - Contract]:[Vendor - Contract]],$H108,CostTrack[[Holdback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08" s="504">
        <f ca="1">SUMIFS(CostTrack[[Value]:[Value]],CostTrack[[PA ID]:[PA ID]],$B108,CostTrack[[Vendor - Contract]:[Vendor - Contract]],$H108,CostTrack[[Holdback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08" s="504">
        <f ca="1">SUMIFS(CostTrack[[Value]:[Value]],CostTrack[[PA ID]:[PA ID]],$B108,CostTrack[[Vendor - Contract]:[Vendor - Contract]],$H108,CostTrack[[Holdback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08" s="504">
        <f ca="1">SUMIFS(CostTrack[[Value]:[Value]],CostTrack[[PA ID]:[PA ID]],$B108,CostTrack[[Vendor - Contract]:[Vendor - Contract]],$H108,CostTrack[[Holdback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08" s="504">
        <f ca="1">SUMIFS(CostTrack[[Value]:[Value]],CostTrack[[PA ID]:[PA ID]],$B108,CostTrack[[Vendor - Contract]:[Vendor - Contract]],$H108,CostTrack[[Holdback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08" s="504">
        <f ca="1">SUMIFS(CostTrack[[Value]:[Value]],CostTrack[[PA ID]:[PA ID]],$B108,CostTrack[[Vendor - Contract]:[Vendor - Contract]],$H108,CostTrack[[Holdback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08" s="504">
        <f ca="1">SUMIFS(CostTrack[[Value]:[Value]],CostTrack[[PA ID]:[PA ID]],$B108,CostTrack[[Vendor - Contract]:[Vendor - Contract]],$H108,CostTrack[[Holdback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08" s="504">
        <f ca="1">SUMIFS(CostTrack[[Value]:[Value]],CostTrack[[PA ID]:[PA ID]],$B108,CostTrack[[Vendor - Contract]:[Vendor - Contract]],$H108,CostTrack[[Holdback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08" s="512">
        <f t="shared" ref="AU108:AU139" ca="1" si="252">SUM(AI108:AT108)</f>
        <v>0</v>
      </c>
      <c r="AW108" s="504">
        <f ca="1">SUMIFS(CostTrack[[Value]:[Value]],CostTrack[[PA ID]:[PA ID]],$B108,CostTrack[[Vendor - Contract]:[Vendor - Contract]],$H108,CostTrack[[Holdback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08" s="504">
        <f ca="1">SUMIFS(CostTrack[[Value]:[Value]],CostTrack[[PA ID]:[PA ID]],$B108,CostTrack[[Vendor - Contract]:[Vendor - Contract]],$H108,CostTrack[[Holdback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08" s="504">
        <f ca="1">SUMIFS(CostTrack[[Value]:[Value]],CostTrack[[PA ID]:[PA ID]],$B108,CostTrack[[Vendor - Contract]:[Vendor - Contract]],$H108,CostTrack[[Holdback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08" s="504">
        <f ca="1">SUMIFS(CostTrack[[Value]:[Value]],CostTrack[[PA ID]:[PA ID]],$B108,CostTrack[[Vendor - Contract]:[Vendor - Contract]],$H108,CostTrack[[Holdback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08" s="504">
        <f ca="1">SUMIFS(CostTrack[[Value]:[Value]],CostTrack[[PA ID]:[PA ID]],$B108,CostTrack[[Vendor - Contract]:[Vendor - Contract]],$H108,CostTrack[[Holdback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08" s="504">
        <f ca="1">SUMIFS(CostTrack[[Value]:[Value]],CostTrack[[PA ID]:[PA ID]],$B108,CostTrack[[Vendor - Contract]:[Vendor - Contract]],$H108,CostTrack[[Holdback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08" s="504">
        <f ca="1">SUMIFS(CostTrack[[Value]:[Value]],CostTrack[[PA ID]:[PA ID]],$B108,CostTrack[[Vendor - Contract]:[Vendor - Contract]],$H108,CostTrack[[Holdback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08" s="504">
        <f ca="1">SUMIFS(CostTrack[[Value]:[Value]],CostTrack[[PA ID]:[PA ID]],$B108,CostTrack[[Vendor - Contract]:[Vendor - Contract]],$H108,CostTrack[[Holdback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08" s="504">
        <f ca="1">SUMIFS(CostTrack[[Value]:[Value]],CostTrack[[PA ID]:[PA ID]],$B108,CostTrack[[Vendor - Contract]:[Vendor - Contract]],$H108,CostTrack[[Holdback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08" s="504">
        <f ca="1">SUMIFS(CostTrack[[Value]:[Value]],CostTrack[[PA ID]:[PA ID]],$B108,CostTrack[[Vendor - Contract]:[Vendor - Contract]],$H108,CostTrack[[Holdback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08" s="504">
        <f ca="1">SUMIFS(CostTrack[[Value]:[Value]],CostTrack[[PA ID]:[PA ID]],$B108,CostTrack[[Vendor - Contract]:[Vendor - Contract]],$H108,CostTrack[[Holdback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08" s="504">
        <f ca="1">SUMIFS(CostTrack[[Value]:[Value]],CostTrack[[PA ID]:[PA ID]],$B108,CostTrack[[Vendor - Contract]:[Vendor - Contract]],$H108,CostTrack[[Holdback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08" s="512">
        <f t="shared" ref="BI108" ca="1" si="253">SUM(AW108:BH108)</f>
        <v>0</v>
      </c>
      <c r="BK108" s="504">
        <f ca="1">SUMIFS(CostTrack[[Value]:[Value]],CostTrack[[PA ID]:[PA ID]],$B108,CostTrack[[Vendor - Contract]:[Vendor - Contract]],$H108,CostTrack[[Holdback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08" s="504">
        <f ca="1">SUMIFS(CostTrack[[Value]:[Value]],CostTrack[[PA ID]:[PA ID]],$B108,CostTrack[[Vendor - Contract]:[Vendor - Contract]],$H108,CostTrack[[Holdback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08" s="504">
        <f ca="1">SUMIFS(CostTrack[[Value]:[Value]],CostTrack[[PA ID]:[PA ID]],$B108,CostTrack[[Vendor - Contract]:[Vendor - Contract]],$H108,CostTrack[[Holdback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08" s="504">
        <f ca="1">SUMIFS(CostTrack[[Value]:[Value]],CostTrack[[PA ID]:[PA ID]],$B108,CostTrack[[Vendor - Contract]:[Vendor - Contract]],$H108,CostTrack[[Holdback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08" s="504">
        <f ca="1">SUMIFS(CostTrack[[Value]:[Value]],CostTrack[[PA ID]:[PA ID]],$B108,CostTrack[[Vendor - Contract]:[Vendor - Contract]],$H108,CostTrack[[Holdback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08" s="504">
        <f ca="1">SUMIFS(CostTrack[[Value]:[Value]],CostTrack[[PA ID]:[PA ID]],$B108,CostTrack[[Vendor - Contract]:[Vendor - Contract]],$H108,CostTrack[[Holdback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08" s="504">
        <f ca="1">SUMIFS(CostTrack[[Value]:[Value]],CostTrack[[PA ID]:[PA ID]],$B108,CostTrack[[Vendor - Contract]:[Vendor - Contract]],$H108,CostTrack[[Holdback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08" s="504">
        <f ca="1">SUMIFS(CostTrack[[Value]:[Value]],CostTrack[[PA ID]:[PA ID]],$B108,CostTrack[[Vendor - Contract]:[Vendor - Contract]],$H108,CostTrack[[Holdback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08" s="504">
        <f ca="1">SUMIFS(CostTrack[[Value]:[Value]],CostTrack[[PA ID]:[PA ID]],$B108,CostTrack[[Vendor - Contract]:[Vendor - Contract]],$H108,CostTrack[[Holdback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08" s="504">
        <f ca="1">SUMIFS(CostTrack[[Value]:[Value]],CostTrack[[PA ID]:[PA ID]],$B108,CostTrack[[Vendor - Contract]:[Vendor - Contract]],$H108,CostTrack[[Holdback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08" s="504">
        <f ca="1">SUMIFS(CostTrack[[Value]:[Value]],CostTrack[[PA ID]:[PA ID]],$B108,CostTrack[[Vendor - Contract]:[Vendor - Contract]],$H108,CostTrack[[Holdback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08" s="504">
        <f ca="1">SUMIFS(CostTrack[[Value]:[Value]],CostTrack[[PA ID]:[PA ID]],$B108,CostTrack[[Vendor - Contract]:[Vendor - Contract]],$H108,CostTrack[[Holdback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08" s="512">
        <f t="shared" ref="BW108" ca="1" si="254">SUM(BK108:BV108)</f>
        <v>0</v>
      </c>
      <c r="BY108" s="504">
        <f ca="1">SUMIFS(CostTrack[[Value]:[Value]],CostTrack[[PA ID]:[PA ID]],$B108,CostTrack[[Vendor - Contract]:[Vendor - Contract]],$H108,CostTrack[[Holdback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08" s="504">
        <f ca="1">SUMIFS(CostTrack[[Value]:[Value]],CostTrack[[PA ID]:[PA ID]],$B108,CostTrack[[Vendor - Contract]:[Vendor - Contract]],$H108,CostTrack[[Holdback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08" s="504">
        <f ca="1">SUMIFS(CostTrack[[Value]:[Value]],CostTrack[[PA ID]:[PA ID]],$B108,CostTrack[[Vendor - Contract]:[Vendor - Contract]],$H108,CostTrack[[Holdback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08" s="504">
        <f ca="1">SUMIFS(CostTrack[[Value]:[Value]],CostTrack[[PA ID]:[PA ID]],$B108,CostTrack[[Vendor - Contract]:[Vendor - Contract]],$H108,CostTrack[[Holdback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08" s="504">
        <f ca="1">SUMIFS(CostTrack[[Value]:[Value]],CostTrack[[PA ID]:[PA ID]],$B108,CostTrack[[Vendor - Contract]:[Vendor - Contract]],$H108,CostTrack[[Holdback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08" s="504">
        <f ca="1">SUMIFS(CostTrack[[Value]:[Value]],CostTrack[[PA ID]:[PA ID]],$B108,CostTrack[[Vendor - Contract]:[Vendor - Contract]],$H108,CostTrack[[Holdback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08" s="504">
        <f ca="1">SUMIFS(CostTrack[[Value]:[Value]],CostTrack[[PA ID]:[PA ID]],$B108,CostTrack[[Vendor - Contract]:[Vendor - Contract]],$H108,CostTrack[[Holdback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08" s="504">
        <f ca="1">SUMIFS(CostTrack[[Value]:[Value]],CostTrack[[PA ID]:[PA ID]],$B108,CostTrack[[Vendor - Contract]:[Vendor - Contract]],$H108,CostTrack[[Holdback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08" s="504">
        <f ca="1">SUMIFS(CostTrack[[Value]:[Value]],CostTrack[[PA ID]:[PA ID]],$B108,CostTrack[[Vendor - Contract]:[Vendor - Contract]],$H108,CostTrack[[Holdback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08" s="504">
        <f ca="1">SUMIFS(CostTrack[[Value]:[Value]],CostTrack[[PA ID]:[PA ID]],$B108,CostTrack[[Vendor - Contract]:[Vendor - Contract]],$H108,CostTrack[[Holdback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08" s="504">
        <f ca="1">SUMIFS(CostTrack[[Value]:[Value]],CostTrack[[PA ID]:[PA ID]],$B108,CostTrack[[Vendor - Contract]:[Vendor - Contract]],$H108,CostTrack[[Holdback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08" s="504">
        <f ca="1">SUMIFS(CostTrack[[Value]:[Value]],CostTrack[[PA ID]:[PA ID]],$B108,CostTrack[[Vendor - Contract]:[Vendor - Contract]],$H108,CostTrack[[Holdback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08" s="512">
        <f t="shared" ref="CK108:CK139" ca="1" si="255">SUM(BY108:CJ108)</f>
        <v>0</v>
      </c>
      <c r="CM108" s="504">
        <f ca="1">SUMIFS(CostTrack[[Value]:[Value]],CostTrack[[PA ID]:[PA ID]],$B108,CostTrack[[Vendor - Contract]:[Vendor - Contract]],$H108,CostTrack[[Holdback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08" s="504">
        <f ca="1">SUMIFS(CostTrack[[Value]:[Value]],CostTrack[[PA ID]:[PA ID]],$B108,CostTrack[[Vendor - Contract]:[Vendor - Contract]],$H108,CostTrack[[Holdback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08" s="504">
        <f ca="1">SUMIFS(CostTrack[[Value]:[Value]],CostTrack[[PA ID]:[PA ID]],$B108,CostTrack[[Vendor - Contract]:[Vendor - Contract]],$H108,CostTrack[[Holdback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08" s="504">
        <f ca="1">SUMIFS(CostTrack[[Value]:[Value]],CostTrack[[PA ID]:[PA ID]],$B108,CostTrack[[Vendor - Contract]:[Vendor - Contract]],$H108,CostTrack[[Holdback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08" s="504">
        <f ca="1">SUMIFS(CostTrack[[Value]:[Value]],CostTrack[[PA ID]:[PA ID]],$B108,CostTrack[[Vendor - Contract]:[Vendor - Contract]],$H108,CostTrack[[Holdback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08" s="504">
        <f ca="1">SUMIFS(CostTrack[[Value]:[Value]],CostTrack[[PA ID]:[PA ID]],$B108,CostTrack[[Vendor - Contract]:[Vendor - Contract]],$H108,CostTrack[[Holdback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08" s="504">
        <f ca="1">SUMIFS(CostTrack[[Value]:[Value]],CostTrack[[PA ID]:[PA ID]],$B108,CostTrack[[Vendor - Contract]:[Vendor - Contract]],$H108,CostTrack[[Holdback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08" s="504">
        <f ca="1">SUMIFS(CostTrack[[Value]:[Value]],CostTrack[[PA ID]:[PA ID]],$B108,CostTrack[[Vendor - Contract]:[Vendor - Contract]],$H108,CostTrack[[Holdback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08" s="504">
        <f ca="1">SUMIFS(CostTrack[[Value]:[Value]],CostTrack[[PA ID]:[PA ID]],$B108,CostTrack[[Vendor - Contract]:[Vendor - Contract]],$H108,CostTrack[[Holdback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08" s="504">
        <f ca="1">SUMIFS(CostTrack[[Value]:[Value]],CostTrack[[PA ID]:[PA ID]],$B108,CostTrack[[Vendor - Contract]:[Vendor - Contract]],$H108,CostTrack[[Holdback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08" s="504">
        <f ca="1">SUMIFS(CostTrack[[Value]:[Value]],CostTrack[[PA ID]:[PA ID]],$B108,CostTrack[[Vendor - Contract]:[Vendor - Contract]],$H108,CostTrack[[Holdback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08" s="504">
        <f ca="1">SUMIFS(CostTrack[[Value]:[Value]],CostTrack[[PA ID]:[PA ID]],$B108,CostTrack[[Vendor - Contract]:[Vendor - Contract]],$H108,CostTrack[[Holdback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08" s="512">
        <f t="shared" ref="CY108:CY139" ca="1" si="256">SUM(CM108:CX108)</f>
        <v>0</v>
      </c>
      <c r="DA108" s="504">
        <f ca="1">SUMIFS(CostTrack[[Value]:[Value]],CostTrack[[PA ID]:[PA ID]],$B108,CostTrack[[Vendor - Contract]:[Vendor - Contract]],$H108,CostTrack[[Holdback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08" s="504">
        <f ca="1">SUMIFS(CostTrack[[Value]:[Value]],CostTrack[[PA ID]:[PA ID]],$B108,CostTrack[[Vendor - Contract]:[Vendor - Contract]],$H108,CostTrack[[Holdback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08" s="504">
        <f ca="1">SUMIFS(CostTrack[[Value]:[Value]],CostTrack[[PA ID]:[PA ID]],$B108,CostTrack[[Vendor - Contract]:[Vendor - Contract]],$H108,CostTrack[[Holdback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08" s="504">
        <f ca="1">SUMIFS(CostTrack[[Value]:[Value]],CostTrack[[PA ID]:[PA ID]],$B108,CostTrack[[Vendor - Contract]:[Vendor - Contract]],$H108,CostTrack[[Holdback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08" s="504">
        <f ca="1">SUMIFS(CostTrack[[Value]:[Value]],CostTrack[[PA ID]:[PA ID]],$B108,CostTrack[[Vendor - Contract]:[Vendor - Contract]],$H108,CostTrack[[Holdback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08" s="504">
        <f ca="1">SUMIFS(CostTrack[[Value]:[Value]],CostTrack[[PA ID]:[PA ID]],$B108,CostTrack[[Vendor - Contract]:[Vendor - Contract]],$H108,CostTrack[[Holdback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08" s="504">
        <f ca="1">SUMIFS(CostTrack[[Value]:[Value]],CostTrack[[PA ID]:[PA ID]],$B108,CostTrack[[Vendor - Contract]:[Vendor - Contract]],$H108,CostTrack[[Holdback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08" s="504">
        <f ca="1">SUMIFS(CostTrack[[Value]:[Value]],CostTrack[[PA ID]:[PA ID]],$B108,CostTrack[[Vendor - Contract]:[Vendor - Contract]],$H108,CostTrack[[Holdback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08" s="504">
        <f ca="1">SUMIFS(CostTrack[[Value]:[Value]],CostTrack[[PA ID]:[PA ID]],$B108,CostTrack[[Vendor - Contract]:[Vendor - Contract]],$H108,CostTrack[[Holdback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08" s="504">
        <f ca="1">SUMIFS(CostTrack[[Value]:[Value]],CostTrack[[PA ID]:[PA ID]],$B108,CostTrack[[Vendor - Contract]:[Vendor - Contract]],$H108,CostTrack[[Holdback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08" s="504">
        <f ca="1">SUMIFS(CostTrack[[Value]:[Value]],CostTrack[[PA ID]:[PA ID]],$B108,CostTrack[[Vendor - Contract]:[Vendor - Contract]],$H108,CostTrack[[Holdback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08" s="504">
        <f ca="1">SUMIFS(CostTrack[[Value]:[Value]],CostTrack[[PA ID]:[PA ID]],$B108,CostTrack[[Vendor - Contract]:[Vendor - Contract]],$H108,CostTrack[[Holdback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08" s="512">
        <f t="shared" ref="DM108:DM139" ca="1" si="257">SUM(DA108:DL108)</f>
        <v>0</v>
      </c>
      <c r="DO108" s="504">
        <f ca="1">SUMIFS(CostTrack[[Value]:[Value]],CostTrack[[PA ID]:[PA ID]],$B108,CostTrack[[Vendor - Contract]:[Vendor - Contract]],$H108,CostTrack[[Holdback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08" s="504">
        <f ca="1">SUMIFS(CostTrack[[Value]:[Value]],CostTrack[[PA ID]:[PA ID]],$B108,CostTrack[[Vendor - Contract]:[Vendor - Contract]],$H108,CostTrack[[Holdback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1254</v>
      </c>
      <c r="DQ108" s="504">
        <f ca="1">SUMIFS(CostTrack[[Value]:[Value]],CostTrack[[PA ID]:[PA ID]],$B108,CostTrack[[Vendor - Contract]:[Vendor - Contract]],$H108,CostTrack[[Holdback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08" s="504">
        <f ca="1">SUMIFS(CostTrack[[Value]:[Value]],CostTrack[[PA ID]:[PA ID]],$B108,CostTrack[[Vendor - Contract]:[Vendor - Contract]],$H108,CostTrack[[Holdback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08" s="504">
        <f ca="1">SUMIFS(CostTrack[[Value]:[Value]],CostTrack[[PA ID]:[PA ID]],$B108,CostTrack[[Vendor - Contract]:[Vendor - Contract]],$H108,CostTrack[[Holdback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08" s="504">
        <f ca="1">SUMIFS(CostTrack[[Value]:[Value]],CostTrack[[PA ID]:[PA ID]],$B108,CostTrack[[Vendor - Contract]:[Vendor - Contract]],$H108,CostTrack[[Holdback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08" s="504">
        <f ca="1">SUMIFS(CostTrack[[Value]:[Value]],CostTrack[[PA ID]:[PA ID]],$B108,CostTrack[[Vendor - Contract]:[Vendor - Contract]],$H108,CostTrack[[Holdback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08" s="504">
        <f ca="1">SUMIFS(CostTrack[[Value]:[Value]],CostTrack[[PA ID]:[PA ID]],$B108,CostTrack[[Vendor - Contract]:[Vendor - Contract]],$H108,CostTrack[[Holdback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08" s="504">
        <f ca="1">SUMIFS(CostTrack[[Value]:[Value]],CostTrack[[PA ID]:[PA ID]],$B108,CostTrack[[Vendor - Contract]:[Vendor - Contract]],$H108,CostTrack[[Holdback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08" s="504">
        <f ca="1">SUMIFS(CostTrack[[Value]:[Value]],CostTrack[[PA ID]:[PA ID]],$B108,CostTrack[[Vendor - Contract]:[Vendor - Contract]],$H108,CostTrack[[Holdback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08" s="504">
        <f ca="1">SUMIFS(CostTrack[[Value]:[Value]],CostTrack[[PA ID]:[PA ID]],$B108,CostTrack[[Vendor - Contract]:[Vendor - Contract]],$H108,CostTrack[[Holdback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08" s="504">
        <f ca="1">SUMIFS(CostTrack[[Value]:[Value]],CostTrack[[PA ID]:[PA ID]],$B108,CostTrack[[Vendor - Contract]:[Vendor - Contract]],$H108,CostTrack[[Holdback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08" s="512">
        <f t="shared" ref="EA108" ca="1" si="258">SUM(DO108:DZ108)</f>
        <v>1254</v>
      </c>
      <c r="EC108" s="504">
        <f ca="1">SUMIFS(CostTrack[[Value]:[Value]],CostTrack[[PA ID]:[PA ID]],$B108,CostTrack[[Vendor - Contract]:[Vendor - Contract]],$H108,CostTrack[[Holdback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08" s="505"/>
      <c r="EE108" s="505"/>
      <c r="EF108" s="505"/>
      <c r="EG108" s="505"/>
      <c r="EH108" s="505"/>
      <c r="EI108" s="505"/>
      <c r="EJ108" s="505"/>
      <c r="EK108" s="505"/>
      <c r="EL108" s="505"/>
      <c r="EM108" s="505"/>
      <c r="EN108" s="505"/>
      <c r="EO108" s="512">
        <f t="shared" ref="EO108" ca="1" si="259">SUM(EC108:EN108)</f>
        <v>0</v>
      </c>
      <c r="EQ108" s="505"/>
      <c r="ER108" s="505"/>
      <c r="ES108" s="505"/>
      <c r="ET108" s="505"/>
      <c r="EU108" s="505"/>
      <c r="EV108" s="505"/>
      <c r="EW108" s="505"/>
      <c r="EX108" s="505"/>
      <c r="EY108" s="505"/>
      <c r="EZ108" s="505"/>
      <c r="FA108" s="505"/>
      <c r="FB108" s="505"/>
      <c r="FC108" s="512">
        <f t="shared" ref="FC108" si="260">SUM(EQ108:FB108)</f>
        <v>0</v>
      </c>
      <c r="FE108" s="505"/>
      <c r="FF108" s="505"/>
      <c r="FG108" s="505"/>
      <c r="FH108" s="505"/>
      <c r="FI108" s="505"/>
      <c r="FJ108" s="505"/>
      <c r="FK108" s="505"/>
      <c r="FL108" s="505"/>
      <c r="FM108" s="505"/>
      <c r="FN108" s="505"/>
      <c r="FO108" s="505"/>
      <c r="FP108" s="505"/>
      <c r="FQ108" s="512">
        <f t="shared" ref="FQ108" si="261">SUM(FE108:FP108)</f>
        <v>0</v>
      </c>
      <c r="FS108" s="504">
        <f t="shared" ref="FS108" ca="1" si="262">AG108+AU108+BI108+BW108+CK108+CY108+DM108+EA108+EO108+FC108+FQ108</f>
        <v>1254</v>
      </c>
    </row>
    <row r="109" spans="1:175">
      <c r="A109" s="216">
        <v>102</v>
      </c>
      <c r="B109" s="219" t="str">
        <f ca="1">INDEX(EAC[PA ID],MATCH($A109,EAC[Row],0))</f>
        <v>400.010.F1</v>
      </c>
      <c r="C109" s="218" t="str">
        <f ca="1">INDEX(EAC[Primary Category],MATCH($A109,EAC[Row],0))</f>
        <v>FE_IT</v>
      </c>
      <c r="D109" s="218" t="str">
        <f ca="1">INDEX(EAC[Secondary Category],MATCH($A109,EAC[Row],0))</f>
        <v>Furniture &amp; Equipment</v>
      </c>
      <c r="E109" s="109" t="str">
        <f ca="1">INDEX(EAC[Phase / Subproject],MATCH($A109,EAC[Row],0))</f>
        <v>--</v>
      </c>
      <c r="F109" s="109" t="str">
        <f ca="1">INDEX(EAC[Phase / Subproject 2],MATCH($A109,EAC[Row],0))</f>
        <v>--</v>
      </c>
      <c r="G109" s="109" t="str">
        <f ca="1">INDEX(EAC[Funding Source],MATCH($A109,EAC[Row],0))</f>
        <v>P-002360</v>
      </c>
      <c r="H109" s="146" t="str">
        <f ca="1">INDEX(EAC[Vendor / Org. with Contract ID],MATCH($A109,EAC[Row],0))</f>
        <v>HBI-Judicial Visiting Offices-Storage-Direct Pay</v>
      </c>
      <c r="I109" s="502">
        <f ca="1">INDEX(EAC[Estimate At Completion],MATCH($A109,EAC[Row],0))</f>
        <v>1025</v>
      </c>
      <c r="J109" s="502">
        <f ca="1">SUMIFS(CostTrack[Value],CostTrack[Vendor - Contract],$H109,CostTrack[PA ID],$B109,CostTrack[Holdback (Y/N/R)],"&lt;&gt;Release",CostTrack[Status],"Approved")</f>
        <v>1025</v>
      </c>
      <c r="K109" s="503">
        <f t="shared" ref="K109:K110" ca="1" si="263">IFERROR(I109-J109,"")</f>
        <v>0</v>
      </c>
      <c r="M109" s="504">
        <f t="shared" ref="M109:M139" ca="1" si="264">I109-FS109</f>
        <v>0</v>
      </c>
      <c r="O109" s="504">
        <f t="shared" ref="O109" ca="1" si="265">SUMIF($U$6:$FQ$6,"Previous Fiscal",AG109:FQ109)</f>
        <v>1025</v>
      </c>
      <c r="P109" s="504">
        <f t="array" aca="1" ref="P109" ca="1">SUM($U109:$FQ109*_xlfn.ISFORMULA($U109:$FQ109)*ISNUMBER($U$7:$FQ$7)*--(INDEX($U$6:$FQ$6,N(IF({1},COLUMN($U$6:$FQ$6)-COLUMN($T$6)))-MOD(N(IF({1},COLUMN($U$6:$FQ$6)-COLUMN($U$6))),14))="Current Fiscal"))</f>
        <v>0</v>
      </c>
      <c r="Q109" s="504">
        <f t="array" aca="1" ref="Q109" ca="1">SUM($U109:$FQ109*NOT(_xlfn.ISFORMULA($U109:$FQ109))*ISNUMBER($U$7:$FQ$7)*--(INDEX($U$6:$FQ$6,N(IF({1},COLUMN($U$6:$FQ$6)-COLUMN($T$6)))-MOD(N(IF({1},COLUMN($U$6:$FQ$6)-COLUMN($U$6))),14))="Current Fiscal"))</f>
        <v>0</v>
      </c>
      <c r="R109" s="504">
        <f t="shared" ref="R109" ca="1" si="266">SUMIF($U$6:$FQ$6,"Current Fiscal",AG109:FQ109)</f>
        <v>0</v>
      </c>
      <c r="S109" s="504">
        <f t="shared" ref="S109" ca="1" si="267">SUMIF($U$6:$FQ$6,"Future Fiscal",AG109:FQ109)</f>
        <v>0</v>
      </c>
      <c r="U109" s="504">
        <f ca="1">SUMIFS(CostTrack[[Value]:[Value]],CostTrack[[PA ID]:[PA ID]],$B109,CostTrack[[Vendor - Contract]:[Vendor - Contract]],$H109,CostTrack[[Holdback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09" s="504">
        <f ca="1">SUMIFS(CostTrack[[Value]:[Value]],CostTrack[[PA ID]:[PA ID]],$B109,CostTrack[[Vendor - Contract]:[Vendor - Contract]],$H109,CostTrack[[Holdback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09" s="504">
        <f ca="1">SUMIFS(CostTrack[[Value]:[Value]],CostTrack[[PA ID]:[PA ID]],$B109,CostTrack[[Vendor - Contract]:[Vendor - Contract]],$H109,CostTrack[[Holdback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09" s="504">
        <f ca="1">SUMIFS(CostTrack[[Value]:[Value]],CostTrack[[PA ID]:[PA ID]],$B109,CostTrack[[Vendor - Contract]:[Vendor - Contract]],$H109,CostTrack[[Holdback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09" s="504">
        <f ca="1">SUMIFS(CostTrack[[Value]:[Value]],CostTrack[[PA ID]:[PA ID]],$B109,CostTrack[[Vendor - Contract]:[Vendor - Contract]],$H109,CostTrack[[Holdback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09" s="504">
        <f ca="1">SUMIFS(CostTrack[[Value]:[Value]],CostTrack[[PA ID]:[PA ID]],$B109,CostTrack[[Vendor - Contract]:[Vendor - Contract]],$H109,CostTrack[[Holdback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09" s="504">
        <f ca="1">SUMIFS(CostTrack[[Value]:[Value]],CostTrack[[PA ID]:[PA ID]],$B109,CostTrack[[Vendor - Contract]:[Vendor - Contract]],$H109,CostTrack[[Holdback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09" s="504">
        <f ca="1">SUMIFS(CostTrack[[Value]:[Value]],CostTrack[[PA ID]:[PA ID]],$B109,CostTrack[[Vendor - Contract]:[Vendor - Contract]],$H109,CostTrack[[Holdback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09" s="504">
        <f ca="1">SUMIFS(CostTrack[[Value]:[Value]],CostTrack[[PA ID]:[PA ID]],$B109,CostTrack[[Vendor - Contract]:[Vendor - Contract]],$H109,CostTrack[[Holdback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09" s="504">
        <f ca="1">SUMIFS(CostTrack[[Value]:[Value]],CostTrack[[PA ID]:[PA ID]],$B109,CostTrack[[Vendor - Contract]:[Vendor - Contract]],$H109,CostTrack[[Holdback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09" s="504">
        <f ca="1">SUMIFS(CostTrack[[Value]:[Value]],CostTrack[[PA ID]:[PA ID]],$B109,CostTrack[[Vendor - Contract]:[Vendor - Contract]],$H109,CostTrack[[Holdback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09" s="504">
        <f ca="1">SUMIFS(CostTrack[[Value]:[Value]],CostTrack[[PA ID]:[PA ID]],$B109,CostTrack[[Vendor - Contract]:[Vendor - Contract]],$H109,CostTrack[[Holdback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09" s="506">
        <f t="shared" ca="1" si="235"/>
        <v>0</v>
      </c>
      <c r="AI109" s="504">
        <f ca="1">SUMIFS(CostTrack[[Value]:[Value]],CostTrack[[PA ID]:[PA ID]],$B109,CostTrack[[Vendor - Contract]:[Vendor - Contract]],$H109,CostTrack[[Holdback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09" s="504">
        <f ca="1">SUMIFS(CostTrack[[Value]:[Value]],CostTrack[[PA ID]:[PA ID]],$B109,CostTrack[[Vendor - Contract]:[Vendor - Contract]],$H109,CostTrack[[Holdback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09" s="504">
        <f ca="1">SUMIFS(CostTrack[[Value]:[Value]],CostTrack[[PA ID]:[PA ID]],$B109,CostTrack[[Vendor - Contract]:[Vendor - Contract]],$H109,CostTrack[[Holdback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09" s="504">
        <f ca="1">SUMIFS(CostTrack[[Value]:[Value]],CostTrack[[PA ID]:[PA ID]],$B109,CostTrack[[Vendor - Contract]:[Vendor - Contract]],$H109,CostTrack[[Holdback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09" s="504">
        <f ca="1">SUMIFS(CostTrack[[Value]:[Value]],CostTrack[[PA ID]:[PA ID]],$B109,CostTrack[[Vendor - Contract]:[Vendor - Contract]],$H109,CostTrack[[Holdback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09" s="504">
        <f ca="1">SUMIFS(CostTrack[[Value]:[Value]],CostTrack[[PA ID]:[PA ID]],$B109,CostTrack[[Vendor - Contract]:[Vendor - Contract]],$H109,CostTrack[[Holdback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09" s="504">
        <f ca="1">SUMIFS(CostTrack[[Value]:[Value]],CostTrack[[PA ID]:[PA ID]],$B109,CostTrack[[Vendor - Contract]:[Vendor - Contract]],$H109,CostTrack[[Holdback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09" s="504">
        <f ca="1">SUMIFS(CostTrack[[Value]:[Value]],CostTrack[[PA ID]:[PA ID]],$B109,CostTrack[[Vendor - Contract]:[Vendor - Contract]],$H109,CostTrack[[Holdback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09" s="504">
        <f ca="1">SUMIFS(CostTrack[[Value]:[Value]],CostTrack[[PA ID]:[PA ID]],$B109,CostTrack[[Vendor - Contract]:[Vendor - Contract]],$H109,CostTrack[[Holdback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09" s="504">
        <f ca="1">SUMIFS(CostTrack[[Value]:[Value]],CostTrack[[PA ID]:[PA ID]],$B109,CostTrack[[Vendor - Contract]:[Vendor - Contract]],$H109,CostTrack[[Holdback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09" s="504">
        <f ca="1">SUMIFS(CostTrack[[Value]:[Value]],CostTrack[[PA ID]:[PA ID]],$B109,CostTrack[[Vendor - Contract]:[Vendor - Contract]],$H109,CostTrack[[Holdback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09" s="504">
        <f ca="1">SUMIFS(CostTrack[[Value]:[Value]],CostTrack[[PA ID]:[PA ID]],$B109,CostTrack[[Vendor - Contract]:[Vendor - Contract]],$H109,CostTrack[[Holdback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09" s="512">
        <f t="shared" ca="1" si="252"/>
        <v>0</v>
      </c>
      <c r="AW109" s="504">
        <f ca="1">SUMIFS(CostTrack[[Value]:[Value]],CostTrack[[PA ID]:[PA ID]],$B109,CostTrack[[Vendor - Contract]:[Vendor - Contract]],$H109,CostTrack[[Holdback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09" s="504">
        <f ca="1">SUMIFS(CostTrack[[Value]:[Value]],CostTrack[[PA ID]:[PA ID]],$B109,CostTrack[[Vendor - Contract]:[Vendor - Contract]],$H109,CostTrack[[Holdback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09" s="504">
        <f ca="1">SUMIFS(CostTrack[[Value]:[Value]],CostTrack[[PA ID]:[PA ID]],$B109,CostTrack[[Vendor - Contract]:[Vendor - Contract]],$H109,CostTrack[[Holdback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09" s="504">
        <f ca="1">SUMIFS(CostTrack[[Value]:[Value]],CostTrack[[PA ID]:[PA ID]],$B109,CostTrack[[Vendor - Contract]:[Vendor - Contract]],$H109,CostTrack[[Holdback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09" s="504">
        <f ca="1">SUMIFS(CostTrack[[Value]:[Value]],CostTrack[[PA ID]:[PA ID]],$B109,CostTrack[[Vendor - Contract]:[Vendor - Contract]],$H109,CostTrack[[Holdback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09" s="504">
        <f ca="1">SUMIFS(CostTrack[[Value]:[Value]],CostTrack[[PA ID]:[PA ID]],$B109,CostTrack[[Vendor - Contract]:[Vendor - Contract]],$H109,CostTrack[[Holdback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09" s="504">
        <f ca="1">SUMIFS(CostTrack[[Value]:[Value]],CostTrack[[PA ID]:[PA ID]],$B109,CostTrack[[Vendor - Contract]:[Vendor - Contract]],$H109,CostTrack[[Holdback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09" s="504">
        <f ca="1">SUMIFS(CostTrack[[Value]:[Value]],CostTrack[[PA ID]:[PA ID]],$B109,CostTrack[[Vendor - Contract]:[Vendor - Contract]],$H109,CostTrack[[Holdback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09" s="504">
        <f ca="1">SUMIFS(CostTrack[[Value]:[Value]],CostTrack[[PA ID]:[PA ID]],$B109,CostTrack[[Vendor - Contract]:[Vendor - Contract]],$H109,CostTrack[[Holdback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09" s="504">
        <f ca="1">SUMIFS(CostTrack[[Value]:[Value]],CostTrack[[PA ID]:[PA ID]],$B109,CostTrack[[Vendor - Contract]:[Vendor - Contract]],$H109,CostTrack[[Holdback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09" s="504">
        <f ca="1">SUMIFS(CostTrack[[Value]:[Value]],CostTrack[[PA ID]:[PA ID]],$B109,CostTrack[[Vendor - Contract]:[Vendor - Contract]],$H109,CostTrack[[Holdback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09" s="504">
        <f ca="1">SUMIFS(CostTrack[[Value]:[Value]],CostTrack[[PA ID]:[PA ID]],$B109,CostTrack[[Vendor - Contract]:[Vendor - Contract]],$H109,CostTrack[[Holdback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09" s="512">
        <f t="shared" ref="BI109:BI139" ca="1" si="268">SUM(AW109:BH109)</f>
        <v>0</v>
      </c>
      <c r="BK109" s="504">
        <f ca="1">SUMIFS(CostTrack[[Value]:[Value]],CostTrack[[PA ID]:[PA ID]],$B109,CostTrack[[Vendor - Contract]:[Vendor - Contract]],$H109,CostTrack[[Holdback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09" s="504">
        <f ca="1">SUMIFS(CostTrack[[Value]:[Value]],CostTrack[[PA ID]:[PA ID]],$B109,CostTrack[[Vendor - Contract]:[Vendor - Contract]],$H109,CostTrack[[Holdback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09" s="504">
        <f ca="1">SUMIFS(CostTrack[[Value]:[Value]],CostTrack[[PA ID]:[PA ID]],$B109,CostTrack[[Vendor - Contract]:[Vendor - Contract]],$H109,CostTrack[[Holdback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09" s="504">
        <f ca="1">SUMIFS(CostTrack[[Value]:[Value]],CostTrack[[PA ID]:[PA ID]],$B109,CostTrack[[Vendor - Contract]:[Vendor - Contract]],$H109,CostTrack[[Holdback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09" s="504">
        <f ca="1">SUMIFS(CostTrack[[Value]:[Value]],CostTrack[[PA ID]:[PA ID]],$B109,CostTrack[[Vendor - Contract]:[Vendor - Contract]],$H109,CostTrack[[Holdback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09" s="504">
        <f ca="1">SUMIFS(CostTrack[[Value]:[Value]],CostTrack[[PA ID]:[PA ID]],$B109,CostTrack[[Vendor - Contract]:[Vendor - Contract]],$H109,CostTrack[[Holdback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09" s="504">
        <f ca="1">SUMIFS(CostTrack[[Value]:[Value]],CostTrack[[PA ID]:[PA ID]],$B109,CostTrack[[Vendor - Contract]:[Vendor - Contract]],$H109,CostTrack[[Holdback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09" s="504">
        <f ca="1">SUMIFS(CostTrack[[Value]:[Value]],CostTrack[[PA ID]:[PA ID]],$B109,CostTrack[[Vendor - Contract]:[Vendor - Contract]],$H109,CostTrack[[Holdback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09" s="504">
        <f ca="1">SUMIFS(CostTrack[[Value]:[Value]],CostTrack[[PA ID]:[PA ID]],$B109,CostTrack[[Vendor - Contract]:[Vendor - Contract]],$H109,CostTrack[[Holdback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09" s="504">
        <f ca="1">SUMIFS(CostTrack[[Value]:[Value]],CostTrack[[PA ID]:[PA ID]],$B109,CostTrack[[Vendor - Contract]:[Vendor - Contract]],$H109,CostTrack[[Holdback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09" s="504">
        <f ca="1">SUMIFS(CostTrack[[Value]:[Value]],CostTrack[[PA ID]:[PA ID]],$B109,CostTrack[[Vendor - Contract]:[Vendor - Contract]],$H109,CostTrack[[Holdback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09" s="504">
        <f ca="1">SUMIFS(CostTrack[[Value]:[Value]],CostTrack[[PA ID]:[PA ID]],$B109,CostTrack[[Vendor - Contract]:[Vendor - Contract]],$H109,CostTrack[[Holdback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09" s="512">
        <f t="shared" ref="BW109:BW139" ca="1" si="269">SUM(BK109:BV109)</f>
        <v>0</v>
      </c>
      <c r="BY109" s="504">
        <f ca="1">SUMIFS(CostTrack[[Value]:[Value]],CostTrack[[PA ID]:[PA ID]],$B109,CostTrack[[Vendor - Contract]:[Vendor - Contract]],$H109,CostTrack[[Holdback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09" s="504">
        <f ca="1">SUMIFS(CostTrack[[Value]:[Value]],CostTrack[[PA ID]:[PA ID]],$B109,CostTrack[[Vendor - Contract]:[Vendor - Contract]],$H109,CostTrack[[Holdback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09" s="504">
        <f ca="1">SUMIFS(CostTrack[[Value]:[Value]],CostTrack[[PA ID]:[PA ID]],$B109,CostTrack[[Vendor - Contract]:[Vendor - Contract]],$H109,CostTrack[[Holdback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09" s="504">
        <f ca="1">SUMIFS(CostTrack[[Value]:[Value]],CostTrack[[PA ID]:[PA ID]],$B109,CostTrack[[Vendor - Contract]:[Vendor - Contract]],$H109,CostTrack[[Holdback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09" s="504">
        <f ca="1">SUMIFS(CostTrack[[Value]:[Value]],CostTrack[[PA ID]:[PA ID]],$B109,CostTrack[[Vendor - Contract]:[Vendor - Contract]],$H109,CostTrack[[Holdback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09" s="504">
        <f ca="1">SUMIFS(CostTrack[[Value]:[Value]],CostTrack[[PA ID]:[PA ID]],$B109,CostTrack[[Vendor - Contract]:[Vendor - Contract]],$H109,CostTrack[[Holdback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09" s="504">
        <f ca="1">SUMIFS(CostTrack[[Value]:[Value]],CostTrack[[PA ID]:[PA ID]],$B109,CostTrack[[Vendor - Contract]:[Vendor - Contract]],$H109,CostTrack[[Holdback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09" s="504">
        <f ca="1">SUMIFS(CostTrack[[Value]:[Value]],CostTrack[[PA ID]:[PA ID]],$B109,CostTrack[[Vendor - Contract]:[Vendor - Contract]],$H109,CostTrack[[Holdback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09" s="504">
        <f ca="1">SUMIFS(CostTrack[[Value]:[Value]],CostTrack[[PA ID]:[PA ID]],$B109,CostTrack[[Vendor - Contract]:[Vendor - Contract]],$H109,CostTrack[[Holdback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09" s="504">
        <f ca="1">SUMIFS(CostTrack[[Value]:[Value]],CostTrack[[PA ID]:[PA ID]],$B109,CostTrack[[Vendor - Contract]:[Vendor - Contract]],$H109,CostTrack[[Holdback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09" s="504">
        <f ca="1">SUMIFS(CostTrack[[Value]:[Value]],CostTrack[[PA ID]:[PA ID]],$B109,CostTrack[[Vendor - Contract]:[Vendor - Contract]],$H109,CostTrack[[Holdback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09" s="504">
        <f ca="1">SUMIFS(CostTrack[[Value]:[Value]],CostTrack[[PA ID]:[PA ID]],$B109,CostTrack[[Vendor - Contract]:[Vendor - Contract]],$H109,CostTrack[[Holdback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09" s="512">
        <f t="shared" ca="1" si="255"/>
        <v>0</v>
      </c>
      <c r="CM109" s="504">
        <f ca="1">SUMIFS(CostTrack[[Value]:[Value]],CostTrack[[PA ID]:[PA ID]],$B109,CostTrack[[Vendor - Contract]:[Vendor - Contract]],$H109,CostTrack[[Holdback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09" s="504">
        <f ca="1">SUMIFS(CostTrack[[Value]:[Value]],CostTrack[[PA ID]:[PA ID]],$B109,CostTrack[[Vendor - Contract]:[Vendor - Contract]],$H109,CostTrack[[Holdback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09" s="504">
        <f ca="1">SUMIFS(CostTrack[[Value]:[Value]],CostTrack[[PA ID]:[PA ID]],$B109,CostTrack[[Vendor - Contract]:[Vendor - Contract]],$H109,CostTrack[[Holdback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09" s="504">
        <f ca="1">SUMIFS(CostTrack[[Value]:[Value]],CostTrack[[PA ID]:[PA ID]],$B109,CostTrack[[Vendor - Contract]:[Vendor - Contract]],$H109,CostTrack[[Holdback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09" s="504">
        <f ca="1">SUMIFS(CostTrack[[Value]:[Value]],CostTrack[[PA ID]:[PA ID]],$B109,CostTrack[[Vendor - Contract]:[Vendor - Contract]],$H109,CostTrack[[Holdback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09" s="504">
        <f ca="1">SUMIFS(CostTrack[[Value]:[Value]],CostTrack[[PA ID]:[PA ID]],$B109,CostTrack[[Vendor - Contract]:[Vendor - Contract]],$H109,CostTrack[[Holdback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09" s="504">
        <f ca="1">SUMIFS(CostTrack[[Value]:[Value]],CostTrack[[PA ID]:[PA ID]],$B109,CostTrack[[Vendor - Contract]:[Vendor - Contract]],$H109,CostTrack[[Holdback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09" s="504">
        <f ca="1">SUMIFS(CostTrack[[Value]:[Value]],CostTrack[[PA ID]:[PA ID]],$B109,CostTrack[[Vendor - Contract]:[Vendor - Contract]],$H109,CostTrack[[Holdback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09" s="504">
        <f ca="1">SUMIFS(CostTrack[[Value]:[Value]],CostTrack[[PA ID]:[PA ID]],$B109,CostTrack[[Vendor - Contract]:[Vendor - Contract]],$H109,CostTrack[[Holdback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09" s="504">
        <f ca="1">SUMIFS(CostTrack[[Value]:[Value]],CostTrack[[PA ID]:[PA ID]],$B109,CostTrack[[Vendor - Contract]:[Vendor - Contract]],$H109,CostTrack[[Holdback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09" s="504">
        <f ca="1">SUMIFS(CostTrack[[Value]:[Value]],CostTrack[[PA ID]:[PA ID]],$B109,CostTrack[[Vendor - Contract]:[Vendor - Contract]],$H109,CostTrack[[Holdback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09" s="504">
        <f ca="1">SUMIFS(CostTrack[[Value]:[Value]],CostTrack[[PA ID]:[PA ID]],$B109,CostTrack[[Vendor - Contract]:[Vendor - Contract]],$H109,CostTrack[[Holdback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09" s="512">
        <f t="shared" ca="1" si="256"/>
        <v>0</v>
      </c>
      <c r="DA109" s="504">
        <f ca="1">SUMIFS(CostTrack[[Value]:[Value]],CostTrack[[PA ID]:[PA ID]],$B109,CostTrack[[Vendor - Contract]:[Vendor - Contract]],$H109,CostTrack[[Holdback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09" s="504">
        <f ca="1">SUMIFS(CostTrack[[Value]:[Value]],CostTrack[[PA ID]:[PA ID]],$B109,CostTrack[[Vendor - Contract]:[Vendor - Contract]],$H109,CostTrack[[Holdback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09" s="504">
        <f ca="1">SUMIFS(CostTrack[[Value]:[Value]],CostTrack[[PA ID]:[PA ID]],$B109,CostTrack[[Vendor - Contract]:[Vendor - Contract]],$H109,CostTrack[[Holdback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09" s="504">
        <f ca="1">SUMIFS(CostTrack[[Value]:[Value]],CostTrack[[PA ID]:[PA ID]],$B109,CostTrack[[Vendor - Contract]:[Vendor - Contract]],$H109,CostTrack[[Holdback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09" s="504">
        <f ca="1">SUMIFS(CostTrack[[Value]:[Value]],CostTrack[[PA ID]:[PA ID]],$B109,CostTrack[[Vendor - Contract]:[Vendor - Contract]],$H109,CostTrack[[Holdback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09" s="504">
        <f ca="1">SUMIFS(CostTrack[[Value]:[Value]],CostTrack[[PA ID]:[PA ID]],$B109,CostTrack[[Vendor - Contract]:[Vendor - Contract]],$H109,CostTrack[[Holdback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09" s="504">
        <f ca="1">SUMIFS(CostTrack[[Value]:[Value]],CostTrack[[PA ID]:[PA ID]],$B109,CostTrack[[Vendor - Contract]:[Vendor - Contract]],$H109,CostTrack[[Holdback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09" s="504">
        <f ca="1">SUMIFS(CostTrack[[Value]:[Value]],CostTrack[[PA ID]:[PA ID]],$B109,CostTrack[[Vendor - Contract]:[Vendor - Contract]],$H109,CostTrack[[Holdback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09" s="504">
        <f ca="1">SUMIFS(CostTrack[[Value]:[Value]],CostTrack[[PA ID]:[PA ID]],$B109,CostTrack[[Vendor - Contract]:[Vendor - Contract]],$H109,CostTrack[[Holdback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09" s="504">
        <f ca="1">SUMIFS(CostTrack[[Value]:[Value]],CostTrack[[PA ID]:[PA ID]],$B109,CostTrack[[Vendor - Contract]:[Vendor - Contract]],$H109,CostTrack[[Holdback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09" s="504">
        <f ca="1">SUMIFS(CostTrack[[Value]:[Value]],CostTrack[[PA ID]:[PA ID]],$B109,CostTrack[[Vendor - Contract]:[Vendor - Contract]],$H109,CostTrack[[Holdback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09" s="504">
        <f ca="1">SUMIFS(CostTrack[[Value]:[Value]],CostTrack[[PA ID]:[PA ID]],$B109,CostTrack[[Vendor - Contract]:[Vendor - Contract]],$H109,CostTrack[[Holdback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09" s="512">
        <f t="shared" ca="1" si="257"/>
        <v>0</v>
      </c>
      <c r="DO109" s="504">
        <f ca="1">SUMIFS(CostTrack[[Value]:[Value]],CostTrack[[PA ID]:[PA ID]],$B109,CostTrack[[Vendor - Contract]:[Vendor - Contract]],$H109,CostTrack[[Holdback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1025</v>
      </c>
      <c r="DP109" s="504">
        <f ca="1">SUMIFS(CostTrack[[Value]:[Value]],CostTrack[[PA ID]:[PA ID]],$B109,CostTrack[[Vendor - Contract]:[Vendor - Contract]],$H109,CostTrack[[Holdback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09" s="504">
        <f ca="1">SUMIFS(CostTrack[[Value]:[Value]],CostTrack[[PA ID]:[PA ID]],$B109,CostTrack[[Vendor - Contract]:[Vendor - Contract]],$H109,CostTrack[[Holdback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09" s="504">
        <f ca="1">SUMIFS(CostTrack[[Value]:[Value]],CostTrack[[PA ID]:[PA ID]],$B109,CostTrack[[Vendor - Contract]:[Vendor - Contract]],$H109,CostTrack[[Holdback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09" s="504">
        <f ca="1">SUMIFS(CostTrack[[Value]:[Value]],CostTrack[[PA ID]:[PA ID]],$B109,CostTrack[[Vendor - Contract]:[Vendor - Contract]],$H109,CostTrack[[Holdback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09" s="504">
        <f ca="1">SUMIFS(CostTrack[[Value]:[Value]],CostTrack[[PA ID]:[PA ID]],$B109,CostTrack[[Vendor - Contract]:[Vendor - Contract]],$H109,CostTrack[[Holdback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09" s="504">
        <f ca="1">SUMIFS(CostTrack[[Value]:[Value]],CostTrack[[PA ID]:[PA ID]],$B109,CostTrack[[Vendor - Contract]:[Vendor - Contract]],$H109,CostTrack[[Holdback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09" s="504">
        <f ca="1">SUMIFS(CostTrack[[Value]:[Value]],CostTrack[[PA ID]:[PA ID]],$B109,CostTrack[[Vendor - Contract]:[Vendor - Contract]],$H109,CostTrack[[Holdback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09" s="504">
        <f ca="1">SUMIFS(CostTrack[[Value]:[Value]],CostTrack[[PA ID]:[PA ID]],$B109,CostTrack[[Vendor - Contract]:[Vendor - Contract]],$H109,CostTrack[[Holdback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09" s="504">
        <f ca="1">SUMIFS(CostTrack[[Value]:[Value]],CostTrack[[PA ID]:[PA ID]],$B109,CostTrack[[Vendor - Contract]:[Vendor - Contract]],$H109,CostTrack[[Holdback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09" s="504">
        <f ca="1">SUMIFS(CostTrack[[Value]:[Value]],CostTrack[[PA ID]:[PA ID]],$B109,CostTrack[[Vendor - Contract]:[Vendor - Contract]],$H109,CostTrack[[Holdback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09" s="504">
        <f ca="1">SUMIFS(CostTrack[[Value]:[Value]],CostTrack[[PA ID]:[PA ID]],$B109,CostTrack[[Vendor - Contract]:[Vendor - Contract]],$H109,CostTrack[[Holdback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09" s="512">
        <f t="shared" ref="EA109:EA139" ca="1" si="270">SUM(DO109:DZ109)</f>
        <v>1025</v>
      </c>
      <c r="EC109" s="504">
        <f ca="1">SUMIFS(CostTrack[[Value]:[Value]],CostTrack[[PA ID]:[PA ID]],$B109,CostTrack[[Vendor - Contract]:[Vendor - Contract]],$H109,CostTrack[[Holdback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09" s="505"/>
      <c r="EE109" s="505"/>
      <c r="EF109" s="505"/>
      <c r="EG109" s="505"/>
      <c r="EH109" s="505"/>
      <c r="EI109" s="505"/>
      <c r="EJ109" s="505"/>
      <c r="EK109" s="505"/>
      <c r="EL109" s="505"/>
      <c r="EM109" s="505"/>
      <c r="EN109" s="505"/>
      <c r="EO109" s="512">
        <f t="shared" ref="EO109:EO139" ca="1" si="271">SUM(EC109:EN109)</f>
        <v>0</v>
      </c>
      <c r="EQ109" s="505"/>
      <c r="ER109" s="505"/>
      <c r="ES109" s="505"/>
      <c r="ET109" s="505"/>
      <c r="EU109" s="505"/>
      <c r="EV109" s="505"/>
      <c r="EW109" s="505"/>
      <c r="EX109" s="505"/>
      <c r="EY109" s="505"/>
      <c r="EZ109" s="505"/>
      <c r="FA109" s="505"/>
      <c r="FB109" s="505"/>
      <c r="FC109" s="512">
        <f t="shared" ref="FC109:FC139" si="272">SUM(EQ109:FB109)</f>
        <v>0</v>
      </c>
      <c r="FE109" s="505"/>
      <c r="FF109" s="505"/>
      <c r="FG109" s="505"/>
      <c r="FH109" s="505"/>
      <c r="FI109" s="505"/>
      <c r="FJ109" s="505"/>
      <c r="FK109" s="505"/>
      <c r="FL109" s="505"/>
      <c r="FM109" s="505"/>
      <c r="FN109" s="505"/>
      <c r="FO109" s="505"/>
      <c r="FP109" s="505"/>
      <c r="FQ109" s="512">
        <f t="shared" ref="FQ109:FQ139" si="273">SUM(FE109:FP109)</f>
        <v>0</v>
      </c>
      <c r="FS109" s="504">
        <f t="shared" ref="FS109:FS139" ca="1" si="274">AG109+AU109+BI109+BW109+CK109+CY109+DM109+EA109+EO109+FC109+FQ109</f>
        <v>1025</v>
      </c>
    </row>
    <row r="110" spans="1:175">
      <c r="A110" s="216">
        <v>103</v>
      </c>
      <c r="B110" s="219" t="str">
        <f ca="1">INDEX(EAC[PA ID],MATCH($A110,EAC[Row],0))</f>
        <v>400.010.F1</v>
      </c>
      <c r="C110" s="218" t="str">
        <f ca="1">INDEX(EAC[Primary Category],MATCH($A110,EAC[Row],0))</f>
        <v>FE_IT</v>
      </c>
      <c r="D110" s="218" t="str">
        <f ca="1">INDEX(EAC[Secondary Category],MATCH($A110,EAC[Row],0))</f>
        <v>Furniture &amp; Equipment</v>
      </c>
      <c r="E110" s="109" t="str">
        <f ca="1">INDEX(EAC[Phase / Subproject],MATCH($A110,EAC[Row],0))</f>
        <v>--</v>
      </c>
      <c r="F110" s="109" t="str">
        <f ca="1">INDEX(EAC[Phase / Subproject 2],MATCH($A110,EAC[Row],0))</f>
        <v>--</v>
      </c>
      <c r="G110" s="109" t="str">
        <f ca="1">INDEX(EAC[Funding Source],MATCH($A110,EAC[Row],0))</f>
        <v>P-002360</v>
      </c>
      <c r="H110" s="146" t="str">
        <f ca="1">INDEX(EAC[Vendor / Org. with Contract ID],MATCH($A110,EAC[Row],0))</f>
        <v>Looker-office furniture- lounge &amp; occasional tables- Storage-Direct Pay</v>
      </c>
      <c r="I110" s="502">
        <f ca="1">INDEX(EAC[Estimate At Completion],MATCH($A110,EAC[Row],0))</f>
        <v>570</v>
      </c>
      <c r="J110" s="502">
        <f ca="1">SUMIFS(CostTrack[Value],CostTrack[Vendor - Contract],$H110,CostTrack[PA ID],$B110,CostTrack[Holdback (Y/N/R)],"&lt;&gt;Release",CostTrack[Status],"Approved")</f>
        <v>570</v>
      </c>
      <c r="K110" s="503">
        <f t="shared" ca="1" si="263"/>
        <v>0</v>
      </c>
      <c r="M110" s="504">
        <f t="shared" ca="1" si="264"/>
        <v>0</v>
      </c>
      <c r="O110" s="504">
        <f t="shared" ref="O110:O139" ca="1" si="275">SUMIF($U$6:$FQ$6,"Previous Fiscal",AG110:FQ110)</f>
        <v>570</v>
      </c>
      <c r="P110" s="504">
        <f t="array" aca="1" ref="P110" ca="1">SUM($U110:$FQ110*_xlfn.ISFORMULA($U110:$FQ110)*ISNUMBER($U$7:$FQ$7)*--(INDEX($U$6:$FQ$6,N(IF({1},COLUMN($U$6:$FQ$6)-COLUMN($T$6)))-MOD(N(IF({1},COLUMN($U$6:$FQ$6)-COLUMN($U$6))),14))="Current Fiscal"))</f>
        <v>0</v>
      </c>
      <c r="Q110" s="504">
        <f t="array" aca="1" ref="Q110" ca="1">SUM($U110:$FQ110*NOT(_xlfn.ISFORMULA($U110:$FQ110))*ISNUMBER($U$7:$FQ$7)*--(INDEX($U$6:$FQ$6,N(IF({1},COLUMN($U$6:$FQ$6)-COLUMN($T$6)))-MOD(N(IF({1},COLUMN($U$6:$FQ$6)-COLUMN($U$6))),14))="Current Fiscal"))</f>
        <v>0</v>
      </c>
      <c r="R110" s="504">
        <f t="shared" ref="R110:R139" ca="1" si="276">SUMIF($U$6:$FQ$6,"Current Fiscal",AG110:FQ110)</f>
        <v>0</v>
      </c>
      <c r="S110" s="504">
        <f t="shared" ref="S110:S139" ca="1" si="277">SUMIF($U$6:$FQ$6,"Future Fiscal",AG110:FQ110)</f>
        <v>0</v>
      </c>
      <c r="U110" s="504">
        <f ca="1">SUMIFS(CostTrack[[Value]:[Value]],CostTrack[[PA ID]:[PA ID]],$B110,CostTrack[[Vendor - Contract]:[Vendor - Contract]],$H110,CostTrack[[Holdback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10" s="504">
        <f ca="1">SUMIFS(CostTrack[[Value]:[Value]],CostTrack[[PA ID]:[PA ID]],$B110,CostTrack[[Vendor - Contract]:[Vendor - Contract]],$H110,CostTrack[[Holdback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10" s="504">
        <f ca="1">SUMIFS(CostTrack[[Value]:[Value]],CostTrack[[PA ID]:[PA ID]],$B110,CostTrack[[Vendor - Contract]:[Vendor - Contract]],$H110,CostTrack[[Holdback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10" s="504">
        <f ca="1">SUMIFS(CostTrack[[Value]:[Value]],CostTrack[[PA ID]:[PA ID]],$B110,CostTrack[[Vendor - Contract]:[Vendor - Contract]],$H110,CostTrack[[Holdback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10" s="504">
        <f ca="1">SUMIFS(CostTrack[[Value]:[Value]],CostTrack[[PA ID]:[PA ID]],$B110,CostTrack[[Vendor - Contract]:[Vendor - Contract]],$H110,CostTrack[[Holdback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10" s="504">
        <f ca="1">SUMIFS(CostTrack[[Value]:[Value]],CostTrack[[PA ID]:[PA ID]],$B110,CostTrack[[Vendor - Contract]:[Vendor - Contract]],$H110,CostTrack[[Holdback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10" s="504">
        <f ca="1">SUMIFS(CostTrack[[Value]:[Value]],CostTrack[[PA ID]:[PA ID]],$B110,CostTrack[[Vendor - Contract]:[Vendor - Contract]],$H110,CostTrack[[Holdback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10" s="504">
        <f ca="1">SUMIFS(CostTrack[[Value]:[Value]],CostTrack[[PA ID]:[PA ID]],$B110,CostTrack[[Vendor - Contract]:[Vendor - Contract]],$H110,CostTrack[[Holdback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10" s="504">
        <f ca="1">SUMIFS(CostTrack[[Value]:[Value]],CostTrack[[PA ID]:[PA ID]],$B110,CostTrack[[Vendor - Contract]:[Vendor - Contract]],$H110,CostTrack[[Holdback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10" s="504">
        <f ca="1">SUMIFS(CostTrack[[Value]:[Value]],CostTrack[[PA ID]:[PA ID]],$B110,CostTrack[[Vendor - Contract]:[Vendor - Contract]],$H110,CostTrack[[Holdback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10" s="504">
        <f ca="1">SUMIFS(CostTrack[[Value]:[Value]],CostTrack[[PA ID]:[PA ID]],$B110,CostTrack[[Vendor - Contract]:[Vendor - Contract]],$H110,CostTrack[[Holdback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10" s="504">
        <f ca="1">SUMIFS(CostTrack[[Value]:[Value]],CostTrack[[PA ID]:[PA ID]],$B110,CostTrack[[Vendor - Contract]:[Vendor - Contract]],$H110,CostTrack[[Holdback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10" s="506">
        <f t="shared" ca="1" si="235"/>
        <v>0</v>
      </c>
      <c r="AI110" s="504">
        <f ca="1">SUMIFS(CostTrack[[Value]:[Value]],CostTrack[[PA ID]:[PA ID]],$B110,CostTrack[[Vendor - Contract]:[Vendor - Contract]],$H110,CostTrack[[Holdback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10" s="504">
        <f ca="1">SUMIFS(CostTrack[[Value]:[Value]],CostTrack[[PA ID]:[PA ID]],$B110,CostTrack[[Vendor - Contract]:[Vendor - Contract]],$H110,CostTrack[[Holdback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10" s="504">
        <f ca="1">SUMIFS(CostTrack[[Value]:[Value]],CostTrack[[PA ID]:[PA ID]],$B110,CostTrack[[Vendor - Contract]:[Vendor - Contract]],$H110,CostTrack[[Holdback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10" s="504">
        <f ca="1">SUMIFS(CostTrack[[Value]:[Value]],CostTrack[[PA ID]:[PA ID]],$B110,CostTrack[[Vendor - Contract]:[Vendor - Contract]],$H110,CostTrack[[Holdback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10" s="504">
        <f ca="1">SUMIFS(CostTrack[[Value]:[Value]],CostTrack[[PA ID]:[PA ID]],$B110,CostTrack[[Vendor - Contract]:[Vendor - Contract]],$H110,CostTrack[[Holdback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10" s="504">
        <f ca="1">SUMIFS(CostTrack[[Value]:[Value]],CostTrack[[PA ID]:[PA ID]],$B110,CostTrack[[Vendor - Contract]:[Vendor - Contract]],$H110,CostTrack[[Holdback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10" s="504">
        <f ca="1">SUMIFS(CostTrack[[Value]:[Value]],CostTrack[[PA ID]:[PA ID]],$B110,CostTrack[[Vendor - Contract]:[Vendor - Contract]],$H110,CostTrack[[Holdback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10" s="504">
        <f ca="1">SUMIFS(CostTrack[[Value]:[Value]],CostTrack[[PA ID]:[PA ID]],$B110,CostTrack[[Vendor - Contract]:[Vendor - Contract]],$H110,CostTrack[[Holdback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10" s="504">
        <f ca="1">SUMIFS(CostTrack[[Value]:[Value]],CostTrack[[PA ID]:[PA ID]],$B110,CostTrack[[Vendor - Contract]:[Vendor - Contract]],$H110,CostTrack[[Holdback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10" s="504">
        <f ca="1">SUMIFS(CostTrack[[Value]:[Value]],CostTrack[[PA ID]:[PA ID]],$B110,CostTrack[[Vendor - Contract]:[Vendor - Contract]],$H110,CostTrack[[Holdback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10" s="504">
        <f ca="1">SUMIFS(CostTrack[[Value]:[Value]],CostTrack[[PA ID]:[PA ID]],$B110,CostTrack[[Vendor - Contract]:[Vendor - Contract]],$H110,CostTrack[[Holdback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10" s="504">
        <f ca="1">SUMIFS(CostTrack[[Value]:[Value]],CostTrack[[PA ID]:[PA ID]],$B110,CostTrack[[Vendor - Contract]:[Vendor - Contract]],$H110,CostTrack[[Holdback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10" s="512">
        <f t="shared" ca="1" si="252"/>
        <v>0</v>
      </c>
      <c r="AW110" s="504">
        <f ca="1">SUMIFS(CostTrack[[Value]:[Value]],CostTrack[[PA ID]:[PA ID]],$B110,CostTrack[[Vendor - Contract]:[Vendor - Contract]],$H110,CostTrack[[Holdback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10" s="504">
        <f ca="1">SUMIFS(CostTrack[[Value]:[Value]],CostTrack[[PA ID]:[PA ID]],$B110,CostTrack[[Vendor - Contract]:[Vendor - Contract]],$H110,CostTrack[[Holdback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10" s="504">
        <f ca="1">SUMIFS(CostTrack[[Value]:[Value]],CostTrack[[PA ID]:[PA ID]],$B110,CostTrack[[Vendor - Contract]:[Vendor - Contract]],$H110,CostTrack[[Holdback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10" s="504">
        <f ca="1">SUMIFS(CostTrack[[Value]:[Value]],CostTrack[[PA ID]:[PA ID]],$B110,CostTrack[[Vendor - Contract]:[Vendor - Contract]],$H110,CostTrack[[Holdback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10" s="504">
        <f ca="1">SUMIFS(CostTrack[[Value]:[Value]],CostTrack[[PA ID]:[PA ID]],$B110,CostTrack[[Vendor - Contract]:[Vendor - Contract]],$H110,CostTrack[[Holdback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10" s="504">
        <f ca="1">SUMIFS(CostTrack[[Value]:[Value]],CostTrack[[PA ID]:[PA ID]],$B110,CostTrack[[Vendor - Contract]:[Vendor - Contract]],$H110,CostTrack[[Holdback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10" s="504">
        <f ca="1">SUMIFS(CostTrack[[Value]:[Value]],CostTrack[[PA ID]:[PA ID]],$B110,CostTrack[[Vendor - Contract]:[Vendor - Contract]],$H110,CostTrack[[Holdback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10" s="504">
        <f ca="1">SUMIFS(CostTrack[[Value]:[Value]],CostTrack[[PA ID]:[PA ID]],$B110,CostTrack[[Vendor - Contract]:[Vendor - Contract]],$H110,CostTrack[[Holdback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10" s="504">
        <f ca="1">SUMIFS(CostTrack[[Value]:[Value]],CostTrack[[PA ID]:[PA ID]],$B110,CostTrack[[Vendor - Contract]:[Vendor - Contract]],$H110,CostTrack[[Holdback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10" s="504">
        <f ca="1">SUMIFS(CostTrack[[Value]:[Value]],CostTrack[[PA ID]:[PA ID]],$B110,CostTrack[[Vendor - Contract]:[Vendor - Contract]],$H110,CostTrack[[Holdback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10" s="504">
        <f ca="1">SUMIFS(CostTrack[[Value]:[Value]],CostTrack[[PA ID]:[PA ID]],$B110,CostTrack[[Vendor - Contract]:[Vendor - Contract]],$H110,CostTrack[[Holdback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10" s="504">
        <f ca="1">SUMIFS(CostTrack[[Value]:[Value]],CostTrack[[PA ID]:[PA ID]],$B110,CostTrack[[Vendor - Contract]:[Vendor - Contract]],$H110,CostTrack[[Holdback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10" s="512">
        <f t="shared" ca="1" si="268"/>
        <v>0</v>
      </c>
      <c r="BK110" s="504">
        <f ca="1">SUMIFS(CostTrack[[Value]:[Value]],CostTrack[[PA ID]:[PA ID]],$B110,CostTrack[[Vendor - Contract]:[Vendor - Contract]],$H110,CostTrack[[Holdback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10" s="504">
        <f ca="1">SUMIFS(CostTrack[[Value]:[Value]],CostTrack[[PA ID]:[PA ID]],$B110,CostTrack[[Vendor - Contract]:[Vendor - Contract]],$H110,CostTrack[[Holdback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10" s="504">
        <f ca="1">SUMIFS(CostTrack[[Value]:[Value]],CostTrack[[PA ID]:[PA ID]],$B110,CostTrack[[Vendor - Contract]:[Vendor - Contract]],$H110,CostTrack[[Holdback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10" s="504">
        <f ca="1">SUMIFS(CostTrack[[Value]:[Value]],CostTrack[[PA ID]:[PA ID]],$B110,CostTrack[[Vendor - Contract]:[Vendor - Contract]],$H110,CostTrack[[Holdback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10" s="504">
        <f ca="1">SUMIFS(CostTrack[[Value]:[Value]],CostTrack[[PA ID]:[PA ID]],$B110,CostTrack[[Vendor - Contract]:[Vendor - Contract]],$H110,CostTrack[[Holdback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10" s="504">
        <f ca="1">SUMIFS(CostTrack[[Value]:[Value]],CostTrack[[PA ID]:[PA ID]],$B110,CostTrack[[Vendor - Contract]:[Vendor - Contract]],$H110,CostTrack[[Holdback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10" s="504">
        <f ca="1">SUMIFS(CostTrack[[Value]:[Value]],CostTrack[[PA ID]:[PA ID]],$B110,CostTrack[[Vendor - Contract]:[Vendor - Contract]],$H110,CostTrack[[Holdback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10" s="504">
        <f ca="1">SUMIFS(CostTrack[[Value]:[Value]],CostTrack[[PA ID]:[PA ID]],$B110,CostTrack[[Vendor - Contract]:[Vendor - Contract]],$H110,CostTrack[[Holdback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10" s="504">
        <f ca="1">SUMIFS(CostTrack[[Value]:[Value]],CostTrack[[PA ID]:[PA ID]],$B110,CostTrack[[Vendor - Contract]:[Vendor - Contract]],$H110,CostTrack[[Holdback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10" s="504">
        <f ca="1">SUMIFS(CostTrack[[Value]:[Value]],CostTrack[[PA ID]:[PA ID]],$B110,CostTrack[[Vendor - Contract]:[Vendor - Contract]],$H110,CostTrack[[Holdback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10" s="504">
        <f ca="1">SUMIFS(CostTrack[[Value]:[Value]],CostTrack[[PA ID]:[PA ID]],$B110,CostTrack[[Vendor - Contract]:[Vendor - Contract]],$H110,CostTrack[[Holdback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10" s="504">
        <f ca="1">SUMIFS(CostTrack[[Value]:[Value]],CostTrack[[PA ID]:[PA ID]],$B110,CostTrack[[Vendor - Contract]:[Vendor - Contract]],$H110,CostTrack[[Holdback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10" s="512">
        <f t="shared" ca="1" si="269"/>
        <v>0</v>
      </c>
      <c r="BY110" s="504">
        <f ca="1">SUMIFS(CostTrack[[Value]:[Value]],CostTrack[[PA ID]:[PA ID]],$B110,CostTrack[[Vendor - Contract]:[Vendor - Contract]],$H110,CostTrack[[Holdback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10" s="504">
        <f ca="1">SUMIFS(CostTrack[[Value]:[Value]],CostTrack[[PA ID]:[PA ID]],$B110,CostTrack[[Vendor - Contract]:[Vendor - Contract]],$H110,CostTrack[[Holdback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10" s="504">
        <f ca="1">SUMIFS(CostTrack[[Value]:[Value]],CostTrack[[PA ID]:[PA ID]],$B110,CostTrack[[Vendor - Contract]:[Vendor - Contract]],$H110,CostTrack[[Holdback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10" s="504">
        <f ca="1">SUMIFS(CostTrack[[Value]:[Value]],CostTrack[[PA ID]:[PA ID]],$B110,CostTrack[[Vendor - Contract]:[Vendor - Contract]],$H110,CostTrack[[Holdback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10" s="504">
        <f ca="1">SUMIFS(CostTrack[[Value]:[Value]],CostTrack[[PA ID]:[PA ID]],$B110,CostTrack[[Vendor - Contract]:[Vendor - Contract]],$H110,CostTrack[[Holdback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10" s="504">
        <f ca="1">SUMIFS(CostTrack[[Value]:[Value]],CostTrack[[PA ID]:[PA ID]],$B110,CostTrack[[Vendor - Contract]:[Vendor - Contract]],$H110,CostTrack[[Holdback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10" s="504">
        <f ca="1">SUMIFS(CostTrack[[Value]:[Value]],CostTrack[[PA ID]:[PA ID]],$B110,CostTrack[[Vendor - Contract]:[Vendor - Contract]],$H110,CostTrack[[Holdback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10" s="504">
        <f ca="1">SUMIFS(CostTrack[[Value]:[Value]],CostTrack[[PA ID]:[PA ID]],$B110,CostTrack[[Vendor - Contract]:[Vendor - Contract]],$H110,CostTrack[[Holdback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10" s="504">
        <f ca="1">SUMIFS(CostTrack[[Value]:[Value]],CostTrack[[PA ID]:[PA ID]],$B110,CostTrack[[Vendor - Contract]:[Vendor - Contract]],$H110,CostTrack[[Holdback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10" s="504">
        <f ca="1">SUMIFS(CostTrack[[Value]:[Value]],CostTrack[[PA ID]:[PA ID]],$B110,CostTrack[[Vendor - Contract]:[Vendor - Contract]],$H110,CostTrack[[Holdback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10" s="504">
        <f ca="1">SUMIFS(CostTrack[[Value]:[Value]],CostTrack[[PA ID]:[PA ID]],$B110,CostTrack[[Vendor - Contract]:[Vendor - Contract]],$H110,CostTrack[[Holdback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10" s="504">
        <f ca="1">SUMIFS(CostTrack[[Value]:[Value]],CostTrack[[PA ID]:[PA ID]],$B110,CostTrack[[Vendor - Contract]:[Vendor - Contract]],$H110,CostTrack[[Holdback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10" s="512">
        <f t="shared" ca="1" si="255"/>
        <v>0</v>
      </c>
      <c r="CM110" s="504">
        <f ca="1">SUMIFS(CostTrack[[Value]:[Value]],CostTrack[[PA ID]:[PA ID]],$B110,CostTrack[[Vendor - Contract]:[Vendor - Contract]],$H110,CostTrack[[Holdback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10" s="504">
        <f ca="1">SUMIFS(CostTrack[[Value]:[Value]],CostTrack[[PA ID]:[PA ID]],$B110,CostTrack[[Vendor - Contract]:[Vendor - Contract]],$H110,CostTrack[[Holdback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10" s="504">
        <f ca="1">SUMIFS(CostTrack[[Value]:[Value]],CostTrack[[PA ID]:[PA ID]],$B110,CostTrack[[Vendor - Contract]:[Vendor - Contract]],$H110,CostTrack[[Holdback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10" s="504">
        <f ca="1">SUMIFS(CostTrack[[Value]:[Value]],CostTrack[[PA ID]:[PA ID]],$B110,CostTrack[[Vendor - Contract]:[Vendor - Contract]],$H110,CostTrack[[Holdback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10" s="504">
        <f ca="1">SUMIFS(CostTrack[[Value]:[Value]],CostTrack[[PA ID]:[PA ID]],$B110,CostTrack[[Vendor - Contract]:[Vendor - Contract]],$H110,CostTrack[[Holdback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10" s="504">
        <f ca="1">SUMIFS(CostTrack[[Value]:[Value]],CostTrack[[PA ID]:[PA ID]],$B110,CostTrack[[Vendor - Contract]:[Vendor - Contract]],$H110,CostTrack[[Holdback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10" s="504">
        <f ca="1">SUMIFS(CostTrack[[Value]:[Value]],CostTrack[[PA ID]:[PA ID]],$B110,CostTrack[[Vendor - Contract]:[Vendor - Contract]],$H110,CostTrack[[Holdback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10" s="504">
        <f ca="1">SUMIFS(CostTrack[[Value]:[Value]],CostTrack[[PA ID]:[PA ID]],$B110,CostTrack[[Vendor - Contract]:[Vendor - Contract]],$H110,CostTrack[[Holdback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10" s="504">
        <f ca="1">SUMIFS(CostTrack[[Value]:[Value]],CostTrack[[PA ID]:[PA ID]],$B110,CostTrack[[Vendor - Contract]:[Vendor - Contract]],$H110,CostTrack[[Holdback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10" s="504">
        <f ca="1">SUMIFS(CostTrack[[Value]:[Value]],CostTrack[[PA ID]:[PA ID]],$B110,CostTrack[[Vendor - Contract]:[Vendor - Contract]],$H110,CostTrack[[Holdback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10" s="504">
        <f ca="1">SUMIFS(CostTrack[[Value]:[Value]],CostTrack[[PA ID]:[PA ID]],$B110,CostTrack[[Vendor - Contract]:[Vendor - Contract]],$H110,CostTrack[[Holdback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10" s="504">
        <f ca="1">SUMIFS(CostTrack[[Value]:[Value]],CostTrack[[PA ID]:[PA ID]],$B110,CostTrack[[Vendor - Contract]:[Vendor - Contract]],$H110,CostTrack[[Holdback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10" s="512">
        <f t="shared" ca="1" si="256"/>
        <v>0</v>
      </c>
      <c r="DA110" s="504">
        <f ca="1">SUMIFS(CostTrack[[Value]:[Value]],CostTrack[[PA ID]:[PA ID]],$B110,CostTrack[[Vendor - Contract]:[Vendor - Contract]],$H110,CostTrack[[Holdback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10" s="504">
        <f ca="1">SUMIFS(CostTrack[[Value]:[Value]],CostTrack[[PA ID]:[PA ID]],$B110,CostTrack[[Vendor - Contract]:[Vendor - Contract]],$H110,CostTrack[[Holdback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10" s="504">
        <f ca="1">SUMIFS(CostTrack[[Value]:[Value]],CostTrack[[PA ID]:[PA ID]],$B110,CostTrack[[Vendor - Contract]:[Vendor - Contract]],$H110,CostTrack[[Holdback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10" s="504">
        <f ca="1">SUMIFS(CostTrack[[Value]:[Value]],CostTrack[[PA ID]:[PA ID]],$B110,CostTrack[[Vendor - Contract]:[Vendor - Contract]],$H110,CostTrack[[Holdback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10" s="504">
        <f ca="1">SUMIFS(CostTrack[[Value]:[Value]],CostTrack[[PA ID]:[PA ID]],$B110,CostTrack[[Vendor - Contract]:[Vendor - Contract]],$H110,CostTrack[[Holdback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10" s="504">
        <f ca="1">SUMIFS(CostTrack[[Value]:[Value]],CostTrack[[PA ID]:[PA ID]],$B110,CostTrack[[Vendor - Contract]:[Vendor - Contract]],$H110,CostTrack[[Holdback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10" s="504">
        <f ca="1">SUMIFS(CostTrack[[Value]:[Value]],CostTrack[[PA ID]:[PA ID]],$B110,CostTrack[[Vendor - Contract]:[Vendor - Contract]],$H110,CostTrack[[Holdback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10" s="504">
        <f ca="1">SUMIFS(CostTrack[[Value]:[Value]],CostTrack[[PA ID]:[PA ID]],$B110,CostTrack[[Vendor - Contract]:[Vendor - Contract]],$H110,CostTrack[[Holdback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10" s="504">
        <f ca="1">SUMIFS(CostTrack[[Value]:[Value]],CostTrack[[PA ID]:[PA ID]],$B110,CostTrack[[Vendor - Contract]:[Vendor - Contract]],$H110,CostTrack[[Holdback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10" s="504">
        <f ca="1">SUMIFS(CostTrack[[Value]:[Value]],CostTrack[[PA ID]:[PA ID]],$B110,CostTrack[[Vendor - Contract]:[Vendor - Contract]],$H110,CostTrack[[Holdback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10" s="504">
        <f ca="1">SUMIFS(CostTrack[[Value]:[Value]],CostTrack[[PA ID]:[PA ID]],$B110,CostTrack[[Vendor - Contract]:[Vendor - Contract]],$H110,CostTrack[[Holdback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10" s="504">
        <f ca="1">SUMIFS(CostTrack[[Value]:[Value]],CostTrack[[PA ID]:[PA ID]],$B110,CostTrack[[Vendor - Contract]:[Vendor - Contract]],$H110,CostTrack[[Holdback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10" s="512">
        <f t="shared" ca="1" si="257"/>
        <v>0</v>
      </c>
      <c r="DO110" s="504">
        <f ca="1">SUMIFS(CostTrack[[Value]:[Value]],CostTrack[[PA ID]:[PA ID]],$B110,CostTrack[[Vendor - Contract]:[Vendor - Contract]],$H110,CostTrack[[Holdback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570</v>
      </c>
      <c r="DP110" s="504">
        <f ca="1">SUMIFS(CostTrack[[Value]:[Value]],CostTrack[[PA ID]:[PA ID]],$B110,CostTrack[[Vendor - Contract]:[Vendor - Contract]],$H110,CostTrack[[Holdback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10" s="504">
        <f ca="1">SUMIFS(CostTrack[[Value]:[Value]],CostTrack[[PA ID]:[PA ID]],$B110,CostTrack[[Vendor - Contract]:[Vendor - Contract]],$H110,CostTrack[[Holdback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10" s="504">
        <f ca="1">SUMIFS(CostTrack[[Value]:[Value]],CostTrack[[PA ID]:[PA ID]],$B110,CostTrack[[Vendor - Contract]:[Vendor - Contract]],$H110,CostTrack[[Holdback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10" s="504">
        <f ca="1">SUMIFS(CostTrack[[Value]:[Value]],CostTrack[[PA ID]:[PA ID]],$B110,CostTrack[[Vendor - Contract]:[Vendor - Contract]],$H110,CostTrack[[Holdback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10" s="504">
        <f ca="1">SUMIFS(CostTrack[[Value]:[Value]],CostTrack[[PA ID]:[PA ID]],$B110,CostTrack[[Vendor - Contract]:[Vendor - Contract]],$H110,CostTrack[[Holdback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10" s="504">
        <f ca="1">SUMIFS(CostTrack[[Value]:[Value]],CostTrack[[PA ID]:[PA ID]],$B110,CostTrack[[Vendor - Contract]:[Vendor - Contract]],$H110,CostTrack[[Holdback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10" s="504">
        <f ca="1">SUMIFS(CostTrack[[Value]:[Value]],CostTrack[[PA ID]:[PA ID]],$B110,CostTrack[[Vendor - Contract]:[Vendor - Contract]],$H110,CostTrack[[Holdback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10" s="504">
        <f ca="1">SUMIFS(CostTrack[[Value]:[Value]],CostTrack[[PA ID]:[PA ID]],$B110,CostTrack[[Vendor - Contract]:[Vendor - Contract]],$H110,CostTrack[[Holdback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10" s="504">
        <f ca="1">SUMIFS(CostTrack[[Value]:[Value]],CostTrack[[PA ID]:[PA ID]],$B110,CostTrack[[Vendor - Contract]:[Vendor - Contract]],$H110,CostTrack[[Holdback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10" s="504">
        <f ca="1">SUMIFS(CostTrack[[Value]:[Value]],CostTrack[[PA ID]:[PA ID]],$B110,CostTrack[[Vendor - Contract]:[Vendor - Contract]],$H110,CostTrack[[Holdback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10" s="504">
        <f ca="1">SUMIFS(CostTrack[[Value]:[Value]],CostTrack[[PA ID]:[PA ID]],$B110,CostTrack[[Vendor - Contract]:[Vendor - Contract]],$H110,CostTrack[[Holdback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10" s="512">
        <f t="shared" ca="1" si="270"/>
        <v>570</v>
      </c>
      <c r="EC110" s="504">
        <f ca="1">SUMIFS(CostTrack[[Value]:[Value]],CostTrack[[PA ID]:[PA ID]],$B110,CostTrack[[Vendor - Contract]:[Vendor - Contract]],$H110,CostTrack[[Holdback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10" s="505"/>
      <c r="EE110" s="505"/>
      <c r="EF110" s="505"/>
      <c r="EG110" s="505"/>
      <c r="EH110" s="505"/>
      <c r="EI110" s="505"/>
      <c r="EJ110" s="505"/>
      <c r="EK110" s="505"/>
      <c r="EL110" s="505"/>
      <c r="EM110" s="505"/>
      <c r="EN110" s="505"/>
      <c r="EO110" s="512">
        <f t="shared" ca="1" si="271"/>
        <v>0</v>
      </c>
      <c r="EQ110" s="505"/>
      <c r="ER110" s="505"/>
      <c r="ES110" s="505"/>
      <c r="ET110" s="505"/>
      <c r="EU110" s="505"/>
      <c r="EV110" s="505"/>
      <c r="EW110" s="505"/>
      <c r="EX110" s="505"/>
      <c r="EY110" s="505"/>
      <c r="EZ110" s="505"/>
      <c r="FA110" s="505"/>
      <c r="FB110" s="505"/>
      <c r="FC110" s="512">
        <f t="shared" si="272"/>
        <v>0</v>
      </c>
      <c r="FE110" s="505"/>
      <c r="FF110" s="505"/>
      <c r="FG110" s="505"/>
      <c r="FH110" s="505"/>
      <c r="FI110" s="505"/>
      <c r="FJ110" s="505"/>
      <c r="FK110" s="505"/>
      <c r="FL110" s="505"/>
      <c r="FM110" s="505"/>
      <c r="FN110" s="505"/>
      <c r="FO110" s="505"/>
      <c r="FP110" s="505"/>
      <c r="FQ110" s="512">
        <f t="shared" si="273"/>
        <v>0</v>
      </c>
      <c r="FS110" s="504">
        <f t="shared" ca="1" si="274"/>
        <v>570</v>
      </c>
    </row>
    <row r="111" spans="1:175">
      <c r="A111" s="216">
        <v>104</v>
      </c>
      <c r="B111" s="219" t="str">
        <f ca="1">INDEX(EAC[PA ID],MATCH($A111,EAC[Row],0))</f>
        <v>400.010.F1</v>
      </c>
      <c r="C111" s="218" t="str">
        <f ca="1">INDEX(EAC[Primary Category],MATCH($A111,EAC[Row],0))</f>
        <v>FE_IT</v>
      </c>
      <c r="D111" s="218" t="str">
        <f ca="1">INDEX(EAC[Secondary Category],MATCH($A111,EAC[Row],0))</f>
        <v>Furniture &amp; Equipment</v>
      </c>
      <c r="E111" s="109" t="str">
        <f ca="1">INDEX(EAC[Phase / Subproject],MATCH($A111,EAC[Row],0))</f>
        <v>--</v>
      </c>
      <c r="F111" s="109" t="str">
        <f ca="1">INDEX(EAC[Phase / Subproject 2],MATCH($A111,EAC[Row],0))</f>
        <v>--</v>
      </c>
      <c r="G111" s="109" t="str">
        <f ca="1">INDEX(EAC[Funding Source],MATCH($A111,EAC[Row],0))</f>
        <v>P-002360</v>
      </c>
      <c r="H111" s="146" t="str">
        <f ca="1">INDEX(EAC[Vendor / Org. with Contract ID],MATCH($A111,EAC[Row],0))</f>
        <v>ALLWEST-TEKNION SEATING-9000085601</v>
      </c>
      <c r="I111" s="502">
        <f ca="1">INDEX(EAC[Estimate At Completion],MATCH($A111,EAC[Row],0))</f>
        <v>328373.52</v>
      </c>
      <c r="J111" s="502">
        <f ca="1">SUMIFS(CostTrack[Value],CostTrack[Vendor - Contract],$H111,CostTrack[PA ID],$B111,CostTrack[Holdback (Y/N/R)],"&lt;&gt;Release",CostTrack[Status],"Approved")</f>
        <v>328373.52</v>
      </c>
      <c r="K111" s="503">
        <f t="shared" ref="K111:K114" ca="1" si="278">IFERROR(I111-J111,"")</f>
        <v>0</v>
      </c>
      <c r="M111" s="504">
        <f t="shared" ca="1" si="264"/>
        <v>0</v>
      </c>
      <c r="O111" s="504">
        <f t="shared" ca="1" si="275"/>
        <v>328373.52</v>
      </c>
      <c r="P111" s="504">
        <f t="array" aca="1" ref="P111" ca="1">SUM($U111:$FQ111*_xlfn.ISFORMULA($U111:$FQ111)*ISNUMBER($U$7:$FQ$7)*--(INDEX($U$6:$FQ$6,N(IF({1},COLUMN($U$6:$FQ$6)-COLUMN($T$6)))-MOD(N(IF({1},COLUMN($U$6:$FQ$6)-COLUMN($U$6))),14))="Current Fiscal"))</f>
        <v>0</v>
      </c>
      <c r="Q111" s="504">
        <f t="array" aca="1" ref="Q111" ca="1">SUM($U111:$FQ111*NOT(_xlfn.ISFORMULA($U111:$FQ111))*ISNUMBER($U$7:$FQ$7)*--(INDEX($U$6:$FQ$6,N(IF({1},COLUMN($U$6:$FQ$6)-COLUMN($T$6)))-MOD(N(IF({1},COLUMN($U$6:$FQ$6)-COLUMN($U$6))),14))="Current Fiscal"))</f>
        <v>0</v>
      </c>
      <c r="R111" s="504">
        <f t="shared" ca="1" si="276"/>
        <v>0</v>
      </c>
      <c r="S111" s="504">
        <f t="shared" ca="1" si="277"/>
        <v>0</v>
      </c>
      <c r="U111" s="504">
        <f ca="1">SUMIFS(CostTrack[[Value]:[Value]],CostTrack[[PA ID]:[PA ID]],$B111,CostTrack[[Vendor - Contract]:[Vendor - Contract]],$H111,CostTrack[[Holdback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11" s="504">
        <f ca="1">SUMIFS(CostTrack[[Value]:[Value]],CostTrack[[PA ID]:[PA ID]],$B111,CostTrack[[Vendor - Contract]:[Vendor - Contract]],$H111,CostTrack[[Holdback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11" s="504">
        <f ca="1">SUMIFS(CostTrack[[Value]:[Value]],CostTrack[[PA ID]:[PA ID]],$B111,CostTrack[[Vendor - Contract]:[Vendor - Contract]],$H111,CostTrack[[Holdback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11" s="504">
        <f ca="1">SUMIFS(CostTrack[[Value]:[Value]],CostTrack[[PA ID]:[PA ID]],$B111,CostTrack[[Vendor - Contract]:[Vendor - Contract]],$H111,CostTrack[[Holdback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11" s="504">
        <f ca="1">SUMIFS(CostTrack[[Value]:[Value]],CostTrack[[PA ID]:[PA ID]],$B111,CostTrack[[Vendor - Contract]:[Vendor - Contract]],$H111,CostTrack[[Holdback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11" s="504">
        <f ca="1">SUMIFS(CostTrack[[Value]:[Value]],CostTrack[[PA ID]:[PA ID]],$B111,CostTrack[[Vendor - Contract]:[Vendor - Contract]],$H111,CostTrack[[Holdback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11" s="504">
        <f ca="1">SUMIFS(CostTrack[[Value]:[Value]],CostTrack[[PA ID]:[PA ID]],$B111,CostTrack[[Vendor - Contract]:[Vendor - Contract]],$H111,CostTrack[[Holdback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11" s="504">
        <f ca="1">SUMIFS(CostTrack[[Value]:[Value]],CostTrack[[PA ID]:[PA ID]],$B111,CostTrack[[Vendor - Contract]:[Vendor - Contract]],$H111,CostTrack[[Holdback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11" s="504">
        <f ca="1">SUMIFS(CostTrack[[Value]:[Value]],CostTrack[[PA ID]:[PA ID]],$B111,CostTrack[[Vendor - Contract]:[Vendor - Contract]],$H111,CostTrack[[Holdback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11" s="504">
        <f ca="1">SUMIFS(CostTrack[[Value]:[Value]],CostTrack[[PA ID]:[PA ID]],$B111,CostTrack[[Vendor - Contract]:[Vendor - Contract]],$H111,CostTrack[[Holdback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11" s="504">
        <f ca="1">SUMIFS(CostTrack[[Value]:[Value]],CostTrack[[PA ID]:[PA ID]],$B111,CostTrack[[Vendor - Contract]:[Vendor - Contract]],$H111,CostTrack[[Holdback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11" s="504">
        <f ca="1">SUMIFS(CostTrack[[Value]:[Value]],CostTrack[[PA ID]:[PA ID]],$B111,CostTrack[[Vendor - Contract]:[Vendor - Contract]],$H111,CostTrack[[Holdback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11" s="506">
        <f t="shared" ca="1" si="235"/>
        <v>0</v>
      </c>
      <c r="AI111" s="504">
        <f ca="1">SUMIFS(CostTrack[[Value]:[Value]],CostTrack[[PA ID]:[PA ID]],$B111,CostTrack[[Vendor - Contract]:[Vendor - Contract]],$H111,CostTrack[[Holdback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11" s="504">
        <f ca="1">SUMIFS(CostTrack[[Value]:[Value]],CostTrack[[PA ID]:[PA ID]],$B111,CostTrack[[Vendor - Contract]:[Vendor - Contract]],$H111,CostTrack[[Holdback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11" s="504">
        <f ca="1">SUMIFS(CostTrack[[Value]:[Value]],CostTrack[[PA ID]:[PA ID]],$B111,CostTrack[[Vendor - Contract]:[Vendor - Contract]],$H111,CostTrack[[Holdback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11" s="504">
        <f ca="1">SUMIFS(CostTrack[[Value]:[Value]],CostTrack[[PA ID]:[PA ID]],$B111,CostTrack[[Vendor - Contract]:[Vendor - Contract]],$H111,CostTrack[[Holdback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11" s="504">
        <f ca="1">SUMIFS(CostTrack[[Value]:[Value]],CostTrack[[PA ID]:[PA ID]],$B111,CostTrack[[Vendor - Contract]:[Vendor - Contract]],$H111,CostTrack[[Holdback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11" s="504">
        <f ca="1">SUMIFS(CostTrack[[Value]:[Value]],CostTrack[[PA ID]:[PA ID]],$B111,CostTrack[[Vendor - Contract]:[Vendor - Contract]],$H111,CostTrack[[Holdback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11" s="504">
        <f ca="1">SUMIFS(CostTrack[[Value]:[Value]],CostTrack[[PA ID]:[PA ID]],$B111,CostTrack[[Vendor - Contract]:[Vendor - Contract]],$H111,CostTrack[[Holdback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11" s="504">
        <f ca="1">SUMIFS(CostTrack[[Value]:[Value]],CostTrack[[PA ID]:[PA ID]],$B111,CostTrack[[Vendor - Contract]:[Vendor - Contract]],$H111,CostTrack[[Holdback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11" s="504">
        <f ca="1">SUMIFS(CostTrack[[Value]:[Value]],CostTrack[[PA ID]:[PA ID]],$B111,CostTrack[[Vendor - Contract]:[Vendor - Contract]],$H111,CostTrack[[Holdback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11" s="504">
        <f ca="1">SUMIFS(CostTrack[[Value]:[Value]],CostTrack[[PA ID]:[PA ID]],$B111,CostTrack[[Vendor - Contract]:[Vendor - Contract]],$H111,CostTrack[[Holdback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11" s="504">
        <f ca="1">SUMIFS(CostTrack[[Value]:[Value]],CostTrack[[PA ID]:[PA ID]],$B111,CostTrack[[Vendor - Contract]:[Vendor - Contract]],$H111,CostTrack[[Holdback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11" s="504">
        <f ca="1">SUMIFS(CostTrack[[Value]:[Value]],CostTrack[[PA ID]:[PA ID]],$B111,CostTrack[[Vendor - Contract]:[Vendor - Contract]],$H111,CostTrack[[Holdback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11" s="512">
        <f t="shared" ca="1" si="252"/>
        <v>0</v>
      </c>
      <c r="AW111" s="504">
        <f ca="1">SUMIFS(CostTrack[[Value]:[Value]],CostTrack[[PA ID]:[PA ID]],$B111,CostTrack[[Vendor - Contract]:[Vendor - Contract]],$H111,CostTrack[[Holdback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11" s="504">
        <f ca="1">SUMIFS(CostTrack[[Value]:[Value]],CostTrack[[PA ID]:[PA ID]],$B111,CostTrack[[Vendor - Contract]:[Vendor - Contract]],$H111,CostTrack[[Holdback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11" s="504">
        <f ca="1">SUMIFS(CostTrack[[Value]:[Value]],CostTrack[[PA ID]:[PA ID]],$B111,CostTrack[[Vendor - Contract]:[Vendor - Contract]],$H111,CostTrack[[Holdback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11" s="504">
        <f ca="1">SUMIFS(CostTrack[[Value]:[Value]],CostTrack[[PA ID]:[PA ID]],$B111,CostTrack[[Vendor - Contract]:[Vendor - Contract]],$H111,CostTrack[[Holdback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11" s="504">
        <f ca="1">SUMIFS(CostTrack[[Value]:[Value]],CostTrack[[PA ID]:[PA ID]],$B111,CostTrack[[Vendor - Contract]:[Vendor - Contract]],$H111,CostTrack[[Holdback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11" s="504">
        <f ca="1">SUMIFS(CostTrack[[Value]:[Value]],CostTrack[[PA ID]:[PA ID]],$B111,CostTrack[[Vendor - Contract]:[Vendor - Contract]],$H111,CostTrack[[Holdback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11" s="504">
        <f ca="1">SUMIFS(CostTrack[[Value]:[Value]],CostTrack[[PA ID]:[PA ID]],$B111,CostTrack[[Vendor - Contract]:[Vendor - Contract]],$H111,CostTrack[[Holdback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11" s="504">
        <f ca="1">SUMIFS(CostTrack[[Value]:[Value]],CostTrack[[PA ID]:[PA ID]],$B111,CostTrack[[Vendor - Contract]:[Vendor - Contract]],$H111,CostTrack[[Holdback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11" s="504">
        <f ca="1">SUMIFS(CostTrack[[Value]:[Value]],CostTrack[[PA ID]:[PA ID]],$B111,CostTrack[[Vendor - Contract]:[Vendor - Contract]],$H111,CostTrack[[Holdback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11" s="504">
        <f ca="1">SUMIFS(CostTrack[[Value]:[Value]],CostTrack[[PA ID]:[PA ID]],$B111,CostTrack[[Vendor - Contract]:[Vendor - Contract]],$H111,CostTrack[[Holdback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11" s="504">
        <f ca="1">SUMIFS(CostTrack[[Value]:[Value]],CostTrack[[PA ID]:[PA ID]],$B111,CostTrack[[Vendor - Contract]:[Vendor - Contract]],$H111,CostTrack[[Holdback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11" s="504">
        <f ca="1">SUMIFS(CostTrack[[Value]:[Value]],CostTrack[[PA ID]:[PA ID]],$B111,CostTrack[[Vendor - Contract]:[Vendor - Contract]],$H111,CostTrack[[Holdback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11" s="512">
        <f t="shared" ca="1" si="268"/>
        <v>0</v>
      </c>
      <c r="BK111" s="504">
        <f ca="1">SUMIFS(CostTrack[[Value]:[Value]],CostTrack[[PA ID]:[PA ID]],$B111,CostTrack[[Vendor - Contract]:[Vendor - Contract]],$H111,CostTrack[[Holdback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11" s="504">
        <f ca="1">SUMIFS(CostTrack[[Value]:[Value]],CostTrack[[PA ID]:[PA ID]],$B111,CostTrack[[Vendor - Contract]:[Vendor - Contract]],$H111,CostTrack[[Holdback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11" s="504">
        <f ca="1">SUMIFS(CostTrack[[Value]:[Value]],CostTrack[[PA ID]:[PA ID]],$B111,CostTrack[[Vendor - Contract]:[Vendor - Contract]],$H111,CostTrack[[Holdback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11" s="504">
        <f ca="1">SUMIFS(CostTrack[[Value]:[Value]],CostTrack[[PA ID]:[PA ID]],$B111,CostTrack[[Vendor - Contract]:[Vendor - Contract]],$H111,CostTrack[[Holdback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11" s="504">
        <f ca="1">SUMIFS(CostTrack[[Value]:[Value]],CostTrack[[PA ID]:[PA ID]],$B111,CostTrack[[Vendor - Contract]:[Vendor - Contract]],$H111,CostTrack[[Holdback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11" s="504">
        <f ca="1">SUMIFS(CostTrack[[Value]:[Value]],CostTrack[[PA ID]:[PA ID]],$B111,CostTrack[[Vendor - Contract]:[Vendor - Contract]],$H111,CostTrack[[Holdback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11" s="504">
        <f ca="1">SUMIFS(CostTrack[[Value]:[Value]],CostTrack[[PA ID]:[PA ID]],$B111,CostTrack[[Vendor - Contract]:[Vendor - Contract]],$H111,CostTrack[[Holdback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11" s="504">
        <f ca="1">SUMIFS(CostTrack[[Value]:[Value]],CostTrack[[PA ID]:[PA ID]],$B111,CostTrack[[Vendor - Contract]:[Vendor - Contract]],$H111,CostTrack[[Holdback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11" s="504">
        <f ca="1">SUMIFS(CostTrack[[Value]:[Value]],CostTrack[[PA ID]:[PA ID]],$B111,CostTrack[[Vendor - Contract]:[Vendor - Contract]],$H111,CostTrack[[Holdback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11" s="504">
        <f ca="1">SUMIFS(CostTrack[[Value]:[Value]],CostTrack[[PA ID]:[PA ID]],$B111,CostTrack[[Vendor - Contract]:[Vendor - Contract]],$H111,CostTrack[[Holdback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11" s="504">
        <f ca="1">SUMIFS(CostTrack[[Value]:[Value]],CostTrack[[PA ID]:[PA ID]],$B111,CostTrack[[Vendor - Contract]:[Vendor - Contract]],$H111,CostTrack[[Holdback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11" s="504">
        <f ca="1">SUMIFS(CostTrack[[Value]:[Value]],CostTrack[[PA ID]:[PA ID]],$B111,CostTrack[[Vendor - Contract]:[Vendor - Contract]],$H111,CostTrack[[Holdback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11" s="512">
        <f t="shared" ca="1" si="269"/>
        <v>0</v>
      </c>
      <c r="BY111" s="504">
        <f ca="1">SUMIFS(CostTrack[[Value]:[Value]],CostTrack[[PA ID]:[PA ID]],$B111,CostTrack[[Vendor - Contract]:[Vendor - Contract]],$H111,CostTrack[[Holdback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11" s="504">
        <f ca="1">SUMIFS(CostTrack[[Value]:[Value]],CostTrack[[PA ID]:[PA ID]],$B111,CostTrack[[Vendor - Contract]:[Vendor - Contract]],$H111,CostTrack[[Holdback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11" s="504">
        <f ca="1">SUMIFS(CostTrack[[Value]:[Value]],CostTrack[[PA ID]:[PA ID]],$B111,CostTrack[[Vendor - Contract]:[Vendor - Contract]],$H111,CostTrack[[Holdback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11" s="504">
        <f ca="1">SUMIFS(CostTrack[[Value]:[Value]],CostTrack[[PA ID]:[PA ID]],$B111,CostTrack[[Vendor - Contract]:[Vendor - Contract]],$H111,CostTrack[[Holdback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11" s="504">
        <f ca="1">SUMIFS(CostTrack[[Value]:[Value]],CostTrack[[PA ID]:[PA ID]],$B111,CostTrack[[Vendor - Contract]:[Vendor - Contract]],$H111,CostTrack[[Holdback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11" s="504">
        <f ca="1">SUMIFS(CostTrack[[Value]:[Value]],CostTrack[[PA ID]:[PA ID]],$B111,CostTrack[[Vendor - Contract]:[Vendor - Contract]],$H111,CostTrack[[Holdback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11" s="504">
        <f ca="1">SUMIFS(CostTrack[[Value]:[Value]],CostTrack[[PA ID]:[PA ID]],$B111,CostTrack[[Vendor - Contract]:[Vendor - Contract]],$H111,CostTrack[[Holdback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11" s="504">
        <f ca="1">SUMIFS(CostTrack[[Value]:[Value]],CostTrack[[PA ID]:[PA ID]],$B111,CostTrack[[Vendor - Contract]:[Vendor - Contract]],$H111,CostTrack[[Holdback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11" s="504">
        <f ca="1">SUMIFS(CostTrack[[Value]:[Value]],CostTrack[[PA ID]:[PA ID]],$B111,CostTrack[[Vendor - Contract]:[Vendor - Contract]],$H111,CostTrack[[Holdback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11" s="504">
        <f ca="1">SUMIFS(CostTrack[[Value]:[Value]],CostTrack[[PA ID]:[PA ID]],$B111,CostTrack[[Vendor - Contract]:[Vendor - Contract]],$H111,CostTrack[[Holdback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11" s="504">
        <f ca="1">SUMIFS(CostTrack[[Value]:[Value]],CostTrack[[PA ID]:[PA ID]],$B111,CostTrack[[Vendor - Contract]:[Vendor - Contract]],$H111,CostTrack[[Holdback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11" s="504">
        <f ca="1">SUMIFS(CostTrack[[Value]:[Value]],CostTrack[[PA ID]:[PA ID]],$B111,CostTrack[[Vendor - Contract]:[Vendor - Contract]],$H111,CostTrack[[Holdback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11" s="512">
        <f t="shared" ca="1" si="255"/>
        <v>0</v>
      </c>
      <c r="CM111" s="504">
        <f ca="1">SUMIFS(CostTrack[[Value]:[Value]],CostTrack[[PA ID]:[PA ID]],$B111,CostTrack[[Vendor - Contract]:[Vendor - Contract]],$H111,CostTrack[[Holdback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11" s="504">
        <f ca="1">SUMIFS(CostTrack[[Value]:[Value]],CostTrack[[PA ID]:[PA ID]],$B111,CostTrack[[Vendor - Contract]:[Vendor - Contract]],$H111,CostTrack[[Holdback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11" s="504">
        <f ca="1">SUMIFS(CostTrack[[Value]:[Value]],CostTrack[[PA ID]:[PA ID]],$B111,CostTrack[[Vendor - Contract]:[Vendor - Contract]],$H111,CostTrack[[Holdback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11" s="504">
        <f ca="1">SUMIFS(CostTrack[[Value]:[Value]],CostTrack[[PA ID]:[PA ID]],$B111,CostTrack[[Vendor - Contract]:[Vendor - Contract]],$H111,CostTrack[[Holdback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11" s="504">
        <f ca="1">SUMIFS(CostTrack[[Value]:[Value]],CostTrack[[PA ID]:[PA ID]],$B111,CostTrack[[Vendor - Contract]:[Vendor - Contract]],$H111,CostTrack[[Holdback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11" s="504">
        <f ca="1">SUMIFS(CostTrack[[Value]:[Value]],CostTrack[[PA ID]:[PA ID]],$B111,CostTrack[[Vendor - Contract]:[Vendor - Contract]],$H111,CostTrack[[Holdback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11" s="504">
        <f ca="1">SUMIFS(CostTrack[[Value]:[Value]],CostTrack[[PA ID]:[PA ID]],$B111,CostTrack[[Vendor - Contract]:[Vendor - Contract]],$H111,CostTrack[[Holdback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11" s="504">
        <f ca="1">SUMIFS(CostTrack[[Value]:[Value]],CostTrack[[PA ID]:[PA ID]],$B111,CostTrack[[Vendor - Contract]:[Vendor - Contract]],$H111,CostTrack[[Holdback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11" s="504">
        <f ca="1">SUMIFS(CostTrack[[Value]:[Value]],CostTrack[[PA ID]:[PA ID]],$B111,CostTrack[[Vendor - Contract]:[Vendor - Contract]],$H111,CostTrack[[Holdback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11" s="504">
        <f ca="1">SUMIFS(CostTrack[[Value]:[Value]],CostTrack[[PA ID]:[PA ID]],$B111,CostTrack[[Vendor - Contract]:[Vendor - Contract]],$H111,CostTrack[[Holdback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11" s="504">
        <f ca="1">SUMIFS(CostTrack[[Value]:[Value]],CostTrack[[PA ID]:[PA ID]],$B111,CostTrack[[Vendor - Contract]:[Vendor - Contract]],$H111,CostTrack[[Holdback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11" s="504">
        <f ca="1">SUMIFS(CostTrack[[Value]:[Value]],CostTrack[[PA ID]:[PA ID]],$B111,CostTrack[[Vendor - Contract]:[Vendor - Contract]],$H111,CostTrack[[Holdback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11" s="512">
        <f t="shared" ca="1" si="256"/>
        <v>0</v>
      </c>
      <c r="DA111" s="504">
        <f ca="1">SUMIFS(CostTrack[[Value]:[Value]],CostTrack[[PA ID]:[PA ID]],$B111,CostTrack[[Vendor - Contract]:[Vendor - Contract]],$H111,CostTrack[[Holdback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11" s="504">
        <f ca="1">SUMIFS(CostTrack[[Value]:[Value]],CostTrack[[PA ID]:[PA ID]],$B111,CostTrack[[Vendor - Contract]:[Vendor - Contract]],$H111,CostTrack[[Holdback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11" s="504">
        <f ca="1">SUMIFS(CostTrack[[Value]:[Value]],CostTrack[[PA ID]:[PA ID]],$B111,CostTrack[[Vendor - Contract]:[Vendor - Contract]],$H111,CostTrack[[Holdback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11" s="504">
        <f ca="1">SUMIFS(CostTrack[[Value]:[Value]],CostTrack[[PA ID]:[PA ID]],$B111,CostTrack[[Vendor - Contract]:[Vendor - Contract]],$H111,CostTrack[[Holdback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11" s="504">
        <f ca="1">SUMIFS(CostTrack[[Value]:[Value]],CostTrack[[PA ID]:[PA ID]],$B111,CostTrack[[Vendor - Contract]:[Vendor - Contract]],$H111,CostTrack[[Holdback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11" s="504">
        <f ca="1">SUMIFS(CostTrack[[Value]:[Value]],CostTrack[[PA ID]:[PA ID]],$B111,CostTrack[[Vendor - Contract]:[Vendor - Contract]],$H111,CostTrack[[Holdback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11" s="504">
        <f ca="1">SUMIFS(CostTrack[[Value]:[Value]],CostTrack[[PA ID]:[PA ID]],$B111,CostTrack[[Vendor - Contract]:[Vendor - Contract]],$H111,CostTrack[[Holdback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11" s="504">
        <f ca="1">SUMIFS(CostTrack[[Value]:[Value]],CostTrack[[PA ID]:[PA ID]],$B111,CostTrack[[Vendor - Contract]:[Vendor - Contract]],$H111,CostTrack[[Holdback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11" s="504">
        <f ca="1">SUMIFS(CostTrack[[Value]:[Value]],CostTrack[[PA ID]:[PA ID]],$B111,CostTrack[[Vendor - Contract]:[Vendor - Contract]],$H111,CostTrack[[Holdback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11" s="504">
        <f ca="1">SUMIFS(CostTrack[[Value]:[Value]],CostTrack[[PA ID]:[PA ID]],$B111,CostTrack[[Vendor - Contract]:[Vendor - Contract]],$H111,CostTrack[[Holdback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11" s="504">
        <f ca="1">SUMIFS(CostTrack[[Value]:[Value]],CostTrack[[PA ID]:[PA ID]],$B111,CostTrack[[Vendor - Contract]:[Vendor - Contract]],$H111,CostTrack[[Holdback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11" s="504">
        <f ca="1">SUMIFS(CostTrack[[Value]:[Value]],CostTrack[[PA ID]:[PA ID]],$B111,CostTrack[[Vendor - Contract]:[Vendor - Contract]],$H111,CostTrack[[Holdback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11" s="512">
        <f t="shared" ca="1" si="257"/>
        <v>0</v>
      </c>
      <c r="DO111" s="504">
        <f ca="1">SUMIFS(CostTrack[[Value]:[Value]],CostTrack[[PA ID]:[PA ID]],$B111,CostTrack[[Vendor - Contract]:[Vendor - Contract]],$H111,CostTrack[[Holdback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11" s="504">
        <f ca="1">SUMIFS(CostTrack[[Value]:[Value]],CostTrack[[PA ID]:[PA ID]],$B111,CostTrack[[Vendor - Contract]:[Vendor - Contract]],$H111,CostTrack[[Holdback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11" s="504">
        <f ca="1">SUMIFS(CostTrack[[Value]:[Value]],CostTrack[[PA ID]:[PA ID]],$B111,CostTrack[[Vendor - Contract]:[Vendor - Contract]],$H111,CostTrack[[Holdback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11" s="504">
        <f ca="1">SUMIFS(CostTrack[[Value]:[Value]],CostTrack[[PA ID]:[PA ID]],$B111,CostTrack[[Vendor - Contract]:[Vendor - Contract]],$H111,CostTrack[[Holdback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328373.52</v>
      </c>
      <c r="DS111" s="504">
        <f ca="1">SUMIFS(CostTrack[[Value]:[Value]],CostTrack[[PA ID]:[PA ID]],$B111,CostTrack[[Vendor - Contract]:[Vendor - Contract]],$H111,CostTrack[[Holdback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11" s="504">
        <f ca="1">SUMIFS(CostTrack[[Value]:[Value]],CostTrack[[PA ID]:[PA ID]],$B111,CostTrack[[Vendor - Contract]:[Vendor - Contract]],$H111,CostTrack[[Holdback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11" s="504">
        <f ca="1">SUMIFS(CostTrack[[Value]:[Value]],CostTrack[[PA ID]:[PA ID]],$B111,CostTrack[[Vendor - Contract]:[Vendor - Contract]],$H111,CostTrack[[Holdback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11" s="504">
        <f ca="1">SUMIFS(CostTrack[[Value]:[Value]],CostTrack[[PA ID]:[PA ID]],$B111,CostTrack[[Vendor - Contract]:[Vendor - Contract]],$H111,CostTrack[[Holdback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11" s="504">
        <f ca="1">SUMIFS(CostTrack[[Value]:[Value]],CostTrack[[PA ID]:[PA ID]],$B111,CostTrack[[Vendor - Contract]:[Vendor - Contract]],$H111,CostTrack[[Holdback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11" s="504">
        <f ca="1">SUMIFS(CostTrack[[Value]:[Value]],CostTrack[[PA ID]:[PA ID]],$B111,CostTrack[[Vendor - Contract]:[Vendor - Contract]],$H111,CostTrack[[Holdback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11" s="504">
        <f ca="1">SUMIFS(CostTrack[[Value]:[Value]],CostTrack[[PA ID]:[PA ID]],$B111,CostTrack[[Vendor - Contract]:[Vendor - Contract]],$H111,CostTrack[[Holdback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11" s="504">
        <f ca="1">SUMIFS(CostTrack[[Value]:[Value]],CostTrack[[PA ID]:[PA ID]],$B111,CostTrack[[Vendor - Contract]:[Vendor - Contract]],$H111,CostTrack[[Holdback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11" s="512">
        <f t="shared" ca="1" si="270"/>
        <v>328373.52</v>
      </c>
      <c r="EC111" s="504">
        <f ca="1">SUMIFS(CostTrack[[Value]:[Value]],CostTrack[[PA ID]:[PA ID]],$B111,CostTrack[[Vendor - Contract]:[Vendor - Contract]],$H111,CostTrack[[Holdback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11" s="505"/>
      <c r="EE111" s="505"/>
      <c r="EF111" s="505"/>
      <c r="EG111" s="505"/>
      <c r="EH111" s="505"/>
      <c r="EI111" s="505"/>
      <c r="EJ111" s="505"/>
      <c r="EK111" s="505"/>
      <c r="EL111" s="505"/>
      <c r="EM111" s="505"/>
      <c r="EN111" s="505"/>
      <c r="EO111" s="512">
        <f t="shared" ca="1" si="271"/>
        <v>0</v>
      </c>
      <c r="EQ111" s="505"/>
      <c r="ER111" s="505"/>
      <c r="ES111" s="505"/>
      <c r="ET111" s="505"/>
      <c r="EU111" s="505"/>
      <c r="EV111" s="505"/>
      <c r="EW111" s="505"/>
      <c r="EX111" s="505"/>
      <c r="EY111" s="505"/>
      <c r="EZ111" s="505"/>
      <c r="FA111" s="505"/>
      <c r="FB111" s="505"/>
      <c r="FC111" s="512">
        <f t="shared" si="272"/>
        <v>0</v>
      </c>
      <c r="FE111" s="505"/>
      <c r="FF111" s="505"/>
      <c r="FG111" s="505"/>
      <c r="FH111" s="505"/>
      <c r="FI111" s="505"/>
      <c r="FJ111" s="505"/>
      <c r="FK111" s="505"/>
      <c r="FL111" s="505"/>
      <c r="FM111" s="505"/>
      <c r="FN111" s="505"/>
      <c r="FO111" s="505"/>
      <c r="FP111" s="505"/>
      <c r="FQ111" s="512">
        <f t="shared" si="273"/>
        <v>0</v>
      </c>
      <c r="FS111" s="504">
        <f t="shared" ca="1" si="274"/>
        <v>328373.52</v>
      </c>
    </row>
    <row r="112" spans="1:175">
      <c r="A112" s="216">
        <v>105</v>
      </c>
      <c r="B112" s="219" t="str">
        <f ca="1">INDEX(EAC[PA ID],MATCH($A112,EAC[Row],0))</f>
        <v>400.010.F1</v>
      </c>
      <c r="C112" s="218" t="str">
        <f ca="1">INDEX(EAC[Primary Category],MATCH($A112,EAC[Row],0))</f>
        <v>FE_IT</v>
      </c>
      <c r="D112" s="218" t="str">
        <f ca="1">INDEX(EAC[Secondary Category],MATCH($A112,EAC[Row],0))</f>
        <v>Furniture &amp; Equipment</v>
      </c>
      <c r="E112" s="109" t="str">
        <f ca="1">INDEX(EAC[Phase / Subproject],MATCH($A112,EAC[Row],0))</f>
        <v>--</v>
      </c>
      <c r="F112" s="109" t="str">
        <f ca="1">INDEX(EAC[Phase / Subproject 2],MATCH($A112,EAC[Row],0))</f>
        <v>--</v>
      </c>
      <c r="G112" s="109" t="str">
        <f ca="1">INDEX(EAC[Funding Source],MATCH($A112,EAC[Row],0))</f>
        <v>P-002360</v>
      </c>
      <c r="H112" s="146" t="str">
        <f ca="1">INDEX(EAC[Vendor / Org. with Contract ID],MATCH($A112,EAC[Row],0))</f>
        <v>RGO-LEAP Chairs-9000084833</v>
      </c>
      <c r="I112" s="502">
        <f ca="1">INDEX(EAC[Estimate At Completion],MATCH($A112,EAC[Row],0))</f>
        <v>20406.97</v>
      </c>
      <c r="J112" s="502">
        <f ca="1">SUMIFS(CostTrack[Value],CostTrack[Vendor - Contract],$H112,CostTrack[PA ID],$B112,CostTrack[Holdback (Y/N/R)],"&lt;&gt;Release",CostTrack[Status],"Approved")</f>
        <v>20406.97</v>
      </c>
      <c r="K112" s="503">
        <f t="shared" ca="1" si="278"/>
        <v>0</v>
      </c>
      <c r="M112" s="504">
        <f t="shared" ca="1" si="264"/>
        <v>0</v>
      </c>
      <c r="O112" s="504">
        <f t="shared" ca="1" si="275"/>
        <v>20406.97</v>
      </c>
      <c r="P112" s="504">
        <f t="array" aca="1" ref="P112" ca="1">SUM($U112:$FQ112*_xlfn.ISFORMULA($U112:$FQ112)*ISNUMBER($U$7:$FQ$7)*--(INDEX($U$6:$FQ$6,N(IF({1},COLUMN($U$6:$FQ$6)-COLUMN($T$6)))-MOD(N(IF({1},COLUMN($U$6:$FQ$6)-COLUMN($U$6))),14))="Current Fiscal"))</f>
        <v>0</v>
      </c>
      <c r="Q112" s="504">
        <f t="array" aca="1" ref="Q112" ca="1">SUM($U112:$FQ112*NOT(_xlfn.ISFORMULA($U112:$FQ112))*ISNUMBER($U$7:$FQ$7)*--(INDEX($U$6:$FQ$6,N(IF({1},COLUMN($U$6:$FQ$6)-COLUMN($T$6)))-MOD(N(IF({1},COLUMN($U$6:$FQ$6)-COLUMN($U$6))),14))="Current Fiscal"))</f>
        <v>0</v>
      </c>
      <c r="R112" s="504">
        <f t="shared" ca="1" si="276"/>
        <v>0</v>
      </c>
      <c r="S112" s="504">
        <f t="shared" ca="1" si="277"/>
        <v>0</v>
      </c>
      <c r="U112" s="504">
        <f ca="1">SUMIFS(CostTrack[[Value]:[Value]],CostTrack[[PA ID]:[PA ID]],$B112,CostTrack[[Vendor - Contract]:[Vendor - Contract]],$H112,CostTrack[[Holdback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12" s="504">
        <f ca="1">SUMIFS(CostTrack[[Value]:[Value]],CostTrack[[PA ID]:[PA ID]],$B112,CostTrack[[Vendor - Contract]:[Vendor - Contract]],$H112,CostTrack[[Holdback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12" s="504">
        <f ca="1">SUMIFS(CostTrack[[Value]:[Value]],CostTrack[[PA ID]:[PA ID]],$B112,CostTrack[[Vendor - Contract]:[Vendor - Contract]],$H112,CostTrack[[Holdback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12" s="504">
        <f ca="1">SUMIFS(CostTrack[[Value]:[Value]],CostTrack[[PA ID]:[PA ID]],$B112,CostTrack[[Vendor - Contract]:[Vendor - Contract]],$H112,CostTrack[[Holdback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12" s="504">
        <f ca="1">SUMIFS(CostTrack[[Value]:[Value]],CostTrack[[PA ID]:[PA ID]],$B112,CostTrack[[Vendor - Contract]:[Vendor - Contract]],$H112,CostTrack[[Holdback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12" s="504">
        <f ca="1">SUMIFS(CostTrack[[Value]:[Value]],CostTrack[[PA ID]:[PA ID]],$B112,CostTrack[[Vendor - Contract]:[Vendor - Contract]],$H112,CostTrack[[Holdback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12" s="504">
        <f ca="1">SUMIFS(CostTrack[[Value]:[Value]],CostTrack[[PA ID]:[PA ID]],$B112,CostTrack[[Vendor - Contract]:[Vendor - Contract]],$H112,CostTrack[[Holdback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12" s="504">
        <f ca="1">SUMIFS(CostTrack[[Value]:[Value]],CostTrack[[PA ID]:[PA ID]],$B112,CostTrack[[Vendor - Contract]:[Vendor - Contract]],$H112,CostTrack[[Holdback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12" s="504">
        <f ca="1">SUMIFS(CostTrack[[Value]:[Value]],CostTrack[[PA ID]:[PA ID]],$B112,CostTrack[[Vendor - Contract]:[Vendor - Contract]],$H112,CostTrack[[Holdback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12" s="504">
        <f ca="1">SUMIFS(CostTrack[[Value]:[Value]],CostTrack[[PA ID]:[PA ID]],$B112,CostTrack[[Vendor - Contract]:[Vendor - Contract]],$H112,CostTrack[[Holdback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12" s="504">
        <f ca="1">SUMIFS(CostTrack[[Value]:[Value]],CostTrack[[PA ID]:[PA ID]],$B112,CostTrack[[Vendor - Contract]:[Vendor - Contract]],$H112,CostTrack[[Holdback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12" s="504">
        <f ca="1">SUMIFS(CostTrack[[Value]:[Value]],CostTrack[[PA ID]:[PA ID]],$B112,CostTrack[[Vendor - Contract]:[Vendor - Contract]],$H112,CostTrack[[Holdback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12" s="506">
        <f t="shared" ca="1" si="235"/>
        <v>0</v>
      </c>
      <c r="AI112" s="504">
        <f ca="1">SUMIFS(CostTrack[[Value]:[Value]],CostTrack[[PA ID]:[PA ID]],$B112,CostTrack[[Vendor - Contract]:[Vendor - Contract]],$H112,CostTrack[[Holdback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12" s="504">
        <f ca="1">SUMIFS(CostTrack[[Value]:[Value]],CostTrack[[PA ID]:[PA ID]],$B112,CostTrack[[Vendor - Contract]:[Vendor - Contract]],$H112,CostTrack[[Holdback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12" s="504">
        <f ca="1">SUMIFS(CostTrack[[Value]:[Value]],CostTrack[[PA ID]:[PA ID]],$B112,CostTrack[[Vendor - Contract]:[Vendor - Contract]],$H112,CostTrack[[Holdback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12" s="504">
        <f ca="1">SUMIFS(CostTrack[[Value]:[Value]],CostTrack[[PA ID]:[PA ID]],$B112,CostTrack[[Vendor - Contract]:[Vendor - Contract]],$H112,CostTrack[[Holdback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12" s="504">
        <f ca="1">SUMIFS(CostTrack[[Value]:[Value]],CostTrack[[PA ID]:[PA ID]],$B112,CostTrack[[Vendor - Contract]:[Vendor - Contract]],$H112,CostTrack[[Holdback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12" s="504">
        <f ca="1">SUMIFS(CostTrack[[Value]:[Value]],CostTrack[[PA ID]:[PA ID]],$B112,CostTrack[[Vendor - Contract]:[Vendor - Contract]],$H112,CostTrack[[Holdback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12" s="504">
        <f ca="1">SUMIFS(CostTrack[[Value]:[Value]],CostTrack[[PA ID]:[PA ID]],$B112,CostTrack[[Vendor - Contract]:[Vendor - Contract]],$H112,CostTrack[[Holdback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12" s="504">
        <f ca="1">SUMIFS(CostTrack[[Value]:[Value]],CostTrack[[PA ID]:[PA ID]],$B112,CostTrack[[Vendor - Contract]:[Vendor - Contract]],$H112,CostTrack[[Holdback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12" s="504">
        <f ca="1">SUMIFS(CostTrack[[Value]:[Value]],CostTrack[[PA ID]:[PA ID]],$B112,CostTrack[[Vendor - Contract]:[Vendor - Contract]],$H112,CostTrack[[Holdback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12" s="504">
        <f ca="1">SUMIFS(CostTrack[[Value]:[Value]],CostTrack[[PA ID]:[PA ID]],$B112,CostTrack[[Vendor - Contract]:[Vendor - Contract]],$H112,CostTrack[[Holdback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12" s="504">
        <f ca="1">SUMIFS(CostTrack[[Value]:[Value]],CostTrack[[PA ID]:[PA ID]],$B112,CostTrack[[Vendor - Contract]:[Vendor - Contract]],$H112,CostTrack[[Holdback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12" s="504">
        <f ca="1">SUMIFS(CostTrack[[Value]:[Value]],CostTrack[[PA ID]:[PA ID]],$B112,CostTrack[[Vendor - Contract]:[Vendor - Contract]],$H112,CostTrack[[Holdback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12" s="512">
        <f t="shared" ca="1" si="252"/>
        <v>0</v>
      </c>
      <c r="AW112" s="504">
        <f ca="1">SUMIFS(CostTrack[[Value]:[Value]],CostTrack[[PA ID]:[PA ID]],$B112,CostTrack[[Vendor - Contract]:[Vendor - Contract]],$H112,CostTrack[[Holdback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12" s="504">
        <f ca="1">SUMIFS(CostTrack[[Value]:[Value]],CostTrack[[PA ID]:[PA ID]],$B112,CostTrack[[Vendor - Contract]:[Vendor - Contract]],$H112,CostTrack[[Holdback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12" s="504">
        <f ca="1">SUMIFS(CostTrack[[Value]:[Value]],CostTrack[[PA ID]:[PA ID]],$B112,CostTrack[[Vendor - Contract]:[Vendor - Contract]],$H112,CostTrack[[Holdback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12" s="504">
        <f ca="1">SUMIFS(CostTrack[[Value]:[Value]],CostTrack[[PA ID]:[PA ID]],$B112,CostTrack[[Vendor - Contract]:[Vendor - Contract]],$H112,CostTrack[[Holdback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12" s="504">
        <f ca="1">SUMIFS(CostTrack[[Value]:[Value]],CostTrack[[PA ID]:[PA ID]],$B112,CostTrack[[Vendor - Contract]:[Vendor - Contract]],$H112,CostTrack[[Holdback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12" s="504">
        <f ca="1">SUMIFS(CostTrack[[Value]:[Value]],CostTrack[[PA ID]:[PA ID]],$B112,CostTrack[[Vendor - Contract]:[Vendor - Contract]],$H112,CostTrack[[Holdback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12" s="504">
        <f ca="1">SUMIFS(CostTrack[[Value]:[Value]],CostTrack[[PA ID]:[PA ID]],$B112,CostTrack[[Vendor - Contract]:[Vendor - Contract]],$H112,CostTrack[[Holdback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12" s="504">
        <f ca="1">SUMIFS(CostTrack[[Value]:[Value]],CostTrack[[PA ID]:[PA ID]],$B112,CostTrack[[Vendor - Contract]:[Vendor - Contract]],$H112,CostTrack[[Holdback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12" s="504">
        <f ca="1">SUMIFS(CostTrack[[Value]:[Value]],CostTrack[[PA ID]:[PA ID]],$B112,CostTrack[[Vendor - Contract]:[Vendor - Contract]],$H112,CostTrack[[Holdback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12" s="504">
        <f ca="1">SUMIFS(CostTrack[[Value]:[Value]],CostTrack[[PA ID]:[PA ID]],$B112,CostTrack[[Vendor - Contract]:[Vendor - Contract]],$H112,CostTrack[[Holdback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12" s="504">
        <f ca="1">SUMIFS(CostTrack[[Value]:[Value]],CostTrack[[PA ID]:[PA ID]],$B112,CostTrack[[Vendor - Contract]:[Vendor - Contract]],$H112,CostTrack[[Holdback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12" s="504">
        <f ca="1">SUMIFS(CostTrack[[Value]:[Value]],CostTrack[[PA ID]:[PA ID]],$B112,CostTrack[[Vendor - Contract]:[Vendor - Contract]],$H112,CostTrack[[Holdback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12" s="512">
        <f t="shared" ca="1" si="268"/>
        <v>0</v>
      </c>
      <c r="BK112" s="504">
        <f ca="1">SUMIFS(CostTrack[[Value]:[Value]],CostTrack[[PA ID]:[PA ID]],$B112,CostTrack[[Vendor - Contract]:[Vendor - Contract]],$H112,CostTrack[[Holdback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12" s="504">
        <f ca="1">SUMIFS(CostTrack[[Value]:[Value]],CostTrack[[PA ID]:[PA ID]],$B112,CostTrack[[Vendor - Contract]:[Vendor - Contract]],$H112,CostTrack[[Holdback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12" s="504">
        <f ca="1">SUMIFS(CostTrack[[Value]:[Value]],CostTrack[[PA ID]:[PA ID]],$B112,CostTrack[[Vendor - Contract]:[Vendor - Contract]],$H112,CostTrack[[Holdback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12" s="504">
        <f ca="1">SUMIFS(CostTrack[[Value]:[Value]],CostTrack[[PA ID]:[PA ID]],$B112,CostTrack[[Vendor - Contract]:[Vendor - Contract]],$H112,CostTrack[[Holdback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12" s="504">
        <f ca="1">SUMIFS(CostTrack[[Value]:[Value]],CostTrack[[PA ID]:[PA ID]],$B112,CostTrack[[Vendor - Contract]:[Vendor - Contract]],$H112,CostTrack[[Holdback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12" s="504">
        <f ca="1">SUMIFS(CostTrack[[Value]:[Value]],CostTrack[[PA ID]:[PA ID]],$B112,CostTrack[[Vendor - Contract]:[Vendor - Contract]],$H112,CostTrack[[Holdback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12" s="504">
        <f ca="1">SUMIFS(CostTrack[[Value]:[Value]],CostTrack[[PA ID]:[PA ID]],$B112,CostTrack[[Vendor - Contract]:[Vendor - Contract]],$H112,CostTrack[[Holdback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12" s="504">
        <f ca="1">SUMIFS(CostTrack[[Value]:[Value]],CostTrack[[PA ID]:[PA ID]],$B112,CostTrack[[Vendor - Contract]:[Vendor - Contract]],$H112,CostTrack[[Holdback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12" s="504">
        <f ca="1">SUMIFS(CostTrack[[Value]:[Value]],CostTrack[[PA ID]:[PA ID]],$B112,CostTrack[[Vendor - Contract]:[Vendor - Contract]],$H112,CostTrack[[Holdback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12" s="504">
        <f ca="1">SUMIFS(CostTrack[[Value]:[Value]],CostTrack[[PA ID]:[PA ID]],$B112,CostTrack[[Vendor - Contract]:[Vendor - Contract]],$H112,CostTrack[[Holdback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12" s="504">
        <f ca="1">SUMIFS(CostTrack[[Value]:[Value]],CostTrack[[PA ID]:[PA ID]],$B112,CostTrack[[Vendor - Contract]:[Vendor - Contract]],$H112,CostTrack[[Holdback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12" s="504">
        <f ca="1">SUMIFS(CostTrack[[Value]:[Value]],CostTrack[[PA ID]:[PA ID]],$B112,CostTrack[[Vendor - Contract]:[Vendor - Contract]],$H112,CostTrack[[Holdback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12" s="512">
        <f t="shared" ca="1" si="269"/>
        <v>0</v>
      </c>
      <c r="BY112" s="504">
        <f ca="1">SUMIFS(CostTrack[[Value]:[Value]],CostTrack[[PA ID]:[PA ID]],$B112,CostTrack[[Vendor - Contract]:[Vendor - Contract]],$H112,CostTrack[[Holdback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12" s="504">
        <f ca="1">SUMIFS(CostTrack[[Value]:[Value]],CostTrack[[PA ID]:[PA ID]],$B112,CostTrack[[Vendor - Contract]:[Vendor - Contract]],$H112,CostTrack[[Holdback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12" s="504">
        <f ca="1">SUMIFS(CostTrack[[Value]:[Value]],CostTrack[[PA ID]:[PA ID]],$B112,CostTrack[[Vendor - Contract]:[Vendor - Contract]],$H112,CostTrack[[Holdback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12" s="504">
        <f ca="1">SUMIFS(CostTrack[[Value]:[Value]],CostTrack[[PA ID]:[PA ID]],$B112,CostTrack[[Vendor - Contract]:[Vendor - Contract]],$H112,CostTrack[[Holdback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12" s="504">
        <f ca="1">SUMIFS(CostTrack[[Value]:[Value]],CostTrack[[PA ID]:[PA ID]],$B112,CostTrack[[Vendor - Contract]:[Vendor - Contract]],$H112,CostTrack[[Holdback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12" s="504">
        <f ca="1">SUMIFS(CostTrack[[Value]:[Value]],CostTrack[[PA ID]:[PA ID]],$B112,CostTrack[[Vendor - Contract]:[Vendor - Contract]],$H112,CostTrack[[Holdback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12" s="504">
        <f ca="1">SUMIFS(CostTrack[[Value]:[Value]],CostTrack[[PA ID]:[PA ID]],$B112,CostTrack[[Vendor - Contract]:[Vendor - Contract]],$H112,CostTrack[[Holdback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12" s="504">
        <f ca="1">SUMIFS(CostTrack[[Value]:[Value]],CostTrack[[PA ID]:[PA ID]],$B112,CostTrack[[Vendor - Contract]:[Vendor - Contract]],$H112,CostTrack[[Holdback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12" s="504">
        <f ca="1">SUMIFS(CostTrack[[Value]:[Value]],CostTrack[[PA ID]:[PA ID]],$B112,CostTrack[[Vendor - Contract]:[Vendor - Contract]],$H112,CostTrack[[Holdback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12" s="504">
        <f ca="1">SUMIFS(CostTrack[[Value]:[Value]],CostTrack[[PA ID]:[PA ID]],$B112,CostTrack[[Vendor - Contract]:[Vendor - Contract]],$H112,CostTrack[[Holdback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12" s="504">
        <f ca="1">SUMIFS(CostTrack[[Value]:[Value]],CostTrack[[PA ID]:[PA ID]],$B112,CostTrack[[Vendor - Contract]:[Vendor - Contract]],$H112,CostTrack[[Holdback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12" s="504">
        <f ca="1">SUMIFS(CostTrack[[Value]:[Value]],CostTrack[[PA ID]:[PA ID]],$B112,CostTrack[[Vendor - Contract]:[Vendor - Contract]],$H112,CostTrack[[Holdback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12" s="512">
        <f t="shared" ca="1" si="255"/>
        <v>0</v>
      </c>
      <c r="CM112" s="504">
        <f ca="1">SUMIFS(CostTrack[[Value]:[Value]],CostTrack[[PA ID]:[PA ID]],$B112,CostTrack[[Vendor - Contract]:[Vendor - Contract]],$H112,CostTrack[[Holdback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12" s="504">
        <f ca="1">SUMIFS(CostTrack[[Value]:[Value]],CostTrack[[PA ID]:[PA ID]],$B112,CostTrack[[Vendor - Contract]:[Vendor - Contract]],$H112,CostTrack[[Holdback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12" s="504">
        <f ca="1">SUMIFS(CostTrack[[Value]:[Value]],CostTrack[[PA ID]:[PA ID]],$B112,CostTrack[[Vendor - Contract]:[Vendor - Contract]],$H112,CostTrack[[Holdback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12" s="504">
        <f ca="1">SUMIFS(CostTrack[[Value]:[Value]],CostTrack[[PA ID]:[PA ID]],$B112,CostTrack[[Vendor - Contract]:[Vendor - Contract]],$H112,CostTrack[[Holdback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12" s="504">
        <f ca="1">SUMIFS(CostTrack[[Value]:[Value]],CostTrack[[PA ID]:[PA ID]],$B112,CostTrack[[Vendor - Contract]:[Vendor - Contract]],$H112,CostTrack[[Holdback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12" s="504">
        <f ca="1">SUMIFS(CostTrack[[Value]:[Value]],CostTrack[[PA ID]:[PA ID]],$B112,CostTrack[[Vendor - Contract]:[Vendor - Contract]],$H112,CostTrack[[Holdback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12" s="504">
        <f ca="1">SUMIFS(CostTrack[[Value]:[Value]],CostTrack[[PA ID]:[PA ID]],$B112,CostTrack[[Vendor - Contract]:[Vendor - Contract]],$H112,CostTrack[[Holdback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12" s="504">
        <f ca="1">SUMIFS(CostTrack[[Value]:[Value]],CostTrack[[PA ID]:[PA ID]],$B112,CostTrack[[Vendor - Contract]:[Vendor - Contract]],$H112,CostTrack[[Holdback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12" s="504">
        <f ca="1">SUMIFS(CostTrack[[Value]:[Value]],CostTrack[[PA ID]:[PA ID]],$B112,CostTrack[[Vendor - Contract]:[Vendor - Contract]],$H112,CostTrack[[Holdback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12" s="504">
        <f ca="1">SUMIFS(CostTrack[[Value]:[Value]],CostTrack[[PA ID]:[PA ID]],$B112,CostTrack[[Vendor - Contract]:[Vendor - Contract]],$H112,CostTrack[[Holdback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12" s="504">
        <f ca="1">SUMIFS(CostTrack[[Value]:[Value]],CostTrack[[PA ID]:[PA ID]],$B112,CostTrack[[Vendor - Contract]:[Vendor - Contract]],$H112,CostTrack[[Holdback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12" s="504">
        <f ca="1">SUMIFS(CostTrack[[Value]:[Value]],CostTrack[[PA ID]:[PA ID]],$B112,CostTrack[[Vendor - Contract]:[Vendor - Contract]],$H112,CostTrack[[Holdback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12" s="512">
        <f t="shared" ca="1" si="256"/>
        <v>0</v>
      </c>
      <c r="DA112" s="504">
        <f ca="1">SUMIFS(CostTrack[[Value]:[Value]],CostTrack[[PA ID]:[PA ID]],$B112,CostTrack[[Vendor - Contract]:[Vendor - Contract]],$H112,CostTrack[[Holdback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12" s="504">
        <f ca="1">SUMIFS(CostTrack[[Value]:[Value]],CostTrack[[PA ID]:[PA ID]],$B112,CostTrack[[Vendor - Contract]:[Vendor - Contract]],$H112,CostTrack[[Holdback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12" s="504">
        <f ca="1">SUMIFS(CostTrack[[Value]:[Value]],CostTrack[[PA ID]:[PA ID]],$B112,CostTrack[[Vendor - Contract]:[Vendor - Contract]],$H112,CostTrack[[Holdback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12" s="504">
        <f ca="1">SUMIFS(CostTrack[[Value]:[Value]],CostTrack[[PA ID]:[PA ID]],$B112,CostTrack[[Vendor - Contract]:[Vendor - Contract]],$H112,CostTrack[[Holdback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12" s="504">
        <f ca="1">SUMIFS(CostTrack[[Value]:[Value]],CostTrack[[PA ID]:[PA ID]],$B112,CostTrack[[Vendor - Contract]:[Vendor - Contract]],$H112,CostTrack[[Holdback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12" s="504">
        <f ca="1">SUMIFS(CostTrack[[Value]:[Value]],CostTrack[[PA ID]:[PA ID]],$B112,CostTrack[[Vendor - Contract]:[Vendor - Contract]],$H112,CostTrack[[Holdback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12" s="504">
        <f ca="1">SUMIFS(CostTrack[[Value]:[Value]],CostTrack[[PA ID]:[PA ID]],$B112,CostTrack[[Vendor - Contract]:[Vendor - Contract]],$H112,CostTrack[[Holdback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12" s="504">
        <f ca="1">SUMIFS(CostTrack[[Value]:[Value]],CostTrack[[PA ID]:[PA ID]],$B112,CostTrack[[Vendor - Contract]:[Vendor - Contract]],$H112,CostTrack[[Holdback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12" s="504">
        <f ca="1">SUMIFS(CostTrack[[Value]:[Value]],CostTrack[[PA ID]:[PA ID]],$B112,CostTrack[[Vendor - Contract]:[Vendor - Contract]],$H112,CostTrack[[Holdback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12" s="504">
        <f ca="1">SUMIFS(CostTrack[[Value]:[Value]],CostTrack[[PA ID]:[PA ID]],$B112,CostTrack[[Vendor - Contract]:[Vendor - Contract]],$H112,CostTrack[[Holdback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12" s="504">
        <f ca="1">SUMIFS(CostTrack[[Value]:[Value]],CostTrack[[PA ID]:[PA ID]],$B112,CostTrack[[Vendor - Contract]:[Vendor - Contract]],$H112,CostTrack[[Holdback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12" s="504">
        <f ca="1">SUMIFS(CostTrack[[Value]:[Value]],CostTrack[[PA ID]:[PA ID]],$B112,CostTrack[[Vendor - Contract]:[Vendor - Contract]],$H112,CostTrack[[Holdback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12" s="512">
        <f t="shared" ca="1" si="257"/>
        <v>0</v>
      </c>
      <c r="DO112" s="504">
        <f ca="1">SUMIFS(CostTrack[[Value]:[Value]],CostTrack[[PA ID]:[PA ID]],$B112,CostTrack[[Vendor - Contract]:[Vendor - Contract]],$H112,CostTrack[[Holdback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12" s="504">
        <f ca="1">SUMIFS(CostTrack[[Value]:[Value]],CostTrack[[PA ID]:[PA ID]],$B112,CostTrack[[Vendor - Contract]:[Vendor - Contract]],$H112,CostTrack[[Holdback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12" s="504">
        <f ca="1">SUMIFS(CostTrack[[Value]:[Value]],CostTrack[[PA ID]:[PA ID]],$B112,CostTrack[[Vendor - Contract]:[Vendor - Contract]],$H112,CostTrack[[Holdback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20406.97</v>
      </c>
      <c r="DR112" s="504">
        <f ca="1">SUMIFS(CostTrack[[Value]:[Value]],CostTrack[[PA ID]:[PA ID]],$B112,CostTrack[[Vendor - Contract]:[Vendor - Contract]],$H112,CostTrack[[Holdback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12" s="504">
        <f ca="1">SUMIFS(CostTrack[[Value]:[Value]],CostTrack[[PA ID]:[PA ID]],$B112,CostTrack[[Vendor - Contract]:[Vendor - Contract]],$H112,CostTrack[[Holdback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12" s="504">
        <f ca="1">SUMIFS(CostTrack[[Value]:[Value]],CostTrack[[PA ID]:[PA ID]],$B112,CostTrack[[Vendor - Contract]:[Vendor - Contract]],$H112,CostTrack[[Holdback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12" s="504">
        <f ca="1">SUMIFS(CostTrack[[Value]:[Value]],CostTrack[[PA ID]:[PA ID]],$B112,CostTrack[[Vendor - Contract]:[Vendor - Contract]],$H112,CostTrack[[Holdback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12" s="504">
        <f ca="1">SUMIFS(CostTrack[[Value]:[Value]],CostTrack[[PA ID]:[PA ID]],$B112,CostTrack[[Vendor - Contract]:[Vendor - Contract]],$H112,CostTrack[[Holdback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12" s="504">
        <f ca="1">SUMIFS(CostTrack[[Value]:[Value]],CostTrack[[PA ID]:[PA ID]],$B112,CostTrack[[Vendor - Contract]:[Vendor - Contract]],$H112,CostTrack[[Holdback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12" s="504">
        <f ca="1">SUMIFS(CostTrack[[Value]:[Value]],CostTrack[[PA ID]:[PA ID]],$B112,CostTrack[[Vendor - Contract]:[Vendor - Contract]],$H112,CostTrack[[Holdback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12" s="504">
        <f ca="1">SUMIFS(CostTrack[[Value]:[Value]],CostTrack[[PA ID]:[PA ID]],$B112,CostTrack[[Vendor - Contract]:[Vendor - Contract]],$H112,CostTrack[[Holdback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12" s="504">
        <f ca="1">SUMIFS(CostTrack[[Value]:[Value]],CostTrack[[PA ID]:[PA ID]],$B112,CostTrack[[Vendor - Contract]:[Vendor - Contract]],$H112,CostTrack[[Holdback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12" s="512">
        <f t="shared" ca="1" si="270"/>
        <v>20406.97</v>
      </c>
      <c r="EC112" s="504">
        <f ca="1">SUMIFS(CostTrack[[Value]:[Value]],CostTrack[[PA ID]:[PA ID]],$B112,CostTrack[[Vendor - Contract]:[Vendor - Contract]],$H112,CostTrack[[Holdback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12" s="505"/>
      <c r="EE112" s="505"/>
      <c r="EF112" s="505"/>
      <c r="EG112" s="505"/>
      <c r="EH112" s="505"/>
      <c r="EI112" s="505"/>
      <c r="EJ112" s="505"/>
      <c r="EK112" s="505"/>
      <c r="EL112" s="505"/>
      <c r="EM112" s="505"/>
      <c r="EN112" s="505"/>
      <c r="EO112" s="512">
        <f t="shared" ca="1" si="271"/>
        <v>0</v>
      </c>
      <c r="EQ112" s="505"/>
      <c r="ER112" s="505"/>
      <c r="ES112" s="505"/>
      <c r="ET112" s="505"/>
      <c r="EU112" s="505"/>
      <c r="EV112" s="505"/>
      <c r="EW112" s="505"/>
      <c r="EX112" s="505"/>
      <c r="EY112" s="505"/>
      <c r="EZ112" s="505"/>
      <c r="FA112" s="505"/>
      <c r="FB112" s="505"/>
      <c r="FC112" s="512">
        <f t="shared" si="272"/>
        <v>0</v>
      </c>
      <c r="FE112" s="505"/>
      <c r="FF112" s="505"/>
      <c r="FG112" s="505"/>
      <c r="FH112" s="505"/>
      <c r="FI112" s="505"/>
      <c r="FJ112" s="505"/>
      <c r="FK112" s="505"/>
      <c r="FL112" s="505"/>
      <c r="FM112" s="505"/>
      <c r="FN112" s="505"/>
      <c r="FO112" s="505"/>
      <c r="FP112" s="505"/>
      <c r="FQ112" s="512">
        <f t="shared" si="273"/>
        <v>0</v>
      </c>
      <c r="FS112" s="504">
        <f t="shared" ca="1" si="274"/>
        <v>20406.97</v>
      </c>
    </row>
    <row r="113" spans="1:175">
      <c r="A113" s="216">
        <v>106</v>
      </c>
      <c r="B113" s="219" t="str">
        <f ca="1">INDEX(EAC[PA ID],MATCH($A113,EAC[Row],0))</f>
        <v>400.010.F1</v>
      </c>
      <c r="C113" s="218" t="str">
        <f ca="1">INDEX(EAC[Primary Category],MATCH($A113,EAC[Row],0))</f>
        <v>FE_IT</v>
      </c>
      <c r="D113" s="218" t="str">
        <f ca="1">INDEX(EAC[Secondary Category],MATCH($A113,EAC[Row],0))</f>
        <v>Furniture &amp; Equipment</v>
      </c>
      <c r="E113" s="109" t="str">
        <f ca="1">INDEX(EAC[Phase / Subproject],MATCH($A113,EAC[Row],0))</f>
        <v>--</v>
      </c>
      <c r="F113" s="109" t="str">
        <f ca="1">INDEX(EAC[Phase / Subproject 2],MATCH($A113,EAC[Row],0))</f>
        <v>--</v>
      </c>
      <c r="G113" s="109" t="str">
        <f ca="1">INDEX(EAC[Funding Source],MATCH($A113,EAC[Row],0))</f>
        <v>P-002360</v>
      </c>
      <c r="H113" s="146" t="str">
        <f ca="1">INDEX(EAC[Vendor / Org. with Contract ID],MATCH($A113,EAC[Row],0))</f>
        <v>COI-Furniture Reuse-RSC-9000084647</v>
      </c>
      <c r="I113" s="502">
        <f ca="1">INDEX(EAC[Estimate At Completion],MATCH($A113,EAC[Row],0))</f>
        <v>11343.09</v>
      </c>
      <c r="J113" s="502">
        <f ca="1">SUMIFS(CostTrack[Value],CostTrack[Vendor - Contract],$H113,CostTrack[PA ID],$B113,CostTrack[Holdback (Y/N/R)],"&lt;&gt;Release",CostTrack[Status],"Approved")</f>
        <v>11343.09</v>
      </c>
      <c r="K113" s="503">
        <f t="shared" ca="1" si="278"/>
        <v>0</v>
      </c>
      <c r="M113" s="504">
        <f t="shared" ca="1" si="264"/>
        <v>0</v>
      </c>
      <c r="O113" s="504">
        <f t="shared" ca="1" si="275"/>
        <v>11343.09</v>
      </c>
      <c r="P113" s="504">
        <f t="array" aca="1" ref="P113" ca="1">SUM($U113:$FQ113*_xlfn.ISFORMULA($U113:$FQ113)*ISNUMBER($U$7:$FQ$7)*--(INDEX($U$6:$FQ$6,N(IF({1},COLUMN($U$6:$FQ$6)-COLUMN($T$6)))-MOD(N(IF({1},COLUMN($U$6:$FQ$6)-COLUMN($U$6))),14))="Current Fiscal"))</f>
        <v>0</v>
      </c>
      <c r="Q113" s="504">
        <f t="array" aca="1" ref="Q113" ca="1">SUM($U113:$FQ113*NOT(_xlfn.ISFORMULA($U113:$FQ113))*ISNUMBER($U$7:$FQ$7)*--(INDEX($U$6:$FQ$6,N(IF({1},COLUMN($U$6:$FQ$6)-COLUMN($T$6)))-MOD(N(IF({1},COLUMN($U$6:$FQ$6)-COLUMN($U$6))),14))="Current Fiscal"))</f>
        <v>0</v>
      </c>
      <c r="R113" s="504">
        <f t="shared" ca="1" si="276"/>
        <v>0</v>
      </c>
      <c r="S113" s="504">
        <f t="shared" ca="1" si="277"/>
        <v>0</v>
      </c>
      <c r="U113" s="504">
        <f ca="1">SUMIFS(CostTrack[[Value]:[Value]],CostTrack[[PA ID]:[PA ID]],$B113,CostTrack[[Vendor - Contract]:[Vendor - Contract]],$H113,CostTrack[[Holdback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13" s="504">
        <f ca="1">SUMIFS(CostTrack[[Value]:[Value]],CostTrack[[PA ID]:[PA ID]],$B113,CostTrack[[Vendor - Contract]:[Vendor - Contract]],$H113,CostTrack[[Holdback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13" s="504">
        <f ca="1">SUMIFS(CostTrack[[Value]:[Value]],CostTrack[[PA ID]:[PA ID]],$B113,CostTrack[[Vendor - Contract]:[Vendor - Contract]],$H113,CostTrack[[Holdback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13" s="504">
        <f ca="1">SUMIFS(CostTrack[[Value]:[Value]],CostTrack[[PA ID]:[PA ID]],$B113,CostTrack[[Vendor - Contract]:[Vendor - Contract]],$H113,CostTrack[[Holdback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13" s="504">
        <f ca="1">SUMIFS(CostTrack[[Value]:[Value]],CostTrack[[PA ID]:[PA ID]],$B113,CostTrack[[Vendor - Contract]:[Vendor - Contract]],$H113,CostTrack[[Holdback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13" s="504">
        <f ca="1">SUMIFS(CostTrack[[Value]:[Value]],CostTrack[[PA ID]:[PA ID]],$B113,CostTrack[[Vendor - Contract]:[Vendor - Contract]],$H113,CostTrack[[Holdback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13" s="504">
        <f ca="1">SUMIFS(CostTrack[[Value]:[Value]],CostTrack[[PA ID]:[PA ID]],$B113,CostTrack[[Vendor - Contract]:[Vendor - Contract]],$H113,CostTrack[[Holdback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13" s="504">
        <f ca="1">SUMIFS(CostTrack[[Value]:[Value]],CostTrack[[PA ID]:[PA ID]],$B113,CostTrack[[Vendor - Contract]:[Vendor - Contract]],$H113,CostTrack[[Holdback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13" s="504">
        <f ca="1">SUMIFS(CostTrack[[Value]:[Value]],CostTrack[[PA ID]:[PA ID]],$B113,CostTrack[[Vendor - Contract]:[Vendor - Contract]],$H113,CostTrack[[Holdback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13" s="504">
        <f ca="1">SUMIFS(CostTrack[[Value]:[Value]],CostTrack[[PA ID]:[PA ID]],$B113,CostTrack[[Vendor - Contract]:[Vendor - Contract]],$H113,CostTrack[[Holdback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13" s="504">
        <f ca="1">SUMIFS(CostTrack[[Value]:[Value]],CostTrack[[PA ID]:[PA ID]],$B113,CostTrack[[Vendor - Contract]:[Vendor - Contract]],$H113,CostTrack[[Holdback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13" s="504">
        <f ca="1">SUMIFS(CostTrack[[Value]:[Value]],CostTrack[[PA ID]:[PA ID]],$B113,CostTrack[[Vendor - Contract]:[Vendor - Contract]],$H113,CostTrack[[Holdback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13" s="506">
        <f t="shared" ca="1" si="235"/>
        <v>0</v>
      </c>
      <c r="AI113" s="504">
        <f ca="1">SUMIFS(CostTrack[[Value]:[Value]],CostTrack[[PA ID]:[PA ID]],$B113,CostTrack[[Vendor - Contract]:[Vendor - Contract]],$H113,CostTrack[[Holdback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13" s="504">
        <f ca="1">SUMIFS(CostTrack[[Value]:[Value]],CostTrack[[PA ID]:[PA ID]],$B113,CostTrack[[Vendor - Contract]:[Vendor - Contract]],$H113,CostTrack[[Holdback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13" s="504">
        <f ca="1">SUMIFS(CostTrack[[Value]:[Value]],CostTrack[[PA ID]:[PA ID]],$B113,CostTrack[[Vendor - Contract]:[Vendor - Contract]],$H113,CostTrack[[Holdback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13" s="504">
        <f ca="1">SUMIFS(CostTrack[[Value]:[Value]],CostTrack[[PA ID]:[PA ID]],$B113,CostTrack[[Vendor - Contract]:[Vendor - Contract]],$H113,CostTrack[[Holdback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13" s="504">
        <f ca="1">SUMIFS(CostTrack[[Value]:[Value]],CostTrack[[PA ID]:[PA ID]],$B113,CostTrack[[Vendor - Contract]:[Vendor - Contract]],$H113,CostTrack[[Holdback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13" s="504">
        <f ca="1">SUMIFS(CostTrack[[Value]:[Value]],CostTrack[[PA ID]:[PA ID]],$B113,CostTrack[[Vendor - Contract]:[Vendor - Contract]],$H113,CostTrack[[Holdback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13" s="504">
        <f ca="1">SUMIFS(CostTrack[[Value]:[Value]],CostTrack[[PA ID]:[PA ID]],$B113,CostTrack[[Vendor - Contract]:[Vendor - Contract]],$H113,CostTrack[[Holdback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13" s="504">
        <f ca="1">SUMIFS(CostTrack[[Value]:[Value]],CostTrack[[PA ID]:[PA ID]],$B113,CostTrack[[Vendor - Contract]:[Vendor - Contract]],$H113,CostTrack[[Holdback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13" s="504">
        <f ca="1">SUMIFS(CostTrack[[Value]:[Value]],CostTrack[[PA ID]:[PA ID]],$B113,CostTrack[[Vendor - Contract]:[Vendor - Contract]],$H113,CostTrack[[Holdback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13" s="504">
        <f ca="1">SUMIFS(CostTrack[[Value]:[Value]],CostTrack[[PA ID]:[PA ID]],$B113,CostTrack[[Vendor - Contract]:[Vendor - Contract]],$H113,CostTrack[[Holdback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13" s="504">
        <f ca="1">SUMIFS(CostTrack[[Value]:[Value]],CostTrack[[PA ID]:[PA ID]],$B113,CostTrack[[Vendor - Contract]:[Vendor - Contract]],$H113,CostTrack[[Holdback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13" s="504">
        <f ca="1">SUMIFS(CostTrack[[Value]:[Value]],CostTrack[[PA ID]:[PA ID]],$B113,CostTrack[[Vendor - Contract]:[Vendor - Contract]],$H113,CostTrack[[Holdback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13" s="512">
        <f t="shared" ca="1" si="252"/>
        <v>0</v>
      </c>
      <c r="AW113" s="504">
        <f ca="1">SUMIFS(CostTrack[[Value]:[Value]],CostTrack[[PA ID]:[PA ID]],$B113,CostTrack[[Vendor - Contract]:[Vendor - Contract]],$H113,CostTrack[[Holdback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13" s="504">
        <f ca="1">SUMIFS(CostTrack[[Value]:[Value]],CostTrack[[PA ID]:[PA ID]],$B113,CostTrack[[Vendor - Contract]:[Vendor - Contract]],$H113,CostTrack[[Holdback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13" s="504">
        <f ca="1">SUMIFS(CostTrack[[Value]:[Value]],CostTrack[[PA ID]:[PA ID]],$B113,CostTrack[[Vendor - Contract]:[Vendor - Contract]],$H113,CostTrack[[Holdback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13" s="504">
        <f ca="1">SUMIFS(CostTrack[[Value]:[Value]],CostTrack[[PA ID]:[PA ID]],$B113,CostTrack[[Vendor - Contract]:[Vendor - Contract]],$H113,CostTrack[[Holdback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13" s="504">
        <f ca="1">SUMIFS(CostTrack[[Value]:[Value]],CostTrack[[PA ID]:[PA ID]],$B113,CostTrack[[Vendor - Contract]:[Vendor - Contract]],$H113,CostTrack[[Holdback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13" s="504">
        <f ca="1">SUMIFS(CostTrack[[Value]:[Value]],CostTrack[[PA ID]:[PA ID]],$B113,CostTrack[[Vendor - Contract]:[Vendor - Contract]],$H113,CostTrack[[Holdback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13" s="504">
        <f ca="1">SUMIFS(CostTrack[[Value]:[Value]],CostTrack[[PA ID]:[PA ID]],$B113,CostTrack[[Vendor - Contract]:[Vendor - Contract]],$H113,CostTrack[[Holdback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13" s="504">
        <f ca="1">SUMIFS(CostTrack[[Value]:[Value]],CostTrack[[PA ID]:[PA ID]],$B113,CostTrack[[Vendor - Contract]:[Vendor - Contract]],$H113,CostTrack[[Holdback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13" s="504">
        <f ca="1">SUMIFS(CostTrack[[Value]:[Value]],CostTrack[[PA ID]:[PA ID]],$B113,CostTrack[[Vendor - Contract]:[Vendor - Contract]],$H113,CostTrack[[Holdback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13" s="504">
        <f ca="1">SUMIFS(CostTrack[[Value]:[Value]],CostTrack[[PA ID]:[PA ID]],$B113,CostTrack[[Vendor - Contract]:[Vendor - Contract]],$H113,CostTrack[[Holdback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13" s="504">
        <f ca="1">SUMIFS(CostTrack[[Value]:[Value]],CostTrack[[PA ID]:[PA ID]],$B113,CostTrack[[Vendor - Contract]:[Vendor - Contract]],$H113,CostTrack[[Holdback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13" s="504">
        <f ca="1">SUMIFS(CostTrack[[Value]:[Value]],CostTrack[[PA ID]:[PA ID]],$B113,CostTrack[[Vendor - Contract]:[Vendor - Contract]],$H113,CostTrack[[Holdback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13" s="512">
        <f t="shared" ca="1" si="268"/>
        <v>0</v>
      </c>
      <c r="BK113" s="504">
        <f ca="1">SUMIFS(CostTrack[[Value]:[Value]],CostTrack[[PA ID]:[PA ID]],$B113,CostTrack[[Vendor - Contract]:[Vendor - Contract]],$H113,CostTrack[[Holdback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13" s="504">
        <f ca="1">SUMIFS(CostTrack[[Value]:[Value]],CostTrack[[PA ID]:[PA ID]],$B113,CostTrack[[Vendor - Contract]:[Vendor - Contract]],$H113,CostTrack[[Holdback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13" s="504">
        <f ca="1">SUMIFS(CostTrack[[Value]:[Value]],CostTrack[[PA ID]:[PA ID]],$B113,CostTrack[[Vendor - Contract]:[Vendor - Contract]],$H113,CostTrack[[Holdback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13" s="504">
        <f ca="1">SUMIFS(CostTrack[[Value]:[Value]],CostTrack[[PA ID]:[PA ID]],$B113,CostTrack[[Vendor - Contract]:[Vendor - Contract]],$H113,CostTrack[[Holdback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13" s="504">
        <f ca="1">SUMIFS(CostTrack[[Value]:[Value]],CostTrack[[PA ID]:[PA ID]],$B113,CostTrack[[Vendor - Contract]:[Vendor - Contract]],$H113,CostTrack[[Holdback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13" s="504">
        <f ca="1">SUMIFS(CostTrack[[Value]:[Value]],CostTrack[[PA ID]:[PA ID]],$B113,CostTrack[[Vendor - Contract]:[Vendor - Contract]],$H113,CostTrack[[Holdback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13" s="504">
        <f ca="1">SUMIFS(CostTrack[[Value]:[Value]],CostTrack[[PA ID]:[PA ID]],$B113,CostTrack[[Vendor - Contract]:[Vendor - Contract]],$H113,CostTrack[[Holdback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13" s="504">
        <f ca="1">SUMIFS(CostTrack[[Value]:[Value]],CostTrack[[PA ID]:[PA ID]],$B113,CostTrack[[Vendor - Contract]:[Vendor - Contract]],$H113,CostTrack[[Holdback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13" s="504">
        <f ca="1">SUMIFS(CostTrack[[Value]:[Value]],CostTrack[[PA ID]:[PA ID]],$B113,CostTrack[[Vendor - Contract]:[Vendor - Contract]],$H113,CostTrack[[Holdback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13" s="504">
        <f ca="1">SUMIFS(CostTrack[[Value]:[Value]],CostTrack[[PA ID]:[PA ID]],$B113,CostTrack[[Vendor - Contract]:[Vendor - Contract]],$H113,CostTrack[[Holdback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13" s="504">
        <f ca="1">SUMIFS(CostTrack[[Value]:[Value]],CostTrack[[PA ID]:[PA ID]],$B113,CostTrack[[Vendor - Contract]:[Vendor - Contract]],$H113,CostTrack[[Holdback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13" s="504">
        <f ca="1">SUMIFS(CostTrack[[Value]:[Value]],CostTrack[[PA ID]:[PA ID]],$B113,CostTrack[[Vendor - Contract]:[Vendor - Contract]],$H113,CostTrack[[Holdback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13" s="512">
        <f t="shared" ca="1" si="269"/>
        <v>0</v>
      </c>
      <c r="BY113" s="504">
        <f ca="1">SUMIFS(CostTrack[[Value]:[Value]],CostTrack[[PA ID]:[PA ID]],$B113,CostTrack[[Vendor - Contract]:[Vendor - Contract]],$H113,CostTrack[[Holdback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13" s="504">
        <f ca="1">SUMIFS(CostTrack[[Value]:[Value]],CostTrack[[PA ID]:[PA ID]],$B113,CostTrack[[Vendor - Contract]:[Vendor - Contract]],$H113,CostTrack[[Holdback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13" s="504">
        <f ca="1">SUMIFS(CostTrack[[Value]:[Value]],CostTrack[[PA ID]:[PA ID]],$B113,CostTrack[[Vendor - Contract]:[Vendor - Contract]],$H113,CostTrack[[Holdback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13" s="504">
        <f ca="1">SUMIFS(CostTrack[[Value]:[Value]],CostTrack[[PA ID]:[PA ID]],$B113,CostTrack[[Vendor - Contract]:[Vendor - Contract]],$H113,CostTrack[[Holdback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13" s="504">
        <f ca="1">SUMIFS(CostTrack[[Value]:[Value]],CostTrack[[PA ID]:[PA ID]],$B113,CostTrack[[Vendor - Contract]:[Vendor - Contract]],$H113,CostTrack[[Holdback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13" s="504">
        <f ca="1">SUMIFS(CostTrack[[Value]:[Value]],CostTrack[[PA ID]:[PA ID]],$B113,CostTrack[[Vendor - Contract]:[Vendor - Contract]],$H113,CostTrack[[Holdback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13" s="504">
        <f ca="1">SUMIFS(CostTrack[[Value]:[Value]],CostTrack[[PA ID]:[PA ID]],$B113,CostTrack[[Vendor - Contract]:[Vendor - Contract]],$H113,CostTrack[[Holdback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13" s="504">
        <f ca="1">SUMIFS(CostTrack[[Value]:[Value]],CostTrack[[PA ID]:[PA ID]],$B113,CostTrack[[Vendor - Contract]:[Vendor - Contract]],$H113,CostTrack[[Holdback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13" s="504">
        <f ca="1">SUMIFS(CostTrack[[Value]:[Value]],CostTrack[[PA ID]:[PA ID]],$B113,CostTrack[[Vendor - Contract]:[Vendor - Contract]],$H113,CostTrack[[Holdback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13" s="504">
        <f ca="1">SUMIFS(CostTrack[[Value]:[Value]],CostTrack[[PA ID]:[PA ID]],$B113,CostTrack[[Vendor - Contract]:[Vendor - Contract]],$H113,CostTrack[[Holdback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13" s="504">
        <f ca="1">SUMIFS(CostTrack[[Value]:[Value]],CostTrack[[PA ID]:[PA ID]],$B113,CostTrack[[Vendor - Contract]:[Vendor - Contract]],$H113,CostTrack[[Holdback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13" s="504">
        <f ca="1">SUMIFS(CostTrack[[Value]:[Value]],CostTrack[[PA ID]:[PA ID]],$B113,CostTrack[[Vendor - Contract]:[Vendor - Contract]],$H113,CostTrack[[Holdback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13" s="512">
        <f t="shared" ca="1" si="255"/>
        <v>0</v>
      </c>
      <c r="CM113" s="504">
        <f ca="1">SUMIFS(CostTrack[[Value]:[Value]],CostTrack[[PA ID]:[PA ID]],$B113,CostTrack[[Vendor - Contract]:[Vendor - Contract]],$H113,CostTrack[[Holdback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13" s="504">
        <f ca="1">SUMIFS(CostTrack[[Value]:[Value]],CostTrack[[PA ID]:[PA ID]],$B113,CostTrack[[Vendor - Contract]:[Vendor - Contract]],$H113,CostTrack[[Holdback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13" s="504">
        <f ca="1">SUMIFS(CostTrack[[Value]:[Value]],CostTrack[[PA ID]:[PA ID]],$B113,CostTrack[[Vendor - Contract]:[Vendor - Contract]],$H113,CostTrack[[Holdback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13" s="504">
        <f ca="1">SUMIFS(CostTrack[[Value]:[Value]],CostTrack[[PA ID]:[PA ID]],$B113,CostTrack[[Vendor - Contract]:[Vendor - Contract]],$H113,CostTrack[[Holdback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13" s="504">
        <f ca="1">SUMIFS(CostTrack[[Value]:[Value]],CostTrack[[PA ID]:[PA ID]],$B113,CostTrack[[Vendor - Contract]:[Vendor - Contract]],$H113,CostTrack[[Holdback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13" s="504">
        <f ca="1">SUMIFS(CostTrack[[Value]:[Value]],CostTrack[[PA ID]:[PA ID]],$B113,CostTrack[[Vendor - Contract]:[Vendor - Contract]],$H113,CostTrack[[Holdback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13" s="504">
        <f ca="1">SUMIFS(CostTrack[[Value]:[Value]],CostTrack[[PA ID]:[PA ID]],$B113,CostTrack[[Vendor - Contract]:[Vendor - Contract]],$H113,CostTrack[[Holdback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13" s="504">
        <f ca="1">SUMIFS(CostTrack[[Value]:[Value]],CostTrack[[PA ID]:[PA ID]],$B113,CostTrack[[Vendor - Contract]:[Vendor - Contract]],$H113,CostTrack[[Holdback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13" s="504">
        <f ca="1">SUMIFS(CostTrack[[Value]:[Value]],CostTrack[[PA ID]:[PA ID]],$B113,CostTrack[[Vendor - Contract]:[Vendor - Contract]],$H113,CostTrack[[Holdback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13" s="504">
        <f ca="1">SUMIFS(CostTrack[[Value]:[Value]],CostTrack[[PA ID]:[PA ID]],$B113,CostTrack[[Vendor - Contract]:[Vendor - Contract]],$H113,CostTrack[[Holdback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13" s="504">
        <f ca="1">SUMIFS(CostTrack[[Value]:[Value]],CostTrack[[PA ID]:[PA ID]],$B113,CostTrack[[Vendor - Contract]:[Vendor - Contract]],$H113,CostTrack[[Holdback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13" s="504">
        <f ca="1">SUMIFS(CostTrack[[Value]:[Value]],CostTrack[[PA ID]:[PA ID]],$B113,CostTrack[[Vendor - Contract]:[Vendor - Contract]],$H113,CostTrack[[Holdback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13" s="512">
        <f t="shared" ca="1" si="256"/>
        <v>0</v>
      </c>
      <c r="DA113" s="504">
        <f ca="1">SUMIFS(CostTrack[[Value]:[Value]],CostTrack[[PA ID]:[PA ID]],$B113,CostTrack[[Vendor - Contract]:[Vendor - Contract]],$H113,CostTrack[[Holdback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13" s="504">
        <f ca="1">SUMIFS(CostTrack[[Value]:[Value]],CostTrack[[PA ID]:[PA ID]],$B113,CostTrack[[Vendor - Contract]:[Vendor - Contract]],$H113,CostTrack[[Holdback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13" s="504">
        <f ca="1">SUMIFS(CostTrack[[Value]:[Value]],CostTrack[[PA ID]:[PA ID]],$B113,CostTrack[[Vendor - Contract]:[Vendor - Contract]],$H113,CostTrack[[Holdback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13" s="504">
        <f ca="1">SUMIFS(CostTrack[[Value]:[Value]],CostTrack[[PA ID]:[PA ID]],$B113,CostTrack[[Vendor - Contract]:[Vendor - Contract]],$H113,CostTrack[[Holdback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13" s="504">
        <f ca="1">SUMIFS(CostTrack[[Value]:[Value]],CostTrack[[PA ID]:[PA ID]],$B113,CostTrack[[Vendor - Contract]:[Vendor - Contract]],$H113,CostTrack[[Holdback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13" s="504">
        <f ca="1">SUMIFS(CostTrack[[Value]:[Value]],CostTrack[[PA ID]:[PA ID]],$B113,CostTrack[[Vendor - Contract]:[Vendor - Contract]],$H113,CostTrack[[Holdback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13" s="504">
        <f ca="1">SUMIFS(CostTrack[[Value]:[Value]],CostTrack[[PA ID]:[PA ID]],$B113,CostTrack[[Vendor - Contract]:[Vendor - Contract]],$H113,CostTrack[[Holdback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13" s="504">
        <f ca="1">SUMIFS(CostTrack[[Value]:[Value]],CostTrack[[PA ID]:[PA ID]],$B113,CostTrack[[Vendor - Contract]:[Vendor - Contract]],$H113,CostTrack[[Holdback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13" s="504">
        <f ca="1">SUMIFS(CostTrack[[Value]:[Value]],CostTrack[[PA ID]:[PA ID]],$B113,CostTrack[[Vendor - Contract]:[Vendor - Contract]],$H113,CostTrack[[Holdback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13" s="504">
        <f ca="1">SUMIFS(CostTrack[[Value]:[Value]],CostTrack[[PA ID]:[PA ID]],$B113,CostTrack[[Vendor - Contract]:[Vendor - Contract]],$H113,CostTrack[[Holdback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13" s="504">
        <f ca="1">SUMIFS(CostTrack[[Value]:[Value]],CostTrack[[PA ID]:[PA ID]],$B113,CostTrack[[Vendor - Contract]:[Vendor - Contract]],$H113,CostTrack[[Holdback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13" s="504">
        <f ca="1">SUMIFS(CostTrack[[Value]:[Value]],CostTrack[[PA ID]:[PA ID]],$B113,CostTrack[[Vendor - Contract]:[Vendor - Contract]],$H113,CostTrack[[Holdback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13" s="512">
        <f t="shared" ca="1" si="257"/>
        <v>0</v>
      </c>
      <c r="DO113" s="504">
        <f ca="1">SUMIFS(CostTrack[[Value]:[Value]],CostTrack[[PA ID]:[PA ID]],$B113,CostTrack[[Vendor - Contract]:[Vendor - Contract]],$H113,CostTrack[[Holdback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13" s="504">
        <f ca="1">SUMIFS(CostTrack[[Value]:[Value]],CostTrack[[PA ID]:[PA ID]],$B113,CostTrack[[Vendor - Contract]:[Vendor - Contract]],$H113,CostTrack[[Holdback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13" s="504">
        <f ca="1">SUMIFS(CostTrack[[Value]:[Value]],CostTrack[[PA ID]:[PA ID]],$B113,CostTrack[[Vendor - Contract]:[Vendor - Contract]],$H113,CostTrack[[Holdback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13" s="504">
        <f ca="1">SUMIFS(CostTrack[[Value]:[Value]],CostTrack[[PA ID]:[PA ID]],$B113,CostTrack[[Vendor - Contract]:[Vendor - Contract]],$H113,CostTrack[[Holdback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13" s="504">
        <f ca="1">SUMIFS(CostTrack[[Value]:[Value]],CostTrack[[PA ID]:[PA ID]],$B113,CostTrack[[Vendor - Contract]:[Vendor - Contract]],$H113,CostTrack[[Holdback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13" s="504">
        <f ca="1">SUMIFS(CostTrack[[Value]:[Value]],CostTrack[[PA ID]:[PA ID]],$B113,CostTrack[[Vendor - Contract]:[Vendor - Contract]],$H113,CostTrack[[Holdback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13" s="504">
        <f ca="1">SUMIFS(CostTrack[[Value]:[Value]],CostTrack[[PA ID]:[PA ID]],$B113,CostTrack[[Vendor - Contract]:[Vendor - Contract]],$H113,CostTrack[[Holdback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13" s="504">
        <f ca="1">SUMIFS(CostTrack[[Value]:[Value]],CostTrack[[PA ID]:[PA ID]],$B113,CostTrack[[Vendor - Contract]:[Vendor - Contract]],$H113,CostTrack[[Holdback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13" s="504">
        <f ca="1">SUMIFS(CostTrack[[Value]:[Value]],CostTrack[[PA ID]:[PA ID]],$B113,CostTrack[[Vendor - Contract]:[Vendor - Contract]],$H113,CostTrack[[Holdback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13" s="504">
        <f ca="1">SUMIFS(CostTrack[[Value]:[Value]],CostTrack[[PA ID]:[PA ID]],$B113,CostTrack[[Vendor - Contract]:[Vendor - Contract]],$H113,CostTrack[[Holdback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11343.09</v>
      </c>
      <c r="DY113" s="504">
        <f ca="1">SUMIFS(CostTrack[[Value]:[Value]],CostTrack[[PA ID]:[PA ID]],$B113,CostTrack[[Vendor - Contract]:[Vendor - Contract]],$H113,CostTrack[[Holdback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13" s="504">
        <f ca="1">SUMIFS(CostTrack[[Value]:[Value]],CostTrack[[PA ID]:[PA ID]],$B113,CostTrack[[Vendor - Contract]:[Vendor - Contract]],$H113,CostTrack[[Holdback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13" s="512">
        <f t="shared" ca="1" si="270"/>
        <v>11343.09</v>
      </c>
      <c r="EC113" s="504">
        <f ca="1">SUMIFS(CostTrack[[Value]:[Value]],CostTrack[[PA ID]:[PA ID]],$B113,CostTrack[[Vendor - Contract]:[Vendor - Contract]],$H113,CostTrack[[Holdback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13" s="505"/>
      <c r="EE113" s="505"/>
      <c r="EF113" s="505"/>
      <c r="EG113" s="505"/>
      <c r="EH113" s="505"/>
      <c r="EI113" s="505"/>
      <c r="EJ113" s="505"/>
      <c r="EK113" s="505"/>
      <c r="EL113" s="505"/>
      <c r="EM113" s="505"/>
      <c r="EN113" s="505"/>
      <c r="EO113" s="512">
        <f t="shared" ca="1" si="271"/>
        <v>0</v>
      </c>
      <c r="EQ113" s="505"/>
      <c r="ER113" s="505"/>
      <c r="ES113" s="505"/>
      <c r="ET113" s="505"/>
      <c r="EU113" s="505"/>
      <c r="EV113" s="505"/>
      <c r="EW113" s="505"/>
      <c r="EX113" s="505"/>
      <c r="EY113" s="505"/>
      <c r="EZ113" s="505"/>
      <c r="FA113" s="505"/>
      <c r="FB113" s="505"/>
      <c r="FC113" s="512">
        <f t="shared" si="272"/>
        <v>0</v>
      </c>
      <c r="FE113" s="505"/>
      <c r="FF113" s="505"/>
      <c r="FG113" s="505"/>
      <c r="FH113" s="505"/>
      <c r="FI113" s="505"/>
      <c r="FJ113" s="505"/>
      <c r="FK113" s="505"/>
      <c r="FL113" s="505"/>
      <c r="FM113" s="505"/>
      <c r="FN113" s="505"/>
      <c r="FO113" s="505"/>
      <c r="FP113" s="505"/>
      <c r="FQ113" s="512">
        <f t="shared" si="273"/>
        <v>0</v>
      </c>
      <c r="FS113" s="504">
        <f t="shared" ca="1" si="274"/>
        <v>11343.09</v>
      </c>
    </row>
    <row r="114" spans="1:175">
      <c r="A114" s="216">
        <v>107</v>
      </c>
      <c r="B114" s="219" t="str">
        <f ca="1">INDEX(EAC[PA ID],MATCH($A114,EAC[Row],0))</f>
        <v>400.010.F1</v>
      </c>
      <c r="C114" s="218" t="str">
        <f ca="1">INDEX(EAC[Primary Category],MATCH($A114,EAC[Row],0))</f>
        <v>FE_IT</v>
      </c>
      <c r="D114" s="218" t="str">
        <f ca="1">INDEX(EAC[Secondary Category],MATCH($A114,EAC[Row],0))</f>
        <v>Furniture &amp; Equipment</v>
      </c>
      <c r="E114" s="109" t="str">
        <f ca="1">INDEX(EAC[Phase / Subproject],MATCH($A114,EAC[Row],0))</f>
        <v>--</v>
      </c>
      <c r="F114" s="109" t="str">
        <f ca="1">INDEX(EAC[Phase / Subproject 2],MATCH($A114,EAC[Row],0))</f>
        <v>--</v>
      </c>
      <c r="G114" s="109" t="str">
        <f ca="1">INDEX(EAC[Funding Source],MATCH($A114,EAC[Row],0))</f>
        <v>P-002360</v>
      </c>
      <c r="H114" s="146" t="str">
        <f ca="1">INDEX(EAC[Vendor / Org. with Contract ID],MATCH($A114,EAC[Row],0))</f>
        <v>Global-Saxon Chairs-9000084417</v>
      </c>
      <c r="I114" s="502">
        <f ca="1">INDEX(EAC[Estimate At Completion],MATCH($A114,EAC[Row],0))</f>
        <v>12646.6</v>
      </c>
      <c r="J114" s="502">
        <f ca="1">SUMIFS(CostTrack[Value],CostTrack[Vendor - Contract],$H114,CostTrack[PA ID],$B114,CostTrack[Holdback (Y/N/R)],"&lt;&gt;Release",CostTrack[Status],"Approved")</f>
        <v>12646.6</v>
      </c>
      <c r="K114" s="503">
        <f t="shared" ca="1" si="278"/>
        <v>0</v>
      </c>
      <c r="M114" s="504">
        <f t="shared" ca="1" si="264"/>
        <v>0</v>
      </c>
      <c r="O114" s="504">
        <f t="shared" ca="1" si="275"/>
        <v>12646.6</v>
      </c>
      <c r="P114" s="504">
        <f t="array" aca="1" ref="P114" ca="1">SUM($U114:$FQ114*_xlfn.ISFORMULA($U114:$FQ114)*ISNUMBER($U$7:$FQ$7)*--(INDEX($U$6:$FQ$6,N(IF({1},COLUMN($U$6:$FQ$6)-COLUMN($T$6)))-MOD(N(IF({1},COLUMN($U$6:$FQ$6)-COLUMN($U$6))),14))="Current Fiscal"))</f>
        <v>0</v>
      </c>
      <c r="Q114" s="504">
        <f t="array" aca="1" ref="Q114" ca="1">SUM($U114:$FQ114*NOT(_xlfn.ISFORMULA($U114:$FQ114))*ISNUMBER($U$7:$FQ$7)*--(INDEX($U$6:$FQ$6,N(IF({1},COLUMN($U$6:$FQ$6)-COLUMN($T$6)))-MOD(N(IF({1},COLUMN($U$6:$FQ$6)-COLUMN($U$6))),14))="Current Fiscal"))</f>
        <v>0</v>
      </c>
      <c r="R114" s="504">
        <f t="shared" ca="1" si="276"/>
        <v>0</v>
      </c>
      <c r="S114" s="504">
        <f t="shared" ca="1" si="277"/>
        <v>0</v>
      </c>
      <c r="U114" s="504">
        <f ca="1">SUMIFS(CostTrack[[Value]:[Value]],CostTrack[[PA ID]:[PA ID]],$B114,CostTrack[[Vendor - Contract]:[Vendor - Contract]],$H114,CostTrack[[Holdback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14" s="504">
        <f ca="1">SUMIFS(CostTrack[[Value]:[Value]],CostTrack[[PA ID]:[PA ID]],$B114,CostTrack[[Vendor - Contract]:[Vendor - Contract]],$H114,CostTrack[[Holdback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14" s="504">
        <f ca="1">SUMIFS(CostTrack[[Value]:[Value]],CostTrack[[PA ID]:[PA ID]],$B114,CostTrack[[Vendor - Contract]:[Vendor - Contract]],$H114,CostTrack[[Holdback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14" s="504">
        <f ca="1">SUMIFS(CostTrack[[Value]:[Value]],CostTrack[[PA ID]:[PA ID]],$B114,CostTrack[[Vendor - Contract]:[Vendor - Contract]],$H114,CostTrack[[Holdback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14" s="504">
        <f ca="1">SUMIFS(CostTrack[[Value]:[Value]],CostTrack[[PA ID]:[PA ID]],$B114,CostTrack[[Vendor - Contract]:[Vendor - Contract]],$H114,CostTrack[[Holdback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14" s="504">
        <f ca="1">SUMIFS(CostTrack[[Value]:[Value]],CostTrack[[PA ID]:[PA ID]],$B114,CostTrack[[Vendor - Contract]:[Vendor - Contract]],$H114,CostTrack[[Holdback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14" s="504">
        <f ca="1">SUMIFS(CostTrack[[Value]:[Value]],CostTrack[[PA ID]:[PA ID]],$B114,CostTrack[[Vendor - Contract]:[Vendor - Contract]],$H114,CostTrack[[Holdback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14" s="504">
        <f ca="1">SUMIFS(CostTrack[[Value]:[Value]],CostTrack[[PA ID]:[PA ID]],$B114,CostTrack[[Vendor - Contract]:[Vendor - Contract]],$H114,CostTrack[[Holdback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14" s="504">
        <f ca="1">SUMIFS(CostTrack[[Value]:[Value]],CostTrack[[PA ID]:[PA ID]],$B114,CostTrack[[Vendor - Contract]:[Vendor - Contract]],$H114,CostTrack[[Holdback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14" s="504">
        <f ca="1">SUMIFS(CostTrack[[Value]:[Value]],CostTrack[[PA ID]:[PA ID]],$B114,CostTrack[[Vendor - Contract]:[Vendor - Contract]],$H114,CostTrack[[Holdback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14" s="504">
        <f ca="1">SUMIFS(CostTrack[[Value]:[Value]],CostTrack[[PA ID]:[PA ID]],$B114,CostTrack[[Vendor - Contract]:[Vendor - Contract]],$H114,CostTrack[[Holdback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14" s="504">
        <f ca="1">SUMIFS(CostTrack[[Value]:[Value]],CostTrack[[PA ID]:[PA ID]],$B114,CostTrack[[Vendor - Contract]:[Vendor - Contract]],$H114,CostTrack[[Holdback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14" s="506">
        <f t="shared" ca="1" si="235"/>
        <v>0</v>
      </c>
      <c r="AI114" s="504">
        <f ca="1">SUMIFS(CostTrack[[Value]:[Value]],CostTrack[[PA ID]:[PA ID]],$B114,CostTrack[[Vendor - Contract]:[Vendor - Contract]],$H114,CostTrack[[Holdback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14" s="504">
        <f ca="1">SUMIFS(CostTrack[[Value]:[Value]],CostTrack[[PA ID]:[PA ID]],$B114,CostTrack[[Vendor - Contract]:[Vendor - Contract]],$H114,CostTrack[[Holdback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14" s="504">
        <f ca="1">SUMIFS(CostTrack[[Value]:[Value]],CostTrack[[PA ID]:[PA ID]],$B114,CostTrack[[Vendor - Contract]:[Vendor - Contract]],$H114,CostTrack[[Holdback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14" s="504">
        <f ca="1">SUMIFS(CostTrack[[Value]:[Value]],CostTrack[[PA ID]:[PA ID]],$B114,CostTrack[[Vendor - Contract]:[Vendor - Contract]],$H114,CostTrack[[Holdback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14" s="504">
        <f ca="1">SUMIFS(CostTrack[[Value]:[Value]],CostTrack[[PA ID]:[PA ID]],$B114,CostTrack[[Vendor - Contract]:[Vendor - Contract]],$H114,CostTrack[[Holdback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14" s="504">
        <f ca="1">SUMIFS(CostTrack[[Value]:[Value]],CostTrack[[PA ID]:[PA ID]],$B114,CostTrack[[Vendor - Contract]:[Vendor - Contract]],$H114,CostTrack[[Holdback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14" s="504">
        <f ca="1">SUMIFS(CostTrack[[Value]:[Value]],CostTrack[[PA ID]:[PA ID]],$B114,CostTrack[[Vendor - Contract]:[Vendor - Contract]],$H114,CostTrack[[Holdback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14" s="504">
        <f ca="1">SUMIFS(CostTrack[[Value]:[Value]],CostTrack[[PA ID]:[PA ID]],$B114,CostTrack[[Vendor - Contract]:[Vendor - Contract]],$H114,CostTrack[[Holdback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14" s="504">
        <f ca="1">SUMIFS(CostTrack[[Value]:[Value]],CostTrack[[PA ID]:[PA ID]],$B114,CostTrack[[Vendor - Contract]:[Vendor - Contract]],$H114,CostTrack[[Holdback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14" s="504">
        <f ca="1">SUMIFS(CostTrack[[Value]:[Value]],CostTrack[[PA ID]:[PA ID]],$B114,CostTrack[[Vendor - Contract]:[Vendor - Contract]],$H114,CostTrack[[Holdback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14" s="504">
        <f ca="1">SUMIFS(CostTrack[[Value]:[Value]],CostTrack[[PA ID]:[PA ID]],$B114,CostTrack[[Vendor - Contract]:[Vendor - Contract]],$H114,CostTrack[[Holdback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14" s="504">
        <f ca="1">SUMIFS(CostTrack[[Value]:[Value]],CostTrack[[PA ID]:[PA ID]],$B114,CostTrack[[Vendor - Contract]:[Vendor - Contract]],$H114,CostTrack[[Holdback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14" s="512">
        <f t="shared" ca="1" si="252"/>
        <v>0</v>
      </c>
      <c r="AW114" s="504">
        <f ca="1">SUMIFS(CostTrack[[Value]:[Value]],CostTrack[[PA ID]:[PA ID]],$B114,CostTrack[[Vendor - Contract]:[Vendor - Contract]],$H114,CostTrack[[Holdback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14" s="504">
        <f ca="1">SUMIFS(CostTrack[[Value]:[Value]],CostTrack[[PA ID]:[PA ID]],$B114,CostTrack[[Vendor - Contract]:[Vendor - Contract]],$H114,CostTrack[[Holdback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14" s="504">
        <f ca="1">SUMIFS(CostTrack[[Value]:[Value]],CostTrack[[PA ID]:[PA ID]],$B114,CostTrack[[Vendor - Contract]:[Vendor - Contract]],$H114,CostTrack[[Holdback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14" s="504">
        <f ca="1">SUMIFS(CostTrack[[Value]:[Value]],CostTrack[[PA ID]:[PA ID]],$B114,CostTrack[[Vendor - Contract]:[Vendor - Contract]],$H114,CostTrack[[Holdback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14" s="504">
        <f ca="1">SUMIFS(CostTrack[[Value]:[Value]],CostTrack[[PA ID]:[PA ID]],$B114,CostTrack[[Vendor - Contract]:[Vendor - Contract]],$H114,CostTrack[[Holdback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14" s="504">
        <f ca="1">SUMIFS(CostTrack[[Value]:[Value]],CostTrack[[PA ID]:[PA ID]],$B114,CostTrack[[Vendor - Contract]:[Vendor - Contract]],$H114,CostTrack[[Holdback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14" s="504">
        <f ca="1">SUMIFS(CostTrack[[Value]:[Value]],CostTrack[[PA ID]:[PA ID]],$B114,CostTrack[[Vendor - Contract]:[Vendor - Contract]],$H114,CostTrack[[Holdback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14" s="504">
        <f ca="1">SUMIFS(CostTrack[[Value]:[Value]],CostTrack[[PA ID]:[PA ID]],$B114,CostTrack[[Vendor - Contract]:[Vendor - Contract]],$H114,CostTrack[[Holdback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14" s="504">
        <f ca="1">SUMIFS(CostTrack[[Value]:[Value]],CostTrack[[PA ID]:[PA ID]],$B114,CostTrack[[Vendor - Contract]:[Vendor - Contract]],$H114,CostTrack[[Holdback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14" s="504">
        <f ca="1">SUMIFS(CostTrack[[Value]:[Value]],CostTrack[[PA ID]:[PA ID]],$B114,CostTrack[[Vendor - Contract]:[Vendor - Contract]],$H114,CostTrack[[Holdback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14" s="504">
        <f ca="1">SUMIFS(CostTrack[[Value]:[Value]],CostTrack[[PA ID]:[PA ID]],$B114,CostTrack[[Vendor - Contract]:[Vendor - Contract]],$H114,CostTrack[[Holdback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14" s="504">
        <f ca="1">SUMIFS(CostTrack[[Value]:[Value]],CostTrack[[PA ID]:[PA ID]],$B114,CostTrack[[Vendor - Contract]:[Vendor - Contract]],$H114,CostTrack[[Holdback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14" s="512">
        <f t="shared" ca="1" si="268"/>
        <v>0</v>
      </c>
      <c r="BK114" s="504">
        <f ca="1">SUMIFS(CostTrack[[Value]:[Value]],CostTrack[[PA ID]:[PA ID]],$B114,CostTrack[[Vendor - Contract]:[Vendor - Contract]],$H114,CostTrack[[Holdback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14" s="504">
        <f ca="1">SUMIFS(CostTrack[[Value]:[Value]],CostTrack[[PA ID]:[PA ID]],$B114,CostTrack[[Vendor - Contract]:[Vendor - Contract]],$H114,CostTrack[[Holdback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14" s="504">
        <f ca="1">SUMIFS(CostTrack[[Value]:[Value]],CostTrack[[PA ID]:[PA ID]],$B114,CostTrack[[Vendor - Contract]:[Vendor - Contract]],$H114,CostTrack[[Holdback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14" s="504">
        <f ca="1">SUMIFS(CostTrack[[Value]:[Value]],CostTrack[[PA ID]:[PA ID]],$B114,CostTrack[[Vendor - Contract]:[Vendor - Contract]],$H114,CostTrack[[Holdback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14" s="504">
        <f ca="1">SUMIFS(CostTrack[[Value]:[Value]],CostTrack[[PA ID]:[PA ID]],$B114,CostTrack[[Vendor - Contract]:[Vendor - Contract]],$H114,CostTrack[[Holdback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14" s="504">
        <f ca="1">SUMIFS(CostTrack[[Value]:[Value]],CostTrack[[PA ID]:[PA ID]],$B114,CostTrack[[Vendor - Contract]:[Vendor - Contract]],$H114,CostTrack[[Holdback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14" s="504">
        <f ca="1">SUMIFS(CostTrack[[Value]:[Value]],CostTrack[[PA ID]:[PA ID]],$B114,CostTrack[[Vendor - Contract]:[Vendor - Contract]],$H114,CostTrack[[Holdback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14" s="504">
        <f ca="1">SUMIFS(CostTrack[[Value]:[Value]],CostTrack[[PA ID]:[PA ID]],$B114,CostTrack[[Vendor - Contract]:[Vendor - Contract]],$H114,CostTrack[[Holdback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14" s="504">
        <f ca="1">SUMIFS(CostTrack[[Value]:[Value]],CostTrack[[PA ID]:[PA ID]],$B114,CostTrack[[Vendor - Contract]:[Vendor - Contract]],$H114,CostTrack[[Holdback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14" s="504">
        <f ca="1">SUMIFS(CostTrack[[Value]:[Value]],CostTrack[[PA ID]:[PA ID]],$B114,CostTrack[[Vendor - Contract]:[Vendor - Contract]],$H114,CostTrack[[Holdback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14" s="504">
        <f ca="1">SUMIFS(CostTrack[[Value]:[Value]],CostTrack[[PA ID]:[PA ID]],$B114,CostTrack[[Vendor - Contract]:[Vendor - Contract]],$H114,CostTrack[[Holdback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14" s="504">
        <f ca="1">SUMIFS(CostTrack[[Value]:[Value]],CostTrack[[PA ID]:[PA ID]],$B114,CostTrack[[Vendor - Contract]:[Vendor - Contract]],$H114,CostTrack[[Holdback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14" s="512">
        <f t="shared" ca="1" si="269"/>
        <v>0</v>
      </c>
      <c r="BY114" s="504">
        <f ca="1">SUMIFS(CostTrack[[Value]:[Value]],CostTrack[[PA ID]:[PA ID]],$B114,CostTrack[[Vendor - Contract]:[Vendor - Contract]],$H114,CostTrack[[Holdback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14" s="504">
        <f ca="1">SUMIFS(CostTrack[[Value]:[Value]],CostTrack[[PA ID]:[PA ID]],$B114,CostTrack[[Vendor - Contract]:[Vendor - Contract]],$H114,CostTrack[[Holdback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14" s="504">
        <f ca="1">SUMIFS(CostTrack[[Value]:[Value]],CostTrack[[PA ID]:[PA ID]],$B114,CostTrack[[Vendor - Contract]:[Vendor - Contract]],$H114,CostTrack[[Holdback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14" s="504">
        <f ca="1">SUMIFS(CostTrack[[Value]:[Value]],CostTrack[[PA ID]:[PA ID]],$B114,CostTrack[[Vendor - Contract]:[Vendor - Contract]],$H114,CostTrack[[Holdback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14" s="504">
        <f ca="1">SUMIFS(CostTrack[[Value]:[Value]],CostTrack[[PA ID]:[PA ID]],$B114,CostTrack[[Vendor - Contract]:[Vendor - Contract]],$H114,CostTrack[[Holdback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14" s="504">
        <f ca="1">SUMIFS(CostTrack[[Value]:[Value]],CostTrack[[PA ID]:[PA ID]],$B114,CostTrack[[Vendor - Contract]:[Vendor - Contract]],$H114,CostTrack[[Holdback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14" s="504">
        <f ca="1">SUMIFS(CostTrack[[Value]:[Value]],CostTrack[[PA ID]:[PA ID]],$B114,CostTrack[[Vendor - Contract]:[Vendor - Contract]],$H114,CostTrack[[Holdback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14" s="504">
        <f ca="1">SUMIFS(CostTrack[[Value]:[Value]],CostTrack[[PA ID]:[PA ID]],$B114,CostTrack[[Vendor - Contract]:[Vendor - Contract]],$H114,CostTrack[[Holdback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14" s="504">
        <f ca="1">SUMIFS(CostTrack[[Value]:[Value]],CostTrack[[PA ID]:[PA ID]],$B114,CostTrack[[Vendor - Contract]:[Vendor - Contract]],$H114,CostTrack[[Holdback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14" s="504">
        <f ca="1">SUMIFS(CostTrack[[Value]:[Value]],CostTrack[[PA ID]:[PA ID]],$B114,CostTrack[[Vendor - Contract]:[Vendor - Contract]],$H114,CostTrack[[Holdback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14" s="504">
        <f ca="1">SUMIFS(CostTrack[[Value]:[Value]],CostTrack[[PA ID]:[PA ID]],$B114,CostTrack[[Vendor - Contract]:[Vendor - Contract]],$H114,CostTrack[[Holdback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14" s="504">
        <f ca="1">SUMIFS(CostTrack[[Value]:[Value]],CostTrack[[PA ID]:[PA ID]],$B114,CostTrack[[Vendor - Contract]:[Vendor - Contract]],$H114,CostTrack[[Holdback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14" s="512">
        <f t="shared" ca="1" si="255"/>
        <v>0</v>
      </c>
      <c r="CM114" s="504">
        <f ca="1">SUMIFS(CostTrack[[Value]:[Value]],CostTrack[[PA ID]:[PA ID]],$B114,CostTrack[[Vendor - Contract]:[Vendor - Contract]],$H114,CostTrack[[Holdback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14" s="504">
        <f ca="1">SUMIFS(CostTrack[[Value]:[Value]],CostTrack[[PA ID]:[PA ID]],$B114,CostTrack[[Vendor - Contract]:[Vendor - Contract]],$H114,CostTrack[[Holdback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14" s="504">
        <f ca="1">SUMIFS(CostTrack[[Value]:[Value]],CostTrack[[PA ID]:[PA ID]],$B114,CostTrack[[Vendor - Contract]:[Vendor - Contract]],$H114,CostTrack[[Holdback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14" s="504">
        <f ca="1">SUMIFS(CostTrack[[Value]:[Value]],CostTrack[[PA ID]:[PA ID]],$B114,CostTrack[[Vendor - Contract]:[Vendor - Contract]],$H114,CostTrack[[Holdback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14" s="504">
        <f ca="1">SUMIFS(CostTrack[[Value]:[Value]],CostTrack[[PA ID]:[PA ID]],$B114,CostTrack[[Vendor - Contract]:[Vendor - Contract]],$H114,CostTrack[[Holdback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14" s="504">
        <f ca="1">SUMIFS(CostTrack[[Value]:[Value]],CostTrack[[PA ID]:[PA ID]],$B114,CostTrack[[Vendor - Contract]:[Vendor - Contract]],$H114,CostTrack[[Holdback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14" s="504">
        <f ca="1">SUMIFS(CostTrack[[Value]:[Value]],CostTrack[[PA ID]:[PA ID]],$B114,CostTrack[[Vendor - Contract]:[Vendor - Contract]],$H114,CostTrack[[Holdback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14" s="504">
        <f ca="1">SUMIFS(CostTrack[[Value]:[Value]],CostTrack[[PA ID]:[PA ID]],$B114,CostTrack[[Vendor - Contract]:[Vendor - Contract]],$H114,CostTrack[[Holdback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14" s="504">
        <f ca="1">SUMIFS(CostTrack[[Value]:[Value]],CostTrack[[PA ID]:[PA ID]],$B114,CostTrack[[Vendor - Contract]:[Vendor - Contract]],$H114,CostTrack[[Holdback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14" s="504">
        <f ca="1">SUMIFS(CostTrack[[Value]:[Value]],CostTrack[[PA ID]:[PA ID]],$B114,CostTrack[[Vendor - Contract]:[Vendor - Contract]],$H114,CostTrack[[Holdback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14" s="504">
        <f ca="1">SUMIFS(CostTrack[[Value]:[Value]],CostTrack[[PA ID]:[PA ID]],$B114,CostTrack[[Vendor - Contract]:[Vendor - Contract]],$H114,CostTrack[[Holdback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14" s="504">
        <f ca="1">SUMIFS(CostTrack[[Value]:[Value]],CostTrack[[PA ID]:[PA ID]],$B114,CostTrack[[Vendor - Contract]:[Vendor - Contract]],$H114,CostTrack[[Holdback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14" s="512">
        <f t="shared" ca="1" si="256"/>
        <v>0</v>
      </c>
      <c r="DA114" s="504">
        <f ca="1">SUMIFS(CostTrack[[Value]:[Value]],CostTrack[[PA ID]:[PA ID]],$B114,CostTrack[[Vendor - Contract]:[Vendor - Contract]],$H114,CostTrack[[Holdback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14" s="504">
        <f ca="1">SUMIFS(CostTrack[[Value]:[Value]],CostTrack[[PA ID]:[PA ID]],$B114,CostTrack[[Vendor - Contract]:[Vendor - Contract]],$H114,CostTrack[[Holdback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14" s="504">
        <f ca="1">SUMIFS(CostTrack[[Value]:[Value]],CostTrack[[PA ID]:[PA ID]],$B114,CostTrack[[Vendor - Contract]:[Vendor - Contract]],$H114,CostTrack[[Holdback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14" s="504">
        <f ca="1">SUMIFS(CostTrack[[Value]:[Value]],CostTrack[[PA ID]:[PA ID]],$B114,CostTrack[[Vendor - Contract]:[Vendor - Contract]],$H114,CostTrack[[Holdback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14" s="504">
        <f ca="1">SUMIFS(CostTrack[[Value]:[Value]],CostTrack[[PA ID]:[PA ID]],$B114,CostTrack[[Vendor - Contract]:[Vendor - Contract]],$H114,CostTrack[[Holdback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14" s="504">
        <f ca="1">SUMIFS(CostTrack[[Value]:[Value]],CostTrack[[PA ID]:[PA ID]],$B114,CostTrack[[Vendor - Contract]:[Vendor - Contract]],$H114,CostTrack[[Holdback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14" s="504">
        <f ca="1">SUMIFS(CostTrack[[Value]:[Value]],CostTrack[[PA ID]:[PA ID]],$B114,CostTrack[[Vendor - Contract]:[Vendor - Contract]],$H114,CostTrack[[Holdback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14" s="504">
        <f ca="1">SUMIFS(CostTrack[[Value]:[Value]],CostTrack[[PA ID]:[PA ID]],$B114,CostTrack[[Vendor - Contract]:[Vendor - Contract]],$H114,CostTrack[[Holdback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14" s="504">
        <f ca="1">SUMIFS(CostTrack[[Value]:[Value]],CostTrack[[PA ID]:[PA ID]],$B114,CostTrack[[Vendor - Contract]:[Vendor - Contract]],$H114,CostTrack[[Holdback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14" s="504">
        <f ca="1">SUMIFS(CostTrack[[Value]:[Value]],CostTrack[[PA ID]:[PA ID]],$B114,CostTrack[[Vendor - Contract]:[Vendor - Contract]],$H114,CostTrack[[Holdback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14" s="504">
        <f ca="1">SUMIFS(CostTrack[[Value]:[Value]],CostTrack[[PA ID]:[PA ID]],$B114,CostTrack[[Vendor - Contract]:[Vendor - Contract]],$H114,CostTrack[[Holdback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14" s="504">
        <f ca="1">SUMIFS(CostTrack[[Value]:[Value]],CostTrack[[PA ID]:[PA ID]],$B114,CostTrack[[Vendor - Contract]:[Vendor - Contract]],$H114,CostTrack[[Holdback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14" s="512">
        <f t="shared" ca="1" si="257"/>
        <v>0</v>
      </c>
      <c r="DO114" s="504">
        <f ca="1">SUMIFS(CostTrack[[Value]:[Value]],CostTrack[[PA ID]:[PA ID]],$B114,CostTrack[[Vendor - Contract]:[Vendor - Contract]],$H114,CostTrack[[Holdback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14" s="504">
        <f ca="1">SUMIFS(CostTrack[[Value]:[Value]],CostTrack[[PA ID]:[PA ID]],$B114,CostTrack[[Vendor - Contract]:[Vendor - Contract]],$H114,CostTrack[[Holdback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12646.6</v>
      </c>
      <c r="DQ114" s="504">
        <f ca="1">SUMIFS(CostTrack[[Value]:[Value]],CostTrack[[PA ID]:[PA ID]],$B114,CostTrack[[Vendor - Contract]:[Vendor - Contract]],$H114,CostTrack[[Holdback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14" s="504">
        <f ca="1">SUMIFS(CostTrack[[Value]:[Value]],CostTrack[[PA ID]:[PA ID]],$B114,CostTrack[[Vendor - Contract]:[Vendor - Contract]],$H114,CostTrack[[Holdback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14" s="504">
        <f ca="1">SUMIFS(CostTrack[[Value]:[Value]],CostTrack[[PA ID]:[PA ID]],$B114,CostTrack[[Vendor - Contract]:[Vendor - Contract]],$H114,CostTrack[[Holdback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14" s="504">
        <f ca="1">SUMIFS(CostTrack[[Value]:[Value]],CostTrack[[PA ID]:[PA ID]],$B114,CostTrack[[Vendor - Contract]:[Vendor - Contract]],$H114,CostTrack[[Holdback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14" s="504">
        <f ca="1">SUMIFS(CostTrack[[Value]:[Value]],CostTrack[[PA ID]:[PA ID]],$B114,CostTrack[[Vendor - Contract]:[Vendor - Contract]],$H114,CostTrack[[Holdback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14" s="504">
        <f ca="1">SUMIFS(CostTrack[[Value]:[Value]],CostTrack[[PA ID]:[PA ID]],$B114,CostTrack[[Vendor - Contract]:[Vendor - Contract]],$H114,CostTrack[[Holdback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14" s="504">
        <f ca="1">SUMIFS(CostTrack[[Value]:[Value]],CostTrack[[PA ID]:[PA ID]],$B114,CostTrack[[Vendor - Contract]:[Vendor - Contract]],$H114,CostTrack[[Holdback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14" s="504">
        <f ca="1">SUMIFS(CostTrack[[Value]:[Value]],CostTrack[[PA ID]:[PA ID]],$B114,CostTrack[[Vendor - Contract]:[Vendor - Contract]],$H114,CostTrack[[Holdback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14" s="504">
        <f ca="1">SUMIFS(CostTrack[[Value]:[Value]],CostTrack[[PA ID]:[PA ID]],$B114,CostTrack[[Vendor - Contract]:[Vendor - Contract]],$H114,CostTrack[[Holdback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14" s="504">
        <f ca="1">SUMIFS(CostTrack[[Value]:[Value]],CostTrack[[PA ID]:[PA ID]],$B114,CostTrack[[Vendor - Contract]:[Vendor - Contract]],$H114,CostTrack[[Holdback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14" s="512">
        <f t="shared" ca="1" si="270"/>
        <v>12646.6</v>
      </c>
      <c r="EC114" s="504">
        <f ca="1">SUMIFS(CostTrack[[Value]:[Value]],CostTrack[[PA ID]:[PA ID]],$B114,CostTrack[[Vendor - Contract]:[Vendor - Contract]],$H114,CostTrack[[Holdback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14" s="505"/>
      <c r="EE114" s="505"/>
      <c r="EF114" s="505"/>
      <c r="EG114" s="505"/>
      <c r="EH114" s="505"/>
      <c r="EI114" s="505"/>
      <c r="EJ114" s="505"/>
      <c r="EK114" s="505"/>
      <c r="EL114" s="505"/>
      <c r="EM114" s="505"/>
      <c r="EN114" s="505"/>
      <c r="EO114" s="512">
        <f t="shared" ca="1" si="271"/>
        <v>0</v>
      </c>
      <c r="EQ114" s="505"/>
      <c r="ER114" s="505"/>
      <c r="ES114" s="505"/>
      <c r="ET114" s="505"/>
      <c r="EU114" s="505"/>
      <c r="EV114" s="505"/>
      <c r="EW114" s="505"/>
      <c r="EX114" s="505"/>
      <c r="EY114" s="505"/>
      <c r="EZ114" s="505"/>
      <c r="FA114" s="505"/>
      <c r="FB114" s="505"/>
      <c r="FC114" s="512">
        <f t="shared" si="272"/>
        <v>0</v>
      </c>
      <c r="FE114" s="505"/>
      <c r="FF114" s="505"/>
      <c r="FG114" s="505"/>
      <c r="FH114" s="505"/>
      <c r="FI114" s="505"/>
      <c r="FJ114" s="505"/>
      <c r="FK114" s="505"/>
      <c r="FL114" s="505"/>
      <c r="FM114" s="505"/>
      <c r="FN114" s="505"/>
      <c r="FO114" s="505"/>
      <c r="FP114" s="505"/>
      <c r="FQ114" s="512">
        <f t="shared" si="273"/>
        <v>0</v>
      </c>
      <c r="FS114" s="504">
        <f t="shared" ca="1" si="274"/>
        <v>12646.6</v>
      </c>
    </row>
    <row r="115" spans="1:175">
      <c r="A115" s="216">
        <v>108</v>
      </c>
      <c r="B115" s="219" t="str">
        <f ca="1">INDEX(EAC[PA ID],MATCH($A115,EAC[Row],0))</f>
        <v>400.010.F1</v>
      </c>
      <c r="C115" s="218" t="str">
        <f ca="1">INDEX(EAC[Primary Category],MATCH($A115,EAC[Row],0))</f>
        <v>FE_IT</v>
      </c>
      <c r="D115" s="218" t="str">
        <f ca="1">INDEX(EAC[Secondary Category],MATCH($A115,EAC[Row],0))</f>
        <v>Furniture &amp; Equipment</v>
      </c>
      <c r="E115" s="109" t="str">
        <f ca="1">INDEX(EAC[Phase / Subproject],MATCH($A115,EAC[Row],0))</f>
        <v>--</v>
      </c>
      <c r="F115" s="109" t="str">
        <f ca="1">INDEX(EAC[Phase / Subproject 2],MATCH($A115,EAC[Row],0))</f>
        <v>--</v>
      </c>
      <c r="G115" s="109" t="str">
        <f ca="1">INDEX(EAC[Funding Source],MATCH($A115,EAC[Row],0))</f>
        <v>P-002360</v>
      </c>
      <c r="H115" s="146" t="str">
        <f ca="1">INDEX(EAC[Vendor / Org. with Contract ID],MATCH($A115,EAC[Row],0))</f>
        <v>Uline storage cabinets-9000087761</v>
      </c>
      <c r="I115" s="502">
        <f ca="1">INDEX(EAC[Estimate At Completion],MATCH($A115,EAC[Row],0))</f>
        <v>8111.59</v>
      </c>
      <c r="J115" s="502">
        <f ca="1">SUMIFS(CostTrack[Value],CostTrack[Vendor - Contract],$H115,CostTrack[PA ID],$B115,CostTrack[Holdback (Y/N/R)],"&lt;&gt;Release",CostTrack[Status],"Approved")</f>
        <v>8111.59</v>
      </c>
      <c r="K115" s="503">
        <f t="shared" ref="K115" ca="1" si="279">IFERROR(I115-J115,"")</f>
        <v>0</v>
      </c>
      <c r="M115" s="504">
        <f t="shared" ca="1" si="264"/>
        <v>0</v>
      </c>
      <c r="O115" s="504">
        <f t="shared" ca="1" si="275"/>
        <v>8111.59</v>
      </c>
      <c r="P115" s="504">
        <f t="array" aca="1" ref="P115" ca="1">SUM($U115:$FQ115*_xlfn.ISFORMULA($U115:$FQ115)*ISNUMBER($U$7:$FQ$7)*--(INDEX($U$6:$FQ$6,N(IF({1},COLUMN($U$6:$FQ$6)-COLUMN($T$6)))-MOD(N(IF({1},COLUMN($U$6:$FQ$6)-COLUMN($U$6))),14))="Current Fiscal"))</f>
        <v>0</v>
      </c>
      <c r="Q115" s="504">
        <f t="array" aca="1" ref="Q115" ca="1">SUM($U115:$FQ115*NOT(_xlfn.ISFORMULA($U115:$FQ115))*ISNUMBER($U$7:$FQ$7)*--(INDEX($U$6:$FQ$6,N(IF({1},COLUMN($U$6:$FQ$6)-COLUMN($T$6)))-MOD(N(IF({1},COLUMN($U$6:$FQ$6)-COLUMN($U$6))),14))="Current Fiscal"))</f>
        <v>0</v>
      </c>
      <c r="R115" s="504">
        <f t="shared" ca="1" si="276"/>
        <v>0</v>
      </c>
      <c r="S115" s="504">
        <f t="shared" ca="1" si="277"/>
        <v>0</v>
      </c>
      <c r="U115" s="504">
        <f ca="1">SUMIFS(CostTrack[[Value]:[Value]],CostTrack[[PA ID]:[PA ID]],$B115,CostTrack[[Vendor - Contract]:[Vendor - Contract]],$H115,CostTrack[[Holdback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15" s="504">
        <f ca="1">SUMIFS(CostTrack[[Value]:[Value]],CostTrack[[PA ID]:[PA ID]],$B115,CostTrack[[Vendor - Contract]:[Vendor - Contract]],$H115,CostTrack[[Holdback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15" s="504">
        <f ca="1">SUMIFS(CostTrack[[Value]:[Value]],CostTrack[[PA ID]:[PA ID]],$B115,CostTrack[[Vendor - Contract]:[Vendor - Contract]],$H115,CostTrack[[Holdback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15" s="504">
        <f ca="1">SUMIFS(CostTrack[[Value]:[Value]],CostTrack[[PA ID]:[PA ID]],$B115,CostTrack[[Vendor - Contract]:[Vendor - Contract]],$H115,CostTrack[[Holdback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15" s="504">
        <f ca="1">SUMIFS(CostTrack[[Value]:[Value]],CostTrack[[PA ID]:[PA ID]],$B115,CostTrack[[Vendor - Contract]:[Vendor - Contract]],$H115,CostTrack[[Holdback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15" s="504">
        <f ca="1">SUMIFS(CostTrack[[Value]:[Value]],CostTrack[[PA ID]:[PA ID]],$B115,CostTrack[[Vendor - Contract]:[Vendor - Contract]],$H115,CostTrack[[Holdback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15" s="504">
        <f ca="1">SUMIFS(CostTrack[[Value]:[Value]],CostTrack[[PA ID]:[PA ID]],$B115,CostTrack[[Vendor - Contract]:[Vendor - Contract]],$H115,CostTrack[[Holdback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15" s="504">
        <f ca="1">SUMIFS(CostTrack[[Value]:[Value]],CostTrack[[PA ID]:[PA ID]],$B115,CostTrack[[Vendor - Contract]:[Vendor - Contract]],$H115,CostTrack[[Holdback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15" s="504">
        <f ca="1">SUMIFS(CostTrack[[Value]:[Value]],CostTrack[[PA ID]:[PA ID]],$B115,CostTrack[[Vendor - Contract]:[Vendor - Contract]],$H115,CostTrack[[Holdback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15" s="504">
        <f ca="1">SUMIFS(CostTrack[[Value]:[Value]],CostTrack[[PA ID]:[PA ID]],$B115,CostTrack[[Vendor - Contract]:[Vendor - Contract]],$H115,CostTrack[[Holdback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15" s="504">
        <f ca="1">SUMIFS(CostTrack[[Value]:[Value]],CostTrack[[PA ID]:[PA ID]],$B115,CostTrack[[Vendor - Contract]:[Vendor - Contract]],$H115,CostTrack[[Holdback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15" s="504">
        <f ca="1">SUMIFS(CostTrack[[Value]:[Value]],CostTrack[[PA ID]:[PA ID]],$B115,CostTrack[[Vendor - Contract]:[Vendor - Contract]],$H115,CostTrack[[Holdback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15" s="506">
        <f t="shared" ca="1" si="235"/>
        <v>0</v>
      </c>
      <c r="AI115" s="504">
        <f ca="1">SUMIFS(CostTrack[[Value]:[Value]],CostTrack[[PA ID]:[PA ID]],$B115,CostTrack[[Vendor - Contract]:[Vendor - Contract]],$H115,CostTrack[[Holdback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15" s="504">
        <f ca="1">SUMIFS(CostTrack[[Value]:[Value]],CostTrack[[PA ID]:[PA ID]],$B115,CostTrack[[Vendor - Contract]:[Vendor - Contract]],$H115,CostTrack[[Holdback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15" s="504">
        <f ca="1">SUMIFS(CostTrack[[Value]:[Value]],CostTrack[[PA ID]:[PA ID]],$B115,CostTrack[[Vendor - Contract]:[Vendor - Contract]],$H115,CostTrack[[Holdback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15" s="504">
        <f ca="1">SUMIFS(CostTrack[[Value]:[Value]],CostTrack[[PA ID]:[PA ID]],$B115,CostTrack[[Vendor - Contract]:[Vendor - Contract]],$H115,CostTrack[[Holdback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15" s="504">
        <f ca="1">SUMIFS(CostTrack[[Value]:[Value]],CostTrack[[PA ID]:[PA ID]],$B115,CostTrack[[Vendor - Contract]:[Vendor - Contract]],$H115,CostTrack[[Holdback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15" s="504">
        <f ca="1">SUMIFS(CostTrack[[Value]:[Value]],CostTrack[[PA ID]:[PA ID]],$B115,CostTrack[[Vendor - Contract]:[Vendor - Contract]],$H115,CostTrack[[Holdback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15" s="504">
        <f ca="1">SUMIFS(CostTrack[[Value]:[Value]],CostTrack[[PA ID]:[PA ID]],$B115,CostTrack[[Vendor - Contract]:[Vendor - Contract]],$H115,CostTrack[[Holdback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15" s="504">
        <f ca="1">SUMIFS(CostTrack[[Value]:[Value]],CostTrack[[PA ID]:[PA ID]],$B115,CostTrack[[Vendor - Contract]:[Vendor - Contract]],$H115,CostTrack[[Holdback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15" s="504">
        <f ca="1">SUMIFS(CostTrack[[Value]:[Value]],CostTrack[[PA ID]:[PA ID]],$B115,CostTrack[[Vendor - Contract]:[Vendor - Contract]],$H115,CostTrack[[Holdback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15" s="504">
        <f ca="1">SUMIFS(CostTrack[[Value]:[Value]],CostTrack[[PA ID]:[PA ID]],$B115,CostTrack[[Vendor - Contract]:[Vendor - Contract]],$H115,CostTrack[[Holdback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15" s="504">
        <f ca="1">SUMIFS(CostTrack[[Value]:[Value]],CostTrack[[PA ID]:[PA ID]],$B115,CostTrack[[Vendor - Contract]:[Vendor - Contract]],$H115,CostTrack[[Holdback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15" s="504">
        <f ca="1">SUMIFS(CostTrack[[Value]:[Value]],CostTrack[[PA ID]:[PA ID]],$B115,CostTrack[[Vendor - Contract]:[Vendor - Contract]],$H115,CostTrack[[Holdback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15" s="512">
        <f t="shared" ca="1" si="252"/>
        <v>0</v>
      </c>
      <c r="AW115" s="504">
        <f ca="1">SUMIFS(CostTrack[[Value]:[Value]],CostTrack[[PA ID]:[PA ID]],$B115,CostTrack[[Vendor - Contract]:[Vendor - Contract]],$H115,CostTrack[[Holdback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15" s="504">
        <f ca="1">SUMIFS(CostTrack[[Value]:[Value]],CostTrack[[PA ID]:[PA ID]],$B115,CostTrack[[Vendor - Contract]:[Vendor - Contract]],$H115,CostTrack[[Holdback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15" s="504">
        <f ca="1">SUMIFS(CostTrack[[Value]:[Value]],CostTrack[[PA ID]:[PA ID]],$B115,CostTrack[[Vendor - Contract]:[Vendor - Contract]],$H115,CostTrack[[Holdback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15" s="504">
        <f ca="1">SUMIFS(CostTrack[[Value]:[Value]],CostTrack[[PA ID]:[PA ID]],$B115,CostTrack[[Vendor - Contract]:[Vendor - Contract]],$H115,CostTrack[[Holdback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15" s="504">
        <f ca="1">SUMIFS(CostTrack[[Value]:[Value]],CostTrack[[PA ID]:[PA ID]],$B115,CostTrack[[Vendor - Contract]:[Vendor - Contract]],$H115,CostTrack[[Holdback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15" s="504">
        <f ca="1">SUMIFS(CostTrack[[Value]:[Value]],CostTrack[[PA ID]:[PA ID]],$B115,CostTrack[[Vendor - Contract]:[Vendor - Contract]],$H115,CostTrack[[Holdback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15" s="504">
        <f ca="1">SUMIFS(CostTrack[[Value]:[Value]],CostTrack[[PA ID]:[PA ID]],$B115,CostTrack[[Vendor - Contract]:[Vendor - Contract]],$H115,CostTrack[[Holdback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15" s="504">
        <f ca="1">SUMIFS(CostTrack[[Value]:[Value]],CostTrack[[PA ID]:[PA ID]],$B115,CostTrack[[Vendor - Contract]:[Vendor - Contract]],$H115,CostTrack[[Holdback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15" s="504">
        <f ca="1">SUMIFS(CostTrack[[Value]:[Value]],CostTrack[[PA ID]:[PA ID]],$B115,CostTrack[[Vendor - Contract]:[Vendor - Contract]],$H115,CostTrack[[Holdback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15" s="504">
        <f ca="1">SUMIFS(CostTrack[[Value]:[Value]],CostTrack[[PA ID]:[PA ID]],$B115,CostTrack[[Vendor - Contract]:[Vendor - Contract]],$H115,CostTrack[[Holdback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15" s="504">
        <f ca="1">SUMIFS(CostTrack[[Value]:[Value]],CostTrack[[PA ID]:[PA ID]],$B115,CostTrack[[Vendor - Contract]:[Vendor - Contract]],$H115,CostTrack[[Holdback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15" s="504">
        <f ca="1">SUMIFS(CostTrack[[Value]:[Value]],CostTrack[[PA ID]:[PA ID]],$B115,CostTrack[[Vendor - Contract]:[Vendor - Contract]],$H115,CostTrack[[Holdback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15" s="512">
        <f t="shared" ca="1" si="268"/>
        <v>0</v>
      </c>
      <c r="BK115" s="504">
        <f ca="1">SUMIFS(CostTrack[[Value]:[Value]],CostTrack[[PA ID]:[PA ID]],$B115,CostTrack[[Vendor - Contract]:[Vendor - Contract]],$H115,CostTrack[[Holdback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15" s="504">
        <f ca="1">SUMIFS(CostTrack[[Value]:[Value]],CostTrack[[PA ID]:[PA ID]],$B115,CostTrack[[Vendor - Contract]:[Vendor - Contract]],$H115,CostTrack[[Holdback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15" s="504">
        <f ca="1">SUMIFS(CostTrack[[Value]:[Value]],CostTrack[[PA ID]:[PA ID]],$B115,CostTrack[[Vendor - Contract]:[Vendor - Contract]],$H115,CostTrack[[Holdback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15" s="504">
        <f ca="1">SUMIFS(CostTrack[[Value]:[Value]],CostTrack[[PA ID]:[PA ID]],$B115,CostTrack[[Vendor - Contract]:[Vendor - Contract]],$H115,CostTrack[[Holdback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15" s="504">
        <f ca="1">SUMIFS(CostTrack[[Value]:[Value]],CostTrack[[PA ID]:[PA ID]],$B115,CostTrack[[Vendor - Contract]:[Vendor - Contract]],$H115,CostTrack[[Holdback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15" s="504">
        <f ca="1">SUMIFS(CostTrack[[Value]:[Value]],CostTrack[[PA ID]:[PA ID]],$B115,CostTrack[[Vendor - Contract]:[Vendor - Contract]],$H115,CostTrack[[Holdback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15" s="504">
        <f ca="1">SUMIFS(CostTrack[[Value]:[Value]],CostTrack[[PA ID]:[PA ID]],$B115,CostTrack[[Vendor - Contract]:[Vendor - Contract]],$H115,CostTrack[[Holdback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15" s="504">
        <f ca="1">SUMIFS(CostTrack[[Value]:[Value]],CostTrack[[PA ID]:[PA ID]],$B115,CostTrack[[Vendor - Contract]:[Vendor - Contract]],$H115,CostTrack[[Holdback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15" s="504">
        <f ca="1">SUMIFS(CostTrack[[Value]:[Value]],CostTrack[[PA ID]:[PA ID]],$B115,CostTrack[[Vendor - Contract]:[Vendor - Contract]],$H115,CostTrack[[Holdback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15" s="504">
        <f ca="1">SUMIFS(CostTrack[[Value]:[Value]],CostTrack[[PA ID]:[PA ID]],$B115,CostTrack[[Vendor - Contract]:[Vendor - Contract]],$H115,CostTrack[[Holdback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15" s="504">
        <f ca="1">SUMIFS(CostTrack[[Value]:[Value]],CostTrack[[PA ID]:[PA ID]],$B115,CostTrack[[Vendor - Contract]:[Vendor - Contract]],$H115,CostTrack[[Holdback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15" s="504">
        <f ca="1">SUMIFS(CostTrack[[Value]:[Value]],CostTrack[[PA ID]:[PA ID]],$B115,CostTrack[[Vendor - Contract]:[Vendor - Contract]],$H115,CostTrack[[Holdback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15" s="512">
        <f t="shared" ca="1" si="269"/>
        <v>0</v>
      </c>
      <c r="BY115" s="504">
        <f ca="1">SUMIFS(CostTrack[[Value]:[Value]],CostTrack[[PA ID]:[PA ID]],$B115,CostTrack[[Vendor - Contract]:[Vendor - Contract]],$H115,CostTrack[[Holdback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15" s="504">
        <f ca="1">SUMIFS(CostTrack[[Value]:[Value]],CostTrack[[PA ID]:[PA ID]],$B115,CostTrack[[Vendor - Contract]:[Vendor - Contract]],$H115,CostTrack[[Holdback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15" s="504">
        <f ca="1">SUMIFS(CostTrack[[Value]:[Value]],CostTrack[[PA ID]:[PA ID]],$B115,CostTrack[[Vendor - Contract]:[Vendor - Contract]],$H115,CostTrack[[Holdback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15" s="504">
        <f ca="1">SUMIFS(CostTrack[[Value]:[Value]],CostTrack[[PA ID]:[PA ID]],$B115,CostTrack[[Vendor - Contract]:[Vendor - Contract]],$H115,CostTrack[[Holdback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15" s="504">
        <f ca="1">SUMIFS(CostTrack[[Value]:[Value]],CostTrack[[PA ID]:[PA ID]],$B115,CostTrack[[Vendor - Contract]:[Vendor - Contract]],$H115,CostTrack[[Holdback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15" s="504">
        <f ca="1">SUMIFS(CostTrack[[Value]:[Value]],CostTrack[[PA ID]:[PA ID]],$B115,CostTrack[[Vendor - Contract]:[Vendor - Contract]],$H115,CostTrack[[Holdback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15" s="504">
        <f ca="1">SUMIFS(CostTrack[[Value]:[Value]],CostTrack[[PA ID]:[PA ID]],$B115,CostTrack[[Vendor - Contract]:[Vendor - Contract]],$H115,CostTrack[[Holdback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15" s="504">
        <f ca="1">SUMIFS(CostTrack[[Value]:[Value]],CostTrack[[PA ID]:[PA ID]],$B115,CostTrack[[Vendor - Contract]:[Vendor - Contract]],$H115,CostTrack[[Holdback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15" s="504">
        <f ca="1">SUMIFS(CostTrack[[Value]:[Value]],CostTrack[[PA ID]:[PA ID]],$B115,CostTrack[[Vendor - Contract]:[Vendor - Contract]],$H115,CostTrack[[Holdback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15" s="504">
        <f ca="1">SUMIFS(CostTrack[[Value]:[Value]],CostTrack[[PA ID]:[PA ID]],$B115,CostTrack[[Vendor - Contract]:[Vendor - Contract]],$H115,CostTrack[[Holdback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15" s="504">
        <f ca="1">SUMIFS(CostTrack[[Value]:[Value]],CostTrack[[PA ID]:[PA ID]],$B115,CostTrack[[Vendor - Contract]:[Vendor - Contract]],$H115,CostTrack[[Holdback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15" s="504">
        <f ca="1">SUMIFS(CostTrack[[Value]:[Value]],CostTrack[[PA ID]:[PA ID]],$B115,CostTrack[[Vendor - Contract]:[Vendor - Contract]],$H115,CostTrack[[Holdback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15" s="512">
        <f t="shared" ca="1" si="255"/>
        <v>0</v>
      </c>
      <c r="CM115" s="504">
        <f ca="1">SUMIFS(CostTrack[[Value]:[Value]],CostTrack[[PA ID]:[PA ID]],$B115,CostTrack[[Vendor - Contract]:[Vendor - Contract]],$H115,CostTrack[[Holdback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15" s="504">
        <f ca="1">SUMIFS(CostTrack[[Value]:[Value]],CostTrack[[PA ID]:[PA ID]],$B115,CostTrack[[Vendor - Contract]:[Vendor - Contract]],$H115,CostTrack[[Holdback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15" s="504">
        <f ca="1">SUMIFS(CostTrack[[Value]:[Value]],CostTrack[[PA ID]:[PA ID]],$B115,CostTrack[[Vendor - Contract]:[Vendor - Contract]],$H115,CostTrack[[Holdback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15" s="504">
        <f ca="1">SUMIFS(CostTrack[[Value]:[Value]],CostTrack[[PA ID]:[PA ID]],$B115,CostTrack[[Vendor - Contract]:[Vendor - Contract]],$H115,CostTrack[[Holdback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15" s="504">
        <f ca="1">SUMIFS(CostTrack[[Value]:[Value]],CostTrack[[PA ID]:[PA ID]],$B115,CostTrack[[Vendor - Contract]:[Vendor - Contract]],$H115,CostTrack[[Holdback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15" s="504">
        <f ca="1">SUMIFS(CostTrack[[Value]:[Value]],CostTrack[[PA ID]:[PA ID]],$B115,CostTrack[[Vendor - Contract]:[Vendor - Contract]],$H115,CostTrack[[Holdback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15" s="504">
        <f ca="1">SUMIFS(CostTrack[[Value]:[Value]],CostTrack[[PA ID]:[PA ID]],$B115,CostTrack[[Vendor - Contract]:[Vendor - Contract]],$H115,CostTrack[[Holdback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15" s="504">
        <f ca="1">SUMIFS(CostTrack[[Value]:[Value]],CostTrack[[PA ID]:[PA ID]],$B115,CostTrack[[Vendor - Contract]:[Vendor - Contract]],$H115,CostTrack[[Holdback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15" s="504">
        <f ca="1">SUMIFS(CostTrack[[Value]:[Value]],CostTrack[[PA ID]:[PA ID]],$B115,CostTrack[[Vendor - Contract]:[Vendor - Contract]],$H115,CostTrack[[Holdback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15" s="504">
        <f ca="1">SUMIFS(CostTrack[[Value]:[Value]],CostTrack[[PA ID]:[PA ID]],$B115,CostTrack[[Vendor - Contract]:[Vendor - Contract]],$H115,CostTrack[[Holdback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15" s="504">
        <f ca="1">SUMIFS(CostTrack[[Value]:[Value]],CostTrack[[PA ID]:[PA ID]],$B115,CostTrack[[Vendor - Contract]:[Vendor - Contract]],$H115,CostTrack[[Holdback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15" s="504">
        <f ca="1">SUMIFS(CostTrack[[Value]:[Value]],CostTrack[[PA ID]:[PA ID]],$B115,CostTrack[[Vendor - Contract]:[Vendor - Contract]],$H115,CostTrack[[Holdback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15" s="512">
        <f t="shared" ca="1" si="256"/>
        <v>0</v>
      </c>
      <c r="DA115" s="504">
        <f ca="1">SUMIFS(CostTrack[[Value]:[Value]],CostTrack[[PA ID]:[PA ID]],$B115,CostTrack[[Vendor - Contract]:[Vendor - Contract]],$H115,CostTrack[[Holdback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15" s="504">
        <f ca="1">SUMIFS(CostTrack[[Value]:[Value]],CostTrack[[PA ID]:[PA ID]],$B115,CostTrack[[Vendor - Contract]:[Vendor - Contract]],$H115,CostTrack[[Holdback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15" s="504">
        <f ca="1">SUMIFS(CostTrack[[Value]:[Value]],CostTrack[[PA ID]:[PA ID]],$B115,CostTrack[[Vendor - Contract]:[Vendor - Contract]],$H115,CostTrack[[Holdback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15" s="504">
        <f ca="1">SUMIFS(CostTrack[[Value]:[Value]],CostTrack[[PA ID]:[PA ID]],$B115,CostTrack[[Vendor - Contract]:[Vendor - Contract]],$H115,CostTrack[[Holdback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15" s="504">
        <f ca="1">SUMIFS(CostTrack[[Value]:[Value]],CostTrack[[PA ID]:[PA ID]],$B115,CostTrack[[Vendor - Contract]:[Vendor - Contract]],$H115,CostTrack[[Holdback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15" s="504">
        <f ca="1">SUMIFS(CostTrack[[Value]:[Value]],CostTrack[[PA ID]:[PA ID]],$B115,CostTrack[[Vendor - Contract]:[Vendor - Contract]],$H115,CostTrack[[Holdback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15" s="504">
        <f ca="1">SUMIFS(CostTrack[[Value]:[Value]],CostTrack[[PA ID]:[PA ID]],$B115,CostTrack[[Vendor - Contract]:[Vendor - Contract]],$H115,CostTrack[[Holdback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15" s="504">
        <f ca="1">SUMIFS(CostTrack[[Value]:[Value]],CostTrack[[PA ID]:[PA ID]],$B115,CostTrack[[Vendor - Contract]:[Vendor - Contract]],$H115,CostTrack[[Holdback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15" s="504">
        <f ca="1">SUMIFS(CostTrack[[Value]:[Value]],CostTrack[[PA ID]:[PA ID]],$B115,CostTrack[[Vendor - Contract]:[Vendor - Contract]],$H115,CostTrack[[Holdback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15" s="504">
        <f ca="1">SUMIFS(CostTrack[[Value]:[Value]],CostTrack[[PA ID]:[PA ID]],$B115,CostTrack[[Vendor - Contract]:[Vendor - Contract]],$H115,CostTrack[[Holdback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15" s="504">
        <f ca="1">SUMIFS(CostTrack[[Value]:[Value]],CostTrack[[PA ID]:[PA ID]],$B115,CostTrack[[Vendor - Contract]:[Vendor - Contract]],$H115,CostTrack[[Holdback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15" s="504">
        <f ca="1">SUMIFS(CostTrack[[Value]:[Value]],CostTrack[[PA ID]:[PA ID]],$B115,CostTrack[[Vendor - Contract]:[Vendor - Contract]],$H115,CostTrack[[Holdback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15" s="512">
        <f t="shared" ca="1" si="257"/>
        <v>0</v>
      </c>
      <c r="DO115" s="504">
        <f ca="1">SUMIFS(CostTrack[[Value]:[Value]],CostTrack[[PA ID]:[PA ID]],$B115,CostTrack[[Vendor - Contract]:[Vendor - Contract]],$H115,CostTrack[[Holdback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15" s="504">
        <f ca="1">SUMIFS(CostTrack[[Value]:[Value]],CostTrack[[PA ID]:[PA ID]],$B115,CostTrack[[Vendor - Contract]:[Vendor - Contract]],$H115,CostTrack[[Holdback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15" s="504">
        <f ca="1">SUMIFS(CostTrack[[Value]:[Value]],CostTrack[[PA ID]:[PA ID]],$B115,CostTrack[[Vendor - Contract]:[Vendor - Contract]],$H115,CostTrack[[Holdback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15" s="504">
        <f ca="1">SUMIFS(CostTrack[[Value]:[Value]],CostTrack[[PA ID]:[PA ID]],$B115,CostTrack[[Vendor - Contract]:[Vendor - Contract]],$H115,CostTrack[[Holdback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15" s="504">
        <f ca="1">SUMIFS(CostTrack[[Value]:[Value]],CostTrack[[PA ID]:[PA ID]],$B115,CostTrack[[Vendor - Contract]:[Vendor - Contract]],$H115,CostTrack[[Holdback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8111.59</v>
      </c>
      <c r="DT115" s="504">
        <f ca="1">SUMIFS(CostTrack[[Value]:[Value]],CostTrack[[PA ID]:[PA ID]],$B115,CostTrack[[Vendor - Contract]:[Vendor - Contract]],$H115,CostTrack[[Holdback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15" s="504">
        <f ca="1">SUMIFS(CostTrack[[Value]:[Value]],CostTrack[[PA ID]:[PA ID]],$B115,CostTrack[[Vendor - Contract]:[Vendor - Contract]],$H115,CostTrack[[Holdback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15" s="504">
        <f ca="1">SUMIFS(CostTrack[[Value]:[Value]],CostTrack[[PA ID]:[PA ID]],$B115,CostTrack[[Vendor - Contract]:[Vendor - Contract]],$H115,CostTrack[[Holdback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15" s="504">
        <f ca="1">SUMIFS(CostTrack[[Value]:[Value]],CostTrack[[PA ID]:[PA ID]],$B115,CostTrack[[Vendor - Contract]:[Vendor - Contract]],$H115,CostTrack[[Holdback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15" s="504">
        <f ca="1">SUMIFS(CostTrack[[Value]:[Value]],CostTrack[[PA ID]:[PA ID]],$B115,CostTrack[[Vendor - Contract]:[Vendor - Contract]],$H115,CostTrack[[Holdback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15" s="504">
        <f ca="1">SUMIFS(CostTrack[[Value]:[Value]],CostTrack[[PA ID]:[PA ID]],$B115,CostTrack[[Vendor - Contract]:[Vendor - Contract]],$H115,CostTrack[[Holdback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15" s="504">
        <f ca="1">SUMIFS(CostTrack[[Value]:[Value]],CostTrack[[PA ID]:[PA ID]],$B115,CostTrack[[Vendor - Contract]:[Vendor - Contract]],$H115,CostTrack[[Holdback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15" s="512">
        <f t="shared" ca="1" si="270"/>
        <v>8111.59</v>
      </c>
      <c r="EC115" s="504">
        <f ca="1">SUMIFS(CostTrack[[Value]:[Value]],CostTrack[[PA ID]:[PA ID]],$B115,CostTrack[[Vendor - Contract]:[Vendor - Contract]],$H115,CostTrack[[Holdback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15" s="505"/>
      <c r="EE115" s="505"/>
      <c r="EF115" s="505"/>
      <c r="EG115" s="505"/>
      <c r="EH115" s="505"/>
      <c r="EI115" s="505"/>
      <c r="EJ115" s="505"/>
      <c r="EK115" s="505"/>
      <c r="EL115" s="505"/>
      <c r="EM115" s="505"/>
      <c r="EN115" s="505"/>
      <c r="EO115" s="512">
        <f t="shared" ca="1" si="271"/>
        <v>0</v>
      </c>
      <c r="EQ115" s="505"/>
      <c r="ER115" s="505"/>
      <c r="ES115" s="505"/>
      <c r="ET115" s="505"/>
      <c r="EU115" s="505"/>
      <c r="EV115" s="505"/>
      <c r="EW115" s="505"/>
      <c r="EX115" s="505"/>
      <c r="EY115" s="505"/>
      <c r="EZ115" s="505"/>
      <c r="FA115" s="505"/>
      <c r="FB115" s="505"/>
      <c r="FC115" s="512">
        <f t="shared" si="272"/>
        <v>0</v>
      </c>
      <c r="FE115" s="505"/>
      <c r="FF115" s="505"/>
      <c r="FG115" s="505"/>
      <c r="FH115" s="505"/>
      <c r="FI115" s="505"/>
      <c r="FJ115" s="505"/>
      <c r="FK115" s="505"/>
      <c r="FL115" s="505"/>
      <c r="FM115" s="505"/>
      <c r="FN115" s="505"/>
      <c r="FO115" s="505"/>
      <c r="FP115" s="505"/>
      <c r="FQ115" s="512">
        <f t="shared" si="273"/>
        <v>0</v>
      </c>
      <c r="FS115" s="504">
        <f t="shared" ca="1" si="274"/>
        <v>8111.59</v>
      </c>
    </row>
    <row r="116" spans="1:175">
      <c r="A116" s="216">
        <v>109</v>
      </c>
      <c r="B116" s="219" t="str">
        <f ca="1">INDEX(EAC[PA ID],MATCH($A116,EAC[Row],0))</f>
        <v>400.010.F1</v>
      </c>
      <c r="C116" s="218" t="str">
        <f ca="1">INDEX(EAC[Primary Category],MATCH($A116,EAC[Row],0))</f>
        <v>FE_IT</v>
      </c>
      <c r="D116" s="218" t="str">
        <f ca="1">INDEX(EAC[Secondary Category],MATCH($A116,EAC[Row],0))</f>
        <v>Furniture &amp; Equipment</v>
      </c>
      <c r="E116" s="109" t="str">
        <f ca="1">INDEX(EAC[Phase / Subproject],MATCH($A116,EAC[Row],0))</f>
        <v>--</v>
      </c>
      <c r="F116" s="109" t="str">
        <f ca="1">INDEX(EAC[Phase / Subproject 2],MATCH($A116,EAC[Row],0))</f>
        <v>--</v>
      </c>
      <c r="G116" s="109" t="str">
        <f ca="1">INDEX(EAC[Funding Source],MATCH($A116,EAC[Row],0))</f>
        <v>P-002360</v>
      </c>
      <c r="H116" s="146" t="str">
        <f ca="1">INDEX(EAC[Vendor / Org. with Contract ID],MATCH($A116,EAC[Row],0))</f>
        <v>Telus- Voip Phones-288PA-20046</v>
      </c>
      <c r="I116" s="502">
        <f ca="1">INDEX(EAC[Estimate At Completion],MATCH($A116,EAC[Row],0))</f>
        <v>0</v>
      </c>
      <c r="J116" s="502">
        <f ca="1">SUMIFS(CostTrack[Value],CostTrack[Vendor - Contract],$H116,CostTrack[PA ID],$B116,CostTrack[Holdback (Y/N/R)],"&lt;&gt;Release",CostTrack[Status],"Approved")</f>
        <v>0</v>
      </c>
      <c r="K116" s="503">
        <f t="shared" ref="K116:K121" ca="1" si="280">IFERROR(I116-J116,"")</f>
        <v>0</v>
      </c>
      <c r="M116" s="504">
        <f t="shared" ca="1" si="264"/>
        <v>0</v>
      </c>
      <c r="O116" s="504">
        <f t="shared" ca="1" si="275"/>
        <v>0</v>
      </c>
      <c r="P116" s="504">
        <f t="array" aca="1" ref="P116" ca="1">SUM($U116:$FQ116*_xlfn.ISFORMULA($U116:$FQ116)*ISNUMBER($U$7:$FQ$7)*--(INDEX($U$6:$FQ$6,N(IF({1},COLUMN($U$6:$FQ$6)-COLUMN($T$6)))-MOD(N(IF({1},COLUMN($U$6:$FQ$6)-COLUMN($U$6))),14))="Current Fiscal"))</f>
        <v>0</v>
      </c>
      <c r="Q116" s="504">
        <f t="array" aca="1" ref="Q116" ca="1">SUM($U116:$FQ116*NOT(_xlfn.ISFORMULA($U116:$FQ116))*ISNUMBER($U$7:$FQ$7)*--(INDEX($U$6:$FQ$6,N(IF({1},COLUMN($U$6:$FQ$6)-COLUMN($T$6)))-MOD(N(IF({1},COLUMN($U$6:$FQ$6)-COLUMN($U$6))),14))="Current Fiscal"))</f>
        <v>0</v>
      </c>
      <c r="R116" s="504">
        <f t="shared" ca="1" si="276"/>
        <v>0</v>
      </c>
      <c r="S116" s="504">
        <f t="shared" ca="1" si="277"/>
        <v>0</v>
      </c>
      <c r="U116" s="504">
        <f ca="1">SUMIFS(CostTrack[[Value]:[Value]],CostTrack[[PA ID]:[PA ID]],$B116,CostTrack[[Vendor - Contract]:[Vendor - Contract]],$H116,CostTrack[[Holdback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16" s="504">
        <f ca="1">SUMIFS(CostTrack[[Value]:[Value]],CostTrack[[PA ID]:[PA ID]],$B116,CostTrack[[Vendor - Contract]:[Vendor - Contract]],$H116,CostTrack[[Holdback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16" s="504">
        <f ca="1">SUMIFS(CostTrack[[Value]:[Value]],CostTrack[[PA ID]:[PA ID]],$B116,CostTrack[[Vendor - Contract]:[Vendor - Contract]],$H116,CostTrack[[Holdback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16" s="504">
        <f ca="1">SUMIFS(CostTrack[[Value]:[Value]],CostTrack[[PA ID]:[PA ID]],$B116,CostTrack[[Vendor - Contract]:[Vendor - Contract]],$H116,CostTrack[[Holdback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16" s="504">
        <f ca="1">SUMIFS(CostTrack[[Value]:[Value]],CostTrack[[PA ID]:[PA ID]],$B116,CostTrack[[Vendor - Contract]:[Vendor - Contract]],$H116,CostTrack[[Holdback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16" s="504">
        <f ca="1">SUMIFS(CostTrack[[Value]:[Value]],CostTrack[[PA ID]:[PA ID]],$B116,CostTrack[[Vendor - Contract]:[Vendor - Contract]],$H116,CostTrack[[Holdback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16" s="504">
        <f ca="1">SUMIFS(CostTrack[[Value]:[Value]],CostTrack[[PA ID]:[PA ID]],$B116,CostTrack[[Vendor - Contract]:[Vendor - Contract]],$H116,CostTrack[[Holdback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16" s="504">
        <f ca="1">SUMIFS(CostTrack[[Value]:[Value]],CostTrack[[PA ID]:[PA ID]],$B116,CostTrack[[Vendor - Contract]:[Vendor - Contract]],$H116,CostTrack[[Holdback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16" s="504">
        <f ca="1">SUMIFS(CostTrack[[Value]:[Value]],CostTrack[[PA ID]:[PA ID]],$B116,CostTrack[[Vendor - Contract]:[Vendor - Contract]],$H116,CostTrack[[Holdback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16" s="504">
        <f ca="1">SUMIFS(CostTrack[[Value]:[Value]],CostTrack[[PA ID]:[PA ID]],$B116,CostTrack[[Vendor - Contract]:[Vendor - Contract]],$H116,CostTrack[[Holdback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16" s="504">
        <f ca="1">SUMIFS(CostTrack[[Value]:[Value]],CostTrack[[PA ID]:[PA ID]],$B116,CostTrack[[Vendor - Contract]:[Vendor - Contract]],$H116,CostTrack[[Holdback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16" s="504">
        <f ca="1">SUMIFS(CostTrack[[Value]:[Value]],CostTrack[[PA ID]:[PA ID]],$B116,CostTrack[[Vendor - Contract]:[Vendor - Contract]],$H116,CostTrack[[Holdback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16" s="506">
        <f t="shared" ca="1" si="235"/>
        <v>0</v>
      </c>
      <c r="AI116" s="504">
        <f ca="1">SUMIFS(CostTrack[[Value]:[Value]],CostTrack[[PA ID]:[PA ID]],$B116,CostTrack[[Vendor - Contract]:[Vendor - Contract]],$H116,CostTrack[[Holdback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16" s="504">
        <f ca="1">SUMIFS(CostTrack[[Value]:[Value]],CostTrack[[PA ID]:[PA ID]],$B116,CostTrack[[Vendor - Contract]:[Vendor - Contract]],$H116,CostTrack[[Holdback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16" s="504">
        <f ca="1">SUMIFS(CostTrack[[Value]:[Value]],CostTrack[[PA ID]:[PA ID]],$B116,CostTrack[[Vendor - Contract]:[Vendor - Contract]],$H116,CostTrack[[Holdback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16" s="504">
        <f ca="1">SUMIFS(CostTrack[[Value]:[Value]],CostTrack[[PA ID]:[PA ID]],$B116,CostTrack[[Vendor - Contract]:[Vendor - Contract]],$H116,CostTrack[[Holdback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16" s="504">
        <f ca="1">SUMIFS(CostTrack[[Value]:[Value]],CostTrack[[PA ID]:[PA ID]],$B116,CostTrack[[Vendor - Contract]:[Vendor - Contract]],$H116,CostTrack[[Holdback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16" s="504">
        <f ca="1">SUMIFS(CostTrack[[Value]:[Value]],CostTrack[[PA ID]:[PA ID]],$B116,CostTrack[[Vendor - Contract]:[Vendor - Contract]],$H116,CostTrack[[Holdback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16" s="504">
        <f ca="1">SUMIFS(CostTrack[[Value]:[Value]],CostTrack[[PA ID]:[PA ID]],$B116,CostTrack[[Vendor - Contract]:[Vendor - Contract]],$H116,CostTrack[[Holdback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16" s="504">
        <f ca="1">SUMIFS(CostTrack[[Value]:[Value]],CostTrack[[PA ID]:[PA ID]],$B116,CostTrack[[Vendor - Contract]:[Vendor - Contract]],$H116,CostTrack[[Holdback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16" s="504">
        <f ca="1">SUMIFS(CostTrack[[Value]:[Value]],CostTrack[[PA ID]:[PA ID]],$B116,CostTrack[[Vendor - Contract]:[Vendor - Contract]],$H116,CostTrack[[Holdback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16" s="504">
        <f ca="1">SUMIFS(CostTrack[[Value]:[Value]],CostTrack[[PA ID]:[PA ID]],$B116,CostTrack[[Vendor - Contract]:[Vendor - Contract]],$H116,CostTrack[[Holdback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16" s="504">
        <f ca="1">SUMIFS(CostTrack[[Value]:[Value]],CostTrack[[PA ID]:[PA ID]],$B116,CostTrack[[Vendor - Contract]:[Vendor - Contract]],$H116,CostTrack[[Holdback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16" s="504">
        <f ca="1">SUMIFS(CostTrack[[Value]:[Value]],CostTrack[[PA ID]:[PA ID]],$B116,CostTrack[[Vendor - Contract]:[Vendor - Contract]],$H116,CostTrack[[Holdback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16" s="512">
        <f t="shared" ca="1" si="252"/>
        <v>0</v>
      </c>
      <c r="AW116" s="504">
        <f ca="1">SUMIFS(CostTrack[[Value]:[Value]],CostTrack[[PA ID]:[PA ID]],$B116,CostTrack[[Vendor - Contract]:[Vendor - Contract]],$H116,CostTrack[[Holdback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16" s="504">
        <f ca="1">SUMIFS(CostTrack[[Value]:[Value]],CostTrack[[PA ID]:[PA ID]],$B116,CostTrack[[Vendor - Contract]:[Vendor - Contract]],$H116,CostTrack[[Holdback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16" s="504">
        <f ca="1">SUMIFS(CostTrack[[Value]:[Value]],CostTrack[[PA ID]:[PA ID]],$B116,CostTrack[[Vendor - Contract]:[Vendor - Contract]],$H116,CostTrack[[Holdback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16" s="504">
        <f ca="1">SUMIFS(CostTrack[[Value]:[Value]],CostTrack[[PA ID]:[PA ID]],$B116,CostTrack[[Vendor - Contract]:[Vendor - Contract]],$H116,CostTrack[[Holdback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16" s="504">
        <f ca="1">SUMIFS(CostTrack[[Value]:[Value]],CostTrack[[PA ID]:[PA ID]],$B116,CostTrack[[Vendor - Contract]:[Vendor - Contract]],$H116,CostTrack[[Holdback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16" s="504">
        <f ca="1">SUMIFS(CostTrack[[Value]:[Value]],CostTrack[[PA ID]:[PA ID]],$B116,CostTrack[[Vendor - Contract]:[Vendor - Contract]],$H116,CostTrack[[Holdback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16" s="504">
        <f ca="1">SUMIFS(CostTrack[[Value]:[Value]],CostTrack[[PA ID]:[PA ID]],$B116,CostTrack[[Vendor - Contract]:[Vendor - Contract]],$H116,CostTrack[[Holdback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16" s="504">
        <f ca="1">SUMIFS(CostTrack[[Value]:[Value]],CostTrack[[PA ID]:[PA ID]],$B116,CostTrack[[Vendor - Contract]:[Vendor - Contract]],$H116,CostTrack[[Holdback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16" s="504">
        <f ca="1">SUMIFS(CostTrack[[Value]:[Value]],CostTrack[[PA ID]:[PA ID]],$B116,CostTrack[[Vendor - Contract]:[Vendor - Contract]],$H116,CostTrack[[Holdback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16" s="504">
        <f ca="1">SUMIFS(CostTrack[[Value]:[Value]],CostTrack[[PA ID]:[PA ID]],$B116,CostTrack[[Vendor - Contract]:[Vendor - Contract]],$H116,CostTrack[[Holdback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16" s="504">
        <f ca="1">SUMIFS(CostTrack[[Value]:[Value]],CostTrack[[PA ID]:[PA ID]],$B116,CostTrack[[Vendor - Contract]:[Vendor - Contract]],$H116,CostTrack[[Holdback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16" s="504">
        <f ca="1">SUMIFS(CostTrack[[Value]:[Value]],CostTrack[[PA ID]:[PA ID]],$B116,CostTrack[[Vendor - Contract]:[Vendor - Contract]],$H116,CostTrack[[Holdback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16" s="512">
        <f t="shared" ca="1" si="268"/>
        <v>0</v>
      </c>
      <c r="BK116" s="504">
        <f ca="1">SUMIFS(CostTrack[[Value]:[Value]],CostTrack[[PA ID]:[PA ID]],$B116,CostTrack[[Vendor - Contract]:[Vendor - Contract]],$H116,CostTrack[[Holdback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16" s="504">
        <f ca="1">SUMIFS(CostTrack[[Value]:[Value]],CostTrack[[PA ID]:[PA ID]],$B116,CostTrack[[Vendor - Contract]:[Vendor - Contract]],$H116,CostTrack[[Holdback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16" s="504">
        <f ca="1">SUMIFS(CostTrack[[Value]:[Value]],CostTrack[[PA ID]:[PA ID]],$B116,CostTrack[[Vendor - Contract]:[Vendor - Contract]],$H116,CostTrack[[Holdback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16" s="504">
        <f ca="1">SUMIFS(CostTrack[[Value]:[Value]],CostTrack[[PA ID]:[PA ID]],$B116,CostTrack[[Vendor - Contract]:[Vendor - Contract]],$H116,CostTrack[[Holdback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16" s="504">
        <f ca="1">SUMIFS(CostTrack[[Value]:[Value]],CostTrack[[PA ID]:[PA ID]],$B116,CostTrack[[Vendor - Contract]:[Vendor - Contract]],$H116,CostTrack[[Holdback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16" s="504">
        <f ca="1">SUMIFS(CostTrack[[Value]:[Value]],CostTrack[[PA ID]:[PA ID]],$B116,CostTrack[[Vendor - Contract]:[Vendor - Contract]],$H116,CostTrack[[Holdback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16" s="504">
        <f ca="1">SUMIFS(CostTrack[[Value]:[Value]],CostTrack[[PA ID]:[PA ID]],$B116,CostTrack[[Vendor - Contract]:[Vendor - Contract]],$H116,CostTrack[[Holdback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16" s="504">
        <f ca="1">SUMIFS(CostTrack[[Value]:[Value]],CostTrack[[PA ID]:[PA ID]],$B116,CostTrack[[Vendor - Contract]:[Vendor - Contract]],$H116,CostTrack[[Holdback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16" s="504">
        <f ca="1">SUMIFS(CostTrack[[Value]:[Value]],CostTrack[[PA ID]:[PA ID]],$B116,CostTrack[[Vendor - Contract]:[Vendor - Contract]],$H116,CostTrack[[Holdback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16" s="504">
        <f ca="1">SUMIFS(CostTrack[[Value]:[Value]],CostTrack[[PA ID]:[PA ID]],$B116,CostTrack[[Vendor - Contract]:[Vendor - Contract]],$H116,CostTrack[[Holdback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16" s="504">
        <f ca="1">SUMIFS(CostTrack[[Value]:[Value]],CostTrack[[PA ID]:[PA ID]],$B116,CostTrack[[Vendor - Contract]:[Vendor - Contract]],$H116,CostTrack[[Holdback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16" s="504">
        <f ca="1">SUMIFS(CostTrack[[Value]:[Value]],CostTrack[[PA ID]:[PA ID]],$B116,CostTrack[[Vendor - Contract]:[Vendor - Contract]],$H116,CostTrack[[Holdback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16" s="512">
        <f t="shared" ca="1" si="269"/>
        <v>0</v>
      </c>
      <c r="BY116" s="504">
        <f ca="1">SUMIFS(CostTrack[[Value]:[Value]],CostTrack[[PA ID]:[PA ID]],$B116,CostTrack[[Vendor - Contract]:[Vendor - Contract]],$H116,CostTrack[[Holdback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16" s="504">
        <f ca="1">SUMIFS(CostTrack[[Value]:[Value]],CostTrack[[PA ID]:[PA ID]],$B116,CostTrack[[Vendor - Contract]:[Vendor - Contract]],$H116,CostTrack[[Holdback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16" s="504">
        <f ca="1">SUMIFS(CostTrack[[Value]:[Value]],CostTrack[[PA ID]:[PA ID]],$B116,CostTrack[[Vendor - Contract]:[Vendor - Contract]],$H116,CostTrack[[Holdback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16" s="504">
        <f ca="1">SUMIFS(CostTrack[[Value]:[Value]],CostTrack[[PA ID]:[PA ID]],$B116,CostTrack[[Vendor - Contract]:[Vendor - Contract]],$H116,CostTrack[[Holdback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16" s="504">
        <f ca="1">SUMIFS(CostTrack[[Value]:[Value]],CostTrack[[PA ID]:[PA ID]],$B116,CostTrack[[Vendor - Contract]:[Vendor - Contract]],$H116,CostTrack[[Holdback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16" s="504">
        <f ca="1">SUMIFS(CostTrack[[Value]:[Value]],CostTrack[[PA ID]:[PA ID]],$B116,CostTrack[[Vendor - Contract]:[Vendor - Contract]],$H116,CostTrack[[Holdback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16" s="504">
        <f ca="1">SUMIFS(CostTrack[[Value]:[Value]],CostTrack[[PA ID]:[PA ID]],$B116,CostTrack[[Vendor - Contract]:[Vendor - Contract]],$H116,CostTrack[[Holdback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16" s="504">
        <f ca="1">SUMIFS(CostTrack[[Value]:[Value]],CostTrack[[PA ID]:[PA ID]],$B116,CostTrack[[Vendor - Contract]:[Vendor - Contract]],$H116,CostTrack[[Holdback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16" s="504">
        <f ca="1">SUMIFS(CostTrack[[Value]:[Value]],CostTrack[[PA ID]:[PA ID]],$B116,CostTrack[[Vendor - Contract]:[Vendor - Contract]],$H116,CostTrack[[Holdback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16" s="504">
        <f ca="1">SUMIFS(CostTrack[[Value]:[Value]],CostTrack[[PA ID]:[PA ID]],$B116,CostTrack[[Vendor - Contract]:[Vendor - Contract]],$H116,CostTrack[[Holdback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16" s="504">
        <f ca="1">SUMIFS(CostTrack[[Value]:[Value]],CostTrack[[PA ID]:[PA ID]],$B116,CostTrack[[Vendor - Contract]:[Vendor - Contract]],$H116,CostTrack[[Holdback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16" s="504">
        <f ca="1">SUMIFS(CostTrack[[Value]:[Value]],CostTrack[[PA ID]:[PA ID]],$B116,CostTrack[[Vendor - Contract]:[Vendor - Contract]],$H116,CostTrack[[Holdback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16" s="512">
        <f t="shared" ca="1" si="255"/>
        <v>0</v>
      </c>
      <c r="CM116" s="504">
        <f ca="1">SUMIFS(CostTrack[[Value]:[Value]],CostTrack[[PA ID]:[PA ID]],$B116,CostTrack[[Vendor - Contract]:[Vendor - Contract]],$H116,CostTrack[[Holdback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16" s="504">
        <f ca="1">SUMIFS(CostTrack[[Value]:[Value]],CostTrack[[PA ID]:[PA ID]],$B116,CostTrack[[Vendor - Contract]:[Vendor - Contract]],$H116,CostTrack[[Holdback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16" s="504">
        <f ca="1">SUMIFS(CostTrack[[Value]:[Value]],CostTrack[[PA ID]:[PA ID]],$B116,CostTrack[[Vendor - Contract]:[Vendor - Contract]],$H116,CostTrack[[Holdback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16" s="504">
        <f ca="1">SUMIFS(CostTrack[[Value]:[Value]],CostTrack[[PA ID]:[PA ID]],$B116,CostTrack[[Vendor - Contract]:[Vendor - Contract]],$H116,CostTrack[[Holdback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16" s="504">
        <f ca="1">SUMIFS(CostTrack[[Value]:[Value]],CostTrack[[PA ID]:[PA ID]],$B116,CostTrack[[Vendor - Contract]:[Vendor - Contract]],$H116,CostTrack[[Holdback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16" s="504">
        <f ca="1">SUMIFS(CostTrack[[Value]:[Value]],CostTrack[[PA ID]:[PA ID]],$B116,CostTrack[[Vendor - Contract]:[Vendor - Contract]],$H116,CostTrack[[Holdback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16" s="504">
        <f ca="1">SUMIFS(CostTrack[[Value]:[Value]],CostTrack[[PA ID]:[PA ID]],$B116,CostTrack[[Vendor - Contract]:[Vendor - Contract]],$H116,CostTrack[[Holdback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16" s="504">
        <f ca="1">SUMIFS(CostTrack[[Value]:[Value]],CostTrack[[PA ID]:[PA ID]],$B116,CostTrack[[Vendor - Contract]:[Vendor - Contract]],$H116,CostTrack[[Holdback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16" s="504">
        <f ca="1">SUMIFS(CostTrack[[Value]:[Value]],CostTrack[[PA ID]:[PA ID]],$B116,CostTrack[[Vendor - Contract]:[Vendor - Contract]],$H116,CostTrack[[Holdback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16" s="504">
        <f ca="1">SUMIFS(CostTrack[[Value]:[Value]],CostTrack[[PA ID]:[PA ID]],$B116,CostTrack[[Vendor - Contract]:[Vendor - Contract]],$H116,CostTrack[[Holdback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16" s="504">
        <f ca="1">SUMIFS(CostTrack[[Value]:[Value]],CostTrack[[PA ID]:[PA ID]],$B116,CostTrack[[Vendor - Contract]:[Vendor - Contract]],$H116,CostTrack[[Holdback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16" s="504">
        <f ca="1">SUMIFS(CostTrack[[Value]:[Value]],CostTrack[[PA ID]:[PA ID]],$B116,CostTrack[[Vendor - Contract]:[Vendor - Contract]],$H116,CostTrack[[Holdback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16" s="512">
        <f t="shared" ca="1" si="256"/>
        <v>0</v>
      </c>
      <c r="DA116" s="504">
        <f ca="1">SUMIFS(CostTrack[[Value]:[Value]],CostTrack[[PA ID]:[PA ID]],$B116,CostTrack[[Vendor - Contract]:[Vendor - Contract]],$H116,CostTrack[[Holdback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16" s="504">
        <f ca="1">SUMIFS(CostTrack[[Value]:[Value]],CostTrack[[PA ID]:[PA ID]],$B116,CostTrack[[Vendor - Contract]:[Vendor - Contract]],$H116,CostTrack[[Holdback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16" s="504">
        <f ca="1">SUMIFS(CostTrack[[Value]:[Value]],CostTrack[[PA ID]:[PA ID]],$B116,CostTrack[[Vendor - Contract]:[Vendor - Contract]],$H116,CostTrack[[Holdback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16" s="504">
        <f ca="1">SUMIFS(CostTrack[[Value]:[Value]],CostTrack[[PA ID]:[PA ID]],$B116,CostTrack[[Vendor - Contract]:[Vendor - Contract]],$H116,CostTrack[[Holdback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16" s="504">
        <f ca="1">SUMIFS(CostTrack[[Value]:[Value]],CostTrack[[PA ID]:[PA ID]],$B116,CostTrack[[Vendor - Contract]:[Vendor - Contract]],$H116,CostTrack[[Holdback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16" s="504">
        <f ca="1">SUMIFS(CostTrack[[Value]:[Value]],CostTrack[[PA ID]:[PA ID]],$B116,CostTrack[[Vendor - Contract]:[Vendor - Contract]],$H116,CostTrack[[Holdback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16" s="504">
        <f ca="1">SUMIFS(CostTrack[[Value]:[Value]],CostTrack[[PA ID]:[PA ID]],$B116,CostTrack[[Vendor - Contract]:[Vendor - Contract]],$H116,CostTrack[[Holdback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16" s="504">
        <f ca="1">SUMIFS(CostTrack[[Value]:[Value]],CostTrack[[PA ID]:[PA ID]],$B116,CostTrack[[Vendor - Contract]:[Vendor - Contract]],$H116,CostTrack[[Holdback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16" s="504">
        <f ca="1">SUMIFS(CostTrack[[Value]:[Value]],CostTrack[[PA ID]:[PA ID]],$B116,CostTrack[[Vendor - Contract]:[Vendor - Contract]],$H116,CostTrack[[Holdback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16" s="504">
        <f ca="1">SUMIFS(CostTrack[[Value]:[Value]],CostTrack[[PA ID]:[PA ID]],$B116,CostTrack[[Vendor - Contract]:[Vendor - Contract]],$H116,CostTrack[[Holdback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16" s="504">
        <f ca="1">SUMIFS(CostTrack[[Value]:[Value]],CostTrack[[PA ID]:[PA ID]],$B116,CostTrack[[Vendor - Contract]:[Vendor - Contract]],$H116,CostTrack[[Holdback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16" s="504">
        <f ca="1">SUMIFS(CostTrack[[Value]:[Value]],CostTrack[[PA ID]:[PA ID]],$B116,CostTrack[[Vendor - Contract]:[Vendor - Contract]],$H116,CostTrack[[Holdback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16" s="512">
        <f t="shared" ca="1" si="257"/>
        <v>0</v>
      </c>
      <c r="DO116" s="504">
        <f ca="1">SUMIFS(CostTrack[[Value]:[Value]],CostTrack[[PA ID]:[PA ID]],$B116,CostTrack[[Vendor - Contract]:[Vendor - Contract]],$H116,CostTrack[[Holdback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16" s="504">
        <f ca="1">SUMIFS(CostTrack[[Value]:[Value]],CostTrack[[PA ID]:[PA ID]],$B116,CostTrack[[Vendor - Contract]:[Vendor - Contract]],$H116,CostTrack[[Holdback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16" s="504">
        <f ca="1">SUMIFS(CostTrack[[Value]:[Value]],CostTrack[[PA ID]:[PA ID]],$B116,CostTrack[[Vendor - Contract]:[Vendor - Contract]],$H116,CostTrack[[Holdback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16" s="504">
        <f ca="1">SUMIFS(CostTrack[[Value]:[Value]],CostTrack[[PA ID]:[PA ID]],$B116,CostTrack[[Vendor - Contract]:[Vendor - Contract]],$H116,CostTrack[[Holdback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16" s="504">
        <f ca="1">SUMIFS(CostTrack[[Value]:[Value]],CostTrack[[PA ID]:[PA ID]],$B116,CostTrack[[Vendor - Contract]:[Vendor - Contract]],$H116,CostTrack[[Holdback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16" s="504">
        <f ca="1">SUMIFS(CostTrack[[Value]:[Value]],CostTrack[[PA ID]:[PA ID]],$B116,CostTrack[[Vendor - Contract]:[Vendor - Contract]],$H116,CostTrack[[Holdback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16" s="504">
        <f ca="1">SUMIFS(CostTrack[[Value]:[Value]],CostTrack[[PA ID]:[PA ID]],$B116,CostTrack[[Vendor - Contract]:[Vendor - Contract]],$H116,CostTrack[[Holdback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16" s="504">
        <f ca="1">SUMIFS(CostTrack[[Value]:[Value]],CostTrack[[PA ID]:[PA ID]],$B116,CostTrack[[Vendor - Contract]:[Vendor - Contract]],$H116,CostTrack[[Holdback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16" s="504">
        <f ca="1">SUMIFS(CostTrack[[Value]:[Value]],CostTrack[[PA ID]:[PA ID]],$B116,CostTrack[[Vendor - Contract]:[Vendor - Contract]],$H116,CostTrack[[Holdback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16" s="504">
        <f ca="1">SUMIFS(CostTrack[[Value]:[Value]],CostTrack[[PA ID]:[PA ID]],$B116,CostTrack[[Vendor - Contract]:[Vendor - Contract]],$H116,CostTrack[[Holdback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16" s="504">
        <f ca="1">SUMIFS(CostTrack[[Value]:[Value]],CostTrack[[PA ID]:[PA ID]],$B116,CostTrack[[Vendor - Contract]:[Vendor - Contract]],$H116,CostTrack[[Holdback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16" s="504">
        <f ca="1">SUMIFS(CostTrack[[Value]:[Value]],CostTrack[[PA ID]:[PA ID]],$B116,CostTrack[[Vendor - Contract]:[Vendor - Contract]],$H116,CostTrack[[Holdback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16" s="512">
        <f t="shared" ca="1" si="270"/>
        <v>0</v>
      </c>
      <c r="EC116" s="504">
        <f ca="1">SUMIFS(CostTrack[[Value]:[Value]],CostTrack[[PA ID]:[PA ID]],$B116,CostTrack[[Vendor - Contract]:[Vendor - Contract]],$H116,CostTrack[[Holdback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16" s="505"/>
      <c r="EE116" s="505"/>
      <c r="EF116" s="505"/>
      <c r="EG116" s="505"/>
      <c r="EH116" s="505"/>
      <c r="EI116" s="505"/>
      <c r="EJ116" s="505"/>
      <c r="EK116" s="505"/>
      <c r="EL116" s="505"/>
      <c r="EM116" s="505"/>
      <c r="EN116" s="505"/>
      <c r="EO116" s="512">
        <f t="shared" ca="1" si="271"/>
        <v>0</v>
      </c>
      <c r="EQ116" s="505"/>
      <c r="ER116" s="505"/>
      <c r="ES116" s="505"/>
      <c r="ET116" s="505"/>
      <c r="EU116" s="505"/>
      <c r="EV116" s="505"/>
      <c r="EW116" s="505"/>
      <c r="EX116" s="505"/>
      <c r="EY116" s="505"/>
      <c r="EZ116" s="505"/>
      <c r="FA116" s="505"/>
      <c r="FB116" s="505"/>
      <c r="FC116" s="512">
        <f t="shared" si="272"/>
        <v>0</v>
      </c>
      <c r="FE116" s="505"/>
      <c r="FF116" s="505"/>
      <c r="FG116" s="505"/>
      <c r="FH116" s="505"/>
      <c r="FI116" s="505"/>
      <c r="FJ116" s="505"/>
      <c r="FK116" s="505"/>
      <c r="FL116" s="505"/>
      <c r="FM116" s="505"/>
      <c r="FN116" s="505"/>
      <c r="FO116" s="505"/>
      <c r="FP116" s="505"/>
      <c r="FQ116" s="512">
        <f t="shared" si="273"/>
        <v>0</v>
      </c>
      <c r="FS116" s="504">
        <f t="shared" ca="1" si="274"/>
        <v>0</v>
      </c>
    </row>
    <row r="117" spans="1:175">
      <c r="A117" s="216">
        <v>110</v>
      </c>
      <c r="B117" s="219" t="str">
        <f ca="1">INDEX(EAC[PA ID],MATCH($A117,EAC[Row],0))</f>
        <v>400.010.F1</v>
      </c>
      <c r="C117" s="218" t="str">
        <f ca="1">INDEX(EAC[Primary Category],MATCH($A117,EAC[Row],0))</f>
        <v>FE_IT</v>
      </c>
      <c r="D117" s="218" t="str">
        <f ca="1">INDEX(EAC[Secondary Category],MATCH($A117,EAC[Row],0))</f>
        <v>Furniture &amp; Equipment</v>
      </c>
      <c r="E117" s="109" t="str">
        <f ca="1">INDEX(EAC[Phase / Subproject],MATCH($A117,EAC[Row],0))</f>
        <v>--</v>
      </c>
      <c r="F117" s="109" t="str">
        <f ca="1">INDEX(EAC[Phase / Subproject 2],MATCH($A117,EAC[Row],0))</f>
        <v>--</v>
      </c>
      <c r="G117" s="109" t="str">
        <f ca="1">INDEX(EAC[Funding Source],MATCH($A117,EAC[Row],0))</f>
        <v>P-002360</v>
      </c>
      <c r="H117" s="146" t="str">
        <f ca="1">INDEX(EAC[Vendor / Org. with Contract ID],MATCH($A117,EAC[Row],0))</f>
        <v>CDI Spaces- Keilhauer chairs-9000087881</v>
      </c>
      <c r="I117" s="502">
        <f ca="1">INDEX(EAC[Estimate At Completion],MATCH($A117,EAC[Row],0))</f>
        <v>498248.28</v>
      </c>
      <c r="J117" s="502">
        <f ca="1">SUMIFS(CostTrack[Value],CostTrack[Vendor - Contract],$H117,CostTrack[PA ID],$B117,CostTrack[Holdback (Y/N/R)],"&lt;&gt;Release",CostTrack[Status],"Approved")</f>
        <v>498248.28</v>
      </c>
      <c r="K117" s="503">
        <f t="shared" ca="1" si="280"/>
        <v>0</v>
      </c>
      <c r="M117" s="504">
        <f t="shared" ca="1" si="264"/>
        <v>0</v>
      </c>
      <c r="O117" s="504">
        <f t="shared" ca="1" si="275"/>
        <v>498248.28</v>
      </c>
      <c r="P117" s="504">
        <f t="array" aca="1" ref="P117" ca="1">SUM($U117:$FQ117*_xlfn.ISFORMULA($U117:$FQ117)*ISNUMBER($U$7:$FQ$7)*--(INDEX($U$6:$FQ$6,N(IF({1},COLUMN($U$6:$FQ$6)-COLUMN($T$6)))-MOD(N(IF({1},COLUMN($U$6:$FQ$6)-COLUMN($U$6))),14))="Current Fiscal"))</f>
        <v>0</v>
      </c>
      <c r="Q117" s="504">
        <f t="array" aca="1" ref="Q117" ca="1">SUM($U117:$FQ117*NOT(_xlfn.ISFORMULA($U117:$FQ117))*ISNUMBER($U$7:$FQ$7)*--(INDEX($U$6:$FQ$6,N(IF({1},COLUMN($U$6:$FQ$6)-COLUMN($T$6)))-MOD(N(IF({1},COLUMN($U$6:$FQ$6)-COLUMN($U$6))),14))="Current Fiscal"))</f>
        <v>0</v>
      </c>
      <c r="R117" s="504">
        <f t="shared" ca="1" si="276"/>
        <v>0</v>
      </c>
      <c r="S117" s="504">
        <f t="shared" ca="1" si="277"/>
        <v>0</v>
      </c>
      <c r="U117" s="504">
        <f ca="1">SUMIFS(CostTrack[[Value]:[Value]],CostTrack[[PA ID]:[PA ID]],$B117,CostTrack[[Vendor - Contract]:[Vendor - Contract]],$H117,CostTrack[[Holdback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17" s="504">
        <f ca="1">SUMIFS(CostTrack[[Value]:[Value]],CostTrack[[PA ID]:[PA ID]],$B117,CostTrack[[Vendor - Contract]:[Vendor - Contract]],$H117,CostTrack[[Holdback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17" s="504">
        <f ca="1">SUMIFS(CostTrack[[Value]:[Value]],CostTrack[[PA ID]:[PA ID]],$B117,CostTrack[[Vendor - Contract]:[Vendor - Contract]],$H117,CostTrack[[Holdback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17" s="504">
        <f ca="1">SUMIFS(CostTrack[[Value]:[Value]],CostTrack[[PA ID]:[PA ID]],$B117,CostTrack[[Vendor - Contract]:[Vendor - Contract]],$H117,CostTrack[[Holdback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17" s="504">
        <f ca="1">SUMIFS(CostTrack[[Value]:[Value]],CostTrack[[PA ID]:[PA ID]],$B117,CostTrack[[Vendor - Contract]:[Vendor - Contract]],$H117,CostTrack[[Holdback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17" s="504">
        <f ca="1">SUMIFS(CostTrack[[Value]:[Value]],CostTrack[[PA ID]:[PA ID]],$B117,CostTrack[[Vendor - Contract]:[Vendor - Contract]],$H117,CostTrack[[Holdback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17" s="504">
        <f ca="1">SUMIFS(CostTrack[[Value]:[Value]],CostTrack[[PA ID]:[PA ID]],$B117,CostTrack[[Vendor - Contract]:[Vendor - Contract]],$H117,CostTrack[[Holdback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17" s="504">
        <f ca="1">SUMIFS(CostTrack[[Value]:[Value]],CostTrack[[PA ID]:[PA ID]],$B117,CostTrack[[Vendor - Contract]:[Vendor - Contract]],$H117,CostTrack[[Holdback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17" s="504">
        <f ca="1">SUMIFS(CostTrack[[Value]:[Value]],CostTrack[[PA ID]:[PA ID]],$B117,CostTrack[[Vendor - Contract]:[Vendor - Contract]],$H117,CostTrack[[Holdback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17" s="504">
        <f ca="1">SUMIFS(CostTrack[[Value]:[Value]],CostTrack[[PA ID]:[PA ID]],$B117,CostTrack[[Vendor - Contract]:[Vendor - Contract]],$H117,CostTrack[[Holdback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17" s="504">
        <f ca="1">SUMIFS(CostTrack[[Value]:[Value]],CostTrack[[PA ID]:[PA ID]],$B117,CostTrack[[Vendor - Contract]:[Vendor - Contract]],$H117,CostTrack[[Holdback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17" s="504">
        <f ca="1">SUMIFS(CostTrack[[Value]:[Value]],CostTrack[[PA ID]:[PA ID]],$B117,CostTrack[[Vendor - Contract]:[Vendor - Contract]],$H117,CostTrack[[Holdback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17" s="506">
        <f t="shared" ca="1" si="235"/>
        <v>0</v>
      </c>
      <c r="AI117" s="504">
        <f ca="1">SUMIFS(CostTrack[[Value]:[Value]],CostTrack[[PA ID]:[PA ID]],$B117,CostTrack[[Vendor - Contract]:[Vendor - Contract]],$H117,CostTrack[[Holdback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17" s="504">
        <f ca="1">SUMIFS(CostTrack[[Value]:[Value]],CostTrack[[PA ID]:[PA ID]],$B117,CostTrack[[Vendor - Contract]:[Vendor - Contract]],$H117,CostTrack[[Holdback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17" s="504">
        <f ca="1">SUMIFS(CostTrack[[Value]:[Value]],CostTrack[[PA ID]:[PA ID]],$B117,CostTrack[[Vendor - Contract]:[Vendor - Contract]],$H117,CostTrack[[Holdback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17" s="504">
        <f ca="1">SUMIFS(CostTrack[[Value]:[Value]],CostTrack[[PA ID]:[PA ID]],$B117,CostTrack[[Vendor - Contract]:[Vendor - Contract]],$H117,CostTrack[[Holdback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17" s="504">
        <f ca="1">SUMIFS(CostTrack[[Value]:[Value]],CostTrack[[PA ID]:[PA ID]],$B117,CostTrack[[Vendor - Contract]:[Vendor - Contract]],$H117,CostTrack[[Holdback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17" s="504">
        <f ca="1">SUMIFS(CostTrack[[Value]:[Value]],CostTrack[[PA ID]:[PA ID]],$B117,CostTrack[[Vendor - Contract]:[Vendor - Contract]],$H117,CostTrack[[Holdback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17" s="504">
        <f ca="1">SUMIFS(CostTrack[[Value]:[Value]],CostTrack[[PA ID]:[PA ID]],$B117,CostTrack[[Vendor - Contract]:[Vendor - Contract]],$H117,CostTrack[[Holdback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17" s="504">
        <f ca="1">SUMIFS(CostTrack[[Value]:[Value]],CostTrack[[PA ID]:[PA ID]],$B117,CostTrack[[Vendor - Contract]:[Vendor - Contract]],$H117,CostTrack[[Holdback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17" s="504">
        <f ca="1">SUMIFS(CostTrack[[Value]:[Value]],CostTrack[[PA ID]:[PA ID]],$B117,CostTrack[[Vendor - Contract]:[Vendor - Contract]],$H117,CostTrack[[Holdback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17" s="504">
        <f ca="1">SUMIFS(CostTrack[[Value]:[Value]],CostTrack[[PA ID]:[PA ID]],$B117,CostTrack[[Vendor - Contract]:[Vendor - Contract]],$H117,CostTrack[[Holdback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17" s="504">
        <f ca="1">SUMIFS(CostTrack[[Value]:[Value]],CostTrack[[PA ID]:[PA ID]],$B117,CostTrack[[Vendor - Contract]:[Vendor - Contract]],$H117,CostTrack[[Holdback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17" s="504">
        <f ca="1">SUMIFS(CostTrack[[Value]:[Value]],CostTrack[[PA ID]:[PA ID]],$B117,CostTrack[[Vendor - Contract]:[Vendor - Contract]],$H117,CostTrack[[Holdback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17" s="512">
        <f t="shared" ca="1" si="252"/>
        <v>0</v>
      </c>
      <c r="AW117" s="504">
        <f ca="1">SUMIFS(CostTrack[[Value]:[Value]],CostTrack[[PA ID]:[PA ID]],$B117,CostTrack[[Vendor - Contract]:[Vendor - Contract]],$H117,CostTrack[[Holdback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17" s="504">
        <f ca="1">SUMIFS(CostTrack[[Value]:[Value]],CostTrack[[PA ID]:[PA ID]],$B117,CostTrack[[Vendor - Contract]:[Vendor - Contract]],$H117,CostTrack[[Holdback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17" s="504">
        <f ca="1">SUMIFS(CostTrack[[Value]:[Value]],CostTrack[[PA ID]:[PA ID]],$B117,CostTrack[[Vendor - Contract]:[Vendor - Contract]],$H117,CostTrack[[Holdback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17" s="504">
        <f ca="1">SUMIFS(CostTrack[[Value]:[Value]],CostTrack[[PA ID]:[PA ID]],$B117,CostTrack[[Vendor - Contract]:[Vendor - Contract]],$H117,CostTrack[[Holdback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17" s="504">
        <f ca="1">SUMIFS(CostTrack[[Value]:[Value]],CostTrack[[PA ID]:[PA ID]],$B117,CostTrack[[Vendor - Contract]:[Vendor - Contract]],$H117,CostTrack[[Holdback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17" s="504">
        <f ca="1">SUMIFS(CostTrack[[Value]:[Value]],CostTrack[[PA ID]:[PA ID]],$B117,CostTrack[[Vendor - Contract]:[Vendor - Contract]],$H117,CostTrack[[Holdback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17" s="504">
        <f ca="1">SUMIFS(CostTrack[[Value]:[Value]],CostTrack[[PA ID]:[PA ID]],$B117,CostTrack[[Vendor - Contract]:[Vendor - Contract]],$H117,CostTrack[[Holdback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17" s="504">
        <f ca="1">SUMIFS(CostTrack[[Value]:[Value]],CostTrack[[PA ID]:[PA ID]],$B117,CostTrack[[Vendor - Contract]:[Vendor - Contract]],$H117,CostTrack[[Holdback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17" s="504">
        <f ca="1">SUMIFS(CostTrack[[Value]:[Value]],CostTrack[[PA ID]:[PA ID]],$B117,CostTrack[[Vendor - Contract]:[Vendor - Contract]],$H117,CostTrack[[Holdback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17" s="504">
        <f ca="1">SUMIFS(CostTrack[[Value]:[Value]],CostTrack[[PA ID]:[PA ID]],$B117,CostTrack[[Vendor - Contract]:[Vendor - Contract]],$H117,CostTrack[[Holdback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17" s="504">
        <f ca="1">SUMIFS(CostTrack[[Value]:[Value]],CostTrack[[PA ID]:[PA ID]],$B117,CostTrack[[Vendor - Contract]:[Vendor - Contract]],$H117,CostTrack[[Holdback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17" s="504">
        <f ca="1">SUMIFS(CostTrack[[Value]:[Value]],CostTrack[[PA ID]:[PA ID]],$B117,CostTrack[[Vendor - Contract]:[Vendor - Contract]],$H117,CostTrack[[Holdback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17" s="512">
        <f t="shared" ca="1" si="268"/>
        <v>0</v>
      </c>
      <c r="BK117" s="504">
        <f ca="1">SUMIFS(CostTrack[[Value]:[Value]],CostTrack[[PA ID]:[PA ID]],$B117,CostTrack[[Vendor - Contract]:[Vendor - Contract]],$H117,CostTrack[[Holdback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17" s="504">
        <f ca="1">SUMIFS(CostTrack[[Value]:[Value]],CostTrack[[PA ID]:[PA ID]],$B117,CostTrack[[Vendor - Contract]:[Vendor - Contract]],$H117,CostTrack[[Holdback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17" s="504">
        <f ca="1">SUMIFS(CostTrack[[Value]:[Value]],CostTrack[[PA ID]:[PA ID]],$B117,CostTrack[[Vendor - Contract]:[Vendor - Contract]],$H117,CostTrack[[Holdback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17" s="504">
        <f ca="1">SUMIFS(CostTrack[[Value]:[Value]],CostTrack[[PA ID]:[PA ID]],$B117,CostTrack[[Vendor - Contract]:[Vendor - Contract]],$H117,CostTrack[[Holdback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17" s="504">
        <f ca="1">SUMIFS(CostTrack[[Value]:[Value]],CostTrack[[PA ID]:[PA ID]],$B117,CostTrack[[Vendor - Contract]:[Vendor - Contract]],$H117,CostTrack[[Holdback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17" s="504">
        <f ca="1">SUMIFS(CostTrack[[Value]:[Value]],CostTrack[[PA ID]:[PA ID]],$B117,CostTrack[[Vendor - Contract]:[Vendor - Contract]],$H117,CostTrack[[Holdback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17" s="504">
        <f ca="1">SUMIFS(CostTrack[[Value]:[Value]],CostTrack[[PA ID]:[PA ID]],$B117,CostTrack[[Vendor - Contract]:[Vendor - Contract]],$H117,CostTrack[[Holdback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17" s="504">
        <f ca="1">SUMIFS(CostTrack[[Value]:[Value]],CostTrack[[PA ID]:[PA ID]],$B117,CostTrack[[Vendor - Contract]:[Vendor - Contract]],$H117,CostTrack[[Holdback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17" s="504">
        <f ca="1">SUMIFS(CostTrack[[Value]:[Value]],CostTrack[[PA ID]:[PA ID]],$B117,CostTrack[[Vendor - Contract]:[Vendor - Contract]],$H117,CostTrack[[Holdback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17" s="504">
        <f ca="1">SUMIFS(CostTrack[[Value]:[Value]],CostTrack[[PA ID]:[PA ID]],$B117,CostTrack[[Vendor - Contract]:[Vendor - Contract]],$H117,CostTrack[[Holdback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17" s="504">
        <f ca="1">SUMIFS(CostTrack[[Value]:[Value]],CostTrack[[PA ID]:[PA ID]],$B117,CostTrack[[Vendor - Contract]:[Vendor - Contract]],$H117,CostTrack[[Holdback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17" s="504">
        <f ca="1">SUMIFS(CostTrack[[Value]:[Value]],CostTrack[[PA ID]:[PA ID]],$B117,CostTrack[[Vendor - Contract]:[Vendor - Contract]],$H117,CostTrack[[Holdback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17" s="512">
        <f t="shared" ca="1" si="269"/>
        <v>0</v>
      </c>
      <c r="BY117" s="504">
        <f ca="1">SUMIFS(CostTrack[[Value]:[Value]],CostTrack[[PA ID]:[PA ID]],$B117,CostTrack[[Vendor - Contract]:[Vendor - Contract]],$H117,CostTrack[[Holdback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17" s="504">
        <f ca="1">SUMIFS(CostTrack[[Value]:[Value]],CostTrack[[PA ID]:[PA ID]],$B117,CostTrack[[Vendor - Contract]:[Vendor - Contract]],$H117,CostTrack[[Holdback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17" s="504">
        <f ca="1">SUMIFS(CostTrack[[Value]:[Value]],CostTrack[[PA ID]:[PA ID]],$B117,CostTrack[[Vendor - Contract]:[Vendor - Contract]],$H117,CostTrack[[Holdback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17" s="504">
        <f ca="1">SUMIFS(CostTrack[[Value]:[Value]],CostTrack[[PA ID]:[PA ID]],$B117,CostTrack[[Vendor - Contract]:[Vendor - Contract]],$H117,CostTrack[[Holdback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17" s="504">
        <f ca="1">SUMIFS(CostTrack[[Value]:[Value]],CostTrack[[PA ID]:[PA ID]],$B117,CostTrack[[Vendor - Contract]:[Vendor - Contract]],$H117,CostTrack[[Holdback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17" s="504">
        <f ca="1">SUMIFS(CostTrack[[Value]:[Value]],CostTrack[[PA ID]:[PA ID]],$B117,CostTrack[[Vendor - Contract]:[Vendor - Contract]],$H117,CostTrack[[Holdback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17" s="504">
        <f ca="1">SUMIFS(CostTrack[[Value]:[Value]],CostTrack[[PA ID]:[PA ID]],$B117,CostTrack[[Vendor - Contract]:[Vendor - Contract]],$H117,CostTrack[[Holdback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17" s="504">
        <f ca="1">SUMIFS(CostTrack[[Value]:[Value]],CostTrack[[PA ID]:[PA ID]],$B117,CostTrack[[Vendor - Contract]:[Vendor - Contract]],$H117,CostTrack[[Holdback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17" s="504">
        <f ca="1">SUMIFS(CostTrack[[Value]:[Value]],CostTrack[[PA ID]:[PA ID]],$B117,CostTrack[[Vendor - Contract]:[Vendor - Contract]],$H117,CostTrack[[Holdback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17" s="504">
        <f ca="1">SUMIFS(CostTrack[[Value]:[Value]],CostTrack[[PA ID]:[PA ID]],$B117,CostTrack[[Vendor - Contract]:[Vendor - Contract]],$H117,CostTrack[[Holdback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17" s="504">
        <f ca="1">SUMIFS(CostTrack[[Value]:[Value]],CostTrack[[PA ID]:[PA ID]],$B117,CostTrack[[Vendor - Contract]:[Vendor - Contract]],$H117,CostTrack[[Holdback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17" s="504">
        <f ca="1">SUMIFS(CostTrack[[Value]:[Value]],CostTrack[[PA ID]:[PA ID]],$B117,CostTrack[[Vendor - Contract]:[Vendor - Contract]],$H117,CostTrack[[Holdback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17" s="512">
        <f t="shared" ca="1" si="255"/>
        <v>0</v>
      </c>
      <c r="CM117" s="504">
        <f ca="1">SUMIFS(CostTrack[[Value]:[Value]],CostTrack[[PA ID]:[PA ID]],$B117,CostTrack[[Vendor - Contract]:[Vendor - Contract]],$H117,CostTrack[[Holdback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17" s="504">
        <f ca="1">SUMIFS(CostTrack[[Value]:[Value]],CostTrack[[PA ID]:[PA ID]],$B117,CostTrack[[Vendor - Contract]:[Vendor - Contract]],$H117,CostTrack[[Holdback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17" s="504">
        <f ca="1">SUMIFS(CostTrack[[Value]:[Value]],CostTrack[[PA ID]:[PA ID]],$B117,CostTrack[[Vendor - Contract]:[Vendor - Contract]],$H117,CostTrack[[Holdback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17" s="504">
        <f ca="1">SUMIFS(CostTrack[[Value]:[Value]],CostTrack[[PA ID]:[PA ID]],$B117,CostTrack[[Vendor - Contract]:[Vendor - Contract]],$H117,CostTrack[[Holdback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17" s="504">
        <f ca="1">SUMIFS(CostTrack[[Value]:[Value]],CostTrack[[PA ID]:[PA ID]],$B117,CostTrack[[Vendor - Contract]:[Vendor - Contract]],$H117,CostTrack[[Holdback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17" s="504">
        <f ca="1">SUMIFS(CostTrack[[Value]:[Value]],CostTrack[[PA ID]:[PA ID]],$B117,CostTrack[[Vendor - Contract]:[Vendor - Contract]],$H117,CostTrack[[Holdback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17" s="504">
        <f ca="1">SUMIFS(CostTrack[[Value]:[Value]],CostTrack[[PA ID]:[PA ID]],$B117,CostTrack[[Vendor - Contract]:[Vendor - Contract]],$H117,CostTrack[[Holdback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17" s="504">
        <f ca="1">SUMIFS(CostTrack[[Value]:[Value]],CostTrack[[PA ID]:[PA ID]],$B117,CostTrack[[Vendor - Contract]:[Vendor - Contract]],$H117,CostTrack[[Holdback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17" s="504">
        <f ca="1">SUMIFS(CostTrack[[Value]:[Value]],CostTrack[[PA ID]:[PA ID]],$B117,CostTrack[[Vendor - Contract]:[Vendor - Contract]],$H117,CostTrack[[Holdback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17" s="504">
        <f ca="1">SUMIFS(CostTrack[[Value]:[Value]],CostTrack[[PA ID]:[PA ID]],$B117,CostTrack[[Vendor - Contract]:[Vendor - Contract]],$H117,CostTrack[[Holdback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17" s="504">
        <f ca="1">SUMIFS(CostTrack[[Value]:[Value]],CostTrack[[PA ID]:[PA ID]],$B117,CostTrack[[Vendor - Contract]:[Vendor - Contract]],$H117,CostTrack[[Holdback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17" s="504">
        <f ca="1">SUMIFS(CostTrack[[Value]:[Value]],CostTrack[[PA ID]:[PA ID]],$B117,CostTrack[[Vendor - Contract]:[Vendor - Contract]],$H117,CostTrack[[Holdback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17" s="512">
        <f t="shared" ca="1" si="256"/>
        <v>0</v>
      </c>
      <c r="DA117" s="504">
        <f ca="1">SUMIFS(CostTrack[[Value]:[Value]],CostTrack[[PA ID]:[PA ID]],$B117,CostTrack[[Vendor - Contract]:[Vendor - Contract]],$H117,CostTrack[[Holdback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17" s="504">
        <f ca="1">SUMIFS(CostTrack[[Value]:[Value]],CostTrack[[PA ID]:[PA ID]],$B117,CostTrack[[Vendor - Contract]:[Vendor - Contract]],$H117,CostTrack[[Holdback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17" s="504">
        <f ca="1">SUMIFS(CostTrack[[Value]:[Value]],CostTrack[[PA ID]:[PA ID]],$B117,CostTrack[[Vendor - Contract]:[Vendor - Contract]],$H117,CostTrack[[Holdback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17" s="504">
        <f ca="1">SUMIFS(CostTrack[[Value]:[Value]],CostTrack[[PA ID]:[PA ID]],$B117,CostTrack[[Vendor - Contract]:[Vendor - Contract]],$H117,CostTrack[[Holdback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17" s="504">
        <f ca="1">SUMIFS(CostTrack[[Value]:[Value]],CostTrack[[PA ID]:[PA ID]],$B117,CostTrack[[Vendor - Contract]:[Vendor - Contract]],$H117,CostTrack[[Holdback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17" s="504">
        <f ca="1">SUMIFS(CostTrack[[Value]:[Value]],CostTrack[[PA ID]:[PA ID]],$B117,CostTrack[[Vendor - Contract]:[Vendor - Contract]],$H117,CostTrack[[Holdback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17" s="504">
        <f ca="1">SUMIFS(CostTrack[[Value]:[Value]],CostTrack[[PA ID]:[PA ID]],$B117,CostTrack[[Vendor - Contract]:[Vendor - Contract]],$H117,CostTrack[[Holdback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17" s="504">
        <f ca="1">SUMIFS(CostTrack[[Value]:[Value]],CostTrack[[PA ID]:[PA ID]],$B117,CostTrack[[Vendor - Contract]:[Vendor - Contract]],$H117,CostTrack[[Holdback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17" s="504">
        <f ca="1">SUMIFS(CostTrack[[Value]:[Value]],CostTrack[[PA ID]:[PA ID]],$B117,CostTrack[[Vendor - Contract]:[Vendor - Contract]],$H117,CostTrack[[Holdback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17" s="504">
        <f ca="1">SUMIFS(CostTrack[[Value]:[Value]],CostTrack[[PA ID]:[PA ID]],$B117,CostTrack[[Vendor - Contract]:[Vendor - Contract]],$H117,CostTrack[[Holdback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17" s="504">
        <f ca="1">SUMIFS(CostTrack[[Value]:[Value]],CostTrack[[PA ID]:[PA ID]],$B117,CostTrack[[Vendor - Contract]:[Vendor - Contract]],$H117,CostTrack[[Holdback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17" s="504">
        <f ca="1">SUMIFS(CostTrack[[Value]:[Value]],CostTrack[[PA ID]:[PA ID]],$B117,CostTrack[[Vendor - Contract]:[Vendor - Contract]],$H117,CostTrack[[Holdback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17" s="512">
        <f t="shared" ca="1" si="257"/>
        <v>0</v>
      </c>
      <c r="DO117" s="504">
        <f ca="1">SUMIFS(CostTrack[[Value]:[Value]],CostTrack[[PA ID]:[PA ID]],$B117,CostTrack[[Vendor - Contract]:[Vendor - Contract]],$H117,CostTrack[[Holdback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17" s="504">
        <f ca="1">SUMIFS(CostTrack[[Value]:[Value]],CostTrack[[PA ID]:[PA ID]],$B117,CostTrack[[Vendor - Contract]:[Vendor - Contract]],$H117,CostTrack[[Holdback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17" s="504">
        <f ca="1">SUMIFS(CostTrack[[Value]:[Value]],CostTrack[[PA ID]:[PA ID]],$B117,CostTrack[[Vendor - Contract]:[Vendor - Contract]],$H117,CostTrack[[Holdback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17" s="504">
        <f ca="1">SUMIFS(CostTrack[[Value]:[Value]],CostTrack[[PA ID]:[PA ID]],$B117,CostTrack[[Vendor - Contract]:[Vendor - Contract]],$H117,CostTrack[[Holdback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17" s="504">
        <f ca="1">SUMIFS(CostTrack[[Value]:[Value]],CostTrack[[PA ID]:[PA ID]],$B117,CostTrack[[Vendor - Contract]:[Vendor - Contract]],$H117,CostTrack[[Holdback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480627.78</v>
      </c>
      <c r="DT117" s="504">
        <f ca="1">SUMIFS(CostTrack[[Value]:[Value]],CostTrack[[PA ID]:[PA ID]],$B117,CostTrack[[Vendor - Contract]:[Vendor - Contract]],$H117,CostTrack[[Holdback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17" s="504">
        <f ca="1">SUMIFS(CostTrack[[Value]:[Value]],CostTrack[[PA ID]:[PA ID]],$B117,CostTrack[[Vendor - Contract]:[Vendor - Contract]],$H117,CostTrack[[Holdback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17" s="504">
        <f ca="1">SUMIFS(CostTrack[[Value]:[Value]],CostTrack[[PA ID]:[PA ID]],$B117,CostTrack[[Vendor - Contract]:[Vendor - Contract]],$H117,CostTrack[[Holdback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17620.5</v>
      </c>
      <c r="DW117" s="504">
        <f ca="1">SUMIFS(CostTrack[[Value]:[Value]],CostTrack[[PA ID]:[PA ID]],$B117,CostTrack[[Vendor - Contract]:[Vendor - Contract]],$H117,CostTrack[[Holdback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17" s="504">
        <f ca="1">SUMIFS(CostTrack[[Value]:[Value]],CostTrack[[PA ID]:[PA ID]],$B117,CostTrack[[Vendor - Contract]:[Vendor - Contract]],$H117,CostTrack[[Holdback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17" s="504">
        <f ca="1">SUMIFS(CostTrack[[Value]:[Value]],CostTrack[[PA ID]:[PA ID]],$B117,CostTrack[[Vendor - Contract]:[Vendor - Contract]],$H117,CostTrack[[Holdback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17" s="504">
        <f ca="1">SUMIFS(CostTrack[[Value]:[Value]],CostTrack[[PA ID]:[PA ID]],$B117,CostTrack[[Vendor - Contract]:[Vendor - Contract]],$H117,CostTrack[[Holdback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17" s="512">
        <f t="shared" ca="1" si="270"/>
        <v>498248.28</v>
      </c>
      <c r="EC117" s="504">
        <f ca="1">SUMIFS(CostTrack[[Value]:[Value]],CostTrack[[PA ID]:[PA ID]],$B117,CostTrack[[Vendor - Contract]:[Vendor - Contract]],$H117,CostTrack[[Holdback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17" s="505"/>
      <c r="EE117" s="505"/>
      <c r="EF117" s="505"/>
      <c r="EG117" s="505"/>
      <c r="EH117" s="505"/>
      <c r="EI117" s="505"/>
      <c r="EJ117" s="505"/>
      <c r="EK117" s="505"/>
      <c r="EL117" s="505"/>
      <c r="EM117" s="505"/>
      <c r="EN117" s="505"/>
      <c r="EO117" s="512">
        <f t="shared" ca="1" si="271"/>
        <v>0</v>
      </c>
      <c r="EQ117" s="505"/>
      <c r="ER117" s="505"/>
      <c r="ES117" s="505"/>
      <c r="ET117" s="505"/>
      <c r="EU117" s="505"/>
      <c r="EV117" s="505"/>
      <c r="EW117" s="505"/>
      <c r="EX117" s="505"/>
      <c r="EY117" s="505"/>
      <c r="EZ117" s="505"/>
      <c r="FA117" s="505"/>
      <c r="FB117" s="505"/>
      <c r="FC117" s="512">
        <f t="shared" si="272"/>
        <v>0</v>
      </c>
      <c r="FE117" s="505"/>
      <c r="FF117" s="505"/>
      <c r="FG117" s="505"/>
      <c r="FH117" s="505"/>
      <c r="FI117" s="505"/>
      <c r="FJ117" s="505"/>
      <c r="FK117" s="505"/>
      <c r="FL117" s="505"/>
      <c r="FM117" s="505"/>
      <c r="FN117" s="505"/>
      <c r="FO117" s="505"/>
      <c r="FP117" s="505"/>
      <c r="FQ117" s="512">
        <f t="shared" si="273"/>
        <v>0</v>
      </c>
      <c r="FS117" s="504">
        <f t="shared" ca="1" si="274"/>
        <v>498248.28</v>
      </c>
    </row>
    <row r="118" spans="1:175">
      <c r="A118" s="216">
        <v>111</v>
      </c>
      <c r="B118" s="219" t="str">
        <f ca="1">INDEX(EAC[PA ID],MATCH($A118,EAC[Row],0))</f>
        <v>400.010.F1</v>
      </c>
      <c r="C118" s="218" t="str">
        <f ca="1">INDEX(EAC[Primary Category],MATCH($A118,EAC[Row],0))</f>
        <v>FE_IT</v>
      </c>
      <c r="D118" s="218" t="str">
        <f ca="1">INDEX(EAC[Secondary Category],MATCH($A118,EAC[Row],0))</f>
        <v>Furniture &amp; Equipment</v>
      </c>
      <c r="E118" s="109" t="str">
        <f ca="1">INDEX(EAC[Phase / Subproject],MATCH($A118,EAC[Row],0))</f>
        <v>--</v>
      </c>
      <c r="F118" s="109" t="str">
        <f ca="1">INDEX(EAC[Phase / Subproject 2],MATCH($A118,EAC[Row],0))</f>
        <v>--</v>
      </c>
      <c r="G118" s="109" t="str">
        <f ca="1">INDEX(EAC[Funding Source],MATCH($A118,EAC[Row],0))</f>
        <v>P-002360</v>
      </c>
      <c r="H118" s="146" t="str">
        <f ca="1">INDEX(EAC[Vendor / Org. with Contract ID],MATCH($A118,EAC[Row],0))</f>
        <v>Uline Poster storage &amp; Mail sorter-9000088137</v>
      </c>
      <c r="I118" s="502">
        <f ca="1">INDEX(EAC[Estimate At Completion],MATCH($A118,EAC[Row],0))</f>
        <v>3501.46</v>
      </c>
      <c r="J118" s="502">
        <f ca="1">SUMIFS(CostTrack[Value],CostTrack[Vendor - Contract],$H118,CostTrack[PA ID],$B118,CostTrack[Holdback (Y/N/R)],"&lt;&gt;Release",CostTrack[Status],"Approved")</f>
        <v>3501.46</v>
      </c>
      <c r="K118" s="503">
        <f t="shared" ca="1" si="280"/>
        <v>0</v>
      </c>
      <c r="M118" s="504">
        <f t="shared" ca="1" si="264"/>
        <v>0</v>
      </c>
      <c r="O118" s="504">
        <f t="shared" ca="1" si="275"/>
        <v>3501.46</v>
      </c>
      <c r="P118" s="504">
        <f t="array" aca="1" ref="P118" ca="1">SUM($U118:$FQ118*_xlfn.ISFORMULA($U118:$FQ118)*ISNUMBER($U$7:$FQ$7)*--(INDEX($U$6:$FQ$6,N(IF({1},COLUMN($U$6:$FQ$6)-COLUMN($T$6)))-MOD(N(IF({1},COLUMN($U$6:$FQ$6)-COLUMN($U$6))),14))="Current Fiscal"))</f>
        <v>0</v>
      </c>
      <c r="Q118" s="504">
        <f t="array" aca="1" ref="Q118" ca="1">SUM($U118:$FQ118*NOT(_xlfn.ISFORMULA($U118:$FQ118))*ISNUMBER($U$7:$FQ$7)*--(INDEX($U$6:$FQ$6,N(IF({1},COLUMN($U$6:$FQ$6)-COLUMN($T$6)))-MOD(N(IF({1},COLUMN($U$6:$FQ$6)-COLUMN($U$6))),14))="Current Fiscal"))</f>
        <v>0</v>
      </c>
      <c r="R118" s="504">
        <f t="shared" ca="1" si="276"/>
        <v>0</v>
      </c>
      <c r="S118" s="504">
        <f t="shared" ca="1" si="277"/>
        <v>0</v>
      </c>
      <c r="U118" s="504">
        <f ca="1">SUMIFS(CostTrack[[Value]:[Value]],CostTrack[[PA ID]:[PA ID]],$B118,CostTrack[[Vendor - Contract]:[Vendor - Contract]],$H118,CostTrack[[Holdback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18" s="504">
        <f ca="1">SUMIFS(CostTrack[[Value]:[Value]],CostTrack[[PA ID]:[PA ID]],$B118,CostTrack[[Vendor - Contract]:[Vendor - Contract]],$H118,CostTrack[[Holdback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18" s="504">
        <f ca="1">SUMIFS(CostTrack[[Value]:[Value]],CostTrack[[PA ID]:[PA ID]],$B118,CostTrack[[Vendor - Contract]:[Vendor - Contract]],$H118,CostTrack[[Holdback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18" s="504">
        <f ca="1">SUMIFS(CostTrack[[Value]:[Value]],CostTrack[[PA ID]:[PA ID]],$B118,CostTrack[[Vendor - Contract]:[Vendor - Contract]],$H118,CostTrack[[Holdback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18" s="504">
        <f ca="1">SUMIFS(CostTrack[[Value]:[Value]],CostTrack[[PA ID]:[PA ID]],$B118,CostTrack[[Vendor - Contract]:[Vendor - Contract]],$H118,CostTrack[[Holdback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18" s="504">
        <f ca="1">SUMIFS(CostTrack[[Value]:[Value]],CostTrack[[PA ID]:[PA ID]],$B118,CostTrack[[Vendor - Contract]:[Vendor - Contract]],$H118,CostTrack[[Holdback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18" s="504">
        <f ca="1">SUMIFS(CostTrack[[Value]:[Value]],CostTrack[[PA ID]:[PA ID]],$B118,CostTrack[[Vendor - Contract]:[Vendor - Contract]],$H118,CostTrack[[Holdback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18" s="504">
        <f ca="1">SUMIFS(CostTrack[[Value]:[Value]],CostTrack[[PA ID]:[PA ID]],$B118,CostTrack[[Vendor - Contract]:[Vendor - Contract]],$H118,CostTrack[[Holdback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18" s="504">
        <f ca="1">SUMIFS(CostTrack[[Value]:[Value]],CostTrack[[PA ID]:[PA ID]],$B118,CostTrack[[Vendor - Contract]:[Vendor - Contract]],$H118,CostTrack[[Holdback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18" s="504">
        <f ca="1">SUMIFS(CostTrack[[Value]:[Value]],CostTrack[[PA ID]:[PA ID]],$B118,CostTrack[[Vendor - Contract]:[Vendor - Contract]],$H118,CostTrack[[Holdback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18" s="504">
        <f ca="1">SUMIFS(CostTrack[[Value]:[Value]],CostTrack[[PA ID]:[PA ID]],$B118,CostTrack[[Vendor - Contract]:[Vendor - Contract]],$H118,CostTrack[[Holdback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18" s="504">
        <f ca="1">SUMIFS(CostTrack[[Value]:[Value]],CostTrack[[PA ID]:[PA ID]],$B118,CostTrack[[Vendor - Contract]:[Vendor - Contract]],$H118,CostTrack[[Holdback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18" s="506">
        <f t="shared" ca="1" si="235"/>
        <v>0</v>
      </c>
      <c r="AI118" s="504">
        <f ca="1">SUMIFS(CostTrack[[Value]:[Value]],CostTrack[[PA ID]:[PA ID]],$B118,CostTrack[[Vendor - Contract]:[Vendor - Contract]],$H118,CostTrack[[Holdback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18" s="504">
        <f ca="1">SUMIFS(CostTrack[[Value]:[Value]],CostTrack[[PA ID]:[PA ID]],$B118,CostTrack[[Vendor - Contract]:[Vendor - Contract]],$H118,CostTrack[[Holdback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18" s="504">
        <f ca="1">SUMIFS(CostTrack[[Value]:[Value]],CostTrack[[PA ID]:[PA ID]],$B118,CostTrack[[Vendor - Contract]:[Vendor - Contract]],$H118,CostTrack[[Holdback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18" s="504">
        <f ca="1">SUMIFS(CostTrack[[Value]:[Value]],CostTrack[[PA ID]:[PA ID]],$B118,CostTrack[[Vendor - Contract]:[Vendor - Contract]],$H118,CostTrack[[Holdback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18" s="504">
        <f ca="1">SUMIFS(CostTrack[[Value]:[Value]],CostTrack[[PA ID]:[PA ID]],$B118,CostTrack[[Vendor - Contract]:[Vendor - Contract]],$H118,CostTrack[[Holdback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18" s="504">
        <f ca="1">SUMIFS(CostTrack[[Value]:[Value]],CostTrack[[PA ID]:[PA ID]],$B118,CostTrack[[Vendor - Contract]:[Vendor - Contract]],$H118,CostTrack[[Holdback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18" s="504">
        <f ca="1">SUMIFS(CostTrack[[Value]:[Value]],CostTrack[[PA ID]:[PA ID]],$B118,CostTrack[[Vendor - Contract]:[Vendor - Contract]],$H118,CostTrack[[Holdback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18" s="504">
        <f ca="1">SUMIFS(CostTrack[[Value]:[Value]],CostTrack[[PA ID]:[PA ID]],$B118,CostTrack[[Vendor - Contract]:[Vendor - Contract]],$H118,CostTrack[[Holdback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18" s="504">
        <f ca="1">SUMIFS(CostTrack[[Value]:[Value]],CostTrack[[PA ID]:[PA ID]],$B118,CostTrack[[Vendor - Contract]:[Vendor - Contract]],$H118,CostTrack[[Holdback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18" s="504">
        <f ca="1">SUMIFS(CostTrack[[Value]:[Value]],CostTrack[[PA ID]:[PA ID]],$B118,CostTrack[[Vendor - Contract]:[Vendor - Contract]],$H118,CostTrack[[Holdback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18" s="504">
        <f ca="1">SUMIFS(CostTrack[[Value]:[Value]],CostTrack[[PA ID]:[PA ID]],$B118,CostTrack[[Vendor - Contract]:[Vendor - Contract]],$H118,CostTrack[[Holdback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18" s="504">
        <f ca="1">SUMIFS(CostTrack[[Value]:[Value]],CostTrack[[PA ID]:[PA ID]],$B118,CostTrack[[Vendor - Contract]:[Vendor - Contract]],$H118,CostTrack[[Holdback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18" s="512">
        <f t="shared" ca="1" si="252"/>
        <v>0</v>
      </c>
      <c r="AW118" s="504">
        <f ca="1">SUMIFS(CostTrack[[Value]:[Value]],CostTrack[[PA ID]:[PA ID]],$B118,CostTrack[[Vendor - Contract]:[Vendor - Contract]],$H118,CostTrack[[Holdback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18" s="504">
        <f ca="1">SUMIFS(CostTrack[[Value]:[Value]],CostTrack[[PA ID]:[PA ID]],$B118,CostTrack[[Vendor - Contract]:[Vendor - Contract]],$H118,CostTrack[[Holdback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18" s="504">
        <f ca="1">SUMIFS(CostTrack[[Value]:[Value]],CostTrack[[PA ID]:[PA ID]],$B118,CostTrack[[Vendor - Contract]:[Vendor - Contract]],$H118,CostTrack[[Holdback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18" s="504">
        <f ca="1">SUMIFS(CostTrack[[Value]:[Value]],CostTrack[[PA ID]:[PA ID]],$B118,CostTrack[[Vendor - Contract]:[Vendor - Contract]],$H118,CostTrack[[Holdback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18" s="504">
        <f ca="1">SUMIFS(CostTrack[[Value]:[Value]],CostTrack[[PA ID]:[PA ID]],$B118,CostTrack[[Vendor - Contract]:[Vendor - Contract]],$H118,CostTrack[[Holdback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18" s="504">
        <f ca="1">SUMIFS(CostTrack[[Value]:[Value]],CostTrack[[PA ID]:[PA ID]],$B118,CostTrack[[Vendor - Contract]:[Vendor - Contract]],$H118,CostTrack[[Holdback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18" s="504">
        <f ca="1">SUMIFS(CostTrack[[Value]:[Value]],CostTrack[[PA ID]:[PA ID]],$B118,CostTrack[[Vendor - Contract]:[Vendor - Contract]],$H118,CostTrack[[Holdback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18" s="504">
        <f ca="1">SUMIFS(CostTrack[[Value]:[Value]],CostTrack[[PA ID]:[PA ID]],$B118,CostTrack[[Vendor - Contract]:[Vendor - Contract]],$H118,CostTrack[[Holdback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18" s="504">
        <f ca="1">SUMIFS(CostTrack[[Value]:[Value]],CostTrack[[PA ID]:[PA ID]],$B118,CostTrack[[Vendor - Contract]:[Vendor - Contract]],$H118,CostTrack[[Holdback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18" s="504">
        <f ca="1">SUMIFS(CostTrack[[Value]:[Value]],CostTrack[[PA ID]:[PA ID]],$B118,CostTrack[[Vendor - Contract]:[Vendor - Contract]],$H118,CostTrack[[Holdback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18" s="504">
        <f ca="1">SUMIFS(CostTrack[[Value]:[Value]],CostTrack[[PA ID]:[PA ID]],$B118,CostTrack[[Vendor - Contract]:[Vendor - Contract]],$H118,CostTrack[[Holdback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18" s="504">
        <f ca="1">SUMIFS(CostTrack[[Value]:[Value]],CostTrack[[PA ID]:[PA ID]],$B118,CostTrack[[Vendor - Contract]:[Vendor - Contract]],$H118,CostTrack[[Holdback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18" s="512">
        <f t="shared" ca="1" si="268"/>
        <v>0</v>
      </c>
      <c r="BK118" s="504">
        <f ca="1">SUMIFS(CostTrack[[Value]:[Value]],CostTrack[[PA ID]:[PA ID]],$B118,CostTrack[[Vendor - Contract]:[Vendor - Contract]],$H118,CostTrack[[Holdback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18" s="504">
        <f ca="1">SUMIFS(CostTrack[[Value]:[Value]],CostTrack[[PA ID]:[PA ID]],$B118,CostTrack[[Vendor - Contract]:[Vendor - Contract]],$H118,CostTrack[[Holdback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18" s="504">
        <f ca="1">SUMIFS(CostTrack[[Value]:[Value]],CostTrack[[PA ID]:[PA ID]],$B118,CostTrack[[Vendor - Contract]:[Vendor - Contract]],$H118,CostTrack[[Holdback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18" s="504">
        <f ca="1">SUMIFS(CostTrack[[Value]:[Value]],CostTrack[[PA ID]:[PA ID]],$B118,CostTrack[[Vendor - Contract]:[Vendor - Contract]],$H118,CostTrack[[Holdback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18" s="504">
        <f ca="1">SUMIFS(CostTrack[[Value]:[Value]],CostTrack[[PA ID]:[PA ID]],$B118,CostTrack[[Vendor - Contract]:[Vendor - Contract]],$H118,CostTrack[[Holdback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18" s="504">
        <f ca="1">SUMIFS(CostTrack[[Value]:[Value]],CostTrack[[PA ID]:[PA ID]],$B118,CostTrack[[Vendor - Contract]:[Vendor - Contract]],$H118,CostTrack[[Holdback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18" s="504">
        <f ca="1">SUMIFS(CostTrack[[Value]:[Value]],CostTrack[[PA ID]:[PA ID]],$B118,CostTrack[[Vendor - Contract]:[Vendor - Contract]],$H118,CostTrack[[Holdback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18" s="504">
        <f ca="1">SUMIFS(CostTrack[[Value]:[Value]],CostTrack[[PA ID]:[PA ID]],$B118,CostTrack[[Vendor - Contract]:[Vendor - Contract]],$H118,CostTrack[[Holdback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18" s="504">
        <f ca="1">SUMIFS(CostTrack[[Value]:[Value]],CostTrack[[PA ID]:[PA ID]],$B118,CostTrack[[Vendor - Contract]:[Vendor - Contract]],$H118,CostTrack[[Holdback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18" s="504">
        <f ca="1">SUMIFS(CostTrack[[Value]:[Value]],CostTrack[[PA ID]:[PA ID]],$B118,CostTrack[[Vendor - Contract]:[Vendor - Contract]],$H118,CostTrack[[Holdback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18" s="504">
        <f ca="1">SUMIFS(CostTrack[[Value]:[Value]],CostTrack[[PA ID]:[PA ID]],$B118,CostTrack[[Vendor - Contract]:[Vendor - Contract]],$H118,CostTrack[[Holdback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18" s="504">
        <f ca="1">SUMIFS(CostTrack[[Value]:[Value]],CostTrack[[PA ID]:[PA ID]],$B118,CostTrack[[Vendor - Contract]:[Vendor - Contract]],$H118,CostTrack[[Holdback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18" s="512">
        <f t="shared" ca="1" si="269"/>
        <v>0</v>
      </c>
      <c r="BY118" s="504">
        <f ca="1">SUMIFS(CostTrack[[Value]:[Value]],CostTrack[[PA ID]:[PA ID]],$B118,CostTrack[[Vendor - Contract]:[Vendor - Contract]],$H118,CostTrack[[Holdback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18" s="504">
        <f ca="1">SUMIFS(CostTrack[[Value]:[Value]],CostTrack[[PA ID]:[PA ID]],$B118,CostTrack[[Vendor - Contract]:[Vendor - Contract]],$H118,CostTrack[[Holdback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18" s="504">
        <f ca="1">SUMIFS(CostTrack[[Value]:[Value]],CostTrack[[PA ID]:[PA ID]],$B118,CostTrack[[Vendor - Contract]:[Vendor - Contract]],$H118,CostTrack[[Holdback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18" s="504">
        <f ca="1">SUMIFS(CostTrack[[Value]:[Value]],CostTrack[[PA ID]:[PA ID]],$B118,CostTrack[[Vendor - Contract]:[Vendor - Contract]],$H118,CostTrack[[Holdback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18" s="504">
        <f ca="1">SUMIFS(CostTrack[[Value]:[Value]],CostTrack[[PA ID]:[PA ID]],$B118,CostTrack[[Vendor - Contract]:[Vendor - Contract]],$H118,CostTrack[[Holdback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18" s="504">
        <f ca="1">SUMIFS(CostTrack[[Value]:[Value]],CostTrack[[PA ID]:[PA ID]],$B118,CostTrack[[Vendor - Contract]:[Vendor - Contract]],$H118,CostTrack[[Holdback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18" s="504">
        <f ca="1">SUMIFS(CostTrack[[Value]:[Value]],CostTrack[[PA ID]:[PA ID]],$B118,CostTrack[[Vendor - Contract]:[Vendor - Contract]],$H118,CostTrack[[Holdback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18" s="504">
        <f ca="1">SUMIFS(CostTrack[[Value]:[Value]],CostTrack[[PA ID]:[PA ID]],$B118,CostTrack[[Vendor - Contract]:[Vendor - Contract]],$H118,CostTrack[[Holdback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18" s="504">
        <f ca="1">SUMIFS(CostTrack[[Value]:[Value]],CostTrack[[PA ID]:[PA ID]],$B118,CostTrack[[Vendor - Contract]:[Vendor - Contract]],$H118,CostTrack[[Holdback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18" s="504">
        <f ca="1">SUMIFS(CostTrack[[Value]:[Value]],CostTrack[[PA ID]:[PA ID]],$B118,CostTrack[[Vendor - Contract]:[Vendor - Contract]],$H118,CostTrack[[Holdback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18" s="504">
        <f ca="1">SUMIFS(CostTrack[[Value]:[Value]],CostTrack[[PA ID]:[PA ID]],$B118,CostTrack[[Vendor - Contract]:[Vendor - Contract]],$H118,CostTrack[[Holdback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18" s="504">
        <f ca="1">SUMIFS(CostTrack[[Value]:[Value]],CostTrack[[PA ID]:[PA ID]],$B118,CostTrack[[Vendor - Contract]:[Vendor - Contract]],$H118,CostTrack[[Holdback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18" s="512">
        <f t="shared" ca="1" si="255"/>
        <v>0</v>
      </c>
      <c r="CM118" s="504">
        <f ca="1">SUMIFS(CostTrack[[Value]:[Value]],CostTrack[[PA ID]:[PA ID]],$B118,CostTrack[[Vendor - Contract]:[Vendor - Contract]],$H118,CostTrack[[Holdback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18" s="504">
        <f ca="1">SUMIFS(CostTrack[[Value]:[Value]],CostTrack[[PA ID]:[PA ID]],$B118,CostTrack[[Vendor - Contract]:[Vendor - Contract]],$H118,CostTrack[[Holdback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18" s="504">
        <f ca="1">SUMIFS(CostTrack[[Value]:[Value]],CostTrack[[PA ID]:[PA ID]],$B118,CostTrack[[Vendor - Contract]:[Vendor - Contract]],$H118,CostTrack[[Holdback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18" s="504">
        <f ca="1">SUMIFS(CostTrack[[Value]:[Value]],CostTrack[[PA ID]:[PA ID]],$B118,CostTrack[[Vendor - Contract]:[Vendor - Contract]],$H118,CostTrack[[Holdback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18" s="504">
        <f ca="1">SUMIFS(CostTrack[[Value]:[Value]],CostTrack[[PA ID]:[PA ID]],$B118,CostTrack[[Vendor - Contract]:[Vendor - Contract]],$H118,CostTrack[[Holdback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18" s="504">
        <f ca="1">SUMIFS(CostTrack[[Value]:[Value]],CostTrack[[PA ID]:[PA ID]],$B118,CostTrack[[Vendor - Contract]:[Vendor - Contract]],$H118,CostTrack[[Holdback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18" s="504">
        <f ca="1">SUMIFS(CostTrack[[Value]:[Value]],CostTrack[[PA ID]:[PA ID]],$B118,CostTrack[[Vendor - Contract]:[Vendor - Contract]],$H118,CostTrack[[Holdback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18" s="504">
        <f ca="1">SUMIFS(CostTrack[[Value]:[Value]],CostTrack[[PA ID]:[PA ID]],$B118,CostTrack[[Vendor - Contract]:[Vendor - Contract]],$H118,CostTrack[[Holdback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18" s="504">
        <f ca="1">SUMIFS(CostTrack[[Value]:[Value]],CostTrack[[PA ID]:[PA ID]],$B118,CostTrack[[Vendor - Contract]:[Vendor - Contract]],$H118,CostTrack[[Holdback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18" s="504">
        <f ca="1">SUMIFS(CostTrack[[Value]:[Value]],CostTrack[[PA ID]:[PA ID]],$B118,CostTrack[[Vendor - Contract]:[Vendor - Contract]],$H118,CostTrack[[Holdback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18" s="504">
        <f ca="1">SUMIFS(CostTrack[[Value]:[Value]],CostTrack[[PA ID]:[PA ID]],$B118,CostTrack[[Vendor - Contract]:[Vendor - Contract]],$H118,CostTrack[[Holdback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18" s="504">
        <f ca="1">SUMIFS(CostTrack[[Value]:[Value]],CostTrack[[PA ID]:[PA ID]],$B118,CostTrack[[Vendor - Contract]:[Vendor - Contract]],$H118,CostTrack[[Holdback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18" s="512">
        <f t="shared" ca="1" si="256"/>
        <v>0</v>
      </c>
      <c r="DA118" s="504">
        <f ca="1">SUMIFS(CostTrack[[Value]:[Value]],CostTrack[[PA ID]:[PA ID]],$B118,CostTrack[[Vendor - Contract]:[Vendor - Contract]],$H118,CostTrack[[Holdback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18" s="504">
        <f ca="1">SUMIFS(CostTrack[[Value]:[Value]],CostTrack[[PA ID]:[PA ID]],$B118,CostTrack[[Vendor - Contract]:[Vendor - Contract]],$H118,CostTrack[[Holdback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18" s="504">
        <f ca="1">SUMIFS(CostTrack[[Value]:[Value]],CostTrack[[PA ID]:[PA ID]],$B118,CostTrack[[Vendor - Contract]:[Vendor - Contract]],$H118,CostTrack[[Holdback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18" s="504">
        <f ca="1">SUMIFS(CostTrack[[Value]:[Value]],CostTrack[[PA ID]:[PA ID]],$B118,CostTrack[[Vendor - Contract]:[Vendor - Contract]],$H118,CostTrack[[Holdback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18" s="504">
        <f ca="1">SUMIFS(CostTrack[[Value]:[Value]],CostTrack[[PA ID]:[PA ID]],$B118,CostTrack[[Vendor - Contract]:[Vendor - Contract]],$H118,CostTrack[[Holdback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18" s="504">
        <f ca="1">SUMIFS(CostTrack[[Value]:[Value]],CostTrack[[PA ID]:[PA ID]],$B118,CostTrack[[Vendor - Contract]:[Vendor - Contract]],$H118,CostTrack[[Holdback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18" s="504">
        <f ca="1">SUMIFS(CostTrack[[Value]:[Value]],CostTrack[[PA ID]:[PA ID]],$B118,CostTrack[[Vendor - Contract]:[Vendor - Contract]],$H118,CostTrack[[Holdback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18" s="504">
        <f ca="1">SUMIFS(CostTrack[[Value]:[Value]],CostTrack[[PA ID]:[PA ID]],$B118,CostTrack[[Vendor - Contract]:[Vendor - Contract]],$H118,CostTrack[[Holdback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18" s="504">
        <f ca="1">SUMIFS(CostTrack[[Value]:[Value]],CostTrack[[PA ID]:[PA ID]],$B118,CostTrack[[Vendor - Contract]:[Vendor - Contract]],$H118,CostTrack[[Holdback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18" s="504">
        <f ca="1">SUMIFS(CostTrack[[Value]:[Value]],CostTrack[[PA ID]:[PA ID]],$B118,CostTrack[[Vendor - Contract]:[Vendor - Contract]],$H118,CostTrack[[Holdback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18" s="504">
        <f ca="1">SUMIFS(CostTrack[[Value]:[Value]],CostTrack[[PA ID]:[PA ID]],$B118,CostTrack[[Vendor - Contract]:[Vendor - Contract]],$H118,CostTrack[[Holdback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18" s="504">
        <f ca="1">SUMIFS(CostTrack[[Value]:[Value]],CostTrack[[PA ID]:[PA ID]],$B118,CostTrack[[Vendor - Contract]:[Vendor - Contract]],$H118,CostTrack[[Holdback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18" s="512">
        <f t="shared" ca="1" si="257"/>
        <v>0</v>
      </c>
      <c r="DO118" s="504">
        <f ca="1">SUMIFS(CostTrack[[Value]:[Value]],CostTrack[[PA ID]:[PA ID]],$B118,CostTrack[[Vendor - Contract]:[Vendor - Contract]],$H118,CostTrack[[Holdback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18" s="504">
        <f ca="1">SUMIFS(CostTrack[[Value]:[Value]],CostTrack[[PA ID]:[PA ID]],$B118,CostTrack[[Vendor - Contract]:[Vendor - Contract]],$H118,CostTrack[[Holdback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18" s="504">
        <f ca="1">SUMIFS(CostTrack[[Value]:[Value]],CostTrack[[PA ID]:[PA ID]],$B118,CostTrack[[Vendor - Contract]:[Vendor - Contract]],$H118,CostTrack[[Holdback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18" s="504">
        <f ca="1">SUMIFS(CostTrack[[Value]:[Value]],CostTrack[[PA ID]:[PA ID]],$B118,CostTrack[[Vendor - Contract]:[Vendor - Contract]],$H118,CostTrack[[Holdback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18" s="504">
        <f ca="1">SUMIFS(CostTrack[[Value]:[Value]],CostTrack[[PA ID]:[PA ID]],$B118,CostTrack[[Vendor - Contract]:[Vendor - Contract]],$H118,CostTrack[[Holdback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3501.46</v>
      </c>
      <c r="DT118" s="504">
        <f ca="1">SUMIFS(CostTrack[[Value]:[Value]],CostTrack[[PA ID]:[PA ID]],$B118,CostTrack[[Vendor - Contract]:[Vendor - Contract]],$H118,CostTrack[[Holdback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18" s="504">
        <f ca="1">SUMIFS(CostTrack[[Value]:[Value]],CostTrack[[PA ID]:[PA ID]],$B118,CostTrack[[Vendor - Contract]:[Vendor - Contract]],$H118,CostTrack[[Holdback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18" s="504">
        <f ca="1">SUMIFS(CostTrack[[Value]:[Value]],CostTrack[[PA ID]:[PA ID]],$B118,CostTrack[[Vendor - Contract]:[Vendor - Contract]],$H118,CostTrack[[Holdback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18" s="504">
        <f ca="1">SUMIFS(CostTrack[[Value]:[Value]],CostTrack[[PA ID]:[PA ID]],$B118,CostTrack[[Vendor - Contract]:[Vendor - Contract]],$H118,CostTrack[[Holdback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18" s="504">
        <f ca="1">SUMIFS(CostTrack[[Value]:[Value]],CostTrack[[PA ID]:[PA ID]],$B118,CostTrack[[Vendor - Contract]:[Vendor - Contract]],$H118,CostTrack[[Holdback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18" s="504">
        <f ca="1">SUMIFS(CostTrack[[Value]:[Value]],CostTrack[[PA ID]:[PA ID]],$B118,CostTrack[[Vendor - Contract]:[Vendor - Contract]],$H118,CostTrack[[Holdback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18" s="504">
        <f ca="1">SUMIFS(CostTrack[[Value]:[Value]],CostTrack[[PA ID]:[PA ID]],$B118,CostTrack[[Vendor - Contract]:[Vendor - Contract]],$H118,CostTrack[[Holdback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18" s="512">
        <f t="shared" ca="1" si="270"/>
        <v>3501.46</v>
      </c>
      <c r="EC118" s="504">
        <f ca="1">SUMIFS(CostTrack[[Value]:[Value]],CostTrack[[PA ID]:[PA ID]],$B118,CostTrack[[Vendor - Contract]:[Vendor - Contract]],$H118,CostTrack[[Holdback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18" s="505"/>
      <c r="EE118" s="505"/>
      <c r="EF118" s="505"/>
      <c r="EG118" s="505"/>
      <c r="EH118" s="505"/>
      <c r="EI118" s="505"/>
      <c r="EJ118" s="505"/>
      <c r="EK118" s="505"/>
      <c r="EL118" s="505"/>
      <c r="EM118" s="505"/>
      <c r="EN118" s="505"/>
      <c r="EO118" s="512">
        <f t="shared" ca="1" si="271"/>
        <v>0</v>
      </c>
      <c r="EQ118" s="505"/>
      <c r="ER118" s="505"/>
      <c r="ES118" s="505"/>
      <c r="ET118" s="505"/>
      <c r="EU118" s="505"/>
      <c r="EV118" s="505"/>
      <c r="EW118" s="505"/>
      <c r="EX118" s="505"/>
      <c r="EY118" s="505"/>
      <c r="EZ118" s="505"/>
      <c r="FA118" s="505"/>
      <c r="FB118" s="505"/>
      <c r="FC118" s="512">
        <f t="shared" si="272"/>
        <v>0</v>
      </c>
      <c r="FE118" s="505"/>
      <c r="FF118" s="505"/>
      <c r="FG118" s="505"/>
      <c r="FH118" s="505"/>
      <c r="FI118" s="505"/>
      <c r="FJ118" s="505"/>
      <c r="FK118" s="505"/>
      <c r="FL118" s="505"/>
      <c r="FM118" s="505"/>
      <c r="FN118" s="505"/>
      <c r="FO118" s="505"/>
      <c r="FP118" s="505"/>
      <c r="FQ118" s="512">
        <f t="shared" si="273"/>
        <v>0</v>
      </c>
      <c r="FS118" s="504">
        <f t="shared" ca="1" si="274"/>
        <v>3501.46</v>
      </c>
    </row>
    <row r="119" spans="1:175">
      <c r="A119" s="216">
        <v>112</v>
      </c>
      <c r="B119" s="219" t="str">
        <f ca="1">INDEX(EAC[PA ID],MATCH($A119,EAC[Row],0))</f>
        <v>400.010.F1</v>
      </c>
      <c r="C119" s="218" t="str">
        <f ca="1">INDEX(EAC[Primary Category],MATCH($A119,EAC[Row],0))</f>
        <v>FE_IT</v>
      </c>
      <c r="D119" s="218" t="str">
        <f ca="1">INDEX(EAC[Secondary Category],MATCH($A119,EAC[Row],0))</f>
        <v>Furniture &amp; Equipment</v>
      </c>
      <c r="E119" s="109" t="str">
        <f ca="1">INDEX(EAC[Phase / Subproject],MATCH($A119,EAC[Row],0))</f>
        <v>--</v>
      </c>
      <c r="F119" s="109" t="str">
        <f ca="1">INDEX(EAC[Phase / Subproject 2],MATCH($A119,EAC[Row],0))</f>
        <v>--</v>
      </c>
      <c r="G119" s="109" t="str">
        <f ca="1">INDEX(EAC[Funding Source],MATCH($A119,EAC[Row],0))</f>
        <v>P-002360</v>
      </c>
      <c r="H119" s="146" t="str">
        <f ca="1">INDEX(EAC[Vendor / Org. with Contract ID],MATCH($A119,EAC[Row],0))</f>
        <v>Allwest- Nursing Chair-9000086396</v>
      </c>
      <c r="I119" s="502">
        <f ca="1">INDEX(EAC[Estimate At Completion],MATCH($A119,EAC[Row],0))</f>
        <v>1361.49</v>
      </c>
      <c r="J119" s="502">
        <f ca="1">SUMIFS(CostTrack[Value],CostTrack[Vendor - Contract],$H119,CostTrack[PA ID],$B119,CostTrack[Holdback (Y/N/R)],"&lt;&gt;Release",CostTrack[Status],"Approved")</f>
        <v>1361.49</v>
      </c>
      <c r="K119" s="503">
        <f t="shared" ca="1" si="280"/>
        <v>0</v>
      </c>
      <c r="M119" s="504">
        <f t="shared" ca="1" si="264"/>
        <v>0</v>
      </c>
      <c r="O119" s="504">
        <f t="shared" ca="1" si="275"/>
        <v>1361.49</v>
      </c>
      <c r="P119" s="504">
        <f t="array" aca="1" ref="P119" ca="1">SUM($U119:$FQ119*_xlfn.ISFORMULA($U119:$FQ119)*ISNUMBER($U$7:$FQ$7)*--(INDEX($U$6:$FQ$6,N(IF({1},COLUMN($U$6:$FQ$6)-COLUMN($T$6)))-MOD(N(IF({1},COLUMN($U$6:$FQ$6)-COLUMN($U$6))),14))="Current Fiscal"))</f>
        <v>0</v>
      </c>
      <c r="Q119" s="504">
        <f t="array" aca="1" ref="Q119" ca="1">SUM($U119:$FQ119*NOT(_xlfn.ISFORMULA($U119:$FQ119))*ISNUMBER($U$7:$FQ$7)*--(INDEX($U$6:$FQ$6,N(IF({1},COLUMN($U$6:$FQ$6)-COLUMN($T$6)))-MOD(N(IF({1},COLUMN($U$6:$FQ$6)-COLUMN($U$6))),14))="Current Fiscal"))</f>
        <v>0</v>
      </c>
      <c r="R119" s="504">
        <f t="shared" ca="1" si="276"/>
        <v>0</v>
      </c>
      <c r="S119" s="504">
        <f t="shared" ca="1" si="277"/>
        <v>0</v>
      </c>
      <c r="U119" s="504">
        <f ca="1">SUMIFS(CostTrack[[Value]:[Value]],CostTrack[[PA ID]:[PA ID]],$B119,CostTrack[[Vendor - Contract]:[Vendor - Contract]],$H119,CostTrack[[Holdback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19" s="504">
        <f ca="1">SUMIFS(CostTrack[[Value]:[Value]],CostTrack[[PA ID]:[PA ID]],$B119,CostTrack[[Vendor - Contract]:[Vendor - Contract]],$H119,CostTrack[[Holdback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19" s="504">
        <f ca="1">SUMIFS(CostTrack[[Value]:[Value]],CostTrack[[PA ID]:[PA ID]],$B119,CostTrack[[Vendor - Contract]:[Vendor - Contract]],$H119,CostTrack[[Holdback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19" s="504">
        <f ca="1">SUMIFS(CostTrack[[Value]:[Value]],CostTrack[[PA ID]:[PA ID]],$B119,CostTrack[[Vendor - Contract]:[Vendor - Contract]],$H119,CostTrack[[Holdback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19" s="504">
        <f ca="1">SUMIFS(CostTrack[[Value]:[Value]],CostTrack[[PA ID]:[PA ID]],$B119,CostTrack[[Vendor - Contract]:[Vendor - Contract]],$H119,CostTrack[[Holdback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19" s="504">
        <f ca="1">SUMIFS(CostTrack[[Value]:[Value]],CostTrack[[PA ID]:[PA ID]],$B119,CostTrack[[Vendor - Contract]:[Vendor - Contract]],$H119,CostTrack[[Holdback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19" s="504">
        <f ca="1">SUMIFS(CostTrack[[Value]:[Value]],CostTrack[[PA ID]:[PA ID]],$B119,CostTrack[[Vendor - Contract]:[Vendor - Contract]],$H119,CostTrack[[Holdback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19" s="504">
        <f ca="1">SUMIFS(CostTrack[[Value]:[Value]],CostTrack[[PA ID]:[PA ID]],$B119,CostTrack[[Vendor - Contract]:[Vendor - Contract]],$H119,CostTrack[[Holdback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19" s="504">
        <f ca="1">SUMIFS(CostTrack[[Value]:[Value]],CostTrack[[PA ID]:[PA ID]],$B119,CostTrack[[Vendor - Contract]:[Vendor - Contract]],$H119,CostTrack[[Holdback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19" s="504">
        <f ca="1">SUMIFS(CostTrack[[Value]:[Value]],CostTrack[[PA ID]:[PA ID]],$B119,CostTrack[[Vendor - Contract]:[Vendor - Contract]],$H119,CostTrack[[Holdback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19" s="504">
        <f ca="1">SUMIFS(CostTrack[[Value]:[Value]],CostTrack[[PA ID]:[PA ID]],$B119,CostTrack[[Vendor - Contract]:[Vendor - Contract]],$H119,CostTrack[[Holdback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19" s="504">
        <f ca="1">SUMIFS(CostTrack[[Value]:[Value]],CostTrack[[PA ID]:[PA ID]],$B119,CostTrack[[Vendor - Contract]:[Vendor - Contract]],$H119,CostTrack[[Holdback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19" s="506">
        <f t="shared" ca="1" si="235"/>
        <v>0</v>
      </c>
      <c r="AI119" s="504">
        <f ca="1">SUMIFS(CostTrack[[Value]:[Value]],CostTrack[[PA ID]:[PA ID]],$B119,CostTrack[[Vendor - Contract]:[Vendor - Contract]],$H119,CostTrack[[Holdback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19" s="504">
        <f ca="1">SUMIFS(CostTrack[[Value]:[Value]],CostTrack[[PA ID]:[PA ID]],$B119,CostTrack[[Vendor - Contract]:[Vendor - Contract]],$H119,CostTrack[[Holdback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19" s="504">
        <f ca="1">SUMIFS(CostTrack[[Value]:[Value]],CostTrack[[PA ID]:[PA ID]],$B119,CostTrack[[Vendor - Contract]:[Vendor - Contract]],$H119,CostTrack[[Holdback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19" s="504">
        <f ca="1">SUMIFS(CostTrack[[Value]:[Value]],CostTrack[[PA ID]:[PA ID]],$B119,CostTrack[[Vendor - Contract]:[Vendor - Contract]],$H119,CostTrack[[Holdback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19" s="504">
        <f ca="1">SUMIFS(CostTrack[[Value]:[Value]],CostTrack[[PA ID]:[PA ID]],$B119,CostTrack[[Vendor - Contract]:[Vendor - Contract]],$H119,CostTrack[[Holdback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19" s="504">
        <f ca="1">SUMIFS(CostTrack[[Value]:[Value]],CostTrack[[PA ID]:[PA ID]],$B119,CostTrack[[Vendor - Contract]:[Vendor - Contract]],$H119,CostTrack[[Holdback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19" s="504">
        <f ca="1">SUMIFS(CostTrack[[Value]:[Value]],CostTrack[[PA ID]:[PA ID]],$B119,CostTrack[[Vendor - Contract]:[Vendor - Contract]],$H119,CostTrack[[Holdback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19" s="504">
        <f ca="1">SUMIFS(CostTrack[[Value]:[Value]],CostTrack[[PA ID]:[PA ID]],$B119,CostTrack[[Vendor - Contract]:[Vendor - Contract]],$H119,CostTrack[[Holdback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19" s="504">
        <f ca="1">SUMIFS(CostTrack[[Value]:[Value]],CostTrack[[PA ID]:[PA ID]],$B119,CostTrack[[Vendor - Contract]:[Vendor - Contract]],$H119,CostTrack[[Holdback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19" s="504">
        <f ca="1">SUMIFS(CostTrack[[Value]:[Value]],CostTrack[[PA ID]:[PA ID]],$B119,CostTrack[[Vendor - Contract]:[Vendor - Contract]],$H119,CostTrack[[Holdback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19" s="504">
        <f ca="1">SUMIFS(CostTrack[[Value]:[Value]],CostTrack[[PA ID]:[PA ID]],$B119,CostTrack[[Vendor - Contract]:[Vendor - Contract]],$H119,CostTrack[[Holdback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19" s="504">
        <f ca="1">SUMIFS(CostTrack[[Value]:[Value]],CostTrack[[PA ID]:[PA ID]],$B119,CostTrack[[Vendor - Contract]:[Vendor - Contract]],$H119,CostTrack[[Holdback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19" s="512">
        <f t="shared" ca="1" si="252"/>
        <v>0</v>
      </c>
      <c r="AW119" s="504">
        <f ca="1">SUMIFS(CostTrack[[Value]:[Value]],CostTrack[[PA ID]:[PA ID]],$B119,CostTrack[[Vendor - Contract]:[Vendor - Contract]],$H119,CostTrack[[Holdback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19" s="504">
        <f ca="1">SUMIFS(CostTrack[[Value]:[Value]],CostTrack[[PA ID]:[PA ID]],$B119,CostTrack[[Vendor - Contract]:[Vendor - Contract]],$H119,CostTrack[[Holdback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19" s="504">
        <f ca="1">SUMIFS(CostTrack[[Value]:[Value]],CostTrack[[PA ID]:[PA ID]],$B119,CostTrack[[Vendor - Contract]:[Vendor - Contract]],$H119,CostTrack[[Holdback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19" s="504">
        <f ca="1">SUMIFS(CostTrack[[Value]:[Value]],CostTrack[[PA ID]:[PA ID]],$B119,CostTrack[[Vendor - Contract]:[Vendor - Contract]],$H119,CostTrack[[Holdback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19" s="504">
        <f ca="1">SUMIFS(CostTrack[[Value]:[Value]],CostTrack[[PA ID]:[PA ID]],$B119,CostTrack[[Vendor - Contract]:[Vendor - Contract]],$H119,CostTrack[[Holdback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19" s="504">
        <f ca="1">SUMIFS(CostTrack[[Value]:[Value]],CostTrack[[PA ID]:[PA ID]],$B119,CostTrack[[Vendor - Contract]:[Vendor - Contract]],$H119,CostTrack[[Holdback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19" s="504">
        <f ca="1">SUMIFS(CostTrack[[Value]:[Value]],CostTrack[[PA ID]:[PA ID]],$B119,CostTrack[[Vendor - Contract]:[Vendor - Contract]],$H119,CostTrack[[Holdback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19" s="504">
        <f ca="1">SUMIFS(CostTrack[[Value]:[Value]],CostTrack[[PA ID]:[PA ID]],$B119,CostTrack[[Vendor - Contract]:[Vendor - Contract]],$H119,CostTrack[[Holdback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19" s="504">
        <f ca="1">SUMIFS(CostTrack[[Value]:[Value]],CostTrack[[PA ID]:[PA ID]],$B119,CostTrack[[Vendor - Contract]:[Vendor - Contract]],$H119,CostTrack[[Holdback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19" s="504">
        <f ca="1">SUMIFS(CostTrack[[Value]:[Value]],CostTrack[[PA ID]:[PA ID]],$B119,CostTrack[[Vendor - Contract]:[Vendor - Contract]],$H119,CostTrack[[Holdback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19" s="504">
        <f ca="1">SUMIFS(CostTrack[[Value]:[Value]],CostTrack[[PA ID]:[PA ID]],$B119,CostTrack[[Vendor - Contract]:[Vendor - Contract]],$H119,CostTrack[[Holdback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19" s="504">
        <f ca="1">SUMIFS(CostTrack[[Value]:[Value]],CostTrack[[PA ID]:[PA ID]],$B119,CostTrack[[Vendor - Contract]:[Vendor - Contract]],$H119,CostTrack[[Holdback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19" s="512">
        <f t="shared" ca="1" si="268"/>
        <v>0</v>
      </c>
      <c r="BK119" s="504">
        <f ca="1">SUMIFS(CostTrack[[Value]:[Value]],CostTrack[[PA ID]:[PA ID]],$B119,CostTrack[[Vendor - Contract]:[Vendor - Contract]],$H119,CostTrack[[Holdback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19" s="504">
        <f ca="1">SUMIFS(CostTrack[[Value]:[Value]],CostTrack[[PA ID]:[PA ID]],$B119,CostTrack[[Vendor - Contract]:[Vendor - Contract]],$H119,CostTrack[[Holdback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19" s="504">
        <f ca="1">SUMIFS(CostTrack[[Value]:[Value]],CostTrack[[PA ID]:[PA ID]],$B119,CostTrack[[Vendor - Contract]:[Vendor - Contract]],$H119,CostTrack[[Holdback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19" s="504">
        <f ca="1">SUMIFS(CostTrack[[Value]:[Value]],CostTrack[[PA ID]:[PA ID]],$B119,CostTrack[[Vendor - Contract]:[Vendor - Contract]],$H119,CostTrack[[Holdback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19" s="504">
        <f ca="1">SUMIFS(CostTrack[[Value]:[Value]],CostTrack[[PA ID]:[PA ID]],$B119,CostTrack[[Vendor - Contract]:[Vendor - Contract]],$H119,CostTrack[[Holdback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19" s="504">
        <f ca="1">SUMIFS(CostTrack[[Value]:[Value]],CostTrack[[PA ID]:[PA ID]],$B119,CostTrack[[Vendor - Contract]:[Vendor - Contract]],$H119,CostTrack[[Holdback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19" s="504">
        <f ca="1">SUMIFS(CostTrack[[Value]:[Value]],CostTrack[[PA ID]:[PA ID]],$B119,CostTrack[[Vendor - Contract]:[Vendor - Contract]],$H119,CostTrack[[Holdback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19" s="504">
        <f ca="1">SUMIFS(CostTrack[[Value]:[Value]],CostTrack[[PA ID]:[PA ID]],$B119,CostTrack[[Vendor - Contract]:[Vendor - Contract]],$H119,CostTrack[[Holdback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19" s="504">
        <f ca="1">SUMIFS(CostTrack[[Value]:[Value]],CostTrack[[PA ID]:[PA ID]],$B119,CostTrack[[Vendor - Contract]:[Vendor - Contract]],$H119,CostTrack[[Holdback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19" s="504">
        <f ca="1">SUMIFS(CostTrack[[Value]:[Value]],CostTrack[[PA ID]:[PA ID]],$B119,CostTrack[[Vendor - Contract]:[Vendor - Contract]],$H119,CostTrack[[Holdback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19" s="504">
        <f ca="1">SUMIFS(CostTrack[[Value]:[Value]],CostTrack[[PA ID]:[PA ID]],$B119,CostTrack[[Vendor - Contract]:[Vendor - Contract]],$H119,CostTrack[[Holdback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19" s="504">
        <f ca="1">SUMIFS(CostTrack[[Value]:[Value]],CostTrack[[PA ID]:[PA ID]],$B119,CostTrack[[Vendor - Contract]:[Vendor - Contract]],$H119,CostTrack[[Holdback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19" s="512">
        <f t="shared" ca="1" si="269"/>
        <v>0</v>
      </c>
      <c r="BY119" s="504">
        <f ca="1">SUMIFS(CostTrack[[Value]:[Value]],CostTrack[[PA ID]:[PA ID]],$B119,CostTrack[[Vendor - Contract]:[Vendor - Contract]],$H119,CostTrack[[Holdback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19" s="504">
        <f ca="1">SUMIFS(CostTrack[[Value]:[Value]],CostTrack[[PA ID]:[PA ID]],$B119,CostTrack[[Vendor - Contract]:[Vendor - Contract]],$H119,CostTrack[[Holdback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19" s="504">
        <f ca="1">SUMIFS(CostTrack[[Value]:[Value]],CostTrack[[PA ID]:[PA ID]],$B119,CostTrack[[Vendor - Contract]:[Vendor - Contract]],$H119,CostTrack[[Holdback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19" s="504">
        <f ca="1">SUMIFS(CostTrack[[Value]:[Value]],CostTrack[[PA ID]:[PA ID]],$B119,CostTrack[[Vendor - Contract]:[Vendor - Contract]],$H119,CostTrack[[Holdback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19" s="504">
        <f ca="1">SUMIFS(CostTrack[[Value]:[Value]],CostTrack[[PA ID]:[PA ID]],$B119,CostTrack[[Vendor - Contract]:[Vendor - Contract]],$H119,CostTrack[[Holdback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19" s="504">
        <f ca="1">SUMIFS(CostTrack[[Value]:[Value]],CostTrack[[PA ID]:[PA ID]],$B119,CostTrack[[Vendor - Contract]:[Vendor - Contract]],$H119,CostTrack[[Holdback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19" s="504">
        <f ca="1">SUMIFS(CostTrack[[Value]:[Value]],CostTrack[[PA ID]:[PA ID]],$B119,CostTrack[[Vendor - Contract]:[Vendor - Contract]],$H119,CostTrack[[Holdback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19" s="504">
        <f ca="1">SUMIFS(CostTrack[[Value]:[Value]],CostTrack[[PA ID]:[PA ID]],$B119,CostTrack[[Vendor - Contract]:[Vendor - Contract]],$H119,CostTrack[[Holdback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19" s="504">
        <f ca="1">SUMIFS(CostTrack[[Value]:[Value]],CostTrack[[PA ID]:[PA ID]],$B119,CostTrack[[Vendor - Contract]:[Vendor - Contract]],$H119,CostTrack[[Holdback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19" s="504">
        <f ca="1">SUMIFS(CostTrack[[Value]:[Value]],CostTrack[[PA ID]:[PA ID]],$B119,CostTrack[[Vendor - Contract]:[Vendor - Contract]],$H119,CostTrack[[Holdback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19" s="504">
        <f ca="1">SUMIFS(CostTrack[[Value]:[Value]],CostTrack[[PA ID]:[PA ID]],$B119,CostTrack[[Vendor - Contract]:[Vendor - Contract]],$H119,CostTrack[[Holdback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19" s="504">
        <f ca="1">SUMIFS(CostTrack[[Value]:[Value]],CostTrack[[PA ID]:[PA ID]],$B119,CostTrack[[Vendor - Contract]:[Vendor - Contract]],$H119,CostTrack[[Holdback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19" s="512">
        <f t="shared" ca="1" si="255"/>
        <v>0</v>
      </c>
      <c r="CM119" s="504">
        <f ca="1">SUMIFS(CostTrack[[Value]:[Value]],CostTrack[[PA ID]:[PA ID]],$B119,CostTrack[[Vendor - Contract]:[Vendor - Contract]],$H119,CostTrack[[Holdback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19" s="504">
        <f ca="1">SUMIFS(CostTrack[[Value]:[Value]],CostTrack[[PA ID]:[PA ID]],$B119,CostTrack[[Vendor - Contract]:[Vendor - Contract]],$H119,CostTrack[[Holdback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19" s="504">
        <f ca="1">SUMIFS(CostTrack[[Value]:[Value]],CostTrack[[PA ID]:[PA ID]],$B119,CostTrack[[Vendor - Contract]:[Vendor - Contract]],$H119,CostTrack[[Holdback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19" s="504">
        <f ca="1">SUMIFS(CostTrack[[Value]:[Value]],CostTrack[[PA ID]:[PA ID]],$B119,CostTrack[[Vendor - Contract]:[Vendor - Contract]],$H119,CostTrack[[Holdback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19" s="504">
        <f ca="1">SUMIFS(CostTrack[[Value]:[Value]],CostTrack[[PA ID]:[PA ID]],$B119,CostTrack[[Vendor - Contract]:[Vendor - Contract]],$H119,CostTrack[[Holdback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19" s="504">
        <f ca="1">SUMIFS(CostTrack[[Value]:[Value]],CostTrack[[PA ID]:[PA ID]],$B119,CostTrack[[Vendor - Contract]:[Vendor - Contract]],$H119,CostTrack[[Holdback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19" s="504">
        <f ca="1">SUMIFS(CostTrack[[Value]:[Value]],CostTrack[[PA ID]:[PA ID]],$B119,CostTrack[[Vendor - Contract]:[Vendor - Contract]],$H119,CostTrack[[Holdback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19" s="504">
        <f ca="1">SUMIFS(CostTrack[[Value]:[Value]],CostTrack[[PA ID]:[PA ID]],$B119,CostTrack[[Vendor - Contract]:[Vendor - Contract]],$H119,CostTrack[[Holdback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19" s="504">
        <f ca="1">SUMIFS(CostTrack[[Value]:[Value]],CostTrack[[PA ID]:[PA ID]],$B119,CostTrack[[Vendor - Contract]:[Vendor - Contract]],$H119,CostTrack[[Holdback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19" s="504">
        <f ca="1">SUMIFS(CostTrack[[Value]:[Value]],CostTrack[[PA ID]:[PA ID]],$B119,CostTrack[[Vendor - Contract]:[Vendor - Contract]],$H119,CostTrack[[Holdback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19" s="504">
        <f ca="1">SUMIFS(CostTrack[[Value]:[Value]],CostTrack[[PA ID]:[PA ID]],$B119,CostTrack[[Vendor - Contract]:[Vendor - Contract]],$H119,CostTrack[[Holdback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19" s="504">
        <f ca="1">SUMIFS(CostTrack[[Value]:[Value]],CostTrack[[PA ID]:[PA ID]],$B119,CostTrack[[Vendor - Contract]:[Vendor - Contract]],$H119,CostTrack[[Holdback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19" s="512">
        <f t="shared" ca="1" si="256"/>
        <v>0</v>
      </c>
      <c r="DA119" s="504">
        <f ca="1">SUMIFS(CostTrack[[Value]:[Value]],CostTrack[[PA ID]:[PA ID]],$B119,CostTrack[[Vendor - Contract]:[Vendor - Contract]],$H119,CostTrack[[Holdback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19" s="504">
        <f ca="1">SUMIFS(CostTrack[[Value]:[Value]],CostTrack[[PA ID]:[PA ID]],$B119,CostTrack[[Vendor - Contract]:[Vendor - Contract]],$H119,CostTrack[[Holdback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19" s="504">
        <f ca="1">SUMIFS(CostTrack[[Value]:[Value]],CostTrack[[PA ID]:[PA ID]],$B119,CostTrack[[Vendor - Contract]:[Vendor - Contract]],$H119,CostTrack[[Holdback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19" s="504">
        <f ca="1">SUMIFS(CostTrack[[Value]:[Value]],CostTrack[[PA ID]:[PA ID]],$B119,CostTrack[[Vendor - Contract]:[Vendor - Contract]],$H119,CostTrack[[Holdback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19" s="504">
        <f ca="1">SUMIFS(CostTrack[[Value]:[Value]],CostTrack[[PA ID]:[PA ID]],$B119,CostTrack[[Vendor - Contract]:[Vendor - Contract]],$H119,CostTrack[[Holdback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19" s="504">
        <f ca="1">SUMIFS(CostTrack[[Value]:[Value]],CostTrack[[PA ID]:[PA ID]],$B119,CostTrack[[Vendor - Contract]:[Vendor - Contract]],$H119,CostTrack[[Holdback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19" s="504">
        <f ca="1">SUMIFS(CostTrack[[Value]:[Value]],CostTrack[[PA ID]:[PA ID]],$B119,CostTrack[[Vendor - Contract]:[Vendor - Contract]],$H119,CostTrack[[Holdback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19" s="504">
        <f ca="1">SUMIFS(CostTrack[[Value]:[Value]],CostTrack[[PA ID]:[PA ID]],$B119,CostTrack[[Vendor - Contract]:[Vendor - Contract]],$H119,CostTrack[[Holdback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19" s="504">
        <f ca="1">SUMIFS(CostTrack[[Value]:[Value]],CostTrack[[PA ID]:[PA ID]],$B119,CostTrack[[Vendor - Contract]:[Vendor - Contract]],$H119,CostTrack[[Holdback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19" s="504">
        <f ca="1">SUMIFS(CostTrack[[Value]:[Value]],CostTrack[[PA ID]:[PA ID]],$B119,CostTrack[[Vendor - Contract]:[Vendor - Contract]],$H119,CostTrack[[Holdback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19" s="504">
        <f ca="1">SUMIFS(CostTrack[[Value]:[Value]],CostTrack[[PA ID]:[PA ID]],$B119,CostTrack[[Vendor - Contract]:[Vendor - Contract]],$H119,CostTrack[[Holdback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19" s="504">
        <f ca="1">SUMIFS(CostTrack[[Value]:[Value]],CostTrack[[PA ID]:[PA ID]],$B119,CostTrack[[Vendor - Contract]:[Vendor - Contract]],$H119,CostTrack[[Holdback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19" s="512">
        <f t="shared" ca="1" si="257"/>
        <v>0</v>
      </c>
      <c r="DO119" s="504">
        <f ca="1">SUMIFS(CostTrack[[Value]:[Value]],CostTrack[[PA ID]:[PA ID]],$B119,CostTrack[[Vendor - Contract]:[Vendor - Contract]],$H119,CostTrack[[Holdback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19" s="504">
        <f ca="1">SUMIFS(CostTrack[[Value]:[Value]],CostTrack[[PA ID]:[PA ID]],$B119,CostTrack[[Vendor - Contract]:[Vendor - Contract]],$H119,CostTrack[[Holdback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19" s="504">
        <f ca="1">SUMIFS(CostTrack[[Value]:[Value]],CostTrack[[PA ID]:[PA ID]],$B119,CostTrack[[Vendor - Contract]:[Vendor - Contract]],$H119,CostTrack[[Holdback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19" s="504">
        <f ca="1">SUMIFS(CostTrack[[Value]:[Value]],CostTrack[[PA ID]:[PA ID]],$B119,CostTrack[[Vendor - Contract]:[Vendor - Contract]],$H119,CostTrack[[Holdback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1361.49</v>
      </c>
      <c r="DS119" s="504">
        <f ca="1">SUMIFS(CostTrack[[Value]:[Value]],CostTrack[[PA ID]:[PA ID]],$B119,CostTrack[[Vendor - Contract]:[Vendor - Contract]],$H119,CostTrack[[Holdback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19" s="504">
        <f ca="1">SUMIFS(CostTrack[[Value]:[Value]],CostTrack[[PA ID]:[PA ID]],$B119,CostTrack[[Vendor - Contract]:[Vendor - Contract]],$H119,CostTrack[[Holdback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19" s="504">
        <f ca="1">SUMIFS(CostTrack[[Value]:[Value]],CostTrack[[PA ID]:[PA ID]],$B119,CostTrack[[Vendor - Contract]:[Vendor - Contract]],$H119,CostTrack[[Holdback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19" s="504">
        <f ca="1">SUMIFS(CostTrack[[Value]:[Value]],CostTrack[[PA ID]:[PA ID]],$B119,CostTrack[[Vendor - Contract]:[Vendor - Contract]],$H119,CostTrack[[Holdback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19" s="504">
        <f ca="1">SUMIFS(CostTrack[[Value]:[Value]],CostTrack[[PA ID]:[PA ID]],$B119,CostTrack[[Vendor - Contract]:[Vendor - Contract]],$H119,CostTrack[[Holdback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19" s="504">
        <f ca="1">SUMIFS(CostTrack[[Value]:[Value]],CostTrack[[PA ID]:[PA ID]],$B119,CostTrack[[Vendor - Contract]:[Vendor - Contract]],$H119,CostTrack[[Holdback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19" s="504">
        <f ca="1">SUMIFS(CostTrack[[Value]:[Value]],CostTrack[[PA ID]:[PA ID]],$B119,CostTrack[[Vendor - Contract]:[Vendor - Contract]],$H119,CostTrack[[Holdback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19" s="504">
        <f ca="1">SUMIFS(CostTrack[[Value]:[Value]],CostTrack[[PA ID]:[PA ID]],$B119,CostTrack[[Vendor - Contract]:[Vendor - Contract]],$H119,CostTrack[[Holdback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19" s="512">
        <f t="shared" ca="1" si="270"/>
        <v>1361.49</v>
      </c>
      <c r="EC119" s="504">
        <f ca="1">SUMIFS(CostTrack[[Value]:[Value]],CostTrack[[PA ID]:[PA ID]],$B119,CostTrack[[Vendor - Contract]:[Vendor - Contract]],$H119,CostTrack[[Holdback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19" s="505"/>
      <c r="EE119" s="505"/>
      <c r="EF119" s="505"/>
      <c r="EG119" s="505"/>
      <c r="EH119" s="505"/>
      <c r="EI119" s="505"/>
      <c r="EJ119" s="505"/>
      <c r="EK119" s="505"/>
      <c r="EL119" s="505"/>
      <c r="EM119" s="505"/>
      <c r="EN119" s="505"/>
      <c r="EO119" s="512">
        <f t="shared" ca="1" si="271"/>
        <v>0</v>
      </c>
      <c r="EQ119" s="505"/>
      <c r="ER119" s="505"/>
      <c r="ES119" s="505"/>
      <c r="ET119" s="505"/>
      <c r="EU119" s="505"/>
      <c r="EV119" s="505"/>
      <c r="EW119" s="505"/>
      <c r="EX119" s="505"/>
      <c r="EY119" s="505"/>
      <c r="EZ119" s="505"/>
      <c r="FA119" s="505"/>
      <c r="FB119" s="505"/>
      <c r="FC119" s="512">
        <f t="shared" si="272"/>
        <v>0</v>
      </c>
      <c r="FE119" s="505"/>
      <c r="FF119" s="505"/>
      <c r="FG119" s="505"/>
      <c r="FH119" s="505"/>
      <c r="FI119" s="505"/>
      <c r="FJ119" s="505"/>
      <c r="FK119" s="505"/>
      <c r="FL119" s="505"/>
      <c r="FM119" s="505"/>
      <c r="FN119" s="505"/>
      <c r="FO119" s="505"/>
      <c r="FP119" s="505"/>
      <c r="FQ119" s="512">
        <f t="shared" si="273"/>
        <v>0</v>
      </c>
      <c r="FS119" s="504">
        <f t="shared" ca="1" si="274"/>
        <v>1361.49</v>
      </c>
    </row>
    <row r="120" spans="1:175">
      <c r="A120" s="216">
        <v>113</v>
      </c>
      <c r="B120" s="219" t="str">
        <f ca="1">INDEX(EAC[PA ID],MATCH($A120,EAC[Row],0))</f>
        <v>100.040.F1</v>
      </c>
      <c r="C120" s="218" t="str">
        <f ca="1">INDEX(EAC[Primary Category],MATCH($A120,EAC[Row],0))</f>
        <v>Administration</v>
      </c>
      <c r="D120" s="218" t="str">
        <f ca="1">INDEX(EAC[Secondary Category],MATCH($A120,EAC[Row],0))</f>
        <v>Accrual Write Off</v>
      </c>
      <c r="E120" s="109" t="str">
        <f ca="1">INDEX(EAC[Phase / Subproject],MATCH($A120,EAC[Row],0))</f>
        <v>--</v>
      </c>
      <c r="F120" s="109" t="str">
        <f ca="1">INDEX(EAC[Phase / Subproject 2],MATCH($A120,EAC[Row],0))</f>
        <v>--</v>
      </c>
      <c r="G120" s="109" t="str">
        <f ca="1">INDEX(EAC[Funding Source],MATCH($A120,EAC[Row],0))</f>
        <v>P-002360</v>
      </c>
      <c r="H120" s="146" t="str">
        <f ca="1">INDEX(EAC[Vendor / Org. with Contract ID],MATCH($A120,EAC[Row],0))</f>
        <v>ACCRUAL WRITE-OFF-Clearing -Group2-034413</v>
      </c>
      <c r="I120" s="502">
        <f ca="1">INDEX(EAC[Estimate At Completion],MATCH($A120,EAC[Row],0))</f>
        <v>4225</v>
      </c>
      <c r="J120" s="502">
        <f ca="1">SUMIFS(CostTrack[Value],CostTrack[Vendor - Contract],$H120,CostTrack[PA ID],$B120,CostTrack[Holdback (Y/N/R)],"&lt;&gt;Release",CostTrack[Status],"Approved")</f>
        <v>4225</v>
      </c>
      <c r="K120" s="503">
        <f t="shared" ca="1" si="280"/>
        <v>0</v>
      </c>
      <c r="M120" s="504">
        <f t="shared" ca="1" si="264"/>
        <v>0</v>
      </c>
      <c r="O120" s="504">
        <f t="shared" ca="1" si="275"/>
        <v>4225</v>
      </c>
      <c r="P120" s="504">
        <f t="array" aca="1" ref="P120" ca="1">SUM($U120:$FQ120*_xlfn.ISFORMULA($U120:$FQ120)*ISNUMBER($U$7:$FQ$7)*--(INDEX($U$6:$FQ$6,N(IF({1},COLUMN($U$6:$FQ$6)-COLUMN($T$6)))-MOD(N(IF({1},COLUMN($U$6:$FQ$6)-COLUMN($U$6))),14))="Current Fiscal"))</f>
        <v>0</v>
      </c>
      <c r="Q120" s="504">
        <f t="array" aca="1" ref="Q120" ca="1">SUM($U120:$FQ120*NOT(_xlfn.ISFORMULA($U120:$FQ120))*ISNUMBER($U$7:$FQ$7)*--(INDEX($U$6:$FQ$6,N(IF({1},COLUMN($U$6:$FQ$6)-COLUMN($T$6)))-MOD(N(IF({1},COLUMN($U$6:$FQ$6)-COLUMN($U$6))),14))="Current Fiscal"))</f>
        <v>0</v>
      </c>
      <c r="R120" s="504">
        <f t="shared" ca="1" si="276"/>
        <v>0</v>
      </c>
      <c r="S120" s="504">
        <f t="shared" ca="1" si="277"/>
        <v>0</v>
      </c>
      <c r="U120" s="504">
        <f ca="1">SUMIFS(CostTrack[[Value]:[Value]],CostTrack[[PA ID]:[PA ID]],$B120,CostTrack[[Vendor - Contract]:[Vendor - Contract]],$H120,CostTrack[[Holdback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20" s="504">
        <f ca="1">SUMIFS(CostTrack[[Value]:[Value]],CostTrack[[PA ID]:[PA ID]],$B120,CostTrack[[Vendor - Contract]:[Vendor - Contract]],$H120,CostTrack[[Holdback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20" s="504">
        <f ca="1">SUMIFS(CostTrack[[Value]:[Value]],CostTrack[[PA ID]:[PA ID]],$B120,CostTrack[[Vendor - Contract]:[Vendor - Contract]],$H120,CostTrack[[Holdback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20" s="504">
        <f ca="1">SUMIFS(CostTrack[[Value]:[Value]],CostTrack[[PA ID]:[PA ID]],$B120,CostTrack[[Vendor - Contract]:[Vendor - Contract]],$H120,CostTrack[[Holdback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20" s="504">
        <f ca="1">SUMIFS(CostTrack[[Value]:[Value]],CostTrack[[PA ID]:[PA ID]],$B120,CostTrack[[Vendor - Contract]:[Vendor - Contract]],$H120,CostTrack[[Holdback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20" s="504">
        <f ca="1">SUMIFS(CostTrack[[Value]:[Value]],CostTrack[[PA ID]:[PA ID]],$B120,CostTrack[[Vendor - Contract]:[Vendor - Contract]],$H120,CostTrack[[Holdback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20" s="504">
        <f ca="1">SUMIFS(CostTrack[[Value]:[Value]],CostTrack[[PA ID]:[PA ID]],$B120,CostTrack[[Vendor - Contract]:[Vendor - Contract]],$H120,CostTrack[[Holdback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20" s="504">
        <f ca="1">SUMIFS(CostTrack[[Value]:[Value]],CostTrack[[PA ID]:[PA ID]],$B120,CostTrack[[Vendor - Contract]:[Vendor - Contract]],$H120,CostTrack[[Holdback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20" s="504">
        <f ca="1">SUMIFS(CostTrack[[Value]:[Value]],CostTrack[[PA ID]:[PA ID]],$B120,CostTrack[[Vendor - Contract]:[Vendor - Contract]],$H120,CostTrack[[Holdback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20" s="504">
        <f ca="1">SUMIFS(CostTrack[[Value]:[Value]],CostTrack[[PA ID]:[PA ID]],$B120,CostTrack[[Vendor - Contract]:[Vendor - Contract]],$H120,CostTrack[[Holdback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20" s="504">
        <f ca="1">SUMIFS(CostTrack[[Value]:[Value]],CostTrack[[PA ID]:[PA ID]],$B120,CostTrack[[Vendor - Contract]:[Vendor - Contract]],$H120,CostTrack[[Holdback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20" s="504">
        <f ca="1">SUMIFS(CostTrack[[Value]:[Value]],CostTrack[[PA ID]:[PA ID]],$B120,CostTrack[[Vendor - Contract]:[Vendor - Contract]],$H120,CostTrack[[Holdback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20" s="506">
        <f t="shared" ca="1" si="235"/>
        <v>0</v>
      </c>
      <c r="AI120" s="504">
        <f ca="1">SUMIFS(CostTrack[[Value]:[Value]],CostTrack[[PA ID]:[PA ID]],$B120,CostTrack[[Vendor - Contract]:[Vendor - Contract]],$H120,CostTrack[[Holdback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20" s="504">
        <f ca="1">SUMIFS(CostTrack[[Value]:[Value]],CostTrack[[PA ID]:[PA ID]],$B120,CostTrack[[Vendor - Contract]:[Vendor - Contract]],$H120,CostTrack[[Holdback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20" s="504">
        <f ca="1">SUMIFS(CostTrack[[Value]:[Value]],CostTrack[[PA ID]:[PA ID]],$B120,CostTrack[[Vendor - Contract]:[Vendor - Contract]],$H120,CostTrack[[Holdback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20" s="504">
        <f ca="1">SUMIFS(CostTrack[[Value]:[Value]],CostTrack[[PA ID]:[PA ID]],$B120,CostTrack[[Vendor - Contract]:[Vendor - Contract]],$H120,CostTrack[[Holdback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20" s="504">
        <f ca="1">SUMIFS(CostTrack[[Value]:[Value]],CostTrack[[PA ID]:[PA ID]],$B120,CostTrack[[Vendor - Contract]:[Vendor - Contract]],$H120,CostTrack[[Holdback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20" s="504">
        <f ca="1">SUMIFS(CostTrack[[Value]:[Value]],CostTrack[[PA ID]:[PA ID]],$B120,CostTrack[[Vendor - Contract]:[Vendor - Contract]],$H120,CostTrack[[Holdback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20" s="504">
        <f ca="1">SUMIFS(CostTrack[[Value]:[Value]],CostTrack[[PA ID]:[PA ID]],$B120,CostTrack[[Vendor - Contract]:[Vendor - Contract]],$H120,CostTrack[[Holdback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20" s="504">
        <f ca="1">SUMIFS(CostTrack[[Value]:[Value]],CostTrack[[PA ID]:[PA ID]],$B120,CostTrack[[Vendor - Contract]:[Vendor - Contract]],$H120,CostTrack[[Holdback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20" s="504">
        <f ca="1">SUMIFS(CostTrack[[Value]:[Value]],CostTrack[[PA ID]:[PA ID]],$B120,CostTrack[[Vendor - Contract]:[Vendor - Contract]],$H120,CostTrack[[Holdback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20" s="504">
        <f ca="1">SUMIFS(CostTrack[[Value]:[Value]],CostTrack[[PA ID]:[PA ID]],$B120,CostTrack[[Vendor - Contract]:[Vendor - Contract]],$H120,CostTrack[[Holdback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20" s="504">
        <f ca="1">SUMIFS(CostTrack[[Value]:[Value]],CostTrack[[PA ID]:[PA ID]],$B120,CostTrack[[Vendor - Contract]:[Vendor - Contract]],$H120,CostTrack[[Holdback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20" s="504">
        <f ca="1">SUMIFS(CostTrack[[Value]:[Value]],CostTrack[[PA ID]:[PA ID]],$B120,CostTrack[[Vendor - Contract]:[Vendor - Contract]],$H120,CostTrack[[Holdback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20" s="512">
        <f t="shared" ca="1" si="252"/>
        <v>0</v>
      </c>
      <c r="AW120" s="504">
        <f ca="1">SUMIFS(CostTrack[[Value]:[Value]],CostTrack[[PA ID]:[PA ID]],$B120,CostTrack[[Vendor - Contract]:[Vendor - Contract]],$H120,CostTrack[[Holdback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20" s="504">
        <f ca="1">SUMIFS(CostTrack[[Value]:[Value]],CostTrack[[PA ID]:[PA ID]],$B120,CostTrack[[Vendor - Contract]:[Vendor - Contract]],$H120,CostTrack[[Holdback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20" s="504">
        <f ca="1">SUMIFS(CostTrack[[Value]:[Value]],CostTrack[[PA ID]:[PA ID]],$B120,CostTrack[[Vendor - Contract]:[Vendor - Contract]],$H120,CostTrack[[Holdback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20" s="504">
        <f ca="1">SUMIFS(CostTrack[[Value]:[Value]],CostTrack[[PA ID]:[PA ID]],$B120,CostTrack[[Vendor - Contract]:[Vendor - Contract]],$H120,CostTrack[[Holdback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20" s="504">
        <f ca="1">SUMIFS(CostTrack[[Value]:[Value]],CostTrack[[PA ID]:[PA ID]],$B120,CostTrack[[Vendor - Contract]:[Vendor - Contract]],$H120,CostTrack[[Holdback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20" s="504">
        <f ca="1">SUMIFS(CostTrack[[Value]:[Value]],CostTrack[[PA ID]:[PA ID]],$B120,CostTrack[[Vendor - Contract]:[Vendor - Contract]],$H120,CostTrack[[Holdback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20" s="504">
        <f ca="1">SUMIFS(CostTrack[[Value]:[Value]],CostTrack[[PA ID]:[PA ID]],$B120,CostTrack[[Vendor - Contract]:[Vendor - Contract]],$H120,CostTrack[[Holdback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20" s="504">
        <f ca="1">SUMIFS(CostTrack[[Value]:[Value]],CostTrack[[PA ID]:[PA ID]],$B120,CostTrack[[Vendor - Contract]:[Vendor - Contract]],$H120,CostTrack[[Holdback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20" s="504">
        <f ca="1">SUMIFS(CostTrack[[Value]:[Value]],CostTrack[[PA ID]:[PA ID]],$B120,CostTrack[[Vendor - Contract]:[Vendor - Contract]],$H120,CostTrack[[Holdback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20" s="504">
        <f ca="1">SUMIFS(CostTrack[[Value]:[Value]],CostTrack[[PA ID]:[PA ID]],$B120,CostTrack[[Vendor - Contract]:[Vendor - Contract]],$H120,CostTrack[[Holdback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20" s="504">
        <f ca="1">SUMIFS(CostTrack[[Value]:[Value]],CostTrack[[PA ID]:[PA ID]],$B120,CostTrack[[Vendor - Contract]:[Vendor - Contract]],$H120,CostTrack[[Holdback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20" s="504">
        <f ca="1">SUMIFS(CostTrack[[Value]:[Value]],CostTrack[[PA ID]:[PA ID]],$B120,CostTrack[[Vendor - Contract]:[Vendor - Contract]],$H120,CostTrack[[Holdback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20" s="512">
        <f t="shared" ca="1" si="268"/>
        <v>0</v>
      </c>
      <c r="BK120" s="504">
        <f ca="1">SUMIFS(CostTrack[[Value]:[Value]],CostTrack[[PA ID]:[PA ID]],$B120,CostTrack[[Vendor - Contract]:[Vendor - Contract]],$H120,CostTrack[[Holdback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20" s="504">
        <f ca="1">SUMIFS(CostTrack[[Value]:[Value]],CostTrack[[PA ID]:[PA ID]],$B120,CostTrack[[Vendor - Contract]:[Vendor - Contract]],$H120,CostTrack[[Holdback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20" s="504">
        <f ca="1">SUMIFS(CostTrack[[Value]:[Value]],CostTrack[[PA ID]:[PA ID]],$B120,CostTrack[[Vendor - Contract]:[Vendor - Contract]],$H120,CostTrack[[Holdback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20" s="504">
        <f ca="1">SUMIFS(CostTrack[[Value]:[Value]],CostTrack[[PA ID]:[PA ID]],$B120,CostTrack[[Vendor - Contract]:[Vendor - Contract]],$H120,CostTrack[[Holdback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20" s="504">
        <f ca="1">SUMIFS(CostTrack[[Value]:[Value]],CostTrack[[PA ID]:[PA ID]],$B120,CostTrack[[Vendor - Contract]:[Vendor - Contract]],$H120,CostTrack[[Holdback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20" s="504">
        <f ca="1">SUMIFS(CostTrack[[Value]:[Value]],CostTrack[[PA ID]:[PA ID]],$B120,CostTrack[[Vendor - Contract]:[Vendor - Contract]],$H120,CostTrack[[Holdback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20" s="504">
        <f ca="1">SUMIFS(CostTrack[[Value]:[Value]],CostTrack[[PA ID]:[PA ID]],$B120,CostTrack[[Vendor - Contract]:[Vendor - Contract]],$H120,CostTrack[[Holdback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20" s="504">
        <f ca="1">SUMIFS(CostTrack[[Value]:[Value]],CostTrack[[PA ID]:[PA ID]],$B120,CostTrack[[Vendor - Contract]:[Vendor - Contract]],$H120,CostTrack[[Holdback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20" s="504">
        <f ca="1">SUMIFS(CostTrack[[Value]:[Value]],CostTrack[[PA ID]:[PA ID]],$B120,CostTrack[[Vendor - Contract]:[Vendor - Contract]],$H120,CostTrack[[Holdback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20" s="504">
        <f ca="1">SUMIFS(CostTrack[[Value]:[Value]],CostTrack[[PA ID]:[PA ID]],$B120,CostTrack[[Vendor - Contract]:[Vendor - Contract]],$H120,CostTrack[[Holdback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20" s="504">
        <f ca="1">SUMIFS(CostTrack[[Value]:[Value]],CostTrack[[PA ID]:[PA ID]],$B120,CostTrack[[Vendor - Contract]:[Vendor - Contract]],$H120,CostTrack[[Holdback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20" s="504">
        <f ca="1">SUMIFS(CostTrack[[Value]:[Value]],CostTrack[[PA ID]:[PA ID]],$B120,CostTrack[[Vendor - Contract]:[Vendor - Contract]],$H120,CostTrack[[Holdback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20" s="512">
        <f t="shared" ca="1" si="269"/>
        <v>0</v>
      </c>
      <c r="BY120" s="504">
        <f ca="1">SUMIFS(CostTrack[[Value]:[Value]],CostTrack[[PA ID]:[PA ID]],$B120,CostTrack[[Vendor - Contract]:[Vendor - Contract]],$H120,CostTrack[[Holdback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20" s="504">
        <f ca="1">SUMIFS(CostTrack[[Value]:[Value]],CostTrack[[PA ID]:[PA ID]],$B120,CostTrack[[Vendor - Contract]:[Vendor - Contract]],$H120,CostTrack[[Holdback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20" s="504">
        <f ca="1">SUMIFS(CostTrack[[Value]:[Value]],CostTrack[[PA ID]:[PA ID]],$B120,CostTrack[[Vendor - Contract]:[Vendor - Contract]],$H120,CostTrack[[Holdback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20" s="504">
        <f ca="1">SUMIFS(CostTrack[[Value]:[Value]],CostTrack[[PA ID]:[PA ID]],$B120,CostTrack[[Vendor - Contract]:[Vendor - Contract]],$H120,CostTrack[[Holdback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20" s="504">
        <f ca="1">SUMIFS(CostTrack[[Value]:[Value]],CostTrack[[PA ID]:[PA ID]],$B120,CostTrack[[Vendor - Contract]:[Vendor - Contract]],$H120,CostTrack[[Holdback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20" s="504">
        <f ca="1">SUMIFS(CostTrack[[Value]:[Value]],CostTrack[[PA ID]:[PA ID]],$B120,CostTrack[[Vendor - Contract]:[Vendor - Contract]],$H120,CostTrack[[Holdback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20" s="504">
        <f ca="1">SUMIFS(CostTrack[[Value]:[Value]],CostTrack[[PA ID]:[PA ID]],$B120,CostTrack[[Vendor - Contract]:[Vendor - Contract]],$H120,CostTrack[[Holdback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20" s="504">
        <f ca="1">SUMIFS(CostTrack[[Value]:[Value]],CostTrack[[PA ID]:[PA ID]],$B120,CostTrack[[Vendor - Contract]:[Vendor - Contract]],$H120,CostTrack[[Holdback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20" s="504">
        <f ca="1">SUMIFS(CostTrack[[Value]:[Value]],CostTrack[[PA ID]:[PA ID]],$B120,CostTrack[[Vendor - Contract]:[Vendor - Contract]],$H120,CostTrack[[Holdback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20" s="504">
        <f ca="1">SUMIFS(CostTrack[[Value]:[Value]],CostTrack[[PA ID]:[PA ID]],$B120,CostTrack[[Vendor - Contract]:[Vendor - Contract]],$H120,CostTrack[[Holdback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20" s="504">
        <f ca="1">SUMIFS(CostTrack[[Value]:[Value]],CostTrack[[PA ID]:[PA ID]],$B120,CostTrack[[Vendor - Contract]:[Vendor - Contract]],$H120,CostTrack[[Holdback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20" s="504">
        <f ca="1">SUMIFS(CostTrack[[Value]:[Value]],CostTrack[[PA ID]:[PA ID]],$B120,CostTrack[[Vendor - Contract]:[Vendor - Contract]],$H120,CostTrack[[Holdback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20" s="512">
        <f t="shared" ca="1" si="255"/>
        <v>0</v>
      </c>
      <c r="CM120" s="504">
        <f ca="1">SUMIFS(CostTrack[[Value]:[Value]],CostTrack[[PA ID]:[PA ID]],$B120,CostTrack[[Vendor - Contract]:[Vendor - Contract]],$H120,CostTrack[[Holdback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20" s="504">
        <f ca="1">SUMIFS(CostTrack[[Value]:[Value]],CostTrack[[PA ID]:[PA ID]],$B120,CostTrack[[Vendor - Contract]:[Vendor - Contract]],$H120,CostTrack[[Holdback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20" s="504">
        <f ca="1">SUMIFS(CostTrack[[Value]:[Value]],CostTrack[[PA ID]:[PA ID]],$B120,CostTrack[[Vendor - Contract]:[Vendor - Contract]],$H120,CostTrack[[Holdback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20" s="504">
        <f ca="1">SUMIFS(CostTrack[[Value]:[Value]],CostTrack[[PA ID]:[PA ID]],$B120,CostTrack[[Vendor - Contract]:[Vendor - Contract]],$H120,CostTrack[[Holdback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20" s="504">
        <f ca="1">SUMIFS(CostTrack[[Value]:[Value]],CostTrack[[PA ID]:[PA ID]],$B120,CostTrack[[Vendor - Contract]:[Vendor - Contract]],$H120,CostTrack[[Holdback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20" s="504">
        <f ca="1">SUMIFS(CostTrack[[Value]:[Value]],CostTrack[[PA ID]:[PA ID]],$B120,CostTrack[[Vendor - Contract]:[Vendor - Contract]],$H120,CostTrack[[Holdback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20" s="504">
        <f ca="1">SUMIFS(CostTrack[[Value]:[Value]],CostTrack[[PA ID]:[PA ID]],$B120,CostTrack[[Vendor - Contract]:[Vendor - Contract]],$H120,CostTrack[[Holdback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20" s="504">
        <f ca="1">SUMIFS(CostTrack[[Value]:[Value]],CostTrack[[PA ID]:[PA ID]],$B120,CostTrack[[Vendor - Contract]:[Vendor - Contract]],$H120,CostTrack[[Holdback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20" s="504">
        <f ca="1">SUMIFS(CostTrack[[Value]:[Value]],CostTrack[[PA ID]:[PA ID]],$B120,CostTrack[[Vendor - Contract]:[Vendor - Contract]],$H120,CostTrack[[Holdback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20" s="504">
        <f ca="1">SUMIFS(CostTrack[[Value]:[Value]],CostTrack[[PA ID]:[PA ID]],$B120,CostTrack[[Vendor - Contract]:[Vendor - Contract]],$H120,CostTrack[[Holdback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20" s="504">
        <f ca="1">SUMIFS(CostTrack[[Value]:[Value]],CostTrack[[PA ID]:[PA ID]],$B120,CostTrack[[Vendor - Contract]:[Vendor - Contract]],$H120,CostTrack[[Holdback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20" s="504">
        <f ca="1">SUMIFS(CostTrack[[Value]:[Value]],CostTrack[[PA ID]:[PA ID]],$B120,CostTrack[[Vendor - Contract]:[Vendor - Contract]],$H120,CostTrack[[Holdback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20" s="512">
        <f t="shared" ca="1" si="256"/>
        <v>0</v>
      </c>
      <c r="DA120" s="504">
        <f ca="1">SUMIFS(CostTrack[[Value]:[Value]],CostTrack[[PA ID]:[PA ID]],$B120,CostTrack[[Vendor - Contract]:[Vendor - Contract]],$H120,CostTrack[[Holdback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20" s="504">
        <f ca="1">SUMIFS(CostTrack[[Value]:[Value]],CostTrack[[PA ID]:[PA ID]],$B120,CostTrack[[Vendor - Contract]:[Vendor - Contract]],$H120,CostTrack[[Holdback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20" s="504">
        <f ca="1">SUMIFS(CostTrack[[Value]:[Value]],CostTrack[[PA ID]:[PA ID]],$B120,CostTrack[[Vendor - Contract]:[Vendor - Contract]],$H120,CostTrack[[Holdback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20" s="504">
        <f ca="1">SUMIFS(CostTrack[[Value]:[Value]],CostTrack[[PA ID]:[PA ID]],$B120,CostTrack[[Vendor - Contract]:[Vendor - Contract]],$H120,CostTrack[[Holdback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20" s="504">
        <f ca="1">SUMIFS(CostTrack[[Value]:[Value]],CostTrack[[PA ID]:[PA ID]],$B120,CostTrack[[Vendor - Contract]:[Vendor - Contract]],$H120,CostTrack[[Holdback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20" s="504">
        <f ca="1">SUMIFS(CostTrack[[Value]:[Value]],CostTrack[[PA ID]:[PA ID]],$B120,CostTrack[[Vendor - Contract]:[Vendor - Contract]],$H120,CostTrack[[Holdback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20" s="504">
        <f ca="1">SUMIFS(CostTrack[[Value]:[Value]],CostTrack[[PA ID]:[PA ID]],$B120,CostTrack[[Vendor - Contract]:[Vendor - Contract]],$H120,CostTrack[[Holdback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20" s="504">
        <f ca="1">SUMIFS(CostTrack[[Value]:[Value]],CostTrack[[PA ID]:[PA ID]],$B120,CostTrack[[Vendor - Contract]:[Vendor - Contract]],$H120,CostTrack[[Holdback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20" s="504">
        <f ca="1">SUMIFS(CostTrack[[Value]:[Value]],CostTrack[[PA ID]:[PA ID]],$B120,CostTrack[[Vendor - Contract]:[Vendor - Contract]],$H120,CostTrack[[Holdback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20" s="504">
        <f ca="1">SUMIFS(CostTrack[[Value]:[Value]],CostTrack[[PA ID]:[PA ID]],$B120,CostTrack[[Vendor - Contract]:[Vendor - Contract]],$H120,CostTrack[[Holdback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20" s="504">
        <f ca="1">SUMIFS(CostTrack[[Value]:[Value]],CostTrack[[PA ID]:[PA ID]],$B120,CostTrack[[Vendor - Contract]:[Vendor - Contract]],$H120,CostTrack[[Holdback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20" s="504">
        <f ca="1">SUMIFS(CostTrack[[Value]:[Value]],CostTrack[[PA ID]:[PA ID]],$B120,CostTrack[[Vendor - Contract]:[Vendor - Contract]],$H120,CostTrack[[Holdback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20" s="512">
        <f t="shared" ca="1" si="257"/>
        <v>0</v>
      </c>
      <c r="DO120" s="504">
        <f ca="1">SUMIFS(CostTrack[[Value]:[Value]],CostTrack[[PA ID]:[PA ID]],$B120,CostTrack[[Vendor - Contract]:[Vendor - Contract]],$H120,CostTrack[[Holdback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20" s="504">
        <f ca="1">SUMIFS(CostTrack[[Value]:[Value]],CostTrack[[PA ID]:[PA ID]],$B120,CostTrack[[Vendor - Contract]:[Vendor - Contract]],$H120,CostTrack[[Holdback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4225</v>
      </c>
      <c r="DQ120" s="504">
        <f ca="1">SUMIFS(CostTrack[[Value]:[Value]],CostTrack[[PA ID]:[PA ID]],$B120,CostTrack[[Vendor - Contract]:[Vendor - Contract]],$H120,CostTrack[[Holdback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20" s="504">
        <f ca="1">SUMIFS(CostTrack[[Value]:[Value]],CostTrack[[PA ID]:[PA ID]],$B120,CostTrack[[Vendor - Contract]:[Vendor - Contract]],$H120,CostTrack[[Holdback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20" s="504">
        <f ca="1">SUMIFS(CostTrack[[Value]:[Value]],CostTrack[[PA ID]:[PA ID]],$B120,CostTrack[[Vendor - Contract]:[Vendor - Contract]],$H120,CostTrack[[Holdback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20" s="504">
        <f ca="1">SUMIFS(CostTrack[[Value]:[Value]],CostTrack[[PA ID]:[PA ID]],$B120,CostTrack[[Vendor - Contract]:[Vendor - Contract]],$H120,CostTrack[[Holdback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20" s="504">
        <f ca="1">SUMIFS(CostTrack[[Value]:[Value]],CostTrack[[PA ID]:[PA ID]],$B120,CostTrack[[Vendor - Contract]:[Vendor - Contract]],$H120,CostTrack[[Holdback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20" s="504">
        <f ca="1">SUMIFS(CostTrack[[Value]:[Value]],CostTrack[[PA ID]:[PA ID]],$B120,CostTrack[[Vendor - Contract]:[Vendor - Contract]],$H120,CostTrack[[Holdback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20" s="504">
        <f ca="1">SUMIFS(CostTrack[[Value]:[Value]],CostTrack[[PA ID]:[PA ID]],$B120,CostTrack[[Vendor - Contract]:[Vendor - Contract]],$H120,CostTrack[[Holdback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20" s="504">
        <f ca="1">SUMIFS(CostTrack[[Value]:[Value]],CostTrack[[PA ID]:[PA ID]],$B120,CostTrack[[Vendor - Contract]:[Vendor - Contract]],$H120,CostTrack[[Holdback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20" s="504">
        <f ca="1">SUMIFS(CostTrack[[Value]:[Value]],CostTrack[[PA ID]:[PA ID]],$B120,CostTrack[[Vendor - Contract]:[Vendor - Contract]],$H120,CostTrack[[Holdback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20" s="504">
        <f ca="1">SUMIFS(CostTrack[[Value]:[Value]],CostTrack[[PA ID]:[PA ID]],$B120,CostTrack[[Vendor - Contract]:[Vendor - Contract]],$H120,CostTrack[[Holdback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20" s="512">
        <f t="shared" ca="1" si="270"/>
        <v>4225</v>
      </c>
      <c r="EC120" s="504">
        <f ca="1">SUMIFS(CostTrack[[Value]:[Value]],CostTrack[[PA ID]:[PA ID]],$B120,CostTrack[[Vendor - Contract]:[Vendor - Contract]],$H120,CostTrack[[Holdback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20" s="505"/>
      <c r="EE120" s="505"/>
      <c r="EF120" s="505"/>
      <c r="EG120" s="505"/>
      <c r="EH120" s="505"/>
      <c r="EI120" s="505"/>
      <c r="EJ120" s="505"/>
      <c r="EK120" s="505"/>
      <c r="EL120" s="505"/>
      <c r="EM120" s="505"/>
      <c r="EN120" s="505"/>
      <c r="EO120" s="512">
        <f t="shared" ca="1" si="271"/>
        <v>0</v>
      </c>
      <c r="EQ120" s="505"/>
      <c r="ER120" s="505"/>
      <c r="ES120" s="505"/>
      <c r="ET120" s="505"/>
      <c r="EU120" s="505"/>
      <c r="EV120" s="505"/>
      <c r="EW120" s="505"/>
      <c r="EX120" s="505"/>
      <c r="EY120" s="505"/>
      <c r="EZ120" s="505"/>
      <c r="FA120" s="505"/>
      <c r="FB120" s="505"/>
      <c r="FC120" s="512">
        <f t="shared" si="272"/>
        <v>0</v>
      </c>
      <c r="FE120" s="505"/>
      <c r="FF120" s="505"/>
      <c r="FG120" s="505"/>
      <c r="FH120" s="505"/>
      <c r="FI120" s="505"/>
      <c r="FJ120" s="505"/>
      <c r="FK120" s="505"/>
      <c r="FL120" s="505"/>
      <c r="FM120" s="505"/>
      <c r="FN120" s="505"/>
      <c r="FO120" s="505"/>
      <c r="FP120" s="505"/>
      <c r="FQ120" s="512">
        <f t="shared" si="273"/>
        <v>0</v>
      </c>
      <c r="FS120" s="504">
        <f t="shared" ca="1" si="274"/>
        <v>4225</v>
      </c>
    </row>
    <row r="121" spans="1:175">
      <c r="A121" s="216">
        <v>114</v>
      </c>
      <c r="B121" s="219" t="str">
        <f ca="1">INDEX(EAC[PA ID],MATCH($A121,EAC[Row],0))</f>
        <v>100.040.F1</v>
      </c>
      <c r="C121" s="218" t="str">
        <f ca="1">INDEX(EAC[Primary Category],MATCH($A121,EAC[Row],0))</f>
        <v>Administration</v>
      </c>
      <c r="D121" s="218" t="str">
        <f ca="1">INDEX(EAC[Secondary Category],MATCH($A121,EAC[Row],0))</f>
        <v>Accrual Write Off</v>
      </c>
      <c r="E121" s="109" t="str">
        <f ca="1">INDEX(EAC[Phase / Subproject],MATCH($A121,EAC[Row],0))</f>
        <v>--</v>
      </c>
      <c r="F121" s="109" t="str">
        <f ca="1">INDEX(EAC[Phase / Subproject 2],MATCH($A121,EAC[Row],0))</f>
        <v>--</v>
      </c>
      <c r="G121" s="109" t="str">
        <f ca="1">INDEX(EAC[Funding Source],MATCH($A121,EAC[Row],0))</f>
        <v>P-002360</v>
      </c>
      <c r="H121" s="146" t="str">
        <f ca="1">INDEX(EAC[Vendor / Org. with Contract ID],MATCH($A121,EAC[Row],0))</f>
        <v>ACCRUAL WRITE-OFF-Clearing -Altus Group-039170</v>
      </c>
      <c r="I121" s="502">
        <f ca="1">INDEX(EAC[Estimate At Completion],MATCH($A121,EAC[Row],0))</f>
        <v>1000</v>
      </c>
      <c r="J121" s="502">
        <f ca="1">SUMIFS(CostTrack[Value],CostTrack[Vendor - Contract],$H121,CostTrack[PA ID],$B121,CostTrack[Holdback (Y/N/R)],"&lt;&gt;Release",CostTrack[Status],"Approved")</f>
        <v>1000</v>
      </c>
      <c r="K121" s="503">
        <f t="shared" ca="1" si="280"/>
        <v>0</v>
      </c>
      <c r="M121" s="504">
        <f t="shared" ca="1" si="264"/>
        <v>0</v>
      </c>
      <c r="O121" s="504">
        <f t="shared" ca="1" si="275"/>
        <v>1000</v>
      </c>
      <c r="P121" s="504">
        <f t="array" aca="1" ref="P121" ca="1">SUM($U121:$FQ121*_xlfn.ISFORMULA($U121:$FQ121)*ISNUMBER($U$7:$FQ$7)*--(INDEX($U$6:$FQ$6,N(IF({1},COLUMN($U$6:$FQ$6)-COLUMN($T$6)))-MOD(N(IF({1},COLUMN($U$6:$FQ$6)-COLUMN($U$6))),14))="Current Fiscal"))</f>
        <v>0</v>
      </c>
      <c r="Q121" s="504">
        <f t="array" aca="1" ref="Q121" ca="1">SUM($U121:$FQ121*NOT(_xlfn.ISFORMULA($U121:$FQ121))*ISNUMBER($U$7:$FQ$7)*--(INDEX($U$6:$FQ$6,N(IF({1},COLUMN($U$6:$FQ$6)-COLUMN($T$6)))-MOD(N(IF({1},COLUMN($U$6:$FQ$6)-COLUMN($U$6))),14))="Current Fiscal"))</f>
        <v>0</v>
      </c>
      <c r="R121" s="504">
        <f t="shared" ca="1" si="276"/>
        <v>0</v>
      </c>
      <c r="S121" s="504">
        <f t="shared" ca="1" si="277"/>
        <v>0</v>
      </c>
      <c r="U121" s="504">
        <f ca="1">SUMIFS(CostTrack[[Value]:[Value]],CostTrack[[PA ID]:[PA ID]],$B121,CostTrack[[Vendor - Contract]:[Vendor - Contract]],$H121,CostTrack[[Holdback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21" s="504">
        <f ca="1">SUMIFS(CostTrack[[Value]:[Value]],CostTrack[[PA ID]:[PA ID]],$B121,CostTrack[[Vendor - Contract]:[Vendor - Contract]],$H121,CostTrack[[Holdback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21" s="504">
        <f ca="1">SUMIFS(CostTrack[[Value]:[Value]],CostTrack[[PA ID]:[PA ID]],$B121,CostTrack[[Vendor - Contract]:[Vendor - Contract]],$H121,CostTrack[[Holdback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21" s="504">
        <f ca="1">SUMIFS(CostTrack[[Value]:[Value]],CostTrack[[PA ID]:[PA ID]],$B121,CostTrack[[Vendor - Contract]:[Vendor - Contract]],$H121,CostTrack[[Holdback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21" s="504">
        <f ca="1">SUMIFS(CostTrack[[Value]:[Value]],CostTrack[[PA ID]:[PA ID]],$B121,CostTrack[[Vendor - Contract]:[Vendor - Contract]],$H121,CostTrack[[Holdback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21" s="504">
        <f ca="1">SUMIFS(CostTrack[[Value]:[Value]],CostTrack[[PA ID]:[PA ID]],$B121,CostTrack[[Vendor - Contract]:[Vendor - Contract]],$H121,CostTrack[[Holdback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21" s="504">
        <f ca="1">SUMIFS(CostTrack[[Value]:[Value]],CostTrack[[PA ID]:[PA ID]],$B121,CostTrack[[Vendor - Contract]:[Vendor - Contract]],$H121,CostTrack[[Holdback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21" s="504">
        <f ca="1">SUMIFS(CostTrack[[Value]:[Value]],CostTrack[[PA ID]:[PA ID]],$B121,CostTrack[[Vendor - Contract]:[Vendor - Contract]],$H121,CostTrack[[Holdback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21" s="504">
        <f ca="1">SUMIFS(CostTrack[[Value]:[Value]],CostTrack[[PA ID]:[PA ID]],$B121,CostTrack[[Vendor - Contract]:[Vendor - Contract]],$H121,CostTrack[[Holdback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21" s="504">
        <f ca="1">SUMIFS(CostTrack[[Value]:[Value]],CostTrack[[PA ID]:[PA ID]],$B121,CostTrack[[Vendor - Contract]:[Vendor - Contract]],$H121,CostTrack[[Holdback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21" s="504">
        <f ca="1">SUMIFS(CostTrack[[Value]:[Value]],CostTrack[[PA ID]:[PA ID]],$B121,CostTrack[[Vendor - Contract]:[Vendor - Contract]],$H121,CostTrack[[Holdback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21" s="504">
        <f ca="1">SUMIFS(CostTrack[[Value]:[Value]],CostTrack[[PA ID]:[PA ID]],$B121,CostTrack[[Vendor - Contract]:[Vendor - Contract]],$H121,CostTrack[[Holdback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21" s="506">
        <f t="shared" ca="1" si="235"/>
        <v>0</v>
      </c>
      <c r="AI121" s="504">
        <f ca="1">SUMIFS(CostTrack[[Value]:[Value]],CostTrack[[PA ID]:[PA ID]],$B121,CostTrack[[Vendor - Contract]:[Vendor - Contract]],$H121,CostTrack[[Holdback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21" s="504">
        <f ca="1">SUMIFS(CostTrack[[Value]:[Value]],CostTrack[[PA ID]:[PA ID]],$B121,CostTrack[[Vendor - Contract]:[Vendor - Contract]],$H121,CostTrack[[Holdback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21" s="504">
        <f ca="1">SUMIFS(CostTrack[[Value]:[Value]],CostTrack[[PA ID]:[PA ID]],$B121,CostTrack[[Vendor - Contract]:[Vendor - Contract]],$H121,CostTrack[[Holdback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21" s="504">
        <f ca="1">SUMIFS(CostTrack[[Value]:[Value]],CostTrack[[PA ID]:[PA ID]],$B121,CostTrack[[Vendor - Contract]:[Vendor - Contract]],$H121,CostTrack[[Holdback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21" s="504">
        <f ca="1">SUMIFS(CostTrack[[Value]:[Value]],CostTrack[[PA ID]:[PA ID]],$B121,CostTrack[[Vendor - Contract]:[Vendor - Contract]],$H121,CostTrack[[Holdback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21" s="504">
        <f ca="1">SUMIFS(CostTrack[[Value]:[Value]],CostTrack[[PA ID]:[PA ID]],$B121,CostTrack[[Vendor - Contract]:[Vendor - Contract]],$H121,CostTrack[[Holdback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21" s="504">
        <f ca="1">SUMIFS(CostTrack[[Value]:[Value]],CostTrack[[PA ID]:[PA ID]],$B121,CostTrack[[Vendor - Contract]:[Vendor - Contract]],$H121,CostTrack[[Holdback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21" s="504">
        <f ca="1">SUMIFS(CostTrack[[Value]:[Value]],CostTrack[[PA ID]:[PA ID]],$B121,CostTrack[[Vendor - Contract]:[Vendor - Contract]],$H121,CostTrack[[Holdback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21" s="504">
        <f ca="1">SUMIFS(CostTrack[[Value]:[Value]],CostTrack[[PA ID]:[PA ID]],$B121,CostTrack[[Vendor - Contract]:[Vendor - Contract]],$H121,CostTrack[[Holdback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21" s="504">
        <f ca="1">SUMIFS(CostTrack[[Value]:[Value]],CostTrack[[PA ID]:[PA ID]],$B121,CostTrack[[Vendor - Contract]:[Vendor - Contract]],$H121,CostTrack[[Holdback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21" s="504">
        <f ca="1">SUMIFS(CostTrack[[Value]:[Value]],CostTrack[[PA ID]:[PA ID]],$B121,CostTrack[[Vendor - Contract]:[Vendor - Contract]],$H121,CostTrack[[Holdback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21" s="504">
        <f ca="1">SUMIFS(CostTrack[[Value]:[Value]],CostTrack[[PA ID]:[PA ID]],$B121,CostTrack[[Vendor - Contract]:[Vendor - Contract]],$H121,CostTrack[[Holdback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21" s="512">
        <f t="shared" ca="1" si="252"/>
        <v>0</v>
      </c>
      <c r="AW121" s="504">
        <f ca="1">SUMIFS(CostTrack[[Value]:[Value]],CostTrack[[PA ID]:[PA ID]],$B121,CostTrack[[Vendor - Contract]:[Vendor - Contract]],$H121,CostTrack[[Holdback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21" s="504">
        <f ca="1">SUMIFS(CostTrack[[Value]:[Value]],CostTrack[[PA ID]:[PA ID]],$B121,CostTrack[[Vendor - Contract]:[Vendor - Contract]],$H121,CostTrack[[Holdback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21" s="504">
        <f ca="1">SUMIFS(CostTrack[[Value]:[Value]],CostTrack[[PA ID]:[PA ID]],$B121,CostTrack[[Vendor - Contract]:[Vendor - Contract]],$H121,CostTrack[[Holdback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21" s="504">
        <f ca="1">SUMIFS(CostTrack[[Value]:[Value]],CostTrack[[PA ID]:[PA ID]],$B121,CostTrack[[Vendor - Contract]:[Vendor - Contract]],$H121,CostTrack[[Holdback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21" s="504">
        <f ca="1">SUMIFS(CostTrack[[Value]:[Value]],CostTrack[[PA ID]:[PA ID]],$B121,CostTrack[[Vendor - Contract]:[Vendor - Contract]],$H121,CostTrack[[Holdback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21" s="504">
        <f ca="1">SUMIFS(CostTrack[[Value]:[Value]],CostTrack[[PA ID]:[PA ID]],$B121,CostTrack[[Vendor - Contract]:[Vendor - Contract]],$H121,CostTrack[[Holdback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21" s="504">
        <f ca="1">SUMIFS(CostTrack[[Value]:[Value]],CostTrack[[PA ID]:[PA ID]],$B121,CostTrack[[Vendor - Contract]:[Vendor - Contract]],$H121,CostTrack[[Holdback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21" s="504">
        <f ca="1">SUMIFS(CostTrack[[Value]:[Value]],CostTrack[[PA ID]:[PA ID]],$B121,CostTrack[[Vendor - Contract]:[Vendor - Contract]],$H121,CostTrack[[Holdback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21" s="504">
        <f ca="1">SUMIFS(CostTrack[[Value]:[Value]],CostTrack[[PA ID]:[PA ID]],$B121,CostTrack[[Vendor - Contract]:[Vendor - Contract]],$H121,CostTrack[[Holdback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21" s="504">
        <f ca="1">SUMIFS(CostTrack[[Value]:[Value]],CostTrack[[PA ID]:[PA ID]],$B121,CostTrack[[Vendor - Contract]:[Vendor - Contract]],$H121,CostTrack[[Holdback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21" s="504">
        <f ca="1">SUMIFS(CostTrack[[Value]:[Value]],CostTrack[[PA ID]:[PA ID]],$B121,CostTrack[[Vendor - Contract]:[Vendor - Contract]],$H121,CostTrack[[Holdback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21" s="504">
        <f ca="1">SUMIFS(CostTrack[[Value]:[Value]],CostTrack[[PA ID]:[PA ID]],$B121,CostTrack[[Vendor - Contract]:[Vendor - Contract]],$H121,CostTrack[[Holdback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21" s="512">
        <f t="shared" ca="1" si="268"/>
        <v>0</v>
      </c>
      <c r="BK121" s="504">
        <f ca="1">SUMIFS(CostTrack[[Value]:[Value]],CostTrack[[PA ID]:[PA ID]],$B121,CostTrack[[Vendor - Contract]:[Vendor - Contract]],$H121,CostTrack[[Holdback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21" s="504">
        <f ca="1">SUMIFS(CostTrack[[Value]:[Value]],CostTrack[[PA ID]:[PA ID]],$B121,CostTrack[[Vendor - Contract]:[Vendor - Contract]],$H121,CostTrack[[Holdback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21" s="504">
        <f ca="1">SUMIFS(CostTrack[[Value]:[Value]],CostTrack[[PA ID]:[PA ID]],$B121,CostTrack[[Vendor - Contract]:[Vendor - Contract]],$H121,CostTrack[[Holdback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21" s="504">
        <f ca="1">SUMIFS(CostTrack[[Value]:[Value]],CostTrack[[PA ID]:[PA ID]],$B121,CostTrack[[Vendor - Contract]:[Vendor - Contract]],$H121,CostTrack[[Holdback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21" s="504">
        <f ca="1">SUMIFS(CostTrack[[Value]:[Value]],CostTrack[[PA ID]:[PA ID]],$B121,CostTrack[[Vendor - Contract]:[Vendor - Contract]],$H121,CostTrack[[Holdback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21" s="504">
        <f ca="1">SUMIFS(CostTrack[[Value]:[Value]],CostTrack[[PA ID]:[PA ID]],$B121,CostTrack[[Vendor - Contract]:[Vendor - Contract]],$H121,CostTrack[[Holdback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21" s="504">
        <f ca="1">SUMIFS(CostTrack[[Value]:[Value]],CostTrack[[PA ID]:[PA ID]],$B121,CostTrack[[Vendor - Contract]:[Vendor - Contract]],$H121,CostTrack[[Holdback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21" s="504">
        <f ca="1">SUMIFS(CostTrack[[Value]:[Value]],CostTrack[[PA ID]:[PA ID]],$B121,CostTrack[[Vendor - Contract]:[Vendor - Contract]],$H121,CostTrack[[Holdback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21" s="504">
        <f ca="1">SUMIFS(CostTrack[[Value]:[Value]],CostTrack[[PA ID]:[PA ID]],$B121,CostTrack[[Vendor - Contract]:[Vendor - Contract]],$H121,CostTrack[[Holdback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21" s="504">
        <f ca="1">SUMIFS(CostTrack[[Value]:[Value]],CostTrack[[PA ID]:[PA ID]],$B121,CostTrack[[Vendor - Contract]:[Vendor - Contract]],$H121,CostTrack[[Holdback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21" s="504">
        <f ca="1">SUMIFS(CostTrack[[Value]:[Value]],CostTrack[[PA ID]:[PA ID]],$B121,CostTrack[[Vendor - Contract]:[Vendor - Contract]],$H121,CostTrack[[Holdback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21" s="504">
        <f ca="1">SUMIFS(CostTrack[[Value]:[Value]],CostTrack[[PA ID]:[PA ID]],$B121,CostTrack[[Vendor - Contract]:[Vendor - Contract]],$H121,CostTrack[[Holdback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21" s="512">
        <f t="shared" ca="1" si="269"/>
        <v>0</v>
      </c>
      <c r="BY121" s="504">
        <f ca="1">SUMIFS(CostTrack[[Value]:[Value]],CostTrack[[PA ID]:[PA ID]],$B121,CostTrack[[Vendor - Contract]:[Vendor - Contract]],$H121,CostTrack[[Holdback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21" s="504">
        <f ca="1">SUMIFS(CostTrack[[Value]:[Value]],CostTrack[[PA ID]:[PA ID]],$B121,CostTrack[[Vendor - Contract]:[Vendor - Contract]],$H121,CostTrack[[Holdback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21" s="504">
        <f ca="1">SUMIFS(CostTrack[[Value]:[Value]],CostTrack[[PA ID]:[PA ID]],$B121,CostTrack[[Vendor - Contract]:[Vendor - Contract]],$H121,CostTrack[[Holdback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21" s="504">
        <f ca="1">SUMIFS(CostTrack[[Value]:[Value]],CostTrack[[PA ID]:[PA ID]],$B121,CostTrack[[Vendor - Contract]:[Vendor - Contract]],$H121,CostTrack[[Holdback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21" s="504">
        <f ca="1">SUMIFS(CostTrack[[Value]:[Value]],CostTrack[[PA ID]:[PA ID]],$B121,CostTrack[[Vendor - Contract]:[Vendor - Contract]],$H121,CostTrack[[Holdback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21" s="504">
        <f ca="1">SUMIFS(CostTrack[[Value]:[Value]],CostTrack[[PA ID]:[PA ID]],$B121,CostTrack[[Vendor - Contract]:[Vendor - Contract]],$H121,CostTrack[[Holdback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21" s="504">
        <f ca="1">SUMIFS(CostTrack[[Value]:[Value]],CostTrack[[PA ID]:[PA ID]],$B121,CostTrack[[Vendor - Contract]:[Vendor - Contract]],$H121,CostTrack[[Holdback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21" s="504">
        <f ca="1">SUMIFS(CostTrack[[Value]:[Value]],CostTrack[[PA ID]:[PA ID]],$B121,CostTrack[[Vendor - Contract]:[Vendor - Contract]],$H121,CostTrack[[Holdback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21" s="504">
        <f ca="1">SUMIFS(CostTrack[[Value]:[Value]],CostTrack[[PA ID]:[PA ID]],$B121,CostTrack[[Vendor - Contract]:[Vendor - Contract]],$H121,CostTrack[[Holdback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21" s="504">
        <f ca="1">SUMIFS(CostTrack[[Value]:[Value]],CostTrack[[PA ID]:[PA ID]],$B121,CostTrack[[Vendor - Contract]:[Vendor - Contract]],$H121,CostTrack[[Holdback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21" s="504">
        <f ca="1">SUMIFS(CostTrack[[Value]:[Value]],CostTrack[[PA ID]:[PA ID]],$B121,CostTrack[[Vendor - Contract]:[Vendor - Contract]],$H121,CostTrack[[Holdback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21" s="504">
        <f ca="1">SUMIFS(CostTrack[[Value]:[Value]],CostTrack[[PA ID]:[PA ID]],$B121,CostTrack[[Vendor - Contract]:[Vendor - Contract]],$H121,CostTrack[[Holdback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21" s="512">
        <f t="shared" ca="1" si="255"/>
        <v>0</v>
      </c>
      <c r="CM121" s="504">
        <f ca="1">SUMIFS(CostTrack[[Value]:[Value]],CostTrack[[PA ID]:[PA ID]],$B121,CostTrack[[Vendor - Contract]:[Vendor - Contract]],$H121,CostTrack[[Holdback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21" s="504">
        <f ca="1">SUMIFS(CostTrack[[Value]:[Value]],CostTrack[[PA ID]:[PA ID]],$B121,CostTrack[[Vendor - Contract]:[Vendor - Contract]],$H121,CostTrack[[Holdback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21" s="504">
        <f ca="1">SUMIFS(CostTrack[[Value]:[Value]],CostTrack[[PA ID]:[PA ID]],$B121,CostTrack[[Vendor - Contract]:[Vendor - Contract]],$H121,CostTrack[[Holdback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21" s="504">
        <f ca="1">SUMIFS(CostTrack[[Value]:[Value]],CostTrack[[PA ID]:[PA ID]],$B121,CostTrack[[Vendor - Contract]:[Vendor - Contract]],$H121,CostTrack[[Holdback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21" s="504">
        <f ca="1">SUMIFS(CostTrack[[Value]:[Value]],CostTrack[[PA ID]:[PA ID]],$B121,CostTrack[[Vendor - Contract]:[Vendor - Contract]],$H121,CostTrack[[Holdback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21" s="504">
        <f ca="1">SUMIFS(CostTrack[[Value]:[Value]],CostTrack[[PA ID]:[PA ID]],$B121,CostTrack[[Vendor - Contract]:[Vendor - Contract]],$H121,CostTrack[[Holdback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21" s="504">
        <f ca="1">SUMIFS(CostTrack[[Value]:[Value]],CostTrack[[PA ID]:[PA ID]],$B121,CostTrack[[Vendor - Contract]:[Vendor - Contract]],$H121,CostTrack[[Holdback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21" s="504">
        <f ca="1">SUMIFS(CostTrack[[Value]:[Value]],CostTrack[[PA ID]:[PA ID]],$B121,CostTrack[[Vendor - Contract]:[Vendor - Contract]],$H121,CostTrack[[Holdback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21" s="504">
        <f ca="1">SUMIFS(CostTrack[[Value]:[Value]],CostTrack[[PA ID]:[PA ID]],$B121,CostTrack[[Vendor - Contract]:[Vendor - Contract]],$H121,CostTrack[[Holdback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21" s="504">
        <f ca="1">SUMIFS(CostTrack[[Value]:[Value]],CostTrack[[PA ID]:[PA ID]],$B121,CostTrack[[Vendor - Contract]:[Vendor - Contract]],$H121,CostTrack[[Holdback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21" s="504">
        <f ca="1">SUMIFS(CostTrack[[Value]:[Value]],CostTrack[[PA ID]:[PA ID]],$B121,CostTrack[[Vendor - Contract]:[Vendor - Contract]],$H121,CostTrack[[Holdback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21" s="504">
        <f ca="1">SUMIFS(CostTrack[[Value]:[Value]],CostTrack[[PA ID]:[PA ID]],$B121,CostTrack[[Vendor - Contract]:[Vendor - Contract]],$H121,CostTrack[[Holdback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21" s="512">
        <f t="shared" ca="1" si="256"/>
        <v>0</v>
      </c>
      <c r="DA121" s="504">
        <f ca="1">SUMIFS(CostTrack[[Value]:[Value]],CostTrack[[PA ID]:[PA ID]],$B121,CostTrack[[Vendor - Contract]:[Vendor - Contract]],$H121,CostTrack[[Holdback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21" s="504">
        <f ca="1">SUMIFS(CostTrack[[Value]:[Value]],CostTrack[[PA ID]:[PA ID]],$B121,CostTrack[[Vendor - Contract]:[Vendor - Contract]],$H121,CostTrack[[Holdback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21" s="504">
        <f ca="1">SUMIFS(CostTrack[[Value]:[Value]],CostTrack[[PA ID]:[PA ID]],$B121,CostTrack[[Vendor - Contract]:[Vendor - Contract]],$H121,CostTrack[[Holdback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21" s="504">
        <f ca="1">SUMIFS(CostTrack[[Value]:[Value]],CostTrack[[PA ID]:[PA ID]],$B121,CostTrack[[Vendor - Contract]:[Vendor - Contract]],$H121,CostTrack[[Holdback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21" s="504">
        <f ca="1">SUMIFS(CostTrack[[Value]:[Value]],CostTrack[[PA ID]:[PA ID]],$B121,CostTrack[[Vendor - Contract]:[Vendor - Contract]],$H121,CostTrack[[Holdback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21" s="504">
        <f ca="1">SUMIFS(CostTrack[[Value]:[Value]],CostTrack[[PA ID]:[PA ID]],$B121,CostTrack[[Vendor - Contract]:[Vendor - Contract]],$H121,CostTrack[[Holdback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21" s="504">
        <f ca="1">SUMIFS(CostTrack[[Value]:[Value]],CostTrack[[PA ID]:[PA ID]],$B121,CostTrack[[Vendor - Contract]:[Vendor - Contract]],$H121,CostTrack[[Holdback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21" s="504">
        <f ca="1">SUMIFS(CostTrack[[Value]:[Value]],CostTrack[[PA ID]:[PA ID]],$B121,CostTrack[[Vendor - Contract]:[Vendor - Contract]],$H121,CostTrack[[Holdback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21" s="504">
        <f ca="1">SUMIFS(CostTrack[[Value]:[Value]],CostTrack[[PA ID]:[PA ID]],$B121,CostTrack[[Vendor - Contract]:[Vendor - Contract]],$H121,CostTrack[[Holdback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21" s="504">
        <f ca="1">SUMIFS(CostTrack[[Value]:[Value]],CostTrack[[PA ID]:[PA ID]],$B121,CostTrack[[Vendor - Contract]:[Vendor - Contract]],$H121,CostTrack[[Holdback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21" s="504">
        <f ca="1">SUMIFS(CostTrack[[Value]:[Value]],CostTrack[[PA ID]:[PA ID]],$B121,CostTrack[[Vendor - Contract]:[Vendor - Contract]],$H121,CostTrack[[Holdback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21" s="504">
        <f ca="1">SUMIFS(CostTrack[[Value]:[Value]],CostTrack[[PA ID]:[PA ID]],$B121,CostTrack[[Vendor - Contract]:[Vendor - Contract]],$H121,CostTrack[[Holdback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21" s="512">
        <f t="shared" ca="1" si="257"/>
        <v>0</v>
      </c>
      <c r="DO121" s="504">
        <f ca="1">SUMIFS(CostTrack[[Value]:[Value]],CostTrack[[PA ID]:[PA ID]],$B121,CostTrack[[Vendor - Contract]:[Vendor - Contract]],$H121,CostTrack[[Holdback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21" s="504">
        <f ca="1">SUMIFS(CostTrack[[Value]:[Value]],CostTrack[[PA ID]:[PA ID]],$B121,CostTrack[[Vendor - Contract]:[Vendor - Contract]],$H121,CostTrack[[Holdback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1000</v>
      </c>
      <c r="DQ121" s="504">
        <f ca="1">SUMIFS(CostTrack[[Value]:[Value]],CostTrack[[PA ID]:[PA ID]],$B121,CostTrack[[Vendor - Contract]:[Vendor - Contract]],$H121,CostTrack[[Holdback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21" s="504">
        <f ca="1">SUMIFS(CostTrack[[Value]:[Value]],CostTrack[[PA ID]:[PA ID]],$B121,CostTrack[[Vendor - Contract]:[Vendor - Contract]],$H121,CostTrack[[Holdback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21" s="504">
        <f ca="1">SUMIFS(CostTrack[[Value]:[Value]],CostTrack[[PA ID]:[PA ID]],$B121,CostTrack[[Vendor - Contract]:[Vendor - Contract]],$H121,CostTrack[[Holdback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21" s="504">
        <f ca="1">SUMIFS(CostTrack[[Value]:[Value]],CostTrack[[PA ID]:[PA ID]],$B121,CostTrack[[Vendor - Contract]:[Vendor - Contract]],$H121,CostTrack[[Holdback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21" s="504">
        <f ca="1">SUMIFS(CostTrack[[Value]:[Value]],CostTrack[[PA ID]:[PA ID]],$B121,CostTrack[[Vendor - Contract]:[Vendor - Contract]],$H121,CostTrack[[Holdback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21" s="504">
        <f ca="1">SUMIFS(CostTrack[[Value]:[Value]],CostTrack[[PA ID]:[PA ID]],$B121,CostTrack[[Vendor - Contract]:[Vendor - Contract]],$H121,CostTrack[[Holdback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21" s="504">
        <f ca="1">SUMIFS(CostTrack[[Value]:[Value]],CostTrack[[PA ID]:[PA ID]],$B121,CostTrack[[Vendor - Contract]:[Vendor - Contract]],$H121,CostTrack[[Holdback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21" s="504">
        <f ca="1">SUMIFS(CostTrack[[Value]:[Value]],CostTrack[[PA ID]:[PA ID]],$B121,CostTrack[[Vendor - Contract]:[Vendor - Contract]],$H121,CostTrack[[Holdback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21" s="504">
        <f ca="1">SUMIFS(CostTrack[[Value]:[Value]],CostTrack[[PA ID]:[PA ID]],$B121,CostTrack[[Vendor - Contract]:[Vendor - Contract]],$H121,CostTrack[[Holdback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21" s="504">
        <f ca="1">SUMIFS(CostTrack[[Value]:[Value]],CostTrack[[PA ID]:[PA ID]],$B121,CostTrack[[Vendor - Contract]:[Vendor - Contract]],$H121,CostTrack[[Holdback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21" s="512">
        <f t="shared" ca="1" si="270"/>
        <v>1000</v>
      </c>
      <c r="EC121" s="504">
        <f ca="1">SUMIFS(CostTrack[[Value]:[Value]],CostTrack[[PA ID]:[PA ID]],$B121,CostTrack[[Vendor - Contract]:[Vendor - Contract]],$H121,CostTrack[[Holdback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21" s="505"/>
      <c r="EE121" s="505"/>
      <c r="EF121" s="505"/>
      <c r="EG121" s="505"/>
      <c r="EH121" s="505"/>
      <c r="EI121" s="505"/>
      <c r="EJ121" s="505"/>
      <c r="EK121" s="505"/>
      <c r="EL121" s="505"/>
      <c r="EM121" s="505"/>
      <c r="EN121" s="505"/>
      <c r="EO121" s="512">
        <f t="shared" ca="1" si="271"/>
        <v>0</v>
      </c>
      <c r="EQ121" s="505"/>
      <c r="ER121" s="505"/>
      <c r="ES121" s="505"/>
      <c r="ET121" s="505"/>
      <c r="EU121" s="505"/>
      <c r="EV121" s="505"/>
      <c r="EW121" s="505"/>
      <c r="EX121" s="505"/>
      <c r="EY121" s="505"/>
      <c r="EZ121" s="505"/>
      <c r="FA121" s="505"/>
      <c r="FB121" s="505"/>
      <c r="FC121" s="512">
        <f t="shared" si="272"/>
        <v>0</v>
      </c>
      <c r="FE121" s="505"/>
      <c r="FF121" s="505"/>
      <c r="FG121" s="505"/>
      <c r="FH121" s="505"/>
      <c r="FI121" s="505"/>
      <c r="FJ121" s="505"/>
      <c r="FK121" s="505"/>
      <c r="FL121" s="505"/>
      <c r="FM121" s="505"/>
      <c r="FN121" s="505"/>
      <c r="FO121" s="505"/>
      <c r="FP121" s="505"/>
      <c r="FQ121" s="512">
        <f t="shared" si="273"/>
        <v>0</v>
      </c>
      <c r="FS121" s="504">
        <f t="shared" ca="1" si="274"/>
        <v>1000</v>
      </c>
    </row>
    <row r="122" spans="1:175">
      <c r="A122" s="216">
        <v>115</v>
      </c>
      <c r="B122" s="219" t="str">
        <f ca="1">INDEX(EAC[PA ID],MATCH($A122,EAC[Row],0))</f>
        <v>400.010.F1</v>
      </c>
      <c r="C122" s="218" t="str">
        <f ca="1">INDEX(EAC[Primary Category],MATCH($A122,EAC[Row],0))</f>
        <v>FE_IT</v>
      </c>
      <c r="D122" s="218" t="str">
        <f ca="1">INDEX(EAC[Secondary Category],MATCH($A122,EAC[Row],0))</f>
        <v>Furniture &amp; Equipment</v>
      </c>
      <c r="E122" s="109" t="str">
        <f ca="1">INDEX(EAC[Phase / Subproject],MATCH($A122,EAC[Row],0))</f>
        <v>--</v>
      </c>
      <c r="F122" s="109" t="str">
        <f ca="1">INDEX(EAC[Phase / Subproject 2],MATCH($A122,EAC[Row],0))</f>
        <v>--</v>
      </c>
      <c r="G122" s="109" t="str">
        <f ca="1">INDEX(EAC[Funding Source],MATCH($A122,EAC[Row],0))</f>
        <v>P-002360</v>
      </c>
      <c r="H122" s="146" t="str">
        <f ca="1">INDEX(EAC[Vendor / Org. with Contract ID],MATCH($A122,EAC[Row],0))</f>
        <v>Looker Office furniture- lounge &amp;occasional tables-90000069628</v>
      </c>
      <c r="I122" s="502">
        <f ca="1">INDEX(EAC[Estimate At Completion],MATCH($A122,EAC[Row],0))</f>
        <v>137870.5</v>
      </c>
      <c r="J122" s="502">
        <f ca="1">SUMIFS(CostTrack[Value],CostTrack[Vendor - Contract],$H122,CostTrack[PA ID],$B122,CostTrack[Holdback (Y/N/R)],"&lt;&gt;Release",CostTrack[Status],"Approved")</f>
        <v>137870.5</v>
      </c>
      <c r="K122" s="503">
        <f t="shared" ref="K122" ca="1" si="281">IFERROR(I122-J122,"")</f>
        <v>0</v>
      </c>
      <c r="M122" s="504">
        <f t="shared" ca="1" si="264"/>
        <v>0</v>
      </c>
      <c r="O122" s="504">
        <f t="shared" ca="1" si="275"/>
        <v>137870.5</v>
      </c>
      <c r="P122" s="504">
        <f t="array" aca="1" ref="P122" ca="1">SUM($U122:$FQ122*_xlfn.ISFORMULA($U122:$FQ122)*ISNUMBER($U$7:$FQ$7)*--(INDEX($U$6:$FQ$6,N(IF({1},COLUMN($U$6:$FQ$6)-COLUMN($T$6)))-MOD(N(IF({1},COLUMN($U$6:$FQ$6)-COLUMN($U$6))),14))="Current Fiscal"))</f>
        <v>0</v>
      </c>
      <c r="Q122" s="504">
        <f t="array" aca="1" ref="Q122" ca="1">SUM($U122:$FQ122*NOT(_xlfn.ISFORMULA($U122:$FQ122))*ISNUMBER($U$7:$FQ$7)*--(INDEX($U$6:$FQ$6,N(IF({1},COLUMN($U$6:$FQ$6)-COLUMN($T$6)))-MOD(N(IF({1},COLUMN($U$6:$FQ$6)-COLUMN($U$6))),14))="Current Fiscal"))</f>
        <v>0</v>
      </c>
      <c r="R122" s="504">
        <f t="shared" ca="1" si="276"/>
        <v>0</v>
      </c>
      <c r="S122" s="504">
        <f t="shared" ca="1" si="277"/>
        <v>0</v>
      </c>
      <c r="U122" s="504">
        <f ca="1">SUMIFS(CostTrack[[Value]:[Value]],CostTrack[[PA ID]:[PA ID]],$B122,CostTrack[[Vendor - Contract]:[Vendor - Contract]],$H122,CostTrack[[Holdback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22" s="504">
        <f ca="1">SUMIFS(CostTrack[[Value]:[Value]],CostTrack[[PA ID]:[PA ID]],$B122,CostTrack[[Vendor - Contract]:[Vendor - Contract]],$H122,CostTrack[[Holdback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22" s="504">
        <f ca="1">SUMIFS(CostTrack[[Value]:[Value]],CostTrack[[PA ID]:[PA ID]],$B122,CostTrack[[Vendor - Contract]:[Vendor - Contract]],$H122,CostTrack[[Holdback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22" s="504">
        <f ca="1">SUMIFS(CostTrack[[Value]:[Value]],CostTrack[[PA ID]:[PA ID]],$B122,CostTrack[[Vendor - Contract]:[Vendor - Contract]],$H122,CostTrack[[Holdback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22" s="504">
        <f ca="1">SUMIFS(CostTrack[[Value]:[Value]],CostTrack[[PA ID]:[PA ID]],$B122,CostTrack[[Vendor - Contract]:[Vendor - Contract]],$H122,CostTrack[[Holdback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22" s="504">
        <f ca="1">SUMIFS(CostTrack[[Value]:[Value]],CostTrack[[PA ID]:[PA ID]],$B122,CostTrack[[Vendor - Contract]:[Vendor - Contract]],$H122,CostTrack[[Holdback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22" s="504">
        <f ca="1">SUMIFS(CostTrack[[Value]:[Value]],CostTrack[[PA ID]:[PA ID]],$B122,CostTrack[[Vendor - Contract]:[Vendor - Contract]],$H122,CostTrack[[Holdback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22" s="504">
        <f ca="1">SUMIFS(CostTrack[[Value]:[Value]],CostTrack[[PA ID]:[PA ID]],$B122,CostTrack[[Vendor - Contract]:[Vendor - Contract]],$H122,CostTrack[[Holdback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22" s="504">
        <f ca="1">SUMIFS(CostTrack[[Value]:[Value]],CostTrack[[PA ID]:[PA ID]],$B122,CostTrack[[Vendor - Contract]:[Vendor - Contract]],$H122,CostTrack[[Holdback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22" s="504">
        <f ca="1">SUMIFS(CostTrack[[Value]:[Value]],CostTrack[[PA ID]:[PA ID]],$B122,CostTrack[[Vendor - Contract]:[Vendor - Contract]],$H122,CostTrack[[Holdback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22" s="504">
        <f ca="1">SUMIFS(CostTrack[[Value]:[Value]],CostTrack[[PA ID]:[PA ID]],$B122,CostTrack[[Vendor - Contract]:[Vendor - Contract]],$H122,CostTrack[[Holdback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22" s="504">
        <f ca="1">SUMIFS(CostTrack[[Value]:[Value]],CostTrack[[PA ID]:[PA ID]],$B122,CostTrack[[Vendor - Contract]:[Vendor - Contract]],$H122,CostTrack[[Holdback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22" s="506">
        <f t="shared" ca="1" si="235"/>
        <v>0</v>
      </c>
      <c r="AI122" s="504">
        <f ca="1">SUMIFS(CostTrack[[Value]:[Value]],CostTrack[[PA ID]:[PA ID]],$B122,CostTrack[[Vendor - Contract]:[Vendor - Contract]],$H122,CostTrack[[Holdback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22" s="504">
        <f ca="1">SUMIFS(CostTrack[[Value]:[Value]],CostTrack[[PA ID]:[PA ID]],$B122,CostTrack[[Vendor - Contract]:[Vendor - Contract]],$H122,CostTrack[[Holdback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22" s="504">
        <f ca="1">SUMIFS(CostTrack[[Value]:[Value]],CostTrack[[PA ID]:[PA ID]],$B122,CostTrack[[Vendor - Contract]:[Vendor - Contract]],$H122,CostTrack[[Holdback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22" s="504">
        <f ca="1">SUMIFS(CostTrack[[Value]:[Value]],CostTrack[[PA ID]:[PA ID]],$B122,CostTrack[[Vendor - Contract]:[Vendor - Contract]],$H122,CostTrack[[Holdback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22" s="504">
        <f ca="1">SUMIFS(CostTrack[[Value]:[Value]],CostTrack[[PA ID]:[PA ID]],$B122,CostTrack[[Vendor - Contract]:[Vendor - Contract]],$H122,CostTrack[[Holdback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22" s="504">
        <f ca="1">SUMIFS(CostTrack[[Value]:[Value]],CostTrack[[PA ID]:[PA ID]],$B122,CostTrack[[Vendor - Contract]:[Vendor - Contract]],$H122,CostTrack[[Holdback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22" s="504">
        <f ca="1">SUMIFS(CostTrack[[Value]:[Value]],CostTrack[[PA ID]:[PA ID]],$B122,CostTrack[[Vendor - Contract]:[Vendor - Contract]],$H122,CostTrack[[Holdback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22" s="504">
        <f ca="1">SUMIFS(CostTrack[[Value]:[Value]],CostTrack[[PA ID]:[PA ID]],$B122,CostTrack[[Vendor - Contract]:[Vendor - Contract]],$H122,CostTrack[[Holdback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22" s="504">
        <f ca="1">SUMIFS(CostTrack[[Value]:[Value]],CostTrack[[PA ID]:[PA ID]],$B122,CostTrack[[Vendor - Contract]:[Vendor - Contract]],$H122,CostTrack[[Holdback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22" s="504">
        <f ca="1">SUMIFS(CostTrack[[Value]:[Value]],CostTrack[[PA ID]:[PA ID]],$B122,CostTrack[[Vendor - Contract]:[Vendor - Contract]],$H122,CostTrack[[Holdback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22" s="504">
        <f ca="1">SUMIFS(CostTrack[[Value]:[Value]],CostTrack[[PA ID]:[PA ID]],$B122,CostTrack[[Vendor - Contract]:[Vendor - Contract]],$H122,CostTrack[[Holdback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22" s="504">
        <f ca="1">SUMIFS(CostTrack[[Value]:[Value]],CostTrack[[PA ID]:[PA ID]],$B122,CostTrack[[Vendor - Contract]:[Vendor - Contract]],$H122,CostTrack[[Holdback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22" s="512">
        <f t="shared" ca="1" si="252"/>
        <v>0</v>
      </c>
      <c r="AW122" s="504">
        <f ca="1">SUMIFS(CostTrack[[Value]:[Value]],CostTrack[[PA ID]:[PA ID]],$B122,CostTrack[[Vendor - Contract]:[Vendor - Contract]],$H122,CostTrack[[Holdback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22" s="504">
        <f ca="1">SUMIFS(CostTrack[[Value]:[Value]],CostTrack[[PA ID]:[PA ID]],$B122,CostTrack[[Vendor - Contract]:[Vendor - Contract]],$H122,CostTrack[[Holdback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22" s="504">
        <f ca="1">SUMIFS(CostTrack[[Value]:[Value]],CostTrack[[PA ID]:[PA ID]],$B122,CostTrack[[Vendor - Contract]:[Vendor - Contract]],$H122,CostTrack[[Holdback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22" s="504">
        <f ca="1">SUMIFS(CostTrack[[Value]:[Value]],CostTrack[[PA ID]:[PA ID]],$B122,CostTrack[[Vendor - Contract]:[Vendor - Contract]],$H122,CostTrack[[Holdback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22" s="504">
        <f ca="1">SUMIFS(CostTrack[[Value]:[Value]],CostTrack[[PA ID]:[PA ID]],$B122,CostTrack[[Vendor - Contract]:[Vendor - Contract]],$H122,CostTrack[[Holdback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22" s="504">
        <f ca="1">SUMIFS(CostTrack[[Value]:[Value]],CostTrack[[PA ID]:[PA ID]],$B122,CostTrack[[Vendor - Contract]:[Vendor - Contract]],$H122,CostTrack[[Holdback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22" s="504">
        <f ca="1">SUMIFS(CostTrack[[Value]:[Value]],CostTrack[[PA ID]:[PA ID]],$B122,CostTrack[[Vendor - Contract]:[Vendor - Contract]],$H122,CostTrack[[Holdback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22" s="504">
        <f ca="1">SUMIFS(CostTrack[[Value]:[Value]],CostTrack[[PA ID]:[PA ID]],$B122,CostTrack[[Vendor - Contract]:[Vendor - Contract]],$H122,CostTrack[[Holdback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22" s="504">
        <f ca="1">SUMIFS(CostTrack[[Value]:[Value]],CostTrack[[PA ID]:[PA ID]],$B122,CostTrack[[Vendor - Contract]:[Vendor - Contract]],$H122,CostTrack[[Holdback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22" s="504">
        <f ca="1">SUMIFS(CostTrack[[Value]:[Value]],CostTrack[[PA ID]:[PA ID]],$B122,CostTrack[[Vendor - Contract]:[Vendor - Contract]],$H122,CostTrack[[Holdback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22" s="504">
        <f ca="1">SUMIFS(CostTrack[[Value]:[Value]],CostTrack[[PA ID]:[PA ID]],$B122,CostTrack[[Vendor - Contract]:[Vendor - Contract]],$H122,CostTrack[[Holdback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22" s="504">
        <f ca="1">SUMIFS(CostTrack[[Value]:[Value]],CostTrack[[PA ID]:[PA ID]],$B122,CostTrack[[Vendor - Contract]:[Vendor - Contract]],$H122,CostTrack[[Holdback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22" s="512">
        <f t="shared" ca="1" si="268"/>
        <v>0</v>
      </c>
      <c r="BK122" s="504">
        <f ca="1">SUMIFS(CostTrack[[Value]:[Value]],CostTrack[[PA ID]:[PA ID]],$B122,CostTrack[[Vendor - Contract]:[Vendor - Contract]],$H122,CostTrack[[Holdback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22" s="504">
        <f ca="1">SUMIFS(CostTrack[[Value]:[Value]],CostTrack[[PA ID]:[PA ID]],$B122,CostTrack[[Vendor - Contract]:[Vendor - Contract]],$H122,CostTrack[[Holdback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22" s="504">
        <f ca="1">SUMIFS(CostTrack[[Value]:[Value]],CostTrack[[PA ID]:[PA ID]],$B122,CostTrack[[Vendor - Contract]:[Vendor - Contract]],$H122,CostTrack[[Holdback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22" s="504">
        <f ca="1">SUMIFS(CostTrack[[Value]:[Value]],CostTrack[[PA ID]:[PA ID]],$B122,CostTrack[[Vendor - Contract]:[Vendor - Contract]],$H122,CostTrack[[Holdback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22" s="504">
        <f ca="1">SUMIFS(CostTrack[[Value]:[Value]],CostTrack[[PA ID]:[PA ID]],$B122,CostTrack[[Vendor - Contract]:[Vendor - Contract]],$H122,CostTrack[[Holdback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22" s="504">
        <f ca="1">SUMIFS(CostTrack[[Value]:[Value]],CostTrack[[PA ID]:[PA ID]],$B122,CostTrack[[Vendor - Contract]:[Vendor - Contract]],$H122,CostTrack[[Holdback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22" s="504">
        <f ca="1">SUMIFS(CostTrack[[Value]:[Value]],CostTrack[[PA ID]:[PA ID]],$B122,CostTrack[[Vendor - Contract]:[Vendor - Contract]],$H122,CostTrack[[Holdback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22" s="504">
        <f ca="1">SUMIFS(CostTrack[[Value]:[Value]],CostTrack[[PA ID]:[PA ID]],$B122,CostTrack[[Vendor - Contract]:[Vendor - Contract]],$H122,CostTrack[[Holdback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22" s="504">
        <f ca="1">SUMIFS(CostTrack[[Value]:[Value]],CostTrack[[PA ID]:[PA ID]],$B122,CostTrack[[Vendor - Contract]:[Vendor - Contract]],$H122,CostTrack[[Holdback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22" s="504">
        <f ca="1">SUMIFS(CostTrack[[Value]:[Value]],CostTrack[[PA ID]:[PA ID]],$B122,CostTrack[[Vendor - Contract]:[Vendor - Contract]],$H122,CostTrack[[Holdback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22" s="504">
        <f ca="1">SUMIFS(CostTrack[[Value]:[Value]],CostTrack[[PA ID]:[PA ID]],$B122,CostTrack[[Vendor - Contract]:[Vendor - Contract]],$H122,CostTrack[[Holdback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22" s="504">
        <f ca="1">SUMIFS(CostTrack[[Value]:[Value]],CostTrack[[PA ID]:[PA ID]],$B122,CostTrack[[Vendor - Contract]:[Vendor - Contract]],$H122,CostTrack[[Holdback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22" s="512">
        <f t="shared" ca="1" si="269"/>
        <v>0</v>
      </c>
      <c r="BY122" s="504">
        <f ca="1">SUMIFS(CostTrack[[Value]:[Value]],CostTrack[[PA ID]:[PA ID]],$B122,CostTrack[[Vendor - Contract]:[Vendor - Contract]],$H122,CostTrack[[Holdback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22" s="504">
        <f ca="1">SUMIFS(CostTrack[[Value]:[Value]],CostTrack[[PA ID]:[PA ID]],$B122,CostTrack[[Vendor - Contract]:[Vendor - Contract]],$H122,CostTrack[[Holdback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22" s="504">
        <f ca="1">SUMIFS(CostTrack[[Value]:[Value]],CostTrack[[PA ID]:[PA ID]],$B122,CostTrack[[Vendor - Contract]:[Vendor - Contract]],$H122,CostTrack[[Holdback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22" s="504">
        <f ca="1">SUMIFS(CostTrack[[Value]:[Value]],CostTrack[[PA ID]:[PA ID]],$B122,CostTrack[[Vendor - Contract]:[Vendor - Contract]],$H122,CostTrack[[Holdback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22" s="504">
        <f ca="1">SUMIFS(CostTrack[[Value]:[Value]],CostTrack[[PA ID]:[PA ID]],$B122,CostTrack[[Vendor - Contract]:[Vendor - Contract]],$H122,CostTrack[[Holdback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22" s="504">
        <f ca="1">SUMIFS(CostTrack[[Value]:[Value]],CostTrack[[PA ID]:[PA ID]],$B122,CostTrack[[Vendor - Contract]:[Vendor - Contract]],$H122,CostTrack[[Holdback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22" s="504">
        <f ca="1">SUMIFS(CostTrack[[Value]:[Value]],CostTrack[[PA ID]:[PA ID]],$B122,CostTrack[[Vendor - Contract]:[Vendor - Contract]],$H122,CostTrack[[Holdback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22" s="504">
        <f ca="1">SUMIFS(CostTrack[[Value]:[Value]],CostTrack[[PA ID]:[PA ID]],$B122,CostTrack[[Vendor - Contract]:[Vendor - Contract]],$H122,CostTrack[[Holdback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22" s="504">
        <f ca="1">SUMIFS(CostTrack[[Value]:[Value]],CostTrack[[PA ID]:[PA ID]],$B122,CostTrack[[Vendor - Contract]:[Vendor - Contract]],$H122,CostTrack[[Holdback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22" s="504">
        <f ca="1">SUMIFS(CostTrack[[Value]:[Value]],CostTrack[[PA ID]:[PA ID]],$B122,CostTrack[[Vendor - Contract]:[Vendor - Contract]],$H122,CostTrack[[Holdback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22" s="504">
        <f ca="1">SUMIFS(CostTrack[[Value]:[Value]],CostTrack[[PA ID]:[PA ID]],$B122,CostTrack[[Vendor - Contract]:[Vendor - Contract]],$H122,CostTrack[[Holdback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22" s="504">
        <f ca="1">SUMIFS(CostTrack[[Value]:[Value]],CostTrack[[PA ID]:[PA ID]],$B122,CostTrack[[Vendor - Contract]:[Vendor - Contract]],$H122,CostTrack[[Holdback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22" s="512">
        <f t="shared" ca="1" si="255"/>
        <v>0</v>
      </c>
      <c r="CM122" s="504">
        <f ca="1">SUMIFS(CostTrack[[Value]:[Value]],CostTrack[[PA ID]:[PA ID]],$B122,CostTrack[[Vendor - Contract]:[Vendor - Contract]],$H122,CostTrack[[Holdback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22" s="504">
        <f ca="1">SUMIFS(CostTrack[[Value]:[Value]],CostTrack[[PA ID]:[PA ID]],$B122,CostTrack[[Vendor - Contract]:[Vendor - Contract]],$H122,CostTrack[[Holdback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22" s="504">
        <f ca="1">SUMIFS(CostTrack[[Value]:[Value]],CostTrack[[PA ID]:[PA ID]],$B122,CostTrack[[Vendor - Contract]:[Vendor - Contract]],$H122,CostTrack[[Holdback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22" s="504">
        <f ca="1">SUMIFS(CostTrack[[Value]:[Value]],CostTrack[[PA ID]:[PA ID]],$B122,CostTrack[[Vendor - Contract]:[Vendor - Contract]],$H122,CostTrack[[Holdback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22" s="504">
        <f ca="1">SUMIFS(CostTrack[[Value]:[Value]],CostTrack[[PA ID]:[PA ID]],$B122,CostTrack[[Vendor - Contract]:[Vendor - Contract]],$H122,CostTrack[[Holdback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22" s="504">
        <f ca="1">SUMIFS(CostTrack[[Value]:[Value]],CostTrack[[PA ID]:[PA ID]],$B122,CostTrack[[Vendor - Contract]:[Vendor - Contract]],$H122,CostTrack[[Holdback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22" s="504">
        <f ca="1">SUMIFS(CostTrack[[Value]:[Value]],CostTrack[[PA ID]:[PA ID]],$B122,CostTrack[[Vendor - Contract]:[Vendor - Contract]],$H122,CostTrack[[Holdback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22" s="504">
        <f ca="1">SUMIFS(CostTrack[[Value]:[Value]],CostTrack[[PA ID]:[PA ID]],$B122,CostTrack[[Vendor - Contract]:[Vendor - Contract]],$H122,CostTrack[[Holdback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22" s="504">
        <f ca="1">SUMIFS(CostTrack[[Value]:[Value]],CostTrack[[PA ID]:[PA ID]],$B122,CostTrack[[Vendor - Contract]:[Vendor - Contract]],$H122,CostTrack[[Holdback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22" s="504">
        <f ca="1">SUMIFS(CostTrack[[Value]:[Value]],CostTrack[[PA ID]:[PA ID]],$B122,CostTrack[[Vendor - Contract]:[Vendor - Contract]],$H122,CostTrack[[Holdback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22" s="504">
        <f ca="1">SUMIFS(CostTrack[[Value]:[Value]],CostTrack[[PA ID]:[PA ID]],$B122,CostTrack[[Vendor - Contract]:[Vendor - Contract]],$H122,CostTrack[[Holdback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22" s="504">
        <f ca="1">SUMIFS(CostTrack[[Value]:[Value]],CostTrack[[PA ID]:[PA ID]],$B122,CostTrack[[Vendor - Contract]:[Vendor - Contract]],$H122,CostTrack[[Holdback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22" s="512">
        <f t="shared" ca="1" si="256"/>
        <v>0</v>
      </c>
      <c r="DA122" s="504">
        <f ca="1">SUMIFS(CostTrack[[Value]:[Value]],CostTrack[[PA ID]:[PA ID]],$B122,CostTrack[[Vendor - Contract]:[Vendor - Contract]],$H122,CostTrack[[Holdback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22" s="504">
        <f ca="1">SUMIFS(CostTrack[[Value]:[Value]],CostTrack[[PA ID]:[PA ID]],$B122,CostTrack[[Vendor - Contract]:[Vendor - Contract]],$H122,CostTrack[[Holdback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22" s="504">
        <f ca="1">SUMIFS(CostTrack[[Value]:[Value]],CostTrack[[PA ID]:[PA ID]],$B122,CostTrack[[Vendor - Contract]:[Vendor - Contract]],$H122,CostTrack[[Holdback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22" s="504">
        <f ca="1">SUMIFS(CostTrack[[Value]:[Value]],CostTrack[[PA ID]:[PA ID]],$B122,CostTrack[[Vendor - Contract]:[Vendor - Contract]],$H122,CostTrack[[Holdback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22" s="504">
        <f ca="1">SUMIFS(CostTrack[[Value]:[Value]],CostTrack[[PA ID]:[PA ID]],$B122,CostTrack[[Vendor - Contract]:[Vendor - Contract]],$H122,CostTrack[[Holdback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22" s="504">
        <f ca="1">SUMIFS(CostTrack[[Value]:[Value]],CostTrack[[PA ID]:[PA ID]],$B122,CostTrack[[Vendor - Contract]:[Vendor - Contract]],$H122,CostTrack[[Holdback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22" s="504">
        <f ca="1">SUMIFS(CostTrack[[Value]:[Value]],CostTrack[[PA ID]:[PA ID]],$B122,CostTrack[[Vendor - Contract]:[Vendor - Contract]],$H122,CostTrack[[Holdback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22" s="504">
        <f ca="1">SUMIFS(CostTrack[[Value]:[Value]],CostTrack[[PA ID]:[PA ID]],$B122,CostTrack[[Vendor - Contract]:[Vendor - Contract]],$H122,CostTrack[[Holdback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22" s="504">
        <f ca="1">SUMIFS(CostTrack[[Value]:[Value]],CostTrack[[PA ID]:[PA ID]],$B122,CostTrack[[Vendor - Contract]:[Vendor - Contract]],$H122,CostTrack[[Holdback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22" s="504">
        <f ca="1">SUMIFS(CostTrack[[Value]:[Value]],CostTrack[[PA ID]:[PA ID]],$B122,CostTrack[[Vendor - Contract]:[Vendor - Contract]],$H122,CostTrack[[Holdback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22" s="504">
        <f ca="1">SUMIFS(CostTrack[[Value]:[Value]],CostTrack[[PA ID]:[PA ID]],$B122,CostTrack[[Vendor - Contract]:[Vendor - Contract]],$H122,CostTrack[[Holdback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22" s="504">
        <f ca="1">SUMIFS(CostTrack[[Value]:[Value]],CostTrack[[PA ID]:[PA ID]],$B122,CostTrack[[Vendor - Contract]:[Vendor - Contract]],$H122,CostTrack[[Holdback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22" s="512">
        <f t="shared" ca="1" si="257"/>
        <v>0</v>
      </c>
      <c r="DO122" s="504">
        <f ca="1">SUMIFS(CostTrack[[Value]:[Value]],CostTrack[[PA ID]:[PA ID]],$B122,CostTrack[[Vendor - Contract]:[Vendor - Contract]],$H122,CostTrack[[Holdback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137870.5</v>
      </c>
      <c r="DP122" s="504">
        <f ca="1">SUMIFS(CostTrack[[Value]:[Value]],CostTrack[[PA ID]:[PA ID]],$B122,CostTrack[[Vendor - Contract]:[Vendor - Contract]],$H122,CostTrack[[Holdback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22" s="504">
        <f ca="1">SUMIFS(CostTrack[[Value]:[Value]],CostTrack[[PA ID]:[PA ID]],$B122,CostTrack[[Vendor - Contract]:[Vendor - Contract]],$H122,CostTrack[[Holdback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22" s="504">
        <f ca="1">SUMIFS(CostTrack[[Value]:[Value]],CostTrack[[PA ID]:[PA ID]],$B122,CostTrack[[Vendor - Contract]:[Vendor - Contract]],$H122,CostTrack[[Holdback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22" s="504">
        <f ca="1">SUMIFS(CostTrack[[Value]:[Value]],CostTrack[[PA ID]:[PA ID]],$B122,CostTrack[[Vendor - Contract]:[Vendor - Contract]],$H122,CostTrack[[Holdback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22" s="504">
        <f ca="1">SUMIFS(CostTrack[[Value]:[Value]],CostTrack[[PA ID]:[PA ID]],$B122,CostTrack[[Vendor - Contract]:[Vendor - Contract]],$H122,CostTrack[[Holdback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22" s="504">
        <f ca="1">SUMIFS(CostTrack[[Value]:[Value]],CostTrack[[PA ID]:[PA ID]],$B122,CostTrack[[Vendor - Contract]:[Vendor - Contract]],$H122,CostTrack[[Holdback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22" s="504">
        <f ca="1">SUMIFS(CostTrack[[Value]:[Value]],CostTrack[[PA ID]:[PA ID]],$B122,CostTrack[[Vendor - Contract]:[Vendor - Contract]],$H122,CostTrack[[Holdback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22" s="504">
        <f ca="1">SUMIFS(CostTrack[[Value]:[Value]],CostTrack[[PA ID]:[PA ID]],$B122,CostTrack[[Vendor - Contract]:[Vendor - Contract]],$H122,CostTrack[[Holdback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22" s="504">
        <f ca="1">SUMIFS(CostTrack[[Value]:[Value]],CostTrack[[PA ID]:[PA ID]],$B122,CostTrack[[Vendor - Contract]:[Vendor - Contract]],$H122,CostTrack[[Holdback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22" s="504">
        <f ca="1">SUMIFS(CostTrack[[Value]:[Value]],CostTrack[[PA ID]:[PA ID]],$B122,CostTrack[[Vendor - Contract]:[Vendor - Contract]],$H122,CostTrack[[Holdback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22" s="504">
        <f ca="1">SUMIFS(CostTrack[[Value]:[Value]],CostTrack[[PA ID]:[PA ID]],$B122,CostTrack[[Vendor - Contract]:[Vendor - Contract]],$H122,CostTrack[[Holdback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22" s="512">
        <f t="shared" ca="1" si="270"/>
        <v>137870.5</v>
      </c>
      <c r="EC122" s="504">
        <f ca="1">SUMIFS(CostTrack[[Value]:[Value]],CostTrack[[PA ID]:[PA ID]],$B122,CostTrack[[Vendor - Contract]:[Vendor - Contract]],$H122,CostTrack[[Holdback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22" s="505"/>
      <c r="EE122" s="505"/>
      <c r="EF122" s="505"/>
      <c r="EG122" s="505"/>
      <c r="EH122" s="505"/>
      <c r="EI122" s="505"/>
      <c r="EJ122" s="505"/>
      <c r="EK122" s="505"/>
      <c r="EL122" s="505"/>
      <c r="EM122" s="505"/>
      <c r="EN122" s="505"/>
      <c r="EO122" s="512">
        <f t="shared" ca="1" si="271"/>
        <v>0</v>
      </c>
      <c r="EQ122" s="505"/>
      <c r="ER122" s="505"/>
      <c r="ES122" s="505"/>
      <c r="ET122" s="505"/>
      <c r="EU122" s="505"/>
      <c r="EV122" s="505"/>
      <c r="EW122" s="505"/>
      <c r="EX122" s="505"/>
      <c r="EY122" s="505"/>
      <c r="EZ122" s="505"/>
      <c r="FA122" s="505"/>
      <c r="FB122" s="505"/>
      <c r="FC122" s="512">
        <f t="shared" si="272"/>
        <v>0</v>
      </c>
      <c r="FE122" s="505"/>
      <c r="FF122" s="505"/>
      <c r="FG122" s="505"/>
      <c r="FH122" s="505"/>
      <c r="FI122" s="505"/>
      <c r="FJ122" s="505"/>
      <c r="FK122" s="505"/>
      <c r="FL122" s="505"/>
      <c r="FM122" s="505"/>
      <c r="FN122" s="505"/>
      <c r="FO122" s="505"/>
      <c r="FP122" s="505"/>
      <c r="FQ122" s="512">
        <f t="shared" si="273"/>
        <v>0</v>
      </c>
      <c r="FS122" s="504">
        <f t="shared" ca="1" si="274"/>
        <v>137870.5</v>
      </c>
    </row>
    <row r="123" spans="1:175">
      <c r="A123" s="216">
        <v>116</v>
      </c>
      <c r="B123" s="219" t="str">
        <f ca="1">INDEX(EAC[PA ID],MATCH($A123,EAC[Row],0))</f>
        <v>300.040.F1</v>
      </c>
      <c r="C123" s="218" t="str">
        <f ca="1">INDEX(EAC[Primary Category],MATCH($A123,EAC[Row],0))</f>
        <v>Construction</v>
      </c>
      <c r="D123" s="218" t="str">
        <f ca="1">INDEX(EAC[Secondary Category],MATCH($A123,EAC[Row],0))</f>
        <v>Other Contractor</v>
      </c>
      <c r="E123" s="109" t="str">
        <f ca="1">INDEX(EAC[Phase / Subproject],MATCH($A123,EAC[Row],0))</f>
        <v>--</v>
      </c>
      <c r="F123" s="109" t="str">
        <f ca="1">INDEX(EAC[Phase / Subproject 2],MATCH($A123,EAC[Row],0))</f>
        <v>--</v>
      </c>
      <c r="G123" s="109" t="str">
        <f ca="1">INDEX(EAC[Funding Source],MATCH($A123,EAC[Row],0))</f>
        <v>P-002360</v>
      </c>
      <c r="H123" s="146" t="str">
        <f ca="1">INDEX(EAC[Vendor / Org. with Contract ID],MATCH($A123,EAC[Row],0))</f>
        <v>Chandos -041280</v>
      </c>
      <c r="I123" s="502">
        <f ca="1">INDEX(EAC[Estimate At Completion],MATCH($A123,EAC[Row],0))</f>
        <v>205641.88</v>
      </c>
      <c r="J123" s="502">
        <f ca="1">SUMIFS(CostTrack[Value],CostTrack[Vendor - Contract],$H123,CostTrack[PA ID],$B123,CostTrack[Holdback (Y/N/R)],"&lt;&gt;Release",CostTrack[Status],"Approved")</f>
        <v>205641.88</v>
      </c>
      <c r="K123" s="503">
        <f t="shared" ref="K123" ca="1" si="282">IFERROR(I123-J123,"")</f>
        <v>0</v>
      </c>
      <c r="M123" s="504">
        <f t="shared" ca="1" si="264"/>
        <v>0</v>
      </c>
      <c r="O123" s="504">
        <f t="shared" ca="1" si="275"/>
        <v>205641.88</v>
      </c>
      <c r="P123" s="504">
        <f t="array" aca="1" ref="P123" ca="1">SUM($U123:$FQ123*_xlfn.ISFORMULA($U123:$FQ123)*ISNUMBER($U$7:$FQ$7)*--(INDEX($U$6:$FQ$6,N(IF({1},COLUMN($U$6:$FQ$6)-COLUMN($T$6)))-MOD(N(IF({1},COLUMN($U$6:$FQ$6)-COLUMN($U$6))),14))="Current Fiscal"))</f>
        <v>0</v>
      </c>
      <c r="Q123" s="504">
        <f t="array" aca="1" ref="Q123" ca="1">SUM($U123:$FQ123*NOT(_xlfn.ISFORMULA($U123:$FQ123))*ISNUMBER($U$7:$FQ$7)*--(INDEX($U$6:$FQ$6,N(IF({1},COLUMN($U$6:$FQ$6)-COLUMN($T$6)))-MOD(N(IF({1},COLUMN($U$6:$FQ$6)-COLUMN($U$6))),14))="Current Fiscal"))</f>
        <v>0</v>
      </c>
      <c r="R123" s="504">
        <f t="shared" ca="1" si="276"/>
        <v>0</v>
      </c>
      <c r="S123" s="504">
        <f t="shared" ca="1" si="277"/>
        <v>0</v>
      </c>
      <c r="U123" s="504">
        <f ca="1">SUMIFS(CostTrack[[Value]:[Value]],CostTrack[[PA ID]:[PA ID]],$B123,CostTrack[[Vendor - Contract]:[Vendor - Contract]],$H123,CostTrack[[Holdback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23" s="504">
        <f ca="1">SUMIFS(CostTrack[[Value]:[Value]],CostTrack[[PA ID]:[PA ID]],$B123,CostTrack[[Vendor - Contract]:[Vendor - Contract]],$H123,CostTrack[[Holdback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23" s="504">
        <f ca="1">SUMIFS(CostTrack[[Value]:[Value]],CostTrack[[PA ID]:[PA ID]],$B123,CostTrack[[Vendor - Contract]:[Vendor - Contract]],$H123,CostTrack[[Holdback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23" s="504">
        <f ca="1">SUMIFS(CostTrack[[Value]:[Value]],CostTrack[[PA ID]:[PA ID]],$B123,CostTrack[[Vendor - Contract]:[Vendor - Contract]],$H123,CostTrack[[Holdback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23" s="504">
        <f ca="1">SUMIFS(CostTrack[[Value]:[Value]],CostTrack[[PA ID]:[PA ID]],$B123,CostTrack[[Vendor - Contract]:[Vendor - Contract]],$H123,CostTrack[[Holdback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23" s="504">
        <f ca="1">SUMIFS(CostTrack[[Value]:[Value]],CostTrack[[PA ID]:[PA ID]],$B123,CostTrack[[Vendor - Contract]:[Vendor - Contract]],$H123,CostTrack[[Holdback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23" s="504">
        <f ca="1">SUMIFS(CostTrack[[Value]:[Value]],CostTrack[[PA ID]:[PA ID]],$B123,CostTrack[[Vendor - Contract]:[Vendor - Contract]],$H123,CostTrack[[Holdback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23" s="504">
        <f ca="1">SUMIFS(CostTrack[[Value]:[Value]],CostTrack[[PA ID]:[PA ID]],$B123,CostTrack[[Vendor - Contract]:[Vendor - Contract]],$H123,CostTrack[[Holdback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23" s="504">
        <f ca="1">SUMIFS(CostTrack[[Value]:[Value]],CostTrack[[PA ID]:[PA ID]],$B123,CostTrack[[Vendor - Contract]:[Vendor - Contract]],$H123,CostTrack[[Holdback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23" s="504">
        <f ca="1">SUMIFS(CostTrack[[Value]:[Value]],CostTrack[[PA ID]:[PA ID]],$B123,CostTrack[[Vendor - Contract]:[Vendor - Contract]],$H123,CostTrack[[Holdback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23" s="504">
        <f ca="1">SUMIFS(CostTrack[[Value]:[Value]],CostTrack[[PA ID]:[PA ID]],$B123,CostTrack[[Vendor - Contract]:[Vendor - Contract]],$H123,CostTrack[[Holdback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23" s="504">
        <f ca="1">SUMIFS(CostTrack[[Value]:[Value]],CostTrack[[PA ID]:[PA ID]],$B123,CostTrack[[Vendor - Contract]:[Vendor - Contract]],$H123,CostTrack[[Holdback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23" s="506">
        <f t="shared" ca="1" si="235"/>
        <v>0</v>
      </c>
      <c r="AI123" s="504">
        <f ca="1">SUMIFS(CostTrack[[Value]:[Value]],CostTrack[[PA ID]:[PA ID]],$B123,CostTrack[[Vendor - Contract]:[Vendor - Contract]],$H123,CostTrack[[Holdback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23" s="504">
        <f ca="1">SUMIFS(CostTrack[[Value]:[Value]],CostTrack[[PA ID]:[PA ID]],$B123,CostTrack[[Vendor - Contract]:[Vendor - Contract]],$H123,CostTrack[[Holdback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23" s="504">
        <f ca="1">SUMIFS(CostTrack[[Value]:[Value]],CostTrack[[PA ID]:[PA ID]],$B123,CostTrack[[Vendor - Contract]:[Vendor - Contract]],$H123,CostTrack[[Holdback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23" s="504">
        <f ca="1">SUMIFS(CostTrack[[Value]:[Value]],CostTrack[[PA ID]:[PA ID]],$B123,CostTrack[[Vendor - Contract]:[Vendor - Contract]],$H123,CostTrack[[Holdback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23" s="504">
        <f ca="1">SUMIFS(CostTrack[[Value]:[Value]],CostTrack[[PA ID]:[PA ID]],$B123,CostTrack[[Vendor - Contract]:[Vendor - Contract]],$H123,CostTrack[[Holdback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23" s="504">
        <f ca="1">SUMIFS(CostTrack[[Value]:[Value]],CostTrack[[PA ID]:[PA ID]],$B123,CostTrack[[Vendor - Contract]:[Vendor - Contract]],$H123,CostTrack[[Holdback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23" s="504">
        <f ca="1">SUMIFS(CostTrack[[Value]:[Value]],CostTrack[[PA ID]:[PA ID]],$B123,CostTrack[[Vendor - Contract]:[Vendor - Contract]],$H123,CostTrack[[Holdback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23" s="504">
        <f ca="1">SUMIFS(CostTrack[[Value]:[Value]],CostTrack[[PA ID]:[PA ID]],$B123,CostTrack[[Vendor - Contract]:[Vendor - Contract]],$H123,CostTrack[[Holdback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23" s="504">
        <f ca="1">SUMIFS(CostTrack[[Value]:[Value]],CostTrack[[PA ID]:[PA ID]],$B123,CostTrack[[Vendor - Contract]:[Vendor - Contract]],$H123,CostTrack[[Holdback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23" s="504">
        <f ca="1">SUMIFS(CostTrack[[Value]:[Value]],CostTrack[[PA ID]:[PA ID]],$B123,CostTrack[[Vendor - Contract]:[Vendor - Contract]],$H123,CostTrack[[Holdback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23" s="504">
        <f ca="1">SUMIFS(CostTrack[[Value]:[Value]],CostTrack[[PA ID]:[PA ID]],$B123,CostTrack[[Vendor - Contract]:[Vendor - Contract]],$H123,CostTrack[[Holdback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23" s="504">
        <f ca="1">SUMIFS(CostTrack[[Value]:[Value]],CostTrack[[PA ID]:[PA ID]],$B123,CostTrack[[Vendor - Contract]:[Vendor - Contract]],$H123,CostTrack[[Holdback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23" s="512">
        <f t="shared" ca="1" si="252"/>
        <v>0</v>
      </c>
      <c r="AW123" s="504">
        <f ca="1">SUMIFS(CostTrack[[Value]:[Value]],CostTrack[[PA ID]:[PA ID]],$B123,CostTrack[[Vendor - Contract]:[Vendor - Contract]],$H123,CostTrack[[Holdback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23" s="504">
        <f ca="1">SUMIFS(CostTrack[[Value]:[Value]],CostTrack[[PA ID]:[PA ID]],$B123,CostTrack[[Vendor - Contract]:[Vendor - Contract]],$H123,CostTrack[[Holdback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23" s="504">
        <f ca="1">SUMIFS(CostTrack[[Value]:[Value]],CostTrack[[PA ID]:[PA ID]],$B123,CostTrack[[Vendor - Contract]:[Vendor - Contract]],$H123,CostTrack[[Holdback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23" s="504">
        <f ca="1">SUMIFS(CostTrack[[Value]:[Value]],CostTrack[[PA ID]:[PA ID]],$B123,CostTrack[[Vendor - Contract]:[Vendor - Contract]],$H123,CostTrack[[Holdback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23" s="504">
        <f ca="1">SUMIFS(CostTrack[[Value]:[Value]],CostTrack[[PA ID]:[PA ID]],$B123,CostTrack[[Vendor - Contract]:[Vendor - Contract]],$H123,CostTrack[[Holdback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23" s="504">
        <f ca="1">SUMIFS(CostTrack[[Value]:[Value]],CostTrack[[PA ID]:[PA ID]],$B123,CostTrack[[Vendor - Contract]:[Vendor - Contract]],$H123,CostTrack[[Holdback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23" s="504">
        <f ca="1">SUMIFS(CostTrack[[Value]:[Value]],CostTrack[[PA ID]:[PA ID]],$B123,CostTrack[[Vendor - Contract]:[Vendor - Contract]],$H123,CostTrack[[Holdback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23" s="504">
        <f ca="1">SUMIFS(CostTrack[[Value]:[Value]],CostTrack[[PA ID]:[PA ID]],$B123,CostTrack[[Vendor - Contract]:[Vendor - Contract]],$H123,CostTrack[[Holdback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23" s="504">
        <f ca="1">SUMIFS(CostTrack[[Value]:[Value]],CostTrack[[PA ID]:[PA ID]],$B123,CostTrack[[Vendor - Contract]:[Vendor - Contract]],$H123,CostTrack[[Holdback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23" s="504">
        <f ca="1">SUMIFS(CostTrack[[Value]:[Value]],CostTrack[[PA ID]:[PA ID]],$B123,CostTrack[[Vendor - Contract]:[Vendor - Contract]],$H123,CostTrack[[Holdback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23" s="504">
        <f ca="1">SUMIFS(CostTrack[[Value]:[Value]],CostTrack[[PA ID]:[PA ID]],$B123,CostTrack[[Vendor - Contract]:[Vendor - Contract]],$H123,CostTrack[[Holdback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23" s="504">
        <f ca="1">SUMIFS(CostTrack[[Value]:[Value]],CostTrack[[PA ID]:[PA ID]],$B123,CostTrack[[Vendor - Contract]:[Vendor - Contract]],$H123,CostTrack[[Holdback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23" s="512">
        <f t="shared" ca="1" si="268"/>
        <v>0</v>
      </c>
      <c r="BK123" s="504">
        <f ca="1">SUMIFS(CostTrack[[Value]:[Value]],CostTrack[[PA ID]:[PA ID]],$B123,CostTrack[[Vendor - Contract]:[Vendor - Contract]],$H123,CostTrack[[Holdback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23" s="504">
        <f ca="1">SUMIFS(CostTrack[[Value]:[Value]],CostTrack[[PA ID]:[PA ID]],$B123,CostTrack[[Vendor - Contract]:[Vendor - Contract]],$H123,CostTrack[[Holdback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23" s="504">
        <f ca="1">SUMIFS(CostTrack[[Value]:[Value]],CostTrack[[PA ID]:[PA ID]],$B123,CostTrack[[Vendor - Contract]:[Vendor - Contract]],$H123,CostTrack[[Holdback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23" s="504">
        <f ca="1">SUMIFS(CostTrack[[Value]:[Value]],CostTrack[[PA ID]:[PA ID]],$B123,CostTrack[[Vendor - Contract]:[Vendor - Contract]],$H123,CostTrack[[Holdback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23" s="504">
        <f ca="1">SUMIFS(CostTrack[[Value]:[Value]],CostTrack[[PA ID]:[PA ID]],$B123,CostTrack[[Vendor - Contract]:[Vendor - Contract]],$H123,CostTrack[[Holdback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23" s="504">
        <f ca="1">SUMIFS(CostTrack[[Value]:[Value]],CostTrack[[PA ID]:[PA ID]],$B123,CostTrack[[Vendor - Contract]:[Vendor - Contract]],$H123,CostTrack[[Holdback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23" s="504">
        <f ca="1">SUMIFS(CostTrack[[Value]:[Value]],CostTrack[[PA ID]:[PA ID]],$B123,CostTrack[[Vendor - Contract]:[Vendor - Contract]],$H123,CostTrack[[Holdback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23" s="504">
        <f ca="1">SUMIFS(CostTrack[[Value]:[Value]],CostTrack[[PA ID]:[PA ID]],$B123,CostTrack[[Vendor - Contract]:[Vendor - Contract]],$H123,CostTrack[[Holdback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23" s="504">
        <f ca="1">SUMIFS(CostTrack[[Value]:[Value]],CostTrack[[PA ID]:[PA ID]],$B123,CostTrack[[Vendor - Contract]:[Vendor - Contract]],$H123,CostTrack[[Holdback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23" s="504">
        <f ca="1">SUMIFS(CostTrack[[Value]:[Value]],CostTrack[[PA ID]:[PA ID]],$B123,CostTrack[[Vendor - Contract]:[Vendor - Contract]],$H123,CostTrack[[Holdback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23" s="504">
        <f ca="1">SUMIFS(CostTrack[[Value]:[Value]],CostTrack[[PA ID]:[PA ID]],$B123,CostTrack[[Vendor - Contract]:[Vendor - Contract]],$H123,CostTrack[[Holdback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23" s="504">
        <f ca="1">SUMIFS(CostTrack[[Value]:[Value]],CostTrack[[PA ID]:[PA ID]],$B123,CostTrack[[Vendor - Contract]:[Vendor - Contract]],$H123,CostTrack[[Holdback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23" s="512">
        <f t="shared" ca="1" si="269"/>
        <v>0</v>
      </c>
      <c r="BY123" s="504">
        <f ca="1">SUMIFS(CostTrack[[Value]:[Value]],CostTrack[[PA ID]:[PA ID]],$B123,CostTrack[[Vendor - Contract]:[Vendor - Contract]],$H123,CostTrack[[Holdback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23" s="504">
        <f ca="1">SUMIFS(CostTrack[[Value]:[Value]],CostTrack[[PA ID]:[PA ID]],$B123,CostTrack[[Vendor - Contract]:[Vendor - Contract]],$H123,CostTrack[[Holdback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23" s="504">
        <f ca="1">SUMIFS(CostTrack[[Value]:[Value]],CostTrack[[PA ID]:[PA ID]],$B123,CostTrack[[Vendor - Contract]:[Vendor - Contract]],$H123,CostTrack[[Holdback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23" s="504">
        <f ca="1">SUMIFS(CostTrack[[Value]:[Value]],CostTrack[[PA ID]:[PA ID]],$B123,CostTrack[[Vendor - Contract]:[Vendor - Contract]],$H123,CostTrack[[Holdback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23" s="504">
        <f ca="1">SUMIFS(CostTrack[[Value]:[Value]],CostTrack[[PA ID]:[PA ID]],$B123,CostTrack[[Vendor - Contract]:[Vendor - Contract]],$H123,CostTrack[[Holdback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23" s="504">
        <f ca="1">SUMIFS(CostTrack[[Value]:[Value]],CostTrack[[PA ID]:[PA ID]],$B123,CostTrack[[Vendor - Contract]:[Vendor - Contract]],$H123,CostTrack[[Holdback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23" s="504">
        <f ca="1">SUMIFS(CostTrack[[Value]:[Value]],CostTrack[[PA ID]:[PA ID]],$B123,CostTrack[[Vendor - Contract]:[Vendor - Contract]],$H123,CostTrack[[Holdback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23" s="504">
        <f ca="1">SUMIFS(CostTrack[[Value]:[Value]],CostTrack[[PA ID]:[PA ID]],$B123,CostTrack[[Vendor - Contract]:[Vendor - Contract]],$H123,CostTrack[[Holdback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23" s="504">
        <f ca="1">SUMIFS(CostTrack[[Value]:[Value]],CostTrack[[PA ID]:[PA ID]],$B123,CostTrack[[Vendor - Contract]:[Vendor - Contract]],$H123,CostTrack[[Holdback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23" s="504">
        <f ca="1">SUMIFS(CostTrack[[Value]:[Value]],CostTrack[[PA ID]:[PA ID]],$B123,CostTrack[[Vendor - Contract]:[Vendor - Contract]],$H123,CostTrack[[Holdback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23" s="504">
        <f ca="1">SUMIFS(CostTrack[[Value]:[Value]],CostTrack[[PA ID]:[PA ID]],$B123,CostTrack[[Vendor - Contract]:[Vendor - Contract]],$H123,CostTrack[[Holdback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23" s="504">
        <f ca="1">SUMIFS(CostTrack[[Value]:[Value]],CostTrack[[PA ID]:[PA ID]],$B123,CostTrack[[Vendor - Contract]:[Vendor - Contract]],$H123,CostTrack[[Holdback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23" s="512">
        <f t="shared" ca="1" si="255"/>
        <v>0</v>
      </c>
      <c r="CM123" s="504">
        <f ca="1">SUMIFS(CostTrack[[Value]:[Value]],CostTrack[[PA ID]:[PA ID]],$B123,CostTrack[[Vendor - Contract]:[Vendor - Contract]],$H123,CostTrack[[Holdback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23" s="504">
        <f ca="1">SUMIFS(CostTrack[[Value]:[Value]],CostTrack[[PA ID]:[PA ID]],$B123,CostTrack[[Vendor - Contract]:[Vendor - Contract]],$H123,CostTrack[[Holdback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23" s="504">
        <f ca="1">SUMIFS(CostTrack[[Value]:[Value]],CostTrack[[PA ID]:[PA ID]],$B123,CostTrack[[Vendor - Contract]:[Vendor - Contract]],$H123,CostTrack[[Holdback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23" s="504">
        <f ca="1">SUMIFS(CostTrack[[Value]:[Value]],CostTrack[[PA ID]:[PA ID]],$B123,CostTrack[[Vendor - Contract]:[Vendor - Contract]],$H123,CostTrack[[Holdback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23" s="504">
        <f ca="1">SUMIFS(CostTrack[[Value]:[Value]],CostTrack[[PA ID]:[PA ID]],$B123,CostTrack[[Vendor - Contract]:[Vendor - Contract]],$H123,CostTrack[[Holdback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23" s="504">
        <f ca="1">SUMIFS(CostTrack[[Value]:[Value]],CostTrack[[PA ID]:[PA ID]],$B123,CostTrack[[Vendor - Contract]:[Vendor - Contract]],$H123,CostTrack[[Holdback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23" s="504">
        <f ca="1">SUMIFS(CostTrack[[Value]:[Value]],CostTrack[[PA ID]:[PA ID]],$B123,CostTrack[[Vendor - Contract]:[Vendor - Contract]],$H123,CostTrack[[Holdback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23" s="504">
        <f ca="1">SUMIFS(CostTrack[[Value]:[Value]],CostTrack[[PA ID]:[PA ID]],$B123,CostTrack[[Vendor - Contract]:[Vendor - Contract]],$H123,CostTrack[[Holdback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23" s="504">
        <f ca="1">SUMIFS(CostTrack[[Value]:[Value]],CostTrack[[PA ID]:[PA ID]],$B123,CostTrack[[Vendor - Contract]:[Vendor - Contract]],$H123,CostTrack[[Holdback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23" s="504">
        <f ca="1">SUMIFS(CostTrack[[Value]:[Value]],CostTrack[[PA ID]:[PA ID]],$B123,CostTrack[[Vendor - Contract]:[Vendor - Contract]],$H123,CostTrack[[Holdback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23" s="504">
        <f ca="1">SUMIFS(CostTrack[[Value]:[Value]],CostTrack[[PA ID]:[PA ID]],$B123,CostTrack[[Vendor - Contract]:[Vendor - Contract]],$H123,CostTrack[[Holdback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23" s="504">
        <f ca="1">SUMIFS(CostTrack[[Value]:[Value]],CostTrack[[PA ID]:[PA ID]],$B123,CostTrack[[Vendor - Contract]:[Vendor - Contract]],$H123,CostTrack[[Holdback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23" s="512">
        <f t="shared" ca="1" si="256"/>
        <v>0</v>
      </c>
      <c r="DA123" s="504">
        <f ca="1">SUMIFS(CostTrack[[Value]:[Value]],CostTrack[[PA ID]:[PA ID]],$B123,CostTrack[[Vendor - Contract]:[Vendor - Contract]],$H123,CostTrack[[Holdback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23" s="504">
        <f ca="1">SUMIFS(CostTrack[[Value]:[Value]],CostTrack[[PA ID]:[PA ID]],$B123,CostTrack[[Vendor - Contract]:[Vendor - Contract]],$H123,CostTrack[[Holdback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23" s="504">
        <f ca="1">SUMIFS(CostTrack[[Value]:[Value]],CostTrack[[PA ID]:[PA ID]],$B123,CostTrack[[Vendor - Contract]:[Vendor - Contract]],$H123,CostTrack[[Holdback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23" s="504">
        <f ca="1">SUMIFS(CostTrack[[Value]:[Value]],CostTrack[[PA ID]:[PA ID]],$B123,CostTrack[[Vendor - Contract]:[Vendor - Contract]],$H123,CostTrack[[Holdback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23" s="504">
        <f ca="1">SUMIFS(CostTrack[[Value]:[Value]],CostTrack[[PA ID]:[PA ID]],$B123,CostTrack[[Vendor - Contract]:[Vendor - Contract]],$H123,CostTrack[[Holdback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23" s="504">
        <f ca="1">SUMIFS(CostTrack[[Value]:[Value]],CostTrack[[PA ID]:[PA ID]],$B123,CostTrack[[Vendor - Contract]:[Vendor - Contract]],$H123,CostTrack[[Holdback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23" s="504">
        <f ca="1">SUMIFS(CostTrack[[Value]:[Value]],CostTrack[[PA ID]:[PA ID]],$B123,CostTrack[[Vendor - Contract]:[Vendor - Contract]],$H123,CostTrack[[Holdback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23" s="504">
        <f ca="1">SUMIFS(CostTrack[[Value]:[Value]],CostTrack[[PA ID]:[PA ID]],$B123,CostTrack[[Vendor - Contract]:[Vendor - Contract]],$H123,CostTrack[[Holdback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23" s="504">
        <f ca="1">SUMIFS(CostTrack[[Value]:[Value]],CostTrack[[PA ID]:[PA ID]],$B123,CostTrack[[Vendor - Contract]:[Vendor - Contract]],$H123,CostTrack[[Holdback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23" s="504">
        <f ca="1">SUMIFS(CostTrack[[Value]:[Value]],CostTrack[[PA ID]:[PA ID]],$B123,CostTrack[[Vendor - Contract]:[Vendor - Contract]],$H123,CostTrack[[Holdback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23" s="504">
        <f ca="1">SUMIFS(CostTrack[[Value]:[Value]],CostTrack[[PA ID]:[PA ID]],$B123,CostTrack[[Vendor - Contract]:[Vendor - Contract]],$H123,CostTrack[[Holdback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23" s="504">
        <f ca="1">SUMIFS(CostTrack[[Value]:[Value]],CostTrack[[PA ID]:[PA ID]],$B123,CostTrack[[Vendor - Contract]:[Vendor - Contract]],$H123,CostTrack[[Holdback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23" s="512">
        <f t="shared" ca="1" si="257"/>
        <v>0</v>
      </c>
      <c r="DO123" s="504">
        <f ca="1">SUMIFS(CostTrack[[Value]:[Value]],CostTrack[[PA ID]:[PA ID]],$B123,CostTrack[[Vendor - Contract]:[Vendor - Contract]],$H123,CostTrack[[Holdback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23" s="504">
        <f ca="1">SUMIFS(CostTrack[[Value]:[Value]],CostTrack[[PA ID]:[PA ID]],$B123,CostTrack[[Vendor - Contract]:[Vendor - Contract]],$H123,CostTrack[[Holdback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23" s="504">
        <f ca="1">SUMIFS(CostTrack[[Value]:[Value]],CostTrack[[PA ID]:[PA ID]],$B123,CostTrack[[Vendor - Contract]:[Vendor - Contract]],$H123,CostTrack[[Holdback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23" s="504">
        <f ca="1">SUMIFS(CostTrack[[Value]:[Value]],CostTrack[[PA ID]:[PA ID]],$B123,CostTrack[[Vendor - Contract]:[Vendor - Contract]],$H123,CostTrack[[Holdback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19887.23</v>
      </c>
      <c r="DS123" s="504">
        <f ca="1">SUMIFS(CostTrack[[Value]:[Value]],CostTrack[[PA ID]:[PA ID]],$B123,CostTrack[[Vendor - Contract]:[Vendor - Contract]],$H123,CostTrack[[Holdback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23" s="504">
        <f ca="1">SUMIFS(CostTrack[[Value]:[Value]],CostTrack[[PA ID]:[PA ID]],$B123,CostTrack[[Vendor - Contract]:[Vendor - Contract]],$H123,CostTrack[[Holdback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23" s="504">
        <f ca="1">SUMIFS(CostTrack[[Value]:[Value]],CostTrack[[PA ID]:[PA ID]],$B123,CostTrack[[Vendor - Contract]:[Vendor - Contract]],$H123,CostTrack[[Holdback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23" s="504">
        <f ca="1">SUMIFS(CostTrack[[Value]:[Value]],CostTrack[[PA ID]:[PA ID]],$B123,CostTrack[[Vendor - Contract]:[Vendor - Contract]],$H123,CostTrack[[Holdback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138963.25</v>
      </c>
      <c r="DW123" s="504">
        <f ca="1">SUMIFS(CostTrack[[Value]:[Value]],CostTrack[[PA ID]:[PA ID]],$B123,CostTrack[[Vendor - Contract]:[Vendor - Contract]],$H123,CostTrack[[Holdback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23" s="504">
        <f ca="1">SUMIFS(CostTrack[[Value]:[Value]],CostTrack[[PA ID]:[PA ID]],$B123,CostTrack[[Vendor - Contract]:[Vendor - Contract]],$H123,CostTrack[[Holdback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23" s="504">
        <f ca="1">SUMIFS(CostTrack[[Value]:[Value]],CostTrack[[PA ID]:[PA ID]],$B123,CostTrack[[Vendor - Contract]:[Vendor - Contract]],$H123,CostTrack[[Holdback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23" s="504">
        <f ca="1">SUMIFS(CostTrack[[Value]:[Value]],CostTrack[[PA ID]:[PA ID]],$B123,CostTrack[[Vendor - Contract]:[Vendor - Contract]],$H123,CostTrack[[Holdback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46791.4</v>
      </c>
      <c r="EA123" s="512">
        <f t="shared" ca="1" si="270"/>
        <v>205641.88</v>
      </c>
      <c r="EC123" s="504">
        <f ca="1">SUMIFS(CostTrack[[Value]:[Value]],CostTrack[[PA ID]:[PA ID]],$B123,CostTrack[[Vendor - Contract]:[Vendor - Contract]],$H123,CostTrack[[Holdback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23" s="505"/>
      <c r="EE123" s="505"/>
      <c r="EF123" s="505"/>
      <c r="EG123" s="505"/>
      <c r="EH123" s="505"/>
      <c r="EI123" s="505"/>
      <c r="EJ123" s="505"/>
      <c r="EK123" s="505"/>
      <c r="EL123" s="505"/>
      <c r="EM123" s="505"/>
      <c r="EN123" s="505"/>
      <c r="EO123" s="512">
        <f t="shared" ca="1" si="271"/>
        <v>0</v>
      </c>
      <c r="EQ123" s="505"/>
      <c r="ER123" s="505"/>
      <c r="ES123" s="505"/>
      <c r="ET123" s="505"/>
      <c r="EU123" s="505"/>
      <c r="EV123" s="505"/>
      <c r="EW123" s="505"/>
      <c r="EX123" s="505"/>
      <c r="EY123" s="505"/>
      <c r="EZ123" s="505"/>
      <c r="FA123" s="505"/>
      <c r="FB123" s="505"/>
      <c r="FC123" s="512">
        <f t="shared" si="272"/>
        <v>0</v>
      </c>
      <c r="FE123" s="505"/>
      <c r="FF123" s="505"/>
      <c r="FG123" s="505"/>
      <c r="FH123" s="505"/>
      <c r="FI123" s="505"/>
      <c r="FJ123" s="505"/>
      <c r="FK123" s="505"/>
      <c r="FL123" s="505"/>
      <c r="FM123" s="505"/>
      <c r="FN123" s="505"/>
      <c r="FO123" s="505"/>
      <c r="FP123" s="505"/>
      <c r="FQ123" s="512">
        <f t="shared" si="273"/>
        <v>0</v>
      </c>
      <c r="FS123" s="504">
        <f t="shared" ca="1" si="274"/>
        <v>205641.88</v>
      </c>
    </row>
    <row r="124" spans="1:175">
      <c r="A124" s="216">
        <v>117</v>
      </c>
      <c r="B124" s="219" t="str">
        <f ca="1">INDEX(EAC[PA ID],MATCH($A124,EAC[Row],0))</f>
        <v>300.020.F1</v>
      </c>
      <c r="C124" s="218" t="str">
        <f ca="1">INDEX(EAC[Primary Category],MATCH($A124,EAC[Row],0))</f>
        <v>Construction</v>
      </c>
      <c r="D124" s="218" t="str">
        <f ca="1">INDEX(EAC[Secondary Category],MATCH($A124,EAC[Row],0))</f>
        <v>Utilities</v>
      </c>
      <c r="E124" s="109" t="str">
        <f ca="1">INDEX(EAC[Phase / Subproject],MATCH($A124,EAC[Row],0))</f>
        <v>--</v>
      </c>
      <c r="F124" s="109" t="str">
        <f ca="1">INDEX(EAC[Phase / Subproject 2],MATCH($A124,EAC[Row],0))</f>
        <v>--</v>
      </c>
      <c r="G124" s="109" t="str">
        <f ca="1">INDEX(EAC[Funding Source],MATCH($A124,EAC[Row],0))</f>
        <v>P-002360</v>
      </c>
      <c r="H124" s="146" t="str">
        <f ca="1">INDEX(EAC[Vendor / Org. with Contract ID],MATCH($A124,EAC[Row],0))</f>
        <v>Telus- Voip Phones-288PA-20046</v>
      </c>
      <c r="I124" s="502">
        <f ca="1">INDEX(EAC[Estimate At Completion],MATCH($A124,EAC[Row],0))</f>
        <v>8612.08</v>
      </c>
      <c r="J124" s="502">
        <f ca="1">SUMIFS(CostTrack[Value],CostTrack[Vendor - Contract],$H124,CostTrack[PA ID],$B124,CostTrack[Holdback (Y/N/R)],"&lt;&gt;Release",CostTrack[Status],"Approved")</f>
        <v>8612.08</v>
      </c>
      <c r="K124" s="503">
        <f t="shared" ref="K124:K139" ca="1" si="283">IFERROR(I124-J124,"")</f>
        <v>0</v>
      </c>
      <c r="M124" s="504">
        <f t="shared" ca="1" si="264"/>
        <v>0</v>
      </c>
      <c r="O124" s="504">
        <f t="shared" ca="1" si="275"/>
        <v>8612.08</v>
      </c>
      <c r="P124" s="504">
        <f t="array" aca="1" ref="P124" ca="1">SUM($U124:$FQ124*_xlfn.ISFORMULA($U124:$FQ124)*ISNUMBER($U$7:$FQ$7)*--(INDEX($U$6:$FQ$6,N(IF({1},COLUMN($U$6:$FQ$6)-COLUMN($T$6)))-MOD(N(IF({1},COLUMN($U$6:$FQ$6)-COLUMN($U$6))),14))="Current Fiscal"))</f>
        <v>0</v>
      </c>
      <c r="Q124" s="504">
        <f t="array" aca="1" ref="Q124" ca="1">SUM($U124:$FQ124*NOT(_xlfn.ISFORMULA($U124:$FQ124))*ISNUMBER($U$7:$FQ$7)*--(INDEX($U$6:$FQ$6,N(IF({1},COLUMN($U$6:$FQ$6)-COLUMN($T$6)))-MOD(N(IF({1},COLUMN($U$6:$FQ$6)-COLUMN($U$6))),14))="Current Fiscal"))</f>
        <v>0</v>
      </c>
      <c r="R124" s="504">
        <f t="shared" ca="1" si="276"/>
        <v>0</v>
      </c>
      <c r="S124" s="504">
        <f t="shared" ca="1" si="277"/>
        <v>0</v>
      </c>
      <c r="U124" s="504">
        <f ca="1">SUMIFS(CostTrack[[Value]:[Value]],CostTrack[[PA ID]:[PA ID]],$B124,CostTrack[[Vendor - Contract]:[Vendor - Contract]],$H124,CostTrack[[Holdback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24" s="504">
        <f ca="1">SUMIFS(CostTrack[[Value]:[Value]],CostTrack[[PA ID]:[PA ID]],$B124,CostTrack[[Vendor - Contract]:[Vendor - Contract]],$H124,CostTrack[[Holdback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24" s="504">
        <f ca="1">SUMIFS(CostTrack[[Value]:[Value]],CostTrack[[PA ID]:[PA ID]],$B124,CostTrack[[Vendor - Contract]:[Vendor - Contract]],$H124,CostTrack[[Holdback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24" s="504">
        <f ca="1">SUMIFS(CostTrack[[Value]:[Value]],CostTrack[[PA ID]:[PA ID]],$B124,CostTrack[[Vendor - Contract]:[Vendor - Contract]],$H124,CostTrack[[Holdback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24" s="504">
        <f ca="1">SUMIFS(CostTrack[[Value]:[Value]],CostTrack[[PA ID]:[PA ID]],$B124,CostTrack[[Vendor - Contract]:[Vendor - Contract]],$H124,CostTrack[[Holdback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24" s="504">
        <f ca="1">SUMIFS(CostTrack[[Value]:[Value]],CostTrack[[PA ID]:[PA ID]],$B124,CostTrack[[Vendor - Contract]:[Vendor - Contract]],$H124,CostTrack[[Holdback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24" s="504">
        <f ca="1">SUMIFS(CostTrack[[Value]:[Value]],CostTrack[[PA ID]:[PA ID]],$B124,CostTrack[[Vendor - Contract]:[Vendor - Contract]],$H124,CostTrack[[Holdback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24" s="504">
        <f ca="1">SUMIFS(CostTrack[[Value]:[Value]],CostTrack[[PA ID]:[PA ID]],$B124,CostTrack[[Vendor - Contract]:[Vendor - Contract]],$H124,CostTrack[[Holdback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24" s="504">
        <f ca="1">SUMIFS(CostTrack[[Value]:[Value]],CostTrack[[PA ID]:[PA ID]],$B124,CostTrack[[Vendor - Contract]:[Vendor - Contract]],$H124,CostTrack[[Holdback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24" s="504">
        <f ca="1">SUMIFS(CostTrack[[Value]:[Value]],CostTrack[[PA ID]:[PA ID]],$B124,CostTrack[[Vendor - Contract]:[Vendor - Contract]],$H124,CostTrack[[Holdback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24" s="504">
        <f ca="1">SUMIFS(CostTrack[[Value]:[Value]],CostTrack[[PA ID]:[PA ID]],$B124,CostTrack[[Vendor - Contract]:[Vendor - Contract]],$H124,CostTrack[[Holdback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24" s="504">
        <f ca="1">SUMIFS(CostTrack[[Value]:[Value]],CostTrack[[PA ID]:[PA ID]],$B124,CostTrack[[Vendor - Contract]:[Vendor - Contract]],$H124,CostTrack[[Holdback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24" s="506">
        <f t="shared" ca="1" si="235"/>
        <v>0</v>
      </c>
      <c r="AI124" s="504">
        <f ca="1">SUMIFS(CostTrack[[Value]:[Value]],CostTrack[[PA ID]:[PA ID]],$B124,CostTrack[[Vendor - Contract]:[Vendor - Contract]],$H124,CostTrack[[Holdback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24" s="504">
        <f ca="1">SUMIFS(CostTrack[[Value]:[Value]],CostTrack[[PA ID]:[PA ID]],$B124,CostTrack[[Vendor - Contract]:[Vendor - Contract]],$H124,CostTrack[[Holdback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24" s="504">
        <f ca="1">SUMIFS(CostTrack[[Value]:[Value]],CostTrack[[PA ID]:[PA ID]],$B124,CostTrack[[Vendor - Contract]:[Vendor - Contract]],$H124,CostTrack[[Holdback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24" s="504">
        <f ca="1">SUMIFS(CostTrack[[Value]:[Value]],CostTrack[[PA ID]:[PA ID]],$B124,CostTrack[[Vendor - Contract]:[Vendor - Contract]],$H124,CostTrack[[Holdback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24" s="504">
        <f ca="1">SUMIFS(CostTrack[[Value]:[Value]],CostTrack[[PA ID]:[PA ID]],$B124,CostTrack[[Vendor - Contract]:[Vendor - Contract]],$H124,CostTrack[[Holdback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24" s="504">
        <f ca="1">SUMIFS(CostTrack[[Value]:[Value]],CostTrack[[PA ID]:[PA ID]],$B124,CostTrack[[Vendor - Contract]:[Vendor - Contract]],$H124,CostTrack[[Holdback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24" s="504">
        <f ca="1">SUMIFS(CostTrack[[Value]:[Value]],CostTrack[[PA ID]:[PA ID]],$B124,CostTrack[[Vendor - Contract]:[Vendor - Contract]],$H124,CostTrack[[Holdback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24" s="504">
        <f ca="1">SUMIFS(CostTrack[[Value]:[Value]],CostTrack[[PA ID]:[PA ID]],$B124,CostTrack[[Vendor - Contract]:[Vendor - Contract]],$H124,CostTrack[[Holdback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24" s="504">
        <f ca="1">SUMIFS(CostTrack[[Value]:[Value]],CostTrack[[PA ID]:[PA ID]],$B124,CostTrack[[Vendor - Contract]:[Vendor - Contract]],$H124,CostTrack[[Holdback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24" s="504">
        <f ca="1">SUMIFS(CostTrack[[Value]:[Value]],CostTrack[[PA ID]:[PA ID]],$B124,CostTrack[[Vendor - Contract]:[Vendor - Contract]],$H124,CostTrack[[Holdback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24" s="504">
        <f ca="1">SUMIFS(CostTrack[[Value]:[Value]],CostTrack[[PA ID]:[PA ID]],$B124,CostTrack[[Vendor - Contract]:[Vendor - Contract]],$H124,CostTrack[[Holdback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24" s="504">
        <f ca="1">SUMIFS(CostTrack[[Value]:[Value]],CostTrack[[PA ID]:[PA ID]],$B124,CostTrack[[Vendor - Contract]:[Vendor - Contract]],$H124,CostTrack[[Holdback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24" s="512">
        <f t="shared" ca="1" si="252"/>
        <v>0</v>
      </c>
      <c r="AW124" s="504">
        <f ca="1">SUMIFS(CostTrack[[Value]:[Value]],CostTrack[[PA ID]:[PA ID]],$B124,CostTrack[[Vendor - Contract]:[Vendor - Contract]],$H124,CostTrack[[Holdback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24" s="504">
        <f ca="1">SUMIFS(CostTrack[[Value]:[Value]],CostTrack[[PA ID]:[PA ID]],$B124,CostTrack[[Vendor - Contract]:[Vendor - Contract]],$H124,CostTrack[[Holdback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24" s="504">
        <f ca="1">SUMIFS(CostTrack[[Value]:[Value]],CostTrack[[PA ID]:[PA ID]],$B124,CostTrack[[Vendor - Contract]:[Vendor - Contract]],$H124,CostTrack[[Holdback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24" s="504">
        <f ca="1">SUMIFS(CostTrack[[Value]:[Value]],CostTrack[[PA ID]:[PA ID]],$B124,CostTrack[[Vendor - Contract]:[Vendor - Contract]],$H124,CostTrack[[Holdback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24" s="504">
        <f ca="1">SUMIFS(CostTrack[[Value]:[Value]],CostTrack[[PA ID]:[PA ID]],$B124,CostTrack[[Vendor - Contract]:[Vendor - Contract]],$H124,CostTrack[[Holdback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24" s="504">
        <f ca="1">SUMIFS(CostTrack[[Value]:[Value]],CostTrack[[PA ID]:[PA ID]],$B124,CostTrack[[Vendor - Contract]:[Vendor - Contract]],$H124,CostTrack[[Holdback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24" s="504">
        <f ca="1">SUMIFS(CostTrack[[Value]:[Value]],CostTrack[[PA ID]:[PA ID]],$B124,CostTrack[[Vendor - Contract]:[Vendor - Contract]],$H124,CostTrack[[Holdback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24" s="504">
        <f ca="1">SUMIFS(CostTrack[[Value]:[Value]],CostTrack[[PA ID]:[PA ID]],$B124,CostTrack[[Vendor - Contract]:[Vendor - Contract]],$H124,CostTrack[[Holdback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24" s="504">
        <f ca="1">SUMIFS(CostTrack[[Value]:[Value]],CostTrack[[PA ID]:[PA ID]],$B124,CostTrack[[Vendor - Contract]:[Vendor - Contract]],$H124,CostTrack[[Holdback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24" s="504">
        <f ca="1">SUMIFS(CostTrack[[Value]:[Value]],CostTrack[[PA ID]:[PA ID]],$B124,CostTrack[[Vendor - Contract]:[Vendor - Contract]],$H124,CostTrack[[Holdback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24" s="504">
        <f ca="1">SUMIFS(CostTrack[[Value]:[Value]],CostTrack[[PA ID]:[PA ID]],$B124,CostTrack[[Vendor - Contract]:[Vendor - Contract]],$H124,CostTrack[[Holdback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24" s="504">
        <f ca="1">SUMIFS(CostTrack[[Value]:[Value]],CostTrack[[PA ID]:[PA ID]],$B124,CostTrack[[Vendor - Contract]:[Vendor - Contract]],$H124,CostTrack[[Holdback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24" s="512">
        <f t="shared" ca="1" si="268"/>
        <v>0</v>
      </c>
      <c r="BK124" s="504">
        <f ca="1">SUMIFS(CostTrack[[Value]:[Value]],CostTrack[[PA ID]:[PA ID]],$B124,CostTrack[[Vendor - Contract]:[Vendor - Contract]],$H124,CostTrack[[Holdback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24" s="504">
        <f ca="1">SUMIFS(CostTrack[[Value]:[Value]],CostTrack[[PA ID]:[PA ID]],$B124,CostTrack[[Vendor - Contract]:[Vendor - Contract]],$H124,CostTrack[[Holdback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24" s="504">
        <f ca="1">SUMIFS(CostTrack[[Value]:[Value]],CostTrack[[PA ID]:[PA ID]],$B124,CostTrack[[Vendor - Contract]:[Vendor - Contract]],$H124,CostTrack[[Holdback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24" s="504">
        <f ca="1">SUMIFS(CostTrack[[Value]:[Value]],CostTrack[[PA ID]:[PA ID]],$B124,CostTrack[[Vendor - Contract]:[Vendor - Contract]],$H124,CostTrack[[Holdback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24" s="504">
        <f ca="1">SUMIFS(CostTrack[[Value]:[Value]],CostTrack[[PA ID]:[PA ID]],$B124,CostTrack[[Vendor - Contract]:[Vendor - Contract]],$H124,CostTrack[[Holdback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24" s="504">
        <f ca="1">SUMIFS(CostTrack[[Value]:[Value]],CostTrack[[PA ID]:[PA ID]],$B124,CostTrack[[Vendor - Contract]:[Vendor - Contract]],$H124,CostTrack[[Holdback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24" s="504">
        <f ca="1">SUMIFS(CostTrack[[Value]:[Value]],CostTrack[[PA ID]:[PA ID]],$B124,CostTrack[[Vendor - Contract]:[Vendor - Contract]],$H124,CostTrack[[Holdback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24" s="504">
        <f ca="1">SUMIFS(CostTrack[[Value]:[Value]],CostTrack[[PA ID]:[PA ID]],$B124,CostTrack[[Vendor - Contract]:[Vendor - Contract]],$H124,CostTrack[[Holdback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24" s="504">
        <f ca="1">SUMIFS(CostTrack[[Value]:[Value]],CostTrack[[PA ID]:[PA ID]],$B124,CostTrack[[Vendor - Contract]:[Vendor - Contract]],$H124,CostTrack[[Holdback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24" s="504">
        <f ca="1">SUMIFS(CostTrack[[Value]:[Value]],CostTrack[[PA ID]:[PA ID]],$B124,CostTrack[[Vendor - Contract]:[Vendor - Contract]],$H124,CostTrack[[Holdback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24" s="504">
        <f ca="1">SUMIFS(CostTrack[[Value]:[Value]],CostTrack[[PA ID]:[PA ID]],$B124,CostTrack[[Vendor - Contract]:[Vendor - Contract]],$H124,CostTrack[[Holdback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24" s="504">
        <f ca="1">SUMIFS(CostTrack[[Value]:[Value]],CostTrack[[PA ID]:[PA ID]],$B124,CostTrack[[Vendor - Contract]:[Vendor - Contract]],$H124,CostTrack[[Holdback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24" s="512">
        <f t="shared" ca="1" si="269"/>
        <v>0</v>
      </c>
      <c r="BY124" s="504">
        <f ca="1">SUMIFS(CostTrack[[Value]:[Value]],CostTrack[[PA ID]:[PA ID]],$B124,CostTrack[[Vendor - Contract]:[Vendor - Contract]],$H124,CostTrack[[Holdback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24" s="504">
        <f ca="1">SUMIFS(CostTrack[[Value]:[Value]],CostTrack[[PA ID]:[PA ID]],$B124,CostTrack[[Vendor - Contract]:[Vendor - Contract]],$H124,CostTrack[[Holdback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24" s="504">
        <f ca="1">SUMIFS(CostTrack[[Value]:[Value]],CostTrack[[PA ID]:[PA ID]],$B124,CostTrack[[Vendor - Contract]:[Vendor - Contract]],$H124,CostTrack[[Holdback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24" s="504">
        <f ca="1">SUMIFS(CostTrack[[Value]:[Value]],CostTrack[[PA ID]:[PA ID]],$B124,CostTrack[[Vendor - Contract]:[Vendor - Contract]],$H124,CostTrack[[Holdback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24" s="504">
        <f ca="1">SUMIFS(CostTrack[[Value]:[Value]],CostTrack[[PA ID]:[PA ID]],$B124,CostTrack[[Vendor - Contract]:[Vendor - Contract]],$H124,CostTrack[[Holdback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24" s="504">
        <f ca="1">SUMIFS(CostTrack[[Value]:[Value]],CostTrack[[PA ID]:[PA ID]],$B124,CostTrack[[Vendor - Contract]:[Vendor - Contract]],$H124,CostTrack[[Holdback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24" s="504">
        <f ca="1">SUMIFS(CostTrack[[Value]:[Value]],CostTrack[[PA ID]:[PA ID]],$B124,CostTrack[[Vendor - Contract]:[Vendor - Contract]],$H124,CostTrack[[Holdback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24" s="504">
        <f ca="1">SUMIFS(CostTrack[[Value]:[Value]],CostTrack[[PA ID]:[PA ID]],$B124,CostTrack[[Vendor - Contract]:[Vendor - Contract]],$H124,CostTrack[[Holdback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24" s="504">
        <f ca="1">SUMIFS(CostTrack[[Value]:[Value]],CostTrack[[PA ID]:[PA ID]],$B124,CostTrack[[Vendor - Contract]:[Vendor - Contract]],$H124,CostTrack[[Holdback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24" s="504">
        <f ca="1">SUMIFS(CostTrack[[Value]:[Value]],CostTrack[[PA ID]:[PA ID]],$B124,CostTrack[[Vendor - Contract]:[Vendor - Contract]],$H124,CostTrack[[Holdback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24" s="504">
        <f ca="1">SUMIFS(CostTrack[[Value]:[Value]],CostTrack[[PA ID]:[PA ID]],$B124,CostTrack[[Vendor - Contract]:[Vendor - Contract]],$H124,CostTrack[[Holdback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24" s="504">
        <f ca="1">SUMIFS(CostTrack[[Value]:[Value]],CostTrack[[PA ID]:[PA ID]],$B124,CostTrack[[Vendor - Contract]:[Vendor - Contract]],$H124,CostTrack[[Holdback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24" s="512">
        <f t="shared" ca="1" si="255"/>
        <v>0</v>
      </c>
      <c r="CM124" s="504">
        <f ca="1">SUMIFS(CostTrack[[Value]:[Value]],CostTrack[[PA ID]:[PA ID]],$B124,CostTrack[[Vendor - Contract]:[Vendor - Contract]],$H124,CostTrack[[Holdback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24" s="504">
        <f ca="1">SUMIFS(CostTrack[[Value]:[Value]],CostTrack[[PA ID]:[PA ID]],$B124,CostTrack[[Vendor - Contract]:[Vendor - Contract]],$H124,CostTrack[[Holdback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24" s="504">
        <f ca="1">SUMIFS(CostTrack[[Value]:[Value]],CostTrack[[PA ID]:[PA ID]],$B124,CostTrack[[Vendor - Contract]:[Vendor - Contract]],$H124,CostTrack[[Holdback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24" s="504">
        <f ca="1">SUMIFS(CostTrack[[Value]:[Value]],CostTrack[[PA ID]:[PA ID]],$B124,CostTrack[[Vendor - Contract]:[Vendor - Contract]],$H124,CostTrack[[Holdback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24" s="504">
        <f ca="1">SUMIFS(CostTrack[[Value]:[Value]],CostTrack[[PA ID]:[PA ID]],$B124,CostTrack[[Vendor - Contract]:[Vendor - Contract]],$H124,CostTrack[[Holdback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24" s="504">
        <f ca="1">SUMIFS(CostTrack[[Value]:[Value]],CostTrack[[PA ID]:[PA ID]],$B124,CostTrack[[Vendor - Contract]:[Vendor - Contract]],$H124,CostTrack[[Holdback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24" s="504">
        <f ca="1">SUMIFS(CostTrack[[Value]:[Value]],CostTrack[[PA ID]:[PA ID]],$B124,CostTrack[[Vendor - Contract]:[Vendor - Contract]],$H124,CostTrack[[Holdback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24" s="504">
        <f ca="1">SUMIFS(CostTrack[[Value]:[Value]],CostTrack[[PA ID]:[PA ID]],$B124,CostTrack[[Vendor - Contract]:[Vendor - Contract]],$H124,CostTrack[[Holdback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24" s="504">
        <f ca="1">SUMIFS(CostTrack[[Value]:[Value]],CostTrack[[PA ID]:[PA ID]],$B124,CostTrack[[Vendor - Contract]:[Vendor - Contract]],$H124,CostTrack[[Holdback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24" s="504">
        <f ca="1">SUMIFS(CostTrack[[Value]:[Value]],CostTrack[[PA ID]:[PA ID]],$B124,CostTrack[[Vendor - Contract]:[Vendor - Contract]],$H124,CostTrack[[Holdback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24" s="504">
        <f ca="1">SUMIFS(CostTrack[[Value]:[Value]],CostTrack[[PA ID]:[PA ID]],$B124,CostTrack[[Vendor - Contract]:[Vendor - Contract]],$H124,CostTrack[[Holdback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24" s="504">
        <f ca="1">SUMIFS(CostTrack[[Value]:[Value]],CostTrack[[PA ID]:[PA ID]],$B124,CostTrack[[Vendor - Contract]:[Vendor - Contract]],$H124,CostTrack[[Holdback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24" s="512">
        <f t="shared" ca="1" si="256"/>
        <v>0</v>
      </c>
      <c r="DA124" s="504">
        <f ca="1">SUMIFS(CostTrack[[Value]:[Value]],CostTrack[[PA ID]:[PA ID]],$B124,CostTrack[[Vendor - Contract]:[Vendor - Contract]],$H124,CostTrack[[Holdback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24" s="504">
        <f ca="1">SUMIFS(CostTrack[[Value]:[Value]],CostTrack[[PA ID]:[PA ID]],$B124,CostTrack[[Vendor - Contract]:[Vendor - Contract]],$H124,CostTrack[[Holdback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24" s="504">
        <f ca="1">SUMIFS(CostTrack[[Value]:[Value]],CostTrack[[PA ID]:[PA ID]],$B124,CostTrack[[Vendor - Contract]:[Vendor - Contract]],$H124,CostTrack[[Holdback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24" s="504">
        <f ca="1">SUMIFS(CostTrack[[Value]:[Value]],CostTrack[[PA ID]:[PA ID]],$B124,CostTrack[[Vendor - Contract]:[Vendor - Contract]],$H124,CostTrack[[Holdback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24" s="504">
        <f ca="1">SUMIFS(CostTrack[[Value]:[Value]],CostTrack[[PA ID]:[PA ID]],$B124,CostTrack[[Vendor - Contract]:[Vendor - Contract]],$H124,CostTrack[[Holdback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24" s="504">
        <f ca="1">SUMIFS(CostTrack[[Value]:[Value]],CostTrack[[PA ID]:[PA ID]],$B124,CostTrack[[Vendor - Contract]:[Vendor - Contract]],$H124,CostTrack[[Holdback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24" s="504">
        <f ca="1">SUMIFS(CostTrack[[Value]:[Value]],CostTrack[[PA ID]:[PA ID]],$B124,CostTrack[[Vendor - Contract]:[Vendor - Contract]],$H124,CostTrack[[Holdback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24" s="504">
        <f ca="1">SUMIFS(CostTrack[[Value]:[Value]],CostTrack[[PA ID]:[PA ID]],$B124,CostTrack[[Vendor - Contract]:[Vendor - Contract]],$H124,CostTrack[[Holdback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24" s="504">
        <f ca="1">SUMIFS(CostTrack[[Value]:[Value]],CostTrack[[PA ID]:[PA ID]],$B124,CostTrack[[Vendor - Contract]:[Vendor - Contract]],$H124,CostTrack[[Holdback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24" s="504">
        <f ca="1">SUMIFS(CostTrack[[Value]:[Value]],CostTrack[[PA ID]:[PA ID]],$B124,CostTrack[[Vendor - Contract]:[Vendor - Contract]],$H124,CostTrack[[Holdback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24" s="504">
        <f ca="1">SUMIFS(CostTrack[[Value]:[Value]],CostTrack[[PA ID]:[PA ID]],$B124,CostTrack[[Vendor - Contract]:[Vendor - Contract]],$H124,CostTrack[[Holdback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24" s="504">
        <f ca="1">SUMIFS(CostTrack[[Value]:[Value]],CostTrack[[PA ID]:[PA ID]],$B124,CostTrack[[Vendor - Contract]:[Vendor - Contract]],$H124,CostTrack[[Holdback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24" s="512">
        <f t="shared" ca="1" si="257"/>
        <v>0</v>
      </c>
      <c r="DO124" s="504">
        <f ca="1">SUMIFS(CostTrack[[Value]:[Value]],CostTrack[[PA ID]:[PA ID]],$B124,CostTrack[[Vendor - Contract]:[Vendor - Contract]],$H124,CostTrack[[Holdback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24" s="504">
        <f ca="1">SUMIFS(CostTrack[[Value]:[Value]],CostTrack[[PA ID]:[PA ID]],$B124,CostTrack[[Vendor - Contract]:[Vendor - Contract]],$H124,CostTrack[[Holdback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24" s="504">
        <f ca="1">SUMIFS(CostTrack[[Value]:[Value]],CostTrack[[PA ID]:[PA ID]],$B124,CostTrack[[Vendor - Contract]:[Vendor - Contract]],$H124,CostTrack[[Holdback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24" s="504">
        <f ca="1">SUMIFS(CostTrack[[Value]:[Value]],CostTrack[[PA ID]:[PA ID]],$B124,CostTrack[[Vendor - Contract]:[Vendor - Contract]],$H124,CostTrack[[Holdback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24" s="504">
        <f ca="1">SUMIFS(CostTrack[[Value]:[Value]],CostTrack[[PA ID]:[PA ID]],$B124,CostTrack[[Vendor - Contract]:[Vendor - Contract]],$H124,CostTrack[[Holdback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24" s="504">
        <f ca="1">SUMIFS(CostTrack[[Value]:[Value]],CostTrack[[PA ID]:[PA ID]],$B124,CostTrack[[Vendor - Contract]:[Vendor - Contract]],$H124,CostTrack[[Holdback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24" s="504">
        <f ca="1">SUMIFS(CostTrack[[Value]:[Value]],CostTrack[[PA ID]:[PA ID]],$B124,CostTrack[[Vendor - Contract]:[Vendor - Contract]],$H124,CostTrack[[Holdback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24" s="504">
        <f ca="1">SUMIFS(CostTrack[[Value]:[Value]],CostTrack[[PA ID]:[PA ID]],$B124,CostTrack[[Vendor - Contract]:[Vendor - Contract]],$H124,CostTrack[[Holdback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24" s="504">
        <f ca="1">SUMIFS(CostTrack[[Value]:[Value]],CostTrack[[PA ID]:[PA ID]],$B124,CostTrack[[Vendor - Contract]:[Vendor - Contract]],$H124,CostTrack[[Holdback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24" s="504">
        <f ca="1">SUMIFS(CostTrack[[Value]:[Value]],CostTrack[[PA ID]:[PA ID]],$B124,CostTrack[[Vendor - Contract]:[Vendor - Contract]],$H124,CostTrack[[Holdback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24" s="504">
        <f ca="1">SUMIFS(CostTrack[[Value]:[Value]],CostTrack[[PA ID]:[PA ID]],$B124,CostTrack[[Vendor - Contract]:[Vendor - Contract]],$H124,CostTrack[[Holdback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24" s="504">
        <f ca="1">SUMIFS(CostTrack[[Value]:[Value]],CostTrack[[PA ID]:[PA ID]],$B124,CostTrack[[Vendor - Contract]:[Vendor - Contract]],$H124,CostTrack[[Holdback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8612.08</v>
      </c>
      <c r="EA124" s="512">
        <f t="shared" ca="1" si="270"/>
        <v>8612.08</v>
      </c>
      <c r="EC124" s="504">
        <f ca="1">SUMIFS(CostTrack[[Value]:[Value]],CostTrack[[PA ID]:[PA ID]],$B124,CostTrack[[Vendor - Contract]:[Vendor - Contract]],$H124,CostTrack[[Holdback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24" s="505"/>
      <c r="EE124" s="505"/>
      <c r="EF124" s="505"/>
      <c r="EG124" s="505"/>
      <c r="EH124" s="505"/>
      <c r="EI124" s="505"/>
      <c r="EJ124" s="505"/>
      <c r="EK124" s="505"/>
      <c r="EL124" s="505"/>
      <c r="EM124" s="505"/>
      <c r="EN124" s="505"/>
      <c r="EO124" s="512">
        <f t="shared" ca="1" si="271"/>
        <v>0</v>
      </c>
      <c r="EQ124" s="505"/>
      <c r="ER124" s="505"/>
      <c r="ES124" s="505"/>
      <c r="ET124" s="505"/>
      <c r="EU124" s="505"/>
      <c r="EV124" s="505"/>
      <c r="EW124" s="505"/>
      <c r="EX124" s="505"/>
      <c r="EY124" s="505"/>
      <c r="EZ124" s="505"/>
      <c r="FA124" s="505"/>
      <c r="FB124" s="505"/>
      <c r="FC124" s="512">
        <f t="shared" si="272"/>
        <v>0</v>
      </c>
      <c r="FE124" s="505"/>
      <c r="FF124" s="505"/>
      <c r="FG124" s="505"/>
      <c r="FH124" s="505"/>
      <c r="FI124" s="505"/>
      <c r="FJ124" s="505"/>
      <c r="FK124" s="505"/>
      <c r="FL124" s="505"/>
      <c r="FM124" s="505"/>
      <c r="FN124" s="505"/>
      <c r="FO124" s="505"/>
      <c r="FP124" s="505"/>
      <c r="FQ124" s="512">
        <f t="shared" si="273"/>
        <v>0</v>
      </c>
      <c r="FS124" s="504">
        <f t="shared" ca="1" si="274"/>
        <v>8612.08</v>
      </c>
    </row>
    <row r="125" spans="1:175">
      <c r="A125" s="216">
        <v>118</v>
      </c>
      <c r="B125" s="219" t="str">
        <f ca="1">INDEX(EAC[PA ID],MATCH($A125,EAC[Row],0))</f>
        <v>200.060.F1</v>
      </c>
      <c r="C125" s="218" t="str">
        <f ca="1">INDEX(EAC[Primary Category],MATCH($A125,EAC[Row],0))</f>
        <v>Professional Services</v>
      </c>
      <c r="D125" s="218" t="str">
        <f ca="1">INDEX(EAC[Secondary Category],MATCH($A125,EAC[Row],0))</f>
        <v>Contingency - Professional</v>
      </c>
      <c r="E125" s="109" t="str">
        <f ca="1">INDEX(EAC[Phase / Subproject],MATCH($A125,EAC[Row],0))</f>
        <v>--</v>
      </c>
      <c r="F125" s="109" t="str">
        <f ca="1">INDEX(EAC[Phase / Subproject 2],MATCH($A125,EAC[Row],0))</f>
        <v>--</v>
      </c>
      <c r="G125" s="109" t="str">
        <f ca="1">INDEX(EAC[Funding Source],MATCH($A125,EAC[Row],0))</f>
        <v>P-002360</v>
      </c>
      <c r="H125" s="146" t="str">
        <f ca="1">INDEX(EAC[Vendor / Org. with Contract ID],MATCH($A125,EAC[Row],0))</f>
        <v>Future / Not Awarded</v>
      </c>
      <c r="I125" s="502">
        <f ca="1">INDEX(EAC[Estimate At Completion],MATCH($A125,EAC[Row],0))</f>
        <v>2700000</v>
      </c>
      <c r="J125" s="502">
        <f ca="1">SUMIFS(CostTrack[Value],CostTrack[Vendor - Contract],$H125,CostTrack[PA ID],$B125,CostTrack[Holdback (Y/N/R)],"&lt;&gt;Release",CostTrack[Status],"Approved")</f>
        <v>0</v>
      </c>
      <c r="K125" s="503">
        <f t="shared" ca="1" si="283"/>
        <v>2700000</v>
      </c>
      <c r="M125" s="504">
        <f t="shared" ca="1" si="264"/>
        <v>0</v>
      </c>
      <c r="O125" s="504">
        <f t="shared" ca="1" si="275"/>
        <v>0</v>
      </c>
      <c r="P125" s="504">
        <f t="array" aca="1" ref="P125" ca="1">SUM($U125:$FQ125*_xlfn.ISFORMULA($U125:$FQ125)*ISNUMBER($U$7:$FQ$7)*--(INDEX($U$6:$FQ$6,N(IF({1},COLUMN($U$6:$FQ$6)-COLUMN($T$6)))-MOD(N(IF({1},COLUMN($U$6:$FQ$6)-COLUMN($U$6))),14))="Current Fiscal"))</f>
        <v>0</v>
      </c>
      <c r="Q125" s="504">
        <f t="array" aca="1" ref="Q125" ca="1">SUM($U125:$FQ125*NOT(_xlfn.ISFORMULA($U125:$FQ125))*ISNUMBER($U$7:$FQ$7)*--(INDEX($U$6:$FQ$6,N(IF({1},COLUMN($U$6:$FQ$6)-COLUMN($T$6)))-MOD(N(IF({1},COLUMN($U$6:$FQ$6)-COLUMN($U$6))),14))="Current Fiscal"))</f>
        <v>0</v>
      </c>
      <c r="R125" s="504">
        <f t="shared" ca="1" si="276"/>
        <v>0</v>
      </c>
      <c r="S125" s="504">
        <f t="shared" ca="1" si="277"/>
        <v>2700000</v>
      </c>
      <c r="U125" s="504">
        <f ca="1">SUMIFS(CostTrack[[Value]:[Value]],CostTrack[[PA ID]:[PA ID]],$B125,CostTrack[[Vendor - Contract]:[Vendor - Contract]],$H125,CostTrack[[Holdback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25" s="504">
        <f ca="1">SUMIFS(CostTrack[[Value]:[Value]],CostTrack[[PA ID]:[PA ID]],$B125,CostTrack[[Vendor - Contract]:[Vendor - Contract]],$H125,CostTrack[[Holdback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25" s="504">
        <f ca="1">SUMIFS(CostTrack[[Value]:[Value]],CostTrack[[PA ID]:[PA ID]],$B125,CostTrack[[Vendor - Contract]:[Vendor - Contract]],$H125,CostTrack[[Holdback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25" s="504">
        <f ca="1">SUMIFS(CostTrack[[Value]:[Value]],CostTrack[[PA ID]:[PA ID]],$B125,CostTrack[[Vendor - Contract]:[Vendor - Contract]],$H125,CostTrack[[Holdback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25" s="504">
        <f ca="1">SUMIFS(CostTrack[[Value]:[Value]],CostTrack[[PA ID]:[PA ID]],$B125,CostTrack[[Vendor - Contract]:[Vendor - Contract]],$H125,CostTrack[[Holdback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25" s="504">
        <f ca="1">SUMIFS(CostTrack[[Value]:[Value]],CostTrack[[PA ID]:[PA ID]],$B125,CostTrack[[Vendor - Contract]:[Vendor - Contract]],$H125,CostTrack[[Holdback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25" s="504">
        <f ca="1">SUMIFS(CostTrack[[Value]:[Value]],CostTrack[[PA ID]:[PA ID]],$B125,CostTrack[[Vendor - Contract]:[Vendor - Contract]],$H125,CostTrack[[Holdback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25" s="504">
        <f ca="1">SUMIFS(CostTrack[[Value]:[Value]],CostTrack[[PA ID]:[PA ID]],$B125,CostTrack[[Vendor - Contract]:[Vendor - Contract]],$H125,CostTrack[[Holdback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25" s="504">
        <f ca="1">SUMIFS(CostTrack[[Value]:[Value]],CostTrack[[PA ID]:[PA ID]],$B125,CostTrack[[Vendor - Contract]:[Vendor - Contract]],$H125,CostTrack[[Holdback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25" s="504">
        <f ca="1">SUMIFS(CostTrack[[Value]:[Value]],CostTrack[[PA ID]:[PA ID]],$B125,CostTrack[[Vendor - Contract]:[Vendor - Contract]],$H125,CostTrack[[Holdback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25" s="504">
        <f ca="1">SUMIFS(CostTrack[[Value]:[Value]],CostTrack[[PA ID]:[PA ID]],$B125,CostTrack[[Vendor - Contract]:[Vendor - Contract]],$H125,CostTrack[[Holdback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25" s="504">
        <f ca="1">SUMIFS(CostTrack[[Value]:[Value]],CostTrack[[PA ID]:[PA ID]],$B125,CostTrack[[Vendor - Contract]:[Vendor - Contract]],$H125,CostTrack[[Holdback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25" s="506">
        <f t="shared" ca="1" si="235"/>
        <v>0</v>
      </c>
      <c r="AI125" s="504">
        <f ca="1">SUMIFS(CostTrack[[Value]:[Value]],CostTrack[[PA ID]:[PA ID]],$B125,CostTrack[[Vendor - Contract]:[Vendor - Contract]],$H125,CostTrack[[Holdback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25" s="504">
        <f ca="1">SUMIFS(CostTrack[[Value]:[Value]],CostTrack[[PA ID]:[PA ID]],$B125,CostTrack[[Vendor - Contract]:[Vendor - Contract]],$H125,CostTrack[[Holdback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25" s="504">
        <f ca="1">SUMIFS(CostTrack[[Value]:[Value]],CostTrack[[PA ID]:[PA ID]],$B125,CostTrack[[Vendor - Contract]:[Vendor - Contract]],$H125,CostTrack[[Holdback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25" s="504">
        <f ca="1">SUMIFS(CostTrack[[Value]:[Value]],CostTrack[[PA ID]:[PA ID]],$B125,CostTrack[[Vendor - Contract]:[Vendor - Contract]],$H125,CostTrack[[Holdback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25" s="504">
        <f ca="1">SUMIFS(CostTrack[[Value]:[Value]],CostTrack[[PA ID]:[PA ID]],$B125,CostTrack[[Vendor - Contract]:[Vendor - Contract]],$H125,CostTrack[[Holdback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25" s="504">
        <f ca="1">SUMIFS(CostTrack[[Value]:[Value]],CostTrack[[PA ID]:[PA ID]],$B125,CostTrack[[Vendor - Contract]:[Vendor - Contract]],$H125,CostTrack[[Holdback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25" s="504">
        <f ca="1">SUMIFS(CostTrack[[Value]:[Value]],CostTrack[[PA ID]:[PA ID]],$B125,CostTrack[[Vendor - Contract]:[Vendor - Contract]],$H125,CostTrack[[Holdback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25" s="504">
        <f ca="1">SUMIFS(CostTrack[[Value]:[Value]],CostTrack[[PA ID]:[PA ID]],$B125,CostTrack[[Vendor - Contract]:[Vendor - Contract]],$H125,CostTrack[[Holdback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25" s="504">
        <f ca="1">SUMIFS(CostTrack[[Value]:[Value]],CostTrack[[PA ID]:[PA ID]],$B125,CostTrack[[Vendor - Contract]:[Vendor - Contract]],$H125,CostTrack[[Holdback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25" s="504">
        <f ca="1">SUMIFS(CostTrack[[Value]:[Value]],CostTrack[[PA ID]:[PA ID]],$B125,CostTrack[[Vendor - Contract]:[Vendor - Contract]],$H125,CostTrack[[Holdback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25" s="504">
        <f ca="1">SUMIFS(CostTrack[[Value]:[Value]],CostTrack[[PA ID]:[PA ID]],$B125,CostTrack[[Vendor - Contract]:[Vendor - Contract]],$H125,CostTrack[[Holdback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25" s="504">
        <f ca="1">SUMIFS(CostTrack[[Value]:[Value]],CostTrack[[PA ID]:[PA ID]],$B125,CostTrack[[Vendor - Contract]:[Vendor - Contract]],$H125,CostTrack[[Holdback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25" s="512">
        <f t="shared" ca="1" si="252"/>
        <v>0</v>
      </c>
      <c r="AW125" s="504">
        <f ca="1">SUMIFS(CostTrack[[Value]:[Value]],CostTrack[[PA ID]:[PA ID]],$B125,CostTrack[[Vendor - Contract]:[Vendor - Contract]],$H125,CostTrack[[Holdback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25" s="504">
        <f ca="1">SUMIFS(CostTrack[[Value]:[Value]],CostTrack[[PA ID]:[PA ID]],$B125,CostTrack[[Vendor - Contract]:[Vendor - Contract]],$H125,CostTrack[[Holdback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25" s="504">
        <f ca="1">SUMIFS(CostTrack[[Value]:[Value]],CostTrack[[PA ID]:[PA ID]],$B125,CostTrack[[Vendor - Contract]:[Vendor - Contract]],$H125,CostTrack[[Holdback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25" s="504">
        <f ca="1">SUMIFS(CostTrack[[Value]:[Value]],CostTrack[[PA ID]:[PA ID]],$B125,CostTrack[[Vendor - Contract]:[Vendor - Contract]],$H125,CostTrack[[Holdback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25" s="504">
        <f ca="1">SUMIFS(CostTrack[[Value]:[Value]],CostTrack[[PA ID]:[PA ID]],$B125,CostTrack[[Vendor - Contract]:[Vendor - Contract]],$H125,CostTrack[[Holdback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25" s="504">
        <f ca="1">SUMIFS(CostTrack[[Value]:[Value]],CostTrack[[PA ID]:[PA ID]],$B125,CostTrack[[Vendor - Contract]:[Vendor - Contract]],$H125,CostTrack[[Holdback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25" s="504">
        <f ca="1">SUMIFS(CostTrack[[Value]:[Value]],CostTrack[[PA ID]:[PA ID]],$B125,CostTrack[[Vendor - Contract]:[Vendor - Contract]],$H125,CostTrack[[Holdback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25" s="504">
        <f ca="1">SUMIFS(CostTrack[[Value]:[Value]],CostTrack[[PA ID]:[PA ID]],$B125,CostTrack[[Vendor - Contract]:[Vendor - Contract]],$H125,CostTrack[[Holdback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25" s="504">
        <f ca="1">SUMIFS(CostTrack[[Value]:[Value]],CostTrack[[PA ID]:[PA ID]],$B125,CostTrack[[Vendor - Contract]:[Vendor - Contract]],$H125,CostTrack[[Holdback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25" s="504">
        <f ca="1">SUMIFS(CostTrack[[Value]:[Value]],CostTrack[[PA ID]:[PA ID]],$B125,CostTrack[[Vendor - Contract]:[Vendor - Contract]],$H125,CostTrack[[Holdback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25" s="504">
        <f ca="1">SUMIFS(CostTrack[[Value]:[Value]],CostTrack[[PA ID]:[PA ID]],$B125,CostTrack[[Vendor - Contract]:[Vendor - Contract]],$H125,CostTrack[[Holdback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25" s="504">
        <f ca="1">SUMIFS(CostTrack[[Value]:[Value]],CostTrack[[PA ID]:[PA ID]],$B125,CostTrack[[Vendor - Contract]:[Vendor - Contract]],$H125,CostTrack[[Holdback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25" s="512">
        <f t="shared" ca="1" si="268"/>
        <v>0</v>
      </c>
      <c r="BK125" s="504">
        <f ca="1">SUMIFS(CostTrack[[Value]:[Value]],CostTrack[[PA ID]:[PA ID]],$B125,CostTrack[[Vendor - Contract]:[Vendor - Contract]],$H125,CostTrack[[Holdback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25" s="504">
        <f ca="1">SUMIFS(CostTrack[[Value]:[Value]],CostTrack[[PA ID]:[PA ID]],$B125,CostTrack[[Vendor - Contract]:[Vendor - Contract]],$H125,CostTrack[[Holdback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25" s="504">
        <f ca="1">SUMIFS(CostTrack[[Value]:[Value]],CostTrack[[PA ID]:[PA ID]],$B125,CostTrack[[Vendor - Contract]:[Vendor - Contract]],$H125,CostTrack[[Holdback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25" s="504">
        <f ca="1">SUMIFS(CostTrack[[Value]:[Value]],CostTrack[[PA ID]:[PA ID]],$B125,CostTrack[[Vendor - Contract]:[Vendor - Contract]],$H125,CostTrack[[Holdback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25" s="504">
        <f ca="1">SUMIFS(CostTrack[[Value]:[Value]],CostTrack[[PA ID]:[PA ID]],$B125,CostTrack[[Vendor - Contract]:[Vendor - Contract]],$H125,CostTrack[[Holdback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25" s="504">
        <f ca="1">SUMIFS(CostTrack[[Value]:[Value]],CostTrack[[PA ID]:[PA ID]],$B125,CostTrack[[Vendor - Contract]:[Vendor - Contract]],$H125,CostTrack[[Holdback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25" s="504">
        <f ca="1">SUMIFS(CostTrack[[Value]:[Value]],CostTrack[[PA ID]:[PA ID]],$B125,CostTrack[[Vendor - Contract]:[Vendor - Contract]],$H125,CostTrack[[Holdback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25" s="504">
        <f ca="1">SUMIFS(CostTrack[[Value]:[Value]],CostTrack[[PA ID]:[PA ID]],$B125,CostTrack[[Vendor - Contract]:[Vendor - Contract]],$H125,CostTrack[[Holdback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25" s="504">
        <f ca="1">SUMIFS(CostTrack[[Value]:[Value]],CostTrack[[PA ID]:[PA ID]],$B125,CostTrack[[Vendor - Contract]:[Vendor - Contract]],$H125,CostTrack[[Holdback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25" s="504">
        <f ca="1">SUMIFS(CostTrack[[Value]:[Value]],CostTrack[[PA ID]:[PA ID]],$B125,CostTrack[[Vendor - Contract]:[Vendor - Contract]],$H125,CostTrack[[Holdback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25" s="504">
        <f ca="1">SUMIFS(CostTrack[[Value]:[Value]],CostTrack[[PA ID]:[PA ID]],$B125,CostTrack[[Vendor - Contract]:[Vendor - Contract]],$H125,CostTrack[[Holdback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25" s="504">
        <f ca="1">SUMIFS(CostTrack[[Value]:[Value]],CostTrack[[PA ID]:[PA ID]],$B125,CostTrack[[Vendor - Contract]:[Vendor - Contract]],$H125,CostTrack[[Holdback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25" s="512">
        <f t="shared" ca="1" si="269"/>
        <v>0</v>
      </c>
      <c r="BY125" s="504">
        <f ca="1">SUMIFS(CostTrack[[Value]:[Value]],CostTrack[[PA ID]:[PA ID]],$B125,CostTrack[[Vendor - Contract]:[Vendor - Contract]],$H125,CostTrack[[Holdback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25" s="504">
        <f ca="1">SUMIFS(CostTrack[[Value]:[Value]],CostTrack[[PA ID]:[PA ID]],$B125,CostTrack[[Vendor - Contract]:[Vendor - Contract]],$H125,CostTrack[[Holdback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25" s="504">
        <f ca="1">SUMIFS(CostTrack[[Value]:[Value]],CostTrack[[PA ID]:[PA ID]],$B125,CostTrack[[Vendor - Contract]:[Vendor - Contract]],$H125,CostTrack[[Holdback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25" s="504">
        <f ca="1">SUMIFS(CostTrack[[Value]:[Value]],CostTrack[[PA ID]:[PA ID]],$B125,CostTrack[[Vendor - Contract]:[Vendor - Contract]],$H125,CostTrack[[Holdback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25" s="504">
        <f ca="1">SUMIFS(CostTrack[[Value]:[Value]],CostTrack[[PA ID]:[PA ID]],$B125,CostTrack[[Vendor - Contract]:[Vendor - Contract]],$H125,CostTrack[[Holdback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25" s="504">
        <f ca="1">SUMIFS(CostTrack[[Value]:[Value]],CostTrack[[PA ID]:[PA ID]],$B125,CostTrack[[Vendor - Contract]:[Vendor - Contract]],$H125,CostTrack[[Holdback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25" s="504">
        <f ca="1">SUMIFS(CostTrack[[Value]:[Value]],CostTrack[[PA ID]:[PA ID]],$B125,CostTrack[[Vendor - Contract]:[Vendor - Contract]],$H125,CostTrack[[Holdback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25" s="504">
        <f ca="1">SUMIFS(CostTrack[[Value]:[Value]],CostTrack[[PA ID]:[PA ID]],$B125,CostTrack[[Vendor - Contract]:[Vendor - Contract]],$H125,CostTrack[[Holdback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25" s="504">
        <f ca="1">SUMIFS(CostTrack[[Value]:[Value]],CostTrack[[PA ID]:[PA ID]],$B125,CostTrack[[Vendor - Contract]:[Vendor - Contract]],$H125,CostTrack[[Holdback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25" s="504">
        <f ca="1">SUMIFS(CostTrack[[Value]:[Value]],CostTrack[[PA ID]:[PA ID]],$B125,CostTrack[[Vendor - Contract]:[Vendor - Contract]],$H125,CostTrack[[Holdback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25" s="504">
        <f ca="1">SUMIFS(CostTrack[[Value]:[Value]],CostTrack[[PA ID]:[PA ID]],$B125,CostTrack[[Vendor - Contract]:[Vendor - Contract]],$H125,CostTrack[[Holdback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25" s="504">
        <f ca="1">SUMIFS(CostTrack[[Value]:[Value]],CostTrack[[PA ID]:[PA ID]],$B125,CostTrack[[Vendor - Contract]:[Vendor - Contract]],$H125,CostTrack[[Holdback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25" s="512">
        <f t="shared" ca="1" si="255"/>
        <v>0</v>
      </c>
      <c r="CM125" s="504">
        <f ca="1">SUMIFS(CostTrack[[Value]:[Value]],CostTrack[[PA ID]:[PA ID]],$B125,CostTrack[[Vendor - Contract]:[Vendor - Contract]],$H125,CostTrack[[Holdback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25" s="504">
        <f ca="1">SUMIFS(CostTrack[[Value]:[Value]],CostTrack[[PA ID]:[PA ID]],$B125,CostTrack[[Vendor - Contract]:[Vendor - Contract]],$H125,CostTrack[[Holdback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25" s="504">
        <f ca="1">SUMIFS(CostTrack[[Value]:[Value]],CostTrack[[PA ID]:[PA ID]],$B125,CostTrack[[Vendor - Contract]:[Vendor - Contract]],$H125,CostTrack[[Holdback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25" s="504">
        <f ca="1">SUMIFS(CostTrack[[Value]:[Value]],CostTrack[[PA ID]:[PA ID]],$B125,CostTrack[[Vendor - Contract]:[Vendor - Contract]],$H125,CostTrack[[Holdback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25" s="504">
        <f ca="1">SUMIFS(CostTrack[[Value]:[Value]],CostTrack[[PA ID]:[PA ID]],$B125,CostTrack[[Vendor - Contract]:[Vendor - Contract]],$H125,CostTrack[[Holdback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25" s="504">
        <f ca="1">SUMIFS(CostTrack[[Value]:[Value]],CostTrack[[PA ID]:[PA ID]],$B125,CostTrack[[Vendor - Contract]:[Vendor - Contract]],$H125,CostTrack[[Holdback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25" s="504">
        <f ca="1">SUMIFS(CostTrack[[Value]:[Value]],CostTrack[[PA ID]:[PA ID]],$B125,CostTrack[[Vendor - Contract]:[Vendor - Contract]],$H125,CostTrack[[Holdback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25" s="504">
        <f ca="1">SUMIFS(CostTrack[[Value]:[Value]],CostTrack[[PA ID]:[PA ID]],$B125,CostTrack[[Vendor - Contract]:[Vendor - Contract]],$H125,CostTrack[[Holdback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25" s="504">
        <f ca="1">SUMIFS(CostTrack[[Value]:[Value]],CostTrack[[PA ID]:[PA ID]],$B125,CostTrack[[Vendor - Contract]:[Vendor - Contract]],$H125,CostTrack[[Holdback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25" s="504">
        <f ca="1">SUMIFS(CostTrack[[Value]:[Value]],CostTrack[[PA ID]:[PA ID]],$B125,CostTrack[[Vendor - Contract]:[Vendor - Contract]],$H125,CostTrack[[Holdback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25" s="504">
        <f ca="1">SUMIFS(CostTrack[[Value]:[Value]],CostTrack[[PA ID]:[PA ID]],$B125,CostTrack[[Vendor - Contract]:[Vendor - Contract]],$H125,CostTrack[[Holdback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25" s="504">
        <f ca="1">SUMIFS(CostTrack[[Value]:[Value]],CostTrack[[PA ID]:[PA ID]],$B125,CostTrack[[Vendor - Contract]:[Vendor - Contract]],$H125,CostTrack[[Holdback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25" s="512">
        <f t="shared" ca="1" si="256"/>
        <v>0</v>
      </c>
      <c r="DA125" s="504">
        <f ca="1">SUMIFS(CostTrack[[Value]:[Value]],CostTrack[[PA ID]:[PA ID]],$B125,CostTrack[[Vendor - Contract]:[Vendor - Contract]],$H125,CostTrack[[Holdback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25" s="504">
        <f ca="1">SUMIFS(CostTrack[[Value]:[Value]],CostTrack[[PA ID]:[PA ID]],$B125,CostTrack[[Vendor - Contract]:[Vendor - Contract]],$H125,CostTrack[[Holdback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25" s="504">
        <f ca="1">SUMIFS(CostTrack[[Value]:[Value]],CostTrack[[PA ID]:[PA ID]],$B125,CostTrack[[Vendor - Contract]:[Vendor - Contract]],$H125,CostTrack[[Holdback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25" s="504">
        <f ca="1">SUMIFS(CostTrack[[Value]:[Value]],CostTrack[[PA ID]:[PA ID]],$B125,CostTrack[[Vendor - Contract]:[Vendor - Contract]],$H125,CostTrack[[Holdback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25" s="504">
        <f ca="1">SUMIFS(CostTrack[[Value]:[Value]],CostTrack[[PA ID]:[PA ID]],$B125,CostTrack[[Vendor - Contract]:[Vendor - Contract]],$H125,CostTrack[[Holdback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25" s="504">
        <f ca="1">SUMIFS(CostTrack[[Value]:[Value]],CostTrack[[PA ID]:[PA ID]],$B125,CostTrack[[Vendor - Contract]:[Vendor - Contract]],$H125,CostTrack[[Holdback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25" s="504">
        <f ca="1">SUMIFS(CostTrack[[Value]:[Value]],CostTrack[[PA ID]:[PA ID]],$B125,CostTrack[[Vendor - Contract]:[Vendor - Contract]],$H125,CostTrack[[Holdback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25" s="504">
        <f ca="1">SUMIFS(CostTrack[[Value]:[Value]],CostTrack[[PA ID]:[PA ID]],$B125,CostTrack[[Vendor - Contract]:[Vendor - Contract]],$H125,CostTrack[[Holdback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25" s="504">
        <f ca="1">SUMIFS(CostTrack[[Value]:[Value]],CostTrack[[PA ID]:[PA ID]],$B125,CostTrack[[Vendor - Contract]:[Vendor - Contract]],$H125,CostTrack[[Holdback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25" s="504">
        <f ca="1">SUMIFS(CostTrack[[Value]:[Value]],CostTrack[[PA ID]:[PA ID]],$B125,CostTrack[[Vendor - Contract]:[Vendor - Contract]],$H125,CostTrack[[Holdback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25" s="504">
        <f ca="1">SUMIFS(CostTrack[[Value]:[Value]],CostTrack[[PA ID]:[PA ID]],$B125,CostTrack[[Vendor - Contract]:[Vendor - Contract]],$H125,CostTrack[[Holdback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25" s="504">
        <f ca="1">SUMIFS(CostTrack[[Value]:[Value]],CostTrack[[PA ID]:[PA ID]],$B125,CostTrack[[Vendor - Contract]:[Vendor - Contract]],$H125,CostTrack[[Holdback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25" s="512">
        <f t="shared" ca="1" si="257"/>
        <v>0</v>
      </c>
      <c r="DO125" s="504">
        <f ca="1">SUMIFS(CostTrack[[Value]:[Value]],CostTrack[[PA ID]:[PA ID]],$B125,CostTrack[[Vendor - Contract]:[Vendor - Contract]],$H125,CostTrack[[Holdback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25" s="504">
        <f ca="1">SUMIFS(CostTrack[[Value]:[Value]],CostTrack[[PA ID]:[PA ID]],$B125,CostTrack[[Vendor - Contract]:[Vendor - Contract]],$H125,CostTrack[[Holdback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25" s="504">
        <f ca="1">SUMIFS(CostTrack[[Value]:[Value]],CostTrack[[PA ID]:[PA ID]],$B125,CostTrack[[Vendor - Contract]:[Vendor - Contract]],$H125,CostTrack[[Holdback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25" s="504">
        <f ca="1">SUMIFS(CostTrack[[Value]:[Value]],CostTrack[[PA ID]:[PA ID]],$B125,CostTrack[[Vendor - Contract]:[Vendor - Contract]],$H125,CostTrack[[Holdback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25" s="504">
        <f ca="1">SUMIFS(CostTrack[[Value]:[Value]],CostTrack[[PA ID]:[PA ID]],$B125,CostTrack[[Vendor - Contract]:[Vendor - Contract]],$H125,CostTrack[[Holdback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25" s="504">
        <f ca="1">SUMIFS(CostTrack[[Value]:[Value]],CostTrack[[PA ID]:[PA ID]],$B125,CostTrack[[Vendor - Contract]:[Vendor - Contract]],$H125,CostTrack[[Holdback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25" s="504">
        <f ca="1">SUMIFS(CostTrack[[Value]:[Value]],CostTrack[[PA ID]:[PA ID]],$B125,CostTrack[[Vendor - Contract]:[Vendor - Contract]],$H125,CostTrack[[Holdback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25" s="504">
        <f ca="1">SUMIFS(CostTrack[[Value]:[Value]],CostTrack[[PA ID]:[PA ID]],$B125,CostTrack[[Vendor - Contract]:[Vendor - Contract]],$H125,CostTrack[[Holdback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25" s="504">
        <f ca="1">SUMIFS(CostTrack[[Value]:[Value]],CostTrack[[PA ID]:[PA ID]],$B125,CostTrack[[Vendor - Contract]:[Vendor - Contract]],$H125,CostTrack[[Holdback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25" s="504">
        <f ca="1">SUMIFS(CostTrack[[Value]:[Value]],CostTrack[[PA ID]:[PA ID]],$B125,CostTrack[[Vendor - Contract]:[Vendor - Contract]],$H125,CostTrack[[Holdback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25" s="504">
        <f ca="1">SUMIFS(CostTrack[[Value]:[Value]],CostTrack[[PA ID]:[PA ID]],$B125,CostTrack[[Vendor - Contract]:[Vendor - Contract]],$H125,CostTrack[[Holdback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25" s="504">
        <f ca="1">SUMIFS(CostTrack[[Value]:[Value]],CostTrack[[PA ID]:[PA ID]],$B125,CostTrack[[Vendor - Contract]:[Vendor - Contract]],$H125,CostTrack[[Holdback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25" s="512">
        <f ca="1">SUM(DO125:DZ125)</f>
        <v>0</v>
      </c>
      <c r="EC125" s="504">
        <f ca="1">SUMIFS(CostTrack[[Value]:[Value]],CostTrack[[PA ID]:[PA ID]],$B125,CostTrack[[Vendor - Contract]:[Vendor - Contract]],$H125,CostTrack[[Holdback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25" s="505"/>
      <c r="EE125" s="505"/>
      <c r="EF125" s="505"/>
      <c r="EG125" s="505"/>
      <c r="EH125" s="505"/>
      <c r="EI125" s="505"/>
      <c r="EJ125" s="505"/>
      <c r="EK125" s="505"/>
      <c r="EL125" s="505"/>
      <c r="EM125" s="505"/>
      <c r="EN125" s="505"/>
      <c r="EO125" s="512">
        <f ca="1">SUM(EC125:EN125)</f>
        <v>0</v>
      </c>
      <c r="EQ125" s="505"/>
      <c r="ER125" s="505">
        <v>2700000</v>
      </c>
      <c r="ES125" s="505"/>
      <c r="ET125" s="505"/>
      <c r="EU125" s="505"/>
      <c r="EV125" s="505"/>
      <c r="EW125" s="505"/>
      <c r="EX125" s="505"/>
      <c r="EY125" s="505"/>
      <c r="EZ125" s="505"/>
      <c r="FA125" s="505"/>
      <c r="FB125" s="505"/>
      <c r="FC125" s="512">
        <f t="shared" si="272"/>
        <v>2700000</v>
      </c>
      <c r="FE125" s="505"/>
      <c r="FF125" s="505"/>
      <c r="FG125" s="505"/>
      <c r="FH125" s="505"/>
      <c r="FI125" s="505"/>
      <c r="FJ125" s="505"/>
      <c r="FK125" s="505"/>
      <c r="FL125" s="505"/>
      <c r="FM125" s="505"/>
      <c r="FN125" s="505"/>
      <c r="FO125" s="505"/>
      <c r="FP125" s="505"/>
      <c r="FQ125" s="512">
        <f t="shared" si="273"/>
        <v>0</v>
      </c>
      <c r="FS125" s="504">
        <f t="shared" ca="1" si="274"/>
        <v>2700000</v>
      </c>
    </row>
    <row r="126" spans="1:175">
      <c r="A126" s="216">
        <v>119</v>
      </c>
      <c r="B126" s="219" t="str">
        <f ca="1">INDEX(EAC[PA ID],MATCH($A126,EAC[Row],0))</f>
        <v>400.010.F1</v>
      </c>
      <c r="C126" s="218" t="str">
        <f ca="1">INDEX(EAC[Primary Category],MATCH($A126,EAC[Row],0))</f>
        <v>FE_IT</v>
      </c>
      <c r="D126" s="218" t="str">
        <f ca="1">INDEX(EAC[Secondary Category],MATCH($A126,EAC[Row],0))</f>
        <v>Furniture &amp; Equipment</v>
      </c>
      <c r="E126" s="109" t="str">
        <f ca="1">INDEX(EAC[Phase / Subproject],MATCH($A126,EAC[Row],0))</f>
        <v>--</v>
      </c>
      <c r="F126" s="109" t="str">
        <f ca="1">INDEX(EAC[Phase / Subproject 2],MATCH($A126,EAC[Row],0))</f>
        <v>--</v>
      </c>
      <c r="G126" s="109" t="str">
        <f ca="1">INDEX(EAC[Funding Source],MATCH($A126,EAC[Row],0))</f>
        <v>P-002360</v>
      </c>
      <c r="H126" s="146" t="str">
        <f ca="1">INDEX(EAC[Vendor / Org. with Contract ID],MATCH($A126,EAC[Row],0))</f>
        <v>Staples- Sheriif Chairs-Direct Pay</v>
      </c>
      <c r="I126" s="502">
        <f ca="1">INDEX(EAC[Estimate At Completion],MATCH($A126,EAC[Row],0))</f>
        <v>18637.2</v>
      </c>
      <c r="J126" s="502">
        <f ca="1">SUMIFS(CostTrack[Value],CostTrack[Vendor - Contract],$H126,CostTrack[PA ID],$B126,CostTrack[Holdback (Y/N/R)],"&lt;&gt;Release",CostTrack[Status],"Approved")</f>
        <v>18637.2</v>
      </c>
      <c r="K126" s="503">
        <f t="shared" ca="1" si="283"/>
        <v>0</v>
      </c>
      <c r="M126" s="504">
        <f t="shared" ca="1" si="264"/>
        <v>0</v>
      </c>
      <c r="O126" s="504">
        <f t="shared" ca="1" si="275"/>
        <v>18637.2</v>
      </c>
      <c r="P126" s="504">
        <f t="array" aca="1" ref="P126" ca="1">SUM($U126:$FQ126*_xlfn.ISFORMULA($U126:$FQ126)*ISNUMBER($U$7:$FQ$7)*--(INDEX($U$6:$FQ$6,N(IF({1},COLUMN($U$6:$FQ$6)-COLUMN($T$6)))-MOD(N(IF({1},COLUMN($U$6:$FQ$6)-COLUMN($U$6))),14))="Current Fiscal"))</f>
        <v>0</v>
      </c>
      <c r="Q126" s="504">
        <f t="array" aca="1" ref="Q126" ca="1">SUM($U126:$FQ126*NOT(_xlfn.ISFORMULA($U126:$FQ126))*ISNUMBER($U$7:$FQ$7)*--(INDEX($U$6:$FQ$6,N(IF({1},COLUMN($U$6:$FQ$6)-COLUMN($T$6)))-MOD(N(IF({1},COLUMN($U$6:$FQ$6)-COLUMN($U$6))),14))="Current Fiscal"))</f>
        <v>0</v>
      </c>
      <c r="R126" s="504">
        <f t="shared" ca="1" si="276"/>
        <v>0</v>
      </c>
      <c r="S126" s="504">
        <f t="shared" ca="1" si="277"/>
        <v>0</v>
      </c>
      <c r="U126" s="504">
        <f ca="1">SUMIFS(CostTrack[[Value]:[Value]],CostTrack[[PA ID]:[PA ID]],$B126,CostTrack[[Vendor - Contract]:[Vendor - Contract]],$H126,CostTrack[[Holdback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26" s="504">
        <f ca="1">SUMIFS(CostTrack[[Value]:[Value]],CostTrack[[PA ID]:[PA ID]],$B126,CostTrack[[Vendor - Contract]:[Vendor - Contract]],$H126,CostTrack[[Holdback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26" s="504">
        <f ca="1">SUMIFS(CostTrack[[Value]:[Value]],CostTrack[[PA ID]:[PA ID]],$B126,CostTrack[[Vendor - Contract]:[Vendor - Contract]],$H126,CostTrack[[Holdback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26" s="504">
        <f ca="1">SUMIFS(CostTrack[[Value]:[Value]],CostTrack[[PA ID]:[PA ID]],$B126,CostTrack[[Vendor - Contract]:[Vendor - Contract]],$H126,CostTrack[[Holdback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26" s="504">
        <f ca="1">SUMIFS(CostTrack[[Value]:[Value]],CostTrack[[PA ID]:[PA ID]],$B126,CostTrack[[Vendor - Contract]:[Vendor - Contract]],$H126,CostTrack[[Holdback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26" s="504">
        <f ca="1">SUMIFS(CostTrack[[Value]:[Value]],CostTrack[[PA ID]:[PA ID]],$B126,CostTrack[[Vendor - Contract]:[Vendor - Contract]],$H126,CostTrack[[Holdback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26" s="504">
        <f ca="1">SUMIFS(CostTrack[[Value]:[Value]],CostTrack[[PA ID]:[PA ID]],$B126,CostTrack[[Vendor - Contract]:[Vendor - Contract]],$H126,CostTrack[[Holdback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26" s="504">
        <f ca="1">SUMIFS(CostTrack[[Value]:[Value]],CostTrack[[PA ID]:[PA ID]],$B126,CostTrack[[Vendor - Contract]:[Vendor - Contract]],$H126,CostTrack[[Holdback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26" s="504">
        <f ca="1">SUMIFS(CostTrack[[Value]:[Value]],CostTrack[[PA ID]:[PA ID]],$B126,CostTrack[[Vendor - Contract]:[Vendor - Contract]],$H126,CostTrack[[Holdback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26" s="504">
        <f ca="1">SUMIFS(CostTrack[[Value]:[Value]],CostTrack[[PA ID]:[PA ID]],$B126,CostTrack[[Vendor - Contract]:[Vendor - Contract]],$H126,CostTrack[[Holdback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26" s="504">
        <f ca="1">SUMIFS(CostTrack[[Value]:[Value]],CostTrack[[PA ID]:[PA ID]],$B126,CostTrack[[Vendor - Contract]:[Vendor - Contract]],$H126,CostTrack[[Holdback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26" s="504">
        <f ca="1">SUMIFS(CostTrack[[Value]:[Value]],CostTrack[[PA ID]:[PA ID]],$B126,CostTrack[[Vendor - Contract]:[Vendor - Contract]],$H126,CostTrack[[Holdback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26" s="506">
        <f t="shared" ca="1" si="235"/>
        <v>0</v>
      </c>
      <c r="AI126" s="504">
        <f ca="1">SUMIFS(CostTrack[[Value]:[Value]],CostTrack[[PA ID]:[PA ID]],$B126,CostTrack[[Vendor - Contract]:[Vendor - Contract]],$H126,CostTrack[[Holdback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26" s="504">
        <f ca="1">SUMIFS(CostTrack[[Value]:[Value]],CostTrack[[PA ID]:[PA ID]],$B126,CostTrack[[Vendor - Contract]:[Vendor - Contract]],$H126,CostTrack[[Holdback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26" s="504">
        <f ca="1">SUMIFS(CostTrack[[Value]:[Value]],CostTrack[[PA ID]:[PA ID]],$B126,CostTrack[[Vendor - Contract]:[Vendor - Contract]],$H126,CostTrack[[Holdback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26" s="504">
        <f ca="1">SUMIFS(CostTrack[[Value]:[Value]],CostTrack[[PA ID]:[PA ID]],$B126,CostTrack[[Vendor - Contract]:[Vendor - Contract]],$H126,CostTrack[[Holdback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26" s="504">
        <f ca="1">SUMIFS(CostTrack[[Value]:[Value]],CostTrack[[PA ID]:[PA ID]],$B126,CostTrack[[Vendor - Contract]:[Vendor - Contract]],$H126,CostTrack[[Holdback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26" s="504">
        <f ca="1">SUMIFS(CostTrack[[Value]:[Value]],CostTrack[[PA ID]:[PA ID]],$B126,CostTrack[[Vendor - Contract]:[Vendor - Contract]],$H126,CostTrack[[Holdback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26" s="504">
        <f ca="1">SUMIFS(CostTrack[[Value]:[Value]],CostTrack[[PA ID]:[PA ID]],$B126,CostTrack[[Vendor - Contract]:[Vendor - Contract]],$H126,CostTrack[[Holdback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26" s="504">
        <f ca="1">SUMIFS(CostTrack[[Value]:[Value]],CostTrack[[PA ID]:[PA ID]],$B126,CostTrack[[Vendor - Contract]:[Vendor - Contract]],$H126,CostTrack[[Holdback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26" s="504">
        <f ca="1">SUMIFS(CostTrack[[Value]:[Value]],CostTrack[[PA ID]:[PA ID]],$B126,CostTrack[[Vendor - Contract]:[Vendor - Contract]],$H126,CostTrack[[Holdback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26" s="504">
        <f ca="1">SUMIFS(CostTrack[[Value]:[Value]],CostTrack[[PA ID]:[PA ID]],$B126,CostTrack[[Vendor - Contract]:[Vendor - Contract]],$H126,CostTrack[[Holdback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26" s="504">
        <f ca="1">SUMIFS(CostTrack[[Value]:[Value]],CostTrack[[PA ID]:[PA ID]],$B126,CostTrack[[Vendor - Contract]:[Vendor - Contract]],$H126,CostTrack[[Holdback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26" s="504">
        <f ca="1">SUMIFS(CostTrack[[Value]:[Value]],CostTrack[[PA ID]:[PA ID]],$B126,CostTrack[[Vendor - Contract]:[Vendor - Contract]],$H126,CostTrack[[Holdback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26" s="512">
        <f t="shared" ca="1" si="252"/>
        <v>0</v>
      </c>
      <c r="AW126" s="504">
        <f ca="1">SUMIFS(CostTrack[[Value]:[Value]],CostTrack[[PA ID]:[PA ID]],$B126,CostTrack[[Vendor - Contract]:[Vendor - Contract]],$H126,CostTrack[[Holdback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26" s="504">
        <f ca="1">SUMIFS(CostTrack[[Value]:[Value]],CostTrack[[PA ID]:[PA ID]],$B126,CostTrack[[Vendor - Contract]:[Vendor - Contract]],$H126,CostTrack[[Holdback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26" s="504">
        <f ca="1">SUMIFS(CostTrack[[Value]:[Value]],CostTrack[[PA ID]:[PA ID]],$B126,CostTrack[[Vendor - Contract]:[Vendor - Contract]],$H126,CostTrack[[Holdback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26" s="504">
        <f ca="1">SUMIFS(CostTrack[[Value]:[Value]],CostTrack[[PA ID]:[PA ID]],$B126,CostTrack[[Vendor - Contract]:[Vendor - Contract]],$H126,CostTrack[[Holdback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26" s="504">
        <f ca="1">SUMIFS(CostTrack[[Value]:[Value]],CostTrack[[PA ID]:[PA ID]],$B126,CostTrack[[Vendor - Contract]:[Vendor - Contract]],$H126,CostTrack[[Holdback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26" s="504">
        <f ca="1">SUMIFS(CostTrack[[Value]:[Value]],CostTrack[[PA ID]:[PA ID]],$B126,CostTrack[[Vendor - Contract]:[Vendor - Contract]],$H126,CostTrack[[Holdback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26" s="504">
        <f ca="1">SUMIFS(CostTrack[[Value]:[Value]],CostTrack[[PA ID]:[PA ID]],$B126,CostTrack[[Vendor - Contract]:[Vendor - Contract]],$H126,CostTrack[[Holdback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26" s="504">
        <f ca="1">SUMIFS(CostTrack[[Value]:[Value]],CostTrack[[PA ID]:[PA ID]],$B126,CostTrack[[Vendor - Contract]:[Vendor - Contract]],$H126,CostTrack[[Holdback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26" s="504">
        <f ca="1">SUMIFS(CostTrack[[Value]:[Value]],CostTrack[[PA ID]:[PA ID]],$B126,CostTrack[[Vendor - Contract]:[Vendor - Contract]],$H126,CostTrack[[Holdback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26" s="504">
        <f ca="1">SUMIFS(CostTrack[[Value]:[Value]],CostTrack[[PA ID]:[PA ID]],$B126,CostTrack[[Vendor - Contract]:[Vendor - Contract]],$H126,CostTrack[[Holdback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26" s="504">
        <f ca="1">SUMIFS(CostTrack[[Value]:[Value]],CostTrack[[PA ID]:[PA ID]],$B126,CostTrack[[Vendor - Contract]:[Vendor - Contract]],$H126,CostTrack[[Holdback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26" s="504">
        <f ca="1">SUMIFS(CostTrack[[Value]:[Value]],CostTrack[[PA ID]:[PA ID]],$B126,CostTrack[[Vendor - Contract]:[Vendor - Contract]],$H126,CostTrack[[Holdback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26" s="512">
        <f t="shared" ca="1" si="268"/>
        <v>0</v>
      </c>
      <c r="BK126" s="504">
        <f ca="1">SUMIFS(CostTrack[[Value]:[Value]],CostTrack[[PA ID]:[PA ID]],$B126,CostTrack[[Vendor - Contract]:[Vendor - Contract]],$H126,CostTrack[[Holdback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26" s="504">
        <f ca="1">SUMIFS(CostTrack[[Value]:[Value]],CostTrack[[PA ID]:[PA ID]],$B126,CostTrack[[Vendor - Contract]:[Vendor - Contract]],$H126,CostTrack[[Holdback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26" s="504">
        <f ca="1">SUMIFS(CostTrack[[Value]:[Value]],CostTrack[[PA ID]:[PA ID]],$B126,CostTrack[[Vendor - Contract]:[Vendor - Contract]],$H126,CostTrack[[Holdback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26" s="504">
        <f ca="1">SUMIFS(CostTrack[[Value]:[Value]],CostTrack[[PA ID]:[PA ID]],$B126,CostTrack[[Vendor - Contract]:[Vendor - Contract]],$H126,CostTrack[[Holdback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26" s="504">
        <f ca="1">SUMIFS(CostTrack[[Value]:[Value]],CostTrack[[PA ID]:[PA ID]],$B126,CostTrack[[Vendor - Contract]:[Vendor - Contract]],$H126,CostTrack[[Holdback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26" s="504">
        <f ca="1">SUMIFS(CostTrack[[Value]:[Value]],CostTrack[[PA ID]:[PA ID]],$B126,CostTrack[[Vendor - Contract]:[Vendor - Contract]],$H126,CostTrack[[Holdback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26" s="504">
        <f ca="1">SUMIFS(CostTrack[[Value]:[Value]],CostTrack[[PA ID]:[PA ID]],$B126,CostTrack[[Vendor - Contract]:[Vendor - Contract]],$H126,CostTrack[[Holdback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26" s="504">
        <f ca="1">SUMIFS(CostTrack[[Value]:[Value]],CostTrack[[PA ID]:[PA ID]],$B126,CostTrack[[Vendor - Contract]:[Vendor - Contract]],$H126,CostTrack[[Holdback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26" s="504">
        <f ca="1">SUMIFS(CostTrack[[Value]:[Value]],CostTrack[[PA ID]:[PA ID]],$B126,CostTrack[[Vendor - Contract]:[Vendor - Contract]],$H126,CostTrack[[Holdback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26" s="504">
        <f ca="1">SUMIFS(CostTrack[[Value]:[Value]],CostTrack[[PA ID]:[PA ID]],$B126,CostTrack[[Vendor - Contract]:[Vendor - Contract]],$H126,CostTrack[[Holdback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26" s="504">
        <f ca="1">SUMIFS(CostTrack[[Value]:[Value]],CostTrack[[PA ID]:[PA ID]],$B126,CostTrack[[Vendor - Contract]:[Vendor - Contract]],$H126,CostTrack[[Holdback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26" s="504">
        <f ca="1">SUMIFS(CostTrack[[Value]:[Value]],CostTrack[[PA ID]:[PA ID]],$B126,CostTrack[[Vendor - Contract]:[Vendor - Contract]],$H126,CostTrack[[Holdback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26" s="512">
        <f t="shared" ca="1" si="269"/>
        <v>0</v>
      </c>
      <c r="BY126" s="504">
        <f ca="1">SUMIFS(CostTrack[[Value]:[Value]],CostTrack[[PA ID]:[PA ID]],$B126,CostTrack[[Vendor - Contract]:[Vendor - Contract]],$H126,CostTrack[[Holdback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26" s="504">
        <f ca="1">SUMIFS(CostTrack[[Value]:[Value]],CostTrack[[PA ID]:[PA ID]],$B126,CostTrack[[Vendor - Contract]:[Vendor - Contract]],$H126,CostTrack[[Holdback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26" s="504">
        <f ca="1">SUMIFS(CostTrack[[Value]:[Value]],CostTrack[[PA ID]:[PA ID]],$B126,CostTrack[[Vendor - Contract]:[Vendor - Contract]],$H126,CostTrack[[Holdback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26" s="504">
        <f ca="1">SUMIFS(CostTrack[[Value]:[Value]],CostTrack[[PA ID]:[PA ID]],$B126,CostTrack[[Vendor - Contract]:[Vendor - Contract]],$H126,CostTrack[[Holdback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26" s="504">
        <f ca="1">SUMIFS(CostTrack[[Value]:[Value]],CostTrack[[PA ID]:[PA ID]],$B126,CostTrack[[Vendor - Contract]:[Vendor - Contract]],$H126,CostTrack[[Holdback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26" s="504">
        <f ca="1">SUMIFS(CostTrack[[Value]:[Value]],CostTrack[[PA ID]:[PA ID]],$B126,CostTrack[[Vendor - Contract]:[Vendor - Contract]],$H126,CostTrack[[Holdback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26" s="504">
        <f ca="1">SUMIFS(CostTrack[[Value]:[Value]],CostTrack[[PA ID]:[PA ID]],$B126,CostTrack[[Vendor - Contract]:[Vendor - Contract]],$H126,CostTrack[[Holdback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26" s="504">
        <f ca="1">SUMIFS(CostTrack[[Value]:[Value]],CostTrack[[PA ID]:[PA ID]],$B126,CostTrack[[Vendor - Contract]:[Vendor - Contract]],$H126,CostTrack[[Holdback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26" s="504">
        <f ca="1">SUMIFS(CostTrack[[Value]:[Value]],CostTrack[[PA ID]:[PA ID]],$B126,CostTrack[[Vendor - Contract]:[Vendor - Contract]],$H126,CostTrack[[Holdback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26" s="504">
        <f ca="1">SUMIFS(CostTrack[[Value]:[Value]],CostTrack[[PA ID]:[PA ID]],$B126,CostTrack[[Vendor - Contract]:[Vendor - Contract]],$H126,CostTrack[[Holdback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26" s="504">
        <f ca="1">SUMIFS(CostTrack[[Value]:[Value]],CostTrack[[PA ID]:[PA ID]],$B126,CostTrack[[Vendor - Contract]:[Vendor - Contract]],$H126,CostTrack[[Holdback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26" s="504">
        <f ca="1">SUMIFS(CostTrack[[Value]:[Value]],CostTrack[[PA ID]:[PA ID]],$B126,CostTrack[[Vendor - Contract]:[Vendor - Contract]],$H126,CostTrack[[Holdback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26" s="512">
        <f t="shared" ca="1" si="255"/>
        <v>0</v>
      </c>
      <c r="CM126" s="504">
        <f ca="1">SUMIFS(CostTrack[[Value]:[Value]],CostTrack[[PA ID]:[PA ID]],$B126,CostTrack[[Vendor - Contract]:[Vendor - Contract]],$H126,CostTrack[[Holdback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26" s="504">
        <f ca="1">SUMIFS(CostTrack[[Value]:[Value]],CostTrack[[PA ID]:[PA ID]],$B126,CostTrack[[Vendor - Contract]:[Vendor - Contract]],$H126,CostTrack[[Holdback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26" s="504">
        <f ca="1">SUMIFS(CostTrack[[Value]:[Value]],CostTrack[[PA ID]:[PA ID]],$B126,CostTrack[[Vendor - Contract]:[Vendor - Contract]],$H126,CostTrack[[Holdback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26" s="504">
        <f ca="1">SUMIFS(CostTrack[[Value]:[Value]],CostTrack[[PA ID]:[PA ID]],$B126,CostTrack[[Vendor - Contract]:[Vendor - Contract]],$H126,CostTrack[[Holdback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26" s="504">
        <f ca="1">SUMIFS(CostTrack[[Value]:[Value]],CostTrack[[PA ID]:[PA ID]],$B126,CostTrack[[Vendor - Contract]:[Vendor - Contract]],$H126,CostTrack[[Holdback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26" s="504">
        <f ca="1">SUMIFS(CostTrack[[Value]:[Value]],CostTrack[[PA ID]:[PA ID]],$B126,CostTrack[[Vendor - Contract]:[Vendor - Contract]],$H126,CostTrack[[Holdback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26" s="504">
        <f ca="1">SUMIFS(CostTrack[[Value]:[Value]],CostTrack[[PA ID]:[PA ID]],$B126,CostTrack[[Vendor - Contract]:[Vendor - Contract]],$H126,CostTrack[[Holdback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26" s="504">
        <f ca="1">SUMIFS(CostTrack[[Value]:[Value]],CostTrack[[PA ID]:[PA ID]],$B126,CostTrack[[Vendor - Contract]:[Vendor - Contract]],$H126,CostTrack[[Holdback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26" s="504">
        <f ca="1">SUMIFS(CostTrack[[Value]:[Value]],CostTrack[[PA ID]:[PA ID]],$B126,CostTrack[[Vendor - Contract]:[Vendor - Contract]],$H126,CostTrack[[Holdback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26" s="504">
        <f ca="1">SUMIFS(CostTrack[[Value]:[Value]],CostTrack[[PA ID]:[PA ID]],$B126,CostTrack[[Vendor - Contract]:[Vendor - Contract]],$H126,CostTrack[[Holdback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26" s="504">
        <f ca="1">SUMIFS(CostTrack[[Value]:[Value]],CostTrack[[PA ID]:[PA ID]],$B126,CostTrack[[Vendor - Contract]:[Vendor - Contract]],$H126,CostTrack[[Holdback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26" s="504">
        <f ca="1">SUMIFS(CostTrack[[Value]:[Value]],CostTrack[[PA ID]:[PA ID]],$B126,CostTrack[[Vendor - Contract]:[Vendor - Contract]],$H126,CostTrack[[Holdback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26" s="512">
        <f t="shared" ca="1" si="256"/>
        <v>0</v>
      </c>
      <c r="DA126" s="504">
        <f ca="1">SUMIFS(CostTrack[[Value]:[Value]],CostTrack[[PA ID]:[PA ID]],$B126,CostTrack[[Vendor - Contract]:[Vendor - Contract]],$H126,CostTrack[[Holdback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26" s="504">
        <f ca="1">SUMIFS(CostTrack[[Value]:[Value]],CostTrack[[PA ID]:[PA ID]],$B126,CostTrack[[Vendor - Contract]:[Vendor - Contract]],$H126,CostTrack[[Holdback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26" s="504">
        <f ca="1">SUMIFS(CostTrack[[Value]:[Value]],CostTrack[[PA ID]:[PA ID]],$B126,CostTrack[[Vendor - Contract]:[Vendor - Contract]],$H126,CostTrack[[Holdback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26" s="504">
        <f ca="1">SUMIFS(CostTrack[[Value]:[Value]],CostTrack[[PA ID]:[PA ID]],$B126,CostTrack[[Vendor - Contract]:[Vendor - Contract]],$H126,CostTrack[[Holdback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26" s="504">
        <f ca="1">SUMIFS(CostTrack[[Value]:[Value]],CostTrack[[PA ID]:[PA ID]],$B126,CostTrack[[Vendor - Contract]:[Vendor - Contract]],$H126,CostTrack[[Holdback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26" s="504">
        <f ca="1">SUMIFS(CostTrack[[Value]:[Value]],CostTrack[[PA ID]:[PA ID]],$B126,CostTrack[[Vendor - Contract]:[Vendor - Contract]],$H126,CostTrack[[Holdback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26" s="504">
        <f ca="1">SUMIFS(CostTrack[[Value]:[Value]],CostTrack[[PA ID]:[PA ID]],$B126,CostTrack[[Vendor - Contract]:[Vendor - Contract]],$H126,CostTrack[[Holdback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26" s="504">
        <f ca="1">SUMIFS(CostTrack[[Value]:[Value]],CostTrack[[PA ID]:[PA ID]],$B126,CostTrack[[Vendor - Contract]:[Vendor - Contract]],$H126,CostTrack[[Holdback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26" s="504">
        <f ca="1">SUMIFS(CostTrack[[Value]:[Value]],CostTrack[[PA ID]:[PA ID]],$B126,CostTrack[[Vendor - Contract]:[Vendor - Contract]],$H126,CostTrack[[Holdback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26" s="504">
        <f ca="1">SUMIFS(CostTrack[[Value]:[Value]],CostTrack[[PA ID]:[PA ID]],$B126,CostTrack[[Vendor - Contract]:[Vendor - Contract]],$H126,CostTrack[[Holdback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26" s="504">
        <f ca="1">SUMIFS(CostTrack[[Value]:[Value]],CostTrack[[PA ID]:[PA ID]],$B126,CostTrack[[Vendor - Contract]:[Vendor - Contract]],$H126,CostTrack[[Holdback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26" s="504">
        <f ca="1">SUMIFS(CostTrack[[Value]:[Value]],CostTrack[[PA ID]:[PA ID]],$B126,CostTrack[[Vendor - Contract]:[Vendor - Contract]],$H126,CostTrack[[Holdback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26" s="512">
        <f t="shared" ca="1" si="257"/>
        <v>0</v>
      </c>
      <c r="DO126" s="504">
        <f ca="1">SUMIFS(CostTrack[[Value]:[Value]],CostTrack[[PA ID]:[PA ID]],$B126,CostTrack[[Vendor - Contract]:[Vendor - Contract]],$H126,CostTrack[[Holdback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26" s="504">
        <f ca="1">SUMIFS(CostTrack[[Value]:[Value]],CostTrack[[PA ID]:[PA ID]],$B126,CostTrack[[Vendor - Contract]:[Vendor - Contract]],$H126,CostTrack[[Holdback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26" s="504">
        <f ca="1">SUMIFS(CostTrack[[Value]:[Value]],CostTrack[[PA ID]:[PA ID]],$B126,CostTrack[[Vendor - Contract]:[Vendor - Contract]],$H126,CostTrack[[Holdback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26" s="504">
        <f ca="1">SUMIFS(CostTrack[[Value]:[Value]],CostTrack[[PA ID]:[PA ID]],$B126,CostTrack[[Vendor - Contract]:[Vendor - Contract]],$H126,CostTrack[[Holdback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26" s="504">
        <f ca="1">SUMIFS(CostTrack[[Value]:[Value]],CostTrack[[PA ID]:[PA ID]],$B126,CostTrack[[Vendor - Contract]:[Vendor - Contract]],$H126,CostTrack[[Holdback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26" s="504">
        <f ca="1">SUMIFS(CostTrack[[Value]:[Value]],CostTrack[[PA ID]:[PA ID]],$B126,CostTrack[[Vendor - Contract]:[Vendor - Contract]],$H126,CostTrack[[Holdback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26" s="504">
        <f ca="1">SUMIFS(CostTrack[[Value]:[Value]],CostTrack[[PA ID]:[PA ID]],$B126,CostTrack[[Vendor - Contract]:[Vendor - Contract]],$H126,CostTrack[[Holdback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18637.2</v>
      </c>
      <c r="DV126" s="504">
        <f ca="1">SUMIFS(CostTrack[[Value]:[Value]],CostTrack[[PA ID]:[PA ID]],$B126,CostTrack[[Vendor - Contract]:[Vendor - Contract]],$H126,CostTrack[[Holdback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26" s="504">
        <f ca="1">SUMIFS(CostTrack[[Value]:[Value]],CostTrack[[PA ID]:[PA ID]],$B126,CostTrack[[Vendor - Contract]:[Vendor - Contract]],$H126,CostTrack[[Holdback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26" s="504">
        <f ca="1">SUMIFS(CostTrack[[Value]:[Value]],CostTrack[[PA ID]:[PA ID]],$B126,CostTrack[[Vendor - Contract]:[Vendor - Contract]],$H126,CostTrack[[Holdback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26" s="504">
        <f ca="1">SUMIFS(CostTrack[[Value]:[Value]],CostTrack[[PA ID]:[PA ID]],$B126,CostTrack[[Vendor - Contract]:[Vendor - Contract]],$H126,CostTrack[[Holdback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26" s="504">
        <f ca="1">SUMIFS(CostTrack[[Value]:[Value]],CostTrack[[PA ID]:[PA ID]],$B126,CostTrack[[Vendor - Contract]:[Vendor - Contract]],$H126,CostTrack[[Holdback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26" s="512">
        <f t="shared" ca="1" si="270"/>
        <v>18637.2</v>
      </c>
      <c r="EC126" s="504">
        <f ca="1">SUMIFS(CostTrack[[Value]:[Value]],CostTrack[[PA ID]:[PA ID]],$B126,CostTrack[[Vendor - Contract]:[Vendor - Contract]],$H126,CostTrack[[Holdback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26" s="505"/>
      <c r="EE126" s="505"/>
      <c r="EF126" s="505"/>
      <c r="EG126" s="505"/>
      <c r="EH126" s="505"/>
      <c r="EI126" s="505"/>
      <c r="EJ126" s="505"/>
      <c r="EK126" s="505"/>
      <c r="EL126" s="505"/>
      <c r="EM126" s="505"/>
      <c r="EN126" s="505"/>
      <c r="EO126" s="512">
        <f t="shared" ca="1" si="271"/>
        <v>0</v>
      </c>
      <c r="EQ126" s="505"/>
      <c r="ER126" s="505"/>
      <c r="ES126" s="505"/>
      <c r="ET126" s="505"/>
      <c r="EU126" s="505"/>
      <c r="EV126" s="505"/>
      <c r="EW126" s="505"/>
      <c r="EX126" s="505"/>
      <c r="EY126" s="505"/>
      <c r="EZ126" s="505"/>
      <c r="FA126" s="505"/>
      <c r="FB126" s="505"/>
      <c r="FC126" s="512">
        <f t="shared" si="272"/>
        <v>0</v>
      </c>
      <c r="FE126" s="505"/>
      <c r="FF126" s="505"/>
      <c r="FG126" s="505"/>
      <c r="FH126" s="505"/>
      <c r="FI126" s="505"/>
      <c r="FJ126" s="505"/>
      <c r="FK126" s="505"/>
      <c r="FL126" s="505"/>
      <c r="FM126" s="505"/>
      <c r="FN126" s="505"/>
      <c r="FO126" s="505"/>
      <c r="FP126" s="505"/>
      <c r="FQ126" s="512">
        <f t="shared" si="273"/>
        <v>0</v>
      </c>
      <c r="FS126" s="504">
        <f t="shared" ca="1" si="274"/>
        <v>18637.2</v>
      </c>
    </row>
    <row r="127" spans="1:175">
      <c r="A127" s="216">
        <v>120</v>
      </c>
      <c r="B127" s="219" t="str">
        <f ca="1">INDEX(EAC[PA ID],MATCH($A127,EAC[Row],0))</f>
        <v>200.050.F1</v>
      </c>
      <c r="C127" s="218" t="str">
        <f ca="1">INDEX(EAC[Primary Category],MATCH($A127,EAC[Row],0))</f>
        <v>Professional Services</v>
      </c>
      <c r="D127" s="218" t="str">
        <f ca="1">INDEX(EAC[Secondary Category],MATCH($A127,EAC[Row],0))</f>
        <v>Other Professional Services</v>
      </c>
      <c r="E127" s="109" t="str">
        <f ca="1">INDEX(EAC[Phase / Subproject],MATCH($A127,EAC[Row],0))</f>
        <v>--</v>
      </c>
      <c r="F127" s="109" t="str">
        <f ca="1">INDEX(EAC[Phase / Subproject 2],MATCH($A127,EAC[Row],0))</f>
        <v>--</v>
      </c>
      <c r="G127" s="109" t="str">
        <f ca="1">INDEX(EAC[Funding Source],MATCH($A127,EAC[Row],0))</f>
        <v>P-002360</v>
      </c>
      <c r="H127" s="146" t="str">
        <f ca="1">INDEX(EAC[Vendor / Org. with Contract ID],MATCH($A127,EAC[Row],0))</f>
        <v>Gowling WLG -External Counsel-41876</v>
      </c>
      <c r="I127" s="502">
        <f ca="1">INDEX(EAC[Estimate At Completion],MATCH($A127,EAC[Row],0))</f>
        <v>649875</v>
      </c>
      <c r="J127" s="502">
        <f ca="1">SUMIFS(CostTrack[Value],CostTrack[Vendor - Contract],$H127,CostTrack[PA ID],$B127,CostTrack[Holdback (Y/N/R)],"&lt;&gt;Release",CostTrack[Status],"Approved")</f>
        <v>215424.87999999998</v>
      </c>
      <c r="K127" s="503">
        <f t="shared" ca="1" si="283"/>
        <v>434450.12</v>
      </c>
      <c r="M127" s="504">
        <f ca="1">I127-FS127</f>
        <v>0</v>
      </c>
      <c r="O127" s="504">
        <f t="shared" ca="1" si="275"/>
        <v>228430.27</v>
      </c>
      <c r="P127" s="504">
        <f t="array" aca="1" ref="P127" ca="1">SUM($U127:$FQ127*_xlfn.ISFORMULA($U127:$FQ127)*ISNUMBER($U$7:$FQ$7)*--(INDEX($U$6:$FQ$6,N(IF({1},COLUMN($U$6:$FQ$6)-COLUMN($T$6)))-MOD(N(IF({1},COLUMN($U$6:$FQ$6)-COLUMN($U$6))),14))="Current Fiscal"))</f>
        <v>0</v>
      </c>
      <c r="Q127" s="504">
        <f t="array" aca="1" ref="Q127" ca="1">SUM($U127:$FQ127*NOT(_xlfn.ISFORMULA($U127:$FQ127))*ISNUMBER($U$7:$FQ$7)*--(INDEX($U$6:$FQ$6,N(IF({1},COLUMN($U$6:$FQ$6)-COLUMN($T$6)))-MOD(N(IF({1},COLUMN($U$6:$FQ$6)-COLUMN($U$6))),14))="Current Fiscal"))</f>
        <v>0</v>
      </c>
      <c r="R127" s="504">
        <f t="shared" ca="1" si="276"/>
        <v>0</v>
      </c>
      <c r="S127" s="504">
        <f t="shared" ca="1" si="277"/>
        <v>421444.73</v>
      </c>
      <c r="U127" s="504">
        <f ca="1">SUMIFS(CostTrack[[Value]:[Value]],CostTrack[[PA ID]:[PA ID]],$B127,CostTrack[[Vendor - Contract]:[Vendor - Contract]],$H127,CostTrack[[Holdback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27" s="504">
        <f ca="1">SUMIFS(CostTrack[[Value]:[Value]],CostTrack[[PA ID]:[PA ID]],$B127,CostTrack[[Vendor - Contract]:[Vendor - Contract]],$H127,CostTrack[[Holdback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27" s="504">
        <f ca="1">SUMIFS(CostTrack[[Value]:[Value]],CostTrack[[PA ID]:[PA ID]],$B127,CostTrack[[Vendor - Contract]:[Vendor - Contract]],$H127,CostTrack[[Holdback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27" s="504">
        <f ca="1">SUMIFS(CostTrack[[Value]:[Value]],CostTrack[[PA ID]:[PA ID]],$B127,CostTrack[[Vendor - Contract]:[Vendor - Contract]],$H127,CostTrack[[Holdback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27" s="504">
        <f ca="1">SUMIFS(CostTrack[[Value]:[Value]],CostTrack[[PA ID]:[PA ID]],$B127,CostTrack[[Vendor - Contract]:[Vendor - Contract]],$H127,CostTrack[[Holdback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27" s="504">
        <f ca="1">SUMIFS(CostTrack[[Value]:[Value]],CostTrack[[PA ID]:[PA ID]],$B127,CostTrack[[Vendor - Contract]:[Vendor - Contract]],$H127,CostTrack[[Holdback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27" s="504">
        <f ca="1">SUMIFS(CostTrack[[Value]:[Value]],CostTrack[[PA ID]:[PA ID]],$B127,CostTrack[[Vendor - Contract]:[Vendor - Contract]],$H127,CostTrack[[Holdback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27" s="504">
        <f ca="1">SUMIFS(CostTrack[[Value]:[Value]],CostTrack[[PA ID]:[PA ID]],$B127,CostTrack[[Vendor - Contract]:[Vendor - Contract]],$H127,CostTrack[[Holdback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27" s="504">
        <f ca="1">SUMIFS(CostTrack[[Value]:[Value]],CostTrack[[PA ID]:[PA ID]],$B127,CostTrack[[Vendor - Contract]:[Vendor - Contract]],$H127,CostTrack[[Holdback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27" s="504">
        <f ca="1">SUMIFS(CostTrack[[Value]:[Value]],CostTrack[[PA ID]:[PA ID]],$B127,CostTrack[[Vendor - Contract]:[Vendor - Contract]],$H127,CostTrack[[Holdback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27" s="504">
        <f ca="1">SUMIFS(CostTrack[[Value]:[Value]],CostTrack[[PA ID]:[PA ID]],$B127,CostTrack[[Vendor - Contract]:[Vendor - Contract]],$H127,CostTrack[[Holdback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27" s="504">
        <f ca="1">SUMIFS(CostTrack[[Value]:[Value]],CostTrack[[PA ID]:[PA ID]],$B127,CostTrack[[Vendor - Contract]:[Vendor - Contract]],$H127,CostTrack[[Holdback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27" s="506">
        <f t="shared" ca="1" si="235"/>
        <v>0</v>
      </c>
      <c r="AI127" s="504">
        <f ca="1">SUMIFS(CostTrack[[Value]:[Value]],CostTrack[[PA ID]:[PA ID]],$B127,CostTrack[[Vendor - Contract]:[Vendor - Contract]],$H127,CostTrack[[Holdback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27" s="504">
        <f ca="1">SUMIFS(CostTrack[[Value]:[Value]],CostTrack[[PA ID]:[PA ID]],$B127,CostTrack[[Vendor - Contract]:[Vendor - Contract]],$H127,CostTrack[[Holdback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27" s="504">
        <f ca="1">SUMIFS(CostTrack[[Value]:[Value]],CostTrack[[PA ID]:[PA ID]],$B127,CostTrack[[Vendor - Contract]:[Vendor - Contract]],$H127,CostTrack[[Holdback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27" s="504">
        <f ca="1">SUMIFS(CostTrack[[Value]:[Value]],CostTrack[[PA ID]:[PA ID]],$B127,CostTrack[[Vendor - Contract]:[Vendor - Contract]],$H127,CostTrack[[Holdback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27" s="504">
        <f ca="1">SUMIFS(CostTrack[[Value]:[Value]],CostTrack[[PA ID]:[PA ID]],$B127,CostTrack[[Vendor - Contract]:[Vendor - Contract]],$H127,CostTrack[[Holdback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27" s="504">
        <f ca="1">SUMIFS(CostTrack[[Value]:[Value]],CostTrack[[PA ID]:[PA ID]],$B127,CostTrack[[Vendor - Contract]:[Vendor - Contract]],$H127,CostTrack[[Holdback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27" s="504">
        <f ca="1">SUMIFS(CostTrack[[Value]:[Value]],CostTrack[[PA ID]:[PA ID]],$B127,CostTrack[[Vendor - Contract]:[Vendor - Contract]],$H127,CostTrack[[Holdback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27" s="504">
        <f ca="1">SUMIFS(CostTrack[[Value]:[Value]],CostTrack[[PA ID]:[PA ID]],$B127,CostTrack[[Vendor - Contract]:[Vendor - Contract]],$H127,CostTrack[[Holdback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27" s="504">
        <f ca="1">SUMIFS(CostTrack[[Value]:[Value]],CostTrack[[PA ID]:[PA ID]],$B127,CostTrack[[Vendor - Contract]:[Vendor - Contract]],$H127,CostTrack[[Holdback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27" s="504">
        <f ca="1">SUMIFS(CostTrack[[Value]:[Value]],CostTrack[[PA ID]:[PA ID]],$B127,CostTrack[[Vendor - Contract]:[Vendor - Contract]],$H127,CostTrack[[Holdback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27" s="504">
        <f ca="1">SUMIFS(CostTrack[[Value]:[Value]],CostTrack[[PA ID]:[PA ID]],$B127,CostTrack[[Vendor - Contract]:[Vendor - Contract]],$H127,CostTrack[[Holdback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27" s="504">
        <f ca="1">SUMIFS(CostTrack[[Value]:[Value]],CostTrack[[PA ID]:[PA ID]],$B127,CostTrack[[Vendor - Contract]:[Vendor - Contract]],$H127,CostTrack[[Holdback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27" s="512">
        <f t="shared" ca="1" si="252"/>
        <v>0</v>
      </c>
      <c r="AW127" s="504">
        <f ca="1">SUMIFS(CostTrack[[Value]:[Value]],CostTrack[[PA ID]:[PA ID]],$B127,CostTrack[[Vendor - Contract]:[Vendor - Contract]],$H127,CostTrack[[Holdback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27" s="504">
        <f ca="1">SUMIFS(CostTrack[[Value]:[Value]],CostTrack[[PA ID]:[PA ID]],$B127,CostTrack[[Vendor - Contract]:[Vendor - Contract]],$H127,CostTrack[[Holdback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27" s="504">
        <f ca="1">SUMIFS(CostTrack[[Value]:[Value]],CostTrack[[PA ID]:[PA ID]],$B127,CostTrack[[Vendor - Contract]:[Vendor - Contract]],$H127,CostTrack[[Holdback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27" s="504">
        <f ca="1">SUMIFS(CostTrack[[Value]:[Value]],CostTrack[[PA ID]:[PA ID]],$B127,CostTrack[[Vendor - Contract]:[Vendor - Contract]],$H127,CostTrack[[Holdback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27" s="504">
        <f ca="1">SUMIFS(CostTrack[[Value]:[Value]],CostTrack[[PA ID]:[PA ID]],$B127,CostTrack[[Vendor - Contract]:[Vendor - Contract]],$H127,CostTrack[[Holdback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27" s="504">
        <f ca="1">SUMIFS(CostTrack[[Value]:[Value]],CostTrack[[PA ID]:[PA ID]],$B127,CostTrack[[Vendor - Contract]:[Vendor - Contract]],$H127,CostTrack[[Holdback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27" s="504">
        <f ca="1">SUMIFS(CostTrack[[Value]:[Value]],CostTrack[[PA ID]:[PA ID]],$B127,CostTrack[[Vendor - Contract]:[Vendor - Contract]],$H127,CostTrack[[Holdback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27" s="504">
        <f ca="1">SUMIFS(CostTrack[[Value]:[Value]],CostTrack[[PA ID]:[PA ID]],$B127,CostTrack[[Vendor - Contract]:[Vendor - Contract]],$H127,CostTrack[[Holdback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27" s="504">
        <f ca="1">SUMIFS(CostTrack[[Value]:[Value]],CostTrack[[PA ID]:[PA ID]],$B127,CostTrack[[Vendor - Contract]:[Vendor - Contract]],$H127,CostTrack[[Holdback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27" s="504">
        <f ca="1">SUMIFS(CostTrack[[Value]:[Value]],CostTrack[[PA ID]:[PA ID]],$B127,CostTrack[[Vendor - Contract]:[Vendor - Contract]],$H127,CostTrack[[Holdback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27" s="504">
        <f ca="1">SUMIFS(CostTrack[[Value]:[Value]],CostTrack[[PA ID]:[PA ID]],$B127,CostTrack[[Vendor - Contract]:[Vendor - Contract]],$H127,CostTrack[[Holdback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27" s="504">
        <f ca="1">SUMIFS(CostTrack[[Value]:[Value]],CostTrack[[PA ID]:[PA ID]],$B127,CostTrack[[Vendor - Contract]:[Vendor - Contract]],$H127,CostTrack[[Holdback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27" s="512">
        <f t="shared" ca="1" si="268"/>
        <v>0</v>
      </c>
      <c r="BK127" s="504">
        <f ca="1">SUMIFS(CostTrack[[Value]:[Value]],CostTrack[[PA ID]:[PA ID]],$B127,CostTrack[[Vendor - Contract]:[Vendor - Contract]],$H127,CostTrack[[Holdback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27" s="504">
        <f ca="1">SUMIFS(CostTrack[[Value]:[Value]],CostTrack[[PA ID]:[PA ID]],$B127,CostTrack[[Vendor - Contract]:[Vendor - Contract]],$H127,CostTrack[[Holdback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27" s="504">
        <f ca="1">SUMIFS(CostTrack[[Value]:[Value]],CostTrack[[PA ID]:[PA ID]],$B127,CostTrack[[Vendor - Contract]:[Vendor - Contract]],$H127,CostTrack[[Holdback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27" s="504">
        <f ca="1">SUMIFS(CostTrack[[Value]:[Value]],CostTrack[[PA ID]:[PA ID]],$B127,CostTrack[[Vendor - Contract]:[Vendor - Contract]],$H127,CostTrack[[Holdback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27" s="504">
        <f ca="1">SUMIFS(CostTrack[[Value]:[Value]],CostTrack[[PA ID]:[PA ID]],$B127,CostTrack[[Vendor - Contract]:[Vendor - Contract]],$H127,CostTrack[[Holdback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27" s="504">
        <f ca="1">SUMIFS(CostTrack[[Value]:[Value]],CostTrack[[PA ID]:[PA ID]],$B127,CostTrack[[Vendor - Contract]:[Vendor - Contract]],$H127,CostTrack[[Holdback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27" s="504">
        <f ca="1">SUMIFS(CostTrack[[Value]:[Value]],CostTrack[[PA ID]:[PA ID]],$B127,CostTrack[[Vendor - Contract]:[Vendor - Contract]],$H127,CostTrack[[Holdback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27" s="504">
        <f ca="1">SUMIFS(CostTrack[[Value]:[Value]],CostTrack[[PA ID]:[PA ID]],$B127,CostTrack[[Vendor - Contract]:[Vendor - Contract]],$H127,CostTrack[[Holdback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27" s="504">
        <f ca="1">SUMIFS(CostTrack[[Value]:[Value]],CostTrack[[PA ID]:[PA ID]],$B127,CostTrack[[Vendor - Contract]:[Vendor - Contract]],$H127,CostTrack[[Holdback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27" s="504">
        <f ca="1">SUMIFS(CostTrack[[Value]:[Value]],CostTrack[[PA ID]:[PA ID]],$B127,CostTrack[[Vendor - Contract]:[Vendor - Contract]],$H127,CostTrack[[Holdback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27" s="504">
        <f ca="1">SUMIFS(CostTrack[[Value]:[Value]],CostTrack[[PA ID]:[PA ID]],$B127,CostTrack[[Vendor - Contract]:[Vendor - Contract]],$H127,CostTrack[[Holdback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27" s="504">
        <f ca="1">SUMIFS(CostTrack[[Value]:[Value]],CostTrack[[PA ID]:[PA ID]],$B127,CostTrack[[Vendor - Contract]:[Vendor - Contract]],$H127,CostTrack[[Holdback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27" s="512">
        <f t="shared" ca="1" si="269"/>
        <v>0</v>
      </c>
      <c r="BY127" s="504">
        <f ca="1">SUMIFS(CostTrack[[Value]:[Value]],CostTrack[[PA ID]:[PA ID]],$B127,CostTrack[[Vendor - Contract]:[Vendor - Contract]],$H127,CostTrack[[Holdback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27" s="504">
        <f ca="1">SUMIFS(CostTrack[[Value]:[Value]],CostTrack[[PA ID]:[PA ID]],$B127,CostTrack[[Vendor - Contract]:[Vendor - Contract]],$H127,CostTrack[[Holdback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27" s="504">
        <f ca="1">SUMIFS(CostTrack[[Value]:[Value]],CostTrack[[PA ID]:[PA ID]],$B127,CostTrack[[Vendor - Contract]:[Vendor - Contract]],$H127,CostTrack[[Holdback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27" s="504">
        <f ca="1">SUMIFS(CostTrack[[Value]:[Value]],CostTrack[[PA ID]:[PA ID]],$B127,CostTrack[[Vendor - Contract]:[Vendor - Contract]],$H127,CostTrack[[Holdback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27" s="504">
        <f ca="1">SUMIFS(CostTrack[[Value]:[Value]],CostTrack[[PA ID]:[PA ID]],$B127,CostTrack[[Vendor - Contract]:[Vendor - Contract]],$H127,CostTrack[[Holdback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27" s="504">
        <f ca="1">SUMIFS(CostTrack[[Value]:[Value]],CostTrack[[PA ID]:[PA ID]],$B127,CostTrack[[Vendor - Contract]:[Vendor - Contract]],$H127,CostTrack[[Holdback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27" s="504">
        <f ca="1">SUMIFS(CostTrack[[Value]:[Value]],CostTrack[[PA ID]:[PA ID]],$B127,CostTrack[[Vendor - Contract]:[Vendor - Contract]],$H127,CostTrack[[Holdback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27" s="504">
        <f ca="1">SUMIFS(CostTrack[[Value]:[Value]],CostTrack[[PA ID]:[PA ID]],$B127,CostTrack[[Vendor - Contract]:[Vendor - Contract]],$H127,CostTrack[[Holdback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27" s="504">
        <f ca="1">SUMIFS(CostTrack[[Value]:[Value]],CostTrack[[PA ID]:[PA ID]],$B127,CostTrack[[Vendor - Contract]:[Vendor - Contract]],$H127,CostTrack[[Holdback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27" s="504">
        <f ca="1">SUMIFS(CostTrack[[Value]:[Value]],CostTrack[[PA ID]:[PA ID]],$B127,CostTrack[[Vendor - Contract]:[Vendor - Contract]],$H127,CostTrack[[Holdback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27" s="504">
        <f ca="1">SUMIFS(CostTrack[[Value]:[Value]],CostTrack[[PA ID]:[PA ID]],$B127,CostTrack[[Vendor - Contract]:[Vendor - Contract]],$H127,CostTrack[[Holdback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27" s="504">
        <f ca="1">SUMIFS(CostTrack[[Value]:[Value]],CostTrack[[PA ID]:[PA ID]],$B127,CostTrack[[Vendor - Contract]:[Vendor - Contract]],$H127,CostTrack[[Holdback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27" s="512">
        <f t="shared" ca="1" si="255"/>
        <v>0</v>
      </c>
      <c r="CM127" s="504">
        <f ca="1">SUMIFS(CostTrack[[Value]:[Value]],CostTrack[[PA ID]:[PA ID]],$B127,CostTrack[[Vendor - Contract]:[Vendor - Contract]],$H127,CostTrack[[Holdback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27" s="504">
        <f ca="1">SUMIFS(CostTrack[[Value]:[Value]],CostTrack[[PA ID]:[PA ID]],$B127,CostTrack[[Vendor - Contract]:[Vendor - Contract]],$H127,CostTrack[[Holdback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27" s="504">
        <f ca="1">SUMIFS(CostTrack[[Value]:[Value]],CostTrack[[PA ID]:[PA ID]],$B127,CostTrack[[Vendor - Contract]:[Vendor - Contract]],$H127,CostTrack[[Holdback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27" s="504">
        <f ca="1">SUMIFS(CostTrack[[Value]:[Value]],CostTrack[[PA ID]:[PA ID]],$B127,CostTrack[[Vendor - Contract]:[Vendor - Contract]],$H127,CostTrack[[Holdback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27" s="504">
        <f ca="1">SUMIFS(CostTrack[[Value]:[Value]],CostTrack[[PA ID]:[PA ID]],$B127,CostTrack[[Vendor - Contract]:[Vendor - Contract]],$H127,CostTrack[[Holdback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27" s="504">
        <f ca="1">SUMIFS(CostTrack[[Value]:[Value]],CostTrack[[PA ID]:[PA ID]],$B127,CostTrack[[Vendor - Contract]:[Vendor - Contract]],$H127,CostTrack[[Holdback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27" s="504">
        <f ca="1">SUMIFS(CostTrack[[Value]:[Value]],CostTrack[[PA ID]:[PA ID]],$B127,CostTrack[[Vendor - Contract]:[Vendor - Contract]],$H127,CostTrack[[Holdback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27" s="504">
        <f ca="1">SUMIFS(CostTrack[[Value]:[Value]],CostTrack[[PA ID]:[PA ID]],$B127,CostTrack[[Vendor - Contract]:[Vendor - Contract]],$H127,CostTrack[[Holdback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27" s="504">
        <f ca="1">SUMIFS(CostTrack[[Value]:[Value]],CostTrack[[PA ID]:[PA ID]],$B127,CostTrack[[Vendor - Contract]:[Vendor - Contract]],$H127,CostTrack[[Holdback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27" s="504">
        <f ca="1">SUMIFS(CostTrack[[Value]:[Value]],CostTrack[[PA ID]:[PA ID]],$B127,CostTrack[[Vendor - Contract]:[Vendor - Contract]],$H127,CostTrack[[Holdback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27" s="504">
        <f ca="1">SUMIFS(CostTrack[[Value]:[Value]],CostTrack[[PA ID]:[PA ID]],$B127,CostTrack[[Vendor - Contract]:[Vendor - Contract]],$H127,CostTrack[[Holdback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27" s="504">
        <f ca="1">SUMIFS(CostTrack[[Value]:[Value]],CostTrack[[PA ID]:[PA ID]],$B127,CostTrack[[Vendor - Contract]:[Vendor - Contract]],$H127,CostTrack[[Holdback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27" s="512">
        <f t="shared" ca="1" si="256"/>
        <v>0</v>
      </c>
      <c r="DA127" s="504">
        <f ca="1">SUMIFS(CostTrack[[Value]:[Value]],CostTrack[[PA ID]:[PA ID]],$B127,CostTrack[[Vendor - Contract]:[Vendor - Contract]],$H127,CostTrack[[Holdback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27" s="504">
        <f ca="1">SUMIFS(CostTrack[[Value]:[Value]],CostTrack[[PA ID]:[PA ID]],$B127,CostTrack[[Vendor - Contract]:[Vendor - Contract]],$H127,CostTrack[[Holdback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27" s="504">
        <f ca="1">SUMIFS(CostTrack[[Value]:[Value]],CostTrack[[PA ID]:[PA ID]],$B127,CostTrack[[Vendor - Contract]:[Vendor - Contract]],$H127,CostTrack[[Holdback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27" s="504">
        <f ca="1">SUMIFS(CostTrack[[Value]:[Value]],CostTrack[[PA ID]:[PA ID]],$B127,CostTrack[[Vendor - Contract]:[Vendor - Contract]],$H127,CostTrack[[Holdback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27" s="504">
        <f ca="1">SUMIFS(CostTrack[[Value]:[Value]],CostTrack[[PA ID]:[PA ID]],$B127,CostTrack[[Vendor - Contract]:[Vendor - Contract]],$H127,CostTrack[[Holdback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27" s="504">
        <f ca="1">SUMIFS(CostTrack[[Value]:[Value]],CostTrack[[PA ID]:[PA ID]],$B127,CostTrack[[Vendor - Contract]:[Vendor - Contract]],$H127,CostTrack[[Holdback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27" s="504">
        <f ca="1">SUMIFS(CostTrack[[Value]:[Value]],CostTrack[[PA ID]:[PA ID]],$B127,CostTrack[[Vendor - Contract]:[Vendor - Contract]],$H127,CostTrack[[Holdback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27" s="504">
        <f ca="1">SUMIFS(CostTrack[[Value]:[Value]],CostTrack[[PA ID]:[PA ID]],$B127,CostTrack[[Vendor - Contract]:[Vendor - Contract]],$H127,CostTrack[[Holdback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27" s="504">
        <f ca="1">SUMIFS(CostTrack[[Value]:[Value]],CostTrack[[PA ID]:[PA ID]],$B127,CostTrack[[Vendor - Contract]:[Vendor - Contract]],$H127,CostTrack[[Holdback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27" s="504">
        <f ca="1">SUMIFS(CostTrack[[Value]:[Value]],CostTrack[[PA ID]:[PA ID]],$B127,CostTrack[[Vendor - Contract]:[Vendor - Contract]],$H127,CostTrack[[Holdback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27" s="504">
        <f ca="1">SUMIFS(CostTrack[[Value]:[Value]],CostTrack[[PA ID]:[PA ID]],$B127,CostTrack[[Vendor - Contract]:[Vendor - Contract]],$H127,CostTrack[[Holdback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27" s="504">
        <f ca="1">SUMIFS(CostTrack[[Value]:[Value]],CostTrack[[PA ID]:[PA ID]],$B127,CostTrack[[Vendor - Contract]:[Vendor - Contract]],$H127,CostTrack[[Holdback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27" s="512">
        <f t="shared" ca="1" si="257"/>
        <v>0</v>
      </c>
      <c r="DO127" s="504">
        <f ca="1">SUMIFS(CostTrack[[Value]:[Value]],CostTrack[[PA ID]:[PA ID]],$B127,CostTrack[[Vendor - Contract]:[Vendor - Contract]],$H127,CostTrack[[Holdback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27" s="504">
        <f ca="1">SUMIFS(CostTrack[[Value]:[Value]],CostTrack[[PA ID]:[PA ID]],$B127,CostTrack[[Vendor - Contract]:[Vendor - Contract]],$H127,CostTrack[[Holdback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27" s="504">
        <f ca="1">SUMIFS(CostTrack[[Value]:[Value]],CostTrack[[PA ID]:[PA ID]],$B127,CostTrack[[Vendor - Contract]:[Vendor - Contract]],$H127,CostTrack[[Holdback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27" s="504">
        <f ca="1">SUMIFS(CostTrack[[Value]:[Value]],CostTrack[[PA ID]:[PA ID]],$B127,CostTrack[[Vendor - Contract]:[Vendor - Contract]],$H127,CostTrack[[Holdback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27" s="504">
        <f ca="1">SUMIFS(CostTrack[[Value]:[Value]],CostTrack[[PA ID]:[PA ID]],$B127,CostTrack[[Vendor - Contract]:[Vendor - Contract]],$H127,CostTrack[[Holdback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27" s="504">
        <f ca="1">SUMIFS(CostTrack[[Value]:[Value]],CostTrack[[PA ID]:[PA ID]],$B127,CostTrack[[Vendor - Contract]:[Vendor - Contract]],$H127,CostTrack[[Holdback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27" s="504">
        <f ca="1">SUMIFS(CostTrack[[Value]:[Value]],CostTrack[[PA ID]:[PA ID]],$B127,CostTrack[[Vendor - Contract]:[Vendor - Contract]],$H127,CostTrack[[Holdback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27" s="504">
        <f ca="1">SUMIFS(CostTrack[[Value]:[Value]],CostTrack[[PA ID]:[PA ID]],$B127,CostTrack[[Vendor - Contract]:[Vendor - Contract]],$H127,CostTrack[[Holdback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27" s="504">
        <f ca="1">SUMIFS(CostTrack[[Value]:[Value]],CostTrack[[PA ID]:[PA ID]],$B127,CostTrack[[Vendor - Contract]:[Vendor - Contract]],$H127,CostTrack[[Holdback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27" s="504">
        <f ca="1">SUMIFS(CostTrack[[Value]:[Value]],CostTrack[[PA ID]:[PA ID]],$B127,CostTrack[[Vendor - Contract]:[Vendor - Contract]],$H127,CostTrack[[Holdback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27" s="504">
        <f ca="1">SUMIFS(CostTrack[[Value]:[Value]],CostTrack[[PA ID]:[PA ID]],$B127,CostTrack[[Vendor - Contract]:[Vendor - Contract]],$H127,CostTrack[[Holdback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63980.44</v>
      </c>
      <c r="DZ127" s="504">
        <f ca="1">SUMIFS(CostTrack[[Value]:[Value]],CostTrack[[PA ID]:[PA ID]],$B127,CostTrack[[Vendor - Contract]:[Vendor - Contract]],$H127,CostTrack[[Holdback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164449.82999999999</v>
      </c>
      <c r="EA127" s="512">
        <f t="shared" ca="1" si="270"/>
        <v>228430.27</v>
      </c>
      <c r="EC127" s="504">
        <f ca="1">SUMIFS(CostTrack[[Value]:[Value]],CostTrack[[PA ID]:[PA ID]],$B127,CostTrack[[Vendor - Contract]:[Vendor - Contract]],$H127,CostTrack[[Holdback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27" s="505"/>
      <c r="EE127" s="505"/>
      <c r="EF127" s="505"/>
      <c r="EG127" s="505"/>
      <c r="EH127" s="505"/>
      <c r="EI127" s="505"/>
      <c r="EJ127" s="505"/>
      <c r="EK127" s="505"/>
      <c r="EL127" s="505"/>
      <c r="EM127" s="505"/>
      <c r="EN127" s="505"/>
      <c r="EO127" s="512">
        <f t="shared" ca="1" si="271"/>
        <v>0</v>
      </c>
      <c r="EQ127" s="505"/>
      <c r="ER127" s="505">
        <v>171569.73</v>
      </c>
      <c r="ES127" s="505"/>
      <c r="ET127" s="505"/>
      <c r="EU127" s="505"/>
      <c r="EV127" s="505"/>
      <c r="EW127" s="505"/>
      <c r="EX127" s="505"/>
      <c r="EY127" s="505"/>
      <c r="EZ127" s="505"/>
      <c r="FA127" s="505"/>
      <c r="FB127" s="505">
        <v>249875</v>
      </c>
      <c r="FC127" s="512">
        <f t="shared" si="272"/>
        <v>421444.73</v>
      </c>
      <c r="FE127" s="505"/>
      <c r="FF127" s="505"/>
      <c r="FG127" s="505"/>
      <c r="FH127" s="505"/>
      <c r="FI127" s="505"/>
      <c r="FJ127" s="505"/>
      <c r="FK127" s="505"/>
      <c r="FL127" s="505"/>
      <c r="FM127" s="505"/>
      <c r="FN127" s="505"/>
      <c r="FO127" s="505"/>
      <c r="FP127" s="505"/>
      <c r="FQ127" s="512">
        <f t="shared" si="273"/>
        <v>0</v>
      </c>
      <c r="FS127" s="504">
        <f t="shared" ca="1" si="274"/>
        <v>649875</v>
      </c>
    </row>
    <row r="128" spans="1:175">
      <c r="A128" s="216">
        <v>121</v>
      </c>
      <c r="B128" s="219" t="str">
        <f ca="1">INDEX(EAC[PA ID],MATCH($A128,EAC[Row],0))</f>
        <v>400.010.F1</v>
      </c>
      <c r="C128" s="218" t="str">
        <f ca="1">INDEX(EAC[Primary Category],MATCH($A128,EAC[Row],0))</f>
        <v>FE_IT</v>
      </c>
      <c r="D128" s="218" t="str">
        <f ca="1">INDEX(EAC[Secondary Category],MATCH($A128,EAC[Row],0))</f>
        <v>Furniture &amp; Equipment</v>
      </c>
      <c r="E128" s="109" t="str">
        <f ca="1">INDEX(EAC[Phase / Subproject],MATCH($A128,EAC[Row],0))</f>
        <v>--</v>
      </c>
      <c r="F128" s="109" t="str">
        <f ca="1">INDEX(EAC[Phase / Subproject 2],MATCH($A128,EAC[Row],0))</f>
        <v>--</v>
      </c>
      <c r="G128" s="109" t="str">
        <f ca="1">INDEX(EAC[Funding Source],MATCH($A128,EAC[Row],0))</f>
        <v>P-002360</v>
      </c>
      <c r="H128" s="146" t="str">
        <f ca="1">INDEX(EAC[Vendor / Org. with Contract ID],MATCH($A128,EAC[Row],0))</f>
        <v>Behrends-Plaque-9000113355/9000113879</v>
      </c>
      <c r="I128" s="502">
        <f ca="1">INDEX(EAC[Estimate At Completion],MATCH($A128,EAC[Row],0))</f>
        <v>10912.029999999999</v>
      </c>
      <c r="J128" s="502">
        <f ca="1">SUMIFS(CostTrack[Value],CostTrack[Vendor - Contract],$H128,CostTrack[PA ID],$B128,CostTrack[Holdback (Y/N/R)],"&lt;&gt;Release",CostTrack[Status],"Approved")</f>
        <v>10912.029999999999</v>
      </c>
      <c r="K128" s="503">
        <f t="shared" ca="1" si="283"/>
        <v>0</v>
      </c>
      <c r="M128" s="504">
        <f t="shared" ca="1" si="264"/>
        <v>0</v>
      </c>
      <c r="O128" s="504">
        <f t="shared" ca="1" si="275"/>
        <v>0</v>
      </c>
      <c r="P128" s="504">
        <f t="array" aca="1" ref="P128" ca="1">SUM($U128:$FQ128*_xlfn.ISFORMULA($U128:$FQ128)*ISNUMBER($U$7:$FQ$7)*--(INDEX($U$6:$FQ$6,N(IF({1},COLUMN($U$6:$FQ$6)-COLUMN($T$6)))-MOD(N(IF({1},COLUMN($U$6:$FQ$6)-COLUMN($U$6))),14))="Current Fiscal"))</f>
        <v>10912.029999999999</v>
      </c>
      <c r="Q128" s="504">
        <f t="array" aca="1" ref="Q128" ca="1">SUM($U128:$FQ128*NOT(_xlfn.ISFORMULA($U128:$FQ128))*ISNUMBER($U$7:$FQ$7)*--(INDEX($U$6:$FQ$6,N(IF({1},COLUMN($U$6:$FQ$6)-COLUMN($T$6)))-MOD(N(IF({1},COLUMN($U$6:$FQ$6)-COLUMN($U$6))),14))="Current Fiscal"))</f>
        <v>0</v>
      </c>
      <c r="R128" s="504">
        <f t="shared" ca="1" si="276"/>
        <v>10912.029999999999</v>
      </c>
      <c r="S128" s="504">
        <f t="shared" ca="1" si="277"/>
        <v>0</v>
      </c>
      <c r="U128" s="504">
        <f ca="1">SUMIFS(CostTrack[[Value]:[Value]],CostTrack[[PA ID]:[PA ID]],$B128,CostTrack[[Vendor - Contract]:[Vendor - Contract]],$H128,CostTrack[[Holdback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28" s="504">
        <f ca="1">SUMIFS(CostTrack[[Value]:[Value]],CostTrack[[PA ID]:[PA ID]],$B128,CostTrack[[Vendor - Contract]:[Vendor - Contract]],$H128,CostTrack[[Holdback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28" s="504">
        <f ca="1">SUMIFS(CostTrack[[Value]:[Value]],CostTrack[[PA ID]:[PA ID]],$B128,CostTrack[[Vendor - Contract]:[Vendor - Contract]],$H128,CostTrack[[Holdback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28" s="504">
        <f ca="1">SUMIFS(CostTrack[[Value]:[Value]],CostTrack[[PA ID]:[PA ID]],$B128,CostTrack[[Vendor - Contract]:[Vendor - Contract]],$H128,CostTrack[[Holdback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28" s="504">
        <f ca="1">SUMIFS(CostTrack[[Value]:[Value]],CostTrack[[PA ID]:[PA ID]],$B128,CostTrack[[Vendor - Contract]:[Vendor - Contract]],$H128,CostTrack[[Holdback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28" s="504">
        <f ca="1">SUMIFS(CostTrack[[Value]:[Value]],CostTrack[[PA ID]:[PA ID]],$B128,CostTrack[[Vendor - Contract]:[Vendor - Contract]],$H128,CostTrack[[Holdback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28" s="504">
        <f ca="1">SUMIFS(CostTrack[[Value]:[Value]],CostTrack[[PA ID]:[PA ID]],$B128,CostTrack[[Vendor - Contract]:[Vendor - Contract]],$H128,CostTrack[[Holdback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28" s="504">
        <f ca="1">SUMIFS(CostTrack[[Value]:[Value]],CostTrack[[PA ID]:[PA ID]],$B128,CostTrack[[Vendor - Contract]:[Vendor - Contract]],$H128,CostTrack[[Holdback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28" s="504">
        <f ca="1">SUMIFS(CostTrack[[Value]:[Value]],CostTrack[[PA ID]:[PA ID]],$B128,CostTrack[[Vendor - Contract]:[Vendor - Contract]],$H128,CostTrack[[Holdback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28" s="504">
        <f ca="1">SUMIFS(CostTrack[[Value]:[Value]],CostTrack[[PA ID]:[PA ID]],$B128,CostTrack[[Vendor - Contract]:[Vendor - Contract]],$H128,CostTrack[[Holdback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28" s="504">
        <f ca="1">SUMIFS(CostTrack[[Value]:[Value]],CostTrack[[PA ID]:[PA ID]],$B128,CostTrack[[Vendor - Contract]:[Vendor - Contract]],$H128,CostTrack[[Holdback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28" s="504">
        <f ca="1">SUMIFS(CostTrack[[Value]:[Value]],CostTrack[[PA ID]:[PA ID]],$B128,CostTrack[[Vendor - Contract]:[Vendor - Contract]],$H128,CostTrack[[Holdback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28" s="506">
        <f t="shared" ca="1" si="235"/>
        <v>0</v>
      </c>
      <c r="AI128" s="504">
        <f ca="1">SUMIFS(CostTrack[[Value]:[Value]],CostTrack[[PA ID]:[PA ID]],$B128,CostTrack[[Vendor - Contract]:[Vendor - Contract]],$H128,CostTrack[[Holdback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28" s="504">
        <f ca="1">SUMIFS(CostTrack[[Value]:[Value]],CostTrack[[PA ID]:[PA ID]],$B128,CostTrack[[Vendor - Contract]:[Vendor - Contract]],$H128,CostTrack[[Holdback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28" s="504">
        <f ca="1">SUMIFS(CostTrack[[Value]:[Value]],CostTrack[[PA ID]:[PA ID]],$B128,CostTrack[[Vendor - Contract]:[Vendor - Contract]],$H128,CostTrack[[Holdback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28" s="504">
        <f ca="1">SUMIFS(CostTrack[[Value]:[Value]],CostTrack[[PA ID]:[PA ID]],$B128,CostTrack[[Vendor - Contract]:[Vendor - Contract]],$H128,CostTrack[[Holdback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28" s="504">
        <f ca="1">SUMIFS(CostTrack[[Value]:[Value]],CostTrack[[PA ID]:[PA ID]],$B128,CostTrack[[Vendor - Contract]:[Vendor - Contract]],$H128,CostTrack[[Holdback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28" s="504">
        <f ca="1">SUMIFS(CostTrack[[Value]:[Value]],CostTrack[[PA ID]:[PA ID]],$B128,CostTrack[[Vendor - Contract]:[Vendor - Contract]],$H128,CostTrack[[Holdback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28" s="504">
        <f ca="1">SUMIFS(CostTrack[[Value]:[Value]],CostTrack[[PA ID]:[PA ID]],$B128,CostTrack[[Vendor - Contract]:[Vendor - Contract]],$H128,CostTrack[[Holdback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28" s="504">
        <f ca="1">SUMIFS(CostTrack[[Value]:[Value]],CostTrack[[PA ID]:[PA ID]],$B128,CostTrack[[Vendor - Contract]:[Vendor - Contract]],$H128,CostTrack[[Holdback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28" s="504">
        <f ca="1">SUMIFS(CostTrack[[Value]:[Value]],CostTrack[[PA ID]:[PA ID]],$B128,CostTrack[[Vendor - Contract]:[Vendor - Contract]],$H128,CostTrack[[Holdback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28" s="504">
        <f ca="1">SUMIFS(CostTrack[[Value]:[Value]],CostTrack[[PA ID]:[PA ID]],$B128,CostTrack[[Vendor - Contract]:[Vendor - Contract]],$H128,CostTrack[[Holdback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28" s="504">
        <f ca="1">SUMIFS(CostTrack[[Value]:[Value]],CostTrack[[PA ID]:[PA ID]],$B128,CostTrack[[Vendor - Contract]:[Vendor - Contract]],$H128,CostTrack[[Holdback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28" s="504">
        <f ca="1">SUMIFS(CostTrack[[Value]:[Value]],CostTrack[[PA ID]:[PA ID]],$B128,CostTrack[[Vendor - Contract]:[Vendor - Contract]],$H128,CostTrack[[Holdback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28" s="512">
        <f t="shared" ca="1" si="252"/>
        <v>0</v>
      </c>
      <c r="AW128" s="504">
        <f ca="1">SUMIFS(CostTrack[[Value]:[Value]],CostTrack[[PA ID]:[PA ID]],$B128,CostTrack[[Vendor - Contract]:[Vendor - Contract]],$H128,CostTrack[[Holdback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28" s="504">
        <f ca="1">SUMIFS(CostTrack[[Value]:[Value]],CostTrack[[PA ID]:[PA ID]],$B128,CostTrack[[Vendor - Contract]:[Vendor - Contract]],$H128,CostTrack[[Holdback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28" s="504">
        <f ca="1">SUMIFS(CostTrack[[Value]:[Value]],CostTrack[[PA ID]:[PA ID]],$B128,CostTrack[[Vendor - Contract]:[Vendor - Contract]],$H128,CostTrack[[Holdback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28" s="504">
        <f ca="1">SUMIFS(CostTrack[[Value]:[Value]],CostTrack[[PA ID]:[PA ID]],$B128,CostTrack[[Vendor - Contract]:[Vendor - Contract]],$H128,CostTrack[[Holdback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28" s="504">
        <f ca="1">SUMIFS(CostTrack[[Value]:[Value]],CostTrack[[PA ID]:[PA ID]],$B128,CostTrack[[Vendor - Contract]:[Vendor - Contract]],$H128,CostTrack[[Holdback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28" s="504">
        <f ca="1">SUMIFS(CostTrack[[Value]:[Value]],CostTrack[[PA ID]:[PA ID]],$B128,CostTrack[[Vendor - Contract]:[Vendor - Contract]],$H128,CostTrack[[Holdback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28" s="504">
        <f ca="1">SUMIFS(CostTrack[[Value]:[Value]],CostTrack[[PA ID]:[PA ID]],$B128,CostTrack[[Vendor - Contract]:[Vendor - Contract]],$H128,CostTrack[[Holdback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28" s="504">
        <f ca="1">SUMIFS(CostTrack[[Value]:[Value]],CostTrack[[PA ID]:[PA ID]],$B128,CostTrack[[Vendor - Contract]:[Vendor - Contract]],$H128,CostTrack[[Holdback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28" s="504">
        <f ca="1">SUMIFS(CostTrack[[Value]:[Value]],CostTrack[[PA ID]:[PA ID]],$B128,CostTrack[[Vendor - Contract]:[Vendor - Contract]],$H128,CostTrack[[Holdback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28" s="504">
        <f ca="1">SUMIFS(CostTrack[[Value]:[Value]],CostTrack[[PA ID]:[PA ID]],$B128,CostTrack[[Vendor - Contract]:[Vendor - Contract]],$H128,CostTrack[[Holdback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28" s="504">
        <f ca="1">SUMIFS(CostTrack[[Value]:[Value]],CostTrack[[PA ID]:[PA ID]],$B128,CostTrack[[Vendor - Contract]:[Vendor - Contract]],$H128,CostTrack[[Holdback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28" s="504">
        <f ca="1">SUMIFS(CostTrack[[Value]:[Value]],CostTrack[[PA ID]:[PA ID]],$B128,CostTrack[[Vendor - Contract]:[Vendor - Contract]],$H128,CostTrack[[Holdback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28" s="512">
        <f t="shared" ca="1" si="268"/>
        <v>0</v>
      </c>
      <c r="BK128" s="504">
        <f ca="1">SUMIFS(CostTrack[[Value]:[Value]],CostTrack[[PA ID]:[PA ID]],$B128,CostTrack[[Vendor - Contract]:[Vendor - Contract]],$H128,CostTrack[[Holdback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28" s="504">
        <f ca="1">SUMIFS(CostTrack[[Value]:[Value]],CostTrack[[PA ID]:[PA ID]],$B128,CostTrack[[Vendor - Contract]:[Vendor - Contract]],$H128,CostTrack[[Holdback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28" s="504">
        <f ca="1">SUMIFS(CostTrack[[Value]:[Value]],CostTrack[[PA ID]:[PA ID]],$B128,CostTrack[[Vendor - Contract]:[Vendor - Contract]],$H128,CostTrack[[Holdback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28" s="504">
        <f ca="1">SUMIFS(CostTrack[[Value]:[Value]],CostTrack[[PA ID]:[PA ID]],$B128,CostTrack[[Vendor - Contract]:[Vendor - Contract]],$H128,CostTrack[[Holdback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28" s="504">
        <f ca="1">SUMIFS(CostTrack[[Value]:[Value]],CostTrack[[PA ID]:[PA ID]],$B128,CostTrack[[Vendor - Contract]:[Vendor - Contract]],$H128,CostTrack[[Holdback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28" s="504">
        <f ca="1">SUMIFS(CostTrack[[Value]:[Value]],CostTrack[[PA ID]:[PA ID]],$B128,CostTrack[[Vendor - Contract]:[Vendor - Contract]],$H128,CostTrack[[Holdback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28" s="504">
        <f ca="1">SUMIFS(CostTrack[[Value]:[Value]],CostTrack[[PA ID]:[PA ID]],$B128,CostTrack[[Vendor - Contract]:[Vendor - Contract]],$H128,CostTrack[[Holdback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28" s="504">
        <f ca="1">SUMIFS(CostTrack[[Value]:[Value]],CostTrack[[PA ID]:[PA ID]],$B128,CostTrack[[Vendor - Contract]:[Vendor - Contract]],$H128,CostTrack[[Holdback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28" s="504">
        <f ca="1">SUMIFS(CostTrack[[Value]:[Value]],CostTrack[[PA ID]:[PA ID]],$B128,CostTrack[[Vendor - Contract]:[Vendor - Contract]],$H128,CostTrack[[Holdback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28" s="504">
        <f ca="1">SUMIFS(CostTrack[[Value]:[Value]],CostTrack[[PA ID]:[PA ID]],$B128,CostTrack[[Vendor - Contract]:[Vendor - Contract]],$H128,CostTrack[[Holdback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28" s="504">
        <f ca="1">SUMIFS(CostTrack[[Value]:[Value]],CostTrack[[PA ID]:[PA ID]],$B128,CostTrack[[Vendor - Contract]:[Vendor - Contract]],$H128,CostTrack[[Holdback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28" s="504">
        <f ca="1">SUMIFS(CostTrack[[Value]:[Value]],CostTrack[[PA ID]:[PA ID]],$B128,CostTrack[[Vendor - Contract]:[Vendor - Contract]],$H128,CostTrack[[Holdback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28" s="512">
        <f t="shared" ca="1" si="269"/>
        <v>0</v>
      </c>
      <c r="BY128" s="504">
        <f ca="1">SUMIFS(CostTrack[[Value]:[Value]],CostTrack[[PA ID]:[PA ID]],$B128,CostTrack[[Vendor - Contract]:[Vendor - Contract]],$H128,CostTrack[[Holdback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28" s="504">
        <f ca="1">SUMIFS(CostTrack[[Value]:[Value]],CostTrack[[PA ID]:[PA ID]],$B128,CostTrack[[Vendor - Contract]:[Vendor - Contract]],$H128,CostTrack[[Holdback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28" s="504">
        <f ca="1">SUMIFS(CostTrack[[Value]:[Value]],CostTrack[[PA ID]:[PA ID]],$B128,CostTrack[[Vendor - Contract]:[Vendor - Contract]],$H128,CostTrack[[Holdback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28" s="504">
        <f ca="1">SUMIFS(CostTrack[[Value]:[Value]],CostTrack[[PA ID]:[PA ID]],$B128,CostTrack[[Vendor - Contract]:[Vendor - Contract]],$H128,CostTrack[[Holdback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28" s="504">
        <f ca="1">SUMIFS(CostTrack[[Value]:[Value]],CostTrack[[PA ID]:[PA ID]],$B128,CostTrack[[Vendor - Contract]:[Vendor - Contract]],$H128,CostTrack[[Holdback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28" s="504">
        <f ca="1">SUMIFS(CostTrack[[Value]:[Value]],CostTrack[[PA ID]:[PA ID]],$B128,CostTrack[[Vendor - Contract]:[Vendor - Contract]],$H128,CostTrack[[Holdback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28" s="504">
        <f ca="1">SUMIFS(CostTrack[[Value]:[Value]],CostTrack[[PA ID]:[PA ID]],$B128,CostTrack[[Vendor - Contract]:[Vendor - Contract]],$H128,CostTrack[[Holdback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28" s="504">
        <f ca="1">SUMIFS(CostTrack[[Value]:[Value]],CostTrack[[PA ID]:[PA ID]],$B128,CostTrack[[Vendor - Contract]:[Vendor - Contract]],$H128,CostTrack[[Holdback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28" s="504">
        <f ca="1">SUMIFS(CostTrack[[Value]:[Value]],CostTrack[[PA ID]:[PA ID]],$B128,CostTrack[[Vendor - Contract]:[Vendor - Contract]],$H128,CostTrack[[Holdback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28" s="504">
        <f ca="1">SUMIFS(CostTrack[[Value]:[Value]],CostTrack[[PA ID]:[PA ID]],$B128,CostTrack[[Vendor - Contract]:[Vendor - Contract]],$H128,CostTrack[[Holdback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28" s="504">
        <f ca="1">SUMIFS(CostTrack[[Value]:[Value]],CostTrack[[PA ID]:[PA ID]],$B128,CostTrack[[Vendor - Contract]:[Vendor - Contract]],$H128,CostTrack[[Holdback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28" s="504">
        <f ca="1">SUMIFS(CostTrack[[Value]:[Value]],CostTrack[[PA ID]:[PA ID]],$B128,CostTrack[[Vendor - Contract]:[Vendor - Contract]],$H128,CostTrack[[Holdback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28" s="512">
        <f t="shared" ca="1" si="255"/>
        <v>0</v>
      </c>
      <c r="CM128" s="504">
        <f ca="1">SUMIFS(CostTrack[[Value]:[Value]],CostTrack[[PA ID]:[PA ID]],$B128,CostTrack[[Vendor - Contract]:[Vendor - Contract]],$H128,CostTrack[[Holdback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28" s="504">
        <f ca="1">SUMIFS(CostTrack[[Value]:[Value]],CostTrack[[PA ID]:[PA ID]],$B128,CostTrack[[Vendor - Contract]:[Vendor - Contract]],$H128,CostTrack[[Holdback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28" s="504">
        <f ca="1">SUMIFS(CostTrack[[Value]:[Value]],CostTrack[[PA ID]:[PA ID]],$B128,CostTrack[[Vendor - Contract]:[Vendor - Contract]],$H128,CostTrack[[Holdback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28" s="504">
        <f ca="1">SUMIFS(CostTrack[[Value]:[Value]],CostTrack[[PA ID]:[PA ID]],$B128,CostTrack[[Vendor - Contract]:[Vendor - Contract]],$H128,CostTrack[[Holdback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28" s="504">
        <f ca="1">SUMIFS(CostTrack[[Value]:[Value]],CostTrack[[PA ID]:[PA ID]],$B128,CostTrack[[Vendor - Contract]:[Vendor - Contract]],$H128,CostTrack[[Holdback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28" s="504">
        <f ca="1">SUMIFS(CostTrack[[Value]:[Value]],CostTrack[[PA ID]:[PA ID]],$B128,CostTrack[[Vendor - Contract]:[Vendor - Contract]],$H128,CostTrack[[Holdback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28" s="504">
        <f ca="1">SUMIFS(CostTrack[[Value]:[Value]],CostTrack[[PA ID]:[PA ID]],$B128,CostTrack[[Vendor - Contract]:[Vendor - Contract]],$H128,CostTrack[[Holdback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28" s="504">
        <f ca="1">SUMIFS(CostTrack[[Value]:[Value]],CostTrack[[PA ID]:[PA ID]],$B128,CostTrack[[Vendor - Contract]:[Vendor - Contract]],$H128,CostTrack[[Holdback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28" s="504">
        <f ca="1">SUMIFS(CostTrack[[Value]:[Value]],CostTrack[[PA ID]:[PA ID]],$B128,CostTrack[[Vendor - Contract]:[Vendor - Contract]],$H128,CostTrack[[Holdback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28" s="504">
        <f ca="1">SUMIFS(CostTrack[[Value]:[Value]],CostTrack[[PA ID]:[PA ID]],$B128,CostTrack[[Vendor - Contract]:[Vendor - Contract]],$H128,CostTrack[[Holdback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28" s="504">
        <f ca="1">SUMIFS(CostTrack[[Value]:[Value]],CostTrack[[PA ID]:[PA ID]],$B128,CostTrack[[Vendor - Contract]:[Vendor - Contract]],$H128,CostTrack[[Holdback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28" s="504">
        <f ca="1">SUMIFS(CostTrack[[Value]:[Value]],CostTrack[[PA ID]:[PA ID]],$B128,CostTrack[[Vendor - Contract]:[Vendor - Contract]],$H128,CostTrack[[Holdback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28" s="512">
        <f t="shared" ca="1" si="256"/>
        <v>0</v>
      </c>
      <c r="DA128" s="504">
        <f ca="1">SUMIFS(CostTrack[[Value]:[Value]],CostTrack[[PA ID]:[PA ID]],$B128,CostTrack[[Vendor - Contract]:[Vendor - Contract]],$H128,CostTrack[[Holdback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28" s="504">
        <f ca="1">SUMIFS(CostTrack[[Value]:[Value]],CostTrack[[PA ID]:[PA ID]],$B128,CostTrack[[Vendor - Contract]:[Vendor - Contract]],$H128,CostTrack[[Holdback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28" s="504">
        <f ca="1">SUMIFS(CostTrack[[Value]:[Value]],CostTrack[[PA ID]:[PA ID]],$B128,CostTrack[[Vendor - Contract]:[Vendor - Contract]],$H128,CostTrack[[Holdback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28" s="504">
        <f ca="1">SUMIFS(CostTrack[[Value]:[Value]],CostTrack[[PA ID]:[PA ID]],$B128,CostTrack[[Vendor - Contract]:[Vendor - Contract]],$H128,CostTrack[[Holdback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28" s="504">
        <f ca="1">SUMIFS(CostTrack[[Value]:[Value]],CostTrack[[PA ID]:[PA ID]],$B128,CostTrack[[Vendor - Contract]:[Vendor - Contract]],$H128,CostTrack[[Holdback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28" s="504">
        <f ca="1">SUMIFS(CostTrack[[Value]:[Value]],CostTrack[[PA ID]:[PA ID]],$B128,CostTrack[[Vendor - Contract]:[Vendor - Contract]],$H128,CostTrack[[Holdback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28" s="504">
        <f ca="1">SUMIFS(CostTrack[[Value]:[Value]],CostTrack[[PA ID]:[PA ID]],$B128,CostTrack[[Vendor - Contract]:[Vendor - Contract]],$H128,CostTrack[[Holdback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28" s="504">
        <f ca="1">SUMIFS(CostTrack[[Value]:[Value]],CostTrack[[PA ID]:[PA ID]],$B128,CostTrack[[Vendor - Contract]:[Vendor - Contract]],$H128,CostTrack[[Holdback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28" s="504">
        <f ca="1">SUMIFS(CostTrack[[Value]:[Value]],CostTrack[[PA ID]:[PA ID]],$B128,CostTrack[[Vendor - Contract]:[Vendor - Contract]],$H128,CostTrack[[Holdback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28" s="504">
        <f ca="1">SUMIFS(CostTrack[[Value]:[Value]],CostTrack[[PA ID]:[PA ID]],$B128,CostTrack[[Vendor - Contract]:[Vendor - Contract]],$H128,CostTrack[[Holdback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28" s="504">
        <f ca="1">SUMIFS(CostTrack[[Value]:[Value]],CostTrack[[PA ID]:[PA ID]],$B128,CostTrack[[Vendor - Contract]:[Vendor - Contract]],$H128,CostTrack[[Holdback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28" s="504">
        <f ca="1">SUMIFS(CostTrack[[Value]:[Value]],CostTrack[[PA ID]:[PA ID]],$B128,CostTrack[[Vendor - Contract]:[Vendor - Contract]],$H128,CostTrack[[Holdback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28" s="512">
        <f t="shared" ca="1" si="257"/>
        <v>0</v>
      </c>
      <c r="DO128" s="504">
        <f ca="1">SUMIFS(CostTrack[[Value]:[Value]],CostTrack[[PA ID]:[PA ID]],$B128,CostTrack[[Vendor - Contract]:[Vendor - Contract]],$H128,CostTrack[[Holdback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28" s="504">
        <f ca="1">SUMIFS(CostTrack[[Value]:[Value]],CostTrack[[PA ID]:[PA ID]],$B128,CostTrack[[Vendor - Contract]:[Vendor - Contract]],$H128,CostTrack[[Holdback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28" s="504">
        <f ca="1">SUMIFS(CostTrack[[Value]:[Value]],CostTrack[[PA ID]:[PA ID]],$B128,CostTrack[[Vendor - Contract]:[Vendor - Contract]],$H128,CostTrack[[Holdback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28" s="504">
        <f ca="1">SUMIFS(CostTrack[[Value]:[Value]],CostTrack[[PA ID]:[PA ID]],$B128,CostTrack[[Vendor - Contract]:[Vendor - Contract]],$H128,CostTrack[[Holdback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28" s="504">
        <f ca="1">SUMIFS(CostTrack[[Value]:[Value]],CostTrack[[PA ID]:[PA ID]],$B128,CostTrack[[Vendor - Contract]:[Vendor - Contract]],$H128,CostTrack[[Holdback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28" s="504">
        <f ca="1">SUMIFS(CostTrack[[Value]:[Value]],CostTrack[[PA ID]:[PA ID]],$B128,CostTrack[[Vendor - Contract]:[Vendor - Contract]],$H128,CostTrack[[Holdback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28" s="504">
        <f ca="1">SUMIFS(CostTrack[[Value]:[Value]],CostTrack[[PA ID]:[PA ID]],$B128,CostTrack[[Vendor - Contract]:[Vendor - Contract]],$H128,CostTrack[[Holdback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28" s="504">
        <f ca="1">SUMIFS(CostTrack[[Value]:[Value]],CostTrack[[PA ID]:[PA ID]],$B128,CostTrack[[Vendor - Contract]:[Vendor - Contract]],$H128,CostTrack[[Holdback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28" s="504">
        <f ca="1">SUMIFS(CostTrack[[Value]:[Value]],CostTrack[[PA ID]:[PA ID]],$B128,CostTrack[[Vendor - Contract]:[Vendor - Contract]],$H128,CostTrack[[Holdback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28" s="504">
        <f ca="1">SUMIFS(CostTrack[[Value]:[Value]],CostTrack[[PA ID]:[PA ID]],$B128,CostTrack[[Vendor - Contract]:[Vendor - Contract]],$H128,CostTrack[[Holdback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28" s="504">
        <f ca="1">SUMIFS(CostTrack[[Value]:[Value]],CostTrack[[PA ID]:[PA ID]],$B128,CostTrack[[Vendor - Contract]:[Vendor - Contract]],$H128,CostTrack[[Holdback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28" s="504">
        <f ca="1">SUMIFS(CostTrack[[Value]:[Value]],CostTrack[[PA ID]:[PA ID]],$B128,CostTrack[[Vendor - Contract]:[Vendor - Contract]],$H128,CostTrack[[Holdback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28" s="512">
        <f t="shared" ca="1" si="270"/>
        <v>0</v>
      </c>
      <c r="EC128" s="504">
        <f ca="1">SUMIFS(CostTrack[[Value]:[Value]],CostTrack[[PA ID]:[PA ID]],$B128,CostTrack[[Vendor - Contract]:[Vendor - Contract]],$H128,CostTrack[[Holdback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10912.029999999999</v>
      </c>
      <c r="ED128" s="505"/>
      <c r="EE128" s="505"/>
      <c r="EF128" s="505"/>
      <c r="EG128" s="505"/>
      <c r="EH128" s="505"/>
      <c r="EI128" s="505"/>
      <c r="EJ128" s="505"/>
      <c r="EK128" s="505"/>
      <c r="EL128" s="505"/>
      <c r="EM128" s="505"/>
      <c r="EN128" s="505"/>
      <c r="EO128" s="512">
        <f t="shared" ca="1" si="271"/>
        <v>10912.029999999999</v>
      </c>
      <c r="EQ128" s="505"/>
      <c r="ER128" s="505"/>
      <c r="ES128" s="505"/>
      <c r="ET128" s="505"/>
      <c r="EU128" s="505"/>
      <c r="EV128" s="505"/>
      <c r="EW128" s="505"/>
      <c r="EX128" s="505"/>
      <c r="EY128" s="505"/>
      <c r="EZ128" s="505"/>
      <c r="FA128" s="505"/>
      <c r="FB128" s="505"/>
      <c r="FC128" s="512">
        <f t="shared" si="272"/>
        <v>0</v>
      </c>
      <c r="FE128" s="505"/>
      <c r="FF128" s="505"/>
      <c r="FG128" s="505"/>
      <c r="FH128" s="505"/>
      <c r="FI128" s="505"/>
      <c r="FJ128" s="505"/>
      <c r="FK128" s="505"/>
      <c r="FL128" s="505"/>
      <c r="FM128" s="505"/>
      <c r="FN128" s="505"/>
      <c r="FO128" s="505"/>
      <c r="FP128" s="505"/>
      <c r="FQ128" s="512">
        <f t="shared" si="273"/>
        <v>0</v>
      </c>
      <c r="FS128" s="504">
        <f t="shared" ca="1" si="274"/>
        <v>10912.029999999999</v>
      </c>
    </row>
    <row r="129" spans="1:175">
      <c r="A129" s="216">
        <v>122</v>
      </c>
      <c r="B129" s="219" t="str">
        <f ca="1">INDEX(EAC[PA ID],MATCH($A129,EAC[Row],0))</f>
        <v>400.020.F1</v>
      </c>
      <c r="C129" s="218" t="str">
        <f ca="1">INDEX(EAC[Primary Category],MATCH($A129,EAC[Row],0))</f>
        <v>FE_IT</v>
      </c>
      <c r="D129" s="218" t="str">
        <f ca="1">INDEX(EAC[Secondary Category],MATCH($A129,EAC[Row],0))</f>
        <v>Information Technology</v>
      </c>
      <c r="E129" s="109" t="str">
        <f ca="1">INDEX(EAC[Phase / Subproject],MATCH($A129,EAC[Row],0))</f>
        <v>--</v>
      </c>
      <c r="F129" s="109" t="str">
        <f ca="1">INDEX(EAC[Phase / Subproject 2],MATCH($A129,EAC[Row],0))</f>
        <v>--</v>
      </c>
      <c r="G129" s="109" t="str">
        <f ca="1">INDEX(EAC[Funding Source],MATCH($A129,EAC[Row],0))</f>
        <v>P-002360</v>
      </c>
      <c r="H129" s="146" t="str">
        <f ca="1">INDEX(EAC[Vendor / Org. with Contract ID],MATCH($A129,EAC[Row],0))</f>
        <v>IUT Out - CTS Operational Support-IUT</v>
      </c>
      <c r="I129" s="502">
        <f ca="1">INDEX(EAC[Estimate At Completion],MATCH($A129,EAC[Row],0))</f>
        <v>-44276.34</v>
      </c>
      <c r="J129" s="502">
        <f ca="1">SUMIFS(CostTrack[Value],CostTrack[Vendor - Contract],$H129,CostTrack[PA ID],$B129,CostTrack[Holdback (Y/N/R)],"&lt;&gt;Release",CostTrack[Status],"Approved")</f>
        <v>0</v>
      </c>
      <c r="K129" s="503">
        <f t="shared" ca="1" si="283"/>
        <v>-44276.34</v>
      </c>
      <c r="M129" s="504">
        <f t="shared" ca="1" si="264"/>
        <v>0</v>
      </c>
      <c r="O129" s="504">
        <f t="shared" ca="1" si="275"/>
        <v>0</v>
      </c>
      <c r="P129" s="504">
        <f t="array" aca="1" ref="P129" ca="1">SUM($U129:$FQ129*_xlfn.ISFORMULA($U129:$FQ129)*ISNUMBER($U$7:$FQ$7)*--(INDEX($U$6:$FQ$6,N(IF({1},COLUMN($U$6:$FQ$6)-COLUMN($T$6)))-MOD(N(IF({1},COLUMN($U$6:$FQ$6)-COLUMN($U$6))),14))="Current Fiscal"))</f>
        <v>0</v>
      </c>
      <c r="Q129" s="504">
        <f t="array" aca="1" ref="Q129" ca="1">SUM($U129:$FQ129*NOT(_xlfn.ISFORMULA($U129:$FQ129))*ISNUMBER($U$7:$FQ$7)*--(INDEX($U$6:$FQ$6,N(IF({1},COLUMN($U$6:$FQ$6)-COLUMN($T$6)))-MOD(N(IF({1},COLUMN($U$6:$FQ$6)-COLUMN($U$6))),14))="Current Fiscal"))</f>
        <v>-44276.34</v>
      </c>
      <c r="R129" s="504">
        <f t="shared" ca="1" si="276"/>
        <v>-44276.34</v>
      </c>
      <c r="S129" s="504">
        <f t="shared" ca="1" si="277"/>
        <v>0</v>
      </c>
      <c r="U129" s="504">
        <f ca="1">SUMIFS(CostTrack[[Value]:[Value]],CostTrack[[PA ID]:[PA ID]],$B129,CostTrack[[Vendor - Contract]:[Vendor - Contract]],$H129,CostTrack[[Holdback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29" s="504">
        <f ca="1">SUMIFS(CostTrack[[Value]:[Value]],CostTrack[[PA ID]:[PA ID]],$B129,CostTrack[[Vendor - Contract]:[Vendor - Contract]],$H129,CostTrack[[Holdback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29" s="504">
        <f ca="1">SUMIFS(CostTrack[[Value]:[Value]],CostTrack[[PA ID]:[PA ID]],$B129,CostTrack[[Vendor - Contract]:[Vendor - Contract]],$H129,CostTrack[[Holdback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29" s="504">
        <f ca="1">SUMIFS(CostTrack[[Value]:[Value]],CostTrack[[PA ID]:[PA ID]],$B129,CostTrack[[Vendor - Contract]:[Vendor - Contract]],$H129,CostTrack[[Holdback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29" s="504">
        <f ca="1">SUMIFS(CostTrack[[Value]:[Value]],CostTrack[[PA ID]:[PA ID]],$B129,CostTrack[[Vendor - Contract]:[Vendor - Contract]],$H129,CostTrack[[Holdback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29" s="504">
        <f ca="1">SUMIFS(CostTrack[[Value]:[Value]],CostTrack[[PA ID]:[PA ID]],$B129,CostTrack[[Vendor - Contract]:[Vendor - Contract]],$H129,CostTrack[[Holdback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29" s="504">
        <f ca="1">SUMIFS(CostTrack[[Value]:[Value]],CostTrack[[PA ID]:[PA ID]],$B129,CostTrack[[Vendor - Contract]:[Vendor - Contract]],$H129,CostTrack[[Holdback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29" s="504">
        <f ca="1">SUMIFS(CostTrack[[Value]:[Value]],CostTrack[[PA ID]:[PA ID]],$B129,CostTrack[[Vendor - Contract]:[Vendor - Contract]],$H129,CostTrack[[Holdback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29" s="504">
        <f ca="1">SUMIFS(CostTrack[[Value]:[Value]],CostTrack[[PA ID]:[PA ID]],$B129,CostTrack[[Vendor - Contract]:[Vendor - Contract]],$H129,CostTrack[[Holdback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29" s="504">
        <f ca="1">SUMIFS(CostTrack[[Value]:[Value]],CostTrack[[PA ID]:[PA ID]],$B129,CostTrack[[Vendor - Contract]:[Vendor - Contract]],$H129,CostTrack[[Holdback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29" s="504">
        <f ca="1">SUMIFS(CostTrack[[Value]:[Value]],CostTrack[[PA ID]:[PA ID]],$B129,CostTrack[[Vendor - Contract]:[Vendor - Contract]],$H129,CostTrack[[Holdback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29" s="504">
        <f ca="1">SUMIFS(CostTrack[[Value]:[Value]],CostTrack[[PA ID]:[PA ID]],$B129,CostTrack[[Vendor - Contract]:[Vendor - Contract]],$H129,CostTrack[[Holdback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29" s="506">
        <f t="shared" ca="1" si="235"/>
        <v>0</v>
      </c>
      <c r="AI129" s="504">
        <f ca="1">SUMIFS(CostTrack[[Value]:[Value]],CostTrack[[PA ID]:[PA ID]],$B129,CostTrack[[Vendor - Contract]:[Vendor - Contract]],$H129,CostTrack[[Holdback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29" s="504">
        <f ca="1">SUMIFS(CostTrack[[Value]:[Value]],CostTrack[[PA ID]:[PA ID]],$B129,CostTrack[[Vendor - Contract]:[Vendor - Contract]],$H129,CostTrack[[Holdback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29" s="504">
        <f ca="1">SUMIFS(CostTrack[[Value]:[Value]],CostTrack[[PA ID]:[PA ID]],$B129,CostTrack[[Vendor - Contract]:[Vendor - Contract]],$H129,CostTrack[[Holdback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29" s="504">
        <f ca="1">SUMIFS(CostTrack[[Value]:[Value]],CostTrack[[PA ID]:[PA ID]],$B129,CostTrack[[Vendor - Contract]:[Vendor - Contract]],$H129,CostTrack[[Holdback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29" s="504">
        <f ca="1">SUMIFS(CostTrack[[Value]:[Value]],CostTrack[[PA ID]:[PA ID]],$B129,CostTrack[[Vendor - Contract]:[Vendor - Contract]],$H129,CostTrack[[Holdback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29" s="504">
        <f ca="1">SUMIFS(CostTrack[[Value]:[Value]],CostTrack[[PA ID]:[PA ID]],$B129,CostTrack[[Vendor - Contract]:[Vendor - Contract]],$H129,CostTrack[[Holdback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29" s="504">
        <f ca="1">SUMIFS(CostTrack[[Value]:[Value]],CostTrack[[PA ID]:[PA ID]],$B129,CostTrack[[Vendor - Contract]:[Vendor - Contract]],$H129,CostTrack[[Holdback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29" s="504">
        <f ca="1">SUMIFS(CostTrack[[Value]:[Value]],CostTrack[[PA ID]:[PA ID]],$B129,CostTrack[[Vendor - Contract]:[Vendor - Contract]],$H129,CostTrack[[Holdback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29" s="504">
        <f ca="1">SUMIFS(CostTrack[[Value]:[Value]],CostTrack[[PA ID]:[PA ID]],$B129,CostTrack[[Vendor - Contract]:[Vendor - Contract]],$H129,CostTrack[[Holdback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29" s="504">
        <f ca="1">SUMIFS(CostTrack[[Value]:[Value]],CostTrack[[PA ID]:[PA ID]],$B129,CostTrack[[Vendor - Contract]:[Vendor - Contract]],$H129,CostTrack[[Holdback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29" s="504">
        <f ca="1">SUMIFS(CostTrack[[Value]:[Value]],CostTrack[[PA ID]:[PA ID]],$B129,CostTrack[[Vendor - Contract]:[Vendor - Contract]],$H129,CostTrack[[Holdback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29" s="504">
        <f ca="1">SUMIFS(CostTrack[[Value]:[Value]],CostTrack[[PA ID]:[PA ID]],$B129,CostTrack[[Vendor - Contract]:[Vendor - Contract]],$H129,CostTrack[[Holdback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29" s="512">
        <f t="shared" ca="1" si="252"/>
        <v>0</v>
      </c>
      <c r="AW129" s="504">
        <f ca="1">SUMIFS(CostTrack[[Value]:[Value]],CostTrack[[PA ID]:[PA ID]],$B129,CostTrack[[Vendor - Contract]:[Vendor - Contract]],$H129,CostTrack[[Holdback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29" s="504">
        <f ca="1">SUMIFS(CostTrack[[Value]:[Value]],CostTrack[[PA ID]:[PA ID]],$B129,CostTrack[[Vendor - Contract]:[Vendor - Contract]],$H129,CostTrack[[Holdback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29" s="504">
        <f ca="1">SUMIFS(CostTrack[[Value]:[Value]],CostTrack[[PA ID]:[PA ID]],$B129,CostTrack[[Vendor - Contract]:[Vendor - Contract]],$H129,CostTrack[[Holdback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29" s="504">
        <f ca="1">SUMIFS(CostTrack[[Value]:[Value]],CostTrack[[PA ID]:[PA ID]],$B129,CostTrack[[Vendor - Contract]:[Vendor - Contract]],$H129,CostTrack[[Holdback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29" s="504">
        <f ca="1">SUMIFS(CostTrack[[Value]:[Value]],CostTrack[[PA ID]:[PA ID]],$B129,CostTrack[[Vendor - Contract]:[Vendor - Contract]],$H129,CostTrack[[Holdback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29" s="504">
        <f ca="1">SUMIFS(CostTrack[[Value]:[Value]],CostTrack[[PA ID]:[PA ID]],$B129,CostTrack[[Vendor - Contract]:[Vendor - Contract]],$H129,CostTrack[[Holdback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29" s="504">
        <f ca="1">SUMIFS(CostTrack[[Value]:[Value]],CostTrack[[PA ID]:[PA ID]],$B129,CostTrack[[Vendor - Contract]:[Vendor - Contract]],$H129,CostTrack[[Holdback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29" s="504">
        <f ca="1">SUMIFS(CostTrack[[Value]:[Value]],CostTrack[[PA ID]:[PA ID]],$B129,CostTrack[[Vendor - Contract]:[Vendor - Contract]],$H129,CostTrack[[Holdback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29" s="504">
        <f ca="1">SUMIFS(CostTrack[[Value]:[Value]],CostTrack[[PA ID]:[PA ID]],$B129,CostTrack[[Vendor - Contract]:[Vendor - Contract]],$H129,CostTrack[[Holdback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29" s="504">
        <f ca="1">SUMIFS(CostTrack[[Value]:[Value]],CostTrack[[PA ID]:[PA ID]],$B129,CostTrack[[Vendor - Contract]:[Vendor - Contract]],$H129,CostTrack[[Holdback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29" s="504">
        <f ca="1">SUMIFS(CostTrack[[Value]:[Value]],CostTrack[[PA ID]:[PA ID]],$B129,CostTrack[[Vendor - Contract]:[Vendor - Contract]],$H129,CostTrack[[Holdback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29" s="504">
        <f ca="1">SUMIFS(CostTrack[[Value]:[Value]],CostTrack[[PA ID]:[PA ID]],$B129,CostTrack[[Vendor - Contract]:[Vendor - Contract]],$H129,CostTrack[[Holdback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29" s="512">
        <f t="shared" ca="1" si="268"/>
        <v>0</v>
      </c>
      <c r="BK129" s="504">
        <f ca="1">SUMIFS(CostTrack[[Value]:[Value]],CostTrack[[PA ID]:[PA ID]],$B129,CostTrack[[Vendor - Contract]:[Vendor - Contract]],$H129,CostTrack[[Holdback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29" s="504">
        <f ca="1">SUMIFS(CostTrack[[Value]:[Value]],CostTrack[[PA ID]:[PA ID]],$B129,CostTrack[[Vendor - Contract]:[Vendor - Contract]],$H129,CostTrack[[Holdback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29" s="504">
        <f ca="1">SUMIFS(CostTrack[[Value]:[Value]],CostTrack[[PA ID]:[PA ID]],$B129,CostTrack[[Vendor - Contract]:[Vendor - Contract]],$H129,CostTrack[[Holdback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29" s="504">
        <f ca="1">SUMIFS(CostTrack[[Value]:[Value]],CostTrack[[PA ID]:[PA ID]],$B129,CostTrack[[Vendor - Contract]:[Vendor - Contract]],$H129,CostTrack[[Holdback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29" s="504">
        <f ca="1">SUMIFS(CostTrack[[Value]:[Value]],CostTrack[[PA ID]:[PA ID]],$B129,CostTrack[[Vendor - Contract]:[Vendor - Contract]],$H129,CostTrack[[Holdback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29" s="504">
        <f ca="1">SUMIFS(CostTrack[[Value]:[Value]],CostTrack[[PA ID]:[PA ID]],$B129,CostTrack[[Vendor - Contract]:[Vendor - Contract]],$H129,CostTrack[[Holdback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29" s="504">
        <f ca="1">SUMIFS(CostTrack[[Value]:[Value]],CostTrack[[PA ID]:[PA ID]],$B129,CostTrack[[Vendor - Contract]:[Vendor - Contract]],$H129,CostTrack[[Holdback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29" s="504">
        <f ca="1">SUMIFS(CostTrack[[Value]:[Value]],CostTrack[[PA ID]:[PA ID]],$B129,CostTrack[[Vendor - Contract]:[Vendor - Contract]],$H129,CostTrack[[Holdback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29" s="504">
        <f ca="1">SUMIFS(CostTrack[[Value]:[Value]],CostTrack[[PA ID]:[PA ID]],$B129,CostTrack[[Vendor - Contract]:[Vendor - Contract]],$H129,CostTrack[[Holdback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29" s="504">
        <f ca="1">SUMIFS(CostTrack[[Value]:[Value]],CostTrack[[PA ID]:[PA ID]],$B129,CostTrack[[Vendor - Contract]:[Vendor - Contract]],$H129,CostTrack[[Holdback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29" s="504">
        <f ca="1">SUMIFS(CostTrack[[Value]:[Value]],CostTrack[[PA ID]:[PA ID]],$B129,CostTrack[[Vendor - Contract]:[Vendor - Contract]],$H129,CostTrack[[Holdback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29" s="504">
        <f ca="1">SUMIFS(CostTrack[[Value]:[Value]],CostTrack[[PA ID]:[PA ID]],$B129,CostTrack[[Vendor - Contract]:[Vendor - Contract]],$H129,CostTrack[[Holdback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29" s="512">
        <f t="shared" ca="1" si="269"/>
        <v>0</v>
      </c>
      <c r="BY129" s="504">
        <f ca="1">SUMIFS(CostTrack[[Value]:[Value]],CostTrack[[PA ID]:[PA ID]],$B129,CostTrack[[Vendor - Contract]:[Vendor - Contract]],$H129,CostTrack[[Holdback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29" s="504">
        <f ca="1">SUMIFS(CostTrack[[Value]:[Value]],CostTrack[[PA ID]:[PA ID]],$B129,CostTrack[[Vendor - Contract]:[Vendor - Contract]],$H129,CostTrack[[Holdback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29" s="504">
        <f ca="1">SUMIFS(CostTrack[[Value]:[Value]],CostTrack[[PA ID]:[PA ID]],$B129,CostTrack[[Vendor - Contract]:[Vendor - Contract]],$H129,CostTrack[[Holdback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29" s="504">
        <f ca="1">SUMIFS(CostTrack[[Value]:[Value]],CostTrack[[PA ID]:[PA ID]],$B129,CostTrack[[Vendor - Contract]:[Vendor - Contract]],$H129,CostTrack[[Holdback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29" s="504">
        <f ca="1">SUMIFS(CostTrack[[Value]:[Value]],CostTrack[[PA ID]:[PA ID]],$B129,CostTrack[[Vendor - Contract]:[Vendor - Contract]],$H129,CostTrack[[Holdback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29" s="504">
        <f ca="1">SUMIFS(CostTrack[[Value]:[Value]],CostTrack[[PA ID]:[PA ID]],$B129,CostTrack[[Vendor - Contract]:[Vendor - Contract]],$H129,CostTrack[[Holdback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29" s="504">
        <f ca="1">SUMIFS(CostTrack[[Value]:[Value]],CostTrack[[PA ID]:[PA ID]],$B129,CostTrack[[Vendor - Contract]:[Vendor - Contract]],$H129,CostTrack[[Holdback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29" s="504">
        <f ca="1">SUMIFS(CostTrack[[Value]:[Value]],CostTrack[[PA ID]:[PA ID]],$B129,CostTrack[[Vendor - Contract]:[Vendor - Contract]],$H129,CostTrack[[Holdback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29" s="504">
        <f ca="1">SUMIFS(CostTrack[[Value]:[Value]],CostTrack[[PA ID]:[PA ID]],$B129,CostTrack[[Vendor - Contract]:[Vendor - Contract]],$H129,CostTrack[[Holdback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29" s="504">
        <f ca="1">SUMIFS(CostTrack[[Value]:[Value]],CostTrack[[PA ID]:[PA ID]],$B129,CostTrack[[Vendor - Contract]:[Vendor - Contract]],$H129,CostTrack[[Holdback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29" s="504">
        <f ca="1">SUMIFS(CostTrack[[Value]:[Value]],CostTrack[[PA ID]:[PA ID]],$B129,CostTrack[[Vendor - Contract]:[Vendor - Contract]],$H129,CostTrack[[Holdback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29" s="504">
        <f ca="1">SUMIFS(CostTrack[[Value]:[Value]],CostTrack[[PA ID]:[PA ID]],$B129,CostTrack[[Vendor - Contract]:[Vendor - Contract]],$H129,CostTrack[[Holdback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29" s="512">
        <f t="shared" ca="1" si="255"/>
        <v>0</v>
      </c>
      <c r="CM129" s="504">
        <f ca="1">SUMIFS(CostTrack[[Value]:[Value]],CostTrack[[PA ID]:[PA ID]],$B129,CostTrack[[Vendor - Contract]:[Vendor - Contract]],$H129,CostTrack[[Holdback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29" s="504">
        <f ca="1">SUMIFS(CostTrack[[Value]:[Value]],CostTrack[[PA ID]:[PA ID]],$B129,CostTrack[[Vendor - Contract]:[Vendor - Contract]],$H129,CostTrack[[Holdback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29" s="504">
        <f ca="1">SUMIFS(CostTrack[[Value]:[Value]],CostTrack[[PA ID]:[PA ID]],$B129,CostTrack[[Vendor - Contract]:[Vendor - Contract]],$H129,CostTrack[[Holdback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29" s="504">
        <f ca="1">SUMIFS(CostTrack[[Value]:[Value]],CostTrack[[PA ID]:[PA ID]],$B129,CostTrack[[Vendor - Contract]:[Vendor - Contract]],$H129,CostTrack[[Holdback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29" s="504">
        <f ca="1">SUMIFS(CostTrack[[Value]:[Value]],CostTrack[[PA ID]:[PA ID]],$B129,CostTrack[[Vendor - Contract]:[Vendor - Contract]],$H129,CostTrack[[Holdback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29" s="504">
        <f ca="1">SUMIFS(CostTrack[[Value]:[Value]],CostTrack[[PA ID]:[PA ID]],$B129,CostTrack[[Vendor - Contract]:[Vendor - Contract]],$H129,CostTrack[[Holdback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29" s="504">
        <f ca="1">SUMIFS(CostTrack[[Value]:[Value]],CostTrack[[PA ID]:[PA ID]],$B129,CostTrack[[Vendor - Contract]:[Vendor - Contract]],$H129,CostTrack[[Holdback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29" s="504">
        <f ca="1">SUMIFS(CostTrack[[Value]:[Value]],CostTrack[[PA ID]:[PA ID]],$B129,CostTrack[[Vendor - Contract]:[Vendor - Contract]],$H129,CostTrack[[Holdback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29" s="504">
        <f ca="1">SUMIFS(CostTrack[[Value]:[Value]],CostTrack[[PA ID]:[PA ID]],$B129,CostTrack[[Vendor - Contract]:[Vendor - Contract]],$H129,CostTrack[[Holdback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29" s="504">
        <f ca="1">SUMIFS(CostTrack[[Value]:[Value]],CostTrack[[PA ID]:[PA ID]],$B129,CostTrack[[Vendor - Contract]:[Vendor - Contract]],$H129,CostTrack[[Holdback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29" s="504">
        <f ca="1">SUMIFS(CostTrack[[Value]:[Value]],CostTrack[[PA ID]:[PA ID]],$B129,CostTrack[[Vendor - Contract]:[Vendor - Contract]],$H129,CostTrack[[Holdback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29" s="504">
        <f ca="1">SUMIFS(CostTrack[[Value]:[Value]],CostTrack[[PA ID]:[PA ID]],$B129,CostTrack[[Vendor - Contract]:[Vendor - Contract]],$H129,CostTrack[[Holdback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29" s="512">
        <f t="shared" ca="1" si="256"/>
        <v>0</v>
      </c>
      <c r="DA129" s="504">
        <f ca="1">SUMIFS(CostTrack[[Value]:[Value]],CostTrack[[PA ID]:[PA ID]],$B129,CostTrack[[Vendor - Contract]:[Vendor - Contract]],$H129,CostTrack[[Holdback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29" s="504">
        <f ca="1">SUMIFS(CostTrack[[Value]:[Value]],CostTrack[[PA ID]:[PA ID]],$B129,CostTrack[[Vendor - Contract]:[Vendor - Contract]],$H129,CostTrack[[Holdback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29" s="504">
        <f ca="1">SUMIFS(CostTrack[[Value]:[Value]],CostTrack[[PA ID]:[PA ID]],$B129,CostTrack[[Vendor - Contract]:[Vendor - Contract]],$H129,CostTrack[[Holdback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29" s="504">
        <f ca="1">SUMIFS(CostTrack[[Value]:[Value]],CostTrack[[PA ID]:[PA ID]],$B129,CostTrack[[Vendor - Contract]:[Vendor - Contract]],$H129,CostTrack[[Holdback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29" s="504">
        <f ca="1">SUMIFS(CostTrack[[Value]:[Value]],CostTrack[[PA ID]:[PA ID]],$B129,CostTrack[[Vendor - Contract]:[Vendor - Contract]],$H129,CostTrack[[Holdback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29" s="504">
        <f ca="1">SUMIFS(CostTrack[[Value]:[Value]],CostTrack[[PA ID]:[PA ID]],$B129,CostTrack[[Vendor - Contract]:[Vendor - Contract]],$H129,CostTrack[[Holdback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29" s="504">
        <f ca="1">SUMIFS(CostTrack[[Value]:[Value]],CostTrack[[PA ID]:[PA ID]],$B129,CostTrack[[Vendor - Contract]:[Vendor - Contract]],$H129,CostTrack[[Holdback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29" s="504">
        <f ca="1">SUMIFS(CostTrack[[Value]:[Value]],CostTrack[[PA ID]:[PA ID]],$B129,CostTrack[[Vendor - Contract]:[Vendor - Contract]],$H129,CostTrack[[Holdback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29" s="504">
        <f ca="1">SUMIFS(CostTrack[[Value]:[Value]],CostTrack[[PA ID]:[PA ID]],$B129,CostTrack[[Vendor - Contract]:[Vendor - Contract]],$H129,CostTrack[[Holdback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29" s="504">
        <f ca="1">SUMIFS(CostTrack[[Value]:[Value]],CostTrack[[PA ID]:[PA ID]],$B129,CostTrack[[Vendor - Contract]:[Vendor - Contract]],$H129,CostTrack[[Holdback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29" s="504">
        <f ca="1">SUMIFS(CostTrack[[Value]:[Value]],CostTrack[[PA ID]:[PA ID]],$B129,CostTrack[[Vendor - Contract]:[Vendor - Contract]],$H129,CostTrack[[Holdback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29" s="504">
        <f ca="1">SUMIFS(CostTrack[[Value]:[Value]],CostTrack[[PA ID]:[PA ID]],$B129,CostTrack[[Vendor - Contract]:[Vendor - Contract]],$H129,CostTrack[[Holdback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29" s="512">
        <f t="shared" ca="1" si="257"/>
        <v>0</v>
      </c>
      <c r="DO129" s="504">
        <f ca="1">SUMIFS(CostTrack[[Value]:[Value]],CostTrack[[PA ID]:[PA ID]],$B129,CostTrack[[Vendor - Contract]:[Vendor - Contract]],$H129,CostTrack[[Holdback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29" s="504">
        <f ca="1">SUMIFS(CostTrack[[Value]:[Value]],CostTrack[[PA ID]:[PA ID]],$B129,CostTrack[[Vendor - Contract]:[Vendor - Contract]],$H129,CostTrack[[Holdback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29" s="504">
        <f ca="1">SUMIFS(CostTrack[[Value]:[Value]],CostTrack[[PA ID]:[PA ID]],$B129,CostTrack[[Vendor - Contract]:[Vendor - Contract]],$H129,CostTrack[[Holdback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29" s="504">
        <f ca="1">SUMIFS(CostTrack[[Value]:[Value]],CostTrack[[PA ID]:[PA ID]],$B129,CostTrack[[Vendor - Contract]:[Vendor - Contract]],$H129,CostTrack[[Holdback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29" s="504">
        <f ca="1">SUMIFS(CostTrack[[Value]:[Value]],CostTrack[[PA ID]:[PA ID]],$B129,CostTrack[[Vendor - Contract]:[Vendor - Contract]],$H129,CostTrack[[Holdback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29" s="504">
        <f ca="1">SUMIFS(CostTrack[[Value]:[Value]],CostTrack[[PA ID]:[PA ID]],$B129,CostTrack[[Vendor - Contract]:[Vendor - Contract]],$H129,CostTrack[[Holdback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29" s="504">
        <f ca="1">SUMIFS(CostTrack[[Value]:[Value]],CostTrack[[PA ID]:[PA ID]],$B129,CostTrack[[Vendor - Contract]:[Vendor - Contract]],$H129,CostTrack[[Holdback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29" s="504">
        <f ca="1">SUMIFS(CostTrack[[Value]:[Value]],CostTrack[[PA ID]:[PA ID]],$B129,CostTrack[[Vendor - Contract]:[Vendor - Contract]],$H129,CostTrack[[Holdback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29" s="504">
        <f ca="1">SUMIFS(CostTrack[[Value]:[Value]],CostTrack[[PA ID]:[PA ID]],$B129,CostTrack[[Vendor - Contract]:[Vendor - Contract]],$H129,CostTrack[[Holdback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29" s="504">
        <f ca="1">SUMIFS(CostTrack[[Value]:[Value]],CostTrack[[PA ID]:[PA ID]],$B129,CostTrack[[Vendor - Contract]:[Vendor - Contract]],$H129,CostTrack[[Holdback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29" s="504">
        <f ca="1">SUMIFS(CostTrack[[Value]:[Value]],CostTrack[[PA ID]:[PA ID]],$B129,CostTrack[[Vendor - Contract]:[Vendor - Contract]],$H129,CostTrack[[Holdback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29" s="504">
        <f ca="1">SUMIFS(CostTrack[[Value]:[Value]],CostTrack[[PA ID]:[PA ID]],$B129,CostTrack[[Vendor - Contract]:[Vendor - Contract]],$H129,CostTrack[[Holdback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29" s="512">
        <f t="shared" ca="1" si="270"/>
        <v>0</v>
      </c>
      <c r="EC129" s="504">
        <f ca="1">SUMIFS(CostTrack[[Value]:[Value]],CostTrack[[PA ID]:[PA ID]],$B129,CostTrack[[Vendor - Contract]:[Vendor - Contract]],$H129,CostTrack[[Holdback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29" s="505">
        <v>-44276.34</v>
      </c>
      <c r="EE129" s="505"/>
      <c r="EF129" s="505"/>
      <c r="EG129" s="505"/>
      <c r="EH129" s="505"/>
      <c r="EI129" s="505"/>
      <c r="EJ129" s="505"/>
      <c r="EK129" s="505"/>
      <c r="EL129" s="505"/>
      <c r="EM129" s="505"/>
      <c r="EN129" s="505"/>
      <c r="EO129" s="512">
        <f t="shared" ca="1" si="271"/>
        <v>-44276.34</v>
      </c>
      <c r="EQ129" s="505"/>
      <c r="ER129" s="505"/>
      <c r="ES129" s="505"/>
      <c r="ET129" s="505"/>
      <c r="EU129" s="505"/>
      <c r="EV129" s="505"/>
      <c r="EW129" s="505"/>
      <c r="EX129" s="505"/>
      <c r="EY129" s="505"/>
      <c r="EZ129" s="505"/>
      <c r="FA129" s="505"/>
      <c r="FB129" s="505"/>
      <c r="FC129" s="512">
        <f t="shared" si="272"/>
        <v>0</v>
      </c>
      <c r="FE129" s="505"/>
      <c r="FF129" s="505"/>
      <c r="FG129" s="505"/>
      <c r="FH129" s="505"/>
      <c r="FI129" s="505"/>
      <c r="FJ129" s="505"/>
      <c r="FK129" s="505"/>
      <c r="FL129" s="505"/>
      <c r="FM129" s="505"/>
      <c r="FN129" s="505"/>
      <c r="FO129" s="505"/>
      <c r="FP129" s="505"/>
      <c r="FQ129" s="512">
        <f t="shared" si="273"/>
        <v>0</v>
      </c>
      <c r="FS129" s="504">
        <f t="shared" ca="1" si="274"/>
        <v>-44276.34</v>
      </c>
    </row>
    <row r="130" spans="1:175">
      <c r="A130" s="216">
        <v>123</v>
      </c>
      <c r="B130" s="219" t="str">
        <f ca="1">INDEX(EAC[PA ID],MATCH($A130,EAC[Row],0))</f>
        <v>400.020.F1</v>
      </c>
      <c r="C130" s="218" t="str">
        <f ca="1">INDEX(EAC[Primary Category],MATCH($A130,EAC[Row],0))</f>
        <v>FE_IT</v>
      </c>
      <c r="D130" s="218" t="str">
        <f ca="1">INDEX(EAC[Secondary Category],MATCH($A130,EAC[Row],0))</f>
        <v>Information Technology</v>
      </c>
      <c r="E130" s="109" t="str">
        <f ca="1">INDEX(EAC[Phase / Subproject],MATCH($A130,EAC[Row],0))</f>
        <v>--</v>
      </c>
      <c r="F130" s="109" t="str">
        <f ca="1">INDEX(EAC[Phase / Subproject 2],MATCH($A130,EAC[Row],0))</f>
        <v>--</v>
      </c>
      <c r="G130" s="109" t="str">
        <f ca="1">INDEX(EAC[Funding Source],MATCH($A130,EAC[Row],0))</f>
        <v>P-002360</v>
      </c>
      <c r="H130" s="146" t="str">
        <f ca="1">INDEX(EAC[Vendor / Org. with Contract ID],MATCH($A130,EAC[Row],0))</f>
        <v>IUT IN- CTS WAPS-IUT</v>
      </c>
      <c r="I130" s="502">
        <f ca="1">INDEX(EAC[Estimate At Completion],MATCH($A130,EAC[Row],0))</f>
        <v>500000</v>
      </c>
      <c r="J130" s="502">
        <f ca="1">SUMIFS(CostTrack[Value],CostTrack[Vendor - Contract],$H130,CostTrack[PA ID],$B130,CostTrack[Holdback (Y/N/R)],"&lt;&gt;Release",CostTrack[Status],"Approved")</f>
        <v>0</v>
      </c>
      <c r="K130" s="503">
        <f t="shared" ca="1" si="283"/>
        <v>500000</v>
      </c>
      <c r="M130" s="504">
        <f t="shared" ca="1" si="264"/>
        <v>0</v>
      </c>
      <c r="O130" s="504">
        <f t="shared" ca="1" si="275"/>
        <v>0</v>
      </c>
      <c r="P130" s="504">
        <f t="array" aca="1" ref="P130" ca="1">SUM($U130:$FQ130*_xlfn.ISFORMULA($U130:$FQ130)*ISNUMBER($U$7:$FQ$7)*--(INDEX($U$6:$FQ$6,N(IF({1},COLUMN($U$6:$FQ$6)-COLUMN($T$6)))-MOD(N(IF({1},COLUMN($U$6:$FQ$6)-COLUMN($U$6))),14))="Current Fiscal"))</f>
        <v>0</v>
      </c>
      <c r="Q130" s="504">
        <f t="array" aca="1" ref="Q130" ca="1">SUM($U130:$FQ130*NOT(_xlfn.ISFORMULA($U130:$FQ130))*ISNUMBER($U$7:$FQ$7)*--(INDEX($U$6:$FQ$6,N(IF({1},COLUMN($U$6:$FQ$6)-COLUMN($T$6)))-MOD(N(IF({1},COLUMN($U$6:$FQ$6)-COLUMN($U$6))),14))="Current Fiscal"))</f>
        <v>100000</v>
      </c>
      <c r="R130" s="504">
        <f t="shared" ca="1" si="276"/>
        <v>100000</v>
      </c>
      <c r="S130" s="504">
        <f t="shared" ca="1" si="277"/>
        <v>400000</v>
      </c>
      <c r="U130" s="504">
        <f ca="1">SUMIFS(CostTrack[[Value]:[Value]],CostTrack[[PA ID]:[PA ID]],$B130,CostTrack[[Vendor - Contract]:[Vendor - Contract]],$H130,CostTrack[[Holdback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30" s="504">
        <f ca="1">SUMIFS(CostTrack[[Value]:[Value]],CostTrack[[PA ID]:[PA ID]],$B130,CostTrack[[Vendor - Contract]:[Vendor - Contract]],$H130,CostTrack[[Holdback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30" s="504">
        <f ca="1">SUMIFS(CostTrack[[Value]:[Value]],CostTrack[[PA ID]:[PA ID]],$B130,CostTrack[[Vendor - Contract]:[Vendor - Contract]],$H130,CostTrack[[Holdback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30" s="504">
        <f ca="1">SUMIFS(CostTrack[[Value]:[Value]],CostTrack[[PA ID]:[PA ID]],$B130,CostTrack[[Vendor - Contract]:[Vendor - Contract]],$H130,CostTrack[[Holdback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30" s="504">
        <f ca="1">SUMIFS(CostTrack[[Value]:[Value]],CostTrack[[PA ID]:[PA ID]],$B130,CostTrack[[Vendor - Contract]:[Vendor - Contract]],$H130,CostTrack[[Holdback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30" s="504">
        <f ca="1">SUMIFS(CostTrack[[Value]:[Value]],CostTrack[[PA ID]:[PA ID]],$B130,CostTrack[[Vendor - Contract]:[Vendor - Contract]],$H130,CostTrack[[Holdback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30" s="504">
        <f ca="1">SUMIFS(CostTrack[[Value]:[Value]],CostTrack[[PA ID]:[PA ID]],$B130,CostTrack[[Vendor - Contract]:[Vendor - Contract]],$H130,CostTrack[[Holdback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30" s="504">
        <f ca="1">SUMIFS(CostTrack[[Value]:[Value]],CostTrack[[PA ID]:[PA ID]],$B130,CostTrack[[Vendor - Contract]:[Vendor - Contract]],$H130,CostTrack[[Holdback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30" s="504">
        <f ca="1">SUMIFS(CostTrack[[Value]:[Value]],CostTrack[[PA ID]:[PA ID]],$B130,CostTrack[[Vendor - Contract]:[Vendor - Contract]],$H130,CostTrack[[Holdback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30" s="504">
        <f ca="1">SUMIFS(CostTrack[[Value]:[Value]],CostTrack[[PA ID]:[PA ID]],$B130,CostTrack[[Vendor - Contract]:[Vendor - Contract]],$H130,CostTrack[[Holdback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30" s="504">
        <f ca="1">SUMIFS(CostTrack[[Value]:[Value]],CostTrack[[PA ID]:[PA ID]],$B130,CostTrack[[Vendor - Contract]:[Vendor - Contract]],$H130,CostTrack[[Holdback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30" s="504">
        <f ca="1">SUMIFS(CostTrack[[Value]:[Value]],CostTrack[[PA ID]:[PA ID]],$B130,CostTrack[[Vendor - Contract]:[Vendor - Contract]],$H130,CostTrack[[Holdback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30" s="506">
        <f t="shared" ca="1" si="235"/>
        <v>0</v>
      </c>
      <c r="AI130" s="504">
        <f ca="1">SUMIFS(CostTrack[[Value]:[Value]],CostTrack[[PA ID]:[PA ID]],$B130,CostTrack[[Vendor - Contract]:[Vendor - Contract]],$H130,CostTrack[[Holdback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30" s="504">
        <f ca="1">SUMIFS(CostTrack[[Value]:[Value]],CostTrack[[PA ID]:[PA ID]],$B130,CostTrack[[Vendor - Contract]:[Vendor - Contract]],$H130,CostTrack[[Holdback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30" s="504">
        <f ca="1">SUMIFS(CostTrack[[Value]:[Value]],CostTrack[[PA ID]:[PA ID]],$B130,CostTrack[[Vendor - Contract]:[Vendor - Contract]],$H130,CostTrack[[Holdback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30" s="504">
        <f ca="1">SUMIFS(CostTrack[[Value]:[Value]],CostTrack[[PA ID]:[PA ID]],$B130,CostTrack[[Vendor - Contract]:[Vendor - Contract]],$H130,CostTrack[[Holdback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30" s="504">
        <f ca="1">SUMIFS(CostTrack[[Value]:[Value]],CostTrack[[PA ID]:[PA ID]],$B130,CostTrack[[Vendor - Contract]:[Vendor - Contract]],$H130,CostTrack[[Holdback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30" s="504">
        <f ca="1">SUMIFS(CostTrack[[Value]:[Value]],CostTrack[[PA ID]:[PA ID]],$B130,CostTrack[[Vendor - Contract]:[Vendor - Contract]],$H130,CostTrack[[Holdback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30" s="504">
        <f ca="1">SUMIFS(CostTrack[[Value]:[Value]],CostTrack[[PA ID]:[PA ID]],$B130,CostTrack[[Vendor - Contract]:[Vendor - Contract]],$H130,CostTrack[[Holdback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30" s="504">
        <f ca="1">SUMIFS(CostTrack[[Value]:[Value]],CostTrack[[PA ID]:[PA ID]],$B130,CostTrack[[Vendor - Contract]:[Vendor - Contract]],$H130,CostTrack[[Holdback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30" s="504">
        <f ca="1">SUMIFS(CostTrack[[Value]:[Value]],CostTrack[[PA ID]:[PA ID]],$B130,CostTrack[[Vendor - Contract]:[Vendor - Contract]],$H130,CostTrack[[Holdback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30" s="504">
        <f ca="1">SUMIFS(CostTrack[[Value]:[Value]],CostTrack[[PA ID]:[PA ID]],$B130,CostTrack[[Vendor - Contract]:[Vendor - Contract]],$H130,CostTrack[[Holdback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30" s="504">
        <f ca="1">SUMIFS(CostTrack[[Value]:[Value]],CostTrack[[PA ID]:[PA ID]],$B130,CostTrack[[Vendor - Contract]:[Vendor - Contract]],$H130,CostTrack[[Holdback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30" s="504">
        <f ca="1">SUMIFS(CostTrack[[Value]:[Value]],CostTrack[[PA ID]:[PA ID]],$B130,CostTrack[[Vendor - Contract]:[Vendor - Contract]],$H130,CostTrack[[Holdback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30" s="512">
        <f t="shared" ca="1" si="252"/>
        <v>0</v>
      </c>
      <c r="AW130" s="504">
        <f ca="1">SUMIFS(CostTrack[[Value]:[Value]],CostTrack[[PA ID]:[PA ID]],$B130,CostTrack[[Vendor - Contract]:[Vendor - Contract]],$H130,CostTrack[[Holdback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30" s="504">
        <f ca="1">SUMIFS(CostTrack[[Value]:[Value]],CostTrack[[PA ID]:[PA ID]],$B130,CostTrack[[Vendor - Contract]:[Vendor - Contract]],$H130,CostTrack[[Holdback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30" s="504">
        <f ca="1">SUMIFS(CostTrack[[Value]:[Value]],CostTrack[[PA ID]:[PA ID]],$B130,CostTrack[[Vendor - Contract]:[Vendor - Contract]],$H130,CostTrack[[Holdback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30" s="504">
        <f ca="1">SUMIFS(CostTrack[[Value]:[Value]],CostTrack[[PA ID]:[PA ID]],$B130,CostTrack[[Vendor - Contract]:[Vendor - Contract]],$H130,CostTrack[[Holdback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30" s="504">
        <f ca="1">SUMIFS(CostTrack[[Value]:[Value]],CostTrack[[PA ID]:[PA ID]],$B130,CostTrack[[Vendor - Contract]:[Vendor - Contract]],$H130,CostTrack[[Holdback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30" s="504">
        <f ca="1">SUMIFS(CostTrack[[Value]:[Value]],CostTrack[[PA ID]:[PA ID]],$B130,CostTrack[[Vendor - Contract]:[Vendor - Contract]],$H130,CostTrack[[Holdback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30" s="504">
        <f ca="1">SUMIFS(CostTrack[[Value]:[Value]],CostTrack[[PA ID]:[PA ID]],$B130,CostTrack[[Vendor - Contract]:[Vendor - Contract]],$H130,CostTrack[[Holdback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30" s="504">
        <f ca="1">SUMIFS(CostTrack[[Value]:[Value]],CostTrack[[PA ID]:[PA ID]],$B130,CostTrack[[Vendor - Contract]:[Vendor - Contract]],$H130,CostTrack[[Holdback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30" s="504">
        <f ca="1">SUMIFS(CostTrack[[Value]:[Value]],CostTrack[[PA ID]:[PA ID]],$B130,CostTrack[[Vendor - Contract]:[Vendor - Contract]],$H130,CostTrack[[Holdback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30" s="504">
        <f ca="1">SUMIFS(CostTrack[[Value]:[Value]],CostTrack[[PA ID]:[PA ID]],$B130,CostTrack[[Vendor - Contract]:[Vendor - Contract]],$H130,CostTrack[[Holdback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30" s="504">
        <f ca="1">SUMIFS(CostTrack[[Value]:[Value]],CostTrack[[PA ID]:[PA ID]],$B130,CostTrack[[Vendor - Contract]:[Vendor - Contract]],$H130,CostTrack[[Holdback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30" s="504">
        <f ca="1">SUMIFS(CostTrack[[Value]:[Value]],CostTrack[[PA ID]:[PA ID]],$B130,CostTrack[[Vendor - Contract]:[Vendor - Contract]],$H130,CostTrack[[Holdback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30" s="512">
        <f t="shared" ca="1" si="268"/>
        <v>0</v>
      </c>
      <c r="BK130" s="504">
        <f ca="1">SUMIFS(CostTrack[[Value]:[Value]],CostTrack[[PA ID]:[PA ID]],$B130,CostTrack[[Vendor - Contract]:[Vendor - Contract]],$H130,CostTrack[[Holdback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30" s="504">
        <f ca="1">SUMIFS(CostTrack[[Value]:[Value]],CostTrack[[PA ID]:[PA ID]],$B130,CostTrack[[Vendor - Contract]:[Vendor - Contract]],$H130,CostTrack[[Holdback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30" s="504">
        <f ca="1">SUMIFS(CostTrack[[Value]:[Value]],CostTrack[[PA ID]:[PA ID]],$B130,CostTrack[[Vendor - Contract]:[Vendor - Contract]],$H130,CostTrack[[Holdback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30" s="504">
        <f ca="1">SUMIFS(CostTrack[[Value]:[Value]],CostTrack[[PA ID]:[PA ID]],$B130,CostTrack[[Vendor - Contract]:[Vendor - Contract]],$H130,CostTrack[[Holdback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30" s="504">
        <f ca="1">SUMIFS(CostTrack[[Value]:[Value]],CostTrack[[PA ID]:[PA ID]],$B130,CostTrack[[Vendor - Contract]:[Vendor - Contract]],$H130,CostTrack[[Holdback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30" s="504">
        <f ca="1">SUMIFS(CostTrack[[Value]:[Value]],CostTrack[[PA ID]:[PA ID]],$B130,CostTrack[[Vendor - Contract]:[Vendor - Contract]],$H130,CostTrack[[Holdback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30" s="504">
        <f ca="1">SUMIFS(CostTrack[[Value]:[Value]],CostTrack[[PA ID]:[PA ID]],$B130,CostTrack[[Vendor - Contract]:[Vendor - Contract]],$H130,CostTrack[[Holdback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30" s="504">
        <f ca="1">SUMIFS(CostTrack[[Value]:[Value]],CostTrack[[PA ID]:[PA ID]],$B130,CostTrack[[Vendor - Contract]:[Vendor - Contract]],$H130,CostTrack[[Holdback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30" s="504">
        <f ca="1">SUMIFS(CostTrack[[Value]:[Value]],CostTrack[[PA ID]:[PA ID]],$B130,CostTrack[[Vendor - Contract]:[Vendor - Contract]],$H130,CostTrack[[Holdback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30" s="504">
        <f ca="1">SUMIFS(CostTrack[[Value]:[Value]],CostTrack[[PA ID]:[PA ID]],$B130,CostTrack[[Vendor - Contract]:[Vendor - Contract]],$H130,CostTrack[[Holdback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30" s="504">
        <f ca="1">SUMIFS(CostTrack[[Value]:[Value]],CostTrack[[PA ID]:[PA ID]],$B130,CostTrack[[Vendor - Contract]:[Vendor - Contract]],$H130,CostTrack[[Holdback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30" s="504">
        <f ca="1">SUMIFS(CostTrack[[Value]:[Value]],CostTrack[[PA ID]:[PA ID]],$B130,CostTrack[[Vendor - Contract]:[Vendor - Contract]],$H130,CostTrack[[Holdback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30" s="512">
        <f t="shared" ca="1" si="269"/>
        <v>0</v>
      </c>
      <c r="BY130" s="504">
        <f ca="1">SUMIFS(CostTrack[[Value]:[Value]],CostTrack[[PA ID]:[PA ID]],$B130,CostTrack[[Vendor - Contract]:[Vendor - Contract]],$H130,CostTrack[[Holdback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30" s="504">
        <f ca="1">SUMIFS(CostTrack[[Value]:[Value]],CostTrack[[PA ID]:[PA ID]],$B130,CostTrack[[Vendor - Contract]:[Vendor - Contract]],$H130,CostTrack[[Holdback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30" s="504">
        <f ca="1">SUMIFS(CostTrack[[Value]:[Value]],CostTrack[[PA ID]:[PA ID]],$B130,CostTrack[[Vendor - Contract]:[Vendor - Contract]],$H130,CostTrack[[Holdback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30" s="504">
        <f ca="1">SUMIFS(CostTrack[[Value]:[Value]],CostTrack[[PA ID]:[PA ID]],$B130,CostTrack[[Vendor - Contract]:[Vendor - Contract]],$H130,CostTrack[[Holdback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30" s="504">
        <f ca="1">SUMIFS(CostTrack[[Value]:[Value]],CostTrack[[PA ID]:[PA ID]],$B130,CostTrack[[Vendor - Contract]:[Vendor - Contract]],$H130,CostTrack[[Holdback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30" s="504">
        <f ca="1">SUMIFS(CostTrack[[Value]:[Value]],CostTrack[[PA ID]:[PA ID]],$B130,CostTrack[[Vendor - Contract]:[Vendor - Contract]],$H130,CostTrack[[Holdback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30" s="504">
        <f ca="1">SUMIFS(CostTrack[[Value]:[Value]],CostTrack[[PA ID]:[PA ID]],$B130,CostTrack[[Vendor - Contract]:[Vendor - Contract]],$H130,CostTrack[[Holdback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30" s="504">
        <f ca="1">SUMIFS(CostTrack[[Value]:[Value]],CostTrack[[PA ID]:[PA ID]],$B130,CostTrack[[Vendor - Contract]:[Vendor - Contract]],$H130,CostTrack[[Holdback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30" s="504">
        <f ca="1">SUMIFS(CostTrack[[Value]:[Value]],CostTrack[[PA ID]:[PA ID]],$B130,CostTrack[[Vendor - Contract]:[Vendor - Contract]],$H130,CostTrack[[Holdback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30" s="504">
        <f ca="1">SUMIFS(CostTrack[[Value]:[Value]],CostTrack[[PA ID]:[PA ID]],$B130,CostTrack[[Vendor - Contract]:[Vendor - Contract]],$H130,CostTrack[[Holdback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30" s="504">
        <f ca="1">SUMIFS(CostTrack[[Value]:[Value]],CostTrack[[PA ID]:[PA ID]],$B130,CostTrack[[Vendor - Contract]:[Vendor - Contract]],$H130,CostTrack[[Holdback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30" s="504">
        <f ca="1">SUMIFS(CostTrack[[Value]:[Value]],CostTrack[[PA ID]:[PA ID]],$B130,CostTrack[[Vendor - Contract]:[Vendor - Contract]],$H130,CostTrack[[Holdback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30" s="512">
        <f t="shared" ca="1" si="255"/>
        <v>0</v>
      </c>
      <c r="CM130" s="504">
        <f ca="1">SUMIFS(CostTrack[[Value]:[Value]],CostTrack[[PA ID]:[PA ID]],$B130,CostTrack[[Vendor - Contract]:[Vendor - Contract]],$H130,CostTrack[[Holdback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30" s="504">
        <f ca="1">SUMIFS(CostTrack[[Value]:[Value]],CostTrack[[PA ID]:[PA ID]],$B130,CostTrack[[Vendor - Contract]:[Vendor - Contract]],$H130,CostTrack[[Holdback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30" s="504">
        <f ca="1">SUMIFS(CostTrack[[Value]:[Value]],CostTrack[[PA ID]:[PA ID]],$B130,CostTrack[[Vendor - Contract]:[Vendor - Contract]],$H130,CostTrack[[Holdback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30" s="504">
        <f ca="1">SUMIFS(CostTrack[[Value]:[Value]],CostTrack[[PA ID]:[PA ID]],$B130,CostTrack[[Vendor - Contract]:[Vendor - Contract]],$H130,CostTrack[[Holdback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30" s="504">
        <f ca="1">SUMIFS(CostTrack[[Value]:[Value]],CostTrack[[PA ID]:[PA ID]],$B130,CostTrack[[Vendor - Contract]:[Vendor - Contract]],$H130,CostTrack[[Holdback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30" s="504">
        <f ca="1">SUMIFS(CostTrack[[Value]:[Value]],CostTrack[[PA ID]:[PA ID]],$B130,CostTrack[[Vendor - Contract]:[Vendor - Contract]],$H130,CostTrack[[Holdback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30" s="504">
        <f ca="1">SUMIFS(CostTrack[[Value]:[Value]],CostTrack[[PA ID]:[PA ID]],$B130,CostTrack[[Vendor - Contract]:[Vendor - Contract]],$H130,CostTrack[[Holdback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30" s="504">
        <f ca="1">SUMIFS(CostTrack[[Value]:[Value]],CostTrack[[PA ID]:[PA ID]],$B130,CostTrack[[Vendor - Contract]:[Vendor - Contract]],$H130,CostTrack[[Holdback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30" s="504">
        <f ca="1">SUMIFS(CostTrack[[Value]:[Value]],CostTrack[[PA ID]:[PA ID]],$B130,CostTrack[[Vendor - Contract]:[Vendor - Contract]],$H130,CostTrack[[Holdback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30" s="504">
        <f ca="1">SUMIFS(CostTrack[[Value]:[Value]],CostTrack[[PA ID]:[PA ID]],$B130,CostTrack[[Vendor - Contract]:[Vendor - Contract]],$H130,CostTrack[[Holdback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30" s="504">
        <f ca="1">SUMIFS(CostTrack[[Value]:[Value]],CostTrack[[PA ID]:[PA ID]],$B130,CostTrack[[Vendor - Contract]:[Vendor - Contract]],$H130,CostTrack[[Holdback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30" s="504">
        <f ca="1">SUMIFS(CostTrack[[Value]:[Value]],CostTrack[[PA ID]:[PA ID]],$B130,CostTrack[[Vendor - Contract]:[Vendor - Contract]],$H130,CostTrack[[Holdback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30" s="512">
        <f t="shared" ca="1" si="256"/>
        <v>0</v>
      </c>
      <c r="DA130" s="504">
        <f ca="1">SUMIFS(CostTrack[[Value]:[Value]],CostTrack[[PA ID]:[PA ID]],$B130,CostTrack[[Vendor - Contract]:[Vendor - Contract]],$H130,CostTrack[[Holdback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30" s="504">
        <f ca="1">SUMIFS(CostTrack[[Value]:[Value]],CostTrack[[PA ID]:[PA ID]],$B130,CostTrack[[Vendor - Contract]:[Vendor - Contract]],$H130,CostTrack[[Holdback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30" s="504">
        <f ca="1">SUMIFS(CostTrack[[Value]:[Value]],CostTrack[[PA ID]:[PA ID]],$B130,CostTrack[[Vendor - Contract]:[Vendor - Contract]],$H130,CostTrack[[Holdback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30" s="504">
        <f ca="1">SUMIFS(CostTrack[[Value]:[Value]],CostTrack[[PA ID]:[PA ID]],$B130,CostTrack[[Vendor - Contract]:[Vendor - Contract]],$H130,CostTrack[[Holdback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30" s="504">
        <f ca="1">SUMIFS(CostTrack[[Value]:[Value]],CostTrack[[PA ID]:[PA ID]],$B130,CostTrack[[Vendor - Contract]:[Vendor - Contract]],$H130,CostTrack[[Holdback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30" s="504">
        <f ca="1">SUMIFS(CostTrack[[Value]:[Value]],CostTrack[[PA ID]:[PA ID]],$B130,CostTrack[[Vendor - Contract]:[Vendor - Contract]],$H130,CostTrack[[Holdback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30" s="504">
        <f ca="1">SUMIFS(CostTrack[[Value]:[Value]],CostTrack[[PA ID]:[PA ID]],$B130,CostTrack[[Vendor - Contract]:[Vendor - Contract]],$H130,CostTrack[[Holdback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30" s="504">
        <f ca="1">SUMIFS(CostTrack[[Value]:[Value]],CostTrack[[PA ID]:[PA ID]],$B130,CostTrack[[Vendor - Contract]:[Vendor - Contract]],$H130,CostTrack[[Holdback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30" s="504">
        <f ca="1">SUMIFS(CostTrack[[Value]:[Value]],CostTrack[[PA ID]:[PA ID]],$B130,CostTrack[[Vendor - Contract]:[Vendor - Contract]],$H130,CostTrack[[Holdback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30" s="504">
        <f ca="1">SUMIFS(CostTrack[[Value]:[Value]],CostTrack[[PA ID]:[PA ID]],$B130,CostTrack[[Vendor - Contract]:[Vendor - Contract]],$H130,CostTrack[[Holdback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30" s="504">
        <f ca="1">SUMIFS(CostTrack[[Value]:[Value]],CostTrack[[PA ID]:[PA ID]],$B130,CostTrack[[Vendor - Contract]:[Vendor - Contract]],$H130,CostTrack[[Holdback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30" s="504">
        <f ca="1">SUMIFS(CostTrack[[Value]:[Value]],CostTrack[[PA ID]:[PA ID]],$B130,CostTrack[[Vendor - Contract]:[Vendor - Contract]],$H130,CostTrack[[Holdback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30" s="512">
        <f t="shared" ca="1" si="257"/>
        <v>0</v>
      </c>
      <c r="DO130" s="504">
        <f ca="1">SUMIFS(CostTrack[[Value]:[Value]],CostTrack[[PA ID]:[PA ID]],$B130,CostTrack[[Vendor - Contract]:[Vendor - Contract]],$H130,CostTrack[[Holdback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30" s="504">
        <f ca="1">SUMIFS(CostTrack[[Value]:[Value]],CostTrack[[PA ID]:[PA ID]],$B130,CostTrack[[Vendor - Contract]:[Vendor - Contract]],$H130,CostTrack[[Holdback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30" s="504">
        <f ca="1">SUMIFS(CostTrack[[Value]:[Value]],CostTrack[[PA ID]:[PA ID]],$B130,CostTrack[[Vendor - Contract]:[Vendor - Contract]],$H130,CostTrack[[Holdback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30" s="504">
        <f ca="1">SUMIFS(CostTrack[[Value]:[Value]],CostTrack[[PA ID]:[PA ID]],$B130,CostTrack[[Vendor - Contract]:[Vendor - Contract]],$H130,CostTrack[[Holdback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30" s="504">
        <f ca="1">SUMIFS(CostTrack[[Value]:[Value]],CostTrack[[PA ID]:[PA ID]],$B130,CostTrack[[Vendor - Contract]:[Vendor - Contract]],$H130,CostTrack[[Holdback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30" s="504">
        <f ca="1">SUMIFS(CostTrack[[Value]:[Value]],CostTrack[[PA ID]:[PA ID]],$B130,CostTrack[[Vendor - Contract]:[Vendor - Contract]],$H130,CostTrack[[Holdback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30" s="504">
        <f ca="1">SUMIFS(CostTrack[[Value]:[Value]],CostTrack[[PA ID]:[PA ID]],$B130,CostTrack[[Vendor - Contract]:[Vendor - Contract]],$H130,CostTrack[[Holdback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30" s="504">
        <f ca="1">SUMIFS(CostTrack[[Value]:[Value]],CostTrack[[PA ID]:[PA ID]],$B130,CostTrack[[Vendor - Contract]:[Vendor - Contract]],$H130,CostTrack[[Holdback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30" s="504">
        <f ca="1">SUMIFS(CostTrack[[Value]:[Value]],CostTrack[[PA ID]:[PA ID]],$B130,CostTrack[[Vendor - Contract]:[Vendor - Contract]],$H130,CostTrack[[Holdback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30" s="504">
        <f ca="1">SUMIFS(CostTrack[[Value]:[Value]],CostTrack[[PA ID]:[PA ID]],$B130,CostTrack[[Vendor - Contract]:[Vendor - Contract]],$H130,CostTrack[[Holdback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30" s="504">
        <f ca="1">SUMIFS(CostTrack[[Value]:[Value]],CostTrack[[PA ID]:[PA ID]],$B130,CostTrack[[Vendor - Contract]:[Vendor - Contract]],$H130,CostTrack[[Holdback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30" s="504">
        <f ca="1">SUMIFS(CostTrack[[Value]:[Value]],CostTrack[[PA ID]:[PA ID]],$B130,CostTrack[[Vendor - Contract]:[Vendor - Contract]],$H130,CostTrack[[Holdback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30" s="512">
        <f t="shared" ca="1" si="270"/>
        <v>0</v>
      </c>
      <c r="EC130" s="504">
        <f ca="1">SUMIFS(CostTrack[[Value]:[Value]],CostTrack[[PA ID]:[PA ID]],$B130,CostTrack[[Vendor - Contract]:[Vendor - Contract]],$H130,CostTrack[[Holdback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30" s="505"/>
      <c r="EE130" s="505"/>
      <c r="EF130" s="505"/>
      <c r="EG130" s="505"/>
      <c r="EH130" s="505"/>
      <c r="EI130" s="505"/>
      <c r="EJ130" s="505"/>
      <c r="EK130" s="505"/>
      <c r="EL130" s="505"/>
      <c r="EM130" s="505"/>
      <c r="EN130" s="505">
        <v>100000</v>
      </c>
      <c r="EO130" s="512">
        <f t="shared" ca="1" si="271"/>
        <v>100000</v>
      </c>
      <c r="EQ130" s="505"/>
      <c r="ER130" s="505"/>
      <c r="ES130" s="505"/>
      <c r="ET130" s="505">
        <v>100000</v>
      </c>
      <c r="EU130" s="505">
        <v>100000</v>
      </c>
      <c r="EV130" s="505">
        <v>100000</v>
      </c>
      <c r="EW130" s="505">
        <v>100000</v>
      </c>
      <c r="EX130" s="505"/>
      <c r="EY130" s="505"/>
      <c r="EZ130" s="505"/>
      <c r="FA130" s="505"/>
      <c r="FB130" s="505"/>
      <c r="FC130" s="512">
        <f t="shared" si="272"/>
        <v>400000</v>
      </c>
      <c r="FE130" s="505"/>
      <c r="FF130" s="505"/>
      <c r="FG130" s="505"/>
      <c r="FH130" s="505"/>
      <c r="FI130" s="505"/>
      <c r="FJ130" s="505"/>
      <c r="FK130" s="505"/>
      <c r="FL130" s="505"/>
      <c r="FM130" s="505"/>
      <c r="FN130" s="505"/>
      <c r="FO130" s="505"/>
      <c r="FP130" s="505"/>
      <c r="FQ130" s="512">
        <f t="shared" si="273"/>
        <v>0</v>
      </c>
      <c r="FS130" s="504">
        <f t="shared" ca="1" si="274"/>
        <v>500000</v>
      </c>
    </row>
    <row r="131" spans="1:175">
      <c r="A131" s="216">
        <v>124</v>
      </c>
      <c r="B131" s="219" t="str">
        <f ca="1">INDEX(EAC[PA ID],MATCH($A131,EAC[Row],0))</f>
        <v>300.040.F1</v>
      </c>
      <c r="C131" s="218" t="str">
        <f ca="1">INDEX(EAC[Primary Category],MATCH($A131,EAC[Row],0))</f>
        <v>Construction</v>
      </c>
      <c r="D131" s="218" t="str">
        <f ca="1">INDEX(EAC[Secondary Category],MATCH($A131,EAC[Row],0))</f>
        <v>Other Contractor</v>
      </c>
      <c r="E131" s="109" t="str">
        <f ca="1">INDEX(EAC[Phase / Subproject],MATCH($A131,EAC[Row],0))</f>
        <v>--</v>
      </c>
      <c r="F131" s="109" t="str">
        <f ca="1">INDEX(EAC[Phase / Subproject 2],MATCH($A131,EAC[Row],0))</f>
        <v>--</v>
      </c>
      <c r="G131" s="109" t="str">
        <f ca="1">INDEX(EAC[Funding Source],MATCH($A131,EAC[Row],0))</f>
        <v>P-002360</v>
      </c>
      <c r="H131" s="146" t="str">
        <f ca="1">INDEX(EAC[Vendor / Org. with Contract ID],MATCH($A131,EAC[Row],0))</f>
        <v>Facilities-</v>
      </c>
      <c r="I131" s="502">
        <f ca="1">INDEX(EAC[Estimate At Completion],MATCH($A131,EAC[Row],0))</f>
        <v>500000</v>
      </c>
      <c r="J131" s="502">
        <f ca="1">SUMIFS(CostTrack[Value],CostTrack[Vendor - Contract],$H131,CostTrack[PA ID],$B131,CostTrack[Holdback (Y/N/R)],"&lt;&gt;Release",CostTrack[Status],"Approved")</f>
        <v>0</v>
      </c>
      <c r="K131" s="503">
        <f t="shared" ca="1" si="283"/>
        <v>500000</v>
      </c>
      <c r="M131" s="504">
        <f t="shared" ca="1" si="264"/>
        <v>0</v>
      </c>
      <c r="O131" s="504">
        <f t="shared" ca="1" si="275"/>
        <v>0</v>
      </c>
      <c r="P131" s="504">
        <f t="array" aca="1" ref="P131" ca="1">SUM($U131:$FQ131*_xlfn.ISFORMULA($U131:$FQ131)*ISNUMBER($U$7:$FQ$7)*--(INDEX($U$6:$FQ$6,N(IF({1},COLUMN($U$6:$FQ$6)-COLUMN($T$6)))-MOD(N(IF({1},COLUMN($U$6:$FQ$6)-COLUMN($U$6))),14))="Current Fiscal"))</f>
        <v>0</v>
      </c>
      <c r="Q131" s="504">
        <f t="array" aca="1" ref="Q131" ca="1">SUM($U131:$FQ131*NOT(_xlfn.ISFORMULA($U131:$FQ131))*ISNUMBER($U$7:$FQ$7)*--(INDEX($U$6:$FQ$6,N(IF({1},COLUMN($U$6:$FQ$6)-COLUMN($T$6)))-MOD(N(IF({1},COLUMN($U$6:$FQ$6)-COLUMN($U$6))),14))="Current Fiscal"))</f>
        <v>100000</v>
      </c>
      <c r="R131" s="504">
        <f t="shared" ca="1" si="276"/>
        <v>100000</v>
      </c>
      <c r="S131" s="504">
        <f t="shared" ca="1" si="277"/>
        <v>400000</v>
      </c>
      <c r="U131" s="504">
        <f ca="1">SUMIFS(CostTrack[[Value]:[Value]],CostTrack[[PA ID]:[PA ID]],$B131,CostTrack[[Vendor - Contract]:[Vendor - Contract]],$H131,CostTrack[[Holdback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31" s="504">
        <f ca="1">SUMIFS(CostTrack[[Value]:[Value]],CostTrack[[PA ID]:[PA ID]],$B131,CostTrack[[Vendor - Contract]:[Vendor - Contract]],$H131,CostTrack[[Holdback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31" s="504">
        <f ca="1">SUMIFS(CostTrack[[Value]:[Value]],CostTrack[[PA ID]:[PA ID]],$B131,CostTrack[[Vendor - Contract]:[Vendor - Contract]],$H131,CostTrack[[Holdback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31" s="504">
        <f ca="1">SUMIFS(CostTrack[[Value]:[Value]],CostTrack[[PA ID]:[PA ID]],$B131,CostTrack[[Vendor - Contract]:[Vendor - Contract]],$H131,CostTrack[[Holdback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31" s="504">
        <f ca="1">SUMIFS(CostTrack[[Value]:[Value]],CostTrack[[PA ID]:[PA ID]],$B131,CostTrack[[Vendor - Contract]:[Vendor - Contract]],$H131,CostTrack[[Holdback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31" s="504">
        <f ca="1">SUMIFS(CostTrack[[Value]:[Value]],CostTrack[[PA ID]:[PA ID]],$B131,CostTrack[[Vendor - Contract]:[Vendor - Contract]],$H131,CostTrack[[Holdback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31" s="504">
        <f ca="1">SUMIFS(CostTrack[[Value]:[Value]],CostTrack[[PA ID]:[PA ID]],$B131,CostTrack[[Vendor - Contract]:[Vendor - Contract]],$H131,CostTrack[[Holdback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31" s="504">
        <f ca="1">SUMIFS(CostTrack[[Value]:[Value]],CostTrack[[PA ID]:[PA ID]],$B131,CostTrack[[Vendor - Contract]:[Vendor - Contract]],$H131,CostTrack[[Holdback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31" s="504">
        <f ca="1">SUMIFS(CostTrack[[Value]:[Value]],CostTrack[[PA ID]:[PA ID]],$B131,CostTrack[[Vendor - Contract]:[Vendor - Contract]],$H131,CostTrack[[Holdback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31" s="504">
        <f ca="1">SUMIFS(CostTrack[[Value]:[Value]],CostTrack[[PA ID]:[PA ID]],$B131,CostTrack[[Vendor - Contract]:[Vendor - Contract]],$H131,CostTrack[[Holdback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31" s="504">
        <f ca="1">SUMIFS(CostTrack[[Value]:[Value]],CostTrack[[PA ID]:[PA ID]],$B131,CostTrack[[Vendor - Contract]:[Vendor - Contract]],$H131,CostTrack[[Holdback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31" s="504">
        <f ca="1">SUMIFS(CostTrack[[Value]:[Value]],CostTrack[[PA ID]:[PA ID]],$B131,CostTrack[[Vendor - Contract]:[Vendor - Contract]],$H131,CostTrack[[Holdback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31" s="506">
        <f t="shared" ca="1" si="235"/>
        <v>0</v>
      </c>
      <c r="AI131" s="504">
        <f ca="1">SUMIFS(CostTrack[[Value]:[Value]],CostTrack[[PA ID]:[PA ID]],$B131,CostTrack[[Vendor - Contract]:[Vendor - Contract]],$H131,CostTrack[[Holdback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31" s="504">
        <f ca="1">SUMIFS(CostTrack[[Value]:[Value]],CostTrack[[PA ID]:[PA ID]],$B131,CostTrack[[Vendor - Contract]:[Vendor - Contract]],$H131,CostTrack[[Holdback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31" s="504">
        <f ca="1">SUMIFS(CostTrack[[Value]:[Value]],CostTrack[[PA ID]:[PA ID]],$B131,CostTrack[[Vendor - Contract]:[Vendor - Contract]],$H131,CostTrack[[Holdback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31" s="504">
        <f ca="1">SUMIFS(CostTrack[[Value]:[Value]],CostTrack[[PA ID]:[PA ID]],$B131,CostTrack[[Vendor - Contract]:[Vendor - Contract]],$H131,CostTrack[[Holdback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31" s="504">
        <f ca="1">SUMIFS(CostTrack[[Value]:[Value]],CostTrack[[PA ID]:[PA ID]],$B131,CostTrack[[Vendor - Contract]:[Vendor - Contract]],$H131,CostTrack[[Holdback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31" s="504">
        <f ca="1">SUMIFS(CostTrack[[Value]:[Value]],CostTrack[[PA ID]:[PA ID]],$B131,CostTrack[[Vendor - Contract]:[Vendor - Contract]],$H131,CostTrack[[Holdback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31" s="504">
        <f ca="1">SUMIFS(CostTrack[[Value]:[Value]],CostTrack[[PA ID]:[PA ID]],$B131,CostTrack[[Vendor - Contract]:[Vendor - Contract]],$H131,CostTrack[[Holdback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31" s="504">
        <f ca="1">SUMIFS(CostTrack[[Value]:[Value]],CostTrack[[PA ID]:[PA ID]],$B131,CostTrack[[Vendor - Contract]:[Vendor - Contract]],$H131,CostTrack[[Holdback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31" s="504">
        <f ca="1">SUMIFS(CostTrack[[Value]:[Value]],CostTrack[[PA ID]:[PA ID]],$B131,CostTrack[[Vendor - Contract]:[Vendor - Contract]],$H131,CostTrack[[Holdback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31" s="504">
        <f ca="1">SUMIFS(CostTrack[[Value]:[Value]],CostTrack[[PA ID]:[PA ID]],$B131,CostTrack[[Vendor - Contract]:[Vendor - Contract]],$H131,CostTrack[[Holdback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31" s="504">
        <f ca="1">SUMIFS(CostTrack[[Value]:[Value]],CostTrack[[PA ID]:[PA ID]],$B131,CostTrack[[Vendor - Contract]:[Vendor - Contract]],$H131,CostTrack[[Holdback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31" s="504">
        <f ca="1">SUMIFS(CostTrack[[Value]:[Value]],CostTrack[[PA ID]:[PA ID]],$B131,CostTrack[[Vendor - Contract]:[Vendor - Contract]],$H131,CostTrack[[Holdback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31" s="512">
        <f t="shared" ca="1" si="252"/>
        <v>0</v>
      </c>
      <c r="AW131" s="504">
        <f ca="1">SUMIFS(CostTrack[[Value]:[Value]],CostTrack[[PA ID]:[PA ID]],$B131,CostTrack[[Vendor - Contract]:[Vendor - Contract]],$H131,CostTrack[[Holdback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31" s="504">
        <f ca="1">SUMIFS(CostTrack[[Value]:[Value]],CostTrack[[PA ID]:[PA ID]],$B131,CostTrack[[Vendor - Contract]:[Vendor - Contract]],$H131,CostTrack[[Holdback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31" s="504">
        <f ca="1">SUMIFS(CostTrack[[Value]:[Value]],CostTrack[[PA ID]:[PA ID]],$B131,CostTrack[[Vendor - Contract]:[Vendor - Contract]],$H131,CostTrack[[Holdback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31" s="504">
        <f ca="1">SUMIFS(CostTrack[[Value]:[Value]],CostTrack[[PA ID]:[PA ID]],$B131,CostTrack[[Vendor - Contract]:[Vendor - Contract]],$H131,CostTrack[[Holdback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31" s="504">
        <f ca="1">SUMIFS(CostTrack[[Value]:[Value]],CostTrack[[PA ID]:[PA ID]],$B131,CostTrack[[Vendor - Contract]:[Vendor - Contract]],$H131,CostTrack[[Holdback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31" s="504">
        <f ca="1">SUMIFS(CostTrack[[Value]:[Value]],CostTrack[[PA ID]:[PA ID]],$B131,CostTrack[[Vendor - Contract]:[Vendor - Contract]],$H131,CostTrack[[Holdback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31" s="504">
        <f ca="1">SUMIFS(CostTrack[[Value]:[Value]],CostTrack[[PA ID]:[PA ID]],$B131,CostTrack[[Vendor - Contract]:[Vendor - Contract]],$H131,CostTrack[[Holdback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31" s="504">
        <f ca="1">SUMIFS(CostTrack[[Value]:[Value]],CostTrack[[PA ID]:[PA ID]],$B131,CostTrack[[Vendor - Contract]:[Vendor - Contract]],$H131,CostTrack[[Holdback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31" s="504">
        <f ca="1">SUMIFS(CostTrack[[Value]:[Value]],CostTrack[[PA ID]:[PA ID]],$B131,CostTrack[[Vendor - Contract]:[Vendor - Contract]],$H131,CostTrack[[Holdback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31" s="504">
        <f ca="1">SUMIFS(CostTrack[[Value]:[Value]],CostTrack[[PA ID]:[PA ID]],$B131,CostTrack[[Vendor - Contract]:[Vendor - Contract]],$H131,CostTrack[[Holdback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31" s="504">
        <f ca="1">SUMIFS(CostTrack[[Value]:[Value]],CostTrack[[PA ID]:[PA ID]],$B131,CostTrack[[Vendor - Contract]:[Vendor - Contract]],$H131,CostTrack[[Holdback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31" s="504">
        <f ca="1">SUMIFS(CostTrack[[Value]:[Value]],CostTrack[[PA ID]:[PA ID]],$B131,CostTrack[[Vendor - Contract]:[Vendor - Contract]],$H131,CostTrack[[Holdback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31" s="512">
        <f t="shared" ca="1" si="268"/>
        <v>0</v>
      </c>
      <c r="BK131" s="504">
        <f ca="1">SUMIFS(CostTrack[[Value]:[Value]],CostTrack[[PA ID]:[PA ID]],$B131,CostTrack[[Vendor - Contract]:[Vendor - Contract]],$H131,CostTrack[[Holdback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31" s="504">
        <f ca="1">SUMIFS(CostTrack[[Value]:[Value]],CostTrack[[PA ID]:[PA ID]],$B131,CostTrack[[Vendor - Contract]:[Vendor - Contract]],$H131,CostTrack[[Holdback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31" s="504">
        <f ca="1">SUMIFS(CostTrack[[Value]:[Value]],CostTrack[[PA ID]:[PA ID]],$B131,CostTrack[[Vendor - Contract]:[Vendor - Contract]],$H131,CostTrack[[Holdback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31" s="504">
        <f ca="1">SUMIFS(CostTrack[[Value]:[Value]],CostTrack[[PA ID]:[PA ID]],$B131,CostTrack[[Vendor - Contract]:[Vendor - Contract]],$H131,CostTrack[[Holdback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31" s="504">
        <f ca="1">SUMIFS(CostTrack[[Value]:[Value]],CostTrack[[PA ID]:[PA ID]],$B131,CostTrack[[Vendor - Contract]:[Vendor - Contract]],$H131,CostTrack[[Holdback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31" s="504">
        <f ca="1">SUMIFS(CostTrack[[Value]:[Value]],CostTrack[[PA ID]:[PA ID]],$B131,CostTrack[[Vendor - Contract]:[Vendor - Contract]],$H131,CostTrack[[Holdback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31" s="504">
        <f ca="1">SUMIFS(CostTrack[[Value]:[Value]],CostTrack[[PA ID]:[PA ID]],$B131,CostTrack[[Vendor - Contract]:[Vendor - Contract]],$H131,CostTrack[[Holdback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31" s="504">
        <f ca="1">SUMIFS(CostTrack[[Value]:[Value]],CostTrack[[PA ID]:[PA ID]],$B131,CostTrack[[Vendor - Contract]:[Vendor - Contract]],$H131,CostTrack[[Holdback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31" s="504">
        <f ca="1">SUMIFS(CostTrack[[Value]:[Value]],CostTrack[[PA ID]:[PA ID]],$B131,CostTrack[[Vendor - Contract]:[Vendor - Contract]],$H131,CostTrack[[Holdback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31" s="504">
        <f ca="1">SUMIFS(CostTrack[[Value]:[Value]],CostTrack[[PA ID]:[PA ID]],$B131,CostTrack[[Vendor - Contract]:[Vendor - Contract]],$H131,CostTrack[[Holdback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31" s="504">
        <f ca="1">SUMIFS(CostTrack[[Value]:[Value]],CostTrack[[PA ID]:[PA ID]],$B131,CostTrack[[Vendor - Contract]:[Vendor - Contract]],$H131,CostTrack[[Holdback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31" s="504">
        <f ca="1">SUMIFS(CostTrack[[Value]:[Value]],CostTrack[[PA ID]:[PA ID]],$B131,CostTrack[[Vendor - Contract]:[Vendor - Contract]],$H131,CostTrack[[Holdback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31" s="512">
        <f t="shared" ca="1" si="269"/>
        <v>0</v>
      </c>
      <c r="BY131" s="504">
        <f ca="1">SUMIFS(CostTrack[[Value]:[Value]],CostTrack[[PA ID]:[PA ID]],$B131,CostTrack[[Vendor - Contract]:[Vendor - Contract]],$H131,CostTrack[[Holdback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31" s="504">
        <f ca="1">SUMIFS(CostTrack[[Value]:[Value]],CostTrack[[PA ID]:[PA ID]],$B131,CostTrack[[Vendor - Contract]:[Vendor - Contract]],$H131,CostTrack[[Holdback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31" s="504">
        <f ca="1">SUMIFS(CostTrack[[Value]:[Value]],CostTrack[[PA ID]:[PA ID]],$B131,CostTrack[[Vendor - Contract]:[Vendor - Contract]],$H131,CostTrack[[Holdback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31" s="504">
        <f ca="1">SUMIFS(CostTrack[[Value]:[Value]],CostTrack[[PA ID]:[PA ID]],$B131,CostTrack[[Vendor - Contract]:[Vendor - Contract]],$H131,CostTrack[[Holdback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31" s="504">
        <f ca="1">SUMIFS(CostTrack[[Value]:[Value]],CostTrack[[PA ID]:[PA ID]],$B131,CostTrack[[Vendor - Contract]:[Vendor - Contract]],$H131,CostTrack[[Holdback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31" s="504">
        <f ca="1">SUMIFS(CostTrack[[Value]:[Value]],CostTrack[[PA ID]:[PA ID]],$B131,CostTrack[[Vendor - Contract]:[Vendor - Contract]],$H131,CostTrack[[Holdback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31" s="504">
        <f ca="1">SUMIFS(CostTrack[[Value]:[Value]],CostTrack[[PA ID]:[PA ID]],$B131,CostTrack[[Vendor - Contract]:[Vendor - Contract]],$H131,CostTrack[[Holdback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31" s="504">
        <f ca="1">SUMIFS(CostTrack[[Value]:[Value]],CostTrack[[PA ID]:[PA ID]],$B131,CostTrack[[Vendor - Contract]:[Vendor - Contract]],$H131,CostTrack[[Holdback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31" s="504">
        <f ca="1">SUMIFS(CostTrack[[Value]:[Value]],CostTrack[[PA ID]:[PA ID]],$B131,CostTrack[[Vendor - Contract]:[Vendor - Contract]],$H131,CostTrack[[Holdback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31" s="504">
        <f ca="1">SUMIFS(CostTrack[[Value]:[Value]],CostTrack[[PA ID]:[PA ID]],$B131,CostTrack[[Vendor - Contract]:[Vendor - Contract]],$H131,CostTrack[[Holdback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31" s="504">
        <f ca="1">SUMIFS(CostTrack[[Value]:[Value]],CostTrack[[PA ID]:[PA ID]],$B131,CostTrack[[Vendor - Contract]:[Vendor - Contract]],$H131,CostTrack[[Holdback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31" s="504">
        <f ca="1">SUMIFS(CostTrack[[Value]:[Value]],CostTrack[[PA ID]:[PA ID]],$B131,CostTrack[[Vendor - Contract]:[Vendor - Contract]],$H131,CostTrack[[Holdback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31" s="512">
        <f t="shared" ca="1" si="255"/>
        <v>0</v>
      </c>
      <c r="CM131" s="504">
        <f ca="1">SUMIFS(CostTrack[[Value]:[Value]],CostTrack[[PA ID]:[PA ID]],$B131,CostTrack[[Vendor - Contract]:[Vendor - Contract]],$H131,CostTrack[[Holdback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31" s="504">
        <f ca="1">SUMIFS(CostTrack[[Value]:[Value]],CostTrack[[PA ID]:[PA ID]],$B131,CostTrack[[Vendor - Contract]:[Vendor - Contract]],$H131,CostTrack[[Holdback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31" s="504">
        <f ca="1">SUMIFS(CostTrack[[Value]:[Value]],CostTrack[[PA ID]:[PA ID]],$B131,CostTrack[[Vendor - Contract]:[Vendor - Contract]],$H131,CostTrack[[Holdback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31" s="504">
        <f ca="1">SUMIFS(CostTrack[[Value]:[Value]],CostTrack[[PA ID]:[PA ID]],$B131,CostTrack[[Vendor - Contract]:[Vendor - Contract]],$H131,CostTrack[[Holdback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31" s="504">
        <f ca="1">SUMIFS(CostTrack[[Value]:[Value]],CostTrack[[PA ID]:[PA ID]],$B131,CostTrack[[Vendor - Contract]:[Vendor - Contract]],$H131,CostTrack[[Holdback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31" s="504">
        <f ca="1">SUMIFS(CostTrack[[Value]:[Value]],CostTrack[[PA ID]:[PA ID]],$B131,CostTrack[[Vendor - Contract]:[Vendor - Contract]],$H131,CostTrack[[Holdback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31" s="504">
        <f ca="1">SUMIFS(CostTrack[[Value]:[Value]],CostTrack[[PA ID]:[PA ID]],$B131,CostTrack[[Vendor - Contract]:[Vendor - Contract]],$H131,CostTrack[[Holdback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31" s="504">
        <f ca="1">SUMIFS(CostTrack[[Value]:[Value]],CostTrack[[PA ID]:[PA ID]],$B131,CostTrack[[Vendor - Contract]:[Vendor - Contract]],$H131,CostTrack[[Holdback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31" s="504">
        <f ca="1">SUMIFS(CostTrack[[Value]:[Value]],CostTrack[[PA ID]:[PA ID]],$B131,CostTrack[[Vendor - Contract]:[Vendor - Contract]],$H131,CostTrack[[Holdback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31" s="504">
        <f ca="1">SUMIFS(CostTrack[[Value]:[Value]],CostTrack[[PA ID]:[PA ID]],$B131,CostTrack[[Vendor - Contract]:[Vendor - Contract]],$H131,CostTrack[[Holdback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31" s="504">
        <f ca="1">SUMIFS(CostTrack[[Value]:[Value]],CostTrack[[PA ID]:[PA ID]],$B131,CostTrack[[Vendor - Contract]:[Vendor - Contract]],$H131,CostTrack[[Holdback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31" s="504">
        <f ca="1">SUMIFS(CostTrack[[Value]:[Value]],CostTrack[[PA ID]:[PA ID]],$B131,CostTrack[[Vendor - Contract]:[Vendor - Contract]],$H131,CostTrack[[Holdback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31" s="512">
        <f t="shared" ca="1" si="256"/>
        <v>0</v>
      </c>
      <c r="DA131" s="504">
        <f ca="1">SUMIFS(CostTrack[[Value]:[Value]],CostTrack[[PA ID]:[PA ID]],$B131,CostTrack[[Vendor - Contract]:[Vendor - Contract]],$H131,CostTrack[[Holdback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31" s="504">
        <f ca="1">SUMIFS(CostTrack[[Value]:[Value]],CostTrack[[PA ID]:[PA ID]],$B131,CostTrack[[Vendor - Contract]:[Vendor - Contract]],$H131,CostTrack[[Holdback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31" s="504">
        <f ca="1">SUMIFS(CostTrack[[Value]:[Value]],CostTrack[[PA ID]:[PA ID]],$B131,CostTrack[[Vendor - Contract]:[Vendor - Contract]],$H131,CostTrack[[Holdback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31" s="504">
        <f ca="1">SUMIFS(CostTrack[[Value]:[Value]],CostTrack[[PA ID]:[PA ID]],$B131,CostTrack[[Vendor - Contract]:[Vendor - Contract]],$H131,CostTrack[[Holdback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31" s="504">
        <f ca="1">SUMIFS(CostTrack[[Value]:[Value]],CostTrack[[PA ID]:[PA ID]],$B131,CostTrack[[Vendor - Contract]:[Vendor - Contract]],$H131,CostTrack[[Holdback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31" s="504">
        <f ca="1">SUMIFS(CostTrack[[Value]:[Value]],CostTrack[[PA ID]:[PA ID]],$B131,CostTrack[[Vendor - Contract]:[Vendor - Contract]],$H131,CostTrack[[Holdback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31" s="504">
        <f ca="1">SUMIFS(CostTrack[[Value]:[Value]],CostTrack[[PA ID]:[PA ID]],$B131,CostTrack[[Vendor - Contract]:[Vendor - Contract]],$H131,CostTrack[[Holdback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31" s="504">
        <f ca="1">SUMIFS(CostTrack[[Value]:[Value]],CostTrack[[PA ID]:[PA ID]],$B131,CostTrack[[Vendor - Contract]:[Vendor - Contract]],$H131,CostTrack[[Holdback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31" s="504">
        <f ca="1">SUMIFS(CostTrack[[Value]:[Value]],CostTrack[[PA ID]:[PA ID]],$B131,CostTrack[[Vendor - Contract]:[Vendor - Contract]],$H131,CostTrack[[Holdback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31" s="504">
        <f ca="1">SUMIFS(CostTrack[[Value]:[Value]],CostTrack[[PA ID]:[PA ID]],$B131,CostTrack[[Vendor - Contract]:[Vendor - Contract]],$H131,CostTrack[[Holdback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31" s="504">
        <f ca="1">SUMIFS(CostTrack[[Value]:[Value]],CostTrack[[PA ID]:[PA ID]],$B131,CostTrack[[Vendor - Contract]:[Vendor - Contract]],$H131,CostTrack[[Holdback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31" s="504">
        <f ca="1">SUMIFS(CostTrack[[Value]:[Value]],CostTrack[[PA ID]:[PA ID]],$B131,CostTrack[[Vendor - Contract]:[Vendor - Contract]],$H131,CostTrack[[Holdback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31" s="512">
        <f t="shared" ca="1" si="257"/>
        <v>0</v>
      </c>
      <c r="DO131" s="504">
        <f ca="1">SUMIFS(CostTrack[[Value]:[Value]],CostTrack[[PA ID]:[PA ID]],$B131,CostTrack[[Vendor - Contract]:[Vendor - Contract]],$H131,CostTrack[[Holdback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31" s="504">
        <f ca="1">SUMIFS(CostTrack[[Value]:[Value]],CostTrack[[PA ID]:[PA ID]],$B131,CostTrack[[Vendor - Contract]:[Vendor - Contract]],$H131,CostTrack[[Holdback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31" s="504">
        <f ca="1">SUMIFS(CostTrack[[Value]:[Value]],CostTrack[[PA ID]:[PA ID]],$B131,CostTrack[[Vendor - Contract]:[Vendor - Contract]],$H131,CostTrack[[Holdback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31" s="504">
        <f ca="1">SUMIFS(CostTrack[[Value]:[Value]],CostTrack[[PA ID]:[PA ID]],$B131,CostTrack[[Vendor - Contract]:[Vendor - Contract]],$H131,CostTrack[[Holdback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31" s="504">
        <f ca="1">SUMIFS(CostTrack[[Value]:[Value]],CostTrack[[PA ID]:[PA ID]],$B131,CostTrack[[Vendor - Contract]:[Vendor - Contract]],$H131,CostTrack[[Holdback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31" s="504">
        <f ca="1">SUMIFS(CostTrack[[Value]:[Value]],CostTrack[[PA ID]:[PA ID]],$B131,CostTrack[[Vendor - Contract]:[Vendor - Contract]],$H131,CostTrack[[Holdback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31" s="504">
        <f ca="1">SUMIFS(CostTrack[[Value]:[Value]],CostTrack[[PA ID]:[PA ID]],$B131,CostTrack[[Vendor - Contract]:[Vendor - Contract]],$H131,CostTrack[[Holdback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31" s="504">
        <f ca="1">SUMIFS(CostTrack[[Value]:[Value]],CostTrack[[PA ID]:[PA ID]],$B131,CostTrack[[Vendor - Contract]:[Vendor - Contract]],$H131,CostTrack[[Holdback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31" s="504">
        <f ca="1">SUMIFS(CostTrack[[Value]:[Value]],CostTrack[[PA ID]:[PA ID]],$B131,CostTrack[[Vendor - Contract]:[Vendor - Contract]],$H131,CostTrack[[Holdback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31" s="504">
        <f ca="1">SUMIFS(CostTrack[[Value]:[Value]],CostTrack[[PA ID]:[PA ID]],$B131,CostTrack[[Vendor - Contract]:[Vendor - Contract]],$H131,CostTrack[[Holdback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31" s="504">
        <f ca="1">SUMIFS(CostTrack[[Value]:[Value]],CostTrack[[PA ID]:[PA ID]],$B131,CostTrack[[Vendor - Contract]:[Vendor - Contract]],$H131,CostTrack[[Holdback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31" s="504">
        <f ca="1">SUMIFS(CostTrack[[Value]:[Value]],CostTrack[[PA ID]:[PA ID]],$B131,CostTrack[[Vendor - Contract]:[Vendor - Contract]],$H131,CostTrack[[Holdback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31" s="512">
        <f t="shared" ca="1" si="270"/>
        <v>0</v>
      </c>
      <c r="EC131" s="504">
        <f ca="1">SUMIFS(CostTrack[[Value]:[Value]],CostTrack[[PA ID]:[PA ID]],$B131,CostTrack[[Vendor - Contract]:[Vendor - Contract]],$H131,CostTrack[[Holdback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31" s="505"/>
      <c r="EE131" s="505"/>
      <c r="EF131" s="505"/>
      <c r="EG131" s="505"/>
      <c r="EH131" s="505"/>
      <c r="EI131" s="505"/>
      <c r="EJ131" s="505"/>
      <c r="EK131" s="505"/>
      <c r="EL131" s="505"/>
      <c r="EM131" s="505"/>
      <c r="EN131" s="505">
        <v>100000</v>
      </c>
      <c r="EO131" s="512">
        <f t="shared" ca="1" si="271"/>
        <v>100000</v>
      </c>
      <c r="EQ131" s="505"/>
      <c r="ER131" s="505"/>
      <c r="ES131" s="505"/>
      <c r="ET131" s="505">
        <v>100000</v>
      </c>
      <c r="EU131" s="505">
        <v>100000</v>
      </c>
      <c r="EV131" s="505">
        <v>100000</v>
      </c>
      <c r="EW131" s="505">
        <v>100000</v>
      </c>
      <c r="EX131" s="505"/>
      <c r="EY131" s="505"/>
      <c r="EZ131" s="505"/>
      <c r="FA131" s="505"/>
      <c r="FB131" s="505"/>
      <c r="FC131" s="512">
        <f t="shared" si="272"/>
        <v>400000</v>
      </c>
      <c r="FE131" s="505"/>
      <c r="FF131" s="505"/>
      <c r="FG131" s="505"/>
      <c r="FH131" s="505"/>
      <c r="FI131" s="505"/>
      <c r="FJ131" s="505"/>
      <c r="FK131" s="505"/>
      <c r="FL131" s="505"/>
      <c r="FM131" s="505"/>
      <c r="FN131" s="505"/>
      <c r="FO131" s="505"/>
      <c r="FP131" s="505"/>
      <c r="FQ131" s="512">
        <f t="shared" si="273"/>
        <v>0</v>
      </c>
      <c r="FS131" s="504">
        <f t="shared" ca="1" si="274"/>
        <v>500000</v>
      </c>
    </row>
    <row r="132" spans="1:175">
      <c r="A132" s="216">
        <v>125</v>
      </c>
      <c r="B132" s="219">
        <f ca="1">INDEX(EAC[PA ID],MATCH($A132,EAC[Row],0))</f>
        <v>0</v>
      </c>
      <c r="C132" s="218" t="str">
        <f ca="1">INDEX(EAC[Primary Category],MATCH($A132,EAC[Row],0))</f>
        <v/>
      </c>
      <c r="D132" s="218" t="str">
        <f ca="1">INDEX(EAC[Secondary Category],MATCH($A132,EAC[Row],0))</f>
        <v/>
      </c>
      <c r="E132" s="109" t="str">
        <f ca="1">INDEX(EAC[Phase / Subproject],MATCH($A132,EAC[Row],0))</f>
        <v/>
      </c>
      <c r="F132" s="109" t="str">
        <f ca="1">INDEX(EAC[Phase / Subproject 2],MATCH($A132,EAC[Row],0))</f>
        <v/>
      </c>
      <c r="G132" s="109" t="str">
        <f ca="1">INDEX(EAC[Funding Source],MATCH($A132,EAC[Row],0))</f>
        <v/>
      </c>
      <c r="H132" s="146">
        <f ca="1">INDEX(EAC[Vendor / Org. with Contract ID],MATCH($A132,EAC[Row],0))</f>
        <v>0</v>
      </c>
      <c r="I132" s="502">
        <f ca="1">INDEX(EAC[Estimate At Completion],MATCH($A132,EAC[Row],0))</f>
        <v>0</v>
      </c>
      <c r="J132" s="502">
        <f ca="1">SUMIFS(CostTrack[Value],CostTrack[Vendor - Contract],$H132,CostTrack[PA ID],$B132,CostTrack[Holdback (Y/N/R)],"&lt;&gt;Release",CostTrack[Status],"Approved")</f>
        <v>0</v>
      </c>
      <c r="K132" s="503">
        <f t="shared" ca="1" si="283"/>
        <v>0</v>
      </c>
      <c r="M132" s="504">
        <f t="shared" ca="1" si="264"/>
        <v>0</v>
      </c>
      <c r="O132" s="504">
        <f t="shared" ca="1" si="275"/>
        <v>0</v>
      </c>
      <c r="P132" s="504">
        <f t="array" aca="1" ref="P132" ca="1">SUM($U132:$FQ132*_xlfn.ISFORMULA($U132:$FQ132)*ISNUMBER($U$7:$FQ$7)*--(INDEX($U$6:$FQ$6,N(IF({1},COLUMN($U$6:$FQ$6)-COLUMN($T$6)))-MOD(N(IF({1},COLUMN($U$6:$FQ$6)-COLUMN($U$6))),14))="Current Fiscal"))</f>
        <v>0</v>
      </c>
      <c r="Q132" s="504">
        <f t="array" aca="1" ref="Q132" ca="1">SUM($U132:$FQ132*NOT(_xlfn.ISFORMULA($U132:$FQ132))*ISNUMBER($U$7:$FQ$7)*--(INDEX($U$6:$FQ$6,N(IF({1},COLUMN($U$6:$FQ$6)-COLUMN($T$6)))-MOD(N(IF({1},COLUMN($U$6:$FQ$6)-COLUMN($U$6))),14))="Current Fiscal"))</f>
        <v>0</v>
      </c>
      <c r="R132" s="504">
        <f t="shared" ca="1" si="276"/>
        <v>0</v>
      </c>
      <c r="S132" s="504">
        <f t="shared" ca="1" si="277"/>
        <v>0</v>
      </c>
      <c r="U132" s="504">
        <f ca="1">SUMIFS(CostTrack[[Value]:[Value]],CostTrack[[PA ID]:[PA ID]],$B132,CostTrack[[Vendor - Contract]:[Vendor - Contract]],$H132,CostTrack[[Holdback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32" s="504">
        <f ca="1">SUMIFS(CostTrack[[Value]:[Value]],CostTrack[[PA ID]:[PA ID]],$B132,CostTrack[[Vendor - Contract]:[Vendor - Contract]],$H132,CostTrack[[Holdback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32" s="504">
        <f ca="1">SUMIFS(CostTrack[[Value]:[Value]],CostTrack[[PA ID]:[PA ID]],$B132,CostTrack[[Vendor - Contract]:[Vendor - Contract]],$H132,CostTrack[[Holdback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32" s="504">
        <f ca="1">SUMIFS(CostTrack[[Value]:[Value]],CostTrack[[PA ID]:[PA ID]],$B132,CostTrack[[Vendor - Contract]:[Vendor - Contract]],$H132,CostTrack[[Holdback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32" s="504">
        <f ca="1">SUMIFS(CostTrack[[Value]:[Value]],CostTrack[[PA ID]:[PA ID]],$B132,CostTrack[[Vendor - Contract]:[Vendor - Contract]],$H132,CostTrack[[Holdback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32" s="504">
        <f ca="1">SUMIFS(CostTrack[[Value]:[Value]],CostTrack[[PA ID]:[PA ID]],$B132,CostTrack[[Vendor - Contract]:[Vendor - Contract]],$H132,CostTrack[[Holdback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32" s="504">
        <f ca="1">SUMIFS(CostTrack[[Value]:[Value]],CostTrack[[PA ID]:[PA ID]],$B132,CostTrack[[Vendor - Contract]:[Vendor - Contract]],$H132,CostTrack[[Holdback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32" s="504">
        <f ca="1">SUMIFS(CostTrack[[Value]:[Value]],CostTrack[[PA ID]:[PA ID]],$B132,CostTrack[[Vendor - Contract]:[Vendor - Contract]],$H132,CostTrack[[Holdback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32" s="504">
        <f ca="1">SUMIFS(CostTrack[[Value]:[Value]],CostTrack[[PA ID]:[PA ID]],$B132,CostTrack[[Vendor - Contract]:[Vendor - Contract]],$H132,CostTrack[[Holdback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32" s="504">
        <f ca="1">SUMIFS(CostTrack[[Value]:[Value]],CostTrack[[PA ID]:[PA ID]],$B132,CostTrack[[Vendor - Contract]:[Vendor - Contract]],$H132,CostTrack[[Holdback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32" s="504">
        <f ca="1">SUMIFS(CostTrack[[Value]:[Value]],CostTrack[[PA ID]:[PA ID]],$B132,CostTrack[[Vendor - Contract]:[Vendor - Contract]],$H132,CostTrack[[Holdback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32" s="504">
        <f ca="1">SUMIFS(CostTrack[[Value]:[Value]],CostTrack[[PA ID]:[PA ID]],$B132,CostTrack[[Vendor - Contract]:[Vendor - Contract]],$H132,CostTrack[[Holdback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32" s="506">
        <f t="shared" ca="1" si="235"/>
        <v>0</v>
      </c>
      <c r="AI132" s="504">
        <f ca="1">SUMIFS(CostTrack[[Value]:[Value]],CostTrack[[PA ID]:[PA ID]],$B132,CostTrack[[Vendor - Contract]:[Vendor - Contract]],$H132,CostTrack[[Holdback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32" s="504">
        <f ca="1">SUMIFS(CostTrack[[Value]:[Value]],CostTrack[[PA ID]:[PA ID]],$B132,CostTrack[[Vendor - Contract]:[Vendor - Contract]],$H132,CostTrack[[Holdback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32" s="504">
        <f ca="1">SUMIFS(CostTrack[[Value]:[Value]],CostTrack[[PA ID]:[PA ID]],$B132,CostTrack[[Vendor - Contract]:[Vendor - Contract]],$H132,CostTrack[[Holdback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32" s="504">
        <f ca="1">SUMIFS(CostTrack[[Value]:[Value]],CostTrack[[PA ID]:[PA ID]],$B132,CostTrack[[Vendor - Contract]:[Vendor - Contract]],$H132,CostTrack[[Holdback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32" s="504">
        <f ca="1">SUMIFS(CostTrack[[Value]:[Value]],CostTrack[[PA ID]:[PA ID]],$B132,CostTrack[[Vendor - Contract]:[Vendor - Contract]],$H132,CostTrack[[Holdback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32" s="504">
        <f ca="1">SUMIFS(CostTrack[[Value]:[Value]],CostTrack[[PA ID]:[PA ID]],$B132,CostTrack[[Vendor - Contract]:[Vendor - Contract]],$H132,CostTrack[[Holdback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32" s="504">
        <f ca="1">SUMIFS(CostTrack[[Value]:[Value]],CostTrack[[PA ID]:[PA ID]],$B132,CostTrack[[Vendor - Contract]:[Vendor - Contract]],$H132,CostTrack[[Holdback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32" s="504">
        <f ca="1">SUMIFS(CostTrack[[Value]:[Value]],CostTrack[[PA ID]:[PA ID]],$B132,CostTrack[[Vendor - Contract]:[Vendor - Contract]],$H132,CostTrack[[Holdback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32" s="504">
        <f ca="1">SUMIFS(CostTrack[[Value]:[Value]],CostTrack[[PA ID]:[PA ID]],$B132,CostTrack[[Vendor - Contract]:[Vendor - Contract]],$H132,CostTrack[[Holdback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32" s="504">
        <f ca="1">SUMIFS(CostTrack[[Value]:[Value]],CostTrack[[PA ID]:[PA ID]],$B132,CostTrack[[Vendor - Contract]:[Vendor - Contract]],$H132,CostTrack[[Holdback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32" s="504">
        <f ca="1">SUMIFS(CostTrack[[Value]:[Value]],CostTrack[[PA ID]:[PA ID]],$B132,CostTrack[[Vendor - Contract]:[Vendor - Contract]],$H132,CostTrack[[Holdback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32" s="504">
        <f ca="1">SUMIFS(CostTrack[[Value]:[Value]],CostTrack[[PA ID]:[PA ID]],$B132,CostTrack[[Vendor - Contract]:[Vendor - Contract]],$H132,CostTrack[[Holdback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32" s="512">
        <f t="shared" ca="1" si="252"/>
        <v>0</v>
      </c>
      <c r="AW132" s="504">
        <f ca="1">SUMIFS(CostTrack[[Value]:[Value]],CostTrack[[PA ID]:[PA ID]],$B132,CostTrack[[Vendor - Contract]:[Vendor - Contract]],$H132,CostTrack[[Holdback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32" s="504">
        <f ca="1">SUMIFS(CostTrack[[Value]:[Value]],CostTrack[[PA ID]:[PA ID]],$B132,CostTrack[[Vendor - Contract]:[Vendor - Contract]],$H132,CostTrack[[Holdback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32" s="504">
        <f ca="1">SUMIFS(CostTrack[[Value]:[Value]],CostTrack[[PA ID]:[PA ID]],$B132,CostTrack[[Vendor - Contract]:[Vendor - Contract]],$H132,CostTrack[[Holdback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32" s="504">
        <f ca="1">SUMIFS(CostTrack[[Value]:[Value]],CostTrack[[PA ID]:[PA ID]],$B132,CostTrack[[Vendor - Contract]:[Vendor - Contract]],$H132,CostTrack[[Holdback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32" s="504">
        <f ca="1">SUMIFS(CostTrack[[Value]:[Value]],CostTrack[[PA ID]:[PA ID]],$B132,CostTrack[[Vendor - Contract]:[Vendor - Contract]],$H132,CostTrack[[Holdback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32" s="504">
        <f ca="1">SUMIFS(CostTrack[[Value]:[Value]],CostTrack[[PA ID]:[PA ID]],$B132,CostTrack[[Vendor - Contract]:[Vendor - Contract]],$H132,CostTrack[[Holdback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32" s="504">
        <f ca="1">SUMIFS(CostTrack[[Value]:[Value]],CostTrack[[PA ID]:[PA ID]],$B132,CostTrack[[Vendor - Contract]:[Vendor - Contract]],$H132,CostTrack[[Holdback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32" s="504">
        <f ca="1">SUMIFS(CostTrack[[Value]:[Value]],CostTrack[[PA ID]:[PA ID]],$B132,CostTrack[[Vendor - Contract]:[Vendor - Contract]],$H132,CostTrack[[Holdback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32" s="504">
        <f ca="1">SUMIFS(CostTrack[[Value]:[Value]],CostTrack[[PA ID]:[PA ID]],$B132,CostTrack[[Vendor - Contract]:[Vendor - Contract]],$H132,CostTrack[[Holdback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32" s="504">
        <f ca="1">SUMIFS(CostTrack[[Value]:[Value]],CostTrack[[PA ID]:[PA ID]],$B132,CostTrack[[Vendor - Contract]:[Vendor - Contract]],$H132,CostTrack[[Holdback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32" s="504">
        <f ca="1">SUMIFS(CostTrack[[Value]:[Value]],CostTrack[[PA ID]:[PA ID]],$B132,CostTrack[[Vendor - Contract]:[Vendor - Contract]],$H132,CostTrack[[Holdback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32" s="504">
        <f ca="1">SUMIFS(CostTrack[[Value]:[Value]],CostTrack[[PA ID]:[PA ID]],$B132,CostTrack[[Vendor - Contract]:[Vendor - Contract]],$H132,CostTrack[[Holdback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32" s="512">
        <f t="shared" ca="1" si="268"/>
        <v>0</v>
      </c>
      <c r="BK132" s="504">
        <f ca="1">SUMIFS(CostTrack[[Value]:[Value]],CostTrack[[PA ID]:[PA ID]],$B132,CostTrack[[Vendor - Contract]:[Vendor - Contract]],$H132,CostTrack[[Holdback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32" s="504">
        <f ca="1">SUMIFS(CostTrack[[Value]:[Value]],CostTrack[[PA ID]:[PA ID]],$B132,CostTrack[[Vendor - Contract]:[Vendor - Contract]],$H132,CostTrack[[Holdback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32" s="504">
        <f ca="1">SUMIFS(CostTrack[[Value]:[Value]],CostTrack[[PA ID]:[PA ID]],$B132,CostTrack[[Vendor - Contract]:[Vendor - Contract]],$H132,CostTrack[[Holdback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32" s="504">
        <f ca="1">SUMIFS(CostTrack[[Value]:[Value]],CostTrack[[PA ID]:[PA ID]],$B132,CostTrack[[Vendor - Contract]:[Vendor - Contract]],$H132,CostTrack[[Holdback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32" s="504">
        <f ca="1">SUMIFS(CostTrack[[Value]:[Value]],CostTrack[[PA ID]:[PA ID]],$B132,CostTrack[[Vendor - Contract]:[Vendor - Contract]],$H132,CostTrack[[Holdback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32" s="504">
        <f ca="1">SUMIFS(CostTrack[[Value]:[Value]],CostTrack[[PA ID]:[PA ID]],$B132,CostTrack[[Vendor - Contract]:[Vendor - Contract]],$H132,CostTrack[[Holdback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32" s="504">
        <f ca="1">SUMIFS(CostTrack[[Value]:[Value]],CostTrack[[PA ID]:[PA ID]],$B132,CostTrack[[Vendor - Contract]:[Vendor - Contract]],$H132,CostTrack[[Holdback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32" s="504">
        <f ca="1">SUMIFS(CostTrack[[Value]:[Value]],CostTrack[[PA ID]:[PA ID]],$B132,CostTrack[[Vendor - Contract]:[Vendor - Contract]],$H132,CostTrack[[Holdback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32" s="504">
        <f ca="1">SUMIFS(CostTrack[[Value]:[Value]],CostTrack[[PA ID]:[PA ID]],$B132,CostTrack[[Vendor - Contract]:[Vendor - Contract]],$H132,CostTrack[[Holdback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32" s="504">
        <f ca="1">SUMIFS(CostTrack[[Value]:[Value]],CostTrack[[PA ID]:[PA ID]],$B132,CostTrack[[Vendor - Contract]:[Vendor - Contract]],$H132,CostTrack[[Holdback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32" s="504">
        <f ca="1">SUMIFS(CostTrack[[Value]:[Value]],CostTrack[[PA ID]:[PA ID]],$B132,CostTrack[[Vendor - Contract]:[Vendor - Contract]],$H132,CostTrack[[Holdback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32" s="504">
        <f ca="1">SUMIFS(CostTrack[[Value]:[Value]],CostTrack[[PA ID]:[PA ID]],$B132,CostTrack[[Vendor - Contract]:[Vendor - Contract]],$H132,CostTrack[[Holdback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32" s="512">
        <f t="shared" ca="1" si="269"/>
        <v>0</v>
      </c>
      <c r="BY132" s="504">
        <f ca="1">SUMIFS(CostTrack[[Value]:[Value]],CostTrack[[PA ID]:[PA ID]],$B132,CostTrack[[Vendor - Contract]:[Vendor - Contract]],$H132,CostTrack[[Holdback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32" s="504">
        <f ca="1">SUMIFS(CostTrack[[Value]:[Value]],CostTrack[[PA ID]:[PA ID]],$B132,CostTrack[[Vendor - Contract]:[Vendor - Contract]],$H132,CostTrack[[Holdback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32" s="504">
        <f ca="1">SUMIFS(CostTrack[[Value]:[Value]],CostTrack[[PA ID]:[PA ID]],$B132,CostTrack[[Vendor - Contract]:[Vendor - Contract]],$H132,CostTrack[[Holdback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32" s="504">
        <f ca="1">SUMIFS(CostTrack[[Value]:[Value]],CostTrack[[PA ID]:[PA ID]],$B132,CostTrack[[Vendor - Contract]:[Vendor - Contract]],$H132,CostTrack[[Holdback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32" s="504">
        <f ca="1">SUMIFS(CostTrack[[Value]:[Value]],CostTrack[[PA ID]:[PA ID]],$B132,CostTrack[[Vendor - Contract]:[Vendor - Contract]],$H132,CostTrack[[Holdback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32" s="504">
        <f ca="1">SUMIFS(CostTrack[[Value]:[Value]],CostTrack[[PA ID]:[PA ID]],$B132,CostTrack[[Vendor - Contract]:[Vendor - Contract]],$H132,CostTrack[[Holdback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32" s="504">
        <f ca="1">SUMIFS(CostTrack[[Value]:[Value]],CostTrack[[PA ID]:[PA ID]],$B132,CostTrack[[Vendor - Contract]:[Vendor - Contract]],$H132,CostTrack[[Holdback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32" s="504">
        <f ca="1">SUMIFS(CostTrack[[Value]:[Value]],CostTrack[[PA ID]:[PA ID]],$B132,CostTrack[[Vendor - Contract]:[Vendor - Contract]],$H132,CostTrack[[Holdback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32" s="504">
        <f ca="1">SUMIFS(CostTrack[[Value]:[Value]],CostTrack[[PA ID]:[PA ID]],$B132,CostTrack[[Vendor - Contract]:[Vendor - Contract]],$H132,CostTrack[[Holdback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32" s="504">
        <f ca="1">SUMIFS(CostTrack[[Value]:[Value]],CostTrack[[PA ID]:[PA ID]],$B132,CostTrack[[Vendor - Contract]:[Vendor - Contract]],$H132,CostTrack[[Holdback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32" s="504">
        <f ca="1">SUMIFS(CostTrack[[Value]:[Value]],CostTrack[[PA ID]:[PA ID]],$B132,CostTrack[[Vendor - Contract]:[Vendor - Contract]],$H132,CostTrack[[Holdback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32" s="504">
        <f ca="1">SUMIFS(CostTrack[[Value]:[Value]],CostTrack[[PA ID]:[PA ID]],$B132,CostTrack[[Vendor - Contract]:[Vendor - Contract]],$H132,CostTrack[[Holdback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32" s="512">
        <f t="shared" ca="1" si="255"/>
        <v>0</v>
      </c>
      <c r="CM132" s="504">
        <f ca="1">SUMIFS(CostTrack[[Value]:[Value]],CostTrack[[PA ID]:[PA ID]],$B132,CostTrack[[Vendor - Contract]:[Vendor - Contract]],$H132,CostTrack[[Holdback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32" s="504">
        <f ca="1">SUMIFS(CostTrack[[Value]:[Value]],CostTrack[[PA ID]:[PA ID]],$B132,CostTrack[[Vendor - Contract]:[Vendor - Contract]],$H132,CostTrack[[Holdback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32" s="504">
        <f ca="1">SUMIFS(CostTrack[[Value]:[Value]],CostTrack[[PA ID]:[PA ID]],$B132,CostTrack[[Vendor - Contract]:[Vendor - Contract]],$H132,CostTrack[[Holdback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32" s="504">
        <f ca="1">SUMIFS(CostTrack[[Value]:[Value]],CostTrack[[PA ID]:[PA ID]],$B132,CostTrack[[Vendor - Contract]:[Vendor - Contract]],$H132,CostTrack[[Holdback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32" s="504">
        <f ca="1">SUMIFS(CostTrack[[Value]:[Value]],CostTrack[[PA ID]:[PA ID]],$B132,CostTrack[[Vendor - Contract]:[Vendor - Contract]],$H132,CostTrack[[Holdback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32" s="504">
        <f ca="1">SUMIFS(CostTrack[[Value]:[Value]],CostTrack[[PA ID]:[PA ID]],$B132,CostTrack[[Vendor - Contract]:[Vendor - Contract]],$H132,CostTrack[[Holdback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32" s="504">
        <f ca="1">SUMIFS(CostTrack[[Value]:[Value]],CostTrack[[PA ID]:[PA ID]],$B132,CostTrack[[Vendor - Contract]:[Vendor - Contract]],$H132,CostTrack[[Holdback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32" s="504">
        <f ca="1">SUMIFS(CostTrack[[Value]:[Value]],CostTrack[[PA ID]:[PA ID]],$B132,CostTrack[[Vendor - Contract]:[Vendor - Contract]],$H132,CostTrack[[Holdback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32" s="504">
        <f ca="1">SUMIFS(CostTrack[[Value]:[Value]],CostTrack[[PA ID]:[PA ID]],$B132,CostTrack[[Vendor - Contract]:[Vendor - Contract]],$H132,CostTrack[[Holdback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32" s="504">
        <f ca="1">SUMIFS(CostTrack[[Value]:[Value]],CostTrack[[PA ID]:[PA ID]],$B132,CostTrack[[Vendor - Contract]:[Vendor - Contract]],$H132,CostTrack[[Holdback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32" s="504">
        <f ca="1">SUMIFS(CostTrack[[Value]:[Value]],CostTrack[[PA ID]:[PA ID]],$B132,CostTrack[[Vendor - Contract]:[Vendor - Contract]],$H132,CostTrack[[Holdback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32" s="504">
        <f ca="1">SUMIFS(CostTrack[[Value]:[Value]],CostTrack[[PA ID]:[PA ID]],$B132,CostTrack[[Vendor - Contract]:[Vendor - Contract]],$H132,CostTrack[[Holdback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32" s="512">
        <f t="shared" ca="1" si="256"/>
        <v>0</v>
      </c>
      <c r="DA132" s="504">
        <f ca="1">SUMIFS(CostTrack[[Value]:[Value]],CostTrack[[PA ID]:[PA ID]],$B132,CostTrack[[Vendor - Contract]:[Vendor - Contract]],$H132,CostTrack[[Holdback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32" s="504">
        <f ca="1">SUMIFS(CostTrack[[Value]:[Value]],CostTrack[[PA ID]:[PA ID]],$B132,CostTrack[[Vendor - Contract]:[Vendor - Contract]],$H132,CostTrack[[Holdback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32" s="504">
        <f ca="1">SUMIFS(CostTrack[[Value]:[Value]],CostTrack[[PA ID]:[PA ID]],$B132,CostTrack[[Vendor - Contract]:[Vendor - Contract]],$H132,CostTrack[[Holdback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32" s="504">
        <f ca="1">SUMIFS(CostTrack[[Value]:[Value]],CostTrack[[PA ID]:[PA ID]],$B132,CostTrack[[Vendor - Contract]:[Vendor - Contract]],$H132,CostTrack[[Holdback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32" s="504">
        <f ca="1">SUMIFS(CostTrack[[Value]:[Value]],CostTrack[[PA ID]:[PA ID]],$B132,CostTrack[[Vendor - Contract]:[Vendor - Contract]],$H132,CostTrack[[Holdback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32" s="504">
        <f ca="1">SUMIFS(CostTrack[[Value]:[Value]],CostTrack[[PA ID]:[PA ID]],$B132,CostTrack[[Vendor - Contract]:[Vendor - Contract]],$H132,CostTrack[[Holdback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32" s="504">
        <f ca="1">SUMIFS(CostTrack[[Value]:[Value]],CostTrack[[PA ID]:[PA ID]],$B132,CostTrack[[Vendor - Contract]:[Vendor - Contract]],$H132,CostTrack[[Holdback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32" s="504">
        <f ca="1">SUMIFS(CostTrack[[Value]:[Value]],CostTrack[[PA ID]:[PA ID]],$B132,CostTrack[[Vendor - Contract]:[Vendor - Contract]],$H132,CostTrack[[Holdback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32" s="504">
        <f ca="1">SUMIFS(CostTrack[[Value]:[Value]],CostTrack[[PA ID]:[PA ID]],$B132,CostTrack[[Vendor - Contract]:[Vendor - Contract]],$H132,CostTrack[[Holdback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32" s="504">
        <f ca="1">SUMIFS(CostTrack[[Value]:[Value]],CostTrack[[PA ID]:[PA ID]],$B132,CostTrack[[Vendor - Contract]:[Vendor - Contract]],$H132,CostTrack[[Holdback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32" s="504">
        <f ca="1">SUMIFS(CostTrack[[Value]:[Value]],CostTrack[[PA ID]:[PA ID]],$B132,CostTrack[[Vendor - Contract]:[Vendor - Contract]],$H132,CostTrack[[Holdback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32" s="504">
        <f ca="1">SUMIFS(CostTrack[[Value]:[Value]],CostTrack[[PA ID]:[PA ID]],$B132,CostTrack[[Vendor - Contract]:[Vendor - Contract]],$H132,CostTrack[[Holdback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32" s="512">
        <f t="shared" ca="1" si="257"/>
        <v>0</v>
      </c>
      <c r="DO132" s="504">
        <f ca="1">SUMIFS(CostTrack[[Value]:[Value]],CostTrack[[PA ID]:[PA ID]],$B132,CostTrack[[Vendor - Contract]:[Vendor - Contract]],$H132,CostTrack[[Holdback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32" s="504">
        <f ca="1">SUMIFS(CostTrack[[Value]:[Value]],CostTrack[[PA ID]:[PA ID]],$B132,CostTrack[[Vendor - Contract]:[Vendor - Contract]],$H132,CostTrack[[Holdback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32" s="504">
        <f ca="1">SUMIFS(CostTrack[[Value]:[Value]],CostTrack[[PA ID]:[PA ID]],$B132,CostTrack[[Vendor - Contract]:[Vendor - Contract]],$H132,CostTrack[[Holdback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32" s="504">
        <f ca="1">SUMIFS(CostTrack[[Value]:[Value]],CostTrack[[PA ID]:[PA ID]],$B132,CostTrack[[Vendor - Contract]:[Vendor - Contract]],$H132,CostTrack[[Holdback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32" s="504">
        <f ca="1">SUMIFS(CostTrack[[Value]:[Value]],CostTrack[[PA ID]:[PA ID]],$B132,CostTrack[[Vendor - Contract]:[Vendor - Contract]],$H132,CostTrack[[Holdback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32" s="504">
        <f ca="1">SUMIFS(CostTrack[[Value]:[Value]],CostTrack[[PA ID]:[PA ID]],$B132,CostTrack[[Vendor - Contract]:[Vendor - Contract]],$H132,CostTrack[[Holdback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32" s="504">
        <f ca="1">SUMIFS(CostTrack[[Value]:[Value]],CostTrack[[PA ID]:[PA ID]],$B132,CostTrack[[Vendor - Contract]:[Vendor - Contract]],$H132,CostTrack[[Holdback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32" s="504">
        <f ca="1">SUMIFS(CostTrack[[Value]:[Value]],CostTrack[[PA ID]:[PA ID]],$B132,CostTrack[[Vendor - Contract]:[Vendor - Contract]],$H132,CostTrack[[Holdback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32" s="504">
        <f ca="1">SUMIFS(CostTrack[[Value]:[Value]],CostTrack[[PA ID]:[PA ID]],$B132,CostTrack[[Vendor - Contract]:[Vendor - Contract]],$H132,CostTrack[[Holdback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32" s="504">
        <f ca="1">SUMIFS(CostTrack[[Value]:[Value]],CostTrack[[PA ID]:[PA ID]],$B132,CostTrack[[Vendor - Contract]:[Vendor - Contract]],$H132,CostTrack[[Holdback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32" s="504">
        <f ca="1">SUMIFS(CostTrack[[Value]:[Value]],CostTrack[[PA ID]:[PA ID]],$B132,CostTrack[[Vendor - Contract]:[Vendor - Contract]],$H132,CostTrack[[Holdback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32" s="504">
        <f ca="1">SUMIFS(CostTrack[[Value]:[Value]],CostTrack[[PA ID]:[PA ID]],$B132,CostTrack[[Vendor - Contract]:[Vendor - Contract]],$H132,CostTrack[[Holdback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32" s="512">
        <f t="shared" ca="1" si="270"/>
        <v>0</v>
      </c>
      <c r="EC132" s="504">
        <f ca="1">SUMIFS(CostTrack[[Value]:[Value]],CostTrack[[PA ID]:[PA ID]],$B132,CostTrack[[Vendor - Contract]:[Vendor - Contract]],$H132,CostTrack[[Holdback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32" s="505"/>
      <c r="EE132" s="505"/>
      <c r="EF132" s="505"/>
      <c r="EG132" s="505"/>
      <c r="EH132" s="505"/>
      <c r="EI132" s="505"/>
      <c r="EJ132" s="505"/>
      <c r="EK132" s="505"/>
      <c r="EL132" s="505"/>
      <c r="EM132" s="505"/>
      <c r="EN132" s="505"/>
      <c r="EO132" s="512">
        <f t="shared" ca="1" si="271"/>
        <v>0</v>
      </c>
      <c r="EQ132" s="505"/>
      <c r="ER132" s="505"/>
      <c r="ES132" s="505"/>
      <c r="ET132" s="505"/>
      <c r="EU132" s="505"/>
      <c r="EV132" s="505"/>
      <c r="EW132" s="505"/>
      <c r="EX132" s="505"/>
      <c r="EY132" s="505"/>
      <c r="EZ132" s="505"/>
      <c r="FA132" s="505"/>
      <c r="FB132" s="505"/>
      <c r="FC132" s="512">
        <f t="shared" si="272"/>
        <v>0</v>
      </c>
      <c r="FE132" s="505"/>
      <c r="FF132" s="505"/>
      <c r="FG132" s="505"/>
      <c r="FH132" s="505"/>
      <c r="FI132" s="505"/>
      <c r="FJ132" s="505"/>
      <c r="FK132" s="505"/>
      <c r="FL132" s="505"/>
      <c r="FM132" s="505"/>
      <c r="FN132" s="505"/>
      <c r="FO132" s="505"/>
      <c r="FP132" s="505"/>
      <c r="FQ132" s="512">
        <f t="shared" si="273"/>
        <v>0</v>
      </c>
      <c r="FS132" s="504">
        <f t="shared" ca="1" si="274"/>
        <v>0</v>
      </c>
    </row>
    <row r="133" spans="1:175">
      <c r="A133" s="216">
        <v>126</v>
      </c>
      <c r="B133" s="219">
        <f ca="1">INDEX(EAC[PA ID],MATCH($A133,EAC[Row],0))</f>
        <v>0</v>
      </c>
      <c r="C133" s="218" t="str">
        <f ca="1">INDEX(EAC[Primary Category],MATCH($A133,EAC[Row],0))</f>
        <v/>
      </c>
      <c r="D133" s="218" t="str">
        <f ca="1">INDEX(EAC[Secondary Category],MATCH($A133,EAC[Row],0))</f>
        <v/>
      </c>
      <c r="E133" s="109" t="str">
        <f ca="1">INDEX(EAC[Phase / Subproject],MATCH($A133,EAC[Row],0))</f>
        <v/>
      </c>
      <c r="F133" s="109" t="str">
        <f ca="1">INDEX(EAC[Phase / Subproject 2],MATCH($A133,EAC[Row],0))</f>
        <v/>
      </c>
      <c r="G133" s="109" t="str">
        <f ca="1">INDEX(EAC[Funding Source],MATCH($A133,EAC[Row],0))</f>
        <v/>
      </c>
      <c r="H133" s="146">
        <f ca="1">INDEX(EAC[Vendor / Org. with Contract ID],MATCH($A133,EAC[Row],0))</f>
        <v>0</v>
      </c>
      <c r="I133" s="502">
        <f ca="1">INDEX(EAC[Estimate At Completion],MATCH($A133,EAC[Row],0))</f>
        <v>0</v>
      </c>
      <c r="J133" s="502">
        <f ca="1">SUMIFS(CostTrack[Value],CostTrack[Vendor - Contract],$H133,CostTrack[PA ID],$B133,CostTrack[Holdback (Y/N/R)],"&lt;&gt;Release",CostTrack[Status],"Approved")</f>
        <v>0</v>
      </c>
      <c r="K133" s="503">
        <f t="shared" ca="1" si="283"/>
        <v>0</v>
      </c>
      <c r="M133" s="504">
        <f t="shared" ca="1" si="264"/>
        <v>0</v>
      </c>
      <c r="O133" s="504">
        <f t="shared" ca="1" si="275"/>
        <v>0</v>
      </c>
      <c r="P133" s="504">
        <f t="array" aca="1" ref="P133" ca="1">SUM($U133:$FQ133*_xlfn.ISFORMULA($U133:$FQ133)*ISNUMBER($U$7:$FQ$7)*--(INDEX($U$6:$FQ$6,N(IF({1},COLUMN($U$6:$FQ$6)-COLUMN($T$6)))-MOD(N(IF({1},COLUMN($U$6:$FQ$6)-COLUMN($U$6))),14))="Current Fiscal"))</f>
        <v>0</v>
      </c>
      <c r="Q133" s="504">
        <f t="array" aca="1" ref="Q133" ca="1">SUM($U133:$FQ133*NOT(_xlfn.ISFORMULA($U133:$FQ133))*ISNUMBER($U$7:$FQ$7)*--(INDEX($U$6:$FQ$6,N(IF({1},COLUMN($U$6:$FQ$6)-COLUMN($T$6)))-MOD(N(IF({1},COLUMN($U$6:$FQ$6)-COLUMN($U$6))),14))="Current Fiscal"))</f>
        <v>0</v>
      </c>
      <c r="R133" s="504">
        <f t="shared" ca="1" si="276"/>
        <v>0</v>
      </c>
      <c r="S133" s="504">
        <f t="shared" ca="1" si="277"/>
        <v>0</v>
      </c>
      <c r="U133" s="504">
        <f ca="1">SUMIFS(CostTrack[[Value]:[Value]],CostTrack[[PA ID]:[PA ID]],$B133,CostTrack[[Vendor - Contract]:[Vendor - Contract]],$H133,CostTrack[[Holdback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33" s="504">
        <f ca="1">SUMIFS(CostTrack[[Value]:[Value]],CostTrack[[PA ID]:[PA ID]],$B133,CostTrack[[Vendor - Contract]:[Vendor - Contract]],$H133,CostTrack[[Holdback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33" s="504">
        <f ca="1">SUMIFS(CostTrack[[Value]:[Value]],CostTrack[[PA ID]:[PA ID]],$B133,CostTrack[[Vendor - Contract]:[Vendor - Contract]],$H133,CostTrack[[Holdback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33" s="504">
        <f ca="1">SUMIFS(CostTrack[[Value]:[Value]],CostTrack[[PA ID]:[PA ID]],$B133,CostTrack[[Vendor - Contract]:[Vendor - Contract]],$H133,CostTrack[[Holdback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33" s="504">
        <f ca="1">SUMIFS(CostTrack[[Value]:[Value]],CostTrack[[PA ID]:[PA ID]],$B133,CostTrack[[Vendor - Contract]:[Vendor - Contract]],$H133,CostTrack[[Holdback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33" s="504">
        <f ca="1">SUMIFS(CostTrack[[Value]:[Value]],CostTrack[[PA ID]:[PA ID]],$B133,CostTrack[[Vendor - Contract]:[Vendor - Contract]],$H133,CostTrack[[Holdback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33" s="504">
        <f ca="1">SUMIFS(CostTrack[[Value]:[Value]],CostTrack[[PA ID]:[PA ID]],$B133,CostTrack[[Vendor - Contract]:[Vendor - Contract]],$H133,CostTrack[[Holdback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33" s="504">
        <f ca="1">SUMIFS(CostTrack[[Value]:[Value]],CostTrack[[PA ID]:[PA ID]],$B133,CostTrack[[Vendor - Contract]:[Vendor - Contract]],$H133,CostTrack[[Holdback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33" s="504">
        <f ca="1">SUMIFS(CostTrack[[Value]:[Value]],CostTrack[[PA ID]:[PA ID]],$B133,CostTrack[[Vendor - Contract]:[Vendor - Contract]],$H133,CostTrack[[Holdback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33" s="504">
        <f ca="1">SUMIFS(CostTrack[[Value]:[Value]],CostTrack[[PA ID]:[PA ID]],$B133,CostTrack[[Vendor - Contract]:[Vendor - Contract]],$H133,CostTrack[[Holdback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33" s="504">
        <f ca="1">SUMIFS(CostTrack[[Value]:[Value]],CostTrack[[PA ID]:[PA ID]],$B133,CostTrack[[Vendor - Contract]:[Vendor - Contract]],$H133,CostTrack[[Holdback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33" s="504">
        <f ca="1">SUMIFS(CostTrack[[Value]:[Value]],CostTrack[[PA ID]:[PA ID]],$B133,CostTrack[[Vendor - Contract]:[Vendor - Contract]],$H133,CostTrack[[Holdback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33" s="506">
        <f t="shared" ca="1" si="235"/>
        <v>0</v>
      </c>
      <c r="AI133" s="504">
        <f ca="1">SUMIFS(CostTrack[[Value]:[Value]],CostTrack[[PA ID]:[PA ID]],$B133,CostTrack[[Vendor - Contract]:[Vendor - Contract]],$H133,CostTrack[[Holdback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33" s="504">
        <f ca="1">SUMIFS(CostTrack[[Value]:[Value]],CostTrack[[PA ID]:[PA ID]],$B133,CostTrack[[Vendor - Contract]:[Vendor - Contract]],$H133,CostTrack[[Holdback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33" s="504">
        <f ca="1">SUMIFS(CostTrack[[Value]:[Value]],CostTrack[[PA ID]:[PA ID]],$B133,CostTrack[[Vendor - Contract]:[Vendor - Contract]],$H133,CostTrack[[Holdback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33" s="504">
        <f ca="1">SUMIFS(CostTrack[[Value]:[Value]],CostTrack[[PA ID]:[PA ID]],$B133,CostTrack[[Vendor - Contract]:[Vendor - Contract]],$H133,CostTrack[[Holdback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33" s="504">
        <f ca="1">SUMIFS(CostTrack[[Value]:[Value]],CostTrack[[PA ID]:[PA ID]],$B133,CostTrack[[Vendor - Contract]:[Vendor - Contract]],$H133,CostTrack[[Holdback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33" s="504">
        <f ca="1">SUMIFS(CostTrack[[Value]:[Value]],CostTrack[[PA ID]:[PA ID]],$B133,CostTrack[[Vendor - Contract]:[Vendor - Contract]],$H133,CostTrack[[Holdback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33" s="504">
        <f ca="1">SUMIFS(CostTrack[[Value]:[Value]],CostTrack[[PA ID]:[PA ID]],$B133,CostTrack[[Vendor - Contract]:[Vendor - Contract]],$H133,CostTrack[[Holdback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33" s="504">
        <f ca="1">SUMIFS(CostTrack[[Value]:[Value]],CostTrack[[PA ID]:[PA ID]],$B133,CostTrack[[Vendor - Contract]:[Vendor - Contract]],$H133,CostTrack[[Holdback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33" s="504">
        <f ca="1">SUMIFS(CostTrack[[Value]:[Value]],CostTrack[[PA ID]:[PA ID]],$B133,CostTrack[[Vendor - Contract]:[Vendor - Contract]],$H133,CostTrack[[Holdback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33" s="504">
        <f ca="1">SUMIFS(CostTrack[[Value]:[Value]],CostTrack[[PA ID]:[PA ID]],$B133,CostTrack[[Vendor - Contract]:[Vendor - Contract]],$H133,CostTrack[[Holdback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33" s="504">
        <f ca="1">SUMIFS(CostTrack[[Value]:[Value]],CostTrack[[PA ID]:[PA ID]],$B133,CostTrack[[Vendor - Contract]:[Vendor - Contract]],$H133,CostTrack[[Holdback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33" s="504">
        <f ca="1">SUMIFS(CostTrack[[Value]:[Value]],CostTrack[[PA ID]:[PA ID]],$B133,CostTrack[[Vendor - Contract]:[Vendor - Contract]],$H133,CostTrack[[Holdback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33" s="512">
        <f t="shared" ca="1" si="252"/>
        <v>0</v>
      </c>
      <c r="AW133" s="504">
        <f ca="1">SUMIFS(CostTrack[[Value]:[Value]],CostTrack[[PA ID]:[PA ID]],$B133,CostTrack[[Vendor - Contract]:[Vendor - Contract]],$H133,CostTrack[[Holdback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33" s="504">
        <f ca="1">SUMIFS(CostTrack[[Value]:[Value]],CostTrack[[PA ID]:[PA ID]],$B133,CostTrack[[Vendor - Contract]:[Vendor - Contract]],$H133,CostTrack[[Holdback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33" s="504">
        <f ca="1">SUMIFS(CostTrack[[Value]:[Value]],CostTrack[[PA ID]:[PA ID]],$B133,CostTrack[[Vendor - Contract]:[Vendor - Contract]],$H133,CostTrack[[Holdback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33" s="504">
        <f ca="1">SUMIFS(CostTrack[[Value]:[Value]],CostTrack[[PA ID]:[PA ID]],$B133,CostTrack[[Vendor - Contract]:[Vendor - Contract]],$H133,CostTrack[[Holdback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33" s="504">
        <f ca="1">SUMIFS(CostTrack[[Value]:[Value]],CostTrack[[PA ID]:[PA ID]],$B133,CostTrack[[Vendor - Contract]:[Vendor - Contract]],$H133,CostTrack[[Holdback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33" s="504">
        <f ca="1">SUMIFS(CostTrack[[Value]:[Value]],CostTrack[[PA ID]:[PA ID]],$B133,CostTrack[[Vendor - Contract]:[Vendor - Contract]],$H133,CostTrack[[Holdback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33" s="504">
        <f ca="1">SUMIFS(CostTrack[[Value]:[Value]],CostTrack[[PA ID]:[PA ID]],$B133,CostTrack[[Vendor - Contract]:[Vendor - Contract]],$H133,CostTrack[[Holdback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33" s="504">
        <f ca="1">SUMIFS(CostTrack[[Value]:[Value]],CostTrack[[PA ID]:[PA ID]],$B133,CostTrack[[Vendor - Contract]:[Vendor - Contract]],$H133,CostTrack[[Holdback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33" s="504">
        <f ca="1">SUMIFS(CostTrack[[Value]:[Value]],CostTrack[[PA ID]:[PA ID]],$B133,CostTrack[[Vendor - Contract]:[Vendor - Contract]],$H133,CostTrack[[Holdback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33" s="504">
        <f ca="1">SUMIFS(CostTrack[[Value]:[Value]],CostTrack[[PA ID]:[PA ID]],$B133,CostTrack[[Vendor - Contract]:[Vendor - Contract]],$H133,CostTrack[[Holdback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33" s="504">
        <f ca="1">SUMIFS(CostTrack[[Value]:[Value]],CostTrack[[PA ID]:[PA ID]],$B133,CostTrack[[Vendor - Contract]:[Vendor - Contract]],$H133,CostTrack[[Holdback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33" s="504">
        <f ca="1">SUMIFS(CostTrack[[Value]:[Value]],CostTrack[[PA ID]:[PA ID]],$B133,CostTrack[[Vendor - Contract]:[Vendor - Contract]],$H133,CostTrack[[Holdback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33" s="512">
        <f t="shared" ca="1" si="268"/>
        <v>0</v>
      </c>
      <c r="BK133" s="504">
        <f ca="1">SUMIFS(CostTrack[[Value]:[Value]],CostTrack[[PA ID]:[PA ID]],$B133,CostTrack[[Vendor - Contract]:[Vendor - Contract]],$H133,CostTrack[[Holdback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33" s="504">
        <f ca="1">SUMIFS(CostTrack[[Value]:[Value]],CostTrack[[PA ID]:[PA ID]],$B133,CostTrack[[Vendor - Contract]:[Vendor - Contract]],$H133,CostTrack[[Holdback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33" s="504">
        <f ca="1">SUMIFS(CostTrack[[Value]:[Value]],CostTrack[[PA ID]:[PA ID]],$B133,CostTrack[[Vendor - Contract]:[Vendor - Contract]],$H133,CostTrack[[Holdback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33" s="504">
        <f ca="1">SUMIFS(CostTrack[[Value]:[Value]],CostTrack[[PA ID]:[PA ID]],$B133,CostTrack[[Vendor - Contract]:[Vendor - Contract]],$H133,CostTrack[[Holdback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33" s="504">
        <f ca="1">SUMIFS(CostTrack[[Value]:[Value]],CostTrack[[PA ID]:[PA ID]],$B133,CostTrack[[Vendor - Contract]:[Vendor - Contract]],$H133,CostTrack[[Holdback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33" s="504">
        <f ca="1">SUMIFS(CostTrack[[Value]:[Value]],CostTrack[[PA ID]:[PA ID]],$B133,CostTrack[[Vendor - Contract]:[Vendor - Contract]],$H133,CostTrack[[Holdback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33" s="504">
        <f ca="1">SUMIFS(CostTrack[[Value]:[Value]],CostTrack[[PA ID]:[PA ID]],$B133,CostTrack[[Vendor - Contract]:[Vendor - Contract]],$H133,CostTrack[[Holdback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33" s="504">
        <f ca="1">SUMIFS(CostTrack[[Value]:[Value]],CostTrack[[PA ID]:[PA ID]],$B133,CostTrack[[Vendor - Contract]:[Vendor - Contract]],$H133,CostTrack[[Holdback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33" s="504">
        <f ca="1">SUMIFS(CostTrack[[Value]:[Value]],CostTrack[[PA ID]:[PA ID]],$B133,CostTrack[[Vendor - Contract]:[Vendor - Contract]],$H133,CostTrack[[Holdback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33" s="504">
        <f ca="1">SUMIFS(CostTrack[[Value]:[Value]],CostTrack[[PA ID]:[PA ID]],$B133,CostTrack[[Vendor - Contract]:[Vendor - Contract]],$H133,CostTrack[[Holdback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33" s="504">
        <f ca="1">SUMIFS(CostTrack[[Value]:[Value]],CostTrack[[PA ID]:[PA ID]],$B133,CostTrack[[Vendor - Contract]:[Vendor - Contract]],$H133,CostTrack[[Holdback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33" s="504">
        <f ca="1">SUMIFS(CostTrack[[Value]:[Value]],CostTrack[[PA ID]:[PA ID]],$B133,CostTrack[[Vendor - Contract]:[Vendor - Contract]],$H133,CostTrack[[Holdback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33" s="512">
        <f t="shared" ca="1" si="269"/>
        <v>0</v>
      </c>
      <c r="BY133" s="504">
        <f ca="1">SUMIFS(CostTrack[[Value]:[Value]],CostTrack[[PA ID]:[PA ID]],$B133,CostTrack[[Vendor - Contract]:[Vendor - Contract]],$H133,CostTrack[[Holdback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33" s="504">
        <f ca="1">SUMIFS(CostTrack[[Value]:[Value]],CostTrack[[PA ID]:[PA ID]],$B133,CostTrack[[Vendor - Contract]:[Vendor - Contract]],$H133,CostTrack[[Holdback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33" s="504">
        <f ca="1">SUMIFS(CostTrack[[Value]:[Value]],CostTrack[[PA ID]:[PA ID]],$B133,CostTrack[[Vendor - Contract]:[Vendor - Contract]],$H133,CostTrack[[Holdback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33" s="504">
        <f ca="1">SUMIFS(CostTrack[[Value]:[Value]],CostTrack[[PA ID]:[PA ID]],$B133,CostTrack[[Vendor - Contract]:[Vendor - Contract]],$H133,CostTrack[[Holdback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33" s="504">
        <f ca="1">SUMIFS(CostTrack[[Value]:[Value]],CostTrack[[PA ID]:[PA ID]],$B133,CostTrack[[Vendor - Contract]:[Vendor - Contract]],$H133,CostTrack[[Holdback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33" s="504">
        <f ca="1">SUMIFS(CostTrack[[Value]:[Value]],CostTrack[[PA ID]:[PA ID]],$B133,CostTrack[[Vendor - Contract]:[Vendor - Contract]],$H133,CostTrack[[Holdback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33" s="504">
        <f ca="1">SUMIFS(CostTrack[[Value]:[Value]],CostTrack[[PA ID]:[PA ID]],$B133,CostTrack[[Vendor - Contract]:[Vendor - Contract]],$H133,CostTrack[[Holdback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33" s="504">
        <f ca="1">SUMIFS(CostTrack[[Value]:[Value]],CostTrack[[PA ID]:[PA ID]],$B133,CostTrack[[Vendor - Contract]:[Vendor - Contract]],$H133,CostTrack[[Holdback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33" s="504">
        <f ca="1">SUMIFS(CostTrack[[Value]:[Value]],CostTrack[[PA ID]:[PA ID]],$B133,CostTrack[[Vendor - Contract]:[Vendor - Contract]],$H133,CostTrack[[Holdback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33" s="504">
        <f ca="1">SUMIFS(CostTrack[[Value]:[Value]],CostTrack[[PA ID]:[PA ID]],$B133,CostTrack[[Vendor - Contract]:[Vendor - Contract]],$H133,CostTrack[[Holdback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33" s="504">
        <f ca="1">SUMIFS(CostTrack[[Value]:[Value]],CostTrack[[PA ID]:[PA ID]],$B133,CostTrack[[Vendor - Contract]:[Vendor - Contract]],$H133,CostTrack[[Holdback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33" s="504">
        <f ca="1">SUMIFS(CostTrack[[Value]:[Value]],CostTrack[[PA ID]:[PA ID]],$B133,CostTrack[[Vendor - Contract]:[Vendor - Contract]],$H133,CostTrack[[Holdback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33" s="512">
        <f t="shared" ca="1" si="255"/>
        <v>0</v>
      </c>
      <c r="CM133" s="504">
        <f ca="1">SUMIFS(CostTrack[[Value]:[Value]],CostTrack[[PA ID]:[PA ID]],$B133,CostTrack[[Vendor - Contract]:[Vendor - Contract]],$H133,CostTrack[[Holdback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33" s="504">
        <f ca="1">SUMIFS(CostTrack[[Value]:[Value]],CostTrack[[PA ID]:[PA ID]],$B133,CostTrack[[Vendor - Contract]:[Vendor - Contract]],$H133,CostTrack[[Holdback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33" s="504">
        <f ca="1">SUMIFS(CostTrack[[Value]:[Value]],CostTrack[[PA ID]:[PA ID]],$B133,CostTrack[[Vendor - Contract]:[Vendor - Contract]],$H133,CostTrack[[Holdback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33" s="504">
        <f ca="1">SUMIFS(CostTrack[[Value]:[Value]],CostTrack[[PA ID]:[PA ID]],$B133,CostTrack[[Vendor - Contract]:[Vendor - Contract]],$H133,CostTrack[[Holdback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33" s="504">
        <f ca="1">SUMIFS(CostTrack[[Value]:[Value]],CostTrack[[PA ID]:[PA ID]],$B133,CostTrack[[Vendor - Contract]:[Vendor - Contract]],$H133,CostTrack[[Holdback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33" s="504">
        <f ca="1">SUMIFS(CostTrack[[Value]:[Value]],CostTrack[[PA ID]:[PA ID]],$B133,CostTrack[[Vendor - Contract]:[Vendor - Contract]],$H133,CostTrack[[Holdback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33" s="504">
        <f ca="1">SUMIFS(CostTrack[[Value]:[Value]],CostTrack[[PA ID]:[PA ID]],$B133,CostTrack[[Vendor - Contract]:[Vendor - Contract]],$H133,CostTrack[[Holdback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33" s="504">
        <f ca="1">SUMIFS(CostTrack[[Value]:[Value]],CostTrack[[PA ID]:[PA ID]],$B133,CostTrack[[Vendor - Contract]:[Vendor - Contract]],$H133,CostTrack[[Holdback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33" s="504">
        <f ca="1">SUMIFS(CostTrack[[Value]:[Value]],CostTrack[[PA ID]:[PA ID]],$B133,CostTrack[[Vendor - Contract]:[Vendor - Contract]],$H133,CostTrack[[Holdback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33" s="504">
        <f ca="1">SUMIFS(CostTrack[[Value]:[Value]],CostTrack[[PA ID]:[PA ID]],$B133,CostTrack[[Vendor - Contract]:[Vendor - Contract]],$H133,CostTrack[[Holdback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33" s="504">
        <f ca="1">SUMIFS(CostTrack[[Value]:[Value]],CostTrack[[PA ID]:[PA ID]],$B133,CostTrack[[Vendor - Contract]:[Vendor - Contract]],$H133,CostTrack[[Holdback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33" s="504">
        <f ca="1">SUMIFS(CostTrack[[Value]:[Value]],CostTrack[[PA ID]:[PA ID]],$B133,CostTrack[[Vendor - Contract]:[Vendor - Contract]],$H133,CostTrack[[Holdback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33" s="512">
        <f t="shared" ca="1" si="256"/>
        <v>0</v>
      </c>
      <c r="DA133" s="504">
        <f ca="1">SUMIFS(CostTrack[[Value]:[Value]],CostTrack[[PA ID]:[PA ID]],$B133,CostTrack[[Vendor - Contract]:[Vendor - Contract]],$H133,CostTrack[[Holdback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33" s="504">
        <f ca="1">SUMIFS(CostTrack[[Value]:[Value]],CostTrack[[PA ID]:[PA ID]],$B133,CostTrack[[Vendor - Contract]:[Vendor - Contract]],$H133,CostTrack[[Holdback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33" s="504">
        <f ca="1">SUMIFS(CostTrack[[Value]:[Value]],CostTrack[[PA ID]:[PA ID]],$B133,CostTrack[[Vendor - Contract]:[Vendor - Contract]],$H133,CostTrack[[Holdback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33" s="504">
        <f ca="1">SUMIFS(CostTrack[[Value]:[Value]],CostTrack[[PA ID]:[PA ID]],$B133,CostTrack[[Vendor - Contract]:[Vendor - Contract]],$H133,CostTrack[[Holdback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33" s="504">
        <f ca="1">SUMIFS(CostTrack[[Value]:[Value]],CostTrack[[PA ID]:[PA ID]],$B133,CostTrack[[Vendor - Contract]:[Vendor - Contract]],$H133,CostTrack[[Holdback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33" s="504">
        <f ca="1">SUMIFS(CostTrack[[Value]:[Value]],CostTrack[[PA ID]:[PA ID]],$B133,CostTrack[[Vendor - Contract]:[Vendor - Contract]],$H133,CostTrack[[Holdback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33" s="504">
        <f ca="1">SUMIFS(CostTrack[[Value]:[Value]],CostTrack[[PA ID]:[PA ID]],$B133,CostTrack[[Vendor - Contract]:[Vendor - Contract]],$H133,CostTrack[[Holdback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33" s="504">
        <f ca="1">SUMIFS(CostTrack[[Value]:[Value]],CostTrack[[PA ID]:[PA ID]],$B133,CostTrack[[Vendor - Contract]:[Vendor - Contract]],$H133,CostTrack[[Holdback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33" s="504">
        <f ca="1">SUMIFS(CostTrack[[Value]:[Value]],CostTrack[[PA ID]:[PA ID]],$B133,CostTrack[[Vendor - Contract]:[Vendor - Contract]],$H133,CostTrack[[Holdback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33" s="504">
        <f ca="1">SUMIFS(CostTrack[[Value]:[Value]],CostTrack[[PA ID]:[PA ID]],$B133,CostTrack[[Vendor - Contract]:[Vendor - Contract]],$H133,CostTrack[[Holdback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33" s="504">
        <f ca="1">SUMIFS(CostTrack[[Value]:[Value]],CostTrack[[PA ID]:[PA ID]],$B133,CostTrack[[Vendor - Contract]:[Vendor - Contract]],$H133,CostTrack[[Holdback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33" s="504">
        <f ca="1">SUMIFS(CostTrack[[Value]:[Value]],CostTrack[[PA ID]:[PA ID]],$B133,CostTrack[[Vendor - Contract]:[Vendor - Contract]],$H133,CostTrack[[Holdback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33" s="512">
        <f t="shared" ca="1" si="257"/>
        <v>0</v>
      </c>
      <c r="DO133" s="504">
        <f ca="1">SUMIFS(CostTrack[[Value]:[Value]],CostTrack[[PA ID]:[PA ID]],$B133,CostTrack[[Vendor - Contract]:[Vendor - Contract]],$H133,CostTrack[[Holdback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33" s="504">
        <f ca="1">SUMIFS(CostTrack[[Value]:[Value]],CostTrack[[PA ID]:[PA ID]],$B133,CostTrack[[Vendor - Contract]:[Vendor - Contract]],$H133,CostTrack[[Holdback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33" s="504">
        <f ca="1">SUMIFS(CostTrack[[Value]:[Value]],CostTrack[[PA ID]:[PA ID]],$B133,CostTrack[[Vendor - Contract]:[Vendor - Contract]],$H133,CostTrack[[Holdback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33" s="504">
        <f ca="1">SUMIFS(CostTrack[[Value]:[Value]],CostTrack[[PA ID]:[PA ID]],$B133,CostTrack[[Vendor - Contract]:[Vendor - Contract]],$H133,CostTrack[[Holdback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33" s="504">
        <f ca="1">SUMIFS(CostTrack[[Value]:[Value]],CostTrack[[PA ID]:[PA ID]],$B133,CostTrack[[Vendor - Contract]:[Vendor - Contract]],$H133,CostTrack[[Holdback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33" s="504">
        <f ca="1">SUMIFS(CostTrack[[Value]:[Value]],CostTrack[[PA ID]:[PA ID]],$B133,CostTrack[[Vendor - Contract]:[Vendor - Contract]],$H133,CostTrack[[Holdback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33" s="504">
        <f ca="1">SUMIFS(CostTrack[[Value]:[Value]],CostTrack[[PA ID]:[PA ID]],$B133,CostTrack[[Vendor - Contract]:[Vendor - Contract]],$H133,CostTrack[[Holdback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33" s="504">
        <f ca="1">SUMIFS(CostTrack[[Value]:[Value]],CostTrack[[PA ID]:[PA ID]],$B133,CostTrack[[Vendor - Contract]:[Vendor - Contract]],$H133,CostTrack[[Holdback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33" s="504">
        <f ca="1">SUMIFS(CostTrack[[Value]:[Value]],CostTrack[[PA ID]:[PA ID]],$B133,CostTrack[[Vendor - Contract]:[Vendor - Contract]],$H133,CostTrack[[Holdback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33" s="504">
        <f ca="1">SUMIFS(CostTrack[[Value]:[Value]],CostTrack[[PA ID]:[PA ID]],$B133,CostTrack[[Vendor - Contract]:[Vendor - Contract]],$H133,CostTrack[[Holdback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33" s="504">
        <f ca="1">SUMIFS(CostTrack[[Value]:[Value]],CostTrack[[PA ID]:[PA ID]],$B133,CostTrack[[Vendor - Contract]:[Vendor - Contract]],$H133,CostTrack[[Holdback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33" s="504">
        <f ca="1">SUMIFS(CostTrack[[Value]:[Value]],CostTrack[[PA ID]:[PA ID]],$B133,CostTrack[[Vendor - Contract]:[Vendor - Contract]],$H133,CostTrack[[Holdback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33" s="512">
        <f t="shared" ca="1" si="270"/>
        <v>0</v>
      </c>
      <c r="EC133" s="504">
        <f ca="1">SUMIFS(CostTrack[[Value]:[Value]],CostTrack[[PA ID]:[PA ID]],$B133,CostTrack[[Vendor - Contract]:[Vendor - Contract]],$H133,CostTrack[[Holdback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33" s="505"/>
      <c r="EE133" s="505"/>
      <c r="EF133" s="505"/>
      <c r="EG133" s="505"/>
      <c r="EH133" s="505"/>
      <c r="EI133" s="505"/>
      <c r="EJ133" s="505"/>
      <c r="EK133" s="505"/>
      <c r="EL133" s="505"/>
      <c r="EM133" s="505"/>
      <c r="EN133" s="505"/>
      <c r="EO133" s="512">
        <f t="shared" ca="1" si="271"/>
        <v>0</v>
      </c>
      <c r="EQ133" s="505"/>
      <c r="ER133" s="505"/>
      <c r="ES133" s="505"/>
      <c r="ET133" s="505"/>
      <c r="EU133" s="505"/>
      <c r="EV133" s="505"/>
      <c r="EW133" s="505"/>
      <c r="EX133" s="505"/>
      <c r="EY133" s="505"/>
      <c r="EZ133" s="505"/>
      <c r="FA133" s="505"/>
      <c r="FB133" s="505"/>
      <c r="FC133" s="512">
        <f t="shared" si="272"/>
        <v>0</v>
      </c>
      <c r="FE133" s="505"/>
      <c r="FF133" s="505"/>
      <c r="FG133" s="505"/>
      <c r="FH133" s="505"/>
      <c r="FI133" s="505"/>
      <c r="FJ133" s="505"/>
      <c r="FK133" s="505"/>
      <c r="FL133" s="505"/>
      <c r="FM133" s="505"/>
      <c r="FN133" s="505"/>
      <c r="FO133" s="505"/>
      <c r="FP133" s="505"/>
      <c r="FQ133" s="512">
        <f t="shared" si="273"/>
        <v>0</v>
      </c>
      <c r="FS133" s="504">
        <f t="shared" ca="1" si="274"/>
        <v>0</v>
      </c>
    </row>
    <row r="134" spans="1:175">
      <c r="A134" s="216">
        <v>127</v>
      </c>
      <c r="B134" s="219">
        <f ca="1">INDEX(EAC[PA ID],MATCH($A134,EAC[Row],0))</f>
        <v>0</v>
      </c>
      <c r="C134" s="218" t="str">
        <f ca="1">INDEX(EAC[Primary Category],MATCH($A134,EAC[Row],0))</f>
        <v/>
      </c>
      <c r="D134" s="218" t="str">
        <f ca="1">INDEX(EAC[Secondary Category],MATCH($A134,EAC[Row],0))</f>
        <v/>
      </c>
      <c r="E134" s="109" t="str">
        <f ca="1">INDEX(EAC[Phase / Subproject],MATCH($A134,EAC[Row],0))</f>
        <v/>
      </c>
      <c r="F134" s="109" t="str">
        <f ca="1">INDEX(EAC[Phase / Subproject 2],MATCH($A134,EAC[Row],0))</f>
        <v/>
      </c>
      <c r="G134" s="109" t="str">
        <f ca="1">INDEX(EAC[Funding Source],MATCH($A134,EAC[Row],0))</f>
        <v/>
      </c>
      <c r="H134" s="146">
        <f ca="1">INDEX(EAC[Vendor / Org. with Contract ID],MATCH($A134,EAC[Row],0))</f>
        <v>0</v>
      </c>
      <c r="I134" s="502">
        <f ca="1">INDEX(EAC[Estimate At Completion],MATCH($A134,EAC[Row],0))</f>
        <v>0</v>
      </c>
      <c r="J134" s="502">
        <f ca="1">SUMIFS(CostTrack[Value],CostTrack[Vendor - Contract],$H134,CostTrack[PA ID],$B134,CostTrack[Holdback (Y/N/R)],"&lt;&gt;Release",CostTrack[Status],"Approved")</f>
        <v>0</v>
      </c>
      <c r="K134" s="503">
        <f t="shared" ca="1" si="283"/>
        <v>0</v>
      </c>
      <c r="M134" s="504">
        <f t="shared" ca="1" si="264"/>
        <v>0</v>
      </c>
      <c r="O134" s="504">
        <f t="shared" ca="1" si="275"/>
        <v>0</v>
      </c>
      <c r="P134" s="504">
        <f t="array" aca="1" ref="P134" ca="1">SUM($U134:$FQ134*_xlfn.ISFORMULA($U134:$FQ134)*ISNUMBER($U$7:$FQ$7)*--(INDEX($U$6:$FQ$6,N(IF({1},COLUMN($U$6:$FQ$6)-COLUMN($T$6)))-MOD(N(IF({1},COLUMN($U$6:$FQ$6)-COLUMN($U$6))),14))="Current Fiscal"))</f>
        <v>0</v>
      </c>
      <c r="Q134" s="504">
        <f t="array" aca="1" ref="Q134" ca="1">SUM($U134:$FQ134*NOT(_xlfn.ISFORMULA($U134:$FQ134))*ISNUMBER($U$7:$FQ$7)*--(INDEX($U$6:$FQ$6,N(IF({1},COLUMN($U$6:$FQ$6)-COLUMN($T$6)))-MOD(N(IF({1},COLUMN($U$6:$FQ$6)-COLUMN($U$6))),14))="Current Fiscal"))</f>
        <v>0</v>
      </c>
      <c r="R134" s="504">
        <f t="shared" ca="1" si="276"/>
        <v>0</v>
      </c>
      <c r="S134" s="504">
        <f t="shared" ca="1" si="277"/>
        <v>0</v>
      </c>
      <c r="U134" s="504">
        <f ca="1">SUMIFS(CostTrack[[Value]:[Value]],CostTrack[[PA ID]:[PA ID]],$B134,CostTrack[[Vendor - Contract]:[Vendor - Contract]],$H134,CostTrack[[Holdback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34" s="504">
        <f ca="1">SUMIFS(CostTrack[[Value]:[Value]],CostTrack[[PA ID]:[PA ID]],$B134,CostTrack[[Vendor - Contract]:[Vendor - Contract]],$H134,CostTrack[[Holdback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34" s="504">
        <f ca="1">SUMIFS(CostTrack[[Value]:[Value]],CostTrack[[PA ID]:[PA ID]],$B134,CostTrack[[Vendor - Contract]:[Vendor - Contract]],$H134,CostTrack[[Holdback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34" s="504">
        <f ca="1">SUMIFS(CostTrack[[Value]:[Value]],CostTrack[[PA ID]:[PA ID]],$B134,CostTrack[[Vendor - Contract]:[Vendor - Contract]],$H134,CostTrack[[Holdback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34" s="504">
        <f ca="1">SUMIFS(CostTrack[[Value]:[Value]],CostTrack[[PA ID]:[PA ID]],$B134,CostTrack[[Vendor - Contract]:[Vendor - Contract]],$H134,CostTrack[[Holdback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34" s="504">
        <f ca="1">SUMIFS(CostTrack[[Value]:[Value]],CostTrack[[PA ID]:[PA ID]],$B134,CostTrack[[Vendor - Contract]:[Vendor - Contract]],$H134,CostTrack[[Holdback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34" s="504">
        <f ca="1">SUMIFS(CostTrack[[Value]:[Value]],CostTrack[[PA ID]:[PA ID]],$B134,CostTrack[[Vendor - Contract]:[Vendor - Contract]],$H134,CostTrack[[Holdback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34" s="504">
        <f ca="1">SUMIFS(CostTrack[[Value]:[Value]],CostTrack[[PA ID]:[PA ID]],$B134,CostTrack[[Vendor - Contract]:[Vendor - Contract]],$H134,CostTrack[[Holdback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34" s="504">
        <f ca="1">SUMIFS(CostTrack[[Value]:[Value]],CostTrack[[PA ID]:[PA ID]],$B134,CostTrack[[Vendor - Contract]:[Vendor - Contract]],$H134,CostTrack[[Holdback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34" s="504">
        <f ca="1">SUMIFS(CostTrack[[Value]:[Value]],CostTrack[[PA ID]:[PA ID]],$B134,CostTrack[[Vendor - Contract]:[Vendor - Contract]],$H134,CostTrack[[Holdback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34" s="504">
        <f ca="1">SUMIFS(CostTrack[[Value]:[Value]],CostTrack[[PA ID]:[PA ID]],$B134,CostTrack[[Vendor - Contract]:[Vendor - Contract]],$H134,CostTrack[[Holdback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34" s="504">
        <f ca="1">SUMIFS(CostTrack[[Value]:[Value]],CostTrack[[PA ID]:[PA ID]],$B134,CostTrack[[Vendor - Contract]:[Vendor - Contract]],$H134,CostTrack[[Holdback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34" s="506">
        <f t="shared" ca="1" si="235"/>
        <v>0</v>
      </c>
      <c r="AI134" s="504">
        <f ca="1">SUMIFS(CostTrack[[Value]:[Value]],CostTrack[[PA ID]:[PA ID]],$B134,CostTrack[[Vendor - Contract]:[Vendor - Contract]],$H134,CostTrack[[Holdback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34" s="504">
        <f ca="1">SUMIFS(CostTrack[[Value]:[Value]],CostTrack[[PA ID]:[PA ID]],$B134,CostTrack[[Vendor - Contract]:[Vendor - Contract]],$H134,CostTrack[[Holdback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34" s="504">
        <f ca="1">SUMIFS(CostTrack[[Value]:[Value]],CostTrack[[PA ID]:[PA ID]],$B134,CostTrack[[Vendor - Contract]:[Vendor - Contract]],$H134,CostTrack[[Holdback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34" s="504">
        <f ca="1">SUMIFS(CostTrack[[Value]:[Value]],CostTrack[[PA ID]:[PA ID]],$B134,CostTrack[[Vendor - Contract]:[Vendor - Contract]],$H134,CostTrack[[Holdback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34" s="504">
        <f ca="1">SUMIFS(CostTrack[[Value]:[Value]],CostTrack[[PA ID]:[PA ID]],$B134,CostTrack[[Vendor - Contract]:[Vendor - Contract]],$H134,CostTrack[[Holdback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34" s="504">
        <f ca="1">SUMIFS(CostTrack[[Value]:[Value]],CostTrack[[PA ID]:[PA ID]],$B134,CostTrack[[Vendor - Contract]:[Vendor - Contract]],$H134,CostTrack[[Holdback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34" s="504">
        <f ca="1">SUMIFS(CostTrack[[Value]:[Value]],CostTrack[[PA ID]:[PA ID]],$B134,CostTrack[[Vendor - Contract]:[Vendor - Contract]],$H134,CostTrack[[Holdback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34" s="504">
        <f ca="1">SUMIFS(CostTrack[[Value]:[Value]],CostTrack[[PA ID]:[PA ID]],$B134,CostTrack[[Vendor - Contract]:[Vendor - Contract]],$H134,CostTrack[[Holdback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34" s="504">
        <f ca="1">SUMIFS(CostTrack[[Value]:[Value]],CostTrack[[PA ID]:[PA ID]],$B134,CostTrack[[Vendor - Contract]:[Vendor - Contract]],$H134,CostTrack[[Holdback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34" s="504">
        <f ca="1">SUMIFS(CostTrack[[Value]:[Value]],CostTrack[[PA ID]:[PA ID]],$B134,CostTrack[[Vendor - Contract]:[Vendor - Contract]],$H134,CostTrack[[Holdback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34" s="504">
        <f ca="1">SUMIFS(CostTrack[[Value]:[Value]],CostTrack[[PA ID]:[PA ID]],$B134,CostTrack[[Vendor - Contract]:[Vendor - Contract]],$H134,CostTrack[[Holdback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34" s="504">
        <f ca="1">SUMIFS(CostTrack[[Value]:[Value]],CostTrack[[PA ID]:[PA ID]],$B134,CostTrack[[Vendor - Contract]:[Vendor - Contract]],$H134,CostTrack[[Holdback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34" s="512">
        <f t="shared" ca="1" si="252"/>
        <v>0</v>
      </c>
      <c r="AW134" s="504">
        <f ca="1">SUMIFS(CostTrack[[Value]:[Value]],CostTrack[[PA ID]:[PA ID]],$B134,CostTrack[[Vendor - Contract]:[Vendor - Contract]],$H134,CostTrack[[Holdback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34" s="504">
        <f ca="1">SUMIFS(CostTrack[[Value]:[Value]],CostTrack[[PA ID]:[PA ID]],$B134,CostTrack[[Vendor - Contract]:[Vendor - Contract]],$H134,CostTrack[[Holdback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34" s="504">
        <f ca="1">SUMIFS(CostTrack[[Value]:[Value]],CostTrack[[PA ID]:[PA ID]],$B134,CostTrack[[Vendor - Contract]:[Vendor - Contract]],$H134,CostTrack[[Holdback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34" s="504">
        <f ca="1">SUMIFS(CostTrack[[Value]:[Value]],CostTrack[[PA ID]:[PA ID]],$B134,CostTrack[[Vendor - Contract]:[Vendor - Contract]],$H134,CostTrack[[Holdback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34" s="504">
        <f ca="1">SUMIFS(CostTrack[[Value]:[Value]],CostTrack[[PA ID]:[PA ID]],$B134,CostTrack[[Vendor - Contract]:[Vendor - Contract]],$H134,CostTrack[[Holdback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34" s="504">
        <f ca="1">SUMIFS(CostTrack[[Value]:[Value]],CostTrack[[PA ID]:[PA ID]],$B134,CostTrack[[Vendor - Contract]:[Vendor - Contract]],$H134,CostTrack[[Holdback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34" s="504">
        <f ca="1">SUMIFS(CostTrack[[Value]:[Value]],CostTrack[[PA ID]:[PA ID]],$B134,CostTrack[[Vendor - Contract]:[Vendor - Contract]],$H134,CostTrack[[Holdback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34" s="504">
        <f ca="1">SUMIFS(CostTrack[[Value]:[Value]],CostTrack[[PA ID]:[PA ID]],$B134,CostTrack[[Vendor - Contract]:[Vendor - Contract]],$H134,CostTrack[[Holdback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34" s="504">
        <f ca="1">SUMIFS(CostTrack[[Value]:[Value]],CostTrack[[PA ID]:[PA ID]],$B134,CostTrack[[Vendor - Contract]:[Vendor - Contract]],$H134,CostTrack[[Holdback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34" s="504">
        <f ca="1">SUMIFS(CostTrack[[Value]:[Value]],CostTrack[[PA ID]:[PA ID]],$B134,CostTrack[[Vendor - Contract]:[Vendor - Contract]],$H134,CostTrack[[Holdback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34" s="504">
        <f ca="1">SUMIFS(CostTrack[[Value]:[Value]],CostTrack[[PA ID]:[PA ID]],$B134,CostTrack[[Vendor - Contract]:[Vendor - Contract]],$H134,CostTrack[[Holdback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34" s="504">
        <f ca="1">SUMIFS(CostTrack[[Value]:[Value]],CostTrack[[PA ID]:[PA ID]],$B134,CostTrack[[Vendor - Contract]:[Vendor - Contract]],$H134,CostTrack[[Holdback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34" s="512">
        <f t="shared" ca="1" si="268"/>
        <v>0</v>
      </c>
      <c r="BK134" s="504">
        <f ca="1">SUMIFS(CostTrack[[Value]:[Value]],CostTrack[[PA ID]:[PA ID]],$B134,CostTrack[[Vendor - Contract]:[Vendor - Contract]],$H134,CostTrack[[Holdback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34" s="504">
        <f ca="1">SUMIFS(CostTrack[[Value]:[Value]],CostTrack[[PA ID]:[PA ID]],$B134,CostTrack[[Vendor - Contract]:[Vendor - Contract]],$H134,CostTrack[[Holdback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34" s="504">
        <f ca="1">SUMIFS(CostTrack[[Value]:[Value]],CostTrack[[PA ID]:[PA ID]],$B134,CostTrack[[Vendor - Contract]:[Vendor - Contract]],$H134,CostTrack[[Holdback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34" s="504">
        <f ca="1">SUMIFS(CostTrack[[Value]:[Value]],CostTrack[[PA ID]:[PA ID]],$B134,CostTrack[[Vendor - Contract]:[Vendor - Contract]],$H134,CostTrack[[Holdback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34" s="504">
        <f ca="1">SUMIFS(CostTrack[[Value]:[Value]],CostTrack[[PA ID]:[PA ID]],$B134,CostTrack[[Vendor - Contract]:[Vendor - Contract]],$H134,CostTrack[[Holdback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34" s="504">
        <f ca="1">SUMIFS(CostTrack[[Value]:[Value]],CostTrack[[PA ID]:[PA ID]],$B134,CostTrack[[Vendor - Contract]:[Vendor - Contract]],$H134,CostTrack[[Holdback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34" s="504">
        <f ca="1">SUMIFS(CostTrack[[Value]:[Value]],CostTrack[[PA ID]:[PA ID]],$B134,CostTrack[[Vendor - Contract]:[Vendor - Contract]],$H134,CostTrack[[Holdback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34" s="504">
        <f ca="1">SUMIFS(CostTrack[[Value]:[Value]],CostTrack[[PA ID]:[PA ID]],$B134,CostTrack[[Vendor - Contract]:[Vendor - Contract]],$H134,CostTrack[[Holdback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34" s="504">
        <f ca="1">SUMIFS(CostTrack[[Value]:[Value]],CostTrack[[PA ID]:[PA ID]],$B134,CostTrack[[Vendor - Contract]:[Vendor - Contract]],$H134,CostTrack[[Holdback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34" s="504">
        <f ca="1">SUMIFS(CostTrack[[Value]:[Value]],CostTrack[[PA ID]:[PA ID]],$B134,CostTrack[[Vendor - Contract]:[Vendor - Contract]],$H134,CostTrack[[Holdback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34" s="504">
        <f ca="1">SUMIFS(CostTrack[[Value]:[Value]],CostTrack[[PA ID]:[PA ID]],$B134,CostTrack[[Vendor - Contract]:[Vendor - Contract]],$H134,CostTrack[[Holdback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34" s="504">
        <f ca="1">SUMIFS(CostTrack[[Value]:[Value]],CostTrack[[PA ID]:[PA ID]],$B134,CostTrack[[Vendor - Contract]:[Vendor - Contract]],$H134,CostTrack[[Holdback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34" s="512">
        <f t="shared" ca="1" si="269"/>
        <v>0</v>
      </c>
      <c r="BY134" s="504">
        <f ca="1">SUMIFS(CostTrack[[Value]:[Value]],CostTrack[[PA ID]:[PA ID]],$B134,CostTrack[[Vendor - Contract]:[Vendor - Contract]],$H134,CostTrack[[Holdback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34" s="504">
        <f ca="1">SUMIFS(CostTrack[[Value]:[Value]],CostTrack[[PA ID]:[PA ID]],$B134,CostTrack[[Vendor - Contract]:[Vendor - Contract]],$H134,CostTrack[[Holdback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34" s="504">
        <f ca="1">SUMIFS(CostTrack[[Value]:[Value]],CostTrack[[PA ID]:[PA ID]],$B134,CostTrack[[Vendor - Contract]:[Vendor - Contract]],$H134,CostTrack[[Holdback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34" s="504">
        <f ca="1">SUMIFS(CostTrack[[Value]:[Value]],CostTrack[[PA ID]:[PA ID]],$B134,CostTrack[[Vendor - Contract]:[Vendor - Contract]],$H134,CostTrack[[Holdback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34" s="504">
        <f ca="1">SUMIFS(CostTrack[[Value]:[Value]],CostTrack[[PA ID]:[PA ID]],$B134,CostTrack[[Vendor - Contract]:[Vendor - Contract]],$H134,CostTrack[[Holdback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34" s="504">
        <f ca="1">SUMIFS(CostTrack[[Value]:[Value]],CostTrack[[PA ID]:[PA ID]],$B134,CostTrack[[Vendor - Contract]:[Vendor - Contract]],$H134,CostTrack[[Holdback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34" s="504">
        <f ca="1">SUMIFS(CostTrack[[Value]:[Value]],CostTrack[[PA ID]:[PA ID]],$B134,CostTrack[[Vendor - Contract]:[Vendor - Contract]],$H134,CostTrack[[Holdback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34" s="504">
        <f ca="1">SUMIFS(CostTrack[[Value]:[Value]],CostTrack[[PA ID]:[PA ID]],$B134,CostTrack[[Vendor - Contract]:[Vendor - Contract]],$H134,CostTrack[[Holdback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34" s="504">
        <f ca="1">SUMIFS(CostTrack[[Value]:[Value]],CostTrack[[PA ID]:[PA ID]],$B134,CostTrack[[Vendor - Contract]:[Vendor - Contract]],$H134,CostTrack[[Holdback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34" s="504">
        <f ca="1">SUMIFS(CostTrack[[Value]:[Value]],CostTrack[[PA ID]:[PA ID]],$B134,CostTrack[[Vendor - Contract]:[Vendor - Contract]],$H134,CostTrack[[Holdback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34" s="504">
        <f ca="1">SUMIFS(CostTrack[[Value]:[Value]],CostTrack[[PA ID]:[PA ID]],$B134,CostTrack[[Vendor - Contract]:[Vendor - Contract]],$H134,CostTrack[[Holdback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34" s="504">
        <f ca="1">SUMIFS(CostTrack[[Value]:[Value]],CostTrack[[PA ID]:[PA ID]],$B134,CostTrack[[Vendor - Contract]:[Vendor - Contract]],$H134,CostTrack[[Holdback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34" s="512">
        <f t="shared" ca="1" si="255"/>
        <v>0</v>
      </c>
      <c r="CM134" s="504">
        <f ca="1">SUMIFS(CostTrack[[Value]:[Value]],CostTrack[[PA ID]:[PA ID]],$B134,CostTrack[[Vendor - Contract]:[Vendor - Contract]],$H134,CostTrack[[Holdback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34" s="504">
        <f ca="1">SUMIFS(CostTrack[[Value]:[Value]],CostTrack[[PA ID]:[PA ID]],$B134,CostTrack[[Vendor - Contract]:[Vendor - Contract]],$H134,CostTrack[[Holdback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34" s="504">
        <f ca="1">SUMIFS(CostTrack[[Value]:[Value]],CostTrack[[PA ID]:[PA ID]],$B134,CostTrack[[Vendor - Contract]:[Vendor - Contract]],$H134,CostTrack[[Holdback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34" s="504">
        <f ca="1">SUMIFS(CostTrack[[Value]:[Value]],CostTrack[[PA ID]:[PA ID]],$B134,CostTrack[[Vendor - Contract]:[Vendor - Contract]],$H134,CostTrack[[Holdback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34" s="504">
        <f ca="1">SUMIFS(CostTrack[[Value]:[Value]],CostTrack[[PA ID]:[PA ID]],$B134,CostTrack[[Vendor - Contract]:[Vendor - Contract]],$H134,CostTrack[[Holdback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34" s="504">
        <f ca="1">SUMIFS(CostTrack[[Value]:[Value]],CostTrack[[PA ID]:[PA ID]],$B134,CostTrack[[Vendor - Contract]:[Vendor - Contract]],$H134,CostTrack[[Holdback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34" s="504">
        <f ca="1">SUMIFS(CostTrack[[Value]:[Value]],CostTrack[[PA ID]:[PA ID]],$B134,CostTrack[[Vendor - Contract]:[Vendor - Contract]],$H134,CostTrack[[Holdback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34" s="504">
        <f ca="1">SUMIFS(CostTrack[[Value]:[Value]],CostTrack[[PA ID]:[PA ID]],$B134,CostTrack[[Vendor - Contract]:[Vendor - Contract]],$H134,CostTrack[[Holdback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34" s="504">
        <f ca="1">SUMIFS(CostTrack[[Value]:[Value]],CostTrack[[PA ID]:[PA ID]],$B134,CostTrack[[Vendor - Contract]:[Vendor - Contract]],$H134,CostTrack[[Holdback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34" s="504">
        <f ca="1">SUMIFS(CostTrack[[Value]:[Value]],CostTrack[[PA ID]:[PA ID]],$B134,CostTrack[[Vendor - Contract]:[Vendor - Contract]],$H134,CostTrack[[Holdback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34" s="504">
        <f ca="1">SUMIFS(CostTrack[[Value]:[Value]],CostTrack[[PA ID]:[PA ID]],$B134,CostTrack[[Vendor - Contract]:[Vendor - Contract]],$H134,CostTrack[[Holdback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34" s="504">
        <f ca="1">SUMIFS(CostTrack[[Value]:[Value]],CostTrack[[PA ID]:[PA ID]],$B134,CostTrack[[Vendor - Contract]:[Vendor - Contract]],$H134,CostTrack[[Holdback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34" s="512">
        <f t="shared" ca="1" si="256"/>
        <v>0</v>
      </c>
      <c r="DA134" s="504">
        <f ca="1">SUMIFS(CostTrack[[Value]:[Value]],CostTrack[[PA ID]:[PA ID]],$B134,CostTrack[[Vendor - Contract]:[Vendor - Contract]],$H134,CostTrack[[Holdback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34" s="504">
        <f ca="1">SUMIFS(CostTrack[[Value]:[Value]],CostTrack[[PA ID]:[PA ID]],$B134,CostTrack[[Vendor - Contract]:[Vendor - Contract]],$H134,CostTrack[[Holdback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34" s="504">
        <f ca="1">SUMIFS(CostTrack[[Value]:[Value]],CostTrack[[PA ID]:[PA ID]],$B134,CostTrack[[Vendor - Contract]:[Vendor - Contract]],$H134,CostTrack[[Holdback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34" s="504">
        <f ca="1">SUMIFS(CostTrack[[Value]:[Value]],CostTrack[[PA ID]:[PA ID]],$B134,CostTrack[[Vendor - Contract]:[Vendor - Contract]],$H134,CostTrack[[Holdback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34" s="504">
        <f ca="1">SUMIFS(CostTrack[[Value]:[Value]],CostTrack[[PA ID]:[PA ID]],$B134,CostTrack[[Vendor - Contract]:[Vendor - Contract]],$H134,CostTrack[[Holdback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34" s="504">
        <f ca="1">SUMIFS(CostTrack[[Value]:[Value]],CostTrack[[PA ID]:[PA ID]],$B134,CostTrack[[Vendor - Contract]:[Vendor - Contract]],$H134,CostTrack[[Holdback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34" s="504">
        <f ca="1">SUMIFS(CostTrack[[Value]:[Value]],CostTrack[[PA ID]:[PA ID]],$B134,CostTrack[[Vendor - Contract]:[Vendor - Contract]],$H134,CostTrack[[Holdback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34" s="504">
        <f ca="1">SUMIFS(CostTrack[[Value]:[Value]],CostTrack[[PA ID]:[PA ID]],$B134,CostTrack[[Vendor - Contract]:[Vendor - Contract]],$H134,CostTrack[[Holdback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34" s="504">
        <f ca="1">SUMIFS(CostTrack[[Value]:[Value]],CostTrack[[PA ID]:[PA ID]],$B134,CostTrack[[Vendor - Contract]:[Vendor - Contract]],$H134,CostTrack[[Holdback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34" s="504">
        <f ca="1">SUMIFS(CostTrack[[Value]:[Value]],CostTrack[[PA ID]:[PA ID]],$B134,CostTrack[[Vendor - Contract]:[Vendor - Contract]],$H134,CostTrack[[Holdback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34" s="504">
        <f ca="1">SUMIFS(CostTrack[[Value]:[Value]],CostTrack[[PA ID]:[PA ID]],$B134,CostTrack[[Vendor - Contract]:[Vendor - Contract]],$H134,CostTrack[[Holdback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34" s="504">
        <f ca="1">SUMIFS(CostTrack[[Value]:[Value]],CostTrack[[PA ID]:[PA ID]],$B134,CostTrack[[Vendor - Contract]:[Vendor - Contract]],$H134,CostTrack[[Holdback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34" s="512">
        <f t="shared" ca="1" si="257"/>
        <v>0</v>
      </c>
      <c r="DO134" s="504">
        <f ca="1">SUMIFS(CostTrack[[Value]:[Value]],CostTrack[[PA ID]:[PA ID]],$B134,CostTrack[[Vendor - Contract]:[Vendor - Contract]],$H134,CostTrack[[Holdback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34" s="504">
        <f ca="1">SUMIFS(CostTrack[[Value]:[Value]],CostTrack[[PA ID]:[PA ID]],$B134,CostTrack[[Vendor - Contract]:[Vendor - Contract]],$H134,CostTrack[[Holdback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34" s="504">
        <f ca="1">SUMIFS(CostTrack[[Value]:[Value]],CostTrack[[PA ID]:[PA ID]],$B134,CostTrack[[Vendor - Contract]:[Vendor - Contract]],$H134,CostTrack[[Holdback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34" s="504">
        <f ca="1">SUMIFS(CostTrack[[Value]:[Value]],CostTrack[[PA ID]:[PA ID]],$B134,CostTrack[[Vendor - Contract]:[Vendor - Contract]],$H134,CostTrack[[Holdback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34" s="504">
        <f ca="1">SUMIFS(CostTrack[[Value]:[Value]],CostTrack[[PA ID]:[PA ID]],$B134,CostTrack[[Vendor - Contract]:[Vendor - Contract]],$H134,CostTrack[[Holdback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34" s="504">
        <f ca="1">SUMIFS(CostTrack[[Value]:[Value]],CostTrack[[PA ID]:[PA ID]],$B134,CostTrack[[Vendor - Contract]:[Vendor - Contract]],$H134,CostTrack[[Holdback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34" s="504">
        <f ca="1">SUMIFS(CostTrack[[Value]:[Value]],CostTrack[[PA ID]:[PA ID]],$B134,CostTrack[[Vendor - Contract]:[Vendor - Contract]],$H134,CostTrack[[Holdback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34" s="504">
        <f ca="1">SUMIFS(CostTrack[[Value]:[Value]],CostTrack[[PA ID]:[PA ID]],$B134,CostTrack[[Vendor - Contract]:[Vendor - Contract]],$H134,CostTrack[[Holdback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34" s="504">
        <f ca="1">SUMIFS(CostTrack[[Value]:[Value]],CostTrack[[PA ID]:[PA ID]],$B134,CostTrack[[Vendor - Contract]:[Vendor - Contract]],$H134,CostTrack[[Holdback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34" s="504">
        <f ca="1">SUMIFS(CostTrack[[Value]:[Value]],CostTrack[[PA ID]:[PA ID]],$B134,CostTrack[[Vendor - Contract]:[Vendor - Contract]],$H134,CostTrack[[Holdback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34" s="504">
        <f ca="1">SUMIFS(CostTrack[[Value]:[Value]],CostTrack[[PA ID]:[PA ID]],$B134,CostTrack[[Vendor - Contract]:[Vendor - Contract]],$H134,CostTrack[[Holdback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34" s="504">
        <f ca="1">SUMIFS(CostTrack[[Value]:[Value]],CostTrack[[PA ID]:[PA ID]],$B134,CostTrack[[Vendor - Contract]:[Vendor - Contract]],$H134,CostTrack[[Holdback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34" s="512">
        <f t="shared" ca="1" si="270"/>
        <v>0</v>
      </c>
      <c r="EC134" s="504">
        <f ca="1">SUMIFS(CostTrack[[Value]:[Value]],CostTrack[[PA ID]:[PA ID]],$B134,CostTrack[[Vendor - Contract]:[Vendor - Contract]],$H134,CostTrack[[Holdback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34" s="505"/>
      <c r="EE134" s="505"/>
      <c r="EF134" s="505"/>
      <c r="EG134" s="505"/>
      <c r="EH134" s="505"/>
      <c r="EI134" s="505"/>
      <c r="EJ134" s="505"/>
      <c r="EK134" s="505"/>
      <c r="EL134" s="505"/>
      <c r="EM134" s="505"/>
      <c r="EN134" s="505"/>
      <c r="EO134" s="512">
        <f t="shared" ca="1" si="271"/>
        <v>0</v>
      </c>
      <c r="EQ134" s="505"/>
      <c r="ER134" s="505"/>
      <c r="ES134" s="505"/>
      <c r="ET134" s="505"/>
      <c r="EU134" s="505"/>
      <c r="EV134" s="505"/>
      <c r="EW134" s="505"/>
      <c r="EX134" s="505"/>
      <c r="EY134" s="505"/>
      <c r="EZ134" s="505"/>
      <c r="FA134" s="505"/>
      <c r="FB134" s="505"/>
      <c r="FC134" s="512">
        <f t="shared" si="272"/>
        <v>0</v>
      </c>
      <c r="FE134" s="505"/>
      <c r="FF134" s="505"/>
      <c r="FG134" s="505"/>
      <c r="FH134" s="505"/>
      <c r="FI134" s="505"/>
      <c r="FJ134" s="505"/>
      <c r="FK134" s="505"/>
      <c r="FL134" s="505"/>
      <c r="FM134" s="505"/>
      <c r="FN134" s="505"/>
      <c r="FO134" s="505"/>
      <c r="FP134" s="505"/>
      <c r="FQ134" s="512">
        <f t="shared" si="273"/>
        <v>0</v>
      </c>
      <c r="FS134" s="504">
        <f t="shared" ca="1" si="274"/>
        <v>0</v>
      </c>
    </row>
    <row r="135" spans="1:175">
      <c r="A135" s="216">
        <v>128</v>
      </c>
      <c r="B135" s="219">
        <f ca="1">INDEX(EAC[PA ID],MATCH($A135,EAC[Row],0))</f>
        <v>0</v>
      </c>
      <c r="C135" s="218" t="str">
        <f ca="1">INDEX(EAC[Primary Category],MATCH($A135,EAC[Row],0))</f>
        <v/>
      </c>
      <c r="D135" s="218" t="str">
        <f ca="1">INDEX(EAC[Secondary Category],MATCH($A135,EAC[Row],0))</f>
        <v/>
      </c>
      <c r="E135" s="109" t="str">
        <f ca="1">INDEX(EAC[Phase / Subproject],MATCH($A135,EAC[Row],0))</f>
        <v/>
      </c>
      <c r="F135" s="109" t="str">
        <f ca="1">INDEX(EAC[Phase / Subproject 2],MATCH($A135,EAC[Row],0))</f>
        <v/>
      </c>
      <c r="G135" s="109" t="str">
        <f ca="1">INDEX(EAC[Funding Source],MATCH($A135,EAC[Row],0))</f>
        <v/>
      </c>
      <c r="H135" s="146">
        <f ca="1">INDEX(EAC[Vendor / Org. with Contract ID],MATCH($A135,EAC[Row],0))</f>
        <v>0</v>
      </c>
      <c r="I135" s="502">
        <f ca="1">INDEX(EAC[Estimate At Completion],MATCH($A135,EAC[Row],0))</f>
        <v>0</v>
      </c>
      <c r="J135" s="502">
        <f ca="1">SUMIFS(CostTrack[Value],CostTrack[Vendor - Contract],$H135,CostTrack[PA ID],$B135,CostTrack[Holdback (Y/N/R)],"&lt;&gt;Release",CostTrack[Status],"Approved")</f>
        <v>0</v>
      </c>
      <c r="K135" s="503">
        <f t="shared" ca="1" si="283"/>
        <v>0</v>
      </c>
      <c r="M135" s="504">
        <f t="shared" ca="1" si="264"/>
        <v>0</v>
      </c>
      <c r="O135" s="504">
        <f t="shared" ca="1" si="275"/>
        <v>0</v>
      </c>
      <c r="P135" s="504">
        <f t="array" aca="1" ref="P135" ca="1">SUM($U135:$FQ135*_xlfn.ISFORMULA($U135:$FQ135)*ISNUMBER($U$7:$FQ$7)*--(INDEX($U$6:$FQ$6,N(IF({1},COLUMN($U$6:$FQ$6)-COLUMN($T$6)))-MOD(N(IF({1},COLUMN($U$6:$FQ$6)-COLUMN($U$6))),14))="Current Fiscal"))</f>
        <v>0</v>
      </c>
      <c r="Q135" s="504">
        <f t="array" aca="1" ref="Q135" ca="1">SUM($U135:$FQ135*NOT(_xlfn.ISFORMULA($U135:$FQ135))*ISNUMBER($U$7:$FQ$7)*--(INDEX($U$6:$FQ$6,N(IF({1},COLUMN($U$6:$FQ$6)-COLUMN($T$6)))-MOD(N(IF({1},COLUMN($U$6:$FQ$6)-COLUMN($U$6))),14))="Current Fiscal"))</f>
        <v>0</v>
      </c>
      <c r="R135" s="504">
        <f t="shared" ca="1" si="276"/>
        <v>0</v>
      </c>
      <c r="S135" s="504">
        <f t="shared" ca="1" si="277"/>
        <v>0</v>
      </c>
      <c r="U135" s="504">
        <f ca="1">SUMIFS(CostTrack[[Value]:[Value]],CostTrack[[PA ID]:[PA ID]],$B135,CostTrack[[Vendor - Contract]:[Vendor - Contract]],$H135,CostTrack[[Holdback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35" s="504">
        <f ca="1">SUMIFS(CostTrack[[Value]:[Value]],CostTrack[[PA ID]:[PA ID]],$B135,CostTrack[[Vendor - Contract]:[Vendor - Contract]],$H135,CostTrack[[Holdback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35" s="504">
        <f ca="1">SUMIFS(CostTrack[[Value]:[Value]],CostTrack[[PA ID]:[PA ID]],$B135,CostTrack[[Vendor - Contract]:[Vendor - Contract]],$H135,CostTrack[[Holdback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35" s="504">
        <f ca="1">SUMIFS(CostTrack[[Value]:[Value]],CostTrack[[PA ID]:[PA ID]],$B135,CostTrack[[Vendor - Contract]:[Vendor - Contract]],$H135,CostTrack[[Holdback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35" s="504">
        <f ca="1">SUMIFS(CostTrack[[Value]:[Value]],CostTrack[[PA ID]:[PA ID]],$B135,CostTrack[[Vendor - Contract]:[Vendor - Contract]],$H135,CostTrack[[Holdback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35" s="504">
        <f ca="1">SUMIFS(CostTrack[[Value]:[Value]],CostTrack[[PA ID]:[PA ID]],$B135,CostTrack[[Vendor - Contract]:[Vendor - Contract]],$H135,CostTrack[[Holdback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35" s="504">
        <f ca="1">SUMIFS(CostTrack[[Value]:[Value]],CostTrack[[PA ID]:[PA ID]],$B135,CostTrack[[Vendor - Contract]:[Vendor - Contract]],$H135,CostTrack[[Holdback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35" s="504">
        <f ca="1">SUMIFS(CostTrack[[Value]:[Value]],CostTrack[[PA ID]:[PA ID]],$B135,CostTrack[[Vendor - Contract]:[Vendor - Contract]],$H135,CostTrack[[Holdback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35" s="504">
        <f ca="1">SUMIFS(CostTrack[[Value]:[Value]],CostTrack[[PA ID]:[PA ID]],$B135,CostTrack[[Vendor - Contract]:[Vendor - Contract]],$H135,CostTrack[[Holdback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35" s="504">
        <f ca="1">SUMIFS(CostTrack[[Value]:[Value]],CostTrack[[PA ID]:[PA ID]],$B135,CostTrack[[Vendor - Contract]:[Vendor - Contract]],$H135,CostTrack[[Holdback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35" s="504">
        <f ca="1">SUMIFS(CostTrack[[Value]:[Value]],CostTrack[[PA ID]:[PA ID]],$B135,CostTrack[[Vendor - Contract]:[Vendor - Contract]],$H135,CostTrack[[Holdback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35" s="504">
        <f ca="1">SUMIFS(CostTrack[[Value]:[Value]],CostTrack[[PA ID]:[PA ID]],$B135,CostTrack[[Vendor - Contract]:[Vendor - Contract]],$H135,CostTrack[[Holdback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35" s="506">
        <f t="shared" ca="1" si="235"/>
        <v>0</v>
      </c>
      <c r="AI135" s="504">
        <f ca="1">SUMIFS(CostTrack[[Value]:[Value]],CostTrack[[PA ID]:[PA ID]],$B135,CostTrack[[Vendor - Contract]:[Vendor - Contract]],$H135,CostTrack[[Holdback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35" s="504">
        <f ca="1">SUMIFS(CostTrack[[Value]:[Value]],CostTrack[[PA ID]:[PA ID]],$B135,CostTrack[[Vendor - Contract]:[Vendor - Contract]],$H135,CostTrack[[Holdback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35" s="504">
        <f ca="1">SUMIFS(CostTrack[[Value]:[Value]],CostTrack[[PA ID]:[PA ID]],$B135,CostTrack[[Vendor - Contract]:[Vendor - Contract]],$H135,CostTrack[[Holdback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35" s="504">
        <f ca="1">SUMIFS(CostTrack[[Value]:[Value]],CostTrack[[PA ID]:[PA ID]],$B135,CostTrack[[Vendor - Contract]:[Vendor - Contract]],$H135,CostTrack[[Holdback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35" s="504">
        <f ca="1">SUMIFS(CostTrack[[Value]:[Value]],CostTrack[[PA ID]:[PA ID]],$B135,CostTrack[[Vendor - Contract]:[Vendor - Contract]],$H135,CostTrack[[Holdback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35" s="504">
        <f ca="1">SUMIFS(CostTrack[[Value]:[Value]],CostTrack[[PA ID]:[PA ID]],$B135,CostTrack[[Vendor - Contract]:[Vendor - Contract]],$H135,CostTrack[[Holdback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35" s="504">
        <f ca="1">SUMIFS(CostTrack[[Value]:[Value]],CostTrack[[PA ID]:[PA ID]],$B135,CostTrack[[Vendor - Contract]:[Vendor - Contract]],$H135,CostTrack[[Holdback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35" s="504">
        <f ca="1">SUMIFS(CostTrack[[Value]:[Value]],CostTrack[[PA ID]:[PA ID]],$B135,CostTrack[[Vendor - Contract]:[Vendor - Contract]],$H135,CostTrack[[Holdback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35" s="504">
        <f ca="1">SUMIFS(CostTrack[[Value]:[Value]],CostTrack[[PA ID]:[PA ID]],$B135,CostTrack[[Vendor - Contract]:[Vendor - Contract]],$H135,CostTrack[[Holdback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35" s="504">
        <f ca="1">SUMIFS(CostTrack[[Value]:[Value]],CostTrack[[PA ID]:[PA ID]],$B135,CostTrack[[Vendor - Contract]:[Vendor - Contract]],$H135,CostTrack[[Holdback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35" s="504">
        <f ca="1">SUMIFS(CostTrack[[Value]:[Value]],CostTrack[[PA ID]:[PA ID]],$B135,CostTrack[[Vendor - Contract]:[Vendor - Contract]],$H135,CostTrack[[Holdback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35" s="504">
        <f ca="1">SUMIFS(CostTrack[[Value]:[Value]],CostTrack[[PA ID]:[PA ID]],$B135,CostTrack[[Vendor - Contract]:[Vendor - Contract]],$H135,CostTrack[[Holdback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35" s="512">
        <f t="shared" ca="1" si="252"/>
        <v>0</v>
      </c>
      <c r="AW135" s="504">
        <f ca="1">SUMIFS(CostTrack[[Value]:[Value]],CostTrack[[PA ID]:[PA ID]],$B135,CostTrack[[Vendor - Contract]:[Vendor - Contract]],$H135,CostTrack[[Holdback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35" s="504">
        <f ca="1">SUMIFS(CostTrack[[Value]:[Value]],CostTrack[[PA ID]:[PA ID]],$B135,CostTrack[[Vendor - Contract]:[Vendor - Contract]],$H135,CostTrack[[Holdback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35" s="504">
        <f ca="1">SUMIFS(CostTrack[[Value]:[Value]],CostTrack[[PA ID]:[PA ID]],$B135,CostTrack[[Vendor - Contract]:[Vendor - Contract]],$H135,CostTrack[[Holdback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35" s="504">
        <f ca="1">SUMIFS(CostTrack[[Value]:[Value]],CostTrack[[PA ID]:[PA ID]],$B135,CostTrack[[Vendor - Contract]:[Vendor - Contract]],$H135,CostTrack[[Holdback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35" s="504">
        <f ca="1">SUMIFS(CostTrack[[Value]:[Value]],CostTrack[[PA ID]:[PA ID]],$B135,CostTrack[[Vendor - Contract]:[Vendor - Contract]],$H135,CostTrack[[Holdback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35" s="504">
        <f ca="1">SUMIFS(CostTrack[[Value]:[Value]],CostTrack[[PA ID]:[PA ID]],$B135,CostTrack[[Vendor - Contract]:[Vendor - Contract]],$H135,CostTrack[[Holdback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35" s="504">
        <f ca="1">SUMIFS(CostTrack[[Value]:[Value]],CostTrack[[PA ID]:[PA ID]],$B135,CostTrack[[Vendor - Contract]:[Vendor - Contract]],$H135,CostTrack[[Holdback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35" s="504">
        <f ca="1">SUMIFS(CostTrack[[Value]:[Value]],CostTrack[[PA ID]:[PA ID]],$B135,CostTrack[[Vendor - Contract]:[Vendor - Contract]],$H135,CostTrack[[Holdback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35" s="504">
        <f ca="1">SUMIFS(CostTrack[[Value]:[Value]],CostTrack[[PA ID]:[PA ID]],$B135,CostTrack[[Vendor - Contract]:[Vendor - Contract]],$H135,CostTrack[[Holdback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35" s="504">
        <f ca="1">SUMIFS(CostTrack[[Value]:[Value]],CostTrack[[PA ID]:[PA ID]],$B135,CostTrack[[Vendor - Contract]:[Vendor - Contract]],$H135,CostTrack[[Holdback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35" s="504">
        <f ca="1">SUMIFS(CostTrack[[Value]:[Value]],CostTrack[[PA ID]:[PA ID]],$B135,CostTrack[[Vendor - Contract]:[Vendor - Contract]],$H135,CostTrack[[Holdback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35" s="504">
        <f ca="1">SUMIFS(CostTrack[[Value]:[Value]],CostTrack[[PA ID]:[PA ID]],$B135,CostTrack[[Vendor - Contract]:[Vendor - Contract]],$H135,CostTrack[[Holdback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35" s="512">
        <f t="shared" ca="1" si="268"/>
        <v>0</v>
      </c>
      <c r="BK135" s="504">
        <f ca="1">SUMIFS(CostTrack[[Value]:[Value]],CostTrack[[PA ID]:[PA ID]],$B135,CostTrack[[Vendor - Contract]:[Vendor - Contract]],$H135,CostTrack[[Holdback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35" s="504">
        <f ca="1">SUMIFS(CostTrack[[Value]:[Value]],CostTrack[[PA ID]:[PA ID]],$B135,CostTrack[[Vendor - Contract]:[Vendor - Contract]],$H135,CostTrack[[Holdback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35" s="504">
        <f ca="1">SUMIFS(CostTrack[[Value]:[Value]],CostTrack[[PA ID]:[PA ID]],$B135,CostTrack[[Vendor - Contract]:[Vendor - Contract]],$H135,CostTrack[[Holdback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35" s="504">
        <f ca="1">SUMIFS(CostTrack[[Value]:[Value]],CostTrack[[PA ID]:[PA ID]],$B135,CostTrack[[Vendor - Contract]:[Vendor - Contract]],$H135,CostTrack[[Holdback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35" s="504">
        <f ca="1">SUMIFS(CostTrack[[Value]:[Value]],CostTrack[[PA ID]:[PA ID]],$B135,CostTrack[[Vendor - Contract]:[Vendor - Contract]],$H135,CostTrack[[Holdback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35" s="504">
        <f ca="1">SUMIFS(CostTrack[[Value]:[Value]],CostTrack[[PA ID]:[PA ID]],$B135,CostTrack[[Vendor - Contract]:[Vendor - Contract]],$H135,CostTrack[[Holdback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35" s="504">
        <f ca="1">SUMIFS(CostTrack[[Value]:[Value]],CostTrack[[PA ID]:[PA ID]],$B135,CostTrack[[Vendor - Contract]:[Vendor - Contract]],$H135,CostTrack[[Holdback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35" s="504">
        <f ca="1">SUMIFS(CostTrack[[Value]:[Value]],CostTrack[[PA ID]:[PA ID]],$B135,CostTrack[[Vendor - Contract]:[Vendor - Contract]],$H135,CostTrack[[Holdback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35" s="504">
        <f ca="1">SUMIFS(CostTrack[[Value]:[Value]],CostTrack[[PA ID]:[PA ID]],$B135,CostTrack[[Vendor - Contract]:[Vendor - Contract]],$H135,CostTrack[[Holdback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35" s="504">
        <f ca="1">SUMIFS(CostTrack[[Value]:[Value]],CostTrack[[PA ID]:[PA ID]],$B135,CostTrack[[Vendor - Contract]:[Vendor - Contract]],$H135,CostTrack[[Holdback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35" s="504">
        <f ca="1">SUMIFS(CostTrack[[Value]:[Value]],CostTrack[[PA ID]:[PA ID]],$B135,CostTrack[[Vendor - Contract]:[Vendor - Contract]],$H135,CostTrack[[Holdback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35" s="504">
        <f ca="1">SUMIFS(CostTrack[[Value]:[Value]],CostTrack[[PA ID]:[PA ID]],$B135,CostTrack[[Vendor - Contract]:[Vendor - Contract]],$H135,CostTrack[[Holdback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35" s="512">
        <f t="shared" ca="1" si="269"/>
        <v>0</v>
      </c>
      <c r="BY135" s="504">
        <f ca="1">SUMIFS(CostTrack[[Value]:[Value]],CostTrack[[PA ID]:[PA ID]],$B135,CostTrack[[Vendor - Contract]:[Vendor - Contract]],$H135,CostTrack[[Holdback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35" s="504">
        <f ca="1">SUMIFS(CostTrack[[Value]:[Value]],CostTrack[[PA ID]:[PA ID]],$B135,CostTrack[[Vendor - Contract]:[Vendor - Contract]],$H135,CostTrack[[Holdback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35" s="504">
        <f ca="1">SUMIFS(CostTrack[[Value]:[Value]],CostTrack[[PA ID]:[PA ID]],$B135,CostTrack[[Vendor - Contract]:[Vendor - Contract]],$H135,CostTrack[[Holdback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35" s="504">
        <f ca="1">SUMIFS(CostTrack[[Value]:[Value]],CostTrack[[PA ID]:[PA ID]],$B135,CostTrack[[Vendor - Contract]:[Vendor - Contract]],$H135,CostTrack[[Holdback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35" s="504">
        <f ca="1">SUMIFS(CostTrack[[Value]:[Value]],CostTrack[[PA ID]:[PA ID]],$B135,CostTrack[[Vendor - Contract]:[Vendor - Contract]],$H135,CostTrack[[Holdback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35" s="504">
        <f ca="1">SUMIFS(CostTrack[[Value]:[Value]],CostTrack[[PA ID]:[PA ID]],$B135,CostTrack[[Vendor - Contract]:[Vendor - Contract]],$H135,CostTrack[[Holdback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35" s="504">
        <f ca="1">SUMIFS(CostTrack[[Value]:[Value]],CostTrack[[PA ID]:[PA ID]],$B135,CostTrack[[Vendor - Contract]:[Vendor - Contract]],$H135,CostTrack[[Holdback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35" s="504">
        <f ca="1">SUMIFS(CostTrack[[Value]:[Value]],CostTrack[[PA ID]:[PA ID]],$B135,CostTrack[[Vendor - Contract]:[Vendor - Contract]],$H135,CostTrack[[Holdback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35" s="504">
        <f ca="1">SUMIFS(CostTrack[[Value]:[Value]],CostTrack[[PA ID]:[PA ID]],$B135,CostTrack[[Vendor - Contract]:[Vendor - Contract]],$H135,CostTrack[[Holdback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35" s="504">
        <f ca="1">SUMIFS(CostTrack[[Value]:[Value]],CostTrack[[PA ID]:[PA ID]],$B135,CostTrack[[Vendor - Contract]:[Vendor - Contract]],$H135,CostTrack[[Holdback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35" s="504">
        <f ca="1">SUMIFS(CostTrack[[Value]:[Value]],CostTrack[[PA ID]:[PA ID]],$B135,CostTrack[[Vendor - Contract]:[Vendor - Contract]],$H135,CostTrack[[Holdback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35" s="504">
        <f ca="1">SUMIFS(CostTrack[[Value]:[Value]],CostTrack[[PA ID]:[PA ID]],$B135,CostTrack[[Vendor - Contract]:[Vendor - Contract]],$H135,CostTrack[[Holdback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35" s="512">
        <f t="shared" ca="1" si="255"/>
        <v>0</v>
      </c>
      <c r="CM135" s="504">
        <f ca="1">SUMIFS(CostTrack[[Value]:[Value]],CostTrack[[PA ID]:[PA ID]],$B135,CostTrack[[Vendor - Contract]:[Vendor - Contract]],$H135,CostTrack[[Holdback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35" s="504">
        <f ca="1">SUMIFS(CostTrack[[Value]:[Value]],CostTrack[[PA ID]:[PA ID]],$B135,CostTrack[[Vendor - Contract]:[Vendor - Contract]],$H135,CostTrack[[Holdback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35" s="504">
        <f ca="1">SUMIFS(CostTrack[[Value]:[Value]],CostTrack[[PA ID]:[PA ID]],$B135,CostTrack[[Vendor - Contract]:[Vendor - Contract]],$H135,CostTrack[[Holdback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35" s="504">
        <f ca="1">SUMIFS(CostTrack[[Value]:[Value]],CostTrack[[PA ID]:[PA ID]],$B135,CostTrack[[Vendor - Contract]:[Vendor - Contract]],$H135,CostTrack[[Holdback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35" s="504">
        <f ca="1">SUMIFS(CostTrack[[Value]:[Value]],CostTrack[[PA ID]:[PA ID]],$B135,CostTrack[[Vendor - Contract]:[Vendor - Contract]],$H135,CostTrack[[Holdback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35" s="504">
        <f ca="1">SUMIFS(CostTrack[[Value]:[Value]],CostTrack[[PA ID]:[PA ID]],$B135,CostTrack[[Vendor - Contract]:[Vendor - Contract]],$H135,CostTrack[[Holdback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35" s="504">
        <f ca="1">SUMIFS(CostTrack[[Value]:[Value]],CostTrack[[PA ID]:[PA ID]],$B135,CostTrack[[Vendor - Contract]:[Vendor - Contract]],$H135,CostTrack[[Holdback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35" s="504">
        <f ca="1">SUMIFS(CostTrack[[Value]:[Value]],CostTrack[[PA ID]:[PA ID]],$B135,CostTrack[[Vendor - Contract]:[Vendor - Contract]],$H135,CostTrack[[Holdback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35" s="504">
        <f ca="1">SUMIFS(CostTrack[[Value]:[Value]],CostTrack[[PA ID]:[PA ID]],$B135,CostTrack[[Vendor - Contract]:[Vendor - Contract]],$H135,CostTrack[[Holdback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35" s="504">
        <f ca="1">SUMIFS(CostTrack[[Value]:[Value]],CostTrack[[PA ID]:[PA ID]],$B135,CostTrack[[Vendor - Contract]:[Vendor - Contract]],$H135,CostTrack[[Holdback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35" s="504">
        <f ca="1">SUMIFS(CostTrack[[Value]:[Value]],CostTrack[[PA ID]:[PA ID]],$B135,CostTrack[[Vendor - Contract]:[Vendor - Contract]],$H135,CostTrack[[Holdback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35" s="504">
        <f ca="1">SUMIFS(CostTrack[[Value]:[Value]],CostTrack[[PA ID]:[PA ID]],$B135,CostTrack[[Vendor - Contract]:[Vendor - Contract]],$H135,CostTrack[[Holdback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35" s="512">
        <f t="shared" ca="1" si="256"/>
        <v>0</v>
      </c>
      <c r="DA135" s="504">
        <f ca="1">SUMIFS(CostTrack[[Value]:[Value]],CostTrack[[PA ID]:[PA ID]],$B135,CostTrack[[Vendor - Contract]:[Vendor - Contract]],$H135,CostTrack[[Holdback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35" s="504">
        <f ca="1">SUMIFS(CostTrack[[Value]:[Value]],CostTrack[[PA ID]:[PA ID]],$B135,CostTrack[[Vendor - Contract]:[Vendor - Contract]],$H135,CostTrack[[Holdback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35" s="504">
        <f ca="1">SUMIFS(CostTrack[[Value]:[Value]],CostTrack[[PA ID]:[PA ID]],$B135,CostTrack[[Vendor - Contract]:[Vendor - Contract]],$H135,CostTrack[[Holdback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35" s="504">
        <f ca="1">SUMIFS(CostTrack[[Value]:[Value]],CostTrack[[PA ID]:[PA ID]],$B135,CostTrack[[Vendor - Contract]:[Vendor - Contract]],$H135,CostTrack[[Holdback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35" s="504">
        <f ca="1">SUMIFS(CostTrack[[Value]:[Value]],CostTrack[[PA ID]:[PA ID]],$B135,CostTrack[[Vendor - Contract]:[Vendor - Contract]],$H135,CostTrack[[Holdback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35" s="504">
        <f ca="1">SUMIFS(CostTrack[[Value]:[Value]],CostTrack[[PA ID]:[PA ID]],$B135,CostTrack[[Vendor - Contract]:[Vendor - Contract]],$H135,CostTrack[[Holdback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35" s="504">
        <f ca="1">SUMIFS(CostTrack[[Value]:[Value]],CostTrack[[PA ID]:[PA ID]],$B135,CostTrack[[Vendor - Contract]:[Vendor - Contract]],$H135,CostTrack[[Holdback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35" s="504">
        <f ca="1">SUMIFS(CostTrack[[Value]:[Value]],CostTrack[[PA ID]:[PA ID]],$B135,CostTrack[[Vendor - Contract]:[Vendor - Contract]],$H135,CostTrack[[Holdback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35" s="504">
        <f ca="1">SUMIFS(CostTrack[[Value]:[Value]],CostTrack[[PA ID]:[PA ID]],$B135,CostTrack[[Vendor - Contract]:[Vendor - Contract]],$H135,CostTrack[[Holdback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35" s="504">
        <f ca="1">SUMIFS(CostTrack[[Value]:[Value]],CostTrack[[PA ID]:[PA ID]],$B135,CostTrack[[Vendor - Contract]:[Vendor - Contract]],$H135,CostTrack[[Holdback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35" s="504">
        <f ca="1">SUMIFS(CostTrack[[Value]:[Value]],CostTrack[[PA ID]:[PA ID]],$B135,CostTrack[[Vendor - Contract]:[Vendor - Contract]],$H135,CostTrack[[Holdback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35" s="504">
        <f ca="1">SUMIFS(CostTrack[[Value]:[Value]],CostTrack[[PA ID]:[PA ID]],$B135,CostTrack[[Vendor - Contract]:[Vendor - Contract]],$H135,CostTrack[[Holdback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35" s="512">
        <f t="shared" ca="1" si="257"/>
        <v>0</v>
      </c>
      <c r="DO135" s="504">
        <f ca="1">SUMIFS(CostTrack[[Value]:[Value]],CostTrack[[PA ID]:[PA ID]],$B135,CostTrack[[Vendor - Contract]:[Vendor - Contract]],$H135,CostTrack[[Holdback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35" s="504">
        <f ca="1">SUMIFS(CostTrack[[Value]:[Value]],CostTrack[[PA ID]:[PA ID]],$B135,CostTrack[[Vendor - Contract]:[Vendor - Contract]],$H135,CostTrack[[Holdback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35" s="504">
        <f ca="1">SUMIFS(CostTrack[[Value]:[Value]],CostTrack[[PA ID]:[PA ID]],$B135,CostTrack[[Vendor - Contract]:[Vendor - Contract]],$H135,CostTrack[[Holdback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35" s="504">
        <f ca="1">SUMIFS(CostTrack[[Value]:[Value]],CostTrack[[PA ID]:[PA ID]],$B135,CostTrack[[Vendor - Contract]:[Vendor - Contract]],$H135,CostTrack[[Holdback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35" s="504">
        <f ca="1">SUMIFS(CostTrack[[Value]:[Value]],CostTrack[[PA ID]:[PA ID]],$B135,CostTrack[[Vendor - Contract]:[Vendor - Contract]],$H135,CostTrack[[Holdback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35" s="504">
        <f ca="1">SUMIFS(CostTrack[[Value]:[Value]],CostTrack[[PA ID]:[PA ID]],$B135,CostTrack[[Vendor - Contract]:[Vendor - Contract]],$H135,CostTrack[[Holdback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35" s="504">
        <f ca="1">SUMIFS(CostTrack[[Value]:[Value]],CostTrack[[PA ID]:[PA ID]],$B135,CostTrack[[Vendor - Contract]:[Vendor - Contract]],$H135,CostTrack[[Holdback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35" s="504">
        <f ca="1">SUMIFS(CostTrack[[Value]:[Value]],CostTrack[[PA ID]:[PA ID]],$B135,CostTrack[[Vendor - Contract]:[Vendor - Contract]],$H135,CostTrack[[Holdback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35" s="504">
        <f ca="1">SUMIFS(CostTrack[[Value]:[Value]],CostTrack[[PA ID]:[PA ID]],$B135,CostTrack[[Vendor - Contract]:[Vendor - Contract]],$H135,CostTrack[[Holdback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35" s="504">
        <f ca="1">SUMIFS(CostTrack[[Value]:[Value]],CostTrack[[PA ID]:[PA ID]],$B135,CostTrack[[Vendor - Contract]:[Vendor - Contract]],$H135,CostTrack[[Holdback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35" s="504">
        <f ca="1">SUMIFS(CostTrack[[Value]:[Value]],CostTrack[[PA ID]:[PA ID]],$B135,CostTrack[[Vendor - Contract]:[Vendor - Contract]],$H135,CostTrack[[Holdback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35" s="504">
        <f ca="1">SUMIFS(CostTrack[[Value]:[Value]],CostTrack[[PA ID]:[PA ID]],$B135,CostTrack[[Vendor - Contract]:[Vendor - Contract]],$H135,CostTrack[[Holdback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35" s="512">
        <f t="shared" ca="1" si="270"/>
        <v>0</v>
      </c>
      <c r="EC135" s="504">
        <f ca="1">SUMIFS(CostTrack[[Value]:[Value]],CostTrack[[PA ID]:[PA ID]],$B135,CostTrack[[Vendor - Contract]:[Vendor - Contract]],$H135,CostTrack[[Holdback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35" s="505"/>
      <c r="EE135" s="505"/>
      <c r="EF135" s="505"/>
      <c r="EG135" s="505"/>
      <c r="EH135" s="505"/>
      <c r="EI135" s="505"/>
      <c r="EJ135" s="505"/>
      <c r="EK135" s="505"/>
      <c r="EL135" s="505"/>
      <c r="EM135" s="505"/>
      <c r="EN135" s="505"/>
      <c r="EO135" s="512">
        <f t="shared" ca="1" si="271"/>
        <v>0</v>
      </c>
      <c r="EQ135" s="505"/>
      <c r="ER135" s="505"/>
      <c r="ES135" s="505"/>
      <c r="ET135" s="505"/>
      <c r="EU135" s="505"/>
      <c r="EV135" s="505"/>
      <c r="EW135" s="505"/>
      <c r="EX135" s="505"/>
      <c r="EY135" s="505"/>
      <c r="EZ135" s="505"/>
      <c r="FA135" s="505"/>
      <c r="FB135" s="505"/>
      <c r="FC135" s="512">
        <f t="shared" si="272"/>
        <v>0</v>
      </c>
      <c r="FE135" s="505"/>
      <c r="FF135" s="505"/>
      <c r="FG135" s="505"/>
      <c r="FH135" s="505"/>
      <c r="FI135" s="505"/>
      <c r="FJ135" s="505"/>
      <c r="FK135" s="505"/>
      <c r="FL135" s="505"/>
      <c r="FM135" s="505"/>
      <c r="FN135" s="505"/>
      <c r="FO135" s="505"/>
      <c r="FP135" s="505"/>
      <c r="FQ135" s="512">
        <f t="shared" si="273"/>
        <v>0</v>
      </c>
      <c r="FS135" s="504">
        <f t="shared" ca="1" si="274"/>
        <v>0</v>
      </c>
    </row>
    <row r="136" spans="1:175">
      <c r="A136" s="216">
        <v>129</v>
      </c>
      <c r="B136" s="219">
        <f ca="1">INDEX(EAC[PA ID],MATCH($A136,EAC[Row],0))</f>
        <v>0</v>
      </c>
      <c r="C136" s="218" t="str">
        <f ca="1">INDEX(EAC[Primary Category],MATCH($A136,EAC[Row],0))</f>
        <v/>
      </c>
      <c r="D136" s="218" t="str">
        <f ca="1">INDEX(EAC[Secondary Category],MATCH($A136,EAC[Row],0))</f>
        <v/>
      </c>
      <c r="E136" s="109" t="str">
        <f ca="1">INDEX(EAC[Phase / Subproject],MATCH($A136,EAC[Row],0))</f>
        <v/>
      </c>
      <c r="F136" s="109" t="str">
        <f ca="1">INDEX(EAC[Phase / Subproject 2],MATCH($A136,EAC[Row],0))</f>
        <v/>
      </c>
      <c r="G136" s="109" t="str">
        <f ca="1">INDEX(EAC[Funding Source],MATCH($A136,EAC[Row],0))</f>
        <v/>
      </c>
      <c r="H136" s="146">
        <f ca="1">INDEX(EAC[Vendor / Org. with Contract ID],MATCH($A136,EAC[Row],0))</f>
        <v>0</v>
      </c>
      <c r="I136" s="502">
        <f ca="1">INDEX(EAC[Estimate At Completion],MATCH($A136,EAC[Row],0))</f>
        <v>0</v>
      </c>
      <c r="J136" s="502">
        <f ca="1">SUMIFS(CostTrack[Value],CostTrack[Vendor - Contract],$H136,CostTrack[PA ID],$B136,CostTrack[Holdback (Y/N/R)],"&lt;&gt;Release",CostTrack[Status],"Approved")</f>
        <v>0</v>
      </c>
      <c r="K136" s="503">
        <f t="shared" ca="1" si="283"/>
        <v>0</v>
      </c>
      <c r="M136" s="504">
        <f t="shared" ca="1" si="264"/>
        <v>0</v>
      </c>
      <c r="O136" s="504">
        <f t="shared" ca="1" si="275"/>
        <v>0</v>
      </c>
      <c r="P136" s="504">
        <f t="array" aca="1" ref="P136" ca="1">SUM($U136:$FQ136*_xlfn.ISFORMULA($U136:$FQ136)*ISNUMBER($U$7:$FQ$7)*--(INDEX($U$6:$FQ$6,N(IF({1},COLUMN($U$6:$FQ$6)-COLUMN($T$6)))-MOD(N(IF({1},COLUMN($U$6:$FQ$6)-COLUMN($U$6))),14))="Current Fiscal"))</f>
        <v>0</v>
      </c>
      <c r="Q136" s="504">
        <f t="array" aca="1" ref="Q136" ca="1">SUM($U136:$FQ136*NOT(_xlfn.ISFORMULA($U136:$FQ136))*ISNUMBER($U$7:$FQ$7)*--(INDEX($U$6:$FQ$6,N(IF({1},COLUMN($U$6:$FQ$6)-COLUMN($T$6)))-MOD(N(IF({1},COLUMN($U$6:$FQ$6)-COLUMN($U$6))),14))="Current Fiscal"))</f>
        <v>0</v>
      </c>
      <c r="R136" s="504">
        <f t="shared" ca="1" si="276"/>
        <v>0</v>
      </c>
      <c r="S136" s="504">
        <f t="shared" ca="1" si="277"/>
        <v>0</v>
      </c>
      <c r="U136" s="504">
        <f ca="1">SUMIFS(CostTrack[[Value]:[Value]],CostTrack[[PA ID]:[PA ID]],$B136,CostTrack[[Vendor - Contract]:[Vendor - Contract]],$H136,CostTrack[[Holdback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36" s="504">
        <f ca="1">SUMIFS(CostTrack[[Value]:[Value]],CostTrack[[PA ID]:[PA ID]],$B136,CostTrack[[Vendor - Contract]:[Vendor - Contract]],$H136,CostTrack[[Holdback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36" s="504">
        <f ca="1">SUMIFS(CostTrack[[Value]:[Value]],CostTrack[[PA ID]:[PA ID]],$B136,CostTrack[[Vendor - Contract]:[Vendor - Contract]],$H136,CostTrack[[Holdback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36" s="504">
        <f ca="1">SUMIFS(CostTrack[[Value]:[Value]],CostTrack[[PA ID]:[PA ID]],$B136,CostTrack[[Vendor - Contract]:[Vendor - Contract]],$H136,CostTrack[[Holdback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36" s="504">
        <f ca="1">SUMIFS(CostTrack[[Value]:[Value]],CostTrack[[PA ID]:[PA ID]],$B136,CostTrack[[Vendor - Contract]:[Vendor - Contract]],$H136,CostTrack[[Holdback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36" s="504">
        <f ca="1">SUMIFS(CostTrack[[Value]:[Value]],CostTrack[[PA ID]:[PA ID]],$B136,CostTrack[[Vendor - Contract]:[Vendor - Contract]],$H136,CostTrack[[Holdback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36" s="504">
        <f ca="1">SUMIFS(CostTrack[[Value]:[Value]],CostTrack[[PA ID]:[PA ID]],$B136,CostTrack[[Vendor - Contract]:[Vendor - Contract]],$H136,CostTrack[[Holdback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36" s="504">
        <f ca="1">SUMIFS(CostTrack[[Value]:[Value]],CostTrack[[PA ID]:[PA ID]],$B136,CostTrack[[Vendor - Contract]:[Vendor - Contract]],$H136,CostTrack[[Holdback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36" s="504">
        <f ca="1">SUMIFS(CostTrack[[Value]:[Value]],CostTrack[[PA ID]:[PA ID]],$B136,CostTrack[[Vendor - Contract]:[Vendor - Contract]],$H136,CostTrack[[Holdback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36" s="504">
        <f ca="1">SUMIFS(CostTrack[[Value]:[Value]],CostTrack[[PA ID]:[PA ID]],$B136,CostTrack[[Vendor - Contract]:[Vendor - Contract]],$H136,CostTrack[[Holdback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36" s="504">
        <f ca="1">SUMIFS(CostTrack[[Value]:[Value]],CostTrack[[PA ID]:[PA ID]],$B136,CostTrack[[Vendor - Contract]:[Vendor - Contract]],$H136,CostTrack[[Holdback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36" s="504">
        <f ca="1">SUMIFS(CostTrack[[Value]:[Value]],CostTrack[[PA ID]:[PA ID]],$B136,CostTrack[[Vendor - Contract]:[Vendor - Contract]],$H136,CostTrack[[Holdback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36" s="506">
        <f t="shared" ca="1" si="235"/>
        <v>0</v>
      </c>
      <c r="AI136" s="504">
        <f ca="1">SUMIFS(CostTrack[[Value]:[Value]],CostTrack[[PA ID]:[PA ID]],$B136,CostTrack[[Vendor - Contract]:[Vendor - Contract]],$H136,CostTrack[[Holdback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36" s="504">
        <f ca="1">SUMIFS(CostTrack[[Value]:[Value]],CostTrack[[PA ID]:[PA ID]],$B136,CostTrack[[Vendor - Contract]:[Vendor - Contract]],$H136,CostTrack[[Holdback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36" s="504">
        <f ca="1">SUMIFS(CostTrack[[Value]:[Value]],CostTrack[[PA ID]:[PA ID]],$B136,CostTrack[[Vendor - Contract]:[Vendor - Contract]],$H136,CostTrack[[Holdback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36" s="504">
        <f ca="1">SUMIFS(CostTrack[[Value]:[Value]],CostTrack[[PA ID]:[PA ID]],$B136,CostTrack[[Vendor - Contract]:[Vendor - Contract]],$H136,CostTrack[[Holdback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36" s="504">
        <f ca="1">SUMIFS(CostTrack[[Value]:[Value]],CostTrack[[PA ID]:[PA ID]],$B136,CostTrack[[Vendor - Contract]:[Vendor - Contract]],$H136,CostTrack[[Holdback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36" s="504">
        <f ca="1">SUMIFS(CostTrack[[Value]:[Value]],CostTrack[[PA ID]:[PA ID]],$B136,CostTrack[[Vendor - Contract]:[Vendor - Contract]],$H136,CostTrack[[Holdback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36" s="504">
        <f ca="1">SUMIFS(CostTrack[[Value]:[Value]],CostTrack[[PA ID]:[PA ID]],$B136,CostTrack[[Vendor - Contract]:[Vendor - Contract]],$H136,CostTrack[[Holdback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36" s="504">
        <f ca="1">SUMIFS(CostTrack[[Value]:[Value]],CostTrack[[PA ID]:[PA ID]],$B136,CostTrack[[Vendor - Contract]:[Vendor - Contract]],$H136,CostTrack[[Holdback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36" s="504">
        <f ca="1">SUMIFS(CostTrack[[Value]:[Value]],CostTrack[[PA ID]:[PA ID]],$B136,CostTrack[[Vendor - Contract]:[Vendor - Contract]],$H136,CostTrack[[Holdback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36" s="504">
        <f ca="1">SUMIFS(CostTrack[[Value]:[Value]],CostTrack[[PA ID]:[PA ID]],$B136,CostTrack[[Vendor - Contract]:[Vendor - Contract]],$H136,CostTrack[[Holdback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36" s="504">
        <f ca="1">SUMIFS(CostTrack[[Value]:[Value]],CostTrack[[PA ID]:[PA ID]],$B136,CostTrack[[Vendor - Contract]:[Vendor - Contract]],$H136,CostTrack[[Holdback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36" s="504">
        <f ca="1">SUMIFS(CostTrack[[Value]:[Value]],CostTrack[[PA ID]:[PA ID]],$B136,CostTrack[[Vendor - Contract]:[Vendor - Contract]],$H136,CostTrack[[Holdback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36" s="512">
        <f t="shared" ca="1" si="252"/>
        <v>0</v>
      </c>
      <c r="AW136" s="504">
        <f ca="1">SUMIFS(CostTrack[[Value]:[Value]],CostTrack[[PA ID]:[PA ID]],$B136,CostTrack[[Vendor - Contract]:[Vendor - Contract]],$H136,CostTrack[[Holdback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36" s="504">
        <f ca="1">SUMIFS(CostTrack[[Value]:[Value]],CostTrack[[PA ID]:[PA ID]],$B136,CostTrack[[Vendor - Contract]:[Vendor - Contract]],$H136,CostTrack[[Holdback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36" s="504">
        <f ca="1">SUMIFS(CostTrack[[Value]:[Value]],CostTrack[[PA ID]:[PA ID]],$B136,CostTrack[[Vendor - Contract]:[Vendor - Contract]],$H136,CostTrack[[Holdback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36" s="504">
        <f ca="1">SUMIFS(CostTrack[[Value]:[Value]],CostTrack[[PA ID]:[PA ID]],$B136,CostTrack[[Vendor - Contract]:[Vendor - Contract]],$H136,CostTrack[[Holdback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36" s="504">
        <f ca="1">SUMIFS(CostTrack[[Value]:[Value]],CostTrack[[PA ID]:[PA ID]],$B136,CostTrack[[Vendor - Contract]:[Vendor - Contract]],$H136,CostTrack[[Holdback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36" s="504">
        <f ca="1">SUMIFS(CostTrack[[Value]:[Value]],CostTrack[[PA ID]:[PA ID]],$B136,CostTrack[[Vendor - Contract]:[Vendor - Contract]],$H136,CostTrack[[Holdback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36" s="504">
        <f ca="1">SUMIFS(CostTrack[[Value]:[Value]],CostTrack[[PA ID]:[PA ID]],$B136,CostTrack[[Vendor - Contract]:[Vendor - Contract]],$H136,CostTrack[[Holdback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36" s="504">
        <f ca="1">SUMIFS(CostTrack[[Value]:[Value]],CostTrack[[PA ID]:[PA ID]],$B136,CostTrack[[Vendor - Contract]:[Vendor - Contract]],$H136,CostTrack[[Holdback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36" s="504">
        <f ca="1">SUMIFS(CostTrack[[Value]:[Value]],CostTrack[[PA ID]:[PA ID]],$B136,CostTrack[[Vendor - Contract]:[Vendor - Contract]],$H136,CostTrack[[Holdback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36" s="504">
        <f ca="1">SUMIFS(CostTrack[[Value]:[Value]],CostTrack[[PA ID]:[PA ID]],$B136,CostTrack[[Vendor - Contract]:[Vendor - Contract]],$H136,CostTrack[[Holdback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36" s="504">
        <f ca="1">SUMIFS(CostTrack[[Value]:[Value]],CostTrack[[PA ID]:[PA ID]],$B136,CostTrack[[Vendor - Contract]:[Vendor - Contract]],$H136,CostTrack[[Holdback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36" s="504">
        <f ca="1">SUMIFS(CostTrack[[Value]:[Value]],CostTrack[[PA ID]:[PA ID]],$B136,CostTrack[[Vendor - Contract]:[Vendor - Contract]],$H136,CostTrack[[Holdback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36" s="512">
        <f t="shared" ca="1" si="268"/>
        <v>0</v>
      </c>
      <c r="BK136" s="504">
        <f ca="1">SUMIFS(CostTrack[[Value]:[Value]],CostTrack[[PA ID]:[PA ID]],$B136,CostTrack[[Vendor - Contract]:[Vendor - Contract]],$H136,CostTrack[[Holdback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36" s="504">
        <f ca="1">SUMIFS(CostTrack[[Value]:[Value]],CostTrack[[PA ID]:[PA ID]],$B136,CostTrack[[Vendor - Contract]:[Vendor - Contract]],$H136,CostTrack[[Holdback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36" s="504">
        <f ca="1">SUMIFS(CostTrack[[Value]:[Value]],CostTrack[[PA ID]:[PA ID]],$B136,CostTrack[[Vendor - Contract]:[Vendor - Contract]],$H136,CostTrack[[Holdback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36" s="504">
        <f ca="1">SUMIFS(CostTrack[[Value]:[Value]],CostTrack[[PA ID]:[PA ID]],$B136,CostTrack[[Vendor - Contract]:[Vendor - Contract]],$H136,CostTrack[[Holdback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36" s="504">
        <f ca="1">SUMIFS(CostTrack[[Value]:[Value]],CostTrack[[PA ID]:[PA ID]],$B136,CostTrack[[Vendor - Contract]:[Vendor - Contract]],$H136,CostTrack[[Holdback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36" s="504">
        <f ca="1">SUMIFS(CostTrack[[Value]:[Value]],CostTrack[[PA ID]:[PA ID]],$B136,CostTrack[[Vendor - Contract]:[Vendor - Contract]],$H136,CostTrack[[Holdback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36" s="504">
        <f ca="1">SUMIFS(CostTrack[[Value]:[Value]],CostTrack[[PA ID]:[PA ID]],$B136,CostTrack[[Vendor - Contract]:[Vendor - Contract]],$H136,CostTrack[[Holdback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36" s="504">
        <f ca="1">SUMIFS(CostTrack[[Value]:[Value]],CostTrack[[PA ID]:[PA ID]],$B136,CostTrack[[Vendor - Contract]:[Vendor - Contract]],$H136,CostTrack[[Holdback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36" s="504">
        <f ca="1">SUMIFS(CostTrack[[Value]:[Value]],CostTrack[[PA ID]:[PA ID]],$B136,CostTrack[[Vendor - Contract]:[Vendor - Contract]],$H136,CostTrack[[Holdback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36" s="504">
        <f ca="1">SUMIFS(CostTrack[[Value]:[Value]],CostTrack[[PA ID]:[PA ID]],$B136,CostTrack[[Vendor - Contract]:[Vendor - Contract]],$H136,CostTrack[[Holdback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36" s="504">
        <f ca="1">SUMIFS(CostTrack[[Value]:[Value]],CostTrack[[PA ID]:[PA ID]],$B136,CostTrack[[Vendor - Contract]:[Vendor - Contract]],$H136,CostTrack[[Holdback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36" s="504">
        <f ca="1">SUMIFS(CostTrack[[Value]:[Value]],CostTrack[[PA ID]:[PA ID]],$B136,CostTrack[[Vendor - Contract]:[Vendor - Contract]],$H136,CostTrack[[Holdback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36" s="512">
        <f t="shared" ca="1" si="269"/>
        <v>0</v>
      </c>
      <c r="BY136" s="504">
        <f ca="1">SUMIFS(CostTrack[[Value]:[Value]],CostTrack[[PA ID]:[PA ID]],$B136,CostTrack[[Vendor - Contract]:[Vendor - Contract]],$H136,CostTrack[[Holdback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36" s="504">
        <f ca="1">SUMIFS(CostTrack[[Value]:[Value]],CostTrack[[PA ID]:[PA ID]],$B136,CostTrack[[Vendor - Contract]:[Vendor - Contract]],$H136,CostTrack[[Holdback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36" s="504">
        <f ca="1">SUMIFS(CostTrack[[Value]:[Value]],CostTrack[[PA ID]:[PA ID]],$B136,CostTrack[[Vendor - Contract]:[Vendor - Contract]],$H136,CostTrack[[Holdback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36" s="504">
        <f ca="1">SUMIFS(CostTrack[[Value]:[Value]],CostTrack[[PA ID]:[PA ID]],$B136,CostTrack[[Vendor - Contract]:[Vendor - Contract]],$H136,CostTrack[[Holdback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36" s="504">
        <f ca="1">SUMIFS(CostTrack[[Value]:[Value]],CostTrack[[PA ID]:[PA ID]],$B136,CostTrack[[Vendor - Contract]:[Vendor - Contract]],$H136,CostTrack[[Holdback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36" s="504">
        <f ca="1">SUMIFS(CostTrack[[Value]:[Value]],CostTrack[[PA ID]:[PA ID]],$B136,CostTrack[[Vendor - Contract]:[Vendor - Contract]],$H136,CostTrack[[Holdback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36" s="504">
        <f ca="1">SUMIFS(CostTrack[[Value]:[Value]],CostTrack[[PA ID]:[PA ID]],$B136,CostTrack[[Vendor - Contract]:[Vendor - Contract]],$H136,CostTrack[[Holdback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36" s="504">
        <f ca="1">SUMIFS(CostTrack[[Value]:[Value]],CostTrack[[PA ID]:[PA ID]],$B136,CostTrack[[Vendor - Contract]:[Vendor - Contract]],$H136,CostTrack[[Holdback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36" s="504">
        <f ca="1">SUMIFS(CostTrack[[Value]:[Value]],CostTrack[[PA ID]:[PA ID]],$B136,CostTrack[[Vendor - Contract]:[Vendor - Contract]],$H136,CostTrack[[Holdback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36" s="504">
        <f ca="1">SUMIFS(CostTrack[[Value]:[Value]],CostTrack[[PA ID]:[PA ID]],$B136,CostTrack[[Vendor - Contract]:[Vendor - Contract]],$H136,CostTrack[[Holdback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36" s="504">
        <f ca="1">SUMIFS(CostTrack[[Value]:[Value]],CostTrack[[PA ID]:[PA ID]],$B136,CostTrack[[Vendor - Contract]:[Vendor - Contract]],$H136,CostTrack[[Holdback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36" s="504">
        <f ca="1">SUMIFS(CostTrack[[Value]:[Value]],CostTrack[[PA ID]:[PA ID]],$B136,CostTrack[[Vendor - Contract]:[Vendor - Contract]],$H136,CostTrack[[Holdback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36" s="512">
        <f t="shared" ca="1" si="255"/>
        <v>0</v>
      </c>
      <c r="CM136" s="504">
        <f ca="1">SUMIFS(CostTrack[[Value]:[Value]],CostTrack[[PA ID]:[PA ID]],$B136,CostTrack[[Vendor - Contract]:[Vendor - Contract]],$H136,CostTrack[[Holdback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36" s="504">
        <f ca="1">SUMIFS(CostTrack[[Value]:[Value]],CostTrack[[PA ID]:[PA ID]],$B136,CostTrack[[Vendor - Contract]:[Vendor - Contract]],$H136,CostTrack[[Holdback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36" s="504">
        <f ca="1">SUMIFS(CostTrack[[Value]:[Value]],CostTrack[[PA ID]:[PA ID]],$B136,CostTrack[[Vendor - Contract]:[Vendor - Contract]],$H136,CostTrack[[Holdback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36" s="504">
        <f ca="1">SUMIFS(CostTrack[[Value]:[Value]],CostTrack[[PA ID]:[PA ID]],$B136,CostTrack[[Vendor - Contract]:[Vendor - Contract]],$H136,CostTrack[[Holdback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36" s="504">
        <f ca="1">SUMIFS(CostTrack[[Value]:[Value]],CostTrack[[PA ID]:[PA ID]],$B136,CostTrack[[Vendor - Contract]:[Vendor - Contract]],$H136,CostTrack[[Holdback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36" s="504">
        <f ca="1">SUMIFS(CostTrack[[Value]:[Value]],CostTrack[[PA ID]:[PA ID]],$B136,CostTrack[[Vendor - Contract]:[Vendor - Contract]],$H136,CostTrack[[Holdback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36" s="504">
        <f ca="1">SUMIFS(CostTrack[[Value]:[Value]],CostTrack[[PA ID]:[PA ID]],$B136,CostTrack[[Vendor - Contract]:[Vendor - Contract]],$H136,CostTrack[[Holdback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36" s="504">
        <f ca="1">SUMIFS(CostTrack[[Value]:[Value]],CostTrack[[PA ID]:[PA ID]],$B136,CostTrack[[Vendor - Contract]:[Vendor - Contract]],$H136,CostTrack[[Holdback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36" s="504">
        <f ca="1">SUMIFS(CostTrack[[Value]:[Value]],CostTrack[[PA ID]:[PA ID]],$B136,CostTrack[[Vendor - Contract]:[Vendor - Contract]],$H136,CostTrack[[Holdback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36" s="504">
        <f ca="1">SUMIFS(CostTrack[[Value]:[Value]],CostTrack[[PA ID]:[PA ID]],$B136,CostTrack[[Vendor - Contract]:[Vendor - Contract]],$H136,CostTrack[[Holdback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36" s="504">
        <f ca="1">SUMIFS(CostTrack[[Value]:[Value]],CostTrack[[PA ID]:[PA ID]],$B136,CostTrack[[Vendor - Contract]:[Vendor - Contract]],$H136,CostTrack[[Holdback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36" s="504">
        <f ca="1">SUMIFS(CostTrack[[Value]:[Value]],CostTrack[[PA ID]:[PA ID]],$B136,CostTrack[[Vendor - Contract]:[Vendor - Contract]],$H136,CostTrack[[Holdback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36" s="512">
        <f t="shared" ca="1" si="256"/>
        <v>0</v>
      </c>
      <c r="DA136" s="504">
        <f ca="1">SUMIFS(CostTrack[[Value]:[Value]],CostTrack[[PA ID]:[PA ID]],$B136,CostTrack[[Vendor - Contract]:[Vendor - Contract]],$H136,CostTrack[[Holdback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36" s="504">
        <f ca="1">SUMIFS(CostTrack[[Value]:[Value]],CostTrack[[PA ID]:[PA ID]],$B136,CostTrack[[Vendor - Contract]:[Vendor - Contract]],$H136,CostTrack[[Holdback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36" s="504">
        <f ca="1">SUMIFS(CostTrack[[Value]:[Value]],CostTrack[[PA ID]:[PA ID]],$B136,CostTrack[[Vendor - Contract]:[Vendor - Contract]],$H136,CostTrack[[Holdback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36" s="504">
        <f ca="1">SUMIFS(CostTrack[[Value]:[Value]],CostTrack[[PA ID]:[PA ID]],$B136,CostTrack[[Vendor - Contract]:[Vendor - Contract]],$H136,CostTrack[[Holdback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36" s="504">
        <f ca="1">SUMIFS(CostTrack[[Value]:[Value]],CostTrack[[PA ID]:[PA ID]],$B136,CostTrack[[Vendor - Contract]:[Vendor - Contract]],$H136,CostTrack[[Holdback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36" s="504">
        <f ca="1">SUMIFS(CostTrack[[Value]:[Value]],CostTrack[[PA ID]:[PA ID]],$B136,CostTrack[[Vendor - Contract]:[Vendor - Contract]],$H136,CostTrack[[Holdback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36" s="504">
        <f ca="1">SUMIFS(CostTrack[[Value]:[Value]],CostTrack[[PA ID]:[PA ID]],$B136,CostTrack[[Vendor - Contract]:[Vendor - Contract]],$H136,CostTrack[[Holdback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36" s="504">
        <f ca="1">SUMIFS(CostTrack[[Value]:[Value]],CostTrack[[PA ID]:[PA ID]],$B136,CostTrack[[Vendor - Contract]:[Vendor - Contract]],$H136,CostTrack[[Holdback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36" s="504">
        <f ca="1">SUMIFS(CostTrack[[Value]:[Value]],CostTrack[[PA ID]:[PA ID]],$B136,CostTrack[[Vendor - Contract]:[Vendor - Contract]],$H136,CostTrack[[Holdback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36" s="504">
        <f ca="1">SUMIFS(CostTrack[[Value]:[Value]],CostTrack[[PA ID]:[PA ID]],$B136,CostTrack[[Vendor - Contract]:[Vendor - Contract]],$H136,CostTrack[[Holdback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36" s="504">
        <f ca="1">SUMIFS(CostTrack[[Value]:[Value]],CostTrack[[PA ID]:[PA ID]],$B136,CostTrack[[Vendor - Contract]:[Vendor - Contract]],$H136,CostTrack[[Holdback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36" s="504">
        <f ca="1">SUMIFS(CostTrack[[Value]:[Value]],CostTrack[[PA ID]:[PA ID]],$B136,CostTrack[[Vendor - Contract]:[Vendor - Contract]],$H136,CostTrack[[Holdback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36" s="512">
        <f t="shared" ca="1" si="257"/>
        <v>0</v>
      </c>
      <c r="DO136" s="504">
        <f ca="1">SUMIFS(CostTrack[[Value]:[Value]],CostTrack[[PA ID]:[PA ID]],$B136,CostTrack[[Vendor - Contract]:[Vendor - Contract]],$H136,CostTrack[[Holdback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36" s="504">
        <f ca="1">SUMIFS(CostTrack[[Value]:[Value]],CostTrack[[PA ID]:[PA ID]],$B136,CostTrack[[Vendor - Contract]:[Vendor - Contract]],$H136,CostTrack[[Holdback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36" s="504">
        <f ca="1">SUMIFS(CostTrack[[Value]:[Value]],CostTrack[[PA ID]:[PA ID]],$B136,CostTrack[[Vendor - Contract]:[Vendor - Contract]],$H136,CostTrack[[Holdback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36" s="504">
        <f ca="1">SUMIFS(CostTrack[[Value]:[Value]],CostTrack[[PA ID]:[PA ID]],$B136,CostTrack[[Vendor - Contract]:[Vendor - Contract]],$H136,CostTrack[[Holdback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36" s="504">
        <f ca="1">SUMIFS(CostTrack[[Value]:[Value]],CostTrack[[PA ID]:[PA ID]],$B136,CostTrack[[Vendor - Contract]:[Vendor - Contract]],$H136,CostTrack[[Holdback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36" s="504">
        <f ca="1">SUMIFS(CostTrack[[Value]:[Value]],CostTrack[[PA ID]:[PA ID]],$B136,CostTrack[[Vendor - Contract]:[Vendor - Contract]],$H136,CostTrack[[Holdback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36" s="504">
        <f ca="1">SUMIFS(CostTrack[[Value]:[Value]],CostTrack[[PA ID]:[PA ID]],$B136,CostTrack[[Vendor - Contract]:[Vendor - Contract]],$H136,CostTrack[[Holdback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36" s="504">
        <f ca="1">SUMIFS(CostTrack[[Value]:[Value]],CostTrack[[PA ID]:[PA ID]],$B136,CostTrack[[Vendor - Contract]:[Vendor - Contract]],$H136,CostTrack[[Holdback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36" s="504">
        <f ca="1">SUMIFS(CostTrack[[Value]:[Value]],CostTrack[[PA ID]:[PA ID]],$B136,CostTrack[[Vendor - Contract]:[Vendor - Contract]],$H136,CostTrack[[Holdback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36" s="504">
        <f ca="1">SUMIFS(CostTrack[[Value]:[Value]],CostTrack[[PA ID]:[PA ID]],$B136,CostTrack[[Vendor - Contract]:[Vendor - Contract]],$H136,CostTrack[[Holdback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36" s="504">
        <f ca="1">SUMIFS(CostTrack[[Value]:[Value]],CostTrack[[PA ID]:[PA ID]],$B136,CostTrack[[Vendor - Contract]:[Vendor - Contract]],$H136,CostTrack[[Holdback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36" s="504">
        <f ca="1">SUMIFS(CostTrack[[Value]:[Value]],CostTrack[[PA ID]:[PA ID]],$B136,CostTrack[[Vendor - Contract]:[Vendor - Contract]],$H136,CostTrack[[Holdback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36" s="512">
        <f t="shared" ca="1" si="270"/>
        <v>0</v>
      </c>
      <c r="EC136" s="504">
        <f ca="1">SUMIFS(CostTrack[[Value]:[Value]],CostTrack[[PA ID]:[PA ID]],$B136,CostTrack[[Vendor - Contract]:[Vendor - Contract]],$H136,CostTrack[[Holdback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36" s="505"/>
      <c r="EE136" s="505"/>
      <c r="EF136" s="505"/>
      <c r="EG136" s="505"/>
      <c r="EH136" s="505"/>
      <c r="EI136" s="505"/>
      <c r="EJ136" s="505"/>
      <c r="EK136" s="505"/>
      <c r="EL136" s="505"/>
      <c r="EM136" s="505"/>
      <c r="EN136" s="505"/>
      <c r="EO136" s="512">
        <f t="shared" ca="1" si="271"/>
        <v>0</v>
      </c>
      <c r="EQ136" s="505"/>
      <c r="ER136" s="505"/>
      <c r="ES136" s="505"/>
      <c r="ET136" s="505"/>
      <c r="EU136" s="505"/>
      <c r="EV136" s="505"/>
      <c r="EW136" s="505"/>
      <c r="EX136" s="505"/>
      <c r="EY136" s="505"/>
      <c r="EZ136" s="505"/>
      <c r="FA136" s="505"/>
      <c r="FB136" s="505"/>
      <c r="FC136" s="512">
        <f t="shared" si="272"/>
        <v>0</v>
      </c>
      <c r="FE136" s="505"/>
      <c r="FF136" s="505"/>
      <c r="FG136" s="505"/>
      <c r="FH136" s="505"/>
      <c r="FI136" s="505"/>
      <c r="FJ136" s="505"/>
      <c r="FK136" s="505"/>
      <c r="FL136" s="505"/>
      <c r="FM136" s="505"/>
      <c r="FN136" s="505"/>
      <c r="FO136" s="505"/>
      <c r="FP136" s="505"/>
      <c r="FQ136" s="512">
        <f t="shared" si="273"/>
        <v>0</v>
      </c>
      <c r="FS136" s="504">
        <f t="shared" ca="1" si="274"/>
        <v>0</v>
      </c>
    </row>
    <row r="137" spans="1:175">
      <c r="A137" s="216">
        <v>130</v>
      </c>
      <c r="B137" s="219">
        <f ca="1">INDEX(EAC[PA ID],MATCH($A137,EAC[Row],0))</f>
        <v>0</v>
      </c>
      <c r="C137" s="218" t="str">
        <f ca="1">INDEX(EAC[Primary Category],MATCH($A137,EAC[Row],0))</f>
        <v/>
      </c>
      <c r="D137" s="218" t="str">
        <f ca="1">INDEX(EAC[Secondary Category],MATCH($A137,EAC[Row],0))</f>
        <v/>
      </c>
      <c r="E137" s="109" t="str">
        <f ca="1">INDEX(EAC[Phase / Subproject],MATCH($A137,EAC[Row],0))</f>
        <v/>
      </c>
      <c r="F137" s="109" t="str">
        <f ca="1">INDEX(EAC[Phase / Subproject 2],MATCH($A137,EAC[Row],0))</f>
        <v/>
      </c>
      <c r="G137" s="109" t="str">
        <f ca="1">INDEX(EAC[Funding Source],MATCH($A137,EAC[Row],0))</f>
        <v/>
      </c>
      <c r="H137" s="146">
        <f ca="1">INDEX(EAC[Vendor / Org. with Contract ID],MATCH($A137,EAC[Row],0))</f>
        <v>0</v>
      </c>
      <c r="I137" s="502">
        <f ca="1">INDEX(EAC[Estimate At Completion],MATCH($A137,EAC[Row],0))</f>
        <v>0</v>
      </c>
      <c r="J137" s="502">
        <f ca="1">SUMIFS(CostTrack[Value],CostTrack[Vendor - Contract],$H137,CostTrack[PA ID],$B137,CostTrack[Holdback (Y/N/R)],"&lt;&gt;Release",CostTrack[Status],"Approved")</f>
        <v>0</v>
      </c>
      <c r="K137" s="503">
        <f t="shared" ca="1" si="283"/>
        <v>0</v>
      </c>
      <c r="M137" s="504">
        <f t="shared" ca="1" si="264"/>
        <v>0</v>
      </c>
      <c r="O137" s="504">
        <f ca="1">SUMIF($U$6:$FQ$6,"Previous Fiscal",AG137:FQ137)</f>
        <v>0</v>
      </c>
      <c r="P137" s="504">
        <f t="array" aca="1" ref="P137" ca="1">SUM($U137:$FQ137*_xlfn.ISFORMULA($U137:$FQ137)*ISNUMBER($U$7:$FQ$7)*--(INDEX($U$6:$FQ$6,N(IF({1},COLUMN($U$6:$FQ$6)-COLUMN($T$6)))-MOD(N(IF({1},COLUMN($U$6:$FQ$6)-COLUMN($U$6))),14))="Current Fiscal"))</f>
        <v>0</v>
      </c>
      <c r="Q137" s="504">
        <f t="array" aca="1" ref="Q137" ca="1">SUM($U137:$FQ137*NOT(_xlfn.ISFORMULA($U137:$FQ137))*ISNUMBER($U$7:$FQ$7)*--(INDEX($U$6:$FQ$6,N(IF({1},COLUMN($U$6:$FQ$6)-COLUMN($T$6)))-MOD(N(IF({1},COLUMN($U$6:$FQ$6)-COLUMN($U$6))),14))="Current Fiscal"))</f>
        <v>0</v>
      </c>
      <c r="R137" s="504">
        <f t="shared" ca="1" si="276"/>
        <v>0</v>
      </c>
      <c r="S137" s="504">
        <f t="shared" ca="1" si="277"/>
        <v>0</v>
      </c>
      <c r="U137" s="504">
        <f ca="1">SUMIFS(CostTrack[[Value]:[Value]],CostTrack[[PA ID]:[PA ID]],$B137,CostTrack[[Vendor - Contract]:[Vendor - Contract]],$H137,CostTrack[[Holdback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37" s="504">
        <f ca="1">SUMIFS(CostTrack[[Value]:[Value]],CostTrack[[PA ID]:[PA ID]],$B137,CostTrack[[Vendor - Contract]:[Vendor - Contract]],$H137,CostTrack[[Holdback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37" s="504">
        <f ca="1">SUMIFS(CostTrack[[Value]:[Value]],CostTrack[[PA ID]:[PA ID]],$B137,CostTrack[[Vendor - Contract]:[Vendor - Contract]],$H137,CostTrack[[Holdback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37" s="504">
        <f ca="1">SUMIFS(CostTrack[[Value]:[Value]],CostTrack[[PA ID]:[PA ID]],$B137,CostTrack[[Vendor - Contract]:[Vendor - Contract]],$H137,CostTrack[[Holdback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37" s="504">
        <f ca="1">SUMIFS(CostTrack[[Value]:[Value]],CostTrack[[PA ID]:[PA ID]],$B137,CostTrack[[Vendor - Contract]:[Vendor - Contract]],$H137,CostTrack[[Holdback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37" s="504">
        <f ca="1">SUMIFS(CostTrack[[Value]:[Value]],CostTrack[[PA ID]:[PA ID]],$B137,CostTrack[[Vendor - Contract]:[Vendor - Contract]],$H137,CostTrack[[Holdback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37" s="504">
        <f ca="1">SUMIFS(CostTrack[[Value]:[Value]],CostTrack[[PA ID]:[PA ID]],$B137,CostTrack[[Vendor - Contract]:[Vendor - Contract]],$H137,CostTrack[[Holdback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37" s="504">
        <f ca="1">SUMIFS(CostTrack[[Value]:[Value]],CostTrack[[PA ID]:[PA ID]],$B137,CostTrack[[Vendor - Contract]:[Vendor - Contract]],$H137,CostTrack[[Holdback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37" s="504">
        <f ca="1">SUMIFS(CostTrack[[Value]:[Value]],CostTrack[[PA ID]:[PA ID]],$B137,CostTrack[[Vendor - Contract]:[Vendor - Contract]],$H137,CostTrack[[Holdback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37" s="504">
        <f ca="1">SUMIFS(CostTrack[[Value]:[Value]],CostTrack[[PA ID]:[PA ID]],$B137,CostTrack[[Vendor - Contract]:[Vendor - Contract]],$H137,CostTrack[[Holdback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37" s="504">
        <f ca="1">SUMIFS(CostTrack[[Value]:[Value]],CostTrack[[PA ID]:[PA ID]],$B137,CostTrack[[Vendor - Contract]:[Vendor - Contract]],$H137,CostTrack[[Holdback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37" s="504">
        <f ca="1">SUMIFS(CostTrack[[Value]:[Value]],CostTrack[[PA ID]:[PA ID]],$B137,CostTrack[[Vendor - Contract]:[Vendor - Contract]],$H137,CostTrack[[Holdback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37" s="506">
        <f t="shared" ca="1" si="235"/>
        <v>0</v>
      </c>
      <c r="AI137" s="504">
        <f ca="1">SUMIFS(CostTrack[[Value]:[Value]],CostTrack[[PA ID]:[PA ID]],$B137,CostTrack[[Vendor - Contract]:[Vendor - Contract]],$H137,CostTrack[[Holdback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37" s="504">
        <f ca="1">SUMIFS(CostTrack[[Value]:[Value]],CostTrack[[PA ID]:[PA ID]],$B137,CostTrack[[Vendor - Contract]:[Vendor - Contract]],$H137,CostTrack[[Holdback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37" s="504">
        <f ca="1">SUMIFS(CostTrack[[Value]:[Value]],CostTrack[[PA ID]:[PA ID]],$B137,CostTrack[[Vendor - Contract]:[Vendor - Contract]],$H137,CostTrack[[Holdback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37" s="504">
        <f ca="1">SUMIFS(CostTrack[[Value]:[Value]],CostTrack[[PA ID]:[PA ID]],$B137,CostTrack[[Vendor - Contract]:[Vendor - Contract]],$H137,CostTrack[[Holdback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37" s="504">
        <f ca="1">SUMIFS(CostTrack[[Value]:[Value]],CostTrack[[PA ID]:[PA ID]],$B137,CostTrack[[Vendor - Contract]:[Vendor - Contract]],$H137,CostTrack[[Holdback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37" s="504">
        <f ca="1">SUMIFS(CostTrack[[Value]:[Value]],CostTrack[[PA ID]:[PA ID]],$B137,CostTrack[[Vendor - Contract]:[Vendor - Contract]],$H137,CostTrack[[Holdback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37" s="504">
        <f ca="1">SUMIFS(CostTrack[[Value]:[Value]],CostTrack[[PA ID]:[PA ID]],$B137,CostTrack[[Vendor - Contract]:[Vendor - Contract]],$H137,CostTrack[[Holdback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37" s="504">
        <f ca="1">SUMIFS(CostTrack[[Value]:[Value]],CostTrack[[PA ID]:[PA ID]],$B137,CostTrack[[Vendor - Contract]:[Vendor - Contract]],$H137,CostTrack[[Holdback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37" s="504">
        <f ca="1">SUMIFS(CostTrack[[Value]:[Value]],CostTrack[[PA ID]:[PA ID]],$B137,CostTrack[[Vendor - Contract]:[Vendor - Contract]],$H137,CostTrack[[Holdback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37" s="504">
        <f ca="1">SUMIFS(CostTrack[[Value]:[Value]],CostTrack[[PA ID]:[PA ID]],$B137,CostTrack[[Vendor - Contract]:[Vendor - Contract]],$H137,CostTrack[[Holdback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37" s="504">
        <f ca="1">SUMIFS(CostTrack[[Value]:[Value]],CostTrack[[PA ID]:[PA ID]],$B137,CostTrack[[Vendor - Contract]:[Vendor - Contract]],$H137,CostTrack[[Holdback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37" s="504">
        <f ca="1">SUMIFS(CostTrack[[Value]:[Value]],CostTrack[[PA ID]:[PA ID]],$B137,CostTrack[[Vendor - Contract]:[Vendor - Contract]],$H137,CostTrack[[Holdback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37" s="512">
        <f t="shared" ca="1" si="252"/>
        <v>0</v>
      </c>
      <c r="AW137" s="504">
        <f ca="1">SUMIFS(CostTrack[[Value]:[Value]],CostTrack[[PA ID]:[PA ID]],$B137,CostTrack[[Vendor - Contract]:[Vendor - Contract]],$H137,CostTrack[[Holdback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37" s="504">
        <f ca="1">SUMIFS(CostTrack[[Value]:[Value]],CostTrack[[PA ID]:[PA ID]],$B137,CostTrack[[Vendor - Contract]:[Vendor - Contract]],$H137,CostTrack[[Holdback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37" s="504">
        <f ca="1">SUMIFS(CostTrack[[Value]:[Value]],CostTrack[[PA ID]:[PA ID]],$B137,CostTrack[[Vendor - Contract]:[Vendor - Contract]],$H137,CostTrack[[Holdback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37" s="504">
        <f ca="1">SUMIFS(CostTrack[[Value]:[Value]],CostTrack[[PA ID]:[PA ID]],$B137,CostTrack[[Vendor - Contract]:[Vendor - Contract]],$H137,CostTrack[[Holdback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37" s="504">
        <f ca="1">SUMIFS(CostTrack[[Value]:[Value]],CostTrack[[PA ID]:[PA ID]],$B137,CostTrack[[Vendor - Contract]:[Vendor - Contract]],$H137,CostTrack[[Holdback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37" s="504">
        <f ca="1">SUMIFS(CostTrack[[Value]:[Value]],CostTrack[[PA ID]:[PA ID]],$B137,CostTrack[[Vendor - Contract]:[Vendor - Contract]],$H137,CostTrack[[Holdback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37" s="504">
        <f ca="1">SUMIFS(CostTrack[[Value]:[Value]],CostTrack[[PA ID]:[PA ID]],$B137,CostTrack[[Vendor - Contract]:[Vendor - Contract]],$H137,CostTrack[[Holdback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37" s="504">
        <f ca="1">SUMIFS(CostTrack[[Value]:[Value]],CostTrack[[PA ID]:[PA ID]],$B137,CostTrack[[Vendor - Contract]:[Vendor - Contract]],$H137,CostTrack[[Holdback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37" s="504">
        <f ca="1">SUMIFS(CostTrack[[Value]:[Value]],CostTrack[[PA ID]:[PA ID]],$B137,CostTrack[[Vendor - Contract]:[Vendor - Contract]],$H137,CostTrack[[Holdback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37" s="504">
        <f ca="1">SUMIFS(CostTrack[[Value]:[Value]],CostTrack[[PA ID]:[PA ID]],$B137,CostTrack[[Vendor - Contract]:[Vendor - Contract]],$H137,CostTrack[[Holdback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37" s="504">
        <f ca="1">SUMIFS(CostTrack[[Value]:[Value]],CostTrack[[PA ID]:[PA ID]],$B137,CostTrack[[Vendor - Contract]:[Vendor - Contract]],$H137,CostTrack[[Holdback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37" s="504">
        <f ca="1">SUMIFS(CostTrack[[Value]:[Value]],CostTrack[[PA ID]:[PA ID]],$B137,CostTrack[[Vendor - Contract]:[Vendor - Contract]],$H137,CostTrack[[Holdback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37" s="512">
        <f t="shared" ca="1" si="268"/>
        <v>0</v>
      </c>
      <c r="BK137" s="504">
        <f ca="1">SUMIFS(CostTrack[[Value]:[Value]],CostTrack[[PA ID]:[PA ID]],$B137,CostTrack[[Vendor - Contract]:[Vendor - Contract]],$H137,CostTrack[[Holdback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37" s="504">
        <f ca="1">SUMIFS(CostTrack[[Value]:[Value]],CostTrack[[PA ID]:[PA ID]],$B137,CostTrack[[Vendor - Contract]:[Vendor - Contract]],$H137,CostTrack[[Holdback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37" s="504">
        <f ca="1">SUMIFS(CostTrack[[Value]:[Value]],CostTrack[[PA ID]:[PA ID]],$B137,CostTrack[[Vendor - Contract]:[Vendor - Contract]],$H137,CostTrack[[Holdback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37" s="504">
        <f ca="1">SUMIFS(CostTrack[[Value]:[Value]],CostTrack[[PA ID]:[PA ID]],$B137,CostTrack[[Vendor - Contract]:[Vendor - Contract]],$H137,CostTrack[[Holdback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37" s="504">
        <f ca="1">SUMIFS(CostTrack[[Value]:[Value]],CostTrack[[PA ID]:[PA ID]],$B137,CostTrack[[Vendor - Contract]:[Vendor - Contract]],$H137,CostTrack[[Holdback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37" s="504">
        <f ca="1">SUMIFS(CostTrack[[Value]:[Value]],CostTrack[[PA ID]:[PA ID]],$B137,CostTrack[[Vendor - Contract]:[Vendor - Contract]],$H137,CostTrack[[Holdback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37" s="504">
        <f ca="1">SUMIFS(CostTrack[[Value]:[Value]],CostTrack[[PA ID]:[PA ID]],$B137,CostTrack[[Vendor - Contract]:[Vendor - Contract]],$H137,CostTrack[[Holdback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37" s="504">
        <f ca="1">SUMIFS(CostTrack[[Value]:[Value]],CostTrack[[PA ID]:[PA ID]],$B137,CostTrack[[Vendor - Contract]:[Vendor - Contract]],$H137,CostTrack[[Holdback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37" s="504">
        <f ca="1">SUMIFS(CostTrack[[Value]:[Value]],CostTrack[[PA ID]:[PA ID]],$B137,CostTrack[[Vendor - Contract]:[Vendor - Contract]],$H137,CostTrack[[Holdback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37" s="504">
        <f ca="1">SUMIFS(CostTrack[[Value]:[Value]],CostTrack[[PA ID]:[PA ID]],$B137,CostTrack[[Vendor - Contract]:[Vendor - Contract]],$H137,CostTrack[[Holdback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37" s="504">
        <f ca="1">SUMIFS(CostTrack[[Value]:[Value]],CostTrack[[PA ID]:[PA ID]],$B137,CostTrack[[Vendor - Contract]:[Vendor - Contract]],$H137,CostTrack[[Holdback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37" s="504">
        <f ca="1">SUMIFS(CostTrack[[Value]:[Value]],CostTrack[[PA ID]:[PA ID]],$B137,CostTrack[[Vendor - Contract]:[Vendor - Contract]],$H137,CostTrack[[Holdback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37" s="512">
        <f t="shared" ca="1" si="269"/>
        <v>0</v>
      </c>
      <c r="BY137" s="504">
        <f ca="1">SUMIFS(CostTrack[[Value]:[Value]],CostTrack[[PA ID]:[PA ID]],$B137,CostTrack[[Vendor - Contract]:[Vendor - Contract]],$H137,CostTrack[[Holdback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37" s="504">
        <f ca="1">SUMIFS(CostTrack[[Value]:[Value]],CostTrack[[PA ID]:[PA ID]],$B137,CostTrack[[Vendor - Contract]:[Vendor - Contract]],$H137,CostTrack[[Holdback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37" s="504">
        <f ca="1">SUMIFS(CostTrack[[Value]:[Value]],CostTrack[[PA ID]:[PA ID]],$B137,CostTrack[[Vendor - Contract]:[Vendor - Contract]],$H137,CostTrack[[Holdback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37" s="504">
        <f ca="1">SUMIFS(CostTrack[[Value]:[Value]],CostTrack[[PA ID]:[PA ID]],$B137,CostTrack[[Vendor - Contract]:[Vendor - Contract]],$H137,CostTrack[[Holdback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37" s="504">
        <f ca="1">SUMIFS(CostTrack[[Value]:[Value]],CostTrack[[PA ID]:[PA ID]],$B137,CostTrack[[Vendor - Contract]:[Vendor - Contract]],$H137,CostTrack[[Holdback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37" s="504">
        <f ca="1">SUMIFS(CostTrack[[Value]:[Value]],CostTrack[[PA ID]:[PA ID]],$B137,CostTrack[[Vendor - Contract]:[Vendor - Contract]],$H137,CostTrack[[Holdback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37" s="504">
        <f ca="1">SUMIFS(CostTrack[[Value]:[Value]],CostTrack[[PA ID]:[PA ID]],$B137,CostTrack[[Vendor - Contract]:[Vendor - Contract]],$H137,CostTrack[[Holdback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37" s="504">
        <f ca="1">SUMIFS(CostTrack[[Value]:[Value]],CostTrack[[PA ID]:[PA ID]],$B137,CostTrack[[Vendor - Contract]:[Vendor - Contract]],$H137,CostTrack[[Holdback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37" s="504">
        <f ca="1">SUMIFS(CostTrack[[Value]:[Value]],CostTrack[[PA ID]:[PA ID]],$B137,CostTrack[[Vendor - Contract]:[Vendor - Contract]],$H137,CostTrack[[Holdback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37" s="504">
        <f ca="1">SUMIFS(CostTrack[[Value]:[Value]],CostTrack[[PA ID]:[PA ID]],$B137,CostTrack[[Vendor - Contract]:[Vendor - Contract]],$H137,CostTrack[[Holdback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37" s="504">
        <f ca="1">SUMIFS(CostTrack[[Value]:[Value]],CostTrack[[PA ID]:[PA ID]],$B137,CostTrack[[Vendor - Contract]:[Vendor - Contract]],$H137,CostTrack[[Holdback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37" s="504">
        <f ca="1">SUMIFS(CostTrack[[Value]:[Value]],CostTrack[[PA ID]:[PA ID]],$B137,CostTrack[[Vendor - Contract]:[Vendor - Contract]],$H137,CostTrack[[Holdback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37" s="512">
        <f t="shared" ca="1" si="255"/>
        <v>0</v>
      </c>
      <c r="CM137" s="504">
        <f ca="1">SUMIFS(CostTrack[[Value]:[Value]],CostTrack[[PA ID]:[PA ID]],$B137,CostTrack[[Vendor - Contract]:[Vendor - Contract]],$H137,CostTrack[[Holdback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37" s="504">
        <f ca="1">SUMIFS(CostTrack[[Value]:[Value]],CostTrack[[PA ID]:[PA ID]],$B137,CostTrack[[Vendor - Contract]:[Vendor - Contract]],$H137,CostTrack[[Holdback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37" s="504">
        <f ca="1">SUMIFS(CostTrack[[Value]:[Value]],CostTrack[[PA ID]:[PA ID]],$B137,CostTrack[[Vendor - Contract]:[Vendor - Contract]],$H137,CostTrack[[Holdback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37" s="504">
        <f ca="1">SUMIFS(CostTrack[[Value]:[Value]],CostTrack[[PA ID]:[PA ID]],$B137,CostTrack[[Vendor - Contract]:[Vendor - Contract]],$H137,CostTrack[[Holdback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37" s="504">
        <f ca="1">SUMIFS(CostTrack[[Value]:[Value]],CostTrack[[PA ID]:[PA ID]],$B137,CostTrack[[Vendor - Contract]:[Vendor - Contract]],$H137,CostTrack[[Holdback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37" s="504">
        <f ca="1">SUMIFS(CostTrack[[Value]:[Value]],CostTrack[[PA ID]:[PA ID]],$B137,CostTrack[[Vendor - Contract]:[Vendor - Contract]],$H137,CostTrack[[Holdback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37" s="504">
        <f ca="1">SUMIFS(CostTrack[[Value]:[Value]],CostTrack[[PA ID]:[PA ID]],$B137,CostTrack[[Vendor - Contract]:[Vendor - Contract]],$H137,CostTrack[[Holdback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37" s="504">
        <f ca="1">SUMIFS(CostTrack[[Value]:[Value]],CostTrack[[PA ID]:[PA ID]],$B137,CostTrack[[Vendor - Contract]:[Vendor - Contract]],$H137,CostTrack[[Holdback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37" s="504">
        <f ca="1">SUMIFS(CostTrack[[Value]:[Value]],CostTrack[[PA ID]:[PA ID]],$B137,CostTrack[[Vendor - Contract]:[Vendor - Contract]],$H137,CostTrack[[Holdback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37" s="504">
        <f ca="1">SUMIFS(CostTrack[[Value]:[Value]],CostTrack[[PA ID]:[PA ID]],$B137,CostTrack[[Vendor - Contract]:[Vendor - Contract]],$H137,CostTrack[[Holdback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37" s="504">
        <f ca="1">SUMIFS(CostTrack[[Value]:[Value]],CostTrack[[PA ID]:[PA ID]],$B137,CostTrack[[Vendor - Contract]:[Vendor - Contract]],$H137,CostTrack[[Holdback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37" s="504">
        <f ca="1">SUMIFS(CostTrack[[Value]:[Value]],CostTrack[[PA ID]:[PA ID]],$B137,CostTrack[[Vendor - Contract]:[Vendor - Contract]],$H137,CostTrack[[Holdback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37" s="512">
        <f t="shared" ca="1" si="256"/>
        <v>0</v>
      </c>
      <c r="DA137" s="504">
        <f ca="1">SUMIFS(CostTrack[[Value]:[Value]],CostTrack[[PA ID]:[PA ID]],$B137,CostTrack[[Vendor - Contract]:[Vendor - Contract]],$H137,CostTrack[[Holdback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37" s="504">
        <f ca="1">SUMIFS(CostTrack[[Value]:[Value]],CostTrack[[PA ID]:[PA ID]],$B137,CostTrack[[Vendor - Contract]:[Vendor - Contract]],$H137,CostTrack[[Holdback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37" s="504">
        <f ca="1">SUMIFS(CostTrack[[Value]:[Value]],CostTrack[[PA ID]:[PA ID]],$B137,CostTrack[[Vendor - Contract]:[Vendor - Contract]],$H137,CostTrack[[Holdback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37" s="504">
        <f ca="1">SUMIFS(CostTrack[[Value]:[Value]],CostTrack[[PA ID]:[PA ID]],$B137,CostTrack[[Vendor - Contract]:[Vendor - Contract]],$H137,CostTrack[[Holdback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37" s="504">
        <f ca="1">SUMIFS(CostTrack[[Value]:[Value]],CostTrack[[PA ID]:[PA ID]],$B137,CostTrack[[Vendor - Contract]:[Vendor - Contract]],$H137,CostTrack[[Holdback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37" s="504">
        <f ca="1">SUMIFS(CostTrack[[Value]:[Value]],CostTrack[[PA ID]:[PA ID]],$B137,CostTrack[[Vendor - Contract]:[Vendor - Contract]],$H137,CostTrack[[Holdback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37" s="504">
        <f ca="1">SUMIFS(CostTrack[[Value]:[Value]],CostTrack[[PA ID]:[PA ID]],$B137,CostTrack[[Vendor - Contract]:[Vendor - Contract]],$H137,CostTrack[[Holdback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37" s="504">
        <f ca="1">SUMIFS(CostTrack[[Value]:[Value]],CostTrack[[PA ID]:[PA ID]],$B137,CostTrack[[Vendor - Contract]:[Vendor - Contract]],$H137,CostTrack[[Holdback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37" s="504">
        <f ca="1">SUMIFS(CostTrack[[Value]:[Value]],CostTrack[[PA ID]:[PA ID]],$B137,CostTrack[[Vendor - Contract]:[Vendor - Contract]],$H137,CostTrack[[Holdback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37" s="504">
        <f ca="1">SUMIFS(CostTrack[[Value]:[Value]],CostTrack[[PA ID]:[PA ID]],$B137,CostTrack[[Vendor - Contract]:[Vendor - Contract]],$H137,CostTrack[[Holdback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37" s="504">
        <f ca="1">SUMIFS(CostTrack[[Value]:[Value]],CostTrack[[PA ID]:[PA ID]],$B137,CostTrack[[Vendor - Contract]:[Vendor - Contract]],$H137,CostTrack[[Holdback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37" s="504">
        <f ca="1">SUMIFS(CostTrack[[Value]:[Value]],CostTrack[[PA ID]:[PA ID]],$B137,CostTrack[[Vendor - Contract]:[Vendor - Contract]],$H137,CostTrack[[Holdback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37" s="512">
        <f t="shared" ca="1" si="257"/>
        <v>0</v>
      </c>
      <c r="DO137" s="504">
        <f ca="1">SUMIFS(CostTrack[[Value]:[Value]],CostTrack[[PA ID]:[PA ID]],$B137,CostTrack[[Vendor - Contract]:[Vendor - Contract]],$H137,CostTrack[[Holdback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37" s="504">
        <f ca="1">SUMIFS(CostTrack[[Value]:[Value]],CostTrack[[PA ID]:[PA ID]],$B137,CostTrack[[Vendor - Contract]:[Vendor - Contract]],$H137,CostTrack[[Holdback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37" s="504">
        <f ca="1">SUMIFS(CostTrack[[Value]:[Value]],CostTrack[[PA ID]:[PA ID]],$B137,CostTrack[[Vendor - Contract]:[Vendor - Contract]],$H137,CostTrack[[Holdback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37" s="504">
        <f ca="1">SUMIFS(CostTrack[[Value]:[Value]],CostTrack[[PA ID]:[PA ID]],$B137,CostTrack[[Vendor - Contract]:[Vendor - Contract]],$H137,CostTrack[[Holdback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37" s="504">
        <f ca="1">SUMIFS(CostTrack[[Value]:[Value]],CostTrack[[PA ID]:[PA ID]],$B137,CostTrack[[Vendor - Contract]:[Vendor - Contract]],$H137,CostTrack[[Holdback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37" s="504">
        <f ca="1">SUMIFS(CostTrack[[Value]:[Value]],CostTrack[[PA ID]:[PA ID]],$B137,CostTrack[[Vendor - Contract]:[Vendor - Contract]],$H137,CostTrack[[Holdback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37" s="504">
        <f ca="1">SUMIFS(CostTrack[[Value]:[Value]],CostTrack[[PA ID]:[PA ID]],$B137,CostTrack[[Vendor - Contract]:[Vendor - Contract]],$H137,CostTrack[[Holdback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37" s="504">
        <f ca="1">SUMIFS(CostTrack[[Value]:[Value]],CostTrack[[PA ID]:[PA ID]],$B137,CostTrack[[Vendor - Contract]:[Vendor - Contract]],$H137,CostTrack[[Holdback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37" s="504">
        <f ca="1">SUMIFS(CostTrack[[Value]:[Value]],CostTrack[[PA ID]:[PA ID]],$B137,CostTrack[[Vendor - Contract]:[Vendor - Contract]],$H137,CostTrack[[Holdback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37" s="504">
        <f ca="1">SUMIFS(CostTrack[[Value]:[Value]],CostTrack[[PA ID]:[PA ID]],$B137,CostTrack[[Vendor - Contract]:[Vendor - Contract]],$H137,CostTrack[[Holdback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37" s="504">
        <f ca="1">SUMIFS(CostTrack[[Value]:[Value]],CostTrack[[PA ID]:[PA ID]],$B137,CostTrack[[Vendor - Contract]:[Vendor - Contract]],$H137,CostTrack[[Holdback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37" s="504">
        <f ca="1">SUMIFS(CostTrack[[Value]:[Value]],CostTrack[[PA ID]:[PA ID]],$B137,CostTrack[[Vendor - Contract]:[Vendor - Contract]],$H137,CostTrack[[Holdback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37" s="512">
        <f t="shared" ca="1" si="270"/>
        <v>0</v>
      </c>
      <c r="EC137" s="504">
        <f ca="1">SUMIFS(CostTrack[[Value]:[Value]],CostTrack[[PA ID]:[PA ID]],$B137,CostTrack[[Vendor - Contract]:[Vendor - Contract]],$H137,CostTrack[[Holdback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37" s="505"/>
      <c r="EE137" s="505"/>
      <c r="EF137" s="505"/>
      <c r="EG137" s="505"/>
      <c r="EH137" s="505"/>
      <c r="EI137" s="505"/>
      <c r="EJ137" s="505"/>
      <c r="EK137" s="505"/>
      <c r="EL137" s="505"/>
      <c r="EM137" s="505"/>
      <c r="EN137" s="505"/>
      <c r="EO137" s="512">
        <f t="shared" ca="1" si="271"/>
        <v>0</v>
      </c>
      <c r="EQ137" s="505"/>
      <c r="ER137" s="505"/>
      <c r="ES137" s="505"/>
      <c r="ET137" s="505"/>
      <c r="EU137" s="505"/>
      <c r="EV137" s="505"/>
      <c r="EW137" s="505"/>
      <c r="EX137" s="505"/>
      <c r="EY137" s="505"/>
      <c r="EZ137" s="505"/>
      <c r="FA137" s="505"/>
      <c r="FB137" s="505"/>
      <c r="FC137" s="512">
        <f t="shared" si="272"/>
        <v>0</v>
      </c>
      <c r="FE137" s="505"/>
      <c r="FF137" s="505"/>
      <c r="FG137" s="505"/>
      <c r="FH137" s="505"/>
      <c r="FI137" s="505"/>
      <c r="FJ137" s="505"/>
      <c r="FK137" s="505"/>
      <c r="FL137" s="505"/>
      <c r="FM137" s="505"/>
      <c r="FN137" s="505"/>
      <c r="FO137" s="505"/>
      <c r="FP137" s="505"/>
      <c r="FQ137" s="512">
        <f t="shared" si="273"/>
        <v>0</v>
      </c>
      <c r="FS137" s="504">
        <f t="shared" ca="1" si="274"/>
        <v>0</v>
      </c>
    </row>
    <row r="138" spans="1:175">
      <c r="A138" s="216">
        <v>131</v>
      </c>
      <c r="B138" s="219">
        <f ca="1">INDEX(EAC[PA ID],MATCH($A138,EAC[Row],0))</f>
        <v>0</v>
      </c>
      <c r="C138" s="218" t="str">
        <f ca="1">INDEX(EAC[Primary Category],MATCH($A138,EAC[Row],0))</f>
        <v/>
      </c>
      <c r="D138" s="218" t="str">
        <f ca="1">INDEX(EAC[Secondary Category],MATCH($A138,EAC[Row],0))</f>
        <v/>
      </c>
      <c r="E138" s="109" t="str">
        <f ca="1">INDEX(EAC[Phase / Subproject],MATCH($A138,EAC[Row],0))</f>
        <v/>
      </c>
      <c r="F138" s="109" t="str">
        <f ca="1">INDEX(EAC[Phase / Subproject 2],MATCH($A138,EAC[Row],0))</f>
        <v/>
      </c>
      <c r="G138" s="109" t="str">
        <f ca="1">INDEX(EAC[Funding Source],MATCH($A138,EAC[Row],0))</f>
        <v/>
      </c>
      <c r="H138" s="146">
        <f ca="1">INDEX(EAC[Vendor / Org. with Contract ID],MATCH($A138,EAC[Row],0))</f>
        <v>0</v>
      </c>
      <c r="I138" s="502">
        <f ca="1">INDEX(EAC[Estimate At Completion],MATCH($A138,EAC[Row],0))</f>
        <v>0</v>
      </c>
      <c r="J138" s="502">
        <f ca="1">SUMIFS(CostTrack[Value],CostTrack[Vendor - Contract],$H138,CostTrack[PA ID],$B138,CostTrack[Holdback (Y/N/R)],"&lt;&gt;Release",CostTrack[Status],"Approved")</f>
        <v>0</v>
      </c>
      <c r="K138" s="503">
        <f t="shared" ca="1" si="283"/>
        <v>0</v>
      </c>
      <c r="M138" s="504">
        <f t="shared" ca="1" si="264"/>
        <v>0</v>
      </c>
      <c r="O138" s="504">
        <f t="shared" ca="1" si="275"/>
        <v>0</v>
      </c>
      <c r="P138" s="504">
        <f t="array" aca="1" ref="P138" ca="1">SUM($U138:$FQ138*_xlfn.ISFORMULA($U138:$FQ138)*ISNUMBER($U$7:$FQ$7)*--(INDEX($U$6:$FQ$6,N(IF({1},COLUMN($U$6:$FQ$6)-COLUMN($T$6)))-MOD(N(IF({1},COLUMN($U$6:$FQ$6)-COLUMN($U$6))),14))="Current Fiscal"))</f>
        <v>0</v>
      </c>
      <c r="Q138" s="504">
        <f t="array" aca="1" ref="Q138" ca="1">SUM($U138:$FQ138*NOT(_xlfn.ISFORMULA($U138:$FQ138))*ISNUMBER($U$7:$FQ$7)*--(INDEX($U$6:$FQ$6,N(IF({1},COLUMN($U$6:$FQ$6)-COLUMN($T$6)))-MOD(N(IF({1},COLUMN($U$6:$FQ$6)-COLUMN($U$6))),14))="Current Fiscal"))</f>
        <v>0</v>
      </c>
      <c r="R138" s="504">
        <f t="shared" ca="1" si="276"/>
        <v>0</v>
      </c>
      <c r="S138" s="504">
        <f t="shared" ca="1" si="277"/>
        <v>0</v>
      </c>
      <c r="U138" s="504">
        <f ca="1">SUMIFS(CostTrack[[Value]:[Value]],CostTrack[[PA ID]:[PA ID]],$B138,CostTrack[[Vendor - Contract]:[Vendor - Contract]],$H138,CostTrack[[Holdback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38" s="504">
        <f ca="1">SUMIFS(CostTrack[[Value]:[Value]],CostTrack[[PA ID]:[PA ID]],$B138,CostTrack[[Vendor - Contract]:[Vendor - Contract]],$H138,CostTrack[[Holdback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38" s="504">
        <f ca="1">SUMIFS(CostTrack[[Value]:[Value]],CostTrack[[PA ID]:[PA ID]],$B138,CostTrack[[Vendor - Contract]:[Vendor - Contract]],$H138,CostTrack[[Holdback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38" s="504">
        <f ca="1">SUMIFS(CostTrack[[Value]:[Value]],CostTrack[[PA ID]:[PA ID]],$B138,CostTrack[[Vendor - Contract]:[Vendor - Contract]],$H138,CostTrack[[Holdback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38" s="504">
        <f ca="1">SUMIFS(CostTrack[[Value]:[Value]],CostTrack[[PA ID]:[PA ID]],$B138,CostTrack[[Vendor - Contract]:[Vendor - Contract]],$H138,CostTrack[[Holdback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38" s="504">
        <f ca="1">SUMIFS(CostTrack[[Value]:[Value]],CostTrack[[PA ID]:[PA ID]],$B138,CostTrack[[Vendor - Contract]:[Vendor - Contract]],$H138,CostTrack[[Holdback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38" s="504">
        <f ca="1">SUMIFS(CostTrack[[Value]:[Value]],CostTrack[[PA ID]:[PA ID]],$B138,CostTrack[[Vendor - Contract]:[Vendor - Contract]],$H138,CostTrack[[Holdback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38" s="504">
        <f ca="1">SUMIFS(CostTrack[[Value]:[Value]],CostTrack[[PA ID]:[PA ID]],$B138,CostTrack[[Vendor - Contract]:[Vendor - Contract]],$H138,CostTrack[[Holdback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38" s="504">
        <f ca="1">SUMIFS(CostTrack[[Value]:[Value]],CostTrack[[PA ID]:[PA ID]],$B138,CostTrack[[Vendor - Contract]:[Vendor - Contract]],$H138,CostTrack[[Holdback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38" s="504">
        <f ca="1">SUMIFS(CostTrack[[Value]:[Value]],CostTrack[[PA ID]:[PA ID]],$B138,CostTrack[[Vendor - Contract]:[Vendor - Contract]],$H138,CostTrack[[Holdback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38" s="504">
        <f ca="1">SUMIFS(CostTrack[[Value]:[Value]],CostTrack[[PA ID]:[PA ID]],$B138,CostTrack[[Vendor - Contract]:[Vendor - Contract]],$H138,CostTrack[[Holdback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38" s="504">
        <f ca="1">SUMIFS(CostTrack[[Value]:[Value]],CostTrack[[PA ID]:[PA ID]],$B138,CostTrack[[Vendor - Contract]:[Vendor - Contract]],$H138,CostTrack[[Holdback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38" s="506">
        <f t="shared" ca="1" si="235"/>
        <v>0</v>
      </c>
      <c r="AI138" s="504">
        <f ca="1">SUMIFS(CostTrack[[Value]:[Value]],CostTrack[[PA ID]:[PA ID]],$B138,CostTrack[[Vendor - Contract]:[Vendor - Contract]],$H138,CostTrack[[Holdback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38" s="504">
        <f ca="1">SUMIFS(CostTrack[[Value]:[Value]],CostTrack[[PA ID]:[PA ID]],$B138,CostTrack[[Vendor - Contract]:[Vendor - Contract]],$H138,CostTrack[[Holdback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38" s="504">
        <f ca="1">SUMIFS(CostTrack[[Value]:[Value]],CostTrack[[PA ID]:[PA ID]],$B138,CostTrack[[Vendor - Contract]:[Vendor - Contract]],$H138,CostTrack[[Holdback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38" s="504">
        <f ca="1">SUMIFS(CostTrack[[Value]:[Value]],CostTrack[[PA ID]:[PA ID]],$B138,CostTrack[[Vendor - Contract]:[Vendor - Contract]],$H138,CostTrack[[Holdback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38" s="504">
        <f ca="1">SUMIFS(CostTrack[[Value]:[Value]],CostTrack[[PA ID]:[PA ID]],$B138,CostTrack[[Vendor - Contract]:[Vendor - Contract]],$H138,CostTrack[[Holdback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38" s="504">
        <f ca="1">SUMIFS(CostTrack[[Value]:[Value]],CostTrack[[PA ID]:[PA ID]],$B138,CostTrack[[Vendor - Contract]:[Vendor - Contract]],$H138,CostTrack[[Holdback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38" s="504">
        <f ca="1">SUMIFS(CostTrack[[Value]:[Value]],CostTrack[[PA ID]:[PA ID]],$B138,CostTrack[[Vendor - Contract]:[Vendor - Contract]],$H138,CostTrack[[Holdback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38" s="504">
        <f ca="1">SUMIFS(CostTrack[[Value]:[Value]],CostTrack[[PA ID]:[PA ID]],$B138,CostTrack[[Vendor - Contract]:[Vendor - Contract]],$H138,CostTrack[[Holdback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38" s="504">
        <f ca="1">SUMIFS(CostTrack[[Value]:[Value]],CostTrack[[PA ID]:[PA ID]],$B138,CostTrack[[Vendor - Contract]:[Vendor - Contract]],$H138,CostTrack[[Holdback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38" s="504">
        <f ca="1">SUMIFS(CostTrack[[Value]:[Value]],CostTrack[[PA ID]:[PA ID]],$B138,CostTrack[[Vendor - Contract]:[Vendor - Contract]],$H138,CostTrack[[Holdback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38" s="504">
        <f ca="1">SUMIFS(CostTrack[[Value]:[Value]],CostTrack[[PA ID]:[PA ID]],$B138,CostTrack[[Vendor - Contract]:[Vendor - Contract]],$H138,CostTrack[[Holdback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38" s="504">
        <f ca="1">SUMIFS(CostTrack[[Value]:[Value]],CostTrack[[PA ID]:[PA ID]],$B138,CostTrack[[Vendor - Contract]:[Vendor - Contract]],$H138,CostTrack[[Holdback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38" s="512">
        <f t="shared" ca="1" si="252"/>
        <v>0</v>
      </c>
      <c r="AW138" s="504">
        <f ca="1">SUMIFS(CostTrack[[Value]:[Value]],CostTrack[[PA ID]:[PA ID]],$B138,CostTrack[[Vendor - Contract]:[Vendor - Contract]],$H138,CostTrack[[Holdback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38" s="504">
        <f ca="1">SUMIFS(CostTrack[[Value]:[Value]],CostTrack[[PA ID]:[PA ID]],$B138,CostTrack[[Vendor - Contract]:[Vendor - Contract]],$H138,CostTrack[[Holdback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38" s="504">
        <f ca="1">SUMIFS(CostTrack[[Value]:[Value]],CostTrack[[PA ID]:[PA ID]],$B138,CostTrack[[Vendor - Contract]:[Vendor - Contract]],$H138,CostTrack[[Holdback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38" s="504">
        <f ca="1">SUMIFS(CostTrack[[Value]:[Value]],CostTrack[[PA ID]:[PA ID]],$B138,CostTrack[[Vendor - Contract]:[Vendor - Contract]],$H138,CostTrack[[Holdback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38" s="504">
        <f ca="1">SUMIFS(CostTrack[[Value]:[Value]],CostTrack[[PA ID]:[PA ID]],$B138,CostTrack[[Vendor - Contract]:[Vendor - Contract]],$H138,CostTrack[[Holdback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38" s="504">
        <f ca="1">SUMIFS(CostTrack[[Value]:[Value]],CostTrack[[PA ID]:[PA ID]],$B138,CostTrack[[Vendor - Contract]:[Vendor - Contract]],$H138,CostTrack[[Holdback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38" s="504">
        <f ca="1">SUMIFS(CostTrack[[Value]:[Value]],CostTrack[[PA ID]:[PA ID]],$B138,CostTrack[[Vendor - Contract]:[Vendor - Contract]],$H138,CostTrack[[Holdback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38" s="504">
        <f ca="1">SUMIFS(CostTrack[[Value]:[Value]],CostTrack[[PA ID]:[PA ID]],$B138,CostTrack[[Vendor - Contract]:[Vendor - Contract]],$H138,CostTrack[[Holdback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38" s="504">
        <f ca="1">SUMIFS(CostTrack[[Value]:[Value]],CostTrack[[PA ID]:[PA ID]],$B138,CostTrack[[Vendor - Contract]:[Vendor - Contract]],$H138,CostTrack[[Holdback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38" s="504">
        <f ca="1">SUMIFS(CostTrack[[Value]:[Value]],CostTrack[[PA ID]:[PA ID]],$B138,CostTrack[[Vendor - Contract]:[Vendor - Contract]],$H138,CostTrack[[Holdback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38" s="504">
        <f ca="1">SUMIFS(CostTrack[[Value]:[Value]],CostTrack[[PA ID]:[PA ID]],$B138,CostTrack[[Vendor - Contract]:[Vendor - Contract]],$H138,CostTrack[[Holdback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38" s="504">
        <f ca="1">SUMIFS(CostTrack[[Value]:[Value]],CostTrack[[PA ID]:[PA ID]],$B138,CostTrack[[Vendor - Contract]:[Vendor - Contract]],$H138,CostTrack[[Holdback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38" s="512">
        <f t="shared" ca="1" si="268"/>
        <v>0</v>
      </c>
      <c r="BK138" s="504">
        <f ca="1">SUMIFS(CostTrack[[Value]:[Value]],CostTrack[[PA ID]:[PA ID]],$B138,CostTrack[[Vendor - Contract]:[Vendor - Contract]],$H138,CostTrack[[Holdback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38" s="504">
        <f ca="1">SUMIFS(CostTrack[[Value]:[Value]],CostTrack[[PA ID]:[PA ID]],$B138,CostTrack[[Vendor - Contract]:[Vendor - Contract]],$H138,CostTrack[[Holdback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38" s="504">
        <f ca="1">SUMIFS(CostTrack[[Value]:[Value]],CostTrack[[PA ID]:[PA ID]],$B138,CostTrack[[Vendor - Contract]:[Vendor - Contract]],$H138,CostTrack[[Holdback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38" s="504">
        <f ca="1">SUMIFS(CostTrack[[Value]:[Value]],CostTrack[[PA ID]:[PA ID]],$B138,CostTrack[[Vendor - Contract]:[Vendor - Contract]],$H138,CostTrack[[Holdback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38" s="504">
        <f ca="1">SUMIFS(CostTrack[[Value]:[Value]],CostTrack[[PA ID]:[PA ID]],$B138,CostTrack[[Vendor - Contract]:[Vendor - Contract]],$H138,CostTrack[[Holdback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38" s="504">
        <f ca="1">SUMIFS(CostTrack[[Value]:[Value]],CostTrack[[PA ID]:[PA ID]],$B138,CostTrack[[Vendor - Contract]:[Vendor - Contract]],$H138,CostTrack[[Holdback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38" s="504">
        <f ca="1">SUMIFS(CostTrack[[Value]:[Value]],CostTrack[[PA ID]:[PA ID]],$B138,CostTrack[[Vendor - Contract]:[Vendor - Contract]],$H138,CostTrack[[Holdback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38" s="504">
        <f ca="1">SUMIFS(CostTrack[[Value]:[Value]],CostTrack[[PA ID]:[PA ID]],$B138,CostTrack[[Vendor - Contract]:[Vendor - Contract]],$H138,CostTrack[[Holdback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38" s="504">
        <f ca="1">SUMIFS(CostTrack[[Value]:[Value]],CostTrack[[PA ID]:[PA ID]],$B138,CostTrack[[Vendor - Contract]:[Vendor - Contract]],$H138,CostTrack[[Holdback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38" s="504">
        <f ca="1">SUMIFS(CostTrack[[Value]:[Value]],CostTrack[[PA ID]:[PA ID]],$B138,CostTrack[[Vendor - Contract]:[Vendor - Contract]],$H138,CostTrack[[Holdback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38" s="504">
        <f ca="1">SUMIFS(CostTrack[[Value]:[Value]],CostTrack[[PA ID]:[PA ID]],$B138,CostTrack[[Vendor - Contract]:[Vendor - Contract]],$H138,CostTrack[[Holdback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38" s="504">
        <f ca="1">SUMIFS(CostTrack[[Value]:[Value]],CostTrack[[PA ID]:[PA ID]],$B138,CostTrack[[Vendor - Contract]:[Vendor - Contract]],$H138,CostTrack[[Holdback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38" s="512">
        <f t="shared" ca="1" si="269"/>
        <v>0</v>
      </c>
      <c r="BY138" s="504">
        <f ca="1">SUMIFS(CostTrack[[Value]:[Value]],CostTrack[[PA ID]:[PA ID]],$B138,CostTrack[[Vendor - Contract]:[Vendor - Contract]],$H138,CostTrack[[Holdback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38" s="504">
        <f ca="1">SUMIFS(CostTrack[[Value]:[Value]],CostTrack[[PA ID]:[PA ID]],$B138,CostTrack[[Vendor - Contract]:[Vendor - Contract]],$H138,CostTrack[[Holdback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38" s="504">
        <f ca="1">SUMIFS(CostTrack[[Value]:[Value]],CostTrack[[PA ID]:[PA ID]],$B138,CostTrack[[Vendor - Contract]:[Vendor - Contract]],$H138,CostTrack[[Holdback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38" s="504">
        <f ca="1">SUMIFS(CostTrack[[Value]:[Value]],CostTrack[[PA ID]:[PA ID]],$B138,CostTrack[[Vendor - Contract]:[Vendor - Contract]],$H138,CostTrack[[Holdback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38" s="504">
        <f ca="1">SUMIFS(CostTrack[[Value]:[Value]],CostTrack[[PA ID]:[PA ID]],$B138,CostTrack[[Vendor - Contract]:[Vendor - Contract]],$H138,CostTrack[[Holdback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38" s="504">
        <f ca="1">SUMIFS(CostTrack[[Value]:[Value]],CostTrack[[PA ID]:[PA ID]],$B138,CostTrack[[Vendor - Contract]:[Vendor - Contract]],$H138,CostTrack[[Holdback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38" s="504">
        <f ca="1">SUMIFS(CostTrack[[Value]:[Value]],CostTrack[[PA ID]:[PA ID]],$B138,CostTrack[[Vendor - Contract]:[Vendor - Contract]],$H138,CostTrack[[Holdback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38" s="504">
        <f ca="1">SUMIFS(CostTrack[[Value]:[Value]],CostTrack[[PA ID]:[PA ID]],$B138,CostTrack[[Vendor - Contract]:[Vendor - Contract]],$H138,CostTrack[[Holdback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38" s="504">
        <f ca="1">SUMIFS(CostTrack[[Value]:[Value]],CostTrack[[PA ID]:[PA ID]],$B138,CostTrack[[Vendor - Contract]:[Vendor - Contract]],$H138,CostTrack[[Holdback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38" s="504">
        <f ca="1">SUMIFS(CostTrack[[Value]:[Value]],CostTrack[[PA ID]:[PA ID]],$B138,CostTrack[[Vendor - Contract]:[Vendor - Contract]],$H138,CostTrack[[Holdback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38" s="504">
        <f ca="1">SUMIFS(CostTrack[[Value]:[Value]],CostTrack[[PA ID]:[PA ID]],$B138,CostTrack[[Vendor - Contract]:[Vendor - Contract]],$H138,CostTrack[[Holdback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38" s="504">
        <f ca="1">SUMIFS(CostTrack[[Value]:[Value]],CostTrack[[PA ID]:[PA ID]],$B138,CostTrack[[Vendor - Contract]:[Vendor - Contract]],$H138,CostTrack[[Holdback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38" s="512">
        <f t="shared" ca="1" si="255"/>
        <v>0</v>
      </c>
      <c r="CM138" s="504">
        <f ca="1">SUMIFS(CostTrack[[Value]:[Value]],CostTrack[[PA ID]:[PA ID]],$B138,CostTrack[[Vendor - Contract]:[Vendor - Contract]],$H138,CostTrack[[Holdback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38" s="504">
        <f ca="1">SUMIFS(CostTrack[[Value]:[Value]],CostTrack[[PA ID]:[PA ID]],$B138,CostTrack[[Vendor - Contract]:[Vendor - Contract]],$H138,CostTrack[[Holdback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38" s="504">
        <f ca="1">SUMIFS(CostTrack[[Value]:[Value]],CostTrack[[PA ID]:[PA ID]],$B138,CostTrack[[Vendor - Contract]:[Vendor - Contract]],$H138,CostTrack[[Holdback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38" s="504">
        <f ca="1">SUMIFS(CostTrack[[Value]:[Value]],CostTrack[[PA ID]:[PA ID]],$B138,CostTrack[[Vendor - Contract]:[Vendor - Contract]],$H138,CostTrack[[Holdback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38" s="504">
        <f ca="1">SUMIFS(CostTrack[[Value]:[Value]],CostTrack[[PA ID]:[PA ID]],$B138,CostTrack[[Vendor - Contract]:[Vendor - Contract]],$H138,CostTrack[[Holdback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38" s="504">
        <f ca="1">SUMIFS(CostTrack[[Value]:[Value]],CostTrack[[PA ID]:[PA ID]],$B138,CostTrack[[Vendor - Contract]:[Vendor - Contract]],$H138,CostTrack[[Holdback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38" s="504">
        <f ca="1">SUMIFS(CostTrack[[Value]:[Value]],CostTrack[[PA ID]:[PA ID]],$B138,CostTrack[[Vendor - Contract]:[Vendor - Contract]],$H138,CostTrack[[Holdback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38" s="504">
        <f ca="1">SUMIFS(CostTrack[[Value]:[Value]],CostTrack[[PA ID]:[PA ID]],$B138,CostTrack[[Vendor - Contract]:[Vendor - Contract]],$H138,CostTrack[[Holdback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38" s="504">
        <f ca="1">SUMIFS(CostTrack[[Value]:[Value]],CostTrack[[PA ID]:[PA ID]],$B138,CostTrack[[Vendor - Contract]:[Vendor - Contract]],$H138,CostTrack[[Holdback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38" s="504">
        <f ca="1">SUMIFS(CostTrack[[Value]:[Value]],CostTrack[[PA ID]:[PA ID]],$B138,CostTrack[[Vendor - Contract]:[Vendor - Contract]],$H138,CostTrack[[Holdback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38" s="504">
        <f ca="1">SUMIFS(CostTrack[[Value]:[Value]],CostTrack[[PA ID]:[PA ID]],$B138,CostTrack[[Vendor - Contract]:[Vendor - Contract]],$H138,CostTrack[[Holdback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38" s="504">
        <f ca="1">SUMIFS(CostTrack[[Value]:[Value]],CostTrack[[PA ID]:[PA ID]],$B138,CostTrack[[Vendor - Contract]:[Vendor - Contract]],$H138,CostTrack[[Holdback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38" s="512">
        <f t="shared" ca="1" si="256"/>
        <v>0</v>
      </c>
      <c r="DA138" s="504">
        <f ca="1">SUMIFS(CostTrack[[Value]:[Value]],CostTrack[[PA ID]:[PA ID]],$B138,CostTrack[[Vendor - Contract]:[Vendor - Contract]],$H138,CostTrack[[Holdback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38" s="504">
        <f ca="1">SUMIFS(CostTrack[[Value]:[Value]],CostTrack[[PA ID]:[PA ID]],$B138,CostTrack[[Vendor - Contract]:[Vendor - Contract]],$H138,CostTrack[[Holdback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38" s="504">
        <f ca="1">SUMIFS(CostTrack[[Value]:[Value]],CostTrack[[PA ID]:[PA ID]],$B138,CostTrack[[Vendor - Contract]:[Vendor - Contract]],$H138,CostTrack[[Holdback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38" s="504">
        <f ca="1">SUMIFS(CostTrack[[Value]:[Value]],CostTrack[[PA ID]:[PA ID]],$B138,CostTrack[[Vendor - Contract]:[Vendor - Contract]],$H138,CostTrack[[Holdback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38" s="504">
        <f ca="1">SUMIFS(CostTrack[[Value]:[Value]],CostTrack[[PA ID]:[PA ID]],$B138,CostTrack[[Vendor - Contract]:[Vendor - Contract]],$H138,CostTrack[[Holdback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38" s="504">
        <f ca="1">SUMIFS(CostTrack[[Value]:[Value]],CostTrack[[PA ID]:[PA ID]],$B138,CostTrack[[Vendor - Contract]:[Vendor - Contract]],$H138,CostTrack[[Holdback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38" s="504">
        <f ca="1">SUMIFS(CostTrack[[Value]:[Value]],CostTrack[[PA ID]:[PA ID]],$B138,CostTrack[[Vendor - Contract]:[Vendor - Contract]],$H138,CostTrack[[Holdback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38" s="504">
        <f ca="1">SUMIFS(CostTrack[[Value]:[Value]],CostTrack[[PA ID]:[PA ID]],$B138,CostTrack[[Vendor - Contract]:[Vendor - Contract]],$H138,CostTrack[[Holdback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38" s="504">
        <f ca="1">SUMIFS(CostTrack[[Value]:[Value]],CostTrack[[PA ID]:[PA ID]],$B138,CostTrack[[Vendor - Contract]:[Vendor - Contract]],$H138,CostTrack[[Holdback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38" s="504">
        <f ca="1">SUMIFS(CostTrack[[Value]:[Value]],CostTrack[[PA ID]:[PA ID]],$B138,CostTrack[[Vendor - Contract]:[Vendor - Contract]],$H138,CostTrack[[Holdback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38" s="504">
        <f ca="1">SUMIFS(CostTrack[[Value]:[Value]],CostTrack[[PA ID]:[PA ID]],$B138,CostTrack[[Vendor - Contract]:[Vendor - Contract]],$H138,CostTrack[[Holdback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38" s="504">
        <f ca="1">SUMIFS(CostTrack[[Value]:[Value]],CostTrack[[PA ID]:[PA ID]],$B138,CostTrack[[Vendor - Contract]:[Vendor - Contract]],$H138,CostTrack[[Holdback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38" s="512">
        <f t="shared" ca="1" si="257"/>
        <v>0</v>
      </c>
      <c r="DO138" s="504">
        <f ca="1">SUMIFS(CostTrack[[Value]:[Value]],CostTrack[[PA ID]:[PA ID]],$B138,CostTrack[[Vendor - Contract]:[Vendor - Contract]],$H138,CostTrack[[Holdback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38" s="504">
        <f ca="1">SUMIFS(CostTrack[[Value]:[Value]],CostTrack[[PA ID]:[PA ID]],$B138,CostTrack[[Vendor - Contract]:[Vendor - Contract]],$H138,CostTrack[[Holdback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38" s="504">
        <f ca="1">SUMIFS(CostTrack[[Value]:[Value]],CostTrack[[PA ID]:[PA ID]],$B138,CostTrack[[Vendor - Contract]:[Vendor - Contract]],$H138,CostTrack[[Holdback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38" s="504">
        <f ca="1">SUMIFS(CostTrack[[Value]:[Value]],CostTrack[[PA ID]:[PA ID]],$B138,CostTrack[[Vendor - Contract]:[Vendor - Contract]],$H138,CostTrack[[Holdback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38" s="504">
        <f ca="1">SUMIFS(CostTrack[[Value]:[Value]],CostTrack[[PA ID]:[PA ID]],$B138,CostTrack[[Vendor - Contract]:[Vendor - Contract]],$H138,CostTrack[[Holdback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38" s="504">
        <f ca="1">SUMIFS(CostTrack[[Value]:[Value]],CostTrack[[PA ID]:[PA ID]],$B138,CostTrack[[Vendor - Contract]:[Vendor - Contract]],$H138,CostTrack[[Holdback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38" s="504">
        <f ca="1">SUMIFS(CostTrack[[Value]:[Value]],CostTrack[[PA ID]:[PA ID]],$B138,CostTrack[[Vendor - Contract]:[Vendor - Contract]],$H138,CostTrack[[Holdback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38" s="504">
        <f ca="1">SUMIFS(CostTrack[[Value]:[Value]],CostTrack[[PA ID]:[PA ID]],$B138,CostTrack[[Vendor - Contract]:[Vendor - Contract]],$H138,CostTrack[[Holdback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38" s="504">
        <f ca="1">SUMIFS(CostTrack[[Value]:[Value]],CostTrack[[PA ID]:[PA ID]],$B138,CostTrack[[Vendor - Contract]:[Vendor - Contract]],$H138,CostTrack[[Holdback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38" s="504">
        <f ca="1">SUMIFS(CostTrack[[Value]:[Value]],CostTrack[[PA ID]:[PA ID]],$B138,CostTrack[[Vendor - Contract]:[Vendor - Contract]],$H138,CostTrack[[Holdback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38" s="504">
        <f ca="1">SUMIFS(CostTrack[[Value]:[Value]],CostTrack[[PA ID]:[PA ID]],$B138,CostTrack[[Vendor - Contract]:[Vendor - Contract]],$H138,CostTrack[[Holdback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38" s="504">
        <f ca="1">SUMIFS(CostTrack[[Value]:[Value]],CostTrack[[PA ID]:[PA ID]],$B138,CostTrack[[Vendor - Contract]:[Vendor - Contract]],$H138,CostTrack[[Holdback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38" s="512">
        <f t="shared" ca="1" si="270"/>
        <v>0</v>
      </c>
      <c r="EC138" s="504">
        <f ca="1">SUMIFS(CostTrack[[Value]:[Value]],CostTrack[[PA ID]:[PA ID]],$B138,CostTrack[[Vendor - Contract]:[Vendor - Contract]],$H138,CostTrack[[Holdback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38" s="505"/>
      <c r="EE138" s="505"/>
      <c r="EF138" s="505"/>
      <c r="EG138" s="505"/>
      <c r="EH138" s="505"/>
      <c r="EI138" s="505"/>
      <c r="EJ138" s="505"/>
      <c r="EK138" s="505"/>
      <c r="EL138" s="505"/>
      <c r="EM138" s="505"/>
      <c r="EN138" s="505"/>
      <c r="EO138" s="512">
        <f t="shared" ca="1" si="271"/>
        <v>0</v>
      </c>
      <c r="EQ138" s="505"/>
      <c r="ER138" s="505"/>
      <c r="ES138" s="505"/>
      <c r="ET138" s="505"/>
      <c r="EU138" s="505"/>
      <c r="EV138" s="505"/>
      <c r="EW138" s="505"/>
      <c r="EX138" s="505"/>
      <c r="EY138" s="505"/>
      <c r="EZ138" s="505"/>
      <c r="FA138" s="505"/>
      <c r="FB138" s="505"/>
      <c r="FC138" s="512">
        <f t="shared" si="272"/>
        <v>0</v>
      </c>
      <c r="FE138" s="505"/>
      <c r="FF138" s="505"/>
      <c r="FG138" s="505"/>
      <c r="FH138" s="505"/>
      <c r="FI138" s="505"/>
      <c r="FJ138" s="505"/>
      <c r="FK138" s="505"/>
      <c r="FL138" s="505"/>
      <c r="FM138" s="505"/>
      <c r="FN138" s="505"/>
      <c r="FO138" s="505"/>
      <c r="FP138" s="505"/>
      <c r="FQ138" s="512">
        <f t="shared" si="273"/>
        <v>0</v>
      </c>
      <c r="FS138" s="504">
        <f t="shared" ca="1" si="274"/>
        <v>0</v>
      </c>
    </row>
    <row r="139" spans="1:175">
      <c r="A139" s="216">
        <v>132</v>
      </c>
      <c r="B139" s="219">
        <f ca="1">INDEX(EAC[PA ID],MATCH($A139,EAC[Row],0))</f>
        <v>0</v>
      </c>
      <c r="C139" s="218" t="str">
        <f ca="1">INDEX(EAC[Primary Category],MATCH($A139,EAC[Row],0))</f>
        <v/>
      </c>
      <c r="D139" s="218" t="str">
        <f ca="1">INDEX(EAC[Secondary Category],MATCH($A139,EAC[Row],0))</f>
        <v/>
      </c>
      <c r="E139" s="109" t="str">
        <f ca="1">INDEX(EAC[Phase / Subproject],MATCH($A139,EAC[Row],0))</f>
        <v/>
      </c>
      <c r="F139" s="109" t="str">
        <f ca="1">INDEX(EAC[Phase / Subproject 2],MATCH($A139,EAC[Row],0))</f>
        <v/>
      </c>
      <c r="G139" s="109" t="str">
        <f ca="1">INDEX(EAC[Funding Source],MATCH($A139,EAC[Row],0))</f>
        <v/>
      </c>
      <c r="H139" s="146">
        <f ca="1">INDEX(EAC[Vendor / Org. with Contract ID],MATCH($A139,EAC[Row],0))</f>
        <v>0</v>
      </c>
      <c r="I139" s="502">
        <f ca="1">INDEX(EAC[Estimate At Completion],MATCH($A139,EAC[Row],0))</f>
        <v>0</v>
      </c>
      <c r="J139" s="502">
        <f ca="1">SUMIFS(CostTrack[Value],CostTrack[Vendor - Contract],$H139,CostTrack[PA ID],$B139,CostTrack[Holdback (Y/N/R)],"&lt;&gt;Release",CostTrack[Status],"Approved")</f>
        <v>0</v>
      </c>
      <c r="K139" s="503">
        <f t="shared" ca="1" si="283"/>
        <v>0</v>
      </c>
      <c r="M139" s="504">
        <f t="shared" ca="1" si="264"/>
        <v>0</v>
      </c>
      <c r="O139" s="504">
        <f t="shared" ca="1" si="275"/>
        <v>0</v>
      </c>
      <c r="P139" s="504">
        <f t="array" aca="1" ref="P139" ca="1">SUM($U139:$FQ139*_xlfn.ISFORMULA($U139:$FQ139)*ISNUMBER($U$7:$FQ$7)*--(INDEX($U$6:$FQ$6,N(IF({1},COLUMN($U$6:$FQ$6)-COLUMN($T$6)))-MOD(N(IF({1},COLUMN($U$6:$FQ$6)-COLUMN($U$6))),14))="Current Fiscal"))</f>
        <v>0</v>
      </c>
      <c r="Q139" s="504">
        <f t="array" aca="1" ref="Q139" ca="1">SUM($U139:$FQ139*NOT(_xlfn.ISFORMULA($U139:$FQ139))*ISNUMBER($U$7:$FQ$7)*--(INDEX($U$6:$FQ$6,N(IF({1},COLUMN($U$6:$FQ$6)-COLUMN($T$6)))-MOD(N(IF({1},COLUMN($U$6:$FQ$6)-COLUMN($U$6))),14))="Current Fiscal"))</f>
        <v>0</v>
      </c>
      <c r="R139" s="504">
        <f t="shared" ca="1" si="276"/>
        <v>0</v>
      </c>
      <c r="S139" s="504">
        <f t="shared" ca="1" si="277"/>
        <v>0</v>
      </c>
      <c r="U139" s="504">
        <f ca="1">SUMIFS(CostTrack[[Value]:[Value]],CostTrack[[PA ID]:[PA ID]],$B139,CostTrack[[Vendor - Contract]:[Vendor - Contract]],$H139,CostTrack[[Holdback (Y/N/R)]:[Holdback (Y/N/R)]],"&lt;&gt;Release",CostTrack[[Status]:[Status]],"Approved",CostTrack[[Release Date (CMS)]:[Release Date (CMS)]],IF(MONTH(U$7)=3,"&gt;0","&gt;="&amp;U$7),CostTrack[[Release Date (CMS)]:[Release Date (CMS)]],IF(MONTH(U$7)=3,"&gt;0","&lt;="&amp;EOMONTH(U$7,0)),CostTrack[[InMarch]:[InMarch]],IF(MONTH(U$7)=3,1,"&lt;&gt;1"),CostTrack[[Fiscal Period]:[Fiscal Period]],REPLACE(IF(MONTH(U$7)&gt;3,YEAR(U$7)&amp;"-"&amp;YEAR(U$7)+1,YEAR(U$7)-1&amp;"-"&amp;YEAR(U$7)),6,2,""))</f>
        <v>0</v>
      </c>
      <c r="V139" s="504">
        <f ca="1">SUMIFS(CostTrack[[Value]:[Value]],CostTrack[[PA ID]:[PA ID]],$B139,CostTrack[[Vendor - Contract]:[Vendor - Contract]],$H139,CostTrack[[Holdback (Y/N/R)]:[Holdback (Y/N/R)]],"&lt;&gt;Release",CostTrack[[Status]:[Status]],"Approved",CostTrack[[Release Date (CMS)]:[Release Date (CMS)]],IF(MONTH(V$7)=3,"&gt;0","&gt;="&amp;V$7),CostTrack[[Release Date (CMS)]:[Release Date (CMS)]],IF(MONTH(V$7)=3,"&gt;0","&lt;="&amp;EOMONTH(V$7,0)),CostTrack[[InMarch]:[InMarch]],IF(MONTH(V$7)=3,1,"&lt;&gt;1"),CostTrack[[Fiscal Period]:[Fiscal Period]],REPLACE(IF(MONTH(V$7)&gt;3,YEAR(V$7)&amp;"-"&amp;YEAR(V$7)+1,YEAR(V$7)-1&amp;"-"&amp;YEAR(V$7)),6,2,""))</f>
        <v>0</v>
      </c>
      <c r="W139" s="504">
        <f ca="1">SUMIFS(CostTrack[[Value]:[Value]],CostTrack[[PA ID]:[PA ID]],$B139,CostTrack[[Vendor - Contract]:[Vendor - Contract]],$H139,CostTrack[[Holdback (Y/N/R)]:[Holdback (Y/N/R)]],"&lt;&gt;Release",CostTrack[[Status]:[Status]],"Approved",CostTrack[[Release Date (CMS)]:[Release Date (CMS)]],IF(MONTH(W$7)=3,"&gt;0","&gt;="&amp;W$7),CostTrack[[Release Date (CMS)]:[Release Date (CMS)]],IF(MONTH(W$7)=3,"&gt;0","&lt;="&amp;EOMONTH(W$7,0)),CostTrack[[InMarch]:[InMarch]],IF(MONTH(W$7)=3,1,"&lt;&gt;1"),CostTrack[[Fiscal Period]:[Fiscal Period]],REPLACE(IF(MONTH(W$7)&gt;3,YEAR(W$7)&amp;"-"&amp;YEAR(W$7)+1,YEAR(W$7)-1&amp;"-"&amp;YEAR(W$7)),6,2,""))</f>
        <v>0</v>
      </c>
      <c r="X139" s="504">
        <f ca="1">SUMIFS(CostTrack[[Value]:[Value]],CostTrack[[PA ID]:[PA ID]],$B139,CostTrack[[Vendor - Contract]:[Vendor - Contract]],$H139,CostTrack[[Holdback (Y/N/R)]:[Holdback (Y/N/R)]],"&lt;&gt;Release",CostTrack[[Status]:[Status]],"Approved",CostTrack[[Release Date (CMS)]:[Release Date (CMS)]],IF(MONTH(X$7)=3,"&gt;0","&gt;="&amp;X$7),CostTrack[[Release Date (CMS)]:[Release Date (CMS)]],IF(MONTH(X$7)=3,"&gt;0","&lt;="&amp;EOMONTH(X$7,0)),CostTrack[[InMarch]:[InMarch]],IF(MONTH(X$7)=3,1,"&lt;&gt;1"),CostTrack[[Fiscal Period]:[Fiscal Period]],REPLACE(IF(MONTH(X$7)&gt;3,YEAR(X$7)&amp;"-"&amp;YEAR(X$7)+1,YEAR(X$7)-1&amp;"-"&amp;YEAR(X$7)),6,2,""))</f>
        <v>0</v>
      </c>
      <c r="Y139" s="504">
        <f ca="1">SUMIFS(CostTrack[[Value]:[Value]],CostTrack[[PA ID]:[PA ID]],$B139,CostTrack[[Vendor - Contract]:[Vendor - Contract]],$H139,CostTrack[[Holdback (Y/N/R)]:[Holdback (Y/N/R)]],"&lt;&gt;Release",CostTrack[[Status]:[Status]],"Approved",CostTrack[[Release Date (CMS)]:[Release Date (CMS)]],IF(MONTH(Y$7)=3,"&gt;0","&gt;="&amp;Y$7),CostTrack[[Release Date (CMS)]:[Release Date (CMS)]],IF(MONTH(Y$7)=3,"&gt;0","&lt;="&amp;EOMONTH(Y$7,0)),CostTrack[[InMarch]:[InMarch]],IF(MONTH(Y$7)=3,1,"&lt;&gt;1"),CostTrack[[Fiscal Period]:[Fiscal Period]],REPLACE(IF(MONTH(Y$7)&gt;3,YEAR(Y$7)&amp;"-"&amp;YEAR(Y$7)+1,YEAR(Y$7)-1&amp;"-"&amp;YEAR(Y$7)),6,2,""))</f>
        <v>0</v>
      </c>
      <c r="Z139" s="504">
        <f ca="1">SUMIFS(CostTrack[[Value]:[Value]],CostTrack[[PA ID]:[PA ID]],$B139,CostTrack[[Vendor - Contract]:[Vendor - Contract]],$H139,CostTrack[[Holdback (Y/N/R)]:[Holdback (Y/N/R)]],"&lt;&gt;Release",CostTrack[[Status]:[Status]],"Approved",CostTrack[[Release Date (CMS)]:[Release Date (CMS)]],IF(MONTH(Z$7)=3,"&gt;0","&gt;="&amp;Z$7),CostTrack[[Release Date (CMS)]:[Release Date (CMS)]],IF(MONTH(Z$7)=3,"&gt;0","&lt;="&amp;EOMONTH(Z$7,0)),CostTrack[[InMarch]:[InMarch]],IF(MONTH(Z$7)=3,1,"&lt;&gt;1"),CostTrack[[Fiscal Period]:[Fiscal Period]],REPLACE(IF(MONTH(Z$7)&gt;3,YEAR(Z$7)&amp;"-"&amp;YEAR(Z$7)+1,YEAR(Z$7)-1&amp;"-"&amp;YEAR(Z$7)),6,2,""))</f>
        <v>0</v>
      </c>
      <c r="AA139" s="504">
        <f ca="1">SUMIFS(CostTrack[[Value]:[Value]],CostTrack[[PA ID]:[PA ID]],$B139,CostTrack[[Vendor - Contract]:[Vendor - Contract]],$H139,CostTrack[[Holdback (Y/N/R)]:[Holdback (Y/N/R)]],"&lt;&gt;Release",CostTrack[[Status]:[Status]],"Approved",CostTrack[[Release Date (CMS)]:[Release Date (CMS)]],IF(MONTH(AA$7)=3,"&gt;0","&gt;="&amp;AA$7),CostTrack[[Release Date (CMS)]:[Release Date (CMS)]],IF(MONTH(AA$7)=3,"&gt;0","&lt;="&amp;EOMONTH(AA$7,0)),CostTrack[[InMarch]:[InMarch]],IF(MONTH(AA$7)=3,1,"&lt;&gt;1"),CostTrack[[Fiscal Period]:[Fiscal Period]],REPLACE(IF(MONTH(AA$7)&gt;3,YEAR(AA$7)&amp;"-"&amp;YEAR(AA$7)+1,YEAR(AA$7)-1&amp;"-"&amp;YEAR(AA$7)),6,2,""))</f>
        <v>0</v>
      </c>
      <c r="AB139" s="504">
        <f ca="1">SUMIFS(CostTrack[[Value]:[Value]],CostTrack[[PA ID]:[PA ID]],$B139,CostTrack[[Vendor - Contract]:[Vendor - Contract]],$H139,CostTrack[[Holdback (Y/N/R)]:[Holdback (Y/N/R)]],"&lt;&gt;Release",CostTrack[[Status]:[Status]],"Approved",CostTrack[[Release Date (CMS)]:[Release Date (CMS)]],IF(MONTH(AB$7)=3,"&gt;0","&gt;="&amp;AB$7),CostTrack[[Release Date (CMS)]:[Release Date (CMS)]],IF(MONTH(AB$7)=3,"&gt;0","&lt;="&amp;EOMONTH(AB$7,0)),CostTrack[[InMarch]:[InMarch]],IF(MONTH(AB$7)=3,1,"&lt;&gt;1"),CostTrack[[Fiscal Period]:[Fiscal Period]],REPLACE(IF(MONTH(AB$7)&gt;3,YEAR(AB$7)&amp;"-"&amp;YEAR(AB$7)+1,YEAR(AB$7)-1&amp;"-"&amp;YEAR(AB$7)),6,2,""))</f>
        <v>0</v>
      </c>
      <c r="AC139" s="504">
        <f ca="1">SUMIFS(CostTrack[[Value]:[Value]],CostTrack[[PA ID]:[PA ID]],$B139,CostTrack[[Vendor - Contract]:[Vendor - Contract]],$H139,CostTrack[[Holdback (Y/N/R)]:[Holdback (Y/N/R)]],"&lt;&gt;Release",CostTrack[[Status]:[Status]],"Approved",CostTrack[[Release Date (CMS)]:[Release Date (CMS)]],IF(MONTH(AC$7)=3,"&gt;0","&gt;="&amp;AC$7),CostTrack[[Release Date (CMS)]:[Release Date (CMS)]],IF(MONTH(AC$7)=3,"&gt;0","&lt;="&amp;EOMONTH(AC$7,0)),CostTrack[[InMarch]:[InMarch]],IF(MONTH(AC$7)=3,1,"&lt;&gt;1"),CostTrack[[Fiscal Period]:[Fiscal Period]],REPLACE(IF(MONTH(AC$7)&gt;3,YEAR(AC$7)&amp;"-"&amp;YEAR(AC$7)+1,YEAR(AC$7)-1&amp;"-"&amp;YEAR(AC$7)),6,2,""))</f>
        <v>0</v>
      </c>
      <c r="AD139" s="504">
        <f ca="1">SUMIFS(CostTrack[[Value]:[Value]],CostTrack[[PA ID]:[PA ID]],$B139,CostTrack[[Vendor - Contract]:[Vendor - Contract]],$H139,CostTrack[[Holdback (Y/N/R)]:[Holdback (Y/N/R)]],"&lt;&gt;Release",CostTrack[[Status]:[Status]],"Approved",CostTrack[[Release Date (CMS)]:[Release Date (CMS)]],IF(MONTH(AD$7)=3,"&gt;0","&gt;="&amp;AD$7),CostTrack[[Release Date (CMS)]:[Release Date (CMS)]],IF(MONTH(AD$7)=3,"&gt;0","&lt;="&amp;EOMONTH(AD$7,0)),CostTrack[[InMarch]:[InMarch]],IF(MONTH(AD$7)=3,1,"&lt;&gt;1"),CostTrack[[Fiscal Period]:[Fiscal Period]],REPLACE(IF(MONTH(AD$7)&gt;3,YEAR(AD$7)&amp;"-"&amp;YEAR(AD$7)+1,YEAR(AD$7)-1&amp;"-"&amp;YEAR(AD$7)),6,2,""))</f>
        <v>0</v>
      </c>
      <c r="AE139" s="504">
        <f ca="1">SUMIFS(CostTrack[[Value]:[Value]],CostTrack[[PA ID]:[PA ID]],$B139,CostTrack[[Vendor - Contract]:[Vendor - Contract]],$H139,CostTrack[[Holdback (Y/N/R)]:[Holdback (Y/N/R)]],"&lt;&gt;Release",CostTrack[[Status]:[Status]],"Approved",CostTrack[[Release Date (CMS)]:[Release Date (CMS)]],IF(MONTH(AE$7)=3,"&gt;0","&gt;="&amp;AE$7),CostTrack[[Release Date (CMS)]:[Release Date (CMS)]],IF(MONTH(AE$7)=3,"&gt;0","&lt;="&amp;EOMONTH(AE$7,0)),CostTrack[[InMarch]:[InMarch]],IF(MONTH(AE$7)=3,1,"&lt;&gt;1"),CostTrack[[Fiscal Period]:[Fiscal Period]],REPLACE(IF(MONTH(AE$7)&gt;3,YEAR(AE$7)&amp;"-"&amp;YEAR(AE$7)+1,YEAR(AE$7)-1&amp;"-"&amp;YEAR(AE$7)),6,2,""))</f>
        <v>0</v>
      </c>
      <c r="AF139" s="504">
        <f ca="1">SUMIFS(CostTrack[[Value]:[Value]],CostTrack[[PA ID]:[PA ID]],$B139,CostTrack[[Vendor - Contract]:[Vendor - Contract]],$H139,CostTrack[[Holdback (Y/N/R)]:[Holdback (Y/N/R)]],"&lt;&gt;Release",CostTrack[[Status]:[Status]],"Approved",CostTrack[[Release Date (CMS)]:[Release Date (CMS)]],IF(MONTH(AF$7)=3,"&gt;0","&gt;="&amp;AF$7),CostTrack[[Release Date (CMS)]:[Release Date (CMS)]],IF(MONTH(AF$7)=3,"&gt;0","&lt;="&amp;EOMONTH(AF$7,0)),CostTrack[[InMarch]:[InMarch]],IF(MONTH(AF$7)=3,1,"&lt;&gt;1"),CostTrack[[Fiscal Period]:[Fiscal Period]],REPLACE(IF(MONTH(AF$7)&gt;3,YEAR(AF$7)&amp;"-"&amp;YEAR(AF$7)+1,YEAR(AF$7)-1&amp;"-"&amp;YEAR(AF$7)),6,2,""))</f>
        <v>0</v>
      </c>
      <c r="AG139" s="506">
        <f t="shared" ca="1" si="235"/>
        <v>0</v>
      </c>
      <c r="AI139" s="504">
        <f ca="1">SUMIFS(CostTrack[[Value]:[Value]],CostTrack[[PA ID]:[PA ID]],$B139,CostTrack[[Vendor - Contract]:[Vendor - Contract]],$H139,CostTrack[[Holdback (Y/N/R)]:[Holdback (Y/N/R)]],"&lt;&gt;Release",CostTrack[[Status]:[Status]],"Approved",CostTrack[[Release Date (CMS)]:[Release Date (CMS)]],IF(MONTH(AI$7)=3,"&gt;0","&gt;="&amp;AI$7),CostTrack[[Release Date (CMS)]:[Release Date (CMS)]],IF(MONTH(AI$7)=3,"&gt;0","&lt;="&amp;EOMONTH(AI$7,0)),CostTrack[[InMarch]:[InMarch]],IF(MONTH(AI$7)=3,1,"&lt;&gt;1"),CostTrack[[Fiscal Period]:[Fiscal Period]],REPLACE(IF(MONTH(AI$7)&gt;3,YEAR(AI$7)&amp;"-"&amp;YEAR(AI$7)+1,YEAR(AI$7)-1&amp;"-"&amp;YEAR(AI$7)),6,2,""))</f>
        <v>0</v>
      </c>
      <c r="AJ139" s="504">
        <f ca="1">SUMIFS(CostTrack[[Value]:[Value]],CostTrack[[PA ID]:[PA ID]],$B139,CostTrack[[Vendor - Contract]:[Vendor - Contract]],$H139,CostTrack[[Holdback (Y/N/R)]:[Holdback (Y/N/R)]],"&lt;&gt;Release",CostTrack[[Status]:[Status]],"Approved",CostTrack[[Release Date (CMS)]:[Release Date (CMS)]],IF(MONTH(AJ$7)=3,"&gt;0","&gt;="&amp;AJ$7),CostTrack[[Release Date (CMS)]:[Release Date (CMS)]],IF(MONTH(AJ$7)=3,"&gt;0","&lt;="&amp;EOMONTH(AJ$7,0)),CostTrack[[InMarch]:[InMarch]],IF(MONTH(AJ$7)=3,1,"&lt;&gt;1"),CostTrack[[Fiscal Period]:[Fiscal Period]],REPLACE(IF(MONTH(AJ$7)&gt;3,YEAR(AJ$7)&amp;"-"&amp;YEAR(AJ$7)+1,YEAR(AJ$7)-1&amp;"-"&amp;YEAR(AJ$7)),6,2,""))</f>
        <v>0</v>
      </c>
      <c r="AK139" s="504">
        <f ca="1">SUMIFS(CostTrack[[Value]:[Value]],CostTrack[[PA ID]:[PA ID]],$B139,CostTrack[[Vendor - Contract]:[Vendor - Contract]],$H139,CostTrack[[Holdback (Y/N/R)]:[Holdback (Y/N/R)]],"&lt;&gt;Release",CostTrack[[Status]:[Status]],"Approved",CostTrack[[Release Date (CMS)]:[Release Date (CMS)]],IF(MONTH(AK$7)=3,"&gt;0","&gt;="&amp;AK$7),CostTrack[[Release Date (CMS)]:[Release Date (CMS)]],IF(MONTH(AK$7)=3,"&gt;0","&lt;="&amp;EOMONTH(AK$7,0)),CostTrack[[InMarch]:[InMarch]],IF(MONTH(AK$7)=3,1,"&lt;&gt;1"),CostTrack[[Fiscal Period]:[Fiscal Period]],REPLACE(IF(MONTH(AK$7)&gt;3,YEAR(AK$7)&amp;"-"&amp;YEAR(AK$7)+1,YEAR(AK$7)-1&amp;"-"&amp;YEAR(AK$7)),6,2,""))</f>
        <v>0</v>
      </c>
      <c r="AL139" s="504">
        <f ca="1">SUMIFS(CostTrack[[Value]:[Value]],CostTrack[[PA ID]:[PA ID]],$B139,CostTrack[[Vendor - Contract]:[Vendor - Contract]],$H139,CostTrack[[Holdback (Y/N/R)]:[Holdback (Y/N/R)]],"&lt;&gt;Release",CostTrack[[Status]:[Status]],"Approved",CostTrack[[Release Date (CMS)]:[Release Date (CMS)]],IF(MONTH(AL$7)=3,"&gt;0","&gt;="&amp;AL$7),CostTrack[[Release Date (CMS)]:[Release Date (CMS)]],IF(MONTH(AL$7)=3,"&gt;0","&lt;="&amp;EOMONTH(AL$7,0)),CostTrack[[InMarch]:[InMarch]],IF(MONTH(AL$7)=3,1,"&lt;&gt;1"),CostTrack[[Fiscal Period]:[Fiscal Period]],REPLACE(IF(MONTH(AL$7)&gt;3,YEAR(AL$7)&amp;"-"&amp;YEAR(AL$7)+1,YEAR(AL$7)-1&amp;"-"&amp;YEAR(AL$7)),6,2,""))</f>
        <v>0</v>
      </c>
      <c r="AM139" s="504">
        <f ca="1">SUMIFS(CostTrack[[Value]:[Value]],CostTrack[[PA ID]:[PA ID]],$B139,CostTrack[[Vendor - Contract]:[Vendor - Contract]],$H139,CostTrack[[Holdback (Y/N/R)]:[Holdback (Y/N/R)]],"&lt;&gt;Release",CostTrack[[Status]:[Status]],"Approved",CostTrack[[Release Date (CMS)]:[Release Date (CMS)]],IF(MONTH(AM$7)=3,"&gt;0","&gt;="&amp;AM$7),CostTrack[[Release Date (CMS)]:[Release Date (CMS)]],IF(MONTH(AM$7)=3,"&gt;0","&lt;="&amp;EOMONTH(AM$7,0)),CostTrack[[InMarch]:[InMarch]],IF(MONTH(AM$7)=3,1,"&lt;&gt;1"),CostTrack[[Fiscal Period]:[Fiscal Period]],REPLACE(IF(MONTH(AM$7)&gt;3,YEAR(AM$7)&amp;"-"&amp;YEAR(AM$7)+1,YEAR(AM$7)-1&amp;"-"&amp;YEAR(AM$7)),6,2,""))</f>
        <v>0</v>
      </c>
      <c r="AN139" s="504">
        <f ca="1">SUMIFS(CostTrack[[Value]:[Value]],CostTrack[[PA ID]:[PA ID]],$B139,CostTrack[[Vendor - Contract]:[Vendor - Contract]],$H139,CostTrack[[Holdback (Y/N/R)]:[Holdback (Y/N/R)]],"&lt;&gt;Release",CostTrack[[Status]:[Status]],"Approved",CostTrack[[Release Date (CMS)]:[Release Date (CMS)]],IF(MONTH(AN$7)=3,"&gt;0","&gt;="&amp;AN$7),CostTrack[[Release Date (CMS)]:[Release Date (CMS)]],IF(MONTH(AN$7)=3,"&gt;0","&lt;="&amp;EOMONTH(AN$7,0)),CostTrack[[InMarch]:[InMarch]],IF(MONTH(AN$7)=3,1,"&lt;&gt;1"),CostTrack[[Fiscal Period]:[Fiscal Period]],REPLACE(IF(MONTH(AN$7)&gt;3,YEAR(AN$7)&amp;"-"&amp;YEAR(AN$7)+1,YEAR(AN$7)-1&amp;"-"&amp;YEAR(AN$7)),6,2,""))</f>
        <v>0</v>
      </c>
      <c r="AO139" s="504">
        <f ca="1">SUMIFS(CostTrack[[Value]:[Value]],CostTrack[[PA ID]:[PA ID]],$B139,CostTrack[[Vendor - Contract]:[Vendor - Contract]],$H139,CostTrack[[Holdback (Y/N/R)]:[Holdback (Y/N/R)]],"&lt;&gt;Release",CostTrack[[Status]:[Status]],"Approved",CostTrack[[Release Date (CMS)]:[Release Date (CMS)]],IF(MONTH(AO$7)=3,"&gt;0","&gt;="&amp;AO$7),CostTrack[[Release Date (CMS)]:[Release Date (CMS)]],IF(MONTH(AO$7)=3,"&gt;0","&lt;="&amp;EOMONTH(AO$7,0)),CostTrack[[InMarch]:[InMarch]],IF(MONTH(AO$7)=3,1,"&lt;&gt;1"),CostTrack[[Fiscal Period]:[Fiscal Period]],REPLACE(IF(MONTH(AO$7)&gt;3,YEAR(AO$7)&amp;"-"&amp;YEAR(AO$7)+1,YEAR(AO$7)-1&amp;"-"&amp;YEAR(AO$7)),6,2,""))</f>
        <v>0</v>
      </c>
      <c r="AP139" s="504">
        <f ca="1">SUMIFS(CostTrack[[Value]:[Value]],CostTrack[[PA ID]:[PA ID]],$B139,CostTrack[[Vendor - Contract]:[Vendor - Contract]],$H139,CostTrack[[Holdback (Y/N/R)]:[Holdback (Y/N/R)]],"&lt;&gt;Release",CostTrack[[Status]:[Status]],"Approved",CostTrack[[Release Date (CMS)]:[Release Date (CMS)]],IF(MONTH(AP$7)=3,"&gt;0","&gt;="&amp;AP$7),CostTrack[[Release Date (CMS)]:[Release Date (CMS)]],IF(MONTH(AP$7)=3,"&gt;0","&lt;="&amp;EOMONTH(AP$7,0)),CostTrack[[InMarch]:[InMarch]],IF(MONTH(AP$7)=3,1,"&lt;&gt;1"),CostTrack[[Fiscal Period]:[Fiscal Period]],REPLACE(IF(MONTH(AP$7)&gt;3,YEAR(AP$7)&amp;"-"&amp;YEAR(AP$7)+1,YEAR(AP$7)-1&amp;"-"&amp;YEAR(AP$7)),6,2,""))</f>
        <v>0</v>
      </c>
      <c r="AQ139" s="504">
        <f ca="1">SUMIFS(CostTrack[[Value]:[Value]],CostTrack[[PA ID]:[PA ID]],$B139,CostTrack[[Vendor - Contract]:[Vendor - Contract]],$H139,CostTrack[[Holdback (Y/N/R)]:[Holdback (Y/N/R)]],"&lt;&gt;Release",CostTrack[[Status]:[Status]],"Approved",CostTrack[[Release Date (CMS)]:[Release Date (CMS)]],IF(MONTH(AQ$7)=3,"&gt;0","&gt;="&amp;AQ$7),CostTrack[[Release Date (CMS)]:[Release Date (CMS)]],IF(MONTH(AQ$7)=3,"&gt;0","&lt;="&amp;EOMONTH(AQ$7,0)),CostTrack[[InMarch]:[InMarch]],IF(MONTH(AQ$7)=3,1,"&lt;&gt;1"),CostTrack[[Fiscal Period]:[Fiscal Period]],REPLACE(IF(MONTH(AQ$7)&gt;3,YEAR(AQ$7)&amp;"-"&amp;YEAR(AQ$7)+1,YEAR(AQ$7)-1&amp;"-"&amp;YEAR(AQ$7)),6,2,""))</f>
        <v>0</v>
      </c>
      <c r="AR139" s="504">
        <f ca="1">SUMIFS(CostTrack[[Value]:[Value]],CostTrack[[PA ID]:[PA ID]],$B139,CostTrack[[Vendor - Contract]:[Vendor - Contract]],$H139,CostTrack[[Holdback (Y/N/R)]:[Holdback (Y/N/R)]],"&lt;&gt;Release",CostTrack[[Status]:[Status]],"Approved",CostTrack[[Release Date (CMS)]:[Release Date (CMS)]],IF(MONTH(AR$7)=3,"&gt;0","&gt;="&amp;AR$7),CostTrack[[Release Date (CMS)]:[Release Date (CMS)]],IF(MONTH(AR$7)=3,"&gt;0","&lt;="&amp;EOMONTH(AR$7,0)),CostTrack[[InMarch]:[InMarch]],IF(MONTH(AR$7)=3,1,"&lt;&gt;1"),CostTrack[[Fiscal Period]:[Fiscal Period]],REPLACE(IF(MONTH(AR$7)&gt;3,YEAR(AR$7)&amp;"-"&amp;YEAR(AR$7)+1,YEAR(AR$7)-1&amp;"-"&amp;YEAR(AR$7)),6,2,""))</f>
        <v>0</v>
      </c>
      <c r="AS139" s="504">
        <f ca="1">SUMIFS(CostTrack[[Value]:[Value]],CostTrack[[PA ID]:[PA ID]],$B139,CostTrack[[Vendor - Contract]:[Vendor - Contract]],$H139,CostTrack[[Holdback (Y/N/R)]:[Holdback (Y/N/R)]],"&lt;&gt;Release",CostTrack[[Status]:[Status]],"Approved",CostTrack[[Release Date (CMS)]:[Release Date (CMS)]],IF(MONTH(AS$7)=3,"&gt;0","&gt;="&amp;AS$7),CostTrack[[Release Date (CMS)]:[Release Date (CMS)]],IF(MONTH(AS$7)=3,"&gt;0","&lt;="&amp;EOMONTH(AS$7,0)),CostTrack[[InMarch]:[InMarch]],IF(MONTH(AS$7)=3,1,"&lt;&gt;1"),CostTrack[[Fiscal Period]:[Fiscal Period]],REPLACE(IF(MONTH(AS$7)&gt;3,YEAR(AS$7)&amp;"-"&amp;YEAR(AS$7)+1,YEAR(AS$7)-1&amp;"-"&amp;YEAR(AS$7)),6,2,""))</f>
        <v>0</v>
      </c>
      <c r="AT139" s="504">
        <f ca="1">SUMIFS(CostTrack[[Value]:[Value]],CostTrack[[PA ID]:[PA ID]],$B139,CostTrack[[Vendor - Contract]:[Vendor - Contract]],$H139,CostTrack[[Holdback (Y/N/R)]:[Holdback (Y/N/R)]],"&lt;&gt;Release",CostTrack[[Status]:[Status]],"Approved",CostTrack[[Release Date (CMS)]:[Release Date (CMS)]],IF(MONTH(AT$7)=3,"&gt;0","&gt;="&amp;AT$7),CostTrack[[Release Date (CMS)]:[Release Date (CMS)]],IF(MONTH(AT$7)=3,"&gt;0","&lt;="&amp;EOMONTH(AT$7,0)),CostTrack[[InMarch]:[InMarch]],IF(MONTH(AT$7)=3,1,"&lt;&gt;1"),CostTrack[[Fiscal Period]:[Fiscal Period]],REPLACE(IF(MONTH(AT$7)&gt;3,YEAR(AT$7)&amp;"-"&amp;YEAR(AT$7)+1,YEAR(AT$7)-1&amp;"-"&amp;YEAR(AT$7)),6,2,""))</f>
        <v>0</v>
      </c>
      <c r="AU139" s="512">
        <f t="shared" ca="1" si="252"/>
        <v>0</v>
      </c>
      <c r="AW139" s="504">
        <f ca="1">SUMIFS(CostTrack[[Value]:[Value]],CostTrack[[PA ID]:[PA ID]],$B139,CostTrack[[Vendor - Contract]:[Vendor - Contract]],$H139,CostTrack[[Holdback (Y/N/R)]:[Holdback (Y/N/R)]],"&lt;&gt;Release",CostTrack[[Status]:[Status]],"Approved",CostTrack[[Release Date (CMS)]:[Release Date (CMS)]],IF(MONTH(AW$7)=3,"&gt;0","&gt;="&amp;AW$7),CostTrack[[Release Date (CMS)]:[Release Date (CMS)]],IF(MONTH(AW$7)=3,"&gt;0","&lt;="&amp;EOMONTH(AW$7,0)),CostTrack[[InMarch]:[InMarch]],IF(MONTH(AW$7)=3,1,"&lt;&gt;1"),CostTrack[[Fiscal Period]:[Fiscal Period]],REPLACE(IF(MONTH(AW$7)&gt;3,YEAR(AW$7)&amp;"-"&amp;YEAR(AW$7)+1,YEAR(AW$7)-1&amp;"-"&amp;YEAR(AW$7)),6,2,""))</f>
        <v>0</v>
      </c>
      <c r="AX139" s="504">
        <f ca="1">SUMIFS(CostTrack[[Value]:[Value]],CostTrack[[PA ID]:[PA ID]],$B139,CostTrack[[Vendor - Contract]:[Vendor - Contract]],$H139,CostTrack[[Holdback (Y/N/R)]:[Holdback (Y/N/R)]],"&lt;&gt;Release",CostTrack[[Status]:[Status]],"Approved",CostTrack[[Release Date (CMS)]:[Release Date (CMS)]],IF(MONTH(AX$7)=3,"&gt;0","&gt;="&amp;AX$7),CostTrack[[Release Date (CMS)]:[Release Date (CMS)]],IF(MONTH(AX$7)=3,"&gt;0","&lt;="&amp;EOMONTH(AX$7,0)),CostTrack[[InMarch]:[InMarch]],IF(MONTH(AX$7)=3,1,"&lt;&gt;1"),CostTrack[[Fiscal Period]:[Fiscal Period]],REPLACE(IF(MONTH(AX$7)&gt;3,YEAR(AX$7)&amp;"-"&amp;YEAR(AX$7)+1,YEAR(AX$7)-1&amp;"-"&amp;YEAR(AX$7)),6,2,""))</f>
        <v>0</v>
      </c>
      <c r="AY139" s="504">
        <f ca="1">SUMIFS(CostTrack[[Value]:[Value]],CostTrack[[PA ID]:[PA ID]],$B139,CostTrack[[Vendor - Contract]:[Vendor - Contract]],$H139,CostTrack[[Holdback (Y/N/R)]:[Holdback (Y/N/R)]],"&lt;&gt;Release",CostTrack[[Status]:[Status]],"Approved",CostTrack[[Release Date (CMS)]:[Release Date (CMS)]],IF(MONTH(AY$7)=3,"&gt;0","&gt;="&amp;AY$7),CostTrack[[Release Date (CMS)]:[Release Date (CMS)]],IF(MONTH(AY$7)=3,"&gt;0","&lt;="&amp;EOMONTH(AY$7,0)),CostTrack[[InMarch]:[InMarch]],IF(MONTH(AY$7)=3,1,"&lt;&gt;1"),CostTrack[[Fiscal Period]:[Fiscal Period]],REPLACE(IF(MONTH(AY$7)&gt;3,YEAR(AY$7)&amp;"-"&amp;YEAR(AY$7)+1,YEAR(AY$7)-1&amp;"-"&amp;YEAR(AY$7)),6,2,""))</f>
        <v>0</v>
      </c>
      <c r="AZ139" s="504">
        <f ca="1">SUMIFS(CostTrack[[Value]:[Value]],CostTrack[[PA ID]:[PA ID]],$B139,CostTrack[[Vendor - Contract]:[Vendor - Contract]],$H139,CostTrack[[Holdback (Y/N/R)]:[Holdback (Y/N/R)]],"&lt;&gt;Release",CostTrack[[Status]:[Status]],"Approved",CostTrack[[Release Date (CMS)]:[Release Date (CMS)]],IF(MONTH(AZ$7)=3,"&gt;0","&gt;="&amp;AZ$7),CostTrack[[Release Date (CMS)]:[Release Date (CMS)]],IF(MONTH(AZ$7)=3,"&gt;0","&lt;="&amp;EOMONTH(AZ$7,0)),CostTrack[[InMarch]:[InMarch]],IF(MONTH(AZ$7)=3,1,"&lt;&gt;1"),CostTrack[[Fiscal Period]:[Fiscal Period]],REPLACE(IF(MONTH(AZ$7)&gt;3,YEAR(AZ$7)&amp;"-"&amp;YEAR(AZ$7)+1,YEAR(AZ$7)-1&amp;"-"&amp;YEAR(AZ$7)),6,2,""))</f>
        <v>0</v>
      </c>
      <c r="BA139" s="504">
        <f ca="1">SUMIFS(CostTrack[[Value]:[Value]],CostTrack[[PA ID]:[PA ID]],$B139,CostTrack[[Vendor - Contract]:[Vendor - Contract]],$H139,CostTrack[[Holdback (Y/N/R)]:[Holdback (Y/N/R)]],"&lt;&gt;Release",CostTrack[[Status]:[Status]],"Approved",CostTrack[[Release Date (CMS)]:[Release Date (CMS)]],IF(MONTH(BA$7)=3,"&gt;0","&gt;="&amp;BA$7),CostTrack[[Release Date (CMS)]:[Release Date (CMS)]],IF(MONTH(BA$7)=3,"&gt;0","&lt;="&amp;EOMONTH(BA$7,0)),CostTrack[[InMarch]:[InMarch]],IF(MONTH(BA$7)=3,1,"&lt;&gt;1"),CostTrack[[Fiscal Period]:[Fiscal Period]],REPLACE(IF(MONTH(BA$7)&gt;3,YEAR(BA$7)&amp;"-"&amp;YEAR(BA$7)+1,YEAR(BA$7)-1&amp;"-"&amp;YEAR(BA$7)),6,2,""))</f>
        <v>0</v>
      </c>
      <c r="BB139" s="504">
        <f ca="1">SUMIFS(CostTrack[[Value]:[Value]],CostTrack[[PA ID]:[PA ID]],$B139,CostTrack[[Vendor - Contract]:[Vendor - Contract]],$H139,CostTrack[[Holdback (Y/N/R)]:[Holdback (Y/N/R)]],"&lt;&gt;Release",CostTrack[[Status]:[Status]],"Approved",CostTrack[[Release Date (CMS)]:[Release Date (CMS)]],IF(MONTH(BB$7)=3,"&gt;0","&gt;="&amp;BB$7),CostTrack[[Release Date (CMS)]:[Release Date (CMS)]],IF(MONTH(BB$7)=3,"&gt;0","&lt;="&amp;EOMONTH(BB$7,0)),CostTrack[[InMarch]:[InMarch]],IF(MONTH(BB$7)=3,1,"&lt;&gt;1"),CostTrack[[Fiscal Period]:[Fiscal Period]],REPLACE(IF(MONTH(BB$7)&gt;3,YEAR(BB$7)&amp;"-"&amp;YEAR(BB$7)+1,YEAR(BB$7)-1&amp;"-"&amp;YEAR(BB$7)),6,2,""))</f>
        <v>0</v>
      </c>
      <c r="BC139" s="504">
        <f ca="1">SUMIFS(CostTrack[[Value]:[Value]],CostTrack[[PA ID]:[PA ID]],$B139,CostTrack[[Vendor - Contract]:[Vendor - Contract]],$H139,CostTrack[[Holdback (Y/N/R)]:[Holdback (Y/N/R)]],"&lt;&gt;Release",CostTrack[[Status]:[Status]],"Approved",CostTrack[[Release Date (CMS)]:[Release Date (CMS)]],IF(MONTH(BC$7)=3,"&gt;0","&gt;="&amp;BC$7),CostTrack[[Release Date (CMS)]:[Release Date (CMS)]],IF(MONTH(BC$7)=3,"&gt;0","&lt;="&amp;EOMONTH(BC$7,0)),CostTrack[[InMarch]:[InMarch]],IF(MONTH(BC$7)=3,1,"&lt;&gt;1"),CostTrack[[Fiscal Period]:[Fiscal Period]],REPLACE(IF(MONTH(BC$7)&gt;3,YEAR(BC$7)&amp;"-"&amp;YEAR(BC$7)+1,YEAR(BC$7)-1&amp;"-"&amp;YEAR(BC$7)),6,2,""))</f>
        <v>0</v>
      </c>
      <c r="BD139" s="504">
        <f ca="1">SUMIFS(CostTrack[[Value]:[Value]],CostTrack[[PA ID]:[PA ID]],$B139,CostTrack[[Vendor - Contract]:[Vendor - Contract]],$H139,CostTrack[[Holdback (Y/N/R)]:[Holdback (Y/N/R)]],"&lt;&gt;Release",CostTrack[[Status]:[Status]],"Approved",CostTrack[[Release Date (CMS)]:[Release Date (CMS)]],IF(MONTH(BD$7)=3,"&gt;0","&gt;="&amp;BD$7),CostTrack[[Release Date (CMS)]:[Release Date (CMS)]],IF(MONTH(BD$7)=3,"&gt;0","&lt;="&amp;EOMONTH(BD$7,0)),CostTrack[[InMarch]:[InMarch]],IF(MONTH(BD$7)=3,1,"&lt;&gt;1"),CostTrack[[Fiscal Period]:[Fiscal Period]],REPLACE(IF(MONTH(BD$7)&gt;3,YEAR(BD$7)&amp;"-"&amp;YEAR(BD$7)+1,YEAR(BD$7)-1&amp;"-"&amp;YEAR(BD$7)),6,2,""))</f>
        <v>0</v>
      </c>
      <c r="BE139" s="504">
        <f ca="1">SUMIFS(CostTrack[[Value]:[Value]],CostTrack[[PA ID]:[PA ID]],$B139,CostTrack[[Vendor - Contract]:[Vendor - Contract]],$H139,CostTrack[[Holdback (Y/N/R)]:[Holdback (Y/N/R)]],"&lt;&gt;Release",CostTrack[[Status]:[Status]],"Approved",CostTrack[[Release Date (CMS)]:[Release Date (CMS)]],IF(MONTH(BE$7)=3,"&gt;0","&gt;="&amp;BE$7),CostTrack[[Release Date (CMS)]:[Release Date (CMS)]],IF(MONTH(BE$7)=3,"&gt;0","&lt;="&amp;EOMONTH(BE$7,0)),CostTrack[[InMarch]:[InMarch]],IF(MONTH(BE$7)=3,1,"&lt;&gt;1"),CostTrack[[Fiscal Period]:[Fiscal Period]],REPLACE(IF(MONTH(BE$7)&gt;3,YEAR(BE$7)&amp;"-"&amp;YEAR(BE$7)+1,YEAR(BE$7)-1&amp;"-"&amp;YEAR(BE$7)),6,2,""))</f>
        <v>0</v>
      </c>
      <c r="BF139" s="504">
        <f ca="1">SUMIFS(CostTrack[[Value]:[Value]],CostTrack[[PA ID]:[PA ID]],$B139,CostTrack[[Vendor - Contract]:[Vendor - Contract]],$H139,CostTrack[[Holdback (Y/N/R)]:[Holdback (Y/N/R)]],"&lt;&gt;Release",CostTrack[[Status]:[Status]],"Approved",CostTrack[[Release Date (CMS)]:[Release Date (CMS)]],IF(MONTH(BF$7)=3,"&gt;0","&gt;="&amp;BF$7),CostTrack[[Release Date (CMS)]:[Release Date (CMS)]],IF(MONTH(BF$7)=3,"&gt;0","&lt;="&amp;EOMONTH(BF$7,0)),CostTrack[[InMarch]:[InMarch]],IF(MONTH(BF$7)=3,1,"&lt;&gt;1"),CostTrack[[Fiscal Period]:[Fiscal Period]],REPLACE(IF(MONTH(BF$7)&gt;3,YEAR(BF$7)&amp;"-"&amp;YEAR(BF$7)+1,YEAR(BF$7)-1&amp;"-"&amp;YEAR(BF$7)),6,2,""))</f>
        <v>0</v>
      </c>
      <c r="BG139" s="504">
        <f ca="1">SUMIFS(CostTrack[[Value]:[Value]],CostTrack[[PA ID]:[PA ID]],$B139,CostTrack[[Vendor - Contract]:[Vendor - Contract]],$H139,CostTrack[[Holdback (Y/N/R)]:[Holdback (Y/N/R)]],"&lt;&gt;Release",CostTrack[[Status]:[Status]],"Approved",CostTrack[[Release Date (CMS)]:[Release Date (CMS)]],IF(MONTH(BG$7)=3,"&gt;0","&gt;="&amp;BG$7),CostTrack[[Release Date (CMS)]:[Release Date (CMS)]],IF(MONTH(BG$7)=3,"&gt;0","&lt;="&amp;EOMONTH(BG$7,0)),CostTrack[[InMarch]:[InMarch]],IF(MONTH(BG$7)=3,1,"&lt;&gt;1"),CostTrack[[Fiscal Period]:[Fiscal Period]],REPLACE(IF(MONTH(BG$7)&gt;3,YEAR(BG$7)&amp;"-"&amp;YEAR(BG$7)+1,YEAR(BG$7)-1&amp;"-"&amp;YEAR(BG$7)),6,2,""))</f>
        <v>0</v>
      </c>
      <c r="BH139" s="504">
        <f ca="1">SUMIFS(CostTrack[[Value]:[Value]],CostTrack[[PA ID]:[PA ID]],$B139,CostTrack[[Vendor - Contract]:[Vendor - Contract]],$H139,CostTrack[[Holdback (Y/N/R)]:[Holdback (Y/N/R)]],"&lt;&gt;Release",CostTrack[[Status]:[Status]],"Approved",CostTrack[[Release Date (CMS)]:[Release Date (CMS)]],IF(MONTH(BH$7)=3,"&gt;0","&gt;="&amp;BH$7),CostTrack[[Release Date (CMS)]:[Release Date (CMS)]],IF(MONTH(BH$7)=3,"&gt;0","&lt;="&amp;EOMONTH(BH$7,0)),CostTrack[[InMarch]:[InMarch]],IF(MONTH(BH$7)=3,1,"&lt;&gt;1"),CostTrack[[Fiscal Period]:[Fiscal Period]],REPLACE(IF(MONTH(BH$7)&gt;3,YEAR(BH$7)&amp;"-"&amp;YEAR(BH$7)+1,YEAR(BH$7)-1&amp;"-"&amp;YEAR(BH$7)),6,2,""))</f>
        <v>0</v>
      </c>
      <c r="BI139" s="512">
        <f t="shared" ca="1" si="268"/>
        <v>0</v>
      </c>
      <c r="BK139" s="504">
        <f ca="1">SUMIFS(CostTrack[[Value]:[Value]],CostTrack[[PA ID]:[PA ID]],$B139,CostTrack[[Vendor - Contract]:[Vendor - Contract]],$H139,CostTrack[[Holdback (Y/N/R)]:[Holdback (Y/N/R)]],"&lt;&gt;Release",CostTrack[[Status]:[Status]],"Approved",CostTrack[[Release Date (CMS)]:[Release Date (CMS)]],IF(MONTH(BK$7)=3,"&gt;0","&gt;="&amp;BK$7),CostTrack[[Release Date (CMS)]:[Release Date (CMS)]],IF(MONTH(BK$7)=3,"&gt;0","&lt;="&amp;EOMONTH(BK$7,0)),CostTrack[[InMarch]:[InMarch]],IF(MONTH(BK$7)=3,1,"&lt;&gt;1"),CostTrack[[Fiscal Period]:[Fiscal Period]],REPLACE(IF(MONTH(BK$7)&gt;3,YEAR(BK$7)&amp;"-"&amp;YEAR(BK$7)+1,YEAR(BK$7)-1&amp;"-"&amp;YEAR(BK$7)),6,2,""))</f>
        <v>0</v>
      </c>
      <c r="BL139" s="504">
        <f ca="1">SUMIFS(CostTrack[[Value]:[Value]],CostTrack[[PA ID]:[PA ID]],$B139,CostTrack[[Vendor - Contract]:[Vendor - Contract]],$H139,CostTrack[[Holdback (Y/N/R)]:[Holdback (Y/N/R)]],"&lt;&gt;Release",CostTrack[[Status]:[Status]],"Approved",CostTrack[[Release Date (CMS)]:[Release Date (CMS)]],IF(MONTH(BL$7)=3,"&gt;0","&gt;="&amp;BL$7),CostTrack[[Release Date (CMS)]:[Release Date (CMS)]],IF(MONTH(BL$7)=3,"&gt;0","&lt;="&amp;EOMONTH(BL$7,0)),CostTrack[[InMarch]:[InMarch]],IF(MONTH(BL$7)=3,1,"&lt;&gt;1"),CostTrack[[Fiscal Period]:[Fiscal Period]],REPLACE(IF(MONTH(BL$7)&gt;3,YEAR(BL$7)&amp;"-"&amp;YEAR(BL$7)+1,YEAR(BL$7)-1&amp;"-"&amp;YEAR(BL$7)),6,2,""))</f>
        <v>0</v>
      </c>
      <c r="BM139" s="504">
        <f ca="1">SUMIFS(CostTrack[[Value]:[Value]],CostTrack[[PA ID]:[PA ID]],$B139,CostTrack[[Vendor - Contract]:[Vendor - Contract]],$H139,CostTrack[[Holdback (Y/N/R)]:[Holdback (Y/N/R)]],"&lt;&gt;Release",CostTrack[[Status]:[Status]],"Approved",CostTrack[[Release Date (CMS)]:[Release Date (CMS)]],IF(MONTH(BM$7)=3,"&gt;0","&gt;="&amp;BM$7),CostTrack[[Release Date (CMS)]:[Release Date (CMS)]],IF(MONTH(BM$7)=3,"&gt;0","&lt;="&amp;EOMONTH(BM$7,0)),CostTrack[[InMarch]:[InMarch]],IF(MONTH(BM$7)=3,1,"&lt;&gt;1"),CostTrack[[Fiscal Period]:[Fiscal Period]],REPLACE(IF(MONTH(BM$7)&gt;3,YEAR(BM$7)&amp;"-"&amp;YEAR(BM$7)+1,YEAR(BM$7)-1&amp;"-"&amp;YEAR(BM$7)),6,2,""))</f>
        <v>0</v>
      </c>
      <c r="BN139" s="504">
        <f ca="1">SUMIFS(CostTrack[[Value]:[Value]],CostTrack[[PA ID]:[PA ID]],$B139,CostTrack[[Vendor - Contract]:[Vendor - Contract]],$H139,CostTrack[[Holdback (Y/N/R)]:[Holdback (Y/N/R)]],"&lt;&gt;Release",CostTrack[[Status]:[Status]],"Approved",CostTrack[[Release Date (CMS)]:[Release Date (CMS)]],IF(MONTH(BN$7)=3,"&gt;0","&gt;="&amp;BN$7),CostTrack[[Release Date (CMS)]:[Release Date (CMS)]],IF(MONTH(BN$7)=3,"&gt;0","&lt;="&amp;EOMONTH(BN$7,0)),CostTrack[[InMarch]:[InMarch]],IF(MONTH(BN$7)=3,1,"&lt;&gt;1"),CostTrack[[Fiscal Period]:[Fiscal Period]],REPLACE(IF(MONTH(BN$7)&gt;3,YEAR(BN$7)&amp;"-"&amp;YEAR(BN$7)+1,YEAR(BN$7)-1&amp;"-"&amp;YEAR(BN$7)),6,2,""))</f>
        <v>0</v>
      </c>
      <c r="BO139" s="504">
        <f ca="1">SUMIFS(CostTrack[[Value]:[Value]],CostTrack[[PA ID]:[PA ID]],$B139,CostTrack[[Vendor - Contract]:[Vendor - Contract]],$H139,CostTrack[[Holdback (Y/N/R)]:[Holdback (Y/N/R)]],"&lt;&gt;Release",CostTrack[[Status]:[Status]],"Approved",CostTrack[[Release Date (CMS)]:[Release Date (CMS)]],IF(MONTH(BO$7)=3,"&gt;0","&gt;="&amp;BO$7),CostTrack[[Release Date (CMS)]:[Release Date (CMS)]],IF(MONTH(BO$7)=3,"&gt;0","&lt;="&amp;EOMONTH(BO$7,0)),CostTrack[[InMarch]:[InMarch]],IF(MONTH(BO$7)=3,1,"&lt;&gt;1"),CostTrack[[Fiscal Period]:[Fiscal Period]],REPLACE(IF(MONTH(BO$7)&gt;3,YEAR(BO$7)&amp;"-"&amp;YEAR(BO$7)+1,YEAR(BO$7)-1&amp;"-"&amp;YEAR(BO$7)),6,2,""))</f>
        <v>0</v>
      </c>
      <c r="BP139" s="504">
        <f ca="1">SUMIFS(CostTrack[[Value]:[Value]],CostTrack[[PA ID]:[PA ID]],$B139,CostTrack[[Vendor - Contract]:[Vendor - Contract]],$H139,CostTrack[[Holdback (Y/N/R)]:[Holdback (Y/N/R)]],"&lt;&gt;Release",CostTrack[[Status]:[Status]],"Approved",CostTrack[[Release Date (CMS)]:[Release Date (CMS)]],IF(MONTH(BP$7)=3,"&gt;0","&gt;="&amp;BP$7),CostTrack[[Release Date (CMS)]:[Release Date (CMS)]],IF(MONTH(BP$7)=3,"&gt;0","&lt;="&amp;EOMONTH(BP$7,0)),CostTrack[[InMarch]:[InMarch]],IF(MONTH(BP$7)=3,1,"&lt;&gt;1"),CostTrack[[Fiscal Period]:[Fiscal Period]],REPLACE(IF(MONTH(BP$7)&gt;3,YEAR(BP$7)&amp;"-"&amp;YEAR(BP$7)+1,YEAR(BP$7)-1&amp;"-"&amp;YEAR(BP$7)),6,2,""))</f>
        <v>0</v>
      </c>
      <c r="BQ139" s="504">
        <f ca="1">SUMIFS(CostTrack[[Value]:[Value]],CostTrack[[PA ID]:[PA ID]],$B139,CostTrack[[Vendor - Contract]:[Vendor - Contract]],$H139,CostTrack[[Holdback (Y/N/R)]:[Holdback (Y/N/R)]],"&lt;&gt;Release",CostTrack[[Status]:[Status]],"Approved",CostTrack[[Release Date (CMS)]:[Release Date (CMS)]],IF(MONTH(BQ$7)=3,"&gt;0","&gt;="&amp;BQ$7),CostTrack[[Release Date (CMS)]:[Release Date (CMS)]],IF(MONTH(BQ$7)=3,"&gt;0","&lt;="&amp;EOMONTH(BQ$7,0)),CostTrack[[InMarch]:[InMarch]],IF(MONTH(BQ$7)=3,1,"&lt;&gt;1"),CostTrack[[Fiscal Period]:[Fiscal Period]],REPLACE(IF(MONTH(BQ$7)&gt;3,YEAR(BQ$7)&amp;"-"&amp;YEAR(BQ$7)+1,YEAR(BQ$7)-1&amp;"-"&amp;YEAR(BQ$7)),6,2,""))</f>
        <v>0</v>
      </c>
      <c r="BR139" s="504">
        <f ca="1">SUMIFS(CostTrack[[Value]:[Value]],CostTrack[[PA ID]:[PA ID]],$B139,CostTrack[[Vendor - Contract]:[Vendor - Contract]],$H139,CostTrack[[Holdback (Y/N/R)]:[Holdback (Y/N/R)]],"&lt;&gt;Release",CostTrack[[Status]:[Status]],"Approved",CostTrack[[Release Date (CMS)]:[Release Date (CMS)]],IF(MONTH(BR$7)=3,"&gt;0","&gt;="&amp;BR$7),CostTrack[[Release Date (CMS)]:[Release Date (CMS)]],IF(MONTH(BR$7)=3,"&gt;0","&lt;="&amp;EOMONTH(BR$7,0)),CostTrack[[InMarch]:[InMarch]],IF(MONTH(BR$7)=3,1,"&lt;&gt;1"),CostTrack[[Fiscal Period]:[Fiscal Period]],REPLACE(IF(MONTH(BR$7)&gt;3,YEAR(BR$7)&amp;"-"&amp;YEAR(BR$7)+1,YEAR(BR$7)-1&amp;"-"&amp;YEAR(BR$7)),6,2,""))</f>
        <v>0</v>
      </c>
      <c r="BS139" s="504">
        <f ca="1">SUMIFS(CostTrack[[Value]:[Value]],CostTrack[[PA ID]:[PA ID]],$B139,CostTrack[[Vendor - Contract]:[Vendor - Contract]],$H139,CostTrack[[Holdback (Y/N/R)]:[Holdback (Y/N/R)]],"&lt;&gt;Release",CostTrack[[Status]:[Status]],"Approved",CostTrack[[Release Date (CMS)]:[Release Date (CMS)]],IF(MONTH(BS$7)=3,"&gt;0","&gt;="&amp;BS$7),CostTrack[[Release Date (CMS)]:[Release Date (CMS)]],IF(MONTH(BS$7)=3,"&gt;0","&lt;="&amp;EOMONTH(BS$7,0)),CostTrack[[InMarch]:[InMarch]],IF(MONTH(BS$7)=3,1,"&lt;&gt;1"),CostTrack[[Fiscal Period]:[Fiscal Period]],REPLACE(IF(MONTH(BS$7)&gt;3,YEAR(BS$7)&amp;"-"&amp;YEAR(BS$7)+1,YEAR(BS$7)-1&amp;"-"&amp;YEAR(BS$7)),6,2,""))</f>
        <v>0</v>
      </c>
      <c r="BT139" s="504">
        <f ca="1">SUMIFS(CostTrack[[Value]:[Value]],CostTrack[[PA ID]:[PA ID]],$B139,CostTrack[[Vendor - Contract]:[Vendor - Contract]],$H139,CostTrack[[Holdback (Y/N/R)]:[Holdback (Y/N/R)]],"&lt;&gt;Release",CostTrack[[Status]:[Status]],"Approved",CostTrack[[Release Date (CMS)]:[Release Date (CMS)]],IF(MONTH(BT$7)=3,"&gt;0","&gt;="&amp;BT$7),CostTrack[[Release Date (CMS)]:[Release Date (CMS)]],IF(MONTH(BT$7)=3,"&gt;0","&lt;="&amp;EOMONTH(BT$7,0)),CostTrack[[InMarch]:[InMarch]],IF(MONTH(BT$7)=3,1,"&lt;&gt;1"),CostTrack[[Fiscal Period]:[Fiscal Period]],REPLACE(IF(MONTH(BT$7)&gt;3,YEAR(BT$7)&amp;"-"&amp;YEAR(BT$7)+1,YEAR(BT$7)-1&amp;"-"&amp;YEAR(BT$7)),6,2,""))</f>
        <v>0</v>
      </c>
      <c r="BU139" s="504">
        <f ca="1">SUMIFS(CostTrack[[Value]:[Value]],CostTrack[[PA ID]:[PA ID]],$B139,CostTrack[[Vendor - Contract]:[Vendor - Contract]],$H139,CostTrack[[Holdback (Y/N/R)]:[Holdback (Y/N/R)]],"&lt;&gt;Release",CostTrack[[Status]:[Status]],"Approved",CostTrack[[Release Date (CMS)]:[Release Date (CMS)]],IF(MONTH(BU$7)=3,"&gt;0","&gt;="&amp;BU$7),CostTrack[[Release Date (CMS)]:[Release Date (CMS)]],IF(MONTH(BU$7)=3,"&gt;0","&lt;="&amp;EOMONTH(BU$7,0)),CostTrack[[InMarch]:[InMarch]],IF(MONTH(BU$7)=3,1,"&lt;&gt;1"),CostTrack[[Fiscal Period]:[Fiscal Period]],REPLACE(IF(MONTH(BU$7)&gt;3,YEAR(BU$7)&amp;"-"&amp;YEAR(BU$7)+1,YEAR(BU$7)-1&amp;"-"&amp;YEAR(BU$7)),6,2,""))</f>
        <v>0</v>
      </c>
      <c r="BV139" s="504">
        <f ca="1">SUMIFS(CostTrack[[Value]:[Value]],CostTrack[[PA ID]:[PA ID]],$B139,CostTrack[[Vendor - Contract]:[Vendor - Contract]],$H139,CostTrack[[Holdback (Y/N/R)]:[Holdback (Y/N/R)]],"&lt;&gt;Release",CostTrack[[Status]:[Status]],"Approved",CostTrack[[Release Date (CMS)]:[Release Date (CMS)]],IF(MONTH(BV$7)=3,"&gt;0","&gt;="&amp;BV$7),CostTrack[[Release Date (CMS)]:[Release Date (CMS)]],IF(MONTH(BV$7)=3,"&gt;0","&lt;="&amp;EOMONTH(BV$7,0)),CostTrack[[InMarch]:[InMarch]],IF(MONTH(BV$7)=3,1,"&lt;&gt;1"),CostTrack[[Fiscal Period]:[Fiscal Period]],REPLACE(IF(MONTH(BV$7)&gt;3,YEAR(BV$7)&amp;"-"&amp;YEAR(BV$7)+1,YEAR(BV$7)-1&amp;"-"&amp;YEAR(BV$7)),6,2,""))</f>
        <v>0</v>
      </c>
      <c r="BW139" s="512">
        <f t="shared" ca="1" si="269"/>
        <v>0</v>
      </c>
      <c r="BY139" s="504">
        <f ca="1">SUMIFS(CostTrack[[Value]:[Value]],CostTrack[[PA ID]:[PA ID]],$B139,CostTrack[[Vendor - Contract]:[Vendor - Contract]],$H139,CostTrack[[Holdback (Y/N/R)]:[Holdback (Y/N/R)]],"&lt;&gt;Release",CostTrack[[Status]:[Status]],"Approved",CostTrack[[Release Date (CMS)]:[Release Date (CMS)]],IF(MONTH(BY$7)=3,"&gt;0","&gt;="&amp;BY$7),CostTrack[[Release Date (CMS)]:[Release Date (CMS)]],IF(MONTH(BY$7)=3,"&gt;0","&lt;="&amp;EOMONTH(BY$7,0)),CostTrack[[InMarch]:[InMarch]],IF(MONTH(BY$7)=3,1,"&lt;&gt;1"),CostTrack[[Fiscal Period]:[Fiscal Period]],REPLACE(IF(MONTH(BY$7)&gt;3,YEAR(BY$7)&amp;"-"&amp;YEAR(BY$7)+1,YEAR(BY$7)-1&amp;"-"&amp;YEAR(BY$7)),6,2,""))</f>
        <v>0</v>
      </c>
      <c r="BZ139" s="504">
        <f ca="1">SUMIFS(CostTrack[[Value]:[Value]],CostTrack[[PA ID]:[PA ID]],$B139,CostTrack[[Vendor - Contract]:[Vendor - Contract]],$H139,CostTrack[[Holdback (Y/N/R)]:[Holdback (Y/N/R)]],"&lt;&gt;Release",CostTrack[[Status]:[Status]],"Approved",CostTrack[[Release Date (CMS)]:[Release Date (CMS)]],IF(MONTH(BZ$7)=3,"&gt;0","&gt;="&amp;BZ$7),CostTrack[[Release Date (CMS)]:[Release Date (CMS)]],IF(MONTH(BZ$7)=3,"&gt;0","&lt;="&amp;EOMONTH(BZ$7,0)),CostTrack[[InMarch]:[InMarch]],IF(MONTH(BZ$7)=3,1,"&lt;&gt;1"),CostTrack[[Fiscal Period]:[Fiscal Period]],REPLACE(IF(MONTH(BZ$7)&gt;3,YEAR(BZ$7)&amp;"-"&amp;YEAR(BZ$7)+1,YEAR(BZ$7)-1&amp;"-"&amp;YEAR(BZ$7)),6,2,""))</f>
        <v>0</v>
      </c>
      <c r="CA139" s="504">
        <f ca="1">SUMIFS(CostTrack[[Value]:[Value]],CostTrack[[PA ID]:[PA ID]],$B139,CostTrack[[Vendor - Contract]:[Vendor - Contract]],$H139,CostTrack[[Holdback (Y/N/R)]:[Holdback (Y/N/R)]],"&lt;&gt;Release",CostTrack[[Status]:[Status]],"Approved",CostTrack[[Release Date (CMS)]:[Release Date (CMS)]],IF(MONTH(CA$7)=3,"&gt;0","&gt;="&amp;CA$7),CostTrack[[Release Date (CMS)]:[Release Date (CMS)]],IF(MONTH(CA$7)=3,"&gt;0","&lt;="&amp;EOMONTH(CA$7,0)),CostTrack[[InMarch]:[InMarch]],IF(MONTH(CA$7)=3,1,"&lt;&gt;1"),CostTrack[[Fiscal Period]:[Fiscal Period]],REPLACE(IF(MONTH(CA$7)&gt;3,YEAR(CA$7)&amp;"-"&amp;YEAR(CA$7)+1,YEAR(CA$7)-1&amp;"-"&amp;YEAR(CA$7)),6,2,""))</f>
        <v>0</v>
      </c>
      <c r="CB139" s="504">
        <f ca="1">SUMIFS(CostTrack[[Value]:[Value]],CostTrack[[PA ID]:[PA ID]],$B139,CostTrack[[Vendor - Contract]:[Vendor - Contract]],$H139,CostTrack[[Holdback (Y/N/R)]:[Holdback (Y/N/R)]],"&lt;&gt;Release",CostTrack[[Status]:[Status]],"Approved",CostTrack[[Release Date (CMS)]:[Release Date (CMS)]],IF(MONTH(CB$7)=3,"&gt;0","&gt;="&amp;CB$7),CostTrack[[Release Date (CMS)]:[Release Date (CMS)]],IF(MONTH(CB$7)=3,"&gt;0","&lt;="&amp;EOMONTH(CB$7,0)),CostTrack[[InMarch]:[InMarch]],IF(MONTH(CB$7)=3,1,"&lt;&gt;1"),CostTrack[[Fiscal Period]:[Fiscal Period]],REPLACE(IF(MONTH(CB$7)&gt;3,YEAR(CB$7)&amp;"-"&amp;YEAR(CB$7)+1,YEAR(CB$7)-1&amp;"-"&amp;YEAR(CB$7)),6,2,""))</f>
        <v>0</v>
      </c>
      <c r="CC139" s="504">
        <f ca="1">SUMIFS(CostTrack[[Value]:[Value]],CostTrack[[PA ID]:[PA ID]],$B139,CostTrack[[Vendor - Contract]:[Vendor - Contract]],$H139,CostTrack[[Holdback (Y/N/R)]:[Holdback (Y/N/R)]],"&lt;&gt;Release",CostTrack[[Status]:[Status]],"Approved",CostTrack[[Release Date (CMS)]:[Release Date (CMS)]],IF(MONTH(CC$7)=3,"&gt;0","&gt;="&amp;CC$7),CostTrack[[Release Date (CMS)]:[Release Date (CMS)]],IF(MONTH(CC$7)=3,"&gt;0","&lt;="&amp;EOMONTH(CC$7,0)),CostTrack[[InMarch]:[InMarch]],IF(MONTH(CC$7)=3,1,"&lt;&gt;1"),CostTrack[[Fiscal Period]:[Fiscal Period]],REPLACE(IF(MONTH(CC$7)&gt;3,YEAR(CC$7)&amp;"-"&amp;YEAR(CC$7)+1,YEAR(CC$7)-1&amp;"-"&amp;YEAR(CC$7)),6,2,""))</f>
        <v>0</v>
      </c>
      <c r="CD139" s="504">
        <f ca="1">SUMIFS(CostTrack[[Value]:[Value]],CostTrack[[PA ID]:[PA ID]],$B139,CostTrack[[Vendor - Contract]:[Vendor - Contract]],$H139,CostTrack[[Holdback (Y/N/R)]:[Holdback (Y/N/R)]],"&lt;&gt;Release",CostTrack[[Status]:[Status]],"Approved",CostTrack[[Release Date (CMS)]:[Release Date (CMS)]],IF(MONTH(CD$7)=3,"&gt;0","&gt;="&amp;CD$7),CostTrack[[Release Date (CMS)]:[Release Date (CMS)]],IF(MONTH(CD$7)=3,"&gt;0","&lt;="&amp;EOMONTH(CD$7,0)),CostTrack[[InMarch]:[InMarch]],IF(MONTH(CD$7)=3,1,"&lt;&gt;1"),CostTrack[[Fiscal Period]:[Fiscal Period]],REPLACE(IF(MONTH(CD$7)&gt;3,YEAR(CD$7)&amp;"-"&amp;YEAR(CD$7)+1,YEAR(CD$7)-1&amp;"-"&amp;YEAR(CD$7)),6,2,""))</f>
        <v>0</v>
      </c>
      <c r="CE139" s="504">
        <f ca="1">SUMIFS(CostTrack[[Value]:[Value]],CostTrack[[PA ID]:[PA ID]],$B139,CostTrack[[Vendor - Contract]:[Vendor - Contract]],$H139,CostTrack[[Holdback (Y/N/R)]:[Holdback (Y/N/R)]],"&lt;&gt;Release",CostTrack[[Status]:[Status]],"Approved",CostTrack[[Release Date (CMS)]:[Release Date (CMS)]],IF(MONTH(CE$7)=3,"&gt;0","&gt;="&amp;CE$7),CostTrack[[Release Date (CMS)]:[Release Date (CMS)]],IF(MONTH(CE$7)=3,"&gt;0","&lt;="&amp;EOMONTH(CE$7,0)),CostTrack[[InMarch]:[InMarch]],IF(MONTH(CE$7)=3,1,"&lt;&gt;1"),CostTrack[[Fiscal Period]:[Fiscal Period]],REPLACE(IF(MONTH(CE$7)&gt;3,YEAR(CE$7)&amp;"-"&amp;YEAR(CE$7)+1,YEAR(CE$7)-1&amp;"-"&amp;YEAR(CE$7)),6,2,""))</f>
        <v>0</v>
      </c>
      <c r="CF139" s="504">
        <f ca="1">SUMIFS(CostTrack[[Value]:[Value]],CostTrack[[PA ID]:[PA ID]],$B139,CostTrack[[Vendor - Contract]:[Vendor - Contract]],$H139,CostTrack[[Holdback (Y/N/R)]:[Holdback (Y/N/R)]],"&lt;&gt;Release",CostTrack[[Status]:[Status]],"Approved",CostTrack[[Release Date (CMS)]:[Release Date (CMS)]],IF(MONTH(CF$7)=3,"&gt;0","&gt;="&amp;CF$7),CostTrack[[Release Date (CMS)]:[Release Date (CMS)]],IF(MONTH(CF$7)=3,"&gt;0","&lt;="&amp;EOMONTH(CF$7,0)),CostTrack[[InMarch]:[InMarch]],IF(MONTH(CF$7)=3,1,"&lt;&gt;1"),CostTrack[[Fiscal Period]:[Fiscal Period]],REPLACE(IF(MONTH(CF$7)&gt;3,YEAR(CF$7)&amp;"-"&amp;YEAR(CF$7)+1,YEAR(CF$7)-1&amp;"-"&amp;YEAR(CF$7)),6,2,""))</f>
        <v>0</v>
      </c>
      <c r="CG139" s="504">
        <f ca="1">SUMIFS(CostTrack[[Value]:[Value]],CostTrack[[PA ID]:[PA ID]],$B139,CostTrack[[Vendor - Contract]:[Vendor - Contract]],$H139,CostTrack[[Holdback (Y/N/R)]:[Holdback (Y/N/R)]],"&lt;&gt;Release",CostTrack[[Status]:[Status]],"Approved",CostTrack[[Release Date (CMS)]:[Release Date (CMS)]],IF(MONTH(CG$7)=3,"&gt;0","&gt;="&amp;CG$7),CostTrack[[Release Date (CMS)]:[Release Date (CMS)]],IF(MONTH(CG$7)=3,"&gt;0","&lt;="&amp;EOMONTH(CG$7,0)),CostTrack[[InMarch]:[InMarch]],IF(MONTH(CG$7)=3,1,"&lt;&gt;1"),CostTrack[[Fiscal Period]:[Fiscal Period]],REPLACE(IF(MONTH(CG$7)&gt;3,YEAR(CG$7)&amp;"-"&amp;YEAR(CG$7)+1,YEAR(CG$7)-1&amp;"-"&amp;YEAR(CG$7)),6,2,""))</f>
        <v>0</v>
      </c>
      <c r="CH139" s="504">
        <f ca="1">SUMIFS(CostTrack[[Value]:[Value]],CostTrack[[PA ID]:[PA ID]],$B139,CostTrack[[Vendor - Contract]:[Vendor - Contract]],$H139,CostTrack[[Holdback (Y/N/R)]:[Holdback (Y/N/R)]],"&lt;&gt;Release",CostTrack[[Status]:[Status]],"Approved",CostTrack[[Release Date (CMS)]:[Release Date (CMS)]],IF(MONTH(CH$7)=3,"&gt;0","&gt;="&amp;CH$7),CostTrack[[Release Date (CMS)]:[Release Date (CMS)]],IF(MONTH(CH$7)=3,"&gt;0","&lt;="&amp;EOMONTH(CH$7,0)),CostTrack[[InMarch]:[InMarch]],IF(MONTH(CH$7)=3,1,"&lt;&gt;1"),CostTrack[[Fiscal Period]:[Fiscal Period]],REPLACE(IF(MONTH(CH$7)&gt;3,YEAR(CH$7)&amp;"-"&amp;YEAR(CH$7)+1,YEAR(CH$7)-1&amp;"-"&amp;YEAR(CH$7)),6,2,""))</f>
        <v>0</v>
      </c>
      <c r="CI139" s="504">
        <f ca="1">SUMIFS(CostTrack[[Value]:[Value]],CostTrack[[PA ID]:[PA ID]],$B139,CostTrack[[Vendor - Contract]:[Vendor - Contract]],$H139,CostTrack[[Holdback (Y/N/R)]:[Holdback (Y/N/R)]],"&lt;&gt;Release",CostTrack[[Status]:[Status]],"Approved",CostTrack[[Release Date (CMS)]:[Release Date (CMS)]],IF(MONTH(CI$7)=3,"&gt;0","&gt;="&amp;CI$7),CostTrack[[Release Date (CMS)]:[Release Date (CMS)]],IF(MONTH(CI$7)=3,"&gt;0","&lt;="&amp;EOMONTH(CI$7,0)),CostTrack[[InMarch]:[InMarch]],IF(MONTH(CI$7)=3,1,"&lt;&gt;1"),CostTrack[[Fiscal Period]:[Fiscal Period]],REPLACE(IF(MONTH(CI$7)&gt;3,YEAR(CI$7)&amp;"-"&amp;YEAR(CI$7)+1,YEAR(CI$7)-1&amp;"-"&amp;YEAR(CI$7)),6,2,""))</f>
        <v>0</v>
      </c>
      <c r="CJ139" s="504">
        <f ca="1">SUMIFS(CostTrack[[Value]:[Value]],CostTrack[[PA ID]:[PA ID]],$B139,CostTrack[[Vendor - Contract]:[Vendor - Contract]],$H139,CostTrack[[Holdback (Y/N/R)]:[Holdback (Y/N/R)]],"&lt;&gt;Release",CostTrack[[Status]:[Status]],"Approved",CostTrack[[Release Date (CMS)]:[Release Date (CMS)]],IF(MONTH(CJ$7)=3,"&gt;0","&gt;="&amp;CJ$7),CostTrack[[Release Date (CMS)]:[Release Date (CMS)]],IF(MONTH(CJ$7)=3,"&gt;0","&lt;="&amp;EOMONTH(CJ$7,0)),CostTrack[[InMarch]:[InMarch]],IF(MONTH(CJ$7)=3,1,"&lt;&gt;1"),CostTrack[[Fiscal Period]:[Fiscal Period]],REPLACE(IF(MONTH(CJ$7)&gt;3,YEAR(CJ$7)&amp;"-"&amp;YEAR(CJ$7)+1,YEAR(CJ$7)-1&amp;"-"&amp;YEAR(CJ$7)),6,2,""))</f>
        <v>0</v>
      </c>
      <c r="CK139" s="512">
        <f t="shared" ca="1" si="255"/>
        <v>0</v>
      </c>
      <c r="CM139" s="504">
        <f ca="1">SUMIFS(CostTrack[[Value]:[Value]],CostTrack[[PA ID]:[PA ID]],$B139,CostTrack[[Vendor - Contract]:[Vendor - Contract]],$H139,CostTrack[[Holdback (Y/N/R)]:[Holdback (Y/N/R)]],"&lt;&gt;Release",CostTrack[[Status]:[Status]],"Approved",CostTrack[[Release Date (CMS)]:[Release Date (CMS)]],IF(MONTH(CM$7)=3,"&gt;0","&gt;="&amp;CM$7),CostTrack[[Release Date (CMS)]:[Release Date (CMS)]],IF(MONTH(CM$7)=3,"&gt;0","&lt;="&amp;EOMONTH(CM$7,0)),CostTrack[[InMarch]:[InMarch]],IF(MONTH(CM$7)=3,1,"&lt;&gt;1"),CostTrack[[Fiscal Period]:[Fiscal Period]],REPLACE(IF(MONTH(CM$7)&gt;3,YEAR(CM$7)&amp;"-"&amp;YEAR(CM$7)+1,YEAR(CM$7)-1&amp;"-"&amp;YEAR(CM$7)),6,2,""))</f>
        <v>0</v>
      </c>
      <c r="CN139" s="504">
        <f ca="1">SUMIFS(CostTrack[[Value]:[Value]],CostTrack[[PA ID]:[PA ID]],$B139,CostTrack[[Vendor - Contract]:[Vendor - Contract]],$H139,CostTrack[[Holdback (Y/N/R)]:[Holdback (Y/N/R)]],"&lt;&gt;Release",CostTrack[[Status]:[Status]],"Approved",CostTrack[[Release Date (CMS)]:[Release Date (CMS)]],IF(MONTH(CN$7)=3,"&gt;0","&gt;="&amp;CN$7),CostTrack[[Release Date (CMS)]:[Release Date (CMS)]],IF(MONTH(CN$7)=3,"&gt;0","&lt;="&amp;EOMONTH(CN$7,0)),CostTrack[[InMarch]:[InMarch]],IF(MONTH(CN$7)=3,1,"&lt;&gt;1"),CostTrack[[Fiscal Period]:[Fiscal Period]],REPLACE(IF(MONTH(CN$7)&gt;3,YEAR(CN$7)&amp;"-"&amp;YEAR(CN$7)+1,YEAR(CN$7)-1&amp;"-"&amp;YEAR(CN$7)),6,2,""))</f>
        <v>0</v>
      </c>
      <c r="CO139" s="504">
        <f ca="1">SUMIFS(CostTrack[[Value]:[Value]],CostTrack[[PA ID]:[PA ID]],$B139,CostTrack[[Vendor - Contract]:[Vendor - Contract]],$H139,CostTrack[[Holdback (Y/N/R)]:[Holdback (Y/N/R)]],"&lt;&gt;Release",CostTrack[[Status]:[Status]],"Approved",CostTrack[[Release Date (CMS)]:[Release Date (CMS)]],IF(MONTH(CO$7)=3,"&gt;0","&gt;="&amp;CO$7),CostTrack[[Release Date (CMS)]:[Release Date (CMS)]],IF(MONTH(CO$7)=3,"&gt;0","&lt;="&amp;EOMONTH(CO$7,0)),CostTrack[[InMarch]:[InMarch]],IF(MONTH(CO$7)=3,1,"&lt;&gt;1"),CostTrack[[Fiscal Period]:[Fiscal Period]],REPLACE(IF(MONTH(CO$7)&gt;3,YEAR(CO$7)&amp;"-"&amp;YEAR(CO$7)+1,YEAR(CO$7)-1&amp;"-"&amp;YEAR(CO$7)),6,2,""))</f>
        <v>0</v>
      </c>
      <c r="CP139" s="504">
        <f ca="1">SUMIFS(CostTrack[[Value]:[Value]],CostTrack[[PA ID]:[PA ID]],$B139,CostTrack[[Vendor - Contract]:[Vendor - Contract]],$H139,CostTrack[[Holdback (Y/N/R)]:[Holdback (Y/N/R)]],"&lt;&gt;Release",CostTrack[[Status]:[Status]],"Approved",CostTrack[[Release Date (CMS)]:[Release Date (CMS)]],IF(MONTH(CP$7)=3,"&gt;0","&gt;="&amp;CP$7),CostTrack[[Release Date (CMS)]:[Release Date (CMS)]],IF(MONTH(CP$7)=3,"&gt;0","&lt;="&amp;EOMONTH(CP$7,0)),CostTrack[[InMarch]:[InMarch]],IF(MONTH(CP$7)=3,1,"&lt;&gt;1"),CostTrack[[Fiscal Period]:[Fiscal Period]],REPLACE(IF(MONTH(CP$7)&gt;3,YEAR(CP$7)&amp;"-"&amp;YEAR(CP$7)+1,YEAR(CP$7)-1&amp;"-"&amp;YEAR(CP$7)),6,2,""))</f>
        <v>0</v>
      </c>
      <c r="CQ139" s="504">
        <f ca="1">SUMIFS(CostTrack[[Value]:[Value]],CostTrack[[PA ID]:[PA ID]],$B139,CostTrack[[Vendor - Contract]:[Vendor - Contract]],$H139,CostTrack[[Holdback (Y/N/R)]:[Holdback (Y/N/R)]],"&lt;&gt;Release",CostTrack[[Status]:[Status]],"Approved",CostTrack[[Release Date (CMS)]:[Release Date (CMS)]],IF(MONTH(CQ$7)=3,"&gt;0","&gt;="&amp;CQ$7),CostTrack[[Release Date (CMS)]:[Release Date (CMS)]],IF(MONTH(CQ$7)=3,"&gt;0","&lt;="&amp;EOMONTH(CQ$7,0)),CostTrack[[InMarch]:[InMarch]],IF(MONTH(CQ$7)=3,1,"&lt;&gt;1"),CostTrack[[Fiscal Period]:[Fiscal Period]],REPLACE(IF(MONTH(CQ$7)&gt;3,YEAR(CQ$7)&amp;"-"&amp;YEAR(CQ$7)+1,YEAR(CQ$7)-1&amp;"-"&amp;YEAR(CQ$7)),6,2,""))</f>
        <v>0</v>
      </c>
      <c r="CR139" s="504">
        <f ca="1">SUMIFS(CostTrack[[Value]:[Value]],CostTrack[[PA ID]:[PA ID]],$B139,CostTrack[[Vendor - Contract]:[Vendor - Contract]],$H139,CostTrack[[Holdback (Y/N/R)]:[Holdback (Y/N/R)]],"&lt;&gt;Release",CostTrack[[Status]:[Status]],"Approved",CostTrack[[Release Date (CMS)]:[Release Date (CMS)]],IF(MONTH(CR$7)=3,"&gt;0","&gt;="&amp;CR$7),CostTrack[[Release Date (CMS)]:[Release Date (CMS)]],IF(MONTH(CR$7)=3,"&gt;0","&lt;="&amp;EOMONTH(CR$7,0)),CostTrack[[InMarch]:[InMarch]],IF(MONTH(CR$7)=3,1,"&lt;&gt;1"),CostTrack[[Fiscal Period]:[Fiscal Period]],REPLACE(IF(MONTH(CR$7)&gt;3,YEAR(CR$7)&amp;"-"&amp;YEAR(CR$7)+1,YEAR(CR$7)-1&amp;"-"&amp;YEAR(CR$7)),6,2,""))</f>
        <v>0</v>
      </c>
      <c r="CS139" s="504">
        <f ca="1">SUMIFS(CostTrack[[Value]:[Value]],CostTrack[[PA ID]:[PA ID]],$B139,CostTrack[[Vendor - Contract]:[Vendor - Contract]],$H139,CostTrack[[Holdback (Y/N/R)]:[Holdback (Y/N/R)]],"&lt;&gt;Release",CostTrack[[Status]:[Status]],"Approved",CostTrack[[Release Date (CMS)]:[Release Date (CMS)]],IF(MONTH(CS$7)=3,"&gt;0","&gt;="&amp;CS$7),CostTrack[[Release Date (CMS)]:[Release Date (CMS)]],IF(MONTH(CS$7)=3,"&gt;0","&lt;="&amp;EOMONTH(CS$7,0)),CostTrack[[InMarch]:[InMarch]],IF(MONTH(CS$7)=3,1,"&lt;&gt;1"),CostTrack[[Fiscal Period]:[Fiscal Period]],REPLACE(IF(MONTH(CS$7)&gt;3,YEAR(CS$7)&amp;"-"&amp;YEAR(CS$7)+1,YEAR(CS$7)-1&amp;"-"&amp;YEAR(CS$7)),6,2,""))</f>
        <v>0</v>
      </c>
      <c r="CT139" s="504">
        <f ca="1">SUMIFS(CostTrack[[Value]:[Value]],CostTrack[[PA ID]:[PA ID]],$B139,CostTrack[[Vendor - Contract]:[Vendor - Contract]],$H139,CostTrack[[Holdback (Y/N/R)]:[Holdback (Y/N/R)]],"&lt;&gt;Release",CostTrack[[Status]:[Status]],"Approved",CostTrack[[Release Date (CMS)]:[Release Date (CMS)]],IF(MONTH(CT$7)=3,"&gt;0","&gt;="&amp;CT$7),CostTrack[[Release Date (CMS)]:[Release Date (CMS)]],IF(MONTH(CT$7)=3,"&gt;0","&lt;="&amp;EOMONTH(CT$7,0)),CostTrack[[InMarch]:[InMarch]],IF(MONTH(CT$7)=3,1,"&lt;&gt;1"),CostTrack[[Fiscal Period]:[Fiscal Period]],REPLACE(IF(MONTH(CT$7)&gt;3,YEAR(CT$7)&amp;"-"&amp;YEAR(CT$7)+1,YEAR(CT$7)-1&amp;"-"&amp;YEAR(CT$7)),6,2,""))</f>
        <v>0</v>
      </c>
      <c r="CU139" s="504">
        <f ca="1">SUMIFS(CostTrack[[Value]:[Value]],CostTrack[[PA ID]:[PA ID]],$B139,CostTrack[[Vendor - Contract]:[Vendor - Contract]],$H139,CostTrack[[Holdback (Y/N/R)]:[Holdback (Y/N/R)]],"&lt;&gt;Release",CostTrack[[Status]:[Status]],"Approved",CostTrack[[Release Date (CMS)]:[Release Date (CMS)]],IF(MONTH(CU$7)=3,"&gt;0","&gt;="&amp;CU$7),CostTrack[[Release Date (CMS)]:[Release Date (CMS)]],IF(MONTH(CU$7)=3,"&gt;0","&lt;="&amp;EOMONTH(CU$7,0)),CostTrack[[InMarch]:[InMarch]],IF(MONTH(CU$7)=3,1,"&lt;&gt;1"),CostTrack[[Fiscal Period]:[Fiscal Period]],REPLACE(IF(MONTH(CU$7)&gt;3,YEAR(CU$7)&amp;"-"&amp;YEAR(CU$7)+1,YEAR(CU$7)-1&amp;"-"&amp;YEAR(CU$7)),6,2,""))</f>
        <v>0</v>
      </c>
      <c r="CV139" s="504">
        <f ca="1">SUMIFS(CostTrack[[Value]:[Value]],CostTrack[[PA ID]:[PA ID]],$B139,CostTrack[[Vendor - Contract]:[Vendor - Contract]],$H139,CostTrack[[Holdback (Y/N/R)]:[Holdback (Y/N/R)]],"&lt;&gt;Release",CostTrack[[Status]:[Status]],"Approved",CostTrack[[Release Date (CMS)]:[Release Date (CMS)]],IF(MONTH(CV$7)=3,"&gt;0","&gt;="&amp;CV$7),CostTrack[[Release Date (CMS)]:[Release Date (CMS)]],IF(MONTH(CV$7)=3,"&gt;0","&lt;="&amp;EOMONTH(CV$7,0)),CostTrack[[InMarch]:[InMarch]],IF(MONTH(CV$7)=3,1,"&lt;&gt;1"),CostTrack[[Fiscal Period]:[Fiscal Period]],REPLACE(IF(MONTH(CV$7)&gt;3,YEAR(CV$7)&amp;"-"&amp;YEAR(CV$7)+1,YEAR(CV$7)-1&amp;"-"&amp;YEAR(CV$7)),6,2,""))</f>
        <v>0</v>
      </c>
      <c r="CW139" s="504">
        <f ca="1">SUMIFS(CostTrack[[Value]:[Value]],CostTrack[[PA ID]:[PA ID]],$B139,CostTrack[[Vendor - Contract]:[Vendor - Contract]],$H139,CostTrack[[Holdback (Y/N/R)]:[Holdback (Y/N/R)]],"&lt;&gt;Release",CostTrack[[Status]:[Status]],"Approved",CostTrack[[Release Date (CMS)]:[Release Date (CMS)]],IF(MONTH(CW$7)=3,"&gt;0","&gt;="&amp;CW$7),CostTrack[[Release Date (CMS)]:[Release Date (CMS)]],IF(MONTH(CW$7)=3,"&gt;0","&lt;="&amp;EOMONTH(CW$7,0)),CostTrack[[InMarch]:[InMarch]],IF(MONTH(CW$7)=3,1,"&lt;&gt;1"),CostTrack[[Fiscal Period]:[Fiscal Period]],REPLACE(IF(MONTH(CW$7)&gt;3,YEAR(CW$7)&amp;"-"&amp;YEAR(CW$7)+1,YEAR(CW$7)-1&amp;"-"&amp;YEAR(CW$7)),6,2,""))</f>
        <v>0</v>
      </c>
      <c r="CX139" s="504">
        <f ca="1">SUMIFS(CostTrack[[Value]:[Value]],CostTrack[[PA ID]:[PA ID]],$B139,CostTrack[[Vendor - Contract]:[Vendor - Contract]],$H139,CostTrack[[Holdback (Y/N/R)]:[Holdback (Y/N/R)]],"&lt;&gt;Release",CostTrack[[Status]:[Status]],"Approved",CostTrack[[Release Date (CMS)]:[Release Date (CMS)]],IF(MONTH(CX$7)=3,"&gt;0","&gt;="&amp;CX$7),CostTrack[[Release Date (CMS)]:[Release Date (CMS)]],IF(MONTH(CX$7)=3,"&gt;0","&lt;="&amp;EOMONTH(CX$7,0)),CostTrack[[InMarch]:[InMarch]],IF(MONTH(CX$7)=3,1,"&lt;&gt;1"),CostTrack[[Fiscal Period]:[Fiscal Period]],REPLACE(IF(MONTH(CX$7)&gt;3,YEAR(CX$7)&amp;"-"&amp;YEAR(CX$7)+1,YEAR(CX$7)-1&amp;"-"&amp;YEAR(CX$7)),6,2,""))</f>
        <v>0</v>
      </c>
      <c r="CY139" s="512">
        <f t="shared" ca="1" si="256"/>
        <v>0</v>
      </c>
      <c r="DA139" s="504">
        <f ca="1">SUMIFS(CostTrack[[Value]:[Value]],CostTrack[[PA ID]:[PA ID]],$B139,CostTrack[[Vendor - Contract]:[Vendor - Contract]],$H139,CostTrack[[Holdback (Y/N/R)]:[Holdback (Y/N/R)]],"&lt;&gt;Release",CostTrack[[Status]:[Status]],"Approved",CostTrack[[Release Date (CMS)]:[Release Date (CMS)]],IF(MONTH(DA$7)=3,"&gt;0","&gt;="&amp;DA$7),CostTrack[[Release Date (CMS)]:[Release Date (CMS)]],IF(MONTH(DA$7)=3,"&gt;0","&lt;="&amp;EOMONTH(DA$7,0)),CostTrack[[InMarch]:[InMarch]],IF(MONTH(DA$7)=3,1,"&lt;&gt;1"),CostTrack[[Fiscal Period]:[Fiscal Period]],REPLACE(IF(MONTH(DA$7)&gt;3,YEAR(DA$7)&amp;"-"&amp;YEAR(DA$7)+1,YEAR(DA$7)-1&amp;"-"&amp;YEAR(DA$7)),6,2,""))</f>
        <v>0</v>
      </c>
      <c r="DB139" s="504">
        <f ca="1">SUMIFS(CostTrack[[Value]:[Value]],CostTrack[[PA ID]:[PA ID]],$B139,CostTrack[[Vendor - Contract]:[Vendor - Contract]],$H139,CostTrack[[Holdback (Y/N/R)]:[Holdback (Y/N/R)]],"&lt;&gt;Release",CostTrack[[Status]:[Status]],"Approved",CostTrack[[Release Date (CMS)]:[Release Date (CMS)]],IF(MONTH(DB$7)=3,"&gt;0","&gt;="&amp;DB$7),CostTrack[[Release Date (CMS)]:[Release Date (CMS)]],IF(MONTH(DB$7)=3,"&gt;0","&lt;="&amp;EOMONTH(DB$7,0)),CostTrack[[InMarch]:[InMarch]],IF(MONTH(DB$7)=3,1,"&lt;&gt;1"),CostTrack[[Fiscal Period]:[Fiscal Period]],REPLACE(IF(MONTH(DB$7)&gt;3,YEAR(DB$7)&amp;"-"&amp;YEAR(DB$7)+1,YEAR(DB$7)-1&amp;"-"&amp;YEAR(DB$7)),6,2,""))</f>
        <v>0</v>
      </c>
      <c r="DC139" s="504">
        <f ca="1">SUMIFS(CostTrack[[Value]:[Value]],CostTrack[[PA ID]:[PA ID]],$B139,CostTrack[[Vendor - Contract]:[Vendor - Contract]],$H139,CostTrack[[Holdback (Y/N/R)]:[Holdback (Y/N/R)]],"&lt;&gt;Release",CostTrack[[Status]:[Status]],"Approved",CostTrack[[Release Date (CMS)]:[Release Date (CMS)]],IF(MONTH(DC$7)=3,"&gt;0","&gt;="&amp;DC$7),CostTrack[[Release Date (CMS)]:[Release Date (CMS)]],IF(MONTH(DC$7)=3,"&gt;0","&lt;="&amp;EOMONTH(DC$7,0)),CostTrack[[InMarch]:[InMarch]],IF(MONTH(DC$7)=3,1,"&lt;&gt;1"),CostTrack[[Fiscal Period]:[Fiscal Period]],REPLACE(IF(MONTH(DC$7)&gt;3,YEAR(DC$7)&amp;"-"&amp;YEAR(DC$7)+1,YEAR(DC$7)-1&amp;"-"&amp;YEAR(DC$7)),6,2,""))</f>
        <v>0</v>
      </c>
      <c r="DD139" s="504">
        <f ca="1">SUMIFS(CostTrack[[Value]:[Value]],CostTrack[[PA ID]:[PA ID]],$B139,CostTrack[[Vendor - Contract]:[Vendor - Contract]],$H139,CostTrack[[Holdback (Y/N/R)]:[Holdback (Y/N/R)]],"&lt;&gt;Release",CostTrack[[Status]:[Status]],"Approved",CostTrack[[Release Date (CMS)]:[Release Date (CMS)]],IF(MONTH(DD$7)=3,"&gt;0","&gt;="&amp;DD$7),CostTrack[[Release Date (CMS)]:[Release Date (CMS)]],IF(MONTH(DD$7)=3,"&gt;0","&lt;="&amp;EOMONTH(DD$7,0)),CostTrack[[InMarch]:[InMarch]],IF(MONTH(DD$7)=3,1,"&lt;&gt;1"),CostTrack[[Fiscal Period]:[Fiscal Period]],REPLACE(IF(MONTH(DD$7)&gt;3,YEAR(DD$7)&amp;"-"&amp;YEAR(DD$7)+1,YEAR(DD$7)-1&amp;"-"&amp;YEAR(DD$7)),6,2,""))</f>
        <v>0</v>
      </c>
      <c r="DE139" s="504">
        <f ca="1">SUMIFS(CostTrack[[Value]:[Value]],CostTrack[[PA ID]:[PA ID]],$B139,CostTrack[[Vendor - Contract]:[Vendor - Contract]],$H139,CostTrack[[Holdback (Y/N/R)]:[Holdback (Y/N/R)]],"&lt;&gt;Release",CostTrack[[Status]:[Status]],"Approved",CostTrack[[Release Date (CMS)]:[Release Date (CMS)]],IF(MONTH(DE$7)=3,"&gt;0","&gt;="&amp;DE$7),CostTrack[[Release Date (CMS)]:[Release Date (CMS)]],IF(MONTH(DE$7)=3,"&gt;0","&lt;="&amp;EOMONTH(DE$7,0)),CostTrack[[InMarch]:[InMarch]],IF(MONTH(DE$7)=3,1,"&lt;&gt;1"),CostTrack[[Fiscal Period]:[Fiscal Period]],REPLACE(IF(MONTH(DE$7)&gt;3,YEAR(DE$7)&amp;"-"&amp;YEAR(DE$7)+1,YEAR(DE$7)-1&amp;"-"&amp;YEAR(DE$7)),6,2,""))</f>
        <v>0</v>
      </c>
      <c r="DF139" s="504">
        <f ca="1">SUMIFS(CostTrack[[Value]:[Value]],CostTrack[[PA ID]:[PA ID]],$B139,CostTrack[[Vendor - Contract]:[Vendor - Contract]],$H139,CostTrack[[Holdback (Y/N/R)]:[Holdback (Y/N/R)]],"&lt;&gt;Release",CostTrack[[Status]:[Status]],"Approved",CostTrack[[Release Date (CMS)]:[Release Date (CMS)]],IF(MONTH(DF$7)=3,"&gt;0","&gt;="&amp;DF$7),CostTrack[[Release Date (CMS)]:[Release Date (CMS)]],IF(MONTH(DF$7)=3,"&gt;0","&lt;="&amp;EOMONTH(DF$7,0)),CostTrack[[InMarch]:[InMarch]],IF(MONTH(DF$7)=3,1,"&lt;&gt;1"),CostTrack[[Fiscal Period]:[Fiscal Period]],REPLACE(IF(MONTH(DF$7)&gt;3,YEAR(DF$7)&amp;"-"&amp;YEAR(DF$7)+1,YEAR(DF$7)-1&amp;"-"&amp;YEAR(DF$7)),6,2,""))</f>
        <v>0</v>
      </c>
      <c r="DG139" s="504">
        <f ca="1">SUMIFS(CostTrack[[Value]:[Value]],CostTrack[[PA ID]:[PA ID]],$B139,CostTrack[[Vendor - Contract]:[Vendor - Contract]],$H139,CostTrack[[Holdback (Y/N/R)]:[Holdback (Y/N/R)]],"&lt;&gt;Release",CostTrack[[Status]:[Status]],"Approved",CostTrack[[Release Date (CMS)]:[Release Date (CMS)]],IF(MONTH(DG$7)=3,"&gt;0","&gt;="&amp;DG$7),CostTrack[[Release Date (CMS)]:[Release Date (CMS)]],IF(MONTH(DG$7)=3,"&gt;0","&lt;="&amp;EOMONTH(DG$7,0)),CostTrack[[InMarch]:[InMarch]],IF(MONTH(DG$7)=3,1,"&lt;&gt;1"),CostTrack[[Fiscal Period]:[Fiscal Period]],REPLACE(IF(MONTH(DG$7)&gt;3,YEAR(DG$7)&amp;"-"&amp;YEAR(DG$7)+1,YEAR(DG$7)-1&amp;"-"&amp;YEAR(DG$7)),6,2,""))</f>
        <v>0</v>
      </c>
      <c r="DH139" s="504">
        <f ca="1">SUMIFS(CostTrack[[Value]:[Value]],CostTrack[[PA ID]:[PA ID]],$B139,CostTrack[[Vendor - Contract]:[Vendor - Contract]],$H139,CostTrack[[Holdback (Y/N/R)]:[Holdback (Y/N/R)]],"&lt;&gt;Release",CostTrack[[Status]:[Status]],"Approved",CostTrack[[Release Date (CMS)]:[Release Date (CMS)]],IF(MONTH(DH$7)=3,"&gt;0","&gt;="&amp;DH$7),CostTrack[[Release Date (CMS)]:[Release Date (CMS)]],IF(MONTH(DH$7)=3,"&gt;0","&lt;="&amp;EOMONTH(DH$7,0)),CostTrack[[InMarch]:[InMarch]],IF(MONTH(DH$7)=3,1,"&lt;&gt;1"),CostTrack[[Fiscal Period]:[Fiscal Period]],REPLACE(IF(MONTH(DH$7)&gt;3,YEAR(DH$7)&amp;"-"&amp;YEAR(DH$7)+1,YEAR(DH$7)-1&amp;"-"&amp;YEAR(DH$7)),6,2,""))</f>
        <v>0</v>
      </c>
      <c r="DI139" s="504">
        <f ca="1">SUMIFS(CostTrack[[Value]:[Value]],CostTrack[[PA ID]:[PA ID]],$B139,CostTrack[[Vendor - Contract]:[Vendor - Contract]],$H139,CostTrack[[Holdback (Y/N/R)]:[Holdback (Y/N/R)]],"&lt;&gt;Release",CostTrack[[Status]:[Status]],"Approved",CostTrack[[Release Date (CMS)]:[Release Date (CMS)]],IF(MONTH(DI$7)=3,"&gt;0","&gt;="&amp;DI$7),CostTrack[[Release Date (CMS)]:[Release Date (CMS)]],IF(MONTH(DI$7)=3,"&gt;0","&lt;="&amp;EOMONTH(DI$7,0)),CostTrack[[InMarch]:[InMarch]],IF(MONTH(DI$7)=3,1,"&lt;&gt;1"),CostTrack[[Fiscal Period]:[Fiscal Period]],REPLACE(IF(MONTH(DI$7)&gt;3,YEAR(DI$7)&amp;"-"&amp;YEAR(DI$7)+1,YEAR(DI$7)-1&amp;"-"&amp;YEAR(DI$7)),6,2,""))</f>
        <v>0</v>
      </c>
      <c r="DJ139" s="504">
        <f ca="1">SUMIFS(CostTrack[[Value]:[Value]],CostTrack[[PA ID]:[PA ID]],$B139,CostTrack[[Vendor - Contract]:[Vendor - Contract]],$H139,CostTrack[[Holdback (Y/N/R)]:[Holdback (Y/N/R)]],"&lt;&gt;Release",CostTrack[[Status]:[Status]],"Approved",CostTrack[[Release Date (CMS)]:[Release Date (CMS)]],IF(MONTH(DJ$7)=3,"&gt;0","&gt;="&amp;DJ$7),CostTrack[[Release Date (CMS)]:[Release Date (CMS)]],IF(MONTH(DJ$7)=3,"&gt;0","&lt;="&amp;EOMONTH(DJ$7,0)),CostTrack[[InMarch]:[InMarch]],IF(MONTH(DJ$7)=3,1,"&lt;&gt;1"),CostTrack[[Fiscal Period]:[Fiscal Period]],REPLACE(IF(MONTH(DJ$7)&gt;3,YEAR(DJ$7)&amp;"-"&amp;YEAR(DJ$7)+1,YEAR(DJ$7)-1&amp;"-"&amp;YEAR(DJ$7)),6,2,""))</f>
        <v>0</v>
      </c>
      <c r="DK139" s="504">
        <f ca="1">SUMIFS(CostTrack[[Value]:[Value]],CostTrack[[PA ID]:[PA ID]],$B139,CostTrack[[Vendor - Contract]:[Vendor - Contract]],$H139,CostTrack[[Holdback (Y/N/R)]:[Holdback (Y/N/R)]],"&lt;&gt;Release",CostTrack[[Status]:[Status]],"Approved",CostTrack[[Release Date (CMS)]:[Release Date (CMS)]],IF(MONTH(DK$7)=3,"&gt;0","&gt;="&amp;DK$7),CostTrack[[Release Date (CMS)]:[Release Date (CMS)]],IF(MONTH(DK$7)=3,"&gt;0","&lt;="&amp;EOMONTH(DK$7,0)),CostTrack[[InMarch]:[InMarch]],IF(MONTH(DK$7)=3,1,"&lt;&gt;1"),CostTrack[[Fiscal Period]:[Fiscal Period]],REPLACE(IF(MONTH(DK$7)&gt;3,YEAR(DK$7)&amp;"-"&amp;YEAR(DK$7)+1,YEAR(DK$7)-1&amp;"-"&amp;YEAR(DK$7)),6,2,""))</f>
        <v>0</v>
      </c>
      <c r="DL139" s="504">
        <f ca="1">SUMIFS(CostTrack[[Value]:[Value]],CostTrack[[PA ID]:[PA ID]],$B139,CostTrack[[Vendor - Contract]:[Vendor - Contract]],$H139,CostTrack[[Holdback (Y/N/R)]:[Holdback (Y/N/R)]],"&lt;&gt;Release",CostTrack[[Status]:[Status]],"Approved",CostTrack[[Release Date (CMS)]:[Release Date (CMS)]],IF(MONTH(DL$7)=3,"&gt;0","&gt;="&amp;DL$7),CostTrack[[Release Date (CMS)]:[Release Date (CMS)]],IF(MONTH(DL$7)=3,"&gt;0","&lt;="&amp;EOMONTH(DL$7,0)),CostTrack[[InMarch]:[InMarch]],IF(MONTH(DL$7)=3,1,"&lt;&gt;1"),CostTrack[[Fiscal Period]:[Fiscal Period]],REPLACE(IF(MONTH(DL$7)&gt;3,YEAR(DL$7)&amp;"-"&amp;YEAR(DL$7)+1,YEAR(DL$7)-1&amp;"-"&amp;YEAR(DL$7)),6,2,""))</f>
        <v>0</v>
      </c>
      <c r="DM139" s="512">
        <f t="shared" ca="1" si="257"/>
        <v>0</v>
      </c>
      <c r="DO139" s="504">
        <f ca="1">SUMIFS(CostTrack[[Value]:[Value]],CostTrack[[PA ID]:[PA ID]],$B139,CostTrack[[Vendor - Contract]:[Vendor - Contract]],$H139,CostTrack[[Holdback (Y/N/R)]:[Holdback (Y/N/R)]],"&lt;&gt;Release",CostTrack[[Status]:[Status]],"Approved",CostTrack[[Release Date (CMS)]:[Release Date (CMS)]],IF(MONTH(DO$7)=3,"&gt;0","&gt;="&amp;DO$7),CostTrack[[Release Date (CMS)]:[Release Date (CMS)]],IF(MONTH(DO$7)=3,"&gt;0","&lt;="&amp;EOMONTH(DO$7,0)),CostTrack[[InMarch]:[InMarch]],IF(MONTH(DO$7)=3,1,"&lt;&gt;1"),CostTrack[[Fiscal Period]:[Fiscal Period]],REPLACE(IF(MONTH(DO$7)&gt;3,YEAR(DO$7)&amp;"-"&amp;YEAR(DO$7)+1,YEAR(DO$7)-1&amp;"-"&amp;YEAR(DO$7)),6,2,""))</f>
        <v>0</v>
      </c>
      <c r="DP139" s="504">
        <f ca="1">SUMIFS(CostTrack[[Value]:[Value]],CostTrack[[PA ID]:[PA ID]],$B139,CostTrack[[Vendor - Contract]:[Vendor - Contract]],$H139,CostTrack[[Holdback (Y/N/R)]:[Holdback (Y/N/R)]],"&lt;&gt;Release",CostTrack[[Status]:[Status]],"Approved",CostTrack[[Release Date (CMS)]:[Release Date (CMS)]],IF(MONTH(DP$7)=3,"&gt;0","&gt;="&amp;DP$7),CostTrack[[Release Date (CMS)]:[Release Date (CMS)]],IF(MONTH(DP$7)=3,"&gt;0","&lt;="&amp;EOMONTH(DP$7,0)),CostTrack[[InMarch]:[InMarch]],IF(MONTH(DP$7)=3,1,"&lt;&gt;1"),CostTrack[[Fiscal Period]:[Fiscal Period]],REPLACE(IF(MONTH(DP$7)&gt;3,YEAR(DP$7)&amp;"-"&amp;YEAR(DP$7)+1,YEAR(DP$7)-1&amp;"-"&amp;YEAR(DP$7)),6,2,""))</f>
        <v>0</v>
      </c>
      <c r="DQ139" s="504">
        <f ca="1">SUMIFS(CostTrack[[Value]:[Value]],CostTrack[[PA ID]:[PA ID]],$B139,CostTrack[[Vendor - Contract]:[Vendor - Contract]],$H139,CostTrack[[Holdback (Y/N/R)]:[Holdback (Y/N/R)]],"&lt;&gt;Release",CostTrack[[Status]:[Status]],"Approved",CostTrack[[Release Date (CMS)]:[Release Date (CMS)]],IF(MONTH(DQ$7)=3,"&gt;0","&gt;="&amp;DQ$7),CostTrack[[Release Date (CMS)]:[Release Date (CMS)]],IF(MONTH(DQ$7)=3,"&gt;0","&lt;="&amp;EOMONTH(DQ$7,0)),CostTrack[[InMarch]:[InMarch]],IF(MONTH(DQ$7)=3,1,"&lt;&gt;1"),CostTrack[[Fiscal Period]:[Fiscal Period]],REPLACE(IF(MONTH(DQ$7)&gt;3,YEAR(DQ$7)&amp;"-"&amp;YEAR(DQ$7)+1,YEAR(DQ$7)-1&amp;"-"&amp;YEAR(DQ$7)),6,2,""))</f>
        <v>0</v>
      </c>
      <c r="DR139" s="504">
        <f ca="1">SUMIFS(CostTrack[[Value]:[Value]],CostTrack[[PA ID]:[PA ID]],$B139,CostTrack[[Vendor - Contract]:[Vendor - Contract]],$H139,CostTrack[[Holdback (Y/N/R)]:[Holdback (Y/N/R)]],"&lt;&gt;Release",CostTrack[[Status]:[Status]],"Approved",CostTrack[[Release Date (CMS)]:[Release Date (CMS)]],IF(MONTH(DR$7)=3,"&gt;0","&gt;="&amp;DR$7),CostTrack[[Release Date (CMS)]:[Release Date (CMS)]],IF(MONTH(DR$7)=3,"&gt;0","&lt;="&amp;EOMONTH(DR$7,0)),CostTrack[[InMarch]:[InMarch]],IF(MONTH(DR$7)=3,1,"&lt;&gt;1"),CostTrack[[Fiscal Period]:[Fiscal Period]],REPLACE(IF(MONTH(DR$7)&gt;3,YEAR(DR$7)&amp;"-"&amp;YEAR(DR$7)+1,YEAR(DR$7)-1&amp;"-"&amp;YEAR(DR$7)),6,2,""))</f>
        <v>0</v>
      </c>
      <c r="DS139" s="504">
        <f ca="1">SUMIFS(CostTrack[[Value]:[Value]],CostTrack[[PA ID]:[PA ID]],$B139,CostTrack[[Vendor - Contract]:[Vendor - Contract]],$H139,CostTrack[[Holdback (Y/N/R)]:[Holdback (Y/N/R)]],"&lt;&gt;Release",CostTrack[[Status]:[Status]],"Approved",CostTrack[[Release Date (CMS)]:[Release Date (CMS)]],IF(MONTH(DS$7)=3,"&gt;0","&gt;="&amp;DS$7),CostTrack[[Release Date (CMS)]:[Release Date (CMS)]],IF(MONTH(DS$7)=3,"&gt;0","&lt;="&amp;EOMONTH(DS$7,0)),CostTrack[[InMarch]:[InMarch]],IF(MONTH(DS$7)=3,1,"&lt;&gt;1"),CostTrack[[Fiscal Period]:[Fiscal Period]],REPLACE(IF(MONTH(DS$7)&gt;3,YEAR(DS$7)&amp;"-"&amp;YEAR(DS$7)+1,YEAR(DS$7)-1&amp;"-"&amp;YEAR(DS$7)),6,2,""))</f>
        <v>0</v>
      </c>
      <c r="DT139" s="504">
        <f ca="1">SUMIFS(CostTrack[[Value]:[Value]],CostTrack[[PA ID]:[PA ID]],$B139,CostTrack[[Vendor - Contract]:[Vendor - Contract]],$H139,CostTrack[[Holdback (Y/N/R)]:[Holdback (Y/N/R)]],"&lt;&gt;Release",CostTrack[[Status]:[Status]],"Approved",CostTrack[[Release Date (CMS)]:[Release Date (CMS)]],IF(MONTH(DT$7)=3,"&gt;0","&gt;="&amp;DT$7),CostTrack[[Release Date (CMS)]:[Release Date (CMS)]],IF(MONTH(DT$7)=3,"&gt;0","&lt;="&amp;EOMONTH(DT$7,0)),CostTrack[[InMarch]:[InMarch]],IF(MONTH(DT$7)=3,1,"&lt;&gt;1"),CostTrack[[Fiscal Period]:[Fiscal Period]],REPLACE(IF(MONTH(DT$7)&gt;3,YEAR(DT$7)&amp;"-"&amp;YEAR(DT$7)+1,YEAR(DT$7)-1&amp;"-"&amp;YEAR(DT$7)),6,2,""))</f>
        <v>0</v>
      </c>
      <c r="DU139" s="504">
        <f ca="1">SUMIFS(CostTrack[[Value]:[Value]],CostTrack[[PA ID]:[PA ID]],$B139,CostTrack[[Vendor - Contract]:[Vendor - Contract]],$H139,CostTrack[[Holdback (Y/N/R)]:[Holdback (Y/N/R)]],"&lt;&gt;Release",CostTrack[[Status]:[Status]],"Approved",CostTrack[[Release Date (CMS)]:[Release Date (CMS)]],IF(MONTH(DU$7)=3,"&gt;0","&gt;="&amp;DU$7),CostTrack[[Release Date (CMS)]:[Release Date (CMS)]],IF(MONTH(DU$7)=3,"&gt;0","&lt;="&amp;EOMONTH(DU$7,0)),CostTrack[[InMarch]:[InMarch]],IF(MONTH(DU$7)=3,1,"&lt;&gt;1"),CostTrack[[Fiscal Period]:[Fiscal Period]],REPLACE(IF(MONTH(DU$7)&gt;3,YEAR(DU$7)&amp;"-"&amp;YEAR(DU$7)+1,YEAR(DU$7)-1&amp;"-"&amp;YEAR(DU$7)),6,2,""))</f>
        <v>0</v>
      </c>
      <c r="DV139" s="504">
        <f ca="1">SUMIFS(CostTrack[[Value]:[Value]],CostTrack[[PA ID]:[PA ID]],$B139,CostTrack[[Vendor - Contract]:[Vendor - Contract]],$H139,CostTrack[[Holdback (Y/N/R)]:[Holdback (Y/N/R)]],"&lt;&gt;Release",CostTrack[[Status]:[Status]],"Approved",CostTrack[[Release Date (CMS)]:[Release Date (CMS)]],IF(MONTH(DV$7)=3,"&gt;0","&gt;="&amp;DV$7),CostTrack[[Release Date (CMS)]:[Release Date (CMS)]],IF(MONTH(DV$7)=3,"&gt;0","&lt;="&amp;EOMONTH(DV$7,0)),CostTrack[[InMarch]:[InMarch]],IF(MONTH(DV$7)=3,1,"&lt;&gt;1"),CostTrack[[Fiscal Period]:[Fiscal Period]],REPLACE(IF(MONTH(DV$7)&gt;3,YEAR(DV$7)&amp;"-"&amp;YEAR(DV$7)+1,YEAR(DV$7)-1&amp;"-"&amp;YEAR(DV$7)),6,2,""))</f>
        <v>0</v>
      </c>
      <c r="DW139" s="504">
        <f ca="1">SUMIFS(CostTrack[[Value]:[Value]],CostTrack[[PA ID]:[PA ID]],$B139,CostTrack[[Vendor - Contract]:[Vendor - Contract]],$H139,CostTrack[[Holdback (Y/N/R)]:[Holdback (Y/N/R)]],"&lt;&gt;Release",CostTrack[[Status]:[Status]],"Approved",CostTrack[[Release Date (CMS)]:[Release Date (CMS)]],IF(MONTH(DW$7)=3,"&gt;0","&gt;="&amp;DW$7),CostTrack[[Release Date (CMS)]:[Release Date (CMS)]],IF(MONTH(DW$7)=3,"&gt;0","&lt;="&amp;EOMONTH(DW$7,0)),CostTrack[[InMarch]:[InMarch]],IF(MONTH(DW$7)=3,1,"&lt;&gt;1"),CostTrack[[Fiscal Period]:[Fiscal Period]],REPLACE(IF(MONTH(DW$7)&gt;3,YEAR(DW$7)&amp;"-"&amp;YEAR(DW$7)+1,YEAR(DW$7)-1&amp;"-"&amp;YEAR(DW$7)),6,2,""))</f>
        <v>0</v>
      </c>
      <c r="DX139" s="504">
        <f ca="1">SUMIFS(CostTrack[[Value]:[Value]],CostTrack[[PA ID]:[PA ID]],$B139,CostTrack[[Vendor - Contract]:[Vendor - Contract]],$H139,CostTrack[[Holdback (Y/N/R)]:[Holdback (Y/N/R)]],"&lt;&gt;Release",CostTrack[[Status]:[Status]],"Approved",CostTrack[[Release Date (CMS)]:[Release Date (CMS)]],IF(MONTH(DX$7)=3,"&gt;0","&gt;="&amp;DX$7),CostTrack[[Release Date (CMS)]:[Release Date (CMS)]],IF(MONTH(DX$7)=3,"&gt;0","&lt;="&amp;EOMONTH(DX$7,0)),CostTrack[[InMarch]:[InMarch]],IF(MONTH(DX$7)=3,1,"&lt;&gt;1"),CostTrack[[Fiscal Period]:[Fiscal Period]],REPLACE(IF(MONTH(DX$7)&gt;3,YEAR(DX$7)&amp;"-"&amp;YEAR(DX$7)+1,YEAR(DX$7)-1&amp;"-"&amp;YEAR(DX$7)),6,2,""))</f>
        <v>0</v>
      </c>
      <c r="DY139" s="504">
        <f ca="1">SUMIFS(CostTrack[[Value]:[Value]],CostTrack[[PA ID]:[PA ID]],$B139,CostTrack[[Vendor - Contract]:[Vendor - Contract]],$H139,CostTrack[[Holdback (Y/N/R)]:[Holdback (Y/N/R)]],"&lt;&gt;Release",CostTrack[[Status]:[Status]],"Approved",CostTrack[[Release Date (CMS)]:[Release Date (CMS)]],IF(MONTH(DY$7)=3,"&gt;0","&gt;="&amp;DY$7),CostTrack[[Release Date (CMS)]:[Release Date (CMS)]],IF(MONTH(DY$7)=3,"&gt;0","&lt;="&amp;EOMONTH(DY$7,0)),CostTrack[[InMarch]:[InMarch]],IF(MONTH(DY$7)=3,1,"&lt;&gt;1"),CostTrack[[Fiscal Period]:[Fiscal Period]],REPLACE(IF(MONTH(DY$7)&gt;3,YEAR(DY$7)&amp;"-"&amp;YEAR(DY$7)+1,YEAR(DY$7)-1&amp;"-"&amp;YEAR(DY$7)),6,2,""))</f>
        <v>0</v>
      </c>
      <c r="DZ139" s="504">
        <f ca="1">SUMIFS(CostTrack[[Value]:[Value]],CostTrack[[PA ID]:[PA ID]],$B139,CostTrack[[Vendor - Contract]:[Vendor - Contract]],$H139,CostTrack[[Holdback (Y/N/R)]:[Holdback (Y/N/R)]],"&lt;&gt;Release",CostTrack[[Status]:[Status]],"Approved",CostTrack[[Release Date (CMS)]:[Release Date (CMS)]],IF(MONTH(DZ$7)=3,"&gt;0","&gt;="&amp;DZ$7),CostTrack[[Release Date (CMS)]:[Release Date (CMS)]],IF(MONTH(DZ$7)=3,"&gt;0","&lt;="&amp;EOMONTH(DZ$7,0)),CostTrack[[InMarch]:[InMarch]],IF(MONTH(DZ$7)=3,1,"&lt;&gt;1"),CostTrack[[Fiscal Period]:[Fiscal Period]],REPLACE(IF(MONTH(DZ$7)&gt;3,YEAR(DZ$7)&amp;"-"&amp;YEAR(DZ$7)+1,YEAR(DZ$7)-1&amp;"-"&amp;YEAR(DZ$7)),6,2,""))</f>
        <v>0</v>
      </c>
      <c r="EA139" s="512">
        <f t="shared" ca="1" si="270"/>
        <v>0</v>
      </c>
      <c r="EC139" s="504">
        <f ca="1">SUMIFS(CostTrack[[Value]:[Value]],CostTrack[[PA ID]:[PA ID]],$B139,CostTrack[[Vendor - Contract]:[Vendor - Contract]],$H139,CostTrack[[Holdback (Y/N/R)]:[Holdback (Y/N/R)]],"&lt;&gt;Release",CostTrack[[Status]:[Status]],"Approved",CostTrack[[Release Date (CMS)]:[Release Date (CMS)]],IF(MONTH(EC$7)=3,"&gt;0","&gt;="&amp;EC$7),CostTrack[[Release Date (CMS)]:[Release Date (CMS)]],IF(MONTH(EC$7)=3,"&gt;0","&lt;="&amp;EOMONTH(EC$7,0)),CostTrack[[InMarch]:[InMarch]],IF(MONTH(EC$7)=3,1,"&lt;&gt;1"),CostTrack[[Fiscal Period]:[Fiscal Period]],REPLACE(IF(MONTH(EC$7)&gt;3,YEAR(EC$7)&amp;"-"&amp;YEAR(EC$7)+1,YEAR(EC$7)-1&amp;"-"&amp;YEAR(EC$7)),6,2,""))</f>
        <v>0</v>
      </c>
      <c r="ED139" s="505"/>
      <c r="EE139" s="505"/>
      <c r="EF139" s="505"/>
      <c r="EG139" s="505"/>
      <c r="EH139" s="505"/>
      <c r="EI139" s="505"/>
      <c r="EJ139" s="505"/>
      <c r="EK139" s="505"/>
      <c r="EL139" s="505"/>
      <c r="EM139" s="505"/>
      <c r="EN139" s="505"/>
      <c r="EO139" s="512">
        <f t="shared" ca="1" si="271"/>
        <v>0</v>
      </c>
      <c r="EQ139" s="505"/>
      <c r="ER139" s="505"/>
      <c r="ES139" s="505"/>
      <c r="ET139" s="505"/>
      <c r="EU139" s="505"/>
      <c r="EV139" s="505"/>
      <c r="EW139" s="505"/>
      <c r="EX139" s="505"/>
      <c r="EY139" s="505"/>
      <c r="EZ139" s="505"/>
      <c r="FA139" s="505"/>
      <c r="FB139" s="505"/>
      <c r="FC139" s="512">
        <f t="shared" si="272"/>
        <v>0</v>
      </c>
      <c r="FE139" s="505"/>
      <c r="FF139" s="505"/>
      <c r="FG139" s="505"/>
      <c r="FH139" s="505"/>
      <c r="FI139" s="505"/>
      <c r="FJ139" s="505"/>
      <c r="FK139" s="505"/>
      <c r="FL139" s="505"/>
      <c r="FM139" s="505"/>
      <c r="FN139" s="505"/>
      <c r="FO139" s="505"/>
      <c r="FP139" s="505"/>
      <c r="FQ139" s="512">
        <f t="shared" si="273"/>
        <v>0</v>
      </c>
      <c r="FS139" s="504">
        <f t="shared" ca="1" si="274"/>
        <v>0</v>
      </c>
    </row>
    <row r="140" spans="1:175">
      <c r="B140" s="1150" t="s">
        <v>274</v>
      </c>
      <c r="C140" s="1151"/>
      <c r="D140" s="1151"/>
      <c r="E140" s="1151"/>
      <c r="F140" s="1151"/>
      <c r="G140" s="1152"/>
      <c r="H140" s="222"/>
      <c r="I140" s="465">
        <f ca="1">ROUND(SUM(I8:I139),2)</f>
        <v>191099999.88</v>
      </c>
      <c r="J140" s="465">
        <f ca="1">ROUND(SUM(J8:J139),2)</f>
        <v>182727345.40000001</v>
      </c>
      <c r="K140" s="465">
        <f ca="1">ROUND(SUM(K8:K139),2)</f>
        <v>8372654.4800000004</v>
      </c>
      <c r="M140" s="465">
        <f ca="1">ROUND(SUM(M6:M139),2)</f>
        <v>0</v>
      </c>
      <c r="O140" s="465">
        <f ca="1">ROUND(SUM(O8:O139),2)</f>
        <v>182447597.93000001</v>
      </c>
      <c r="P140" s="465">
        <f ca="1">ROUND(SUM(P8:P139),2)</f>
        <v>73319.77</v>
      </c>
      <c r="Q140" s="465">
        <f ca="1">ROUND(SUM(Q8:Q139),2)</f>
        <v>1441852.22</v>
      </c>
      <c r="R140" s="465">
        <f ca="1">ROUND(SUM(R8:R139),2)</f>
        <v>1515171.99</v>
      </c>
      <c r="S140" s="465">
        <f ca="1">ROUND(SUM(S8:S139),2)</f>
        <v>7137229.96</v>
      </c>
      <c r="T140" s="465"/>
      <c r="U140" s="465">
        <f ca="1">ROUND(SUM(U8:U139),2)</f>
        <v>0</v>
      </c>
      <c r="V140" s="465">
        <f t="shared" ref="V140:AF140" ca="1" si="284">ROUND(SUM(V8:V139),2)</f>
        <v>0</v>
      </c>
      <c r="W140" s="465">
        <f t="shared" ca="1" si="284"/>
        <v>0</v>
      </c>
      <c r="X140" s="465">
        <f t="shared" ca="1" si="284"/>
        <v>0</v>
      </c>
      <c r="Y140" s="465">
        <f t="shared" ca="1" si="284"/>
        <v>70549.600000000006</v>
      </c>
      <c r="Z140" s="465">
        <f t="shared" ca="1" si="284"/>
        <v>45459.99</v>
      </c>
      <c r="AA140" s="465">
        <f t="shared" ca="1" si="284"/>
        <v>64270.92</v>
      </c>
      <c r="AB140" s="465">
        <f t="shared" ca="1" si="284"/>
        <v>70291.48</v>
      </c>
      <c r="AC140" s="465">
        <f t="shared" ca="1" si="284"/>
        <v>113754.36</v>
      </c>
      <c r="AD140" s="465">
        <f t="shared" ca="1" si="284"/>
        <v>3366295.18</v>
      </c>
      <c r="AE140" s="465">
        <f t="shared" ca="1" si="284"/>
        <v>33626.18</v>
      </c>
      <c r="AF140" s="465">
        <f t="shared" ca="1" si="284"/>
        <v>40826.410000000003</v>
      </c>
      <c r="AG140" s="465">
        <f ca="1">ROUND(SUM(AG8:AG139),2)</f>
        <v>3805074.12</v>
      </c>
      <c r="AH140" s="465"/>
      <c r="AI140" s="465">
        <f ca="1">ROUND(SUM(AI8:AI139),2)</f>
        <v>0</v>
      </c>
      <c r="AJ140" s="465">
        <f t="shared" ref="AJ140:AT140" ca="1" si="285">ROUND(SUM(AJ8:AJ139),2)</f>
        <v>306030</v>
      </c>
      <c r="AK140" s="465">
        <f t="shared" ca="1" si="285"/>
        <v>1482047.17</v>
      </c>
      <c r="AL140" s="465">
        <f t="shared" ca="1" si="285"/>
        <v>425581.29</v>
      </c>
      <c r="AM140" s="465">
        <f t="shared" ca="1" si="285"/>
        <v>383205.15</v>
      </c>
      <c r="AN140" s="465">
        <f t="shared" ca="1" si="285"/>
        <v>341521.97</v>
      </c>
      <c r="AO140" s="465">
        <f t="shared" ca="1" si="285"/>
        <v>345370.03</v>
      </c>
      <c r="AP140" s="465">
        <f t="shared" ca="1" si="285"/>
        <v>354037.01</v>
      </c>
      <c r="AQ140" s="465">
        <f t="shared" ca="1" si="285"/>
        <v>257482.62</v>
      </c>
      <c r="AR140" s="465">
        <f t="shared" ca="1" si="285"/>
        <v>265998.07</v>
      </c>
      <c r="AS140" s="465">
        <f t="shared" ca="1" si="285"/>
        <v>258481.03</v>
      </c>
      <c r="AT140" s="465">
        <f t="shared" ca="1" si="285"/>
        <v>646547.74</v>
      </c>
      <c r="AU140" s="465">
        <f ca="1">ROUND(SUM(AU8:AU139),2)</f>
        <v>5066302.08</v>
      </c>
      <c r="AV140" s="465"/>
      <c r="AW140" s="465">
        <f ca="1">ROUND(SUM(AW8:AW139),2)</f>
        <v>34348.85</v>
      </c>
      <c r="AX140" s="465">
        <f t="shared" ref="AX140:BH140" ca="1" si="286">ROUND(SUM(AX8:AX139),2)</f>
        <v>560829.26</v>
      </c>
      <c r="AY140" s="465">
        <f t="shared" ca="1" si="286"/>
        <v>379011.21</v>
      </c>
      <c r="AZ140" s="465">
        <f t="shared" ca="1" si="286"/>
        <v>398927.95</v>
      </c>
      <c r="BA140" s="465">
        <f t="shared" ca="1" si="286"/>
        <v>417205.13</v>
      </c>
      <c r="BB140" s="465">
        <f t="shared" ca="1" si="286"/>
        <v>460514.61</v>
      </c>
      <c r="BC140" s="465">
        <f t="shared" ca="1" si="286"/>
        <v>618436.89</v>
      </c>
      <c r="BD140" s="465">
        <f t="shared" ca="1" si="286"/>
        <v>1382507.85</v>
      </c>
      <c r="BE140" s="465">
        <f t="shared" ca="1" si="286"/>
        <v>244742.35</v>
      </c>
      <c r="BF140" s="465">
        <f t="shared" ca="1" si="286"/>
        <v>160547.64000000001</v>
      </c>
      <c r="BG140" s="465">
        <f t="shared" ca="1" si="286"/>
        <v>54663.83</v>
      </c>
      <c r="BH140" s="465">
        <f t="shared" ca="1" si="286"/>
        <v>154625.39000000001</v>
      </c>
      <c r="BI140" s="465">
        <f ca="1">ROUND(SUM(BI8:BI139),2)</f>
        <v>4866360.96</v>
      </c>
      <c r="BJ140" s="465"/>
      <c r="BK140" s="465">
        <f ca="1">ROUND(SUM(BK8:BK139),2)</f>
        <v>32009.22</v>
      </c>
      <c r="BL140" s="465">
        <f t="shared" ref="BL140:BV140" ca="1" si="287">ROUND(SUM(BL8:BL139),2)</f>
        <v>87225.77</v>
      </c>
      <c r="BM140" s="465">
        <f t="shared" ca="1" si="287"/>
        <v>147894.70000000001</v>
      </c>
      <c r="BN140" s="465">
        <f t="shared" ca="1" si="287"/>
        <v>159353.51</v>
      </c>
      <c r="BO140" s="465">
        <f t="shared" ca="1" si="287"/>
        <v>235597.81</v>
      </c>
      <c r="BP140" s="465">
        <f t="shared" ca="1" si="287"/>
        <v>2787597.66</v>
      </c>
      <c r="BQ140" s="465">
        <f t="shared" ca="1" si="287"/>
        <v>896855.61</v>
      </c>
      <c r="BR140" s="465">
        <f t="shared" ca="1" si="287"/>
        <v>1637398.74</v>
      </c>
      <c r="BS140" s="465">
        <f t="shared" ca="1" si="287"/>
        <v>1092048.67</v>
      </c>
      <c r="BT140" s="465">
        <f t="shared" ca="1" si="287"/>
        <v>1626918.09</v>
      </c>
      <c r="BU140" s="465">
        <f t="shared" ca="1" si="287"/>
        <v>2188545.7799999998</v>
      </c>
      <c r="BV140" s="465">
        <f t="shared" ca="1" si="287"/>
        <v>4375234.74</v>
      </c>
      <c r="BW140" s="465">
        <f ca="1">ROUND(SUM(BW8:BW139),2)</f>
        <v>15266680.300000001</v>
      </c>
      <c r="BX140" s="465"/>
      <c r="BY140" s="465">
        <f ca="1">ROUND(SUM(BY8:BY139),2)</f>
        <v>48667.5</v>
      </c>
      <c r="BZ140" s="465">
        <f t="shared" ref="BZ140:CJ140" ca="1" si="288">ROUND(SUM(BZ8:BZ139),2)</f>
        <v>2545147.9</v>
      </c>
      <c r="CA140" s="465">
        <f t="shared" ca="1" si="288"/>
        <v>2392322.62</v>
      </c>
      <c r="CB140" s="465">
        <f t="shared" ca="1" si="288"/>
        <v>2107079.7599999998</v>
      </c>
      <c r="CC140" s="465">
        <f t="shared" ca="1" si="288"/>
        <v>2349776.7599999998</v>
      </c>
      <c r="CD140" s="465">
        <f t="shared" ca="1" si="288"/>
        <v>1868298.45</v>
      </c>
      <c r="CE140" s="465">
        <f t="shared" ca="1" si="288"/>
        <v>2520593.7799999998</v>
      </c>
      <c r="CF140" s="465">
        <f t="shared" ca="1" si="288"/>
        <v>2265015.19</v>
      </c>
      <c r="CG140" s="465">
        <f t="shared" ca="1" si="288"/>
        <v>2909666.84</v>
      </c>
      <c r="CH140" s="465">
        <f t="shared" ca="1" si="288"/>
        <v>2739074.1</v>
      </c>
      <c r="CI140" s="465">
        <f t="shared" ca="1" si="288"/>
        <v>152285.85999999999</v>
      </c>
      <c r="CJ140" s="465">
        <f t="shared" ca="1" si="288"/>
        <v>8926629.4700000007</v>
      </c>
      <c r="CK140" s="465">
        <f ca="1">ROUND(SUM(CK8:CK139),2)</f>
        <v>30824558.23</v>
      </c>
      <c r="CL140" s="465">
        <f>ROUND(SUM(CL8:CL94),2)</f>
        <v>0</v>
      </c>
      <c r="CM140" s="465">
        <f ca="1">ROUND(SUM(CM8:CM139),2)</f>
        <v>452020.68</v>
      </c>
      <c r="CN140" s="465">
        <f t="shared" ref="CN140:CX140" ca="1" si="289">ROUND(SUM(CN8:CN139),2)</f>
        <v>4449468.43</v>
      </c>
      <c r="CO140" s="465">
        <f t="shared" ca="1" si="289"/>
        <v>6086613.5599999996</v>
      </c>
      <c r="CP140" s="465">
        <f t="shared" ca="1" si="289"/>
        <v>5872216.3300000001</v>
      </c>
      <c r="CQ140" s="465">
        <f t="shared" ca="1" si="289"/>
        <v>6321995.7800000003</v>
      </c>
      <c r="CR140" s="465">
        <f t="shared" ca="1" si="289"/>
        <v>9531002.9900000002</v>
      </c>
      <c r="CS140" s="465">
        <f t="shared" ca="1" si="289"/>
        <v>7429437.1600000001</v>
      </c>
      <c r="CT140" s="465">
        <f t="shared" ca="1" si="289"/>
        <v>7604604.9000000004</v>
      </c>
      <c r="CU140" s="465">
        <f t="shared" ca="1" si="289"/>
        <v>5900682.6299999999</v>
      </c>
      <c r="CV140" s="465">
        <f t="shared" ca="1" si="289"/>
        <v>6244703.5800000001</v>
      </c>
      <c r="CW140" s="465">
        <f t="shared" ca="1" si="289"/>
        <v>5955543.25</v>
      </c>
      <c r="CX140" s="465">
        <f t="shared" ca="1" si="289"/>
        <v>11132382.43</v>
      </c>
      <c r="CY140" s="465">
        <f ca="1">ROUND(SUM(CY8:CY139),2)</f>
        <v>76980671.719999999</v>
      </c>
      <c r="CZ140" s="465"/>
      <c r="DA140" s="465">
        <f ca="1">ROUND(SUM(DA8:DA139),2)</f>
        <v>278497.15999999997</v>
      </c>
      <c r="DB140" s="465">
        <f t="shared" ref="DB140:DL140" ca="1" si="290">ROUND(SUM(DB8:DB139),2)</f>
        <v>4882063.99</v>
      </c>
      <c r="DC140" s="465">
        <f t="shared" ca="1" si="290"/>
        <v>4731909.47</v>
      </c>
      <c r="DD140" s="465">
        <f t="shared" ca="1" si="290"/>
        <v>3728976.35</v>
      </c>
      <c r="DE140" s="465">
        <f t="shared" ca="1" si="290"/>
        <v>4003755.78</v>
      </c>
      <c r="DF140" s="465">
        <f t="shared" ca="1" si="290"/>
        <v>3956157.25</v>
      </c>
      <c r="DG140" s="465">
        <f t="shared" ca="1" si="290"/>
        <v>3073240.23</v>
      </c>
      <c r="DH140" s="465">
        <f t="shared" ca="1" si="290"/>
        <v>1972629.76</v>
      </c>
      <c r="DI140" s="465">
        <f t="shared" ca="1" si="290"/>
        <v>1946571.27</v>
      </c>
      <c r="DJ140" s="465">
        <f t="shared" ca="1" si="290"/>
        <v>1502118.09</v>
      </c>
      <c r="DK140" s="465">
        <f t="shared" ca="1" si="290"/>
        <v>1395339.27</v>
      </c>
      <c r="DL140" s="465">
        <f t="shared" ca="1" si="290"/>
        <v>2667921.7400000002</v>
      </c>
      <c r="DM140" s="465">
        <f ca="1">ROUND(SUM(DM8:DM139),2)</f>
        <v>34139180.359999999</v>
      </c>
      <c r="DN140" s="465"/>
      <c r="DO140" s="465">
        <f t="shared" ref="DO140:FM140" ca="1" si="291">ROUND(SUM(DO8:DO139),2)</f>
        <v>193776.56</v>
      </c>
      <c r="DP140" s="465">
        <f t="shared" ca="1" si="291"/>
        <v>89723.25</v>
      </c>
      <c r="DQ140" s="465">
        <f t="shared" ca="1" si="291"/>
        <v>746845.92</v>
      </c>
      <c r="DR140" s="465">
        <f t="shared" ca="1" si="291"/>
        <v>662047.47</v>
      </c>
      <c r="DS140" s="465">
        <f t="shared" ca="1" si="291"/>
        <v>746370.79</v>
      </c>
      <c r="DT140" s="465">
        <f t="shared" ca="1" si="291"/>
        <v>49192.73</v>
      </c>
      <c r="DU140" s="465">
        <f ca="1">ROUND(SUM(DU8:DU139),2)</f>
        <v>5549374.2800000003</v>
      </c>
      <c r="DV140" s="465">
        <f t="shared" ca="1" si="291"/>
        <v>999375.68</v>
      </c>
      <c r="DW140" s="465">
        <f t="shared" ca="1" si="291"/>
        <v>520860.1</v>
      </c>
      <c r="DX140" s="465">
        <f t="shared" ca="1" si="291"/>
        <v>433312.34</v>
      </c>
      <c r="DY140" s="465">
        <f t="shared" ca="1" si="291"/>
        <v>629450.86</v>
      </c>
      <c r="DZ140" s="465">
        <f t="shared" ca="1" si="291"/>
        <v>878440.18</v>
      </c>
      <c r="EA140" s="465">
        <f t="shared" ca="1" si="291"/>
        <v>11498770.16</v>
      </c>
      <c r="EB140" s="465">
        <f t="shared" si="291"/>
        <v>0</v>
      </c>
      <c r="EC140" s="465">
        <f t="shared" ca="1" si="291"/>
        <v>73319.77</v>
      </c>
      <c r="ED140" s="465">
        <f t="shared" si="291"/>
        <v>198632.21</v>
      </c>
      <c r="EE140" s="465">
        <f t="shared" si="291"/>
        <v>119000</v>
      </c>
      <c r="EF140" s="465">
        <f t="shared" si="291"/>
        <v>492748</v>
      </c>
      <c r="EG140" s="465">
        <f t="shared" si="291"/>
        <v>324210.90999999997</v>
      </c>
      <c r="EH140" s="465">
        <f t="shared" si="291"/>
        <v>58803</v>
      </c>
      <c r="EI140" s="465">
        <f t="shared" si="291"/>
        <v>18402.14</v>
      </c>
      <c r="EJ140" s="465">
        <f t="shared" si="291"/>
        <v>0</v>
      </c>
      <c r="EK140" s="465">
        <f t="shared" si="291"/>
        <v>0</v>
      </c>
      <c r="EL140" s="465">
        <f t="shared" si="291"/>
        <v>0</v>
      </c>
      <c r="EM140" s="465">
        <f t="shared" si="291"/>
        <v>0</v>
      </c>
      <c r="EN140" s="465">
        <f t="shared" si="291"/>
        <v>230055.96</v>
      </c>
      <c r="EO140" s="465">
        <f t="shared" ca="1" si="291"/>
        <v>1515171.99</v>
      </c>
      <c r="EP140" s="465">
        <f t="shared" si="291"/>
        <v>0</v>
      </c>
      <c r="EQ140" s="465">
        <f t="shared" si="291"/>
        <v>14111.53</v>
      </c>
      <c r="ER140" s="465">
        <f t="shared" si="291"/>
        <v>4746252.13</v>
      </c>
      <c r="ES140" s="465">
        <f t="shared" si="291"/>
        <v>0</v>
      </c>
      <c r="ET140" s="465">
        <f t="shared" si="291"/>
        <v>200000</v>
      </c>
      <c r="EU140" s="465">
        <f t="shared" si="291"/>
        <v>200000</v>
      </c>
      <c r="EV140" s="465">
        <f t="shared" si="291"/>
        <v>200000</v>
      </c>
      <c r="EW140" s="465">
        <f t="shared" si="291"/>
        <v>200000</v>
      </c>
      <c r="EX140" s="465">
        <f t="shared" si="291"/>
        <v>0</v>
      </c>
      <c r="EY140" s="465">
        <f t="shared" si="291"/>
        <v>0</v>
      </c>
      <c r="EZ140" s="465">
        <f t="shared" si="291"/>
        <v>0</v>
      </c>
      <c r="FA140" s="465">
        <f t="shared" si="291"/>
        <v>0</v>
      </c>
      <c r="FB140" s="465">
        <f t="shared" si="291"/>
        <v>1576866.3</v>
      </c>
      <c r="FC140" s="465">
        <f t="shared" si="291"/>
        <v>7137229.96</v>
      </c>
      <c r="FD140" s="465">
        <f t="shared" si="291"/>
        <v>0</v>
      </c>
      <c r="FE140" s="465">
        <f t="shared" si="291"/>
        <v>0</v>
      </c>
      <c r="FF140" s="465">
        <f t="shared" si="291"/>
        <v>0</v>
      </c>
      <c r="FG140" s="465">
        <f t="shared" si="291"/>
        <v>0</v>
      </c>
      <c r="FH140" s="465">
        <f t="shared" si="291"/>
        <v>0</v>
      </c>
      <c r="FI140" s="465">
        <f t="shared" si="291"/>
        <v>0</v>
      </c>
      <c r="FJ140" s="465">
        <f t="shared" si="291"/>
        <v>0</v>
      </c>
      <c r="FK140" s="465">
        <f t="shared" si="291"/>
        <v>0</v>
      </c>
      <c r="FL140" s="465">
        <f t="shared" si="291"/>
        <v>0</v>
      </c>
      <c r="FM140" s="465">
        <f t="shared" si="291"/>
        <v>0</v>
      </c>
      <c r="FN140" s="465">
        <f t="shared" ref="FN140:FS140" si="292">ROUND(SUM(FN8:FN139),2)</f>
        <v>0</v>
      </c>
      <c r="FO140" s="465">
        <f t="shared" si="292"/>
        <v>0</v>
      </c>
      <c r="FP140" s="465">
        <f t="shared" si="292"/>
        <v>0</v>
      </c>
      <c r="FQ140" s="465">
        <f t="shared" si="292"/>
        <v>0</v>
      </c>
      <c r="FR140" s="465">
        <f t="shared" si="292"/>
        <v>0</v>
      </c>
      <c r="FS140" s="465">
        <f t="shared" ca="1" si="292"/>
        <v>191099999.88</v>
      </c>
    </row>
    <row r="141" spans="1:175">
      <c r="G141"/>
      <c r="H141"/>
      <c r="I141"/>
      <c r="J141"/>
      <c r="S141" s="344" t="s">
        <v>1589</v>
      </c>
      <c r="U141" s="507">
        <f ca="1">U140</f>
        <v>0</v>
      </c>
      <c r="V141" s="507">
        <f ca="1">V140+U141</f>
        <v>0</v>
      </c>
      <c r="W141" s="507">
        <f t="shared" ref="W141:AF141" ca="1" si="293">W140+V141</f>
        <v>0</v>
      </c>
      <c r="X141" s="507">
        <f t="shared" ca="1" si="293"/>
        <v>0</v>
      </c>
      <c r="Y141" s="507">
        <f t="shared" ca="1" si="293"/>
        <v>70549.600000000006</v>
      </c>
      <c r="Z141" s="507">
        <f t="shared" ca="1" si="293"/>
        <v>116009.59</v>
      </c>
      <c r="AA141" s="507">
        <f t="shared" ca="1" si="293"/>
        <v>180280.51</v>
      </c>
      <c r="AB141" s="507">
        <f t="shared" ca="1" si="293"/>
        <v>250571.99</v>
      </c>
      <c r="AC141" s="507">
        <f t="shared" ca="1" si="293"/>
        <v>364326.35</v>
      </c>
      <c r="AD141" s="507">
        <f t="shared" ca="1" si="293"/>
        <v>3730621.5300000003</v>
      </c>
      <c r="AE141" s="507">
        <f t="shared" ca="1" si="293"/>
        <v>3764247.7100000004</v>
      </c>
      <c r="AF141" s="507">
        <f t="shared" ca="1" si="293"/>
        <v>3805074.1200000006</v>
      </c>
      <c r="AG141" s="508"/>
      <c r="AI141" s="507">
        <f ca="1">AI140+AF141</f>
        <v>3805074.1200000006</v>
      </c>
      <c r="AJ141" s="507">
        <f ca="1">AJ140+AI141</f>
        <v>4111104.1200000006</v>
      </c>
      <c r="AK141" s="507">
        <f t="shared" ref="AK141:AT141" ca="1" si="294">AK140+AJ141</f>
        <v>5593151.290000001</v>
      </c>
      <c r="AL141" s="507">
        <f t="shared" ca="1" si="294"/>
        <v>6018732.580000001</v>
      </c>
      <c r="AM141" s="507">
        <f t="shared" ca="1" si="294"/>
        <v>6401937.7300000014</v>
      </c>
      <c r="AN141" s="507">
        <f t="shared" ca="1" si="294"/>
        <v>6743459.7000000011</v>
      </c>
      <c r="AO141" s="507">
        <f t="shared" ca="1" si="294"/>
        <v>7088829.7300000014</v>
      </c>
      <c r="AP141" s="507">
        <f t="shared" ca="1" si="294"/>
        <v>7442866.7400000012</v>
      </c>
      <c r="AQ141" s="507">
        <f t="shared" ca="1" si="294"/>
        <v>7700349.3600000013</v>
      </c>
      <c r="AR141" s="507">
        <f t="shared" ca="1" si="294"/>
        <v>7966347.4300000016</v>
      </c>
      <c r="AS141" s="507">
        <f t="shared" ca="1" si="294"/>
        <v>8224828.4600000018</v>
      </c>
      <c r="AT141" s="507">
        <f t="shared" ca="1" si="294"/>
        <v>8871376.2000000011</v>
      </c>
      <c r="AW141" s="507">
        <f ca="1">AW140+AT141</f>
        <v>8905725.0500000007</v>
      </c>
      <c r="AX141" s="507">
        <f ca="1">AX140+AW141</f>
        <v>9466554.3100000005</v>
      </c>
      <c r="AY141" s="507">
        <f t="shared" ref="AY141:BH141" ca="1" si="295">AY140+AX141</f>
        <v>9845565.5200000014</v>
      </c>
      <c r="AZ141" s="507">
        <f t="shared" ca="1" si="295"/>
        <v>10244493.470000001</v>
      </c>
      <c r="BA141" s="507">
        <f t="shared" ca="1" si="295"/>
        <v>10661698.600000001</v>
      </c>
      <c r="BB141" s="507">
        <f t="shared" ca="1" si="295"/>
        <v>11122213.210000001</v>
      </c>
      <c r="BC141" s="507">
        <f t="shared" ca="1" si="295"/>
        <v>11740650.100000001</v>
      </c>
      <c r="BD141" s="507">
        <f t="shared" ca="1" si="295"/>
        <v>13123157.950000001</v>
      </c>
      <c r="BE141" s="507">
        <f t="shared" ca="1" si="295"/>
        <v>13367900.300000001</v>
      </c>
      <c r="BF141" s="507">
        <f t="shared" ca="1" si="295"/>
        <v>13528447.940000001</v>
      </c>
      <c r="BG141" s="507">
        <f t="shared" ca="1" si="295"/>
        <v>13583111.770000001</v>
      </c>
      <c r="BH141" s="507">
        <f t="shared" ca="1" si="295"/>
        <v>13737737.160000002</v>
      </c>
      <c r="BK141" s="507">
        <f ca="1">BK140+BH141</f>
        <v>13769746.380000003</v>
      </c>
      <c r="BL141" s="507">
        <f ca="1">BL140+BK141</f>
        <v>13856972.150000002</v>
      </c>
      <c r="BM141" s="507">
        <f t="shared" ref="BM141:BV141" ca="1" si="296">BM140+BL141</f>
        <v>14004866.850000001</v>
      </c>
      <c r="BN141" s="507">
        <f t="shared" ca="1" si="296"/>
        <v>14164220.360000001</v>
      </c>
      <c r="BO141" s="507">
        <f t="shared" ca="1" si="296"/>
        <v>14399818.170000002</v>
      </c>
      <c r="BP141" s="507">
        <f t="shared" ca="1" si="296"/>
        <v>17187415.830000002</v>
      </c>
      <c r="BQ141" s="507">
        <f t="shared" ca="1" si="296"/>
        <v>18084271.440000001</v>
      </c>
      <c r="BR141" s="507">
        <f t="shared" ca="1" si="296"/>
        <v>19721670.18</v>
      </c>
      <c r="BS141" s="507">
        <f t="shared" ca="1" si="296"/>
        <v>20813718.850000001</v>
      </c>
      <c r="BT141" s="507">
        <f t="shared" ca="1" si="296"/>
        <v>22440636.940000001</v>
      </c>
      <c r="BU141" s="507">
        <f t="shared" ca="1" si="296"/>
        <v>24629182.720000003</v>
      </c>
      <c r="BV141" s="507">
        <f t="shared" ca="1" si="296"/>
        <v>29004417.460000001</v>
      </c>
      <c r="BY141" s="507">
        <f ca="1">BY140+BV141</f>
        <v>29053084.960000001</v>
      </c>
      <c r="BZ141" s="507">
        <f ca="1">BZ140+BY141</f>
        <v>31598232.859999999</v>
      </c>
      <c r="CA141" s="507">
        <f t="shared" ref="CA141:CJ141" ca="1" si="297">CA140+BZ141</f>
        <v>33990555.479999997</v>
      </c>
      <c r="CB141" s="507">
        <f t="shared" ca="1" si="297"/>
        <v>36097635.239999995</v>
      </c>
      <c r="CC141" s="507">
        <f t="shared" ca="1" si="297"/>
        <v>38447411.999999993</v>
      </c>
      <c r="CD141" s="507">
        <f t="shared" ca="1" si="297"/>
        <v>40315710.449999996</v>
      </c>
      <c r="CE141" s="507">
        <f t="shared" ca="1" si="297"/>
        <v>42836304.229999997</v>
      </c>
      <c r="CF141" s="507">
        <f t="shared" ca="1" si="297"/>
        <v>45101319.419999994</v>
      </c>
      <c r="CG141" s="507">
        <f t="shared" ca="1" si="297"/>
        <v>48010986.25999999</v>
      </c>
      <c r="CH141" s="507">
        <f t="shared" ca="1" si="297"/>
        <v>50750060.359999992</v>
      </c>
      <c r="CI141" s="507">
        <f t="shared" ca="1" si="297"/>
        <v>50902346.219999991</v>
      </c>
      <c r="CJ141" s="507">
        <f t="shared" ca="1" si="297"/>
        <v>59828975.68999999</v>
      </c>
      <c r="CM141" s="507">
        <f ca="1">CM140+CJ141</f>
        <v>60280996.36999999</v>
      </c>
      <c r="CN141" s="507">
        <f ca="1">CN140+CM141</f>
        <v>64730464.79999999</v>
      </c>
      <c r="CO141" s="507">
        <f t="shared" ref="CO141:CX141" ca="1" si="298">CO140+CN141</f>
        <v>70817078.359999985</v>
      </c>
      <c r="CP141" s="507">
        <f t="shared" ca="1" si="298"/>
        <v>76689294.689999983</v>
      </c>
      <c r="CQ141" s="507">
        <f t="shared" ca="1" si="298"/>
        <v>83011290.469999984</v>
      </c>
      <c r="CR141" s="507">
        <f t="shared" ca="1" si="298"/>
        <v>92542293.459999979</v>
      </c>
      <c r="CS141" s="507">
        <f t="shared" ca="1" si="298"/>
        <v>99971730.619999975</v>
      </c>
      <c r="CT141" s="507">
        <f t="shared" ca="1" si="298"/>
        <v>107576335.51999998</v>
      </c>
      <c r="CU141" s="507">
        <f t="shared" ca="1" si="298"/>
        <v>113477018.14999998</v>
      </c>
      <c r="CV141" s="507">
        <f t="shared" ca="1" si="298"/>
        <v>119721721.72999997</v>
      </c>
      <c r="CW141" s="507">
        <f t="shared" ca="1" si="298"/>
        <v>125677264.97999997</v>
      </c>
      <c r="CX141" s="507">
        <f t="shared" ca="1" si="298"/>
        <v>136809647.40999997</v>
      </c>
      <c r="DA141" s="507">
        <f ca="1">DA140+CX141</f>
        <v>137088144.56999996</v>
      </c>
      <c r="DB141" s="507">
        <f ca="1">DB140+DA141</f>
        <v>141970208.55999997</v>
      </c>
      <c r="DC141" s="507">
        <f t="shared" ref="DC141:DK141" ca="1" si="299">DC140+DB141</f>
        <v>146702118.02999997</v>
      </c>
      <c r="DD141" s="507">
        <f t="shared" ca="1" si="299"/>
        <v>150431094.37999997</v>
      </c>
      <c r="DE141" s="507">
        <f t="shared" ca="1" si="299"/>
        <v>154434850.15999997</v>
      </c>
      <c r="DF141" s="507">
        <f t="shared" ca="1" si="299"/>
        <v>158391007.40999997</v>
      </c>
      <c r="DG141" s="507">
        <f t="shared" ca="1" si="299"/>
        <v>161464247.63999996</v>
      </c>
      <c r="DH141" s="507">
        <f t="shared" ca="1" si="299"/>
        <v>163436877.39999995</v>
      </c>
      <c r="DI141" s="507">
        <f t="shared" ca="1" si="299"/>
        <v>165383448.66999996</v>
      </c>
      <c r="DJ141" s="507">
        <f t="shared" ca="1" si="299"/>
        <v>166885566.75999996</v>
      </c>
      <c r="DK141" s="507">
        <f t="shared" ca="1" si="299"/>
        <v>168280906.02999997</v>
      </c>
      <c r="DL141" s="507">
        <f ca="1">DL140+DK141</f>
        <v>170948827.76999998</v>
      </c>
      <c r="DM141"/>
      <c r="DN141"/>
      <c r="DO141" s="507">
        <f ca="1">DO140+DL141</f>
        <v>171142604.32999998</v>
      </c>
      <c r="DP141" s="507">
        <f ca="1">DP140+DO141</f>
        <v>171232327.57999998</v>
      </c>
      <c r="DQ141" s="507">
        <f t="shared" ref="DQ141:DZ141" ca="1" si="300">DQ140+DP141</f>
        <v>171979173.49999997</v>
      </c>
      <c r="DR141" s="507">
        <f t="shared" ca="1" si="300"/>
        <v>172641220.96999997</v>
      </c>
      <c r="DS141" s="507">
        <f t="shared" ca="1" si="300"/>
        <v>173387591.75999996</v>
      </c>
      <c r="DT141" s="507">
        <f t="shared" ca="1" si="300"/>
        <v>173436784.48999995</v>
      </c>
      <c r="DU141" s="507">
        <f t="shared" ca="1" si="300"/>
        <v>178986158.76999995</v>
      </c>
      <c r="DV141" s="507">
        <f t="shared" ca="1" si="300"/>
        <v>179985534.44999996</v>
      </c>
      <c r="DW141" s="507">
        <f t="shared" ca="1" si="300"/>
        <v>180506394.54999995</v>
      </c>
      <c r="DX141" s="507">
        <f t="shared" ca="1" si="300"/>
        <v>180939706.88999996</v>
      </c>
      <c r="DY141" s="507">
        <f t="shared" ca="1" si="300"/>
        <v>181569157.74999997</v>
      </c>
      <c r="DZ141" s="507">
        <f t="shared" ca="1" si="300"/>
        <v>182447597.92999998</v>
      </c>
      <c r="EA141"/>
      <c r="EC141" s="507">
        <f ca="1">EC140+DZ141</f>
        <v>182520917.69999999</v>
      </c>
      <c r="ED141" s="507">
        <f ca="1">ED140+EC141</f>
        <v>182719549.91</v>
      </c>
      <c r="EE141" s="507">
        <f t="shared" ref="EE141:EM141" ca="1" si="301">EE140+ED141</f>
        <v>182838549.91</v>
      </c>
      <c r="EF141" s="507">
        <f t="shared" ca="1" si="301"/>
        <v>183331297.91</v>
      </c>
      <c r="EG141" s="507">
        <f t="shared" ca="1" si="301"/>
        <v>183655508.81999999</v>
      </c>
      <c r="EH141" s="507">
        <f t="shared" ca="1" si="301"/>
        <v>183714311.81999999</v>
      </c>
      <c r="EI141" s="507">
        <f t="shared" ca="1" si="301"/>
        <v>183732713.95999998</v>
      </c>
      <c r="EJ141" s="507">
        <f t="shared" ca="1" si="301"/>
        <v>183732713.95999998</v>
      </c>
      <c r="EK141" s="507">
        <f t="shared" ca="1" si="301"/>
        <v>183732713.95999998</v>
      </c>
      <c r="EL141" s="507">
        <f t="shared" ca="1" si="301"/>
        <v>183732713.95999998</v>
      </c>
      <c r="EM141" s="507">
        <f t="shared" ca="1" si="301"/>
        <v>183732713.95999998</v>
      </c>
      <c r="EN141" s="507"/>
      <c r="EQ141" s="507">
        <f>EQ140+EN141</f>
        <v>14111.53</v>
      </c>
      <c r="ER141" s="507">
        <f>ER140+EQ141</f>
        <v>4760363.66</v>
      </c>
      <c r="ES141" s="507">
        <f t="shared" ref="ES141:FB141" si="302">ES140+ER141</f>
        <v>4760363.66</v>
      </c>
      <c r="ET141" s="507">
        <f t="shared" si="302"/>
        <v>4960363.66</v>
      </c>
      <c r="EU141" s="507">
        <f t="shared" si="302"/>
        <v>5160363.66</v>
      </c>
      <c r="EV141" s="507">
        <f t="shared" si="302"/>
        <v>5360363.66</v>
      </c>
      <c r="EW141" s="507">
        <f t="shared" si="302"/>
        <v>5560363.6600000001</v>
      </c>
      <c r="EX141" s="507">
        <f t="shared" si="302"/>
        <v>5560363.6600000001</v>
      </c>
      <c r="EY141" s="507">
        <f t="shared" si="302"/>
        <v>5560363.6600000001</v>
      </c>
      <c r="EZ141" s="507">
        <f t="shared" si="302"/>
        <v>5560363.6600000001</v>
      </c>
      <c r="FA141" s="507">
        <f t="shared" si="302"/>
        <v>5560363.6600000001</v>
      </c>
      <c r="FB141" s="507">
        <f t="shared" si="302"/>
        <v>7137229.96</v>
      </c>
      <c r="FE141" s="507">
        <f>FE140+FB141</f>
        <v>7137229.96</v>
      </c>
      <c r="FF141" s="507">
        <f>FF140+FE141</f>
        <v>7137229.96</v>
      </c>
      <c r="FG141" s="507">
        <f t="shared" ref="FG141:FP141" si="303">FG140+FF141</f>
        <v>7137229.96</v>
      </c>
      <c r="FH141" s="507">
        <f t="shared" si="303"/>
        <v>7137229.96</v>
      </c>
      <c r="FI141" s="507">
        <f t="shared" si="303"/>
        <v>7137229.96</v>
      </c>
      <c r="FJ141" s="507">
        <f t="shared" si="303"/>
        <v>7137229.96</v>
      </c>
      <c r="FK141" s="507">
        <f t="shared" si="303"/>
        <v>7137229.96</v>
      </c>
      <c r="FL141" s="507">
        <f t="shared" si="303"/>
        <v>7137229.96</v>
      </c>
      <c r="FM141" s="507">
        <f t="shared" si="303"/>
        <v>7137229.96</v>
      </c>
      <c r="FN141" s="507">
        <f t="shared" si="303"/>
        <v>7137229.96</v>
      </c>
      <c r="FO141" s="507">
        <f t="shared" si="303"/>
        <v>7137229.96</v>
      </c>
      <c r="FP141" s="507">
        <f t="shared" si="303"/>
        <v>7137229.96</v>
      </c>
    </row>
    <row r="142" spans="1:175">
      <c r="G142"/>
      <c r="H142"/>
      <c r="I142"/>
      <c r="J142"/>
      <c r="M142" s="962"/>
      <c r="N142" s="371"/>
      <c r="O142" s="371"/>
      <c r="P142" s="372" t="s">
        <v>1590</v>
      </c>
      <c r="Q142" s="540">
        <v>45561</v>
      </c>
      <c r="R142" s="370"/>
      <c r="S142" s="373" t="s">
        <v>1591</v>
      </c>
      <c r="U142" s="509"/>
      <c r="V142" s="509"/>
      <c r="W142" s="509"/>
      <c r="X142" s="509"/>
      <c r="Y142" s="509">
        <v>70549.600000000006</v>
      </c>
      <c r="Z142" s="509">
        <v>45459.99</v>
      </c>
      <c r="AA142" s="509">
        <v>64270.92</v>
      </c>
      <c r="AB142" s="509">
        <v>70291.48</v>
      </c>
      <c r="AC142" s="509">
        <v>113754.36</v>
      </c>
      <c r="AD142" s="509">
        <v>3366295.18</v>
      </c>
      <c r="AE142" s="509">
        <v>33626.18</v>
      </c>
      <c r="AF142" s="509">
        <v>40826.410000000003</v>
      </c>
      <c r="AG142" s="510"/>
      <c r="AH142"/>
      <c r="AI142" s="509">
        <v>0</v>
      </c>
      <c r="AJ142" s="509">
        <v>306030</v>
      </c>
      <c r="AK142" s="509">
        <v>1482047.17</v>
      </c>
      <c r="AL142" s="509">
        <v>425581.29</v>
      </c>
      <c r="AM142" s="509">
        <v>383205.15</v>
      </c>
      <c r="AN142" s="509">
        <v>341521.97</v>
      </c>
      <c r="AO142" s="509">
        <v>345370.03</v>
      </c>
      <c r="AP142" s="509">
        <v>354037.01</v>
      </c>
      <c r="AQ142" s="509">
        <v>257482.62</v>
      </c>
      <c r="AR142" s="509">
        <v>265998.07</v>
      </c>
      <c r="AS142" s="509">
        <v>258481.03</v>
      </c>
      <c r="AT142" s="509">
        <v>646547.74</v>
      </c>
      <c r="AU142"/>
      <c r="AV142"/>
      <c r="AW142" s="509">
        <v>34549.61</v>
      </c>
      <c r="AX142" s="509">
        <v>560829.26</v>
      </c>
      <c r="AY142" s="509">
        <v>379011.21</v>
      </c>
      <c r="AZ142" s="509">
        <v>398927.95</v>
      </c>
      <c r="BA142" s="509">
        <v>417205.13</v>
      </c>
      <c r="BB142" s="509">
        <v>460514.61</v>
      </c>
      <c r="BC142" s="509">
        <v>618436.89</v>
      </c>
      <c r="BD142" s="509">
        <v>1382507.85</v>
      </c>
      <c r="BE142" s="509">
        <v>244742.35</v>
      </c>
      <c r="BF142" s="509">
        <v>160547.64000000001</v>
      </c>
      <c r="BG142" s="509">
        <v>54663.83</v>
      </c>
      <c r="BH142" s="509">
        <v>154625.39000000001</v>
      </c>
      <c r="BI142"/>
      <c r="BJ142"/>
      <c r="BK142" s="509">
        <v>32009.22</v>
      </c>
      <c r="BL142" s="509">
        <v>87225.77</v>
      </c>
      <c r="BM142" s="509">
        <v>147894.70000000001</v>
      </c>
      <c r="BN142" s="509">
        <v>159353.51</v>
      </c>
      <c r="BO142" s="509">
        <v>235597.81</v>
      </c>
      <c r="BP142" s="509">
        <v>2787597.66</v>
      </c>
      <c r="BQ142" s="509">
        <v>896855.61</v>
      </c>
      <c r="BR142" s="509">
        <v>1637398.74</v>
      </c>
      <c r="BS142" s="509">
        <v>1092048.67</v>
      </c>
      <c r="BT142" s="509">
        <v>1626918.09</v>
      </c>
      <c r="BU142" s="509">
        <v>2188545.7799999998</v>
      </c>
      <c r="BV142" s="509">
        <v>4375234.74</v>
      </c>
      <c r="BW142" s="507">
        <f>SUBTOTAL(9,BK142:BV142)</f>
        <v>15266680.300000001</v>
      </c>
      <c r="BX142"/>
      <c r="BY142" s="509">
        <v>48667.5</v>
      </c>
      <c r="BZ142" s="509">
        <v>2545147.9</v>
      </c>
      <c r="CA142" s="509">
        <v>2392322.62</v>
      </c>
      <c r="CB142" s="509">
        <v>2107079.7599999998</v>
      </c>
      <c r="CC142" s="509">
        <v>2349776.7599999998</v>
      </c>
      <c r="CD142" s="509">
        <v>1868298.45</v>
      </c>
      <c r="CE142" s="509">
        <v>2520593.7799999998</v>
      </c>
      <c r="CF142" s="509">
        <v>2265015.19</v>
      </c>
      <c r="CG142" s="509">
        <v>2909666.84</v>
      </c>
      <c r="CH142" s="509">
        <v>2739074.1</v>
      </c>
      <c r="CI142" s="509">
        <v>152285.85999999999</v>
      </c>
      <c r="CJ142" s="509">
        <v>8926629.4700000007</v>
      </c>
      <c r="CK142" s="507">
        <f>SUM(BY142:CJ142)</f>
        <v>30824558.229999997</v>
      </c>
      <c r="CL142"/>
      <c r="CM142" s="507">
        <v>452020.68</v>
      </c>
      <c r="CN142" s="507">
        <v>4449468.43</v>
      </c>
      <c r="CO142" s="507">
        <v>6086613.5599999996</v>
      </c>
      <c r="CP142" s="509">
        <v>5872216.3300000001</v>
      </c>
      <c r="CQ142" s="509">
        <v>6321995.7800000003</v>
      </c>
      <c r="CR142" s="509">
        <v>9531002.9900000002</v>
      </c>
      <c r="CS142" s="509">
        <v>7429437.1600000001</v>
      </c>
      <c r="CT142" s="509">
        <v>7604604.9000000004</v>
      </c>
      <c r="CU142" s="509">
        <v>5900682.6299999999</v>
      </c>
      <c r="CV142" s="509">
        <v>6244703.5800000001</v>
      </c>
      <c r="CW142" s="509">
        <v>5955543.25</v>
      </c>
      <c r="CX142" s="509">
        <v>11132382.43</v>
      </c>
      <c r="CY142" s="509">
        <f>SUM(CM142:CX142)</f>
        <v>76980671.719999999</v>
      </c>
      <c r="CZ142"/>
      <c r="DA142" s="509">
        <v>278497.15999999997</v>
      </c>
      <c r="DB142" s="509">
        <v>4882063.99</v>
      </c>
      <c r="DC142" s="509">
        <v>4731909.47</v>
      </c>
      <c r="DD142" s="509">
        <v>3728976.35</v>
      </c>
      <c r="DE142" s="509">
        <v>4003755.78</v>
      </c>
      <c r="DF142" s="509">
        <v>3956157.25</v>
      </c>
      <c r="DG142" s="509">
        <v>3073240.23</v>
      </c>
      <c r="DH142" s="509">
        <v>1686960.38</v>
      </c>
      <c r="DI142" s="509">
        <v>2261372.9</v>
      </c>
      <c r="DJ142" s="509">
        <v>2028199.67</v>
      </c>
      <c r="DK142" s="509">
        <v>1820773.53</v>
      </c>
      <c r="DL142" s="509">
        <v>2028445.91</v>
      </c>
      <c r="DM142" s="509">
        <f>SUM(DA142:DL142)</f>
        <v>34480352.619999997</v>
      </c>
      <c r="DN142"/>
      <c r="DO142" s="509">
        <v>608467.49</v>
      </c>
      <c r="DP142" s="509">
        <v>2804302.11</v>
      </c>
      <c r="DQ142" s="509">
        <v>2252283.3199999998</v>
      </c>
      <c r="DR142" s="509">
        <v>1905214.97</v>
      </c>
      <c r="DS142" s="509">
        <v>440450.15</v>
      </c>
      <c r="DT142" s="509">
        <v>197140.79</v>
      </c>
      <c r="DU142" s="509">
        <v>48291.040000000001</v>
      </c>
      <c r="DV142" s="509">
        <v>32746.04</v>
      </c>
      <c r="DW142" s="509">
        <v>34536.400000000001</v>
      </c>
      <c r="DX142" s="509">
        <v>100</v>
      </c>
      <c r="DY142" s="509">
        <v>100</v>
      </c>
      <c r="DZ142" s="509">
        <v>1060929.21</v>
      </c>
      <c r="EA142" s="509">
        <f>SUM(DO142:DZ142)</f>
        <v>9384561.5199999996</v>
      </c>
      <c r="EB142"/>
      <c r="EC142" s="509"/>
      <c r="ED142" s="509"/>
      <c r="EE142" s="509"/>
      <c r="EF142" s="509"/>
      <c r="EG142" s="509"/>
      <c r="EH142" s="509"/>
      <c r="EI142" s="509"/>
      <c r="EJ142" s="509"/>
      <c r="EK142" s="509"/>
      <c r="EL142" s="509"/>
      <c r="EM142" s="509"/>
      <c r="EN142" s="509">
        <v>3000000</v>
      </c>
      <c r="EO142"/>
      <c r="EP142"/>
      <c r="EQ142" s="509"/>
      <c r="ER142" s="509"/>
      <c r="ES142" s="509"/>
      <c r="ET142" s="509"/>
      <c r="EU142" s="509"/>
      <c r="EV142" s="509"/>
      <c r="EW142" s="509"/>
      <c r="EX142" s="509"/>
      <c r="EY142" s="509"/>
      <c r="EZ142" s="509"/>
      <c r="FA142" s="509"/>
      <c r="FB142" s="509"/>
      <c r="FC142"/>
      <c r="FD142"/>
      <c r="FE142" s="509"/>
      <c r="FF142" s="509"/>
      <c r="FG142" s="509"/>
      <c r="FH142" s="509"/>
      <c r="FI142" s="509"/>
      <c r="FJ142" s="509"/>
      <c r="FK142" s="509"/>
      <c r="FL142" s="509"/>
      <c r="FM142" s="509"/>
      <c r="FN142" s="509"/>
      <c r="FO142" s="509"/>
      <c r="FP142" s="509"/>
    </row>
    <row r="143" spans="1:175">
      <c r="I143" s="13"/>
      <c r="J143" s="110"/>
      <c r="S143" s="344" t="s">
        <v>1592</v>
      </c>
      <c r="U143" s="507">
        <f>U142</f>
        <v>0</v>
      </c>
      <c r="V143" s="507">
        <f>V142+U143</f>
        <v>0</v>
      </c>
      <c r="W143" s="507">
        <f t="shared" ref="W143:AF143" si="304">W142+V143</f>
        <v>0</v>
      </c>
      <c r="X143" s="507">
        <f t="shared" si="304"/>
        <v>0</v>
      </c>
      <c r="Y143" s="507">
        <f t="shared" si="304"/>
        <v>70549.600000000006</v>
      </c>
      <c r="Z143" s="507">
        <f t="shared" si="304"/>
        <v>116009.59</v>
      </c>
      <c r="AA143" s="507">
        <f t="shared" si="304"/>
        <v>180280.51</v>
      </c>
      <c r="AB143" s="507">
        <f t="shared" si="304"/>
        <v>250571.99</v>
      </c>
      <c r="AC143" s="507">
        <f t="shared" si="304"/>
        <v>364326.35</v>
      </c>
      <c r="AD143" s="507">
        <f t="shared" si="304"/>
        <v>3730621.5300000003</v>
      </c>
      <c r="AE143" s="507">
        <f t="shared" si="304"/>
        <v>3764247.7100000004</v>
      </c>
      <c r="AF143" s="507">
        <f t="shared" si="304"/>
        <v>3805074.1200000006</v>
      </c>
      <c r="AG143" s="508"/>
      <c r="AI143" s="507">
        <f>AI142+AF143</f>
        <v>3805074.1200000006</v>
      </c>
      <c r="AJ143" s="507">
        <f>AJ142+AI143</f>
        <v>4111104.1200000006</v>
      </c>
      <c r="AK143" s="507">
        <f t="shared" ref="AK143:AT143" si="305">AK142+AJ143</f>
        <v>5593151.290000001</v>
      </c>
      <c r="AL143" s="507">
        <f t="shared" si="305"/>
        <v>6018732.580000001</v>
      </c>
      <c r="AM143" s="507">
        <f t="shared" si="305"/>
        <v>6401937.7300000014</v>
      </c>
      <c r="AN143" s="507">
        <f t="shared" si="305"/>
        <v>6743459.7000000011</v>
      </c>
      <c r="AO143" s="507">
        <f t="shared" si="305"/>
        <v>7088829.7300000014</v>
      </c>
      <c r="AP143" s="507">
        <f t="shared" si="305"/>
        <v>7442866.7400000012</v>
      </c>
      <c r="AQ143" s="507">
        <f t="shared" si="305"/>
        <v>7700349.3600000013</v>
      </c>
      <c r="AR143" s="507">
        <f t="shared" si="305"/>
        <v>7966347.4300000016</v>
      </c>
      <c r="AS143" s="507">
        <f t="shared" si="305"/>
        <v>8224828.4600000018</v>
      </c>
      <c r="AT143" s="507">
        <f t="shared" si="305"/>
        <v>8871376.2000000011</v>
      </c>
      <c r="AW143" s="507">
        <f>AW142+AT143</f>
        <v>8905925.8100000005</v>
      </c>
      <c r="AX143" s="507">
        <f>AX142+AW143</f>
        <v>9466755.0700000003</v>
      </c>
      <c r="AY143" s="507">
        <f t="shared" ref="AY143:BH143" si="306">AY142+AX143</f>
        <v>9845766.2800000012</v>
      </c>
      <c r="AZ143" s="507">
        <f t="shared" si="306"/>
        <v>10244694.23</v>
      </c>
      <c r="BA143" s="507">
        <f t="shared" si="306"/>
        <v>10661899.360000001</v>
      </c>
      <c r="BB143" s="507">
        <f t="shared" si="306"/>
        <v>11122413.970000001</v>
      </c>
      <c r="BC143" s="507">
        <f t="shared" si="306"/>
        <v>11740850.860000001</v>
      </c>
      <c r="BD143" s="507">
        <f t="shared" si="306"/>
        <v>13123358.710000001</v>
      </c>
      <c r="BE143" s="507">
        <f t="shared" si="306"/>
        <v>13368101.060000001</v>
      </c>
      <c r="BF143" s="507">
        <f t="shared" si="306"/>
        <v>13528648.700000001</v>
      </c>
      <c r="BG143" s="507">
        <f t="shared" si="306"/>
        <v>13583312.530000001</v>
      </c>
      <c r="BH143" s="507">
        <f t="shared" si="306"/>
        <v>13737937.920000002</v>
      </c>
      <c r="BK143" s="507">
        <f>BK142+BH143</f>
        <v>13769947.140000002</v>
      </c>
      <c r="BL143" s="507">
        <f>BL142+BK143</f>
        <v>13857172.910000002</v>
      </c>
      <c r="BM143" s="507">
        <f t="shared" ref="BM143:BV143" si="307">BM142+BL143</f>
        <v>14005067.610000001</v>
      </c>
      <c r="BN143" s="507">
        <f t="shared" si="307"/>
        <v>14164421.120000001</v>
      </c>
      <c r="BO143" s="507">
        <f t="shared" si="307"/>
        <v>14400018.930000002</v>
      </c>
      <c r="BP143" s="507">
        <f t="shared" si="307"/>
        <v>17187616.590000004</v>
      </c>
      <c r="BQ143" s="507">
        <f t="shared" si="307"/>
        <v>18084472.200000003</v>
      </c>
      <c r="BR143" s="507">
        <f t="shared" si="307"/>
        <v>19721870.940000001</v>
      </c>
      <c r="BS143" s="507">
        <f t="shared" si="307"/>
        <v>20813919.609999999</v>
      </c>
      <c r="BT143" s="507">
        <f t="shared" si="307"/>
        <v>22440837.699999999</v>
      </c>
      <c r="BU143" s="507">
        <f t="shared" si="307"/>
        <v>24629383.48</v>
      </c>
      <c r="BV143" s="507">
        <f t="shared" si="307"/>
        <v>29004618.219999999</v>
      </c>
      <c r="BY143" s="507">
        <f>BY142+BV143</f>
        <v>29053285.719999999</v>
      </c>
      <c r="BZ143" s="507">
        <f>BZ142+BY143</f>
        <v>31598433.619999997</v>
      </c>
      <c r="CA143" s="507">
        <f t="shared" ref="CA143:CJ143" si="308">CA142+BZ143</f>
        <v>33990756.239999995</v>
      </c>
      <c r="CB143" s="507">
        <f t="shared" si="308"/>
        <v>36097835.999999993</v>
      </c>
      <c r="CC143" s="507">
        <f t="shared" si="308"/>
        <v>38447612.75999999</v>
      </c>
      <c r="CD143" s="507">
        <f t="shared" si="308"/>
        <v>40315911.209999993</v>
      </c>
      <c r="CE143" s="507">
        <f t="shared" si="308"/>
        <v>42836504.989999995</v>
      </c>
      <c r="CF143" s="507">
        <f t="shared" si="308"/>
        <v>45101520.179999992</v>
      </c>
      <c r="CG143" s="507">
        <f t="shared" si="308"/>
        <v>48011187.019999996</v>
      </c>
      <c r="CH143" s="507">
        <f t="shared" si="308"/>
        <v>50750261.119999997</v>
      </c>
      <c r="CI143" s="507">
        <f t="shared" si="308"/>
        <v>50902546.979999997</v>
      </c>
      <c r="CJ143" s="507">
        <f t="shared" si="308"/>
        <v>59829176.449999996</v>
      </c>
      <c r="CM143" s="507">
        <f>CM142+CJ143</f>
        <v>60281197.129999995</v>
      </c>
      <c r="CN143" s="507">
        <f>CN142+CM143</f>
        <v>64730665.559999995</v>
      </c>
      <c r="CO143" s="507">
        <f t="shared" ref="CO143:CX143" si="309">CO142+CN143</f>
        <v>70817279.11999999</v>
      </c>
      <c r="CP143" s="507">
        <f t="shared" si="309"/>
        <v>76689495.449999988</v>
      </c>
      <c r="CQ143" s="507">
        <f t="shared" si="309"/>
        <v>83011491.229999989</v>
      </c>
      <c r="CR143" s="507">
        <f t="shared" si="309"/>
        <v>92542494.219999984</v>
      </c>
      <c r="CS143" s="507">
        <f t="shared" si="309"/>
        <v>99971931.37999998</v>
      </c>
      <c r="CT143" s="507">
        <f t="shared" si="309"/>
        <v>107576536.27999999</v>
      </c>
      <c r="CU143" s="507">
        <f t="shared" si="309"/>
        <v>113477218.90999998</v>
      </c>
      <c r="CV143" s="507">
        <f t="shared" si="309"/>
        <v>119721922.48999998</v>
      </c>
      <c r="CW143" s="507">
        <f t="shared" si="309"/>
        <v>125677465.73999998</v>
      </c>
      <c r="CX143" s="507">
        <f t="shared" si="309"/>
        <v>136809848.16999999</v>
      </c>
      <c r="DA143" s="507">
        <f>DA142+CX143</f>
        <v>137088345.32999998</v>
      </c>
      <c r="DB143" s="507">
        <f>DB142+DA143</f>
        <v>141970409.31999999</v>
      </c>
      <c r="DC143" s="507">
        <f t="shared" ref="DC143:DL143" si="310">DC142+DB143</f>
        <v>146702318.78999999</v>
      </c>
      <c r="DD143" s="507">
        <f t="shared" si="310"/>
        <v>150431295.13999999</v>
      </c>
      <c r="DE143" s="507">
        <f t="shared" si="310"/>
        <v>154435050.91999999</v>
      </c>
      <c r="DF143" s="507">
        <f t="shared" si="310"/>
        <v>158391208.16999999</v>
      </c>
      <c r="DG143" s="507">
        <f t="shared" si="310"/>
        <v>161464448.39999998</v>
      </c>
      <c r="DH143" s="507">
        <f t="shared" si="310"/>
        <v>163151408.77999997</v>
      </c>
      <c r="DI143" s="507">
        <f t="shared" si="310"/>
        <v>165412781.67999998</v>
      </c>
      <c r="DJ143" s="507">
        <f t="shared" si="310"/>
        <v>167440981.34999996</v>
      </c>
      <c r="DK143" s="507">
        <f t="shared" si="310"/>
        <v>169261754.87999997</v>
      </c>
      <c r="DL143" s="507">
        <f t="shared" si="310"/>
        <v>171290200.78999996</v>
      </c>
      <c r="DM143"/>
      <c r="DN143"/>
      <c r="DO143" s="507">
        <f>DO142+DL143</f>
        <v>171898668.27999997</v>
      </c>
      <c r="DP143" s="507">
        <f>DP142+DO143</f>
        <v>174702970.38999999</v>
      </c>
      <c r="DQ143" s="507">
        <f t="shared" ref="DQ143:DZ143" si="311">DQ142+DP143</f>
        <v>176955253.70999998</v>
      </c>
      <c r="DR143" s="507">
        <f t="shared" si="311"/>
        <v>178860468.67999998</v>
      </c>
      <c r="DS143" s="507">
        <f t="shared" si="311"/>
        <v>179300918.82999998</v>
      </c>
      <c r="DT143" s="507">
        <f t="shared" si="311"/>
        <v>179498059.61999997</v>
      </c>
      <c r="DU143" s="507">
        <f t="shared" si="311"/>
        <v>179546350.65999997</v>
      </c>
      <c r="DV143" s="507">
        <f t="shared" si="311"/>
        <v>179579096.69999996</v>
      </c>
      <c r="DW143" s="507">
        <f t="shared" si="311"/>
        <v>179613633.09999996</v>
      </c>
      <c r="DX143" s="507">
        <f t="shared" si="311"/>
        <v>179613733.09999996</v>
      </c>
      <c r="DY143" s="507">
        <f t="shared" si="311"/>
        <v>179613833.09999996</v>
      </c>
      <c r="DZ143" s="507">
        <f t="shared" si="311"/>
        <v>180674762.30999997</v>
      </c>
      <c r="EA143"/>
      <c r="EC143" s="507">
        <f>EC142+DZ143</f>
        <v>180674762.30999997</v>
      </c>
      <c r="ED143" s="507">
        <f>ED142+EC143</f>
        <v>180674762.30999997</v>
      </c>
      <c r="EE143" s="507">
        <f t="shared" ref="EE143:EN143" si="312">EE142+ED143</f>
        <v>180674762.30999997</v>
      </c>
      <c r="EF143" s="507">
        <f t="shared" si="312"/>
        <v>180674762.30999997</v>
      </c>
      <c r="EG143" s="507">
        <f t="shared" si="312"/>
        <v>180674762.30999997</v>
      </c>
      <c r="EH143" s="507">
        <f t="shared" si="312"/>
        <v>180674762.30999997</v>
      </c>
      <c r="EI143" s="507">
        <f t="shared" si="312"/>
        <v>180674762.30999997</v>
      </c>
      <c r="EJ143" s="507">
        <f t="shared" si="312"/>
        <v>180674762.30999997</v>
      </c>
      <c r="EK143" s="507">
        <f t="shared" si="312"/>
        <v>180674762.30999997</v>
      </c>
      <c r="EL143" s="507">
        <f t="shared" si="312"/>
        <v>180674762.30999997</v>
      </c>
      <c r="EM143" s="507">
        <f t="shared" si="312"/>
        <v>180674762.30999997</v>
      </c>
      <c r="EN143" s="507">
        <f t="shared" si="312"/>
        <v>183674762.30999997</v>
      </c>
      <c r="EQ143" s="507">
        <f>EQ142+EN143</f>
        <v>183674762.30999997</v>
      </c>
      <c r="ER143" s="507">
        <f>ER142+EQ143</f>
        <v>183674762.30999997</v>
      </c>
      <c r="ES143" s="507">
        <f t="shared" ref="ES143:FB143" si="313">ES142+ER143</f>
        <v>183674762.30999997</v>
      </c>
      <c r="ET143" s="507">
        <f t="shared" si="313"/>
        <v>183674762.30999997</v>
      </c>
      <c r="EU143" s="507">
        <f t="shared" si="313"/>
        <v>183674762.30999997</v>
      </c>
      <c r="EV143" s="507">
        <f t="shared" si="313"/>
        <v>183674762.30999997</v>
      </c>
      <c r="EW143" s="507">
        <f t="shared" si="313"/>
        <v>183674762.30999997</v>
      </c>
      <c r="EX143" s="507">
        <f t="shared" si="313"/>
        <v>183674762.30999997</v>
      </c>
      <c r="EY143" s="507">
        <f t="shared" si="313"/>
        <v>183674762.30999997</v>
      </c>
      <c r="EZ143" s="507">
        <f t="shared" si="313"/>
        <v>183674762.30999997</v>
      </c>
      <c r="FA143" s="507">
        <f t="shared" si="313"/>
        <v>183674762.30999997</v>
      </c>
      <c r="FB143" s="507">
        <f t="shared" si="313"/>
        <v>183674762.30999997</v>
      </c>
      <c r="FE143" s="507">
        <f>FE142+FB143</f>
        <v>183674762.30999997</v>
      </c>
      <c r="FF143" s="507">
        <f>FF142+FE143</f>
        <v>183674762.30999997</v>
      </c>
      <c r="FG143" s="507">
        <f t="shared" ref="FG143:FP143" si="314">FG142+FF143</f>
        <v>183674762.30999997</v>
      </c>
      <c r="FH143" s="507">
        <f t="shared" si="314"/>
        <v>183674762.30999997</v>
      </c>
      <c r="FI143" s="507">
        <f t="shared" si="314"/>
        <v>183674762.30999997</v>
      </c>
      <c r="FJ143" s="507">
        <f t="shared" si="314"/>
        <v>183674762.30999997</v>
      </c>
      <c r="FK143" s="507">
        <f t="shared" si="314"/>
        <v>183674762.30999997</v>
      </c>
      <c r="FL143" s="507">
        <f t="shared" si="314"/>
        <v>183674762.30999997</v>
      </c>
      <c r="FM143" s="507">
        <f t="shared" si="314"/>
        <v>183674762.30999997</v>
      </c>
      <c r="FN143" s="507">
        <f t="shared" si="314"/>
        <v>183674762.30999997</v>
      </c>
      <c r="FO143" s="507">
        <f t="shared" si="314"/>
        <v>183674762.30999997</v>
      </c>
      <c r="FP143" s="507">
        <f t="shared" si="314"/>
        <v>183674762.30999997</v>
      </c>
    </row>
    <row r="144" spans="1:175">
      <c r="I144" s="13"/>
      <c r="J144" s="110"/>
      <c r="S144" s="344" t="s">
        <v>1593</v>
      </c>
      <c r="U144" s="345" t="e">
        <f ca="1">(U140-U142)/U142</f>
        <v>#DIV/0!</v>
      </c>
      <c r="V144" s="345" t="e">
        <f t="shared" ref="V144:AF144" ca="1" si="315">(V140-V142)/V142</f>
        <v>#DIV/0!</v>
      </c>
      <c r="W144" s="345" t="e">
        <f t="shared" ca="1" si="315"/>
        <v>#DIV/0!</v>
      </c>
      <c r="X144" s="345" t="e">
        <f t="shared" ca="1" si="315"/>
        <v>#DIV/0!</v>
      </c>
      <c r="Y144" s="345">
        <f t="shared" ca="1" si="315"/>
        <v>0</v>
      </c>
      <c r="Z144" s="345">
        <f t="shared" ca="1" si="315"/>
        <v>0</v>
      </c>
      <c r="AA144" s="345">
        <f t="shared" ca="1" si="315"/>
        <v>0</v>
      </c>
      <c r="AB144" s="345">
        <f t="shared" ca="1" si="315"/>
        <v>0</v>
      </c>
      <c r="AC144" s="345">
        <f t="shared" ca="1" si="315"/>
        <v>0</v>
      </c>
      <c r="AD144" s="345">
        <f t="shared" ca="1" si="315"/>
        <v>0</v>
      </c>
      <c r="AE144" s="345">
        <f t="shared" ca="1" si="315"/>
        <v>0</v>
      </c>
      <c r="AF144" s="345">
        <f t="shared" ca="1" si="315"/>
        <v>0</v>
      </c>
      <c r="AI144" s="345" t="e">
        <f ca="1">(AI140-AI142)/AI142</f>
        <v>#DIV/0!</v>
      </c>
      <c r="AJ144" s="345">
        <f t="shared" ref="AJ144:AT144" ca="1" si="316">(AJ140-AJ142)/AJ142</f>
        <v>0</v>
      </c>
      <c r="AK144" s="345">
        <f t="shared" ca="1" si="316"/>
        <v>0</v>
      </c>
      <c r="AL144" s="345">
        <f t="shared" ca="1" si="316"/>
        <v>0</v>
      </c>
      <c r="AM144" s="345">
        <f t="shared" ca="1" si="316"/>
        <v>0</v>
      </c>
      <c r="AN144" s="345">
        <f t="shared" ca="1" si="316"/>
        <v>0</v>
      </c>
      <c r="AO144" s="345">
        <f t="shared" ca="1" si="316"/>
        <v>0</v>
      </c>
      <c r="AP144" s="345">
        <f t="shared" ca="1" si="316"/>
        <v>0</v>
      </c>
      <c r="AQ144" s="345">
        <f t="shared" ca="1" si="316"/>
        <v>0</v>
      </c>
      <c r="AR144" s="345">
        <f t="shared" ca="1" si="316"/>
        <v>0</v>
      </c>
      <c r="AS144" s="345">
        <f t="shared" ca="1" si="316"/>
        <v>0</v>
      </c>
      <c r="AT144" s="345">
        <f t="shared" ca="1" si="316"/>
        <v>0</v>
      </c>
      <c r="AW144" s="345">
        <f ca="1">(AW140-AW142)/AW142</f>
        <v>-5.8107747091791203E-3</v>
      </c>
      <c r="AX144" s="345">
        <f t="shared" ref="AX144:BH144" ca="1" si="317">(AX140-AX142)/AX142</f>
        <v>0</v>
      </c>
      <c r="AY144" s="345">
        <f t="shared" ca="1" si="317"/>
        <v>0</v>
      </c>
      <c r="AZ144" s="345">
        <f t="shared" ca="1" si="317"/>
        <v>0</v>
      </c>
      <c r="BA144" s="345">
        <f t="shared" ca="1" si="317"/>
        <v>0</v>
      </c>
      <c r="BB144" s="345">
        <f t="shared" ca="1" si="317"/>
        <v>0</v>
      </c>
      <c r="BC144" s="345">
        <f t="shared" ca="1" si="317"/>
        <v>0</v>
      </c>
      <c r="BD144" s="345">
        <f t="shared" ca="1" si="317"/>
        <v>0</v>
      </c>
      <c r="BE144" s="345">
        <f t="shared" ca="1" si="317"/>
        <v>0</v>
      </c>
      <c r="BF144" s="345">
        <f t="shared" ca="1" si="317"/>
        <v>0</v>
      </c>
      <c r="BG144" s="345">
        <f t="shared" ca="1" si="317"/>
        <v>0</v>
      </c>
      <c r="BH144" s="345">
        <f t="shared" ca="1" si="317"/>
        <v>0</v>
      </c>
      <c r="BK144" s="345">
        <f ca="1">(BK140-BK142)/BK142</f>
        <v>0</v>
      </c>
      <c r="BL144" s="345">
        <f t="shared" ref="BL144:BV144" ca="1" si="318">(BL140-BL142)/BL142</f>
        <v>0</v>
      </c>
      <c r="BM144" s="345">
        <f t="shared" ca="1" si="318"/>
        <v>0</v>
      </c>
      <c r="BN144" s="345">
        <f t="shared" ca="1" si="318"/>
        <v>0</v>
      </c>
      <c r="BO144" s="345">
        <f t="shared" ca="1" si="318"/>
        <v>0</v>
      </c>
      <c r="BP144" s="345">
        <f t="shared" ca="1" si="318"/>
        <v>0</v>
      </c>
      <c r="BQ144" s="345">
        <f t="shared" ca="1" si="318"/>
        <v>0</v>
      </c>
      <c r="BR144" s="345">
        <f t="shared" ca="1" si="318"/>
        <v>0</v>
      </c>
      <c r="BS144" s="345">
        <f t="shared" ca="1" si="318"/>
        <v>0</v>
      </c>
      <c r="BT144" s="345">
        <f t="shared" ca="1" si="318"/>
        <v>0</v>
      </c>
      <c r="BU144" s="345">
        <f t="shared" ca="1" si="318"/>
        <v>0</v>
      </c>
      <c r="BV144" s="345">
        <f t="shared" ca="1" si="318"/>
        <v>0</v>
      </c>
      <c r="BY144" s="345">
        <f ca="1">(BY140-BY142)/BY142</f>
        <v>0</v>
      </c>
      <c r="BZ144" s="345">
        <f t="shared" ref="BZ144:CJ144" ca="1" si="319">(BZ140-BZ142)/BZ142</f>
        <v>0</v>
      </c>
      <c r="CA144" s="345">
        <f t="shared" ca="1" si="319"/>
        <v>0</v>
      </c>
      <c r="CB144" s="345">
        <f t="shared" ca="1" si="319"/>
        <v>0</v>
      </c>
      <c r="CC144" s="345">
        <f t="shared" ca="1" si="319"/>
        <v>0</v>
      </c>
      <c r="CD144" s="345">
        <f t="shared" ca="1" si="319"/>
        <v>0</v>
      </c>
      <c r="CE144" s="345">
        <f t="shared" ca="1" si="319"/>
        <v>0</v>
      </c>
      <c r="CF144" s="345">
        <f t="shared" ca="1" si="319"/>
        <v>0</v>
      </c>
      <c r="CG144" s="345">
        <f t="shared" ca="1" si="319"/>
        <v>0</v>
      </c>
      <c r="CH144" s="345">
        <f t="shared" ca="1" si="319"/>
        <v>0</v>
      </c>
      <c r="CI144" s="345">
        <f t="shared" ca="1" si="319"/>
        <v>0</v>
      </c>
      <c r="CJ144" s="345">
        <f t="shared" ca="1" si="319"/>
        <v>0</v>
      </c>
      <c r="CM144" s="345">
        <f ca="1">(CM140-CM142)/CM142</f>
        <v>0</v>
      </c>
      <c r="CN144" s="345">
        <f t="shared" ref="CN144:CX144" ca="1" si="320">(CN140-CN142)/CN142</f>
        <v>0</v>
      </c>
      <c r="CO144" s="345">
        <f t="shared" ca="1" si="320"/>
        <v>0</v>
      </c>
      <c r="CP144" s="345">
        <f t="shared" ca="1" si="320"/>
        <v>0</v>
      </c>
      <c r="CQ144" s="345">
        <f t="shared" ca="1" si="320"/>
        <v>0</v>
      </c>
      <c r="CR144" s="345">
        <f t="shared" ca="1" si="320"/>
        <v>0</v>
      </c>
      <c r="CS144" s="345">
        <f t="shared" ca="1" si="320"/>
        <v>0</v>
      </c>
      <c r="CT144" s="345">
        <f t="shared" ca="1" si="320"/>
        <v>0</v>
      </c>
      <c r="CU144" s="345">
        <f t="shared" ca="1" si="320"/>
        <v>0</v>
      </c>
      <c r="CV144" s="345">
        <f t="shared" ca="1" si="320"/>
        <v>0</v>
      </c>
      <c r="CW144" s="345">
        <f t="shared" ca="1" si="320"/>
        <v>0</v>
      </c>
      <c r="CX144" s="345">
        <f t="shared" ca="1" si="320"/>
        <v>0</v>
      </c>
      <c r="DA144" s="345">
        <f ca="1">(DA140-DA142)/DA142</f>
        <v>0</v>
      </c>
      <c r="DB144" s="345">
        <f t="shared" ref="DB144:DL144" ca="1" si="321">(DB140-DB142)/DB142</f>
        <v>0</v>
      </c>
      <c r="DC144" s="345">
        <f t="shared" ca="1" si="321"/>
        <v>0</v>
      </c>
      <c r="DD144" s="345">
        <f t="shared" ca="1" si="321"/>
        <v>0</v>
      </c>
      <c r="DE144" s="345">
        <f t="shared" ca="1" si="321"/>
        <v>0</v>
      </c>
      <c r="DF144" s="345">
        <f t="shared" ca="1" si="321"/>
        <v>0</v>
      </c>
      <c r="DG144" s="345">
        <f t="shared" ca="1" si="321"/>
        <v>0</v>
      </c>
      <c r="DH144" s="345">
        <f t="shared" ca="1" si="321"/>
        <v>0.16933970909263449</v>
      </c>
      <c r="DI144" s="345">
        <f t="shared" ca="1" si="321"/>
        <v>-0.13920819074112009</v>
      </c>
      <c r="DJ144" s="345">
        <f t="shared" ca="1" si="321"/>
        <v>-0.25938352509444984</v>
      </c>
      <c r="DK144" s="345">
        <f t="shared" ca="1" si="321"/>
        <v>-0.23365578035396856</v>
      </c>
      <c r="DL144" s="345">
        <f t="shared" ca="1" si="321"/>
        <v>0.31525407054112692</v>
      </c>
      <c r="DM144"/>
      <c r="DN144"/>
      <c r="DO144" s="345">
        <f ca="1">(DO140-DO142)/DO142</f>
        <v>-0.68153342095565372</v>
      </c>
      <c r="DP144" s="345">
        <f t="shared" ref="DP144:DZ144" ca="1" si="322">(DP140-DP142)/DP142</f>
        <v>-0.96800514121497416</v>
      </c>
      <c r="DQ144" s="345">
        <f t="shared" ca="1" si="322"/>
        <v>-0.66840498556815664</v>
      </c>
      <c r="DR144" s="345">
        <f t="shared" ca="1" si="322"/>
        <v>-0.65250773250012828</v>
      </c>
      <c r="DS144" s="345">
        <f t="shared" ca="1" si="322"/>
        <v>0.69456359590296424</v>
      </c>
      <c r="DT144" s="345">
        <f t="shared" ca="1" si="322"/>
        <v>-0.75046904296163164</v>
      </c>
      <c r="DU144" s="345">
        <f t="shared" ca="1" si="322"/>
        <v>113.91519503410986</v>
      </c>
      <c r="DV144" s="345">
        <f t="shared" ca="1" si="322"/>
        <v>29.518978172627897</v>
      </c>
      <c r="DW144" s="345">
        <f t="shared" ca="1" si="322"/>
        <v>14.0814821463731</v>
      </c>
      <c r="DX144" s="345">
        <f t="shared" ca="1" si="322"/>
        <v>4332.1234000000004</v>
      </c>
      <c r="DY144" s="345">
        <f t="shared" ca="1" si="322"/>
        <v>6293.5086000000001</v>
      </c>
      <c r="DZ144" s="345">
        <f t="shared" ca="1" si="322"/>
        <v>-0.17200867718591697</v>
      </c>
      <c r="EA144"/>
      <c r="EC144" s="345" t="e">
        <f ca="1">(EC140-EC142)/EC142</f>
        <v>#DIV/0!</v>
      </c>
      <c r="ED144" s="345" t="e">
        <f t="shared" ref="ED144:EN144" si="323">(ED140-ED142)/ED142</f>
        <v>#DIV/0!</v>
      </c>
      <c r="EE144" s="345" t="e">
        <f t="shared" si="323"/>
        <v>#DIV/0!</v>
      </c>
      <c r="EF144" s="345" t="e">
        <f t="shared" si="323"/>
        <v>#DIV/0!</v>
      </c>
      <c r="EG144" s="345" t="e">
        <f t="shared" si="323"/>
        <v>#DIV/0!</v>
      </c>
      <c r="EH144" s="345" t="e">
        <f t="shared" si="323"/>
        <v>#DIV/0!</v>
      </c>
      <c r="EI144" s="345" t="e">
        <f t="shared" si="323"/>
        <v>#DIV/0!</v>
      </c>
      <c r="EJ144" s="345" t="e">
        <f t="shared" si="323"/>
        <v>#DIV/0!</v>
      </c>
      <c r="EK144" s="345" t="e">
        <f t="shared" si="323"/>
        <v>#DIV/0!</v>
      </c>
      <c r="EL144" s="345" t="e">
        <f t="shared" si="323"/>
        <v>#DIV/0!</v>
      </c>
      <c r="EM144" s="345" t="e">
        <f t="shared" si="323"/>
        <v>#DIV/0!</v>
      </c>
      <c r="EN144" s="345">
        <f t="shared" si="323"/>
        <v>-0.92331468000000005</v>
      </c>
      <c r="EQ144" s="345" t="e">
        <f>(EQ140-EQ142)/EQ142</f>
        <v>#DIV/0!</v>
      </c>
      <c r="ER144" s="345" t="e">
        <f t="shared" ref="ER144:FB144" si="324">(ER140-ER142)/ER142</f>
        <v>#DIV/0!</v>
      </c>
      <c r="ES144" s="345" t="e">
        <f t="shared" si="324"/>
        <v>#DIV/0!</v>
      </c>
      <c r="ET144" s="345" t="e">
        <f t="shared" si="324"/>
        <v>#DIV/0!</v>
      </c>
      <c r="EU144" s="345" t="e">
        <f t="shared" si="324"/>
        <v>#DIV/0!</v>
      </c>
      <c r="EV144" s="345" t="e">
        <f t="shared" si="324"/>
        <v>#DIV/0!</v>
      </c>
      <c r="EW144" s="345" t="e">
        <f t="shared" si="324"/>
        <v>#DIV/0!</v>
      </c>
      <c r="EX144" s="345" t="e">
        <f t="shared" si="324"/>
        <v>#DIV/0!</v>
      </c>
      <c r="EY144" s="345" t="e">
        <f t="shared" si="324"/>
        <v>#DIV/0!</v>
      </c>
      <c r="EZ144" s="345" t="e">
        <f t="shared" si="324"/>
        <v>#DIV/0!</v>
      </c>
      <c r="FA144" s="345" t="e">
        <f t="shared" si="324"/>
        <v>#DIV/0!</v>
      </c>
      <c r="FB144" s="345" t="e">
        <f t="shared" si="324"/>
        <v>#DIV/0!</v>
      </c>
      <c r="FE144" s="345" t="e">
        <f>(FE140-FE142)/FE142</f>
        <v>#DIV/0!</v>
      </c>
      <c r="FF144" s="345" t="e">
        <f t="shared" ref="FF144:FO144" si="325">(FF140-FF142)/FF142</f>
        <v>#DIV/0!</v>
      </c>
      <c r="FG144" s="345" t="e">
        <f t="shared" si="325"/>
        <v>#DIV/0!</v>
      </c>
      <c r="FH144" s="345" t="e">
        <f t="shared" si="325"/>
        <v>#DIV/0!</v>
      </c>
      <c r="FI144" s="345" t="e">
        <f t="shared" si="325"/>
        <v>#DIV/0!</v>
      </c>
      <c r="FJ144" s="345" t="e">
        <f t="shared" si="325"/>
        <v>#DIV/0!</v>
      </c>
      <c r="FK144" s="345" t="e">
        <f t="shared" si="325"/>
        <v>#DIV/0!</v>
      </c>
      <c r="FL144" s="345" t="e">
        <f t="shared" si="325"/>
        <v>#DIV/0!</v>
      </c>
      <c r="FM144" s="345" t="e">
        <f t="shared" si="325"/>
        <v>#DIV/0!</v>
      </c>
      <c r="FN144" s="345" t="e">
        <f t="shared" si="325"/>
        <v>#DIV/0!</v>
      </c>
      <c r="FO144" s="345" t="e">
        <f t="shared" si="325"/>
        <v>#DIV/0!</v>
      </c>
      <c r="FP144" s="345" t="e">
        <f>(FP140-FP142)/FP142</f>
        <v>#DIV/0!</v>
      </c>
    </row>
    <row r="145" spans="1:175" ht="14.65" thickBot="1">
      <c r="I145" s="13"/>
      <c r="J145" s="110"/>
      <c r="S145" s="344"/>
      <c r="U145" s="774"/>
      <c r="V145" s="774"/>
      <c r="W145" s="774"/>
      <c r="X145" s="774"/>
      <c r="Y145" s="774"/>
      <c r="Z145" s="774"/>
      <c r="AA145" s="774"/>
      <c r="AB145" s="774"/>
      <c r="AC145" s="774"/>
      <c r="AD145" s="774"/>
      <c r="AE145" s="774"/>
      <c r="AF145" s="774"/>
      <c r="AI145" s="774"/>
      <c r="AJ145" s="774"/>
      <c r="AK145" s="774"/>
      <c r="AL145" s="774"/>
      <c r="AM145" s="774"/>
      <c r="AN145" s="774"/>
      <c r="AO145" s="774"/>
      <c r="AP145" s="774"/>
      <c r="AQ145" s="774"/>
      <c r="AR145" s="774"/>
      <c r="AS145" s="774"/>
      <c r="AT145" s="774"/>
      <c r="AW145" s="774"/>
      <c r="AX145" s="774"/>
      <c r="AY145" s="774"/>
      <c r="AZ145" s="774"/>
      <c r="BA145" s="774"/>
      <c r="BB145" s="774"/>
      <c r="BC145" s="774"/>
      <c r="BD145" s="774"/>
      <c r="BE145" s="774"/>
      <c r="BF145" s="774"/>
      <c r="BG145" s="774"/>
      <c r="BH145" s="774"/>
      <c r="BK145" s="774"/>
      <c r="BL145" s="774"/>
      <c r="BM145" s="774"/>
      <c r="BN145" s="774"/>
      <c r="BO145" s="774"/>
      <c r="BP145" s="774"/>
      <c r="BQ145" s="774"/>
      <c r="BR145" s="774"/>
      <c r="BS145" s="774"/>
      <c r="BT145" s="774"/>
      <c r="BU145" s="774"/>
      <c r="BV145" s="774"/>
      <c r="BY145" s="789"/>
      <c r="BZ145" s="790"/>
      <c r="CA145" s="790"/>
      <c r="CB145" s="790"/>
      <c r="CC145" s="790"/>
      <c r="CD145" s="790"/>
      <c r="CE145" s="790"/>
      <c r="CF145" s="790"/>
      <c r="CG145" s="790"/>
      <c r="CH145" s="790"/>
      <c r="CI145" s="790"/>
      <c r="CJ145" s="790"/>
      <c r="CM145" s="789"/>
      <c r="CN145" s="790"/>
      <c r="CO145" s="790"/>
      <c r="CP145" s="790"/>
      <c r="CQ145" s="790"/>
      <c r="CR145" s="790"/>
      <c r="CS145" s="774"/>
      <c r="CT145" s="790"/>
      <c r="CU145" s="774"/>
      <c r="CV145" s="790"/>
      <c r="CW145" s="790"/>
      <c r="CX145" s="790"/>
      <c r="DA145" s="774"/>
      <c r="DB145" s="774"/>
      <c r="DC145" s="774"/>
      <c r="DD145" s="774"/>
      <c r="DE145" s="774"/>
      <c r="DF145" s="774"/>
      <c r="DG145" s="774"/>
      <c r="DH145" s="774"/>
      <c r="DI145" s="774"/>
      <c r="DJ145" s="774"/>
      <c r="DK145" s="774"/>
      <c r="DL145" s="774"/>
      <c r="DM145"/>
      <c r="DN145"/>
      <c r="DO145" s="774"/>
      <c r="DP145" s="774"/>
      <c r="DQ145" s="774"/>
      <c r="DR145" s="774"/>
      <c r="DS145" s="774"/>
      <c r="DT145" s="774"/>
      <c r="DU145" s="774"/>
      <c r="DV145" s="774"/>
      <c r="DW145" s="774"/>
      <c r="DX145" s="774"/>
      <c r="DY145" s="774"/>
      <c r="DZ145" s="774"/>
      <c r="EA145"/>
      <c r="EC145" s="774"/>
      <c r="ED145" s="774"/>
      <c r="EE145" s="774"/>
      <c r="EF145" s="774"/>
      <c r="EG145" s="774"/>
      <c r="EH145" s="774"/>
      <c r="EI145" s="774"/>
      <c r="EJ145" s="774"/>
      <c r="EK145" s="774"/>
      <c r="EL145" s="774"/>
      <c r="EM145" s="774"/>
      <c r="EN145" s="774"/>
      <c r="EQ145" s="774"/>
      <c r="ER145" s="774"/>
      <c r="ES145" s="774"/>
      <c r="ET145" s="774"/>
      <c r="EU145" s="774"/>
      <c r="EV145" s="774"/>
      <c r="EW145" s="774"/>
      <c r="EX145" s="774"/>
      <c r="EY145" s="774"/>
      <c r="EZ145" s="774"/>
      <c r="FA145" s="774"/>
      <c r="FB145" s="774"/>
      <c r="FE145" s="774"/>
      <c r="FF145" s="774"/>
      <c r="FG145" s="774"/>
      <c r="FH145" s="774"/>
      <c r="FI145" s="774"/>
      <c r="FJ145" s="774"/>
      <c r="FK145" s="774"/>
      <c r="FL145" s="774"/>
      <c r="FM145" s="774"/>
      <c r="FN145" s="774"/>
      <c r="FO145" s="774"/>
      <c r="FP145" s="774"/>
    </row>
    <row r="146" spans="1:175">
      <c r="I146" s="13"/>
      <c r="J146" s="110"/>
      <c r="K146" s="14" t="s">
        <v>1594</v>
      </c>
      <c r="M146" s="302" t="s">
        <v>1595</v>
      </c>
      <c r="BY146" s="775">
        <v>349950.76</v>
      </c>
      <c r="BZ146" s="776">
        <v>1113826.7</v>
      </c>
      <c r="CA146" s="776">
        <v>1456904.8300000003</v>
      </c>
      <c r="CB146" s="776">
        <v>1814803.19</v>
      </c>
      <c r="CC146" s="776">
        <v>1828209.8900000001</v>
      </c>
      <c r="CD146" s="776">
        <v>1754459.02</v>
      </c>
      <c r="CE146" s="776">
        <v>74968.33</v>
      </c>
      <c r="CF146" s="776">
        <v>2883832.61</v>
      </c>
      <c r="CG146" s="776">
        <v>6165563.0500000007</v>
      </c>
      <c r="CH146" s="776">
        <v>1853840.21</v>
      </c>
      <c r="CI146" s="776">
        <v>89789.52</v>
      </c>
      <c r="CJ146" s="776">
        <v>9935755.1699999999</v>
      </c>
      <c r="CK146" s="777">
        <f>SUM(BY146:CJ146)</f>
        <v>29321903.280000001</v>
      </c>
      <c r="CM146" s="778">
        <v>452020.68</v>
      </c>
      <c r="CN146" s="779">
        <v>4449468.43</v>
      </c>
      <c r="CO146" s="779">
        <v>6086613.5599999996</v>
      </c>
      <c r="CP146" s="779">
        <v>5872216.3300000001</v>
      </c>
      <c r="CQ146" s="779">
        <v>6321995.7800000003</v>
      </c>
      <c r="CR146" s="779">
        <v>9531002.9900000002</v>
      </c>
      <c r="CS146" s="779">
        <v>7429437.1600000001</v>
      </c>
      <c r="CT146" s="780">
        <v>7604604.9000000004</v>
      </c>
      <c r="CU146" s="781">
        <v>5900682.6299999999</v>
      </c>
      <c r="CV146" s="780">
        <v>6244703.5800000001</v>
      </c>
      <c r="CW146" s="781">
        <v>5955543.25</v>
      </c>
      <c r="CX146" s="781">
        <v>11132382.43</v>
      </c>
      <c r="CY146" s="782">
        <f>SUM(CM146:CX146)</f>
        <v>76980671.719999999</v>
      </c>
    </row>
    <row r="147" spans="1:175" ht="14.65" thickBot="1">
      <c r="I147" s="13"/>
      <c r="J147" s="110"/>
      <c r="M147" s="302" t="s">
        <v>1596</v>
      </c>
      <c r="BY147" s="784">
        <f t="shared" ref="BY147:CJ147" ca="1" si="326">+BY140-BY146</f>
        <v>-301283.26</v>
      </c>
      <c r="BZ147" s="784">
        <f t="shared" ca="1" si="326"/>
        <v>1431321.2</v>
      </c>
      <c r="CA147" s="784">
        <f t="shared" ca="1" si="326"/>
        <v>935417.7899999998</v>
      </c>
      <c r="CB147" s="784">
        <f t="shared" ca="1" si="326"/>
        <v>292276.56999999983</v>
      </c>
      <c r="CC147" s="784">
        <f t="shared" ca="1" si="326"/>
        <v>521566.86999999965</v>
      </c>
      <c r="CD147" s="784">
        <f t="shared" ca="1" si="326"/>
        <v>113839.42999999993</v>
      </c>
      <c r="CE147" s="784">
        <f t="shared" ca="1" si="326"/>
        <v>2445625.4499999997</v>
      </c>
      <c r="CF147" s="784">
        <f t="shared" ca="1" si="326"/>
        <v>-618817.41999999993</v>
      </c>
      <c r="CG147" s="784">
        <f t="shared" ca="1" si="326"/>
        <v>-3255896.2100000009</v>
      </c>
      <c r="CH147" s="784">
        <f t="shared" ca="1" si="326"/>
        <v>885233.89000000013</v>
      </c>
      <c r="CI147" s="784">
        <f t="shared" ca="1" si="326"/>
        <v>62496.339999999982</v>
      </c>
      <c r="CJ147" s="784">
        <f t="shared" ca="1" si="326"/>
        <v>-1009125.6999999993</v>
      </c>
      <c r="CK147" s="784">
        <f ca="1">+CK140-CK146</f>
        <v>1502654.9499999993</v>
      </c>
      <c r="CM147" s="783">
        <f ca="1">CM140-CM146</f>
        <v>0</v>
      </c>
      <c r="CN147" s="783">
        <f t="shared" ref="CN147:CY147" ca="1" si="327">CN140-CN146</f>
        <v>0</v>
      </c>
      <c r="CO147" s="783">
        <f t="shared" ca="1" si="327"/>
        <v>0</v>
      </c>
      <c r="CP147" s="783">
        <f t="shared" ca="1" si="327"/>
        <v>0</v>
      </c>
      <c r="CQ147" s="783">
        <f t="shared" ca="1" si="327"/>
        <v>0</v>
      </c>
      <c r="CR147" s="783">
        <f t="shared" ca="1" si="327"/>
        <v>0</v>
      </c>
      <c r="CS147" s="783">
        <f t="shared" ca="1" si="327"/>
        <v>0</v>
      </c>
      <c r="CT147" s="783">
        <f t="shared" ref="CT147" ca="1" si="328">CT140-CT146</f>
        <v>0</v>
      </c>
      <c r="CU147" s="783">
        <f t="shared" ref="CU147" ca="1" si="329">CU140-CU146</f>
        <v>0</v>
      </c>
      <c r="CV147" s="783">
        <f t="shared" ca="1" si="327"/>
        <v>0</v>
      </c>
      <c r="CW147" s="783">
        <f t="shared" ca="1" si="327"/>
        <v>0</v>
      </c>
      <c r="CX147" s="783">
        <f t="shared" ca="1" si="327"/>
        <v>0</v>
      </c>
      <c r="CY147" s="783">
        <f t="shared" ca="1" si="327"/>
        <v>0</v>
      </c>
    </row>
    <row r="148" spans="1:175" s="41" customFormat="1" ht="10.7">
      <c r="B148" s="43"/>
      <c r="C148" s="43"/>
      <c r="D148" s="43"/>
      <c r="E148" s="43"/>
      <c r="F148" s="43"/>
      <c r="G148" s="43"/>
      <c r="H148" s="43"/>
      <c r="I148" s="6"/>
      <c r="J148" s="6"/>
      <c r="K148" s="6"/>
      <c r="M148" s="6"/>
      <c r="O148" s="6"/>
      <c r="P148" s="6"/>
      <c r="Q148" s="6"/>
      <c r="R148" s="6"/>
      <c r="S148" s="6"/>
      <c r="U148" s="6"/>
      <c r="V148" s="6"/>
      <c r="W148" s="6"/>
      <c r="X148" s="6"/>
      <c r="Y148" s="6"/>
      <c r="Z148" s="6"/>
      <c r="AA148" s="6"/>
      <c r="AB148" s="6"/>
      <c r="AC148" s="6"/>
      <c r="AD148" s="6"/>
      <c r="AE148" s="6"/>
      <c r="AF148" s="6"/>
      <c r="AG148" s="6"/>
      <c r="AI148" s="6"/>
      <c r="AJ148" s="6"/>
      <c r="AK148" s="6"/>
      <c r="AL148" s="6"/>
      <c r="AM148" s="6"/>
      <c r="AN148" s="6"/>
      <c r="AO148" s="6"/>
      <c r="AP148" s="6"/>
      <c r="AQ148" s="6"/>
      <c r="AR148" s="6"/>
      <c r="AS148" s="6"/>
      <c r="AT148" s="6"/>
      <c r="AU148" s="6"/>
      <c r="AW148" s="6"/>
      <c r="AX148" s="6"/>
      <c r="AY148" s="6"/>
      <c r="AZ148" s="6"/>
      <c r="BA148" s="6"/>
      <c r="BB148" s="6"/>
      <c r="BC148" s="6"/>
      <c r="BD148" s="6"/>
      <c r="BE148" s="6"/>
      <c r="BF148" s="6"/>
      <c r="BG148" s="6"/>
      <c r="BH148" s="6"/>
      <c r="BI148" s="6"/>
      <c r="BK148" s="6"/>
      <c r="BL148" s="6"/>
      <c r="BM148" s="6"/>
      <c r="BN148" s="6"/>
      <c r="BO148" s="6"/>
      <c r="BP148" s="6"/>
      <c r="BQ148" s="6"/>
      <c r="BR148" s="6"/>
      <c r="BS148" s="6"/>
      <c r="BT148" s="6"/>
      <c r="BU148" s="6"/>
      <c r="BV148" s="6"/>
      <c r="BW148" s="6"/>
      <c r="BY148" s="6"/>
      <c r="BZ148" s="6"/>
      <c r="CA148" s="6"/>
      <c r="CB148" s="6"/>
      <c r="CC148" s="6"/>
      <c r="CD148" s="6"/>
      <c r="CE148" s="6"/>
      <c r="CF148" s="6"/>
      <c r="CG148" s="6"/>
      <c r="CH148" s="6"/>
      <c r="CI148" s="6"/>
      <c r="CJ148" s="6"/>
      <c r="CK148" s="6"/>
      <c r="CM148" s="6"/>
      <c r="CN148" s="6"/>
      <c r="CO148" s="6"/>
      <c r="CP148" s="6"/>
      <c r="CQ148" s="6"/>
      <c r="CR148" s="6"/>
      <c r="CS148" s="6"/>
      <c r="CT148" s="6"/>
      <c r="CU148" s="6"/>
      <c r="CV148" s="6"/>
      <c r="CW148" s="6"/>
      <c r="CX148" s="6"/>
      <c r="CY148" s="6"/>
      <c r="DA148" s="6"/>
      <c r="DB148" s="6"/>
      <c r="DC148" s="6"/>
      <c r="DD148" s="6"/>
      <c r="DE148" s="6"/>
      <c r="DF148" s="6"/>
      <c r="DG148" s="6"/>
      <c r="DH148" s="6"/>
      <c r="DI148" s="6"/>
      <c r="DJ148" s="6"/>
      <c r="DK148" s="6"/>
      <c r="DL148" s="6"/>
      <c r="DM148" s="6"/>
      <c r="DO148" s="6"/>
      <c r="DP148" s="6"/>
      <c r="DQ148" s="6"/>
      <c r="DR148" s="6"/>
      <c r="DS148" s="6"/>
      <c r="DT148" s="6"/>
      <c r="DU148" s="6"/>
      <c r="DV148" s="6"/>
      <c r="DW148" s="6"/>
      <c r="DX148" s="6"/>
      <c r="DY148" s="6"/>
      <c r="DZ148" s="6"/>
      <c r="EA148" s="6"/>
      <c r="EC148" s="6"/>
      <c r="ED148" s="6"/>
      <c r="EE148" s="6"/>
      <c r="EF148" s="6"/>
      <c r="EG148" s="6"/>
      <c r="EH148" s="6"/>
      <c r="EI148" s="6"/>
      <c r="EJ148" s="6"/>
      <c r="EK148" s="6"/>
      <c r="EL148" s="6"/>
      <c r="EM148" s="6"/>
      <c r="EN148" s="6"/>
      <c r="EO148" s="6"/>
      <c r="EQ148" s="6"/>
      <c r="ER148" s="6"/>
      <c r="ES148" s="6"/>
      <c r="ET148" s="6"/>
      <c r="EU148" s="6"/>
      <c r="EV148" s="6"/>
      <c r="EW148" s="6"/>
      <c r="EX148" s="6"/>
      <c r="EY148" s="6"/>
      <c r="EZ148" s="6"/>
      <c r="FA148" s="6"/>
      <c r="FB148" s="6"/>
      <c r="FC148" s="6"/>
      <c r="FE148" s="6"/>
      <c r="FF148" s="6"/>
      <c r="FG148" s="6"/>
      <c r="FH148" s="6"/>
      <c r="FI148" s="6"/>
      <c r="FJ148" s="6"/>
      <c r="FK148" s="6"/>
      <c r="FL148" s="6"/>
      <c r="FM148" s="6"/>
      <c r="FN148" s="6"/>
      <c r="FO148" s="6"/>
      <c r="FP148" s="6"/>
      <c r="FQ148" s="6"/>
      <c r="FS148" s="6"/>
    </row>
    <row r="149" spans="1:175" s="2" customFormat="1" ht="15" customHeight="1">
      <c r="B149" s="104"/>
      <c r="C149" s="104"/>
      <c r="D149" s="43"/>
      <c r="E149" s="43"/>
      <c r="F149" s="104"/>
      <c r="G149" s="104"/>
      <c r="H149" s="104"/>
      <c r="I149" s="6" t="s">
        <v>321</v>
      </c>
      <c r="J149" s="6" t="s">
        <v>377</v>
      </c>
      <c r="K149" s="6" t="s">
        <v>790</v>
      </c>
      <c r="O149" s="155"/>
      <c r="P149" s="155"/>
      <c r="Q149" s="155"/>
      <c r="R149" s="155"/>
      <c r="S149" s="155"/>
      <c r="T149" s="1"/>
      <c r="U149" s="1127" t="str">
        <f>U6</f>
        <v>Previous Fiscal</v>
      </c>
      <c r="V149" s="1149"/>
      <c r="W149" s="1149"/>
      <c r="X149" s="1149"/>
      <c r="Y149" s="1149"/>
      <c r="Z149" s="1149"/>
      <c r="AA149" s="1149"/>
      <c r="AB149" s="1149"/>
      <c r="AC149" s="1149"/>
      <c r="AD149" s="1149"/>
      <c r="AE149" s="1149"/>
      <c r="AF149" s="1149"/>
      <c r="AG149" s="1128"/>
      <c r="AH149" s="1"/>
      <c r="AI149" s="1127" t="str">
        <f>AI6</f>
        <v>Previous Fiscal</v>
      </c>
      <c r="AJ149" s="1149"/>
      <c r="AK149" s="1149"/>
      <c r="AL149" s="1149"/>
      <c r="AM149" s="1149"/>
      <c r="AN149" s="1149"/>
      <c r="AO149" s="1149"/>
      <c r="AP149" s="1149"/>
      <c r="AQ149" s="1149"/>
      <c r="AR149" s="1149"/>
      <c r="AS149" s="1149"/>
      <c r="AT149" s="1149"/>
      <c r="AU149" s="1128"/>
      <c r="AV149" s="1"/>
      <c r="AW149" s="1127" t="str">
        <f>AW6</f>
        <v>Previous Fiscal</v>
      </c>
      <c r="AX149" s="1149"/>
      <c r="AY149" s="1149"/>
      <c r="AZ149" s="1149"/>
      <c r="BA149" s="1149"/>
      <c r="BB149" s="1149"/>
      <c r="BC149" s="1149"/>
      <c r="BD149" s="1149"/>
      <c r="BE149" s="1149"/>
      <c r="BF149" s="1149"/>
      <c r="BG149" s="1149"/>
      <c r="BH149" s="1149"/>
      <c r="BI149" s="1128"/>
      <c r="BJ149" s="1"/>
      <c r="BK149" s="1127" t="str">
        <f>BK6</f>
        <v>Previous Fiscal</v>
      </c>
      <c r="BL149" s="1149"/>
      <c r="BM149" s="1149"/>
      <c r="BN149" s="1149"/>
      <c r="BO149" s="1149"/>
      <c r="BP149" s="1149"/>
      <c r="BQ149" s="1149"/>
      <c r="BR149" s="1149"/>
      <c r="BS149" s="1149"/>
      <c r="BT149" s="1149"/>
      <c r="BU149" s="1149"/>
      <c r="BV149" s="1149"/>
      <c r="BW149" s="1128"/>
      <c r="BX149" s="1"/>
      <c r="BY149" s="1127" t="str">
        <f>BY6</f>
        <v>Previous Fiscal</v>
      </c>
      <c r="BZ149" s="1149"/>
      <c r="CA149" s="1149"/>
      <c r="CB149" s="1149"/>
      <c r="CC149" s="1149"/>
      <c r="CD149" s="1149"/>
      <c r="CE149" s="1149"/>
      <c r="CF149" s="1149"/>
      <c r="CG149" s="1149"/>
      <c r="CH149" s="1149"/>
      <c r="CI149" s="1149"/>
      <c r="CJ149" s="1149"/>
      <c r="CK149" s="1128"/>
      <c r="CL149" s="1"/>
      <c r="CM149" s="1127" t="str">
        <f>CM6</f>
        <v>Previous Fiscal</v>
      </c>
      <c r="CN149" s="1149"/>
      <c r="CO149" s="1149"/>
      <c r="CP149" s="1149"/>
      <c r="CQ149" s="1149"/>
      <c r="CR149" s="1149"/>
      <c r="CS149" s="1149"/>
      <c r="CT149" s="1149"/>
      <c r="CU149" s="1149"/>
      <c r="CV149" s="1149"/>
      <c r="CW149" s="1149"/>
      <c r="CX149" s="1149"/>
      <c r="CY149" s="1128"/>
      <c r="CZ149" s="1"/>
      <c r="DA149" s="1127" t="str">
        <f>DA6</f>
        <v>Previous Fiscal</v>
      </c>
      <c r="DB149" s="1149"/>
      <c r="DC149" s="1149"/>
      <c r="DD149" s="1149"/>
      <c r="DE149" s="1149"/>
      <c r="DF149" s="1149"/>
      <c r="DG149" s="1149"/>
      <c r="DH149" s="1149"/>
      <c r="DI149" s="1149"/>
      <c r="DJ149" s="1149"/>
      <c r="DK149" s="1149"/>
      <c r="DL149" s="1149"/>
      <c r="DM149" s="1128"/>
      <c r="DN149" s="1"/>
      <c r="DO149" s="1127" t="str">
        <f>DO6</f>
        <v>Previous Fiscal</v>
      </c>
      <c r="DP149" s="1149"/>
      <c r="DQ149" s="1149"/>
      <c r="DR149" s="1149"/>
      <c r="DS149" s="1149"/>
      <c r="DT149" s="1149"/>
      <c r="DU149" s="1149"/>
      <c r="DV149" s="1149"/>
      <c r="DW149" s="1149"/>
      <c r="DX149" s="1149"/>
      <c r="DY149" s="1149"/>
      <c r="DZ149" s="1149"/>
      <c r="EA149" s="1128"/>
      <c r="EB149" s="1"/>
      <c r="EC149" s="1127" t="str">
        <f>EC6</f>
        <v>Current Fiscal</v>
      </c>
      <c r="ED149" s="1149"/>
      <c r="EE149" s="1149"/>
      <c r="EF149" s="1149"/>
      <c r="EG149" s="1149"/>
      <c r="EH149" s="1149"/>
      <c r="EI149" s="1149"/>
      <c r="EJ149" s="1149"/>
      <c r="EK149" s="1149"/>
      <c r="EL149" s="1149"/>
      <c r="EM149" s="1149"/>
      <c r="EN149" s="1149"/>
      <c r="EO149" s="1128"/>
      <c r="EP149" s="1"/>
      <c r="EQ149" s="1127" t="str">
        <f>EQ6</f>
        <v>Future Fiscal</v>
      </c>
      <c r="ER149" s="1149"/>
      <c r="ES149" s="1149"/>
      <c r="ET149" s="1149"/>
      <c r="EU149" s="1149"/>
      <c r="EV149" s="1149"/>
      <c r="EW149" s="1149"/>
      <c r="EX149" s="1149"/>
      <c r="EY149" s="1149"/>
      <c r="EZ149" s="1149"/>
      <c r="FA149" s="1149"/>
      <c r="FB149" s="1149"/>
      <c r="FC149" s="1128"/>
      <c r="FD149" s="1"/>
      <c r="FE149" s="1127" t="str">
        <f>FE6</f>
        <v>Future Fiscal</v>
      </c>
      <c r="FF149" s="1149"/>
      <c r="FG149" s="1149"/>
      <c r="FH149" s="1149"/>
      <c r="FI149" s="1149"/>
      <c r="FJ149" s="1149"/>
      <c r="FK149" s="1149"/>
      <c r="FL149" s="1149"/>
      <c r="FM149" s="1149"/>
      <c r="FN149" s="1149"/>
      <c r="FO149" s="1149"/>
      <c r="FP149" s="1149"/>
      <c r="FQ149" s="1128"/>
    </row>
    <row r="150" spans="1:175" s="2" customFormat="1" ht="27.95">
      <c r="D150" s="43"/>
      <c r="E150" s="43"/>
      <c r="G150" s="144" t="s">
        <v>1597</v>
      </c>
      <c r="H150" s="17" t="s">
        <v>13</v>
      </c>
      <c r="I150" s="20" t="s">
        <v>396</v>
      </c>
      <c r="J150" s="20" t="s">
        <v>1598</v>
      </c>
      <c r="K150" s="20" t="s">
        <v>1574</v>
      </c>
      <c r="M150" s="164" t="s">
        <v>1580</v>
      </c>
      <c r="O150" s="20" t="s">
        <v>1581</v>
      </c>
      <c r="P150" s="20" t="s">
        <v>1582</v>
      </c>
      <c r="Q150" s="20" t="s">
        <v>1583</v>
      </c>
      <c r="R150" s="20" t="s">
        <v>1584</v>
      </c>
      <c r="S150" s="20" t="s">
        <v>1585</v>
      </c>
      <c r="T150" s="1"/>
      <c r="U150" s="20" t="s">
        <v>1599</v>
      </c>
      <c r="V150" s="20" t="s">
        <v>1600</v>
      </c>
      <c r="W150" s="20" t="s">
        <v>1601</v>
      </c>
      <c r="X150" s="20" t="s">
        <v>1602</v>
      </c>
      <c r="Y150" s="20" t="s">
        <v>1603</v>
      </c>
      <c r="Z150" s="20" t="s">
        <v>1604</v>
      </c>
      <c r="AA150" s="20" t="s">
        <v>1605</v>
      </c>
      <c r="AB150" s="20" t="s">
        <v>1606</v>
      </c>
      <c r="AC150" s="20" t="s">
        <v>1607</v>
      </c>
      <c r="AD150" s="20" t="s">
        <v>1608</v>
      </c>
      <c r="AE150" s="20" t="s">
        <v>1609</v>
      </c>
      <c r="AF150" s="20" t="s">
        <v>1610</v>
      </c>
      <c r="AG150" s="20" t="str">
        <f>AG7</f>
        <v>2017-18</v>
      </c>
      <c r="AH150" s="1"/>
      <c r="AI150" s="20" t="s">
        <v>1599</v>
      </c>
      <c r="AJ150" s="20" t="s">
        <v>1600</v>
      </c>
      <c r="AK150" s="20" t="s">
        <v>1601</v>
      </c>
      <c r="AL150" s="20" t="s">
        <v>1602</v>
      </c>
      <c r="AM150" s="20" t="s">
        <v>1603</v>
      </c>
      <c r="AN150" s="20" t="s">
        <v>1604</v>
      </c>
      <c r="AO150" s="20" t="s">
        <v>1605</v>
      </c>
      <c r="AP150" s="20" t="s">
        <v>1606</v>
      </c>
      <c r="AQ150" s="20" t="s">
        <v>1607</v>
      </c>
      <c r="AR150" s="20" t="s">
        <v>1608</v>
      </c>
      <c r="AS150" s="20" t="s">
        <v>1609</v>
      </c>
      <c r="AT150" s="20" t="s">
        <v>1610</v>
      </c>
      <c r="AU150" s="20" t="str">
        <f>AU7</f>
        <v>2018-19</v>
      </c>
      <c r="AV150" s="1"/>
      <c r="AW150" s="20" t="s">
        <v>1599</v>
      </c>
      <c r="AX150" s="20" t="s">
        <v>1600</v>
      </c>
      <c r="AY150" s="20" t="s">
        <v>1601</v>
      </c>
      <c r="AZ150" s="20" t="s">
        <v>1602</v>
      </c>
      <c r="BA150" s="20" t="s">
        <v>1603</v>
      </c>
      <c r="BB150" s="20" t="s">
        <v>1604</v>
      </c>
      <c r="BC150" s="20" t="s">
        <v>1605</v>
      </c>
      <c r="BD150" s="20" t="s">
        <v>1606</v>
      </c>
      <c r="BE150" s="20" t="s">
        <v>1607</v>
      </c>
      <c r="BF150" s="20" t="s">
        <v>1608</v>
      </c>
      <c r="BG150" s="20" t="s">
        <v>1609</v>
      </c>
      <c r="BH150" s="20" t="s">
        <v>1610</v>
      </c>
      <c r="BI150" s="20" t="str">
        <f>BI7</f>
        <v>2019-20</v>
      </c>
      <c r="BJ150" s="1"/>
      <c r="BK150" s="20" t="s">
        <v>1599</v>
      </c>
      <c r="BL150" s="20" t="s">
        <v>1600</v>
      </c>
      <c r="BM150" s="20" t="s">
        <v>1601</v>
      </c>
      <c r="BN150" s="20" t="s">
        <v>1602</v>
      </c>
      <c r="BO150" s="20" t="s">
        <v>1603</v>
      </c>
      <c r="BP150" s="20" t="s">
        <v>1604</v>
      </c>
      <c r="BQ150" s="20" t="s">
        <v>1605</v>
      </c>
      <c r="BR150" s="20" t="s">
        <v>1606</v>
      </c>
      <c r="BS150" s="20" t="s">
        <v>1607</v>
      </c>
      <c r="BT150" s="20" t="s">
        <v>1608</v>
      </c>
      <c r="BU150" s="20" t="s">
        <v>1609</v>
      </c>
      <c r="BV150" s="20" t="s">
        <v>1610</v>
      </c>
      <c r="BW150" s="20" t="str">
        <f>BW7</f>
        <v>2020-21</v>
      </c>
      <c r="BX150" s="1"/>
      <c r="BY150" s="20" t="s">
        <v>1599</v>
      </c>
      <c r="BZ150" s="20" t="s">
        <v>1600</v>
      </c>
      <c r="CA150" s="20" t="s">
        <v>1601</v>
      </c>
      <c r="CB150" s="20" t="s">
        <v>1602</v>
      </c>
      <c r="CC150" s="20" t="s">
        <v>1603</v>
      </c>
      <c r="CD150" s="20" t="s">
        <v>1604</v>
      </c>
      <c r="CE150" s="20" t="s">
        <v>1605</v>
      </c>
      <c r="CF150" s="20" t="s">
        <v>1606</v>
      </c>
      <c r="CG150" s="20" t="s">
        <v>1607</v>
      </c>
      <c r="CH150" s="20" t="s">
        <v>1608</v>
      </c>
      <c r="CI150" s="20" t="s">
        <v>1609</v>
      </c>
      <c r="CJ150" s="20" t="s">
        <v>1610</v>
      </c>
      <c r="CK150" s="20" t="str">
        <f>CK7</f>
        <v>2021-22</v>
      </c>
      <c r="CL150" s="1"/>
      <c r="CM150" s="20" t="s">
        <v>1599</v>
      </c>
      <c r="CN150" s="20" t="s">
        <v>1600</v>
      </c>
      <c r="CO150" s="20" t="s">
        <v>1601</v>
      </c>
      <c r="CP150" s="20" t="s">
        <v>1602</v>
      </c>
      <c r="CQ150" s="20" t="s">
        <v>1603</v>
      </c>
      <c r="CR150" s="20" t="s">
        <v>1604</v>
      </c>
      <c r="CS150" s="20" t="s">
        <v>1605</v>
      </c>
      <c r="CT150" s="20" t="s">
        <v>1606</v>
      </c>
      <c r="CU150" s="20" t="s">
        <v>1607</v>
      </c>
      <c r="CV150" s="20" t="s">
        <v>1608</v>
      </c>
      <c r="CW150" s="20" t="s">
        <v>1609</v>
      </c>
      <c r="CX150" s="20" t="s">
        <v>1610</v>
      </c>
      <c r="CY150" s="20" t="str">
        <f>CY7</f>
        <v>2022-23</v>
      </c>
      <c r="CZ150" s="1"/>
      <c r="DA150" s="20" t="s">
        <v>1599</v>
      </c>
      <c r="DB150" s="20" t="s">
        <v>1600</v>
      </c>
      <c r="DC150" s="20" t="s">
        <v>1601</v>
      </c>
      <c r="DD150" s="20" t="s">
        <v>1602</v>
      </c>
      <c r="DE150" s="20" t="s">
        <v>1603</v>
      </c>
      <c r="DF150" s="20" t="s">
        <v>1604</v>
      </c>
      <c r="DG150" s="20" t="s">
        <v>1605</v>
      </c>
      <c r="DH150" s="20" t="s">
        <v>1606</v>
      </c>
      <c r="DI150" s="20" t="s">
        <v>1607</v>
      </c>
      <c r="DJ150" s="20" t="s">
        <v>1608</v>
      </c>
      <c r="DK150" s="20" t="s">
        <v>1609</v>
      </c>
      <c r="DL150" s="20" t="s">
        <v>1610</v>
      </c>
      <c r="DM150" s="20" t="str">
        <f>DM7</f>
        <v>2023-24</v>
      </c>
      <c r="DN150" s="1"/>
      <c r="DO150" s="20" t="s">
        <v>1599</v>
      </c>
      <c r="DP150" s="20" t="s">
        <v>1600</v>
      </c>
      <c r="DQ150" s="20" t="s">
        <v>1601</v>
      </c>
      <c r="DR150" s="20" t="s">
        <v>1602</v>
      </c>
      <c r="DS150" s="20" t="s">
        <v>1603</v>
      </c>
      <c r="DT150" s="20" t="s">
        <v>1604</v>
      </c>
      <c r="DU150" s="20" t="s">
        <v>1605</v>
      </c>
      <c r="DV150" s="20" t="s">
        <v>1606</v>
      </c>
      <c r="DW150" s="20" t="s">
        <v>1607</v>
      </c>
      <c r="DX150" s="20" t="s">
        <v>1608</v>
      </c>
      <c r="DY150" s="20" t="s">
        <v>1609</v>
      </c>
      <c r="DZ150" s="20" t="s">
        <v>1610</v>
      </c>
      <c r="EA150" s="20" t="str">
        <f>EA7</f>
        <v>2024-25</v>
      </c>
      <c r="EB150" s="1"/>
      <c r="EC150" s="20" t="s">
        <v>1599</v>
      </c>
      <c r="ED150" s="20" t="s">
        <v>1600</v>
      </c>
      <c r="EE150" s="20" t="s">
        <v>1601</v>
      </c>
      <c r="EF150" s="20" t="s">
        <v>1602</v>
      </c>
      <c r="EG150" s="20" t="s">
        <v>1603</v>
      </c>
      <c r="EH150" s="20" t="s">
        <v>1604</v>
      </c>
      <c r="EI150" s="20" t="s">
        <v>1605</v>
      </c>
      <c r="EJ150" s="20" t="s">
        <v>1606</v>
      </c>
      <c r="EK150" s="20" t="s">
        <v>1607</v>
      </c>
      <c r="EL150" s="20" t="s">
        <v>1608</v>
      </c>
      <c r="EM150" s="20" t="s">
        <v>1609</v>
      </c>
      <c r="EN150" s="20" t="s">
        <v>1610</v>
      </c>
      <c r="EO150" s="20" t="str">
        <f>EO7</f>
        <v>2025-26</v>
      </c>
      <c r="EP150" s="1"/>
      <c r="EQ150" s="20" t="s">
        <v>1599</v>
      </c>
      <c r="ER150" s="20" t="s">
        <v>1600</v>
      </c>
      <c r="ES150" s="20" t="s">
        <v>1601</v>
      </c>
      <c r="ET150" s="20" t="s">
        <v>1602</v>
      </c>
      <c r="EU150" s="20" t="s">
        <v>1603</v>
      </c>
      <c r="EV150" s="20" t="s">
        <v>1604</v>
      </c>
      <c r="EW150" s="20" t="s">
        <v>1605</v>
      </c>
      <c r="EX150" s="20" t="s">
        <v>1606</v>
      </c>
      <c r="EY150" s="20" t="s">
        <v>1607</v>
      </c>
      <c r="EZ150" s="20" t="s">
        <v>1608</v>
      </c>
      <c r="FA150" s="20" t="s">
        <v>1609</v>
      </c>
      <c r="FB150" s="20" t="s">
        <v>1610</v>
      </c>
      <c r="FC150" s="20" t="str">
        <f>FC7</f>
        <v>2026-27</v>
      </c>
      <c r="FD150" s="1"/>
      <c r="FE150" s="20" t="s">
        <v>1599</v>
      </c>
      <c r="FF150" s="20" t="s">
        <v>1600</v>
      </c>
      <c r="FG150" s="20" t="s">
        <v>1601</v>
      </c>
      <c r="FH150" s="20" t="s">
        <v>1602</v>
      </c>
      <c r="FI150" s="20" t="s">
        <v>1603</v>
      </c>
      <c r="FJ150" s="20" t="s">
        <v>1604</v>
      </c>
      <c r="FK150" s="20" t="s">
        <v>1605</v>
      </c>
      <c r="FL150" s="20" t="s">
        <v>1606</v>
      </c>
      <c r="FM150" s="20" t="s">
        <v>1607</v>
      </c>
      <c r="FN150" s="20" t="s">
        <v>1608</v>
      </c>
      <c r="FO150" s="20" t="s">
        <v>1609</v>
      </c>
      <c r="FP150" s="20" t="s">
        <v>1610</v>
      </c>
      <c r="FQ150" s="20" t="str">
        <f>FQ7</f>
        <v>2027-28</v>
      </c>
      <c r="FS150" s="164" t="s">
        <v>1611</v>
      </c>
    </row>
    <row r="151" spans="1:175">
      <c r="A151" s="2" t="str">
        <f ca="1">IF(I151&gt;'Target Tracking'!F7,"X","")</f>
        <v/>
      </c>
      <c r="D151" s="43"/>
      <c r="E151" s="43"/>
      <c r="G151" s="113" t="str">
        <f>'Target Tracking'!B7</f>
        <v>.F1</v>
      </c>
      <c r="H151" s="146" t="str">
        <f>INDEX(Validations!$J$11:$J$15,MATCH($G151,Validations!$M$11:$M$15,0))</f>
        <v>P-002360</v>
      </c>
      <c r="I151" s="474">
        <f ca="1">SUMIF(EAC[Funding Source],H151,EAC[Estimate At Completion])</f>
        <v>191099999.88000011</v>
      </c>
      <c r="J151" s="474">
        <f ca="1">SUMIF($G$8:$G$139,H151,J$8:J$139)</f>
        <v>182727345.40000004</v>
      </c>
      <c r="K151" s="503">
        <f ca="1">I151-J151</f>
        <v>8372654.4800000787</v>
      </c>
      <c r="L151" s="2"/>
      <c r="M151" s="504">
        <f ca="1">I151-FS151</f>
        <v>0</v>
      </c>
      <c r="N151" s="2"/>
      <c r="O151" s="504">
        <f ca="1">SUMIF($U$6:$FQ$6,"Previous Fiscal",AG151:FQ151)</f>
        <v>182447597.93000001</v>
      </c>
      <c r="P151" s="474">
        <f ca="1">SUMIF($G$8:$G$115,$H151,P$8:P$139)</f>
        <v>62407.740000000005</v>
      </c>
      <c r="Q151" s="474">
        <f ca="1">SUMIF($G$8:$G$115,$H151,Q$8:Q$115)</f>
        <v>1286128.56</v>
      </c>
      <c r="R151" s="504">
        <f ca="1">SUMIF($U$6:$FQ$6,"Current Fiscal",AG151:FQ151)</f>
        <v>1515171.99</v>
      </c>
      <c r="S151" s="504">
        <f ca="1">SUMIF($U$6:$FQ$6,"Future Fiscal",AG151:FQ151)</f>
        <v>7137229.9600000009</v>
      </c>
      <c r="U151" s="474">
        <f ca="1">SUMIF($G$8:$G$139,$H151,U$8:U$139)</f>
        <v>0</v>
      </c>
      <c r="V151" s="474">
        <f t="shared" ref="V151:AF156" ca="1" si="330">SUMIF($G$8:$G$139,$H151,V$8:V$139)</f>
        <v>0</v>
      </c>
      <c r="W151" s="474">
        <f t="shared" ca="1" si="330"/>
        <v>0</v>
      </c>
      <c r="X151" s="474">
        <f t="shared" ca="1" si="330"/>
        <v>0</v>
      </c>
      <c r="Y151" s="474">
        <f t="shared" ca="1" si="330"/>
        <v>70549.600000000006</v>
      </c>
      <c r="Z151" s="474">
        <f t="shared" ca="1" si="330"/>
        <v>45459.990000000005</v>
      </c>
      <c r="AA151" s="474">
        <f t="shared" ca="1" si="330"/>
        <v>64270.92</v>
      </c>
      <c r="AB151" s="474">
        <f t="shared" ca="1" si="330"/>
        <v>70291.48</v>
      </c>
      <c r="AC151" s="474">
        <f t="shared" ca="1" si="330"/>
        <v>113754.36</v>
      </c>
      <c r="AD151" s="474">
        <f t="shared" ca="1" si="330"/>
        <v>3366295.18</v>
      </c>
      <c r="AE151" s="474">
        <f t="shared" ca="1" si="330"/>
        <v>33626.18</v>
      </c>
      <c r="AF151" s="474">
        <f t="shared" ca="1" si="330"/>
        <v>40826.410000000003</v>
      </c>
      <c r="AG151" s="504">
        <f ca="1">SUM(U151:AF151)</f>
        <v>3805074.1200000006</v>
      </c>
      <c r="AI151" s="474">
        <f ca="1">SUMIF($G$8:$G$139,$H151,AI$8:AI$139)</f>
        <v>0</v>
      </c>
      <c r="AJ151" s="474">
        <f t="shared" ref="AJ151:AT156" ca="1" si="331">SUMIF($G$8:$G$139,$H151,AJ$8:AJ$139)</f>
        <v>306030</v>
      </c>
      <c r="AK151" s="474">
        <f t="shared" ca="1" si="331"/>
        <v>1482047.17</v>
      </c>
      <c r="AL151" s="474">
        <f t="shared" ca="1" si="331"/>
        <v>425581.29000000004</v>
      </c>
      <c r="AM151" s="474">
        <f t="shared" ca="1" si="331"/>
        <v>383205.14999999997</v>
      </c>
      <c r="AN151" s="474">
        <f t="shared" ca="1" si="331"/>
        <v>341521.97</v>
      </c>
      <c r="AO151" s="474">
        <f t="shared" ca="1" si="331"/>
        <v>345370.03</v>
      </c>
      <c r="AP151" s="474">
        <f t="shared" ca="1" si="331"/>
        <v>354037.01</v>
      </c>
      <c r="AQ151" s="474">
        <f t="shared" ca="1" si="331"/>
        <v>257482.62</v>
      </c>
      <c r="AR151" s="474">
        <f t="shared" ca="1" si="331"/>
        <v>265998.07</v>
      </c>
      <c r="AS151" s="474">
        <f t="shared" ca="1" si="331"/>
        <v>258481.03</v>
      </c>
      <c r="AT151" s="474">
        <f t="shared" ca="1" si="331"/>
        <v>646547.74</v>
      </c>
      <c r="AU151" s="504">
        <f ca="1">SUM(AI151:AT151)</f>
        <v>5066302.08</v>
      </c>
      <c r="AW151" s="474">
        <f ca="1">SUMIF($G$8:$G$139,$H151,AW$8:AW$139)</f>
        <v>34348.850000000006</v>
      </c>
      <c r="AX151" s="474">
        <f t="shared" ref="AX151:BH156" ca="1" si="332">SUMIF($G$8:$G$139,$H151,AX$8:AX$139)</f>
        <v>560829.26</v>
      </c>
      <c r="AY151" s="474">
        <f t="shared" ca="1" si="332"/>
        <v>379011.21</v>
      </c>
      <c r="AZ151" s="474">
        <f t="shared" ca="1" si="332"/>
        <v>398927.95</v>
      </c>
      <c r="BA151" s="474">
        <f t="shared" ca="1" si="332"/>
        <v>417205.13</v>
      </c>
      <c r="BB151" s="474">
        <f t="shared" ca="1" si="332"/>
        <v>460514.61</v>
      </c>
      <c r="BC151" s="474">
        <f t="shared" ca="1" si="332"/>
        <v>618436.89</v>
      </c>
      <c r="BD151" s="474">
        <f t="shared" ca="1" si="332"/>
        <v>1382507.8499999999</v>
      </c>
      <c r="BE151" s="474">
        <f t="shared" ca="1" si="332"/>
        <v>244742.34999999998</v>
      </c>
      <c r="BF151" s="474">
        <f t="shared" ca="1" si="332"/>
        <v>160547.64000000001</v>
      </c>
      <c r="BG151" s="474">
        <f t="shared" ca="1" si="332"/>
        <v>54663.83</v>
      </c>
      <c r="BH151" s="474">
        <f t="shared" ca="1" si="332"/>
        <v>154625.38999999998</v>
      </c>
      <c r="BI151" s="504">
        <f ca="1">SUM(AW151:BH151)</f>
        <v>4866360.959999999</v>
      </c>
      <c r="BK151" s="474">
        <f ca="1">SUMIF($G$8:$G$139,$H151,BK$8:BK$139)</f>
        <v>32009.22</v>
      </c>
      <c r="BL151" s="474">
        <f t="shared" ref="BL151:BV156" ca="1" si="333">SUMIF($G$8:$G$139,$H151,BL$8:BL$139)</f>
        <v>87225.77</v>
      </c>
      <c r="BM151" s="474">
        <f t="shared" ca="1" si="333"/>
        <v>147894.70000000001</v>
      </c>
      <c r="BN151" s="474">
        <f t="shared" ca="1" si="333"/>
        <v>159353.51</v>
      </c>
      <c r="BO151" s="474">
        <f t="shared" ca="1" si="333"/>
        <v>235597.81</v>
      </c>
      <c r="BP151" s="474">
        <f t="shared" ca="1" si="333"/>
        <v>2787597.66</v>
      </c>
      <c r="BQ151" s="474">
        <f t="shared" ca="1" si="333"/>
        <v>896855.61</v>
      </c>
      <c r="BR151" s="474">
        <f t="shared" ca="1" si="333"/>
        <v>1637398.74</v>
      </c>
      <c r="BS151" s="474">
        <f t="shared" ca="1" si="333"/>
        <v>1092048.67</v>
      </c>
      <c r="BT151" s="474">
        <f t="shared" ca="1" si="333"/>
        <v>1626918.0899999999</v>
      </c>
      <c r="BU151" s="474">
        <f t="shared" ca="1" si="333"/>
        <v>2188545.7799999998</v>
      </c>
      <c r="BV151" s="474">
        <f t="shared" ca="1" si="333"/>
        <v>4375234.7399999993</v>
      </c>
      <c r="BW151" s="504">
        <f ca="1">SUM(BK151:BV151)</f>
        <v>15266680.300000001</v>
      </c>
      <c r="BY151" s="474">
        <f ca="1">SUMIF($G$8:$G$139,$H151,BY$8:BY$139)</f>
        <v>48667.5</v>
      </c>
      <c r="BZ151" s="474">
        <f t="shared" ref="BZ151:CJ156" ca="1" si="334">SUMIF($G$8:$G$139,$H151,BZ$8:BZ$139)</f>
        <v>2545147.9</v>
      </c>
      <c r="CA151" s="474">
        <f t="shared" ca="1" si="334"/>
        <v>2392322.6199999996</v>
      </c>
      <c r="CB151" s="474">
        <f t="shared" ca="1" si="334"/>
        <v>2107079.7600000002</v>
      </c>
      <c r="CC151" s="474">
        <f t="shared" ca="1" si="334"/>
        <v>2349776.7600000002</v>
      </c>
      <c r="CD151" s="474">
        <f t="shared" ca="1" si="334"/>
        <v>1868298.45</v>
      </c>
      <c r="CE151" s="474">
        <f t="shared" ca="1" si="334"/>
        <v>2520593.7800000003</v>
      </c>
      <c r="CF151" s="474">
        <f t="shared" ca="1" si="334"/>
        <v>2265015.19</v>
      </c>
      <c r="CG151" s="474">
        <f t="shared" ca="1" si="334"/>
        <v>2909666.84</v>
      </c>
      <c r="CH151" s="474">
        <f t="shared" ca="1" si="334"/>
        <v>2739074.1</v>
      </c>
      <c r="CI151" s="474">
        <f t="shared" ca="1" si="334"/>
        <v>152285.85999999999</v>
      </c>
      <c r="CJ151" s="474">
        <f t="shared" ca="1" si="334"/>
        <v>8926629.4700000025</v>
      </c>
      <c r="CK151" s="504">
        <f ca="1">SUM(BY151:CJ151)</f>
        <v>30824558.23</v>
      </c>
      <c r="CM151" s="474">
        <f ca="1">SUMIF($G$8:$G$139,$H151,CM$8:CM$139)</f>
        <v>452020.68</v>
      </c>
      <c r="CN151" s="474">
        <f t="shared" ref="CN151:CX156" ca="1" si="335">SUMIF($G$8:$G$139,$H151,CN$8:CN$139)</f>
        <v>4449468.4300000006</v>
      </c>
      <c r="CO151" s="474">
        <f t="shared" ca="1" si="335"/>
        <v>6086613.5600000005</v>
      </c>
      <c r="CP151" s="474">
        <f t="shared" ca="1" si="335"/>
        <v>5872216.3300000001</v>
      </c>
      <c r="CQ151" s="474">
        <f t="shared" ca="1" si="335"/>
        <v>6321995.7800000003</v>
      </c>
      <c r="CR151" s="474">
        <f t="shared" ca="1" si="335"/>
        <v>9531002.9900000002</v>
      </c>
      <c r="CS151" s="474">
        <f t="shared" ca="1" si="335"/>
        <v>7429437.1600000011</v>
      </c>
      <c r="CT151" s="474">
        <f t="shared" ca="1" si="335"/>
        <v>7604604.8999999994</v>
      </c>
      <c r="CU151" s="474">
        <f t="shared" ca="1" si="335"/>
        <v>5900682.629999999</v>
      </c>
      <c r="CV151" s="474">
        <f t="shared" ca="1" si="335"/>
        <v>6244703.5800000001</v>
      </c>
      <c r="CW151" s="474">
        <f t="shared" ca="1" si="335"/>
        <v>5955543.25</v>
      </c>
      <c r="CX151" s="474">
        <f t="shared" ca="1" si="335"/>
        <v>11132382.43</v>
      </c>
      <c r="CY151" s="504">
        <f ca="1">SUM(CM151:CX151)</f>
        <v>76980671.719999999</v>
      </c>
      <c r="DA151" s="474">
        <f ca="1">SUMIF($G$8:$G$139,$H151,DA$8:DA$139)</f>
        <v>278497.16000000003</v>
      </c>
      <c r="DB151" s="474">
        <f t="shared" ref="DB151:DL156" ca="1" si="336">SUMIF($G$8:$G$139,$H151,DB$8:DB$139)</f>
        <v>4882063.99</v>
      </c>
      <c r="DC151" s="474">
        <f t="shared" ca="1" si="336"/>
        <v>4731909.4700000007</v>
      </c>
      <c r="DD151" s="474">
        <f t="shared" ca="1" si="336"/>
        <v>3728976.3500000006</v>
      </c>
      <c r="DE151" s="474">
        <f t="shared" ca="1" si="336"/>
        <v>4003755.7800000003</v>
      </c>
      <c r="DF151" s="474">
        <f t="shared" ca="1" si="336"/>
        <v>3956157.25</v>
      </c>
      <c r="DG151" s="474">
        <f t="shared" ca="1" si="336"/>
        <v>3073240.23</v>
      </c>
      <c r="DH151" s="474">
        <f t="shared" ca="1" si="336"/>
        <v>1972629.76</v>
      </c>
      <c r="DI151" s="474">
        <f t="shared" ca="1" si="336"/>
        <v>1946571.27</v>
      </c>
      <c r="DJ151" s="474">
        <f t="shared" ca="1" si="336"/>
        <v>1502118.09</v>
      </c>
      <c r="DK151" s="474">
        <f t="shared" ca="1" si="336"/>
        <v>1395339.27</v>
      </c>
      <c r="DL151" s="474">
        <f t="shared" ca="1" si="336"/>
        <v>2667921.7399999993</v>
      </c>
      <c r="DM151" s="504">
        <f ca="1">SUM(DA151:DL151)</f>
        <v>34139180.360000007</v>
      </c>
      <c r="DO151" s="474">
        <f ca="1">SUMIF($G$8:$G$139,$H151,DO$8:DO$139)</f>
        <v>193776.56</v>
      </c>
      <c r="DP151" s="474">
        <f t="shared" ref="DP151:DZ156" ca="1" si="337">SUMIF($G$8:$G$139,$H151,DP$8:DP$139)</f>
        <v>89723.25</v>
      </c>
      <c r="DQ151" s="474">
        <f t="shared" ca="1" si="337"/>
        <v>746845.91999999993</v>
      </c>
      <c r="DR151" s="474">
        <f t="shared" ca="1" si="337"/>
        <v>662047.47</v>
      </c>
      <c r="DS151" s="474">
        <f t="shared" ca="1" si="337"/>
        <v>746370.79</v>
      </c>
      <c r="DT151" s="474">
        <f t="shared" ca="1" si="337"/>
        <v>49192.73</v>
      </c>
      <c r="DU151" s="474">
        <f ca="1">SUMIF($G$8:$G$139,$H151,DU$8:DU$139)</f>
        <v>5549374.2800000003</v>
      </c>
      <c r="DV151" s="474">
        <f t="shared" ca="1" si="337"/>
        <v>999375.67999999993</v>
      </c>
      <c r="DW151" s="474">
        <f t="shared" ca="1" si="337"/>
        <v>520860.10000000003</v>
      </c>
      <c r="DX151" s="474">
        <f t="shared" ca="1" si="337"/>
        <v>433312.34</v>
      </c>
      <c r="DY151" s="474">
        <f t="shared" ca="1" si="337"/>
        <v>629450.8600000001</v>
      </c>
      <c r="DZ151" s="474">
        <f t="shared" ca="1" si="337"/>
        <v>878440.17999999993</v>
      </c>
      <c r="EA151" s="504">
        <f ca="1">SUM(DO151:DZ151)</f>
        <v>11498770.159999998</v>
      </c>
      <c r="EC151" s="474">
        <f ca="1">SUMIF($G$8:$G$139,$H151,EC$8:EC$139)</f>
        <v>73319.77</v>
      </c>
      <c r="ED151" s="474">
        <f t="shared" ref="ED151:EN156" ca="1" si="338">SUMIF($G$8:$G$139,$H151,ED$8:ED$139)</f>
        <v>198632.21</v>
      </c>
      <c r="EE151" s="474">
        <f t="shared" ca="1" si="338"/>
        <v>119000</v>
      </c>
      <c r="EF151" s="474">
        <f t="shared" ca="1" si="338"/>
        <v>492748</v>
      </c>
      <c r="EG151" s="474">
        <f t="shared" ca="1" si="338"/>
        <v>324210.91000000003</v>
      </c>
      <c r="EH151" s="474">
        <f t="shared" ca="1" si="338"/>
        <v>58803</v>
      </c>
      <c r="EI151" s="474">
        <f t="shared" ca="1" si="338"/>
        <v>18402.14</v>
      </c>
      <c r="EJ151" s="474">
        <f t="shared" ca="1" si="338"/>
        <v>0</v>
      </c>
      <c r="EK151" s="474">
        <f t="shared" ca="1" si="338"/>
        <v>0</v>
      </c>
      <c r="EL151" s="474">
        <f t="shared" ca="1" si="338"/>
        <v>0</v>
      </c>
      <c r="EM151" s="474">
        <f t="shared" ca="1" si="338"/>
        <v>0</v>
      </c>
      <c r="EN151" s="474">
        <f t="shared" ca="1" si="338"/>
        <v>230055.96000000002</v>
      </c>
      <c r="EO151" s="504">
        <f ca="1">SUM(EC151:EN151)</f>
        <v>1515171.99</v>
      </c>
      <c r="EQ151" s="474">
        <f ca="1">SUMIF($G$8:$G$139,$H151,EQ$8:EQ$139)</f>
        <v>14111.53</v>
      </c>
      <c r="ER151" s="474">
        <f t="shared" ref="ER151:FB156" ca="1" si="339">SUMIF($G$8:$G$139,$H151,ER$8:ER$139)</f>
        <v>4746252.1300000008</v>
      </c>
      <c r="ES151" s="474">
        <f t="shared" ca="1" si="339"/>
        <v>0</v>
      </c>
      <c r="ET151" s="474">
        <f t="shared" ca="1" si="339"/>
        <v>200000</v>
      </c>
      <c r="EU151" s="474">
        <f t="shared" ca="1" si="339"/>
        <v>200000</v>
      </c>
      <c r="EV151" s="474">
        <f t="shared" ca="1" si="339"/>
        <v>200000</v>
      </c>
      <c r="EW151" s="474">
        <f t="shared" ca="1" si="339"/>
        <v>200000</v>
      </c>
      <c r="EX151" s="474">
        <f t="shared" ca="1" si="339"/>
        <v>0</v>
      </c>
      <c r="EY151" s="474">
        <f t="shared" ca="1" si="339"/>
        <v>0</v>
      </c>
      <c r="EZ151" s="474">
        <f t="shared" ca="1" si="339"/>
        <v>0</v>
      </c>
      <c r="FA151" s="474">
        <f t="shared" ca="1" si="339"/>
        <v>0</v>
      </c>
      <c r="FB151" s="474">
        <f t="shared" ca="1" si="339"/>
        <v>1576866.3</v>
      </c>
      <c r="FC151" s="504">
        <f ca="1">SUM(EQ151:FB151)</f>
        <v>7137229.9600000009</v>
      </c>
      <c r="FE151" s="474">
        <f ca="1">SUMIF($G$8:$G$139,$H151,FE$8:FE$139)</f>
        <v>0</v>
      </c>
      <c r="FF151" s="474">
        <f t="shared" ref="FF151:FP156" ca="1" si="340">SUMIF($G$8:$G$139,$H151,FF$8:FF$139)</f>
        <v>0</v>
      </c>
      <c r="FG151" s="474">
        <f t="shared" ca="1" si="340"/>
        <v>0</v>
      </c>
      <c r="FH151" s="474">
        <f t="shared" ca="1" si="340"/>
        <v>0</v>
      </c>
      <c r="FI151" s="474">
        <f t="shared" ca="1" si="340"/>
        <v>0</v>
      </c>
      <c r="FJ151" s="474">
        <f t="shared" ca="1" si="340"/>
        <v>0</v>
      </c>
      <c r="FK151" s="474">
        <f t="shared" ca="1" si="340"/>
        <v>0</v>
      </c>
      <c r="FL151" s="474">
        <f t="shared" ca="1" si="340"/>
        <v>0</v>
      </c>
      <c r="FM151" s="474">
        <f t="shared" ca="1" si="340"/>
        <v>0</v>
      </c>
      <c r="FN151" s="474">
        <f t="shared" ca="1" si="340"/>
        <v>0</v>
      </c>
      <c r="FO151" s="474">
        <f t="shared" ca="1" si="340"/>
        <v>0</v>
      </c>
      <c r="FP151" s="474">
        <f t="shared" ca="1" si="340"/>
        <v>0</v>
      </c>
      <c r="FQ151" s="504">
        <f ca="1">SUM(FE151:FP151)</f>
        <v>0</v>
      </c>
      <c r="FS151" s="504">
        <f ca="1">AG151+AU151+BI151+BW151+CK151+CY151+DM151+EA151+EO151+FC151+FQ151</f>
        <v>191099999.88000003</v>
      </c>
    </row>
    <row r="152" spans="1:175">
      <c r="A152" s="2" t="str">
        <f ca="1">IF(I152&gt;'Target Tracking'!F8,"X","")</f>
        <v/>
      </c>
      <c r="D152" s="43"/>
      <c r="E152" s="43"/>
      <c r="G152" s="113" t="str">
        <f>'Target Tracking'!B8</f>
        <v>.F2</v>
      </c>
      <c r="H152" s="146" t="str">
        <f>INDEX(Validations!$J$11:$J$15,MATCH($G152,Validations!$M$11:$M$15,0))</f>
        <v>--</v>
      </c>
      <c r="I152" s="474">
        <f ca="1">SUMIF(EAC[Funding Source],H152,EAC[Estimate At Completion])</f>
        <v>0</v>
      </c>
      <c r="J152" s="474">
        <f t="shared" ref="J152:J156" ca="1" si="341">SUMIF($G$8:$G$139,H152,J$8:J$139)</f>
        <v>0</v>
      </c>
      <c r="K152" s="503">
        <f t="shared" ref="K152:K155" ca="1" si="342">I152-J152</f>
        <v>0</v>
      </c>
      <c r="L152" s="2"/>
      <c r="M152" s="504">
        <f t="shared" ref="M152:M156" ca="1" si="343">I152-FS152</f>
        <v>0</v>
      </c>
      <c r="N152" s="2"/>
      <c r="O152" s="504">
        <f t="shared" ref="O152:O155" ca="1" si="344">SUMIF($U$6:$FQ$6,"Previous Fiscal",AG152:FQ152)</f>
        <v>0</v>
      </c>
      <c r="P152" s="474">
        <f t="shared" ref="P152:P156" ca="1" si="345">SUMIF($G$8:$G$115,$H152,P$8:P$139)</f>
        <v>0</v>
      </c>
      <c r="Q152" s="474">
        <f t="shared" ref="Q152:Q156" ca="1" si="346">SUMIF($G$8:$G$97,$H152,Q$8:Q$103)</f>
        <v>0</v>
      </c>
      <c r="R152" s="504">
        <f ca="1">SUMIF($U$6:$FQ$6,"Current Fiscal",AG152:FQ152)</f>
        <v>0</v>
      </c>
      <c r="S152" s="504">
        <f t="shared" ref="S152:S155" ca="1" si="347">SUMIF($U$6:$FQ$6,"Future Fiscal",AG152:FQ152)</f>
        <v>0</v>
      </c>
      <c r="U152" s="474">
        <f t="shared" ref="U152:U156" ca="1" si="348">SUMIF($G$8:$G$139,$H152,U$8:U$139)</f>
        <v>0</v>
      </c>
      <c r="V152" s="474">
        <f t="shared" ca="1" si="330"/>
        <v>0</v>
      </c>
      <c r="W152" s="474">
        <f t="shared" ca="1" si="330"/>
        <v>0</v>
      </c>
      <c r="X152" s="474">
        <f t="shared" ca="1" si="330"/>
        <v>0</v>
      </c>
      <c r="Y152" s="474">
        <f t="shared" ca="1" si="330"/>
        <v>0</v>
      </c>
      <c r="Z152" s="474">
        <f t="shared" ca="1" si="330"/>
        <v>0</v>
      </c>
      <c r="AA152" s="474">
        <f t="shared" ca="1" si="330"/>
        <v>0</v>
      </c>
      <c r="AB152" s="474">
        <f t="shared" ca="1" si="330"/>
        <v>0</v>
      </c>
      <c r="AC152" s="474">
        <f t="shared" ca="1" si="330"/>
        <v>0</v>
      </c>
      <c r="AD152" s="474">
        <f t="shared" ca="1" si="330"/>
        <v>0</v>
      </c>
      <c r="AE152" s="474">
        <f t="shared" ca="1" si="330"/>
        <v>0</v>
      </c>
      <c r="AF152" s="474">
        <f t="shared" ca="1" si="330"/>
        <v>0</v>
      </c>
      <c r="AG152" s="504">
        <f t="shared" ref="AG152:AG156" ca="1" si="349">SUM(U152:AF152)</f>
        <v>0</v>
      </c>
      <c r="AI152" s="474">
        <f t="shared" ref="AI152:AI156" ca="1" si="350">SUMIF($G$8:$G$139,$H152,AI$8:AI$139)</f>
        <v>0</v>
      </c>
      <c r="AJ152" s="474">
        <f t="shared" ca="1" si="331"/>
        <v>0</v>
      </c>
      <c r="AK152" s="474">
        <f t="shared" ca="1" si="331"/>
        <v>0</v>
      </c>
      <c r="AL152" s="474">
        <f t="shared" ca="1" si="331"/>
        <v>0</v>
      </c>
      <c r="AM152" s="474">
        <f t="shared" ca="1" si="331"/>
        <v>0</v>
      </c>
      <c r="AN152" s="474">
        <f t="shared" ca="1" si="331"/>
        <v>0</v>
      </c>
      <c r="AO152" s="474">
        <f t="shared" ca="1" si="331"/>
        <v>0</v>
      </c>
      <c r="AP152" s="474">
        <f t="shared" ca="1" si="331"/>
        <v>0</v>
      </c>
      <c r="AQ152" s="474">
        <f t="shared" ca="1" si="331"/>
        <v>0</v>
      </c>
      <c r="AR152" s="474">
        <f t="shared" ca="1" si="331"/>
        <v>0</v>
      </c>
      <c r="AS152" s="474">
        <f t="shared" ca="1" si="331"/>
        <v>0</v>
      </c>
      <c r="AT152" s="474">
        <f t="shared" ca="1" si="331"/>
        <v>0</v>
      </c>
      <c r="AU152" s="504">
        <f t="shared" ref="AU152:AU155" ca="1" si="351">SUM(AI152:AT152)</f>
        <v>0</v>
      </c>
      <c r="AW152" s="474">
        <f t="shared" ref="AW152:AW156" ca="1" si="352">SUMIF($G$8:$G$139,$H152,AW$8:AW$139)</f>
        <v>0</v>
      </c>
      <c r="AX152" s="474">
        <f t="shared" ca="1" si="332"/>
        <v>0</v>
      </c>
      <c r="AY152" s="474">
        <f t="shared" ca="1" si="332"/>
        <v>0</v>
      </c>
      <c r="AZ152" s="474">
        <f t="shared" ca="1" si="332"/>
        <v>0</v>
      </c>
      <c r="BA152" s="474">
        <f t="shared" ca="1" si="332"/>
        <v>0</v>
      </c>
      <c r="BB152" s="474">
        <f t="shared" ca="1" si="332"/>
        <v>0</v>
      </c>
      <c r="BC152" s="474">
        <f t="shared" ca="1" si="332"/>
        <v>0</v>
      </c>
      <c r="BD152" s="474">
        <f t="shared" ca="1" si="332"/>
        <v>0</v>
      </c>
      <c r="BE152" s="474">
        <f t="shared" ca="1" si="332"/>
        <v>0</v>
      </c>
      <c r="BF152" s="474">
        <f t="shared" ca="1" si="332"/>
        <v>0</v>
      </c>
      <c r="BG152" s="474">
        <f t="shared" ca="1" si="332"/>
        <v>0</v>
      </c>
      <c r="BH152" s="474">
        <f t="shared" ca="1" si="332"/>
        <v>0</v>
      </c>
      <c r="BI152" s="504">
        <f t="shared" ref="BI152:BI155" ca="1" si="353">SUM(AW152:BH152)</f>
        <v>0</v>
      </c>
      <c r="BK152" s="474">
        <f t="shared" ref="BK152:BK156" ca="1" si="354">SUMIF($G$8:$G$139,$H152,BK$8:BK$139)</f>
        <v>0</v>
      </c>
      <c r="BL152" s="474">
        <f t="shared" ca="1" si="333"/>
        <v>0</v>
      </c>
      <c r="BM152" s="474">
        <f t="shared" ca="1" si="333"/>
        <v>0</v>
      </c>
      <c r="BN152" s="474">
        <f t="shared" ca="1" si="333"/>
        <v>0</v>
      </c>
      <c r="BO152" s="474">
        <f t="shared" ca="1" si="333"/>
        <v>0</v>
      </c>
      <c r="BP152" s="474">
        <f t="shared" ca="1" si="333"/>
        <v>0</v>
      </c>
      <c r="BQ152" s="474">
        <f t="shared" ca="1" si="333"/>
        <v>0</v>
      </c>
      <c r="BR152" s="474">
        <f t="shared" ca="1" si="333"/>
        <v>0</v>
      </c>
      <c r="BS152" s="474">
        <f t="shared" ca="1" si="333"/>
        <v>0</v>
      </c>
      <c r="BT152" s="474">
        <f t="shared" ca="1" si="333"/>
        <v>0</v>
      </c>
      <c r="BU152" s="474">
        <f t="shared" ca="1" si="333"/>
        <v>0</v>
      </c>
      <c r="BV152" s="474">
        <f t="shared" ca="1" si="333"/>
        <v>0</v>
      </c>
      <c r="BW152" s="504">
        <f t="shared" ref="BW152:BW155" ca="1" si="355">SUM(BK152:BV152)</f>
        <v>0</v>
      </c>
      <c r="BY152" s="474">
        <f t="shared" ref="BY152:BY156" ca="1" si="356">SUMIF($G$8:$G$139,$H152,BY$8:BY$139)</f>
        <v>0</v>
      </c>
      <c r="BZ152" s="474">
        <f t="shared" ca="1" si="334"/>
        <v>0</v>
      </c>
      <c r="CA152" s="474">
        <f t="shared" ca="1" si="334"/>
        <v>0</v>
      </c>
      <c r="CB152" s="474">
        <f t="shared" ca="1" si="334"/>
        <v>0</v>
      </c>
      <c r="CC152" s="474">
        <f t="shared" ca="1" si="334"/>
        <v>0</v>
      </c>
      <c r="CD152" s="474">
        <f t="shared" ca="1" si="334"/>
        <v>0</v>
      </c>
      <c r="CE152" s="474">
        <f t="shared" ca="1" si="334"/>
        <v>0</v>
      </c>
      <c r="CF152" s="474">
        <f t="shared" ca="1" si="334"/>
        <v>0</v>
      </c>
      <c r="CG152" s="474">
        <f t="shared" ca="1" si="334"/>
        <v>0</v>
      </c>
      <c r="CH152" s="474">
        <f t="shared" ca="1" si="334"/>
        <v>0</v>
      </c>
      <c r="CI152" s="474">
        <f t="shared" ca="1" si="334"/>
        <v>0</v>
      </c>
      <c r="CJ152" s="474">
        <f t="shared" ca="1" si="334"/>
        <v>0</v>
      </c>
      <c r="CK152" s="504">
        <f t="shared" ref="CK152:CK155" ca="1" si="357">SUM(BY152:CJ152)</f>
        <v>0</v>
      </c>
      <c r="CM152" s="474">
        <f t="shared" ref="CM152:CM156" ca="1" si="358">SUMIF($G$8:$G$139,$H152,CM$8:CM$139)</f>
        <v>0</v>
      </c>
      <c r="CN152" s="474">
        <f t="shared" ca="1" si="335"/>
        <v>0</v>
      </c>
      <c r="CO152" s="474">
        <f t="shared" ca="1" si="335"/>
        <v>0</v>
      </c>
      <c r="CP152" s="474">
        <f t="shared" ca="1" si="335"/>
        <v>0</v>
      </c>
      <c r="CQ152" s="474">
        <f t="shared" ca="1" si="335"/>
        <v>0</v>
      </c>
      <c r="CR152" s="474">
        <f t="shared" ca="1" si="335"/>
        <v>0</v>
      </c>
      <c r="CS152" s="474">
        <f t="shared" ca="1" si="335"/>
        <v>0</v>
      </c>
      <c r="CT152" s="474">
        <f t="shared" ca="1" si="335"/>
        <v>0</v>
      </c>
      <c r="CU152" s="474">
        <f t="shared" ca="1" si="335"/>
        <v>0</v>
      </c>
      <c r="CV152" s="474">
        <f t="shared" ca="1" si="335"/>
        <v>0</v>
      </c>
      <c r="CW152" s="474">
        <f t="shared" ca="1" si="335"/>
        <v>0</v>
      </c>
      <c r="CX152" s="474">
        <f t="shared" ca="1" si="335"/>
        <v>0</v>
      </c>
      <c r="CY152" s="504">
        <f t="shared" ref="CY152:CY155" ca="1" si="359">SUM(CM152:CX152)</f>
        <v>0</v>
      </c>
      <c r="DA152" s="474">
        <f t="shared" ref="DA152:DA156" ca="1" si="360">SUMIF($G$8:$G$139,$H152,DA$8:DA$139)</f>
        <v>0</v>
      </c>
      <c r="DB152" s="474">
        <f t="shared" ca="1" si="336"/>
        <v>0</v>
      </c>
      <c r="DC152" s="474">
        <f t="shared" ca="1" si="336"/>
        <v>0</v>
      </c>
      <c r="DD152" s="474">
        <f t="shared" ca="1" si="336"/>
        <v>0</v>
      </c>
      <c r="DE152" s="474">
        <f t="shared" ca="1" si="336"/>
        <v>0</v>
      </c>
      <c r="DF152" s="474">
        <f t="shared" ca="1" si="336"/>
        <v>0</v>
      </c>
      <c r="DG152" s="474">
        <f t="shared" ca="1" si="336"/>
        <v>0</v>
      </c>
      <c r="DH152" s="474">
        <f t="shared" ca="1" si="336"/>
        <v>0</v>
      </c>
      <c r="DI152" s="474">
        <f t="shared" ca="1" si="336"/>
        <v>0</v>
      </c>
      <c r="DJ152" s="474">
        <f t="shared" ca="1" si="336"/>
        <v>0</v>
      </c>
      <c r="DK152" s="474">
        <f t="shared" ca="1" si="336"/>
        <v>0</v>
      </c>
      <c r="DL152" s="474">
        <f t="shared" ca="1" si="336"/>
        <v>0</v>
      </c>
      <c r="DM152" s="504">
        <f t="shared" ref="DM152:DM156" ca="1" si="361">SUM(DA152:DL152)</f>
        <v>0</v>
      </c>
      <c r="DO152" s="474">
        <f t="shared" ref="DO152:DO156" ca="1" si="362">SUMIF($G$8:$G$139,$H152,DO$8:DO$139)</f>
        <v>0</v>
      </c>
      <c r="DP152" s="474">
        <f t="shared" ca="1" si="337"/>
        <v>0</v>
      </c>
      <c r="DQ152" s="474">
        <f t="shared" ca="1" si="337"/>
        <v>0</v>
      </c>
      <c r="DR152" s="474">
        <f t="shared" ca="1" si="337"/>
        <v>0</v>
      </c>
      <c r="DS152" s="474">
        <f t="shared" ca="1" si="337"/>
        <v>0</v>
      </c>
      <c r="DT152" s="474">
        <f t="shared" ca="1" si="337"/>
        <v>0</v>
      </c>
      <c r="DU152" s="474">
        <f t="shared" ca="1" si="337"/>
        <v>0</v>
      </c>
      <c r="DV152" s="474">
        <f t="shared" ca="1" si="337"/>
        <v>0</v>
      </c>
      <c r="DW152" s="474">
        <f t="shared" ca="1" si="337"/>
        <v>0</v>
      </c>
      <c r="DX152" s="474">
        <f t="shared" ca="1" si="337"/>
        <v>0</v>
      </c>
      <c r="DY152" s="474">
        <f t="shared" ca="1" si="337"/>
        <v>0</v>
      </c>
      <c r="DZ152" s="474">
        <f t="shared" ca="1" si="337"/>
        <v>0</v>
      </c>
      <c r="EA152" s="504">
        <f t="shared" ref="EA152:EA155" ca="1" si="363">SUM(DO152:DZ152)</f>
        <v>0</v>
      </c>
      <c r="EC152" s="474">
        <f t="shared" ref="EC152:EC156" ca="1" si="364">SUMIF($G$8:$G$139,$H152,EC$8:EC$139)</f>
        <v>0</v>
      </c>
      <c r="ED152" s="474">
        <f t="shared" ca="1" si="338"/>
        <v>0</v>
      </c>
      <c r="EE152" s="474">
        <f t="shared" ca="1" si="338"/>
        <v>0</v>
      </c>
      <c r="EF152" s="474">
        <f t="shared" ca="1" si="338"/>
        <v>0</v>
      </c>
      <c r="EG152" s="474">
        <f t="shared" ca="1" si="338"/>
        <v>0</v>
      </c>
      <c r="EH152" s="474">
        <f t="shared" ca="1" si="338"/>
        <v>0</v>
      </c>
      <c r="EI152" s="474">
        <f t="shared" ca="1" si="338"/>
        <v>0</v>
      </c>
      <c r="EJ152" s="474">
        <f t="shared" ca="1" si="338"/>
        <v>0</v>
      </c>
      <c r="EK152" s="474">
        <f t="shared" ca="1" si="338"/>
        <v>0</v>
      </c>
      <c r="EL152" s="474">
        <f t="shared" ca="1" si="338"/>
        <v>0</v>
      </c>
      <c r="EM152" s="474">
        <f t="shared" ca="1" si="338"/>
        <v>0</v>
      </c>
      <c r="EN152" s="474">
        <f t="shared" ca="1" si="338"/>
        <v>0</v>
      </c>
      <c r="EO152" s="504">
        <f t="shared" ref="EO152:EO155" ca="1" si="365">SUM(EC152:EN152)</f>
        <v>0</v>
      </c>
      <c r="EQ152" s="474">
        <f t="shared" ref="EQ152:EQ156" ca="1" si="366">SUMIF($G$8:$G$139,$H152,EQ$8:EQ$139)</f>
        <v>0</v>
      </c>
      <c r="ER152" s="474">
        <f t="shared" ca="1" si="339"/>
        <v>0</v>
      </c>
      <c r="ES152" s="474">
        <f t="shared" ca="1" si="339"/>
        <v>0</v>
      </c>
      <c r="ET152" s="474">
        <f t="shared" ca="1" si="339"/>
        <v>0</v>
      </c>
      <c r="EU152" s="474">
        <f t="shared" ca="1" si="339"/>
        <v>0</v>
      </c>
      <c r="EV152" s="474">
        <f t="shared" ca="1" si="339"/>
        <v>0</v>
      </c>
      <c r="EW152" s="474">
        <f t="shared" ca="1" si="339"/>
        <v>0</v>
      </c>
      <c r="EX152" s="474">
        <f t="shared" ca="1" si="339"/>
        <v>0</v>
      </c>
      <c r="EY152" s="474">
        <f t="shared" ca="1" si="339"/>
        <v>0</v>
      </c>
      <c r="EZ152" s="474">
        <f t="shared" ca="1" si="339"/>
        <v>0</v>
      </c>
      <c r="FA152" s="474">
        <f t="shared" ca="1" si="339"/>
        <v>0</v>
      </c>
      <c r="FB152" s="474">
        <f t="shared" ca="1" si="339"/>
        <v>0</v>
      </c>
      <c r="FC152" s="504">
        <f t="shared" ref="FC152:FC155" ca="1" si="367">SUM(EQ152:FB152)</f>
        <v>0</v>
      </c>
      <c r="FE152" s="474">
        <f t="shared" ref="FE152:FE156" ca="1" si="368">SUMIF($G$8:$G$139,$H152,FE$8:FE$139)</f>
        <v>0</v>
      </c>
      <c r="FF152" s="474">
        <f t="shared" ca="1" si="340"/>
        <v>0</v>
      </c>
      <c r="FG152" s="474">
        <f t="shared" ca="1" si="340"/>
        <v>0</v>
      </c>
      <c r="FH152" s="474">
        <f t="shared" ca="1" si="340"/>
        <v>0</v>
      </c>
      <c r="FI152" s="474">
        <f t="shared" ca="1" si="340"/>
        <v>0</v>
      </c>
      <c r="FJ152" s="474">
        <f t="shared" ca="1" si="340"/>
        <v>0</v>
      </c>
      <c r="FK152" s="474">
        <f t="shared" ca="1" si="340"/>
        <v>0</v>
      </c>
      <c r="FL152" s="474">
        <f t="shared" ca="1" si="340"/>
        <v>0</v>
      </c>
      <c r="FM152" s="474">
        <f t="shared" ca="1" si="340"/>
        <v>0</v>
      </c>
      <c r="FN152" s="474">
        <f t="shared" ca="1" si="340"/>
        <v>0</v>
      </c>
      <c r="FO152" s="474">
        <f t="shared" ca="1" si="340"/>
        <v>0</v>
      </c>
      <c r="FP152" s="474">
        <f t="shared" ca="1" si="340"/>
        <v>0</v>
      </c>
      <c r="FQ152" s="504">
        <f t="shared" ref="FQ152:FQ155" ca="1" si="369">SUM(FE152:FP152)</f>
        <v>0</v>
      </c>
      <c r="FS152" s="504">
        <f t="shared" ref="FS152:FS155" ca="1" si="370">AG152+AU152+BI152+BW152+CK152+CY152+DM152+EA152+EO152+FC152+FQ152</f>
        <v>0</v>
      </c>
    </row>
    <row r="153" spans="1:175">
      <c r="A153" s="2" t="str">
        <f ca="1">IF(I153&gt;'Target Tracking'!F9,"X","")</f>
        <v/>
      </c>
      <c r="D153" s="43"/>
      <c r="E153" s="43"/>
      <c r="G153" s="113" t="str">
        <f>'Target Tracking'!B9</f>
        <v>.F3</v>
      </c>
      <c r="H153" s="146" t="str">
        <f>INDEX(Validations!$J$11:$J$15,MATCH($G153,Validations!$M$11:$M$15,0))</f>
        <v>--</v>
      </c>
      <c r="I153" s="474">
        <f ca="1">SUMIF(EAC[Funding Source],H153,EAC[Estimate At Completion])</f>
        <v>0</v>
      </c>
      <c r="J153" s="474">
        <f t="shared" ca="1" si="341"/>
        <v>0</v>
      </c>
      <c r="K153" s="503">
        <f t="shared" ca="1" si="342"/>
        <v>0</v>
      </c>
      <c r="L153" s="2"/>
      <c r="M153" s="504">
        <f t="shared" ca="1" si="343"/>
        <v>0</v>
      </c>
      <c r="N153" s="2"/>
      <c r="O153" s="504">
        <f t="shared" ca="1" si="344"/>
        <v>0</v>
      </c>
      <c r="P153" s="474">
        <f t="shared" ca="1" si="345"/>
        <v>0</v>
      </c>
      <c r="Q153" s="474">
        <f t="shared" ca="1" si="346"/>
        <v>0</v>
      </c>
      <c r="R153" s="504">
        <f t="shared" ref="R153:R155" ca="1" si="371">SUMIF($U$6:$FQ$6,"Current Fiscal",AG153:FQ153)</f>
        <v>0</v>
      </c>
      <c r="S153" s="504">
        <f t="shared" ca="1" si="347"/>
        <v>0</v>
      </c>
      <c r="T153" s="2"/>
      <c r="U153" s="474">
        <f t="shared" ca="1" si="348"/>
        <v>0</v>
      </c>
      <c r="V153" s="474">
        <f t="shared" ca="1" si="330"/>
        <v>0</v>
      </c>
      <c r="W153" s="474">
        <f t="shared" ca="1" si="330"/>
        <v>0</v>
      </c>
      <c r="X153" s="474">
        <f t="shared" ca="1" si="330"/>
        <v>0</v>
      </c>
      <c r="Y153" s="474">
        <f t="shared" ca="1" si="330"/>
        <v>0</v>
      </c>
      <c r="Z153" s="474">
        <f t="shared" ca="1" si="330"/>
        <v>0</v>
      </c>
      <c r="AA153" s="474">
        <f t="shared" ca="1" si="330"/>
        <v>0</v>
      </c>
      <c r="AB153" s="474">
        <f t="shared" ca="1" si="330"/>
        <v>0</v>
      </c>
      <c r="AC153" s="474">
        <f t="shared" ca="1" si="330"/>
        <v>0</v>
      </c>
      <c r="AD153" s="474">
        <f t="shared" ca="1" si="330"/>
        <v>0</v>
      </c>
      <c r="AE153" s="474">
        <f t="shared" ca="1" si="330"/>
        <v>0</v>
      </c>
      <c r="AF153" s="474">
        <f t="shared" ca="1" si="330"/>
        <v>0</v>
      </c>
      <c r="AG153" s="504">
        <f t="shared" ca="1" si="349"/>
        <v>0</v>
      </c>
      <c r="AH153" s="2"/>
      <c r="AI153" s="474">
        <f t="shared" ca="1" si="350"/>
        <v>0</v>
      </c>
      <c r="AJ153" s="474">
        <f t="shared" ca="1" si="331"/>
        <v>0</v>
      </c>
      <c r="AK153" s="474">
        <f t="shared" ca="1" si="331"/>
        <v>0</v>
      </c>
      <c r="AL153" s="474">
        <f t="shared" ca="1" si="331"/>
        <v>0</v>
      </c>
      <c r="AM153" s="474">
        <f t="shared" ca="1" si="331"/>
        <v>0</v>
      </c>
      <c r="AN153" s="474">
        <f t="shared" ca="1" si="331"/>
        <v>0</v>
      </c>
      <c r="AO153" s="474">
        <f t="shared" ca="1" si="331"/>
        <v>0</v>
      </c>
      <c r="AP153" s="474">
        <f t="shared" ca="1" si="331"/>
        <v>0</v>
      </c>
      <c r="AQ153" s="474">
        <f t="shared" ca="1" si="331"/>
        <v>0</v>
      </c>
      <c r="AR153" s="474">
        <f t="shared" ca="1" si="331"/>
        <v>0</v>
      </c>
      <c r="AS153" s="474">
        <f t="shared" ca="1" si="331"/>
        <v>0</v>
      </c>
      <c r="AT153" s="474">
        <f t="shared" ca="1" si="331"/>
        <v>0</v>
      </c>
      <c r="AU153" s="504">
        <f t="shared" ca="1" si="351"/>
        <v>0</v>
      </c>
      <c r="AV153" s="2"/>
      <c r="AW153" s="474">
        <f t="shared" ca="1" si="352"/>
        <v>0</v>
      </c>
      <c r="AX153" s="474">
        <f t="shared" ca="1" si="332"/>
        <v>0</v>
      </c>
      <c r="AY153" s="474">
        <f t="shared" ca="1" si="332"/>
        <v>0</v>
      </c>
      <c r="AZ153" s="474">
        <f t="shared" ca="1" si="332"/>
        <v>0</v>
      </c>
      <c r="BA153" s="474">
        <f t="shared" ca="1" si="332"/>
        <v>0</v>
      </c>
      <c r="BB153" s="474">
        <f t="shared" ca="1" si="332"/>
        <v>0</v>
      </c>
      <c r="BC153" s="474">
        <f t="shared" ca="1" si="332"/>
        <v>0</v>
      </c>
      <c r="BD153" s="474">
        <f t="shared" ca="1" si="332"/>
        <v>0</v>
      </c>
      <c r="BE153" s="474">
        <f t="shared" ca="1" si="332"/>
        <v>0</v>
      </c>
      <c r="BF153" s="474">
        <f t="shared" ca="1" si="332"/>
        <v>0</v>
      </c>
      <c r="BG153" s="474">
        <f t="shared" ca="1" si="332"/>
        <v>0</v>
      </c>
      <c r="BH153" s="474">
        <f t="shared" ca="1" si="332"/>
        <v>0</v>
      </c>
      <c r="BI153" s="504">
        <f t="shared" ca="1" si="353"/>
        <v>0</v>
      </c>
      <c r="BJ153" s="2"/>
      <c r="BK153" s="474">
        <f t="shared" ca="1" si="354"/>
        <v>0</v>
      </c>
      <c r="BL153" s="474">
        <f t="shared" ca="1" si="333"/>
        <v>0</v>
      </c>
      <c r="BM153" s="474">
        <f t="shared" ca="1" si="333"/>
        <v>0</v>
      </c>
      <c r="BN153" s="474">
        <f t="shared" ca="1" si="333"/>
        <v>0</v>
      </c>
      <c r="BO153" s="474">
        <f t="shared" ca="1" si="333"/>
        <v>0</v>
      </c>
      <c r="BP153" s="474">
        <f t="shared" ca="1" si="333"/>
        <v>0</v>
      </c>
      <c r="BQ153" s="474">
        <f t="shared" ca="1" si="333"/>
        <v>0</v>
      </c>
      <c r="BR153" s="474">
        <f t="shared" ca="1" si="333"/>
        <v>0</v>
      </c>
      <c r="BS153" s="474">
        <f t="shared" ca="1" si="333"/>
        <v>0</v>
      </c>
      <c r="BT153" s="474">
        <f t="shared" ca="1" si="333"/>
        <v>0</v>
      </c>
      <c r="BU153" s="474">
        <f t="shared" ca="1" si="333"/>
        <v>0</v>
      </c>
      <c r="BV153" s="474">
        <f t="shared" ca="1" si="333"/>
        <v>0</v>
      </c>
      <c r="BW153" s="504">
        <f t="shared" ca="1" si="355"/>
        <v>0</v>
      </c>
      <c r="BX153" s="2"/>
      <c r="BY153" s="474">
        <f t="shared" ca="1" si="356"/>
        <v>0</v>
      </c>
      <c r="BZ153" s="474">
        <f t="shared" ca="1" si="334"/>
        <v>0</v>
      </c>
      <c r="CA153" s="474">
        <f t="shared" ca="1" si="334"/>
        <v>0</v>
      </c>
      <c r="CB153" s="474">
        <f t="shared" ca="1" si="334"/>
        <v>0</v>
      </c>
      <c r="CC153" s="474">
        <f t="shared" ca="1" si="334"/>
        <v>0</v>
      </c>
      <c r="CD153" s="474">
        <f t="shared" ca="1" si="334"/>
        <v>0</v>
      </c>
      <c r="CE153" s="474">
        <f t="shared" ca="1" si="334"/>
        <v>0</v>
      </c>
      <c r="CF153" s="474">
        <f t="shared" ca="1" si="334"/>
        <v>0</v>
      </c>
      <c r="CG153" s="474">
        <f t="shared" ca="1" si="334"/>
        <v>0</v>
      </c>
      <c r="CH153" s="474">
        <f t="shared" ca="1" si="334"/>
        <v>0</v>
      </c>
      <c r="CI153" s="474">
        <f t="shared" ca="1" si="334"/>
        <v>0</v>
      </c>
      <c r="CJ153" s="474">
        <f t="shared" ca="1" si="334"/>
        <v>0</v>
      </c>
      <c r="CK153" s="504">
        <f t="shared" ca="1" si="357"/>
        <v>0</v>
      </c>
      <c r="CL153" s="2"/>
      <c r="CM153" s="474">
        <f t="shared" ca="1" si="358"/>
        <v>0</v>
      </c>
      <c r="CN153" s="474">
        <f t="shared" ca="1" si="335"/>
        <v>0</v>
      </c>
      <c r="CO153" s="474">
        <f t="shared" ca="1" si="335"/>
        <v>0</v>
      </c>
      <c r="CP153" s="474">
        <f t="shared" ca="1" si="335"/>
        <v>0</v>
      </c>
      <c r="CQ153" s="474">
        <f t="shared" ca="1" si="335"/>
        <v>0</v>
      </c>
      <c r="CR153" s="474">
        <f t="shared" ca="1" si="335"/>
        <v>0</v>
      </c>
      <c r="CS153" s="474">
        <f t="shared" ca="1" si="335"/>
        <v>0</v>
      </c>
      <c r="CT153" s="474">
        <f t="shared" ca="1" si="335"/>
        <v>0</v>
      </c>
      <c r="CU153" s="474">
        <f t="shared" ca="1" si="335"/>
        <v>0</v>
      </c>
      <c r="CV153" s="474">
        <f t="shared" ca="1" si="335"/>
        <v>0</v>
      </c>
      <c r="CW153" s="474">
        <f t="shared" ca="1" si="335"/>
        <v>0</v>
      </c>
      <c r="CX153" s="474">
        <f t="shared" ca="1" si="335"/>
        <v>0</v>
      </c>
      <c r="CY153" s="504">
        <f t="shared" ca="1" si="359"/>
        <v>0</v>
      </c>
      <c r="CZ153" s="2"/>
      <c r="DA153" s="474">
        <f t="shared" ca="1" si="360"/>
        <v>0</v>
      </c>
      <c r="DB153" s="474">
        <f t="shared" ca="1" si="336"/>
        <v>0</v>
      </c>
      <c r="DC153" s="474">
        <f t="shared" ca="1" si="336"/>
        <v>0</v>
      </c>
      <c r="DD153" s="474">
        <f t="shared" ca="1" si="336"/>
        <v>0</v>
      </c>
      <c r="DE153" s="474">
        <f t="shared" ca="1" si="336"/>
        <v>0</v>
      </c>
      <c r="DF153" s="474">
        <f t="shared" ca="1" si="336"/>
        <v>0</v>
      </c>
      <c r="DG153" s="474">
        <f t="shared" ca="1" si="336"/>
        <v>0</v>
      </c>
      <c r="DH153" s="474">
        <f t="shared" ca="1" si="336"/>
        <v>0</v>
      </c>
      <c r="DI153" s="474">
        <f t="shared" ca="1" si="336"/>
        <v>0</v>
      </c>
      <c r="DJ153" s="474">
        <f t="shared" ca="1" si="336"/>
        <v>0</v>
      </c>
      <c r="DK153" s="474">
        <f t="shared" ca="1" si="336"/>
        <v>0</v>
      </c>
      <c r="DL153" s="474">
        <f t="shared" ca="1" si="336"/>
        <v>0</v>
      </c>
      <c r="DM153" s="504">
        <f t="shared" ca="1" si="361"/>
        <v>0</v>
      </c>
      <c r="DN153" s="2"/>
      <c r="DO153" s="474">
        <f t="shared" ca="1" si="362"/>
        <v>0</v>
      </c>
      <c r="DP153" s="474">
        <f t="shared" ca="1" si="337"/>
        <v>0</v>
      </c>
      <c r="DQ153" s="474">
        <f t="shared" ca="1" si="337"/>
        <v>0</v>
      </c>
      <c r="DR153" s="474">
        <f t="shared" ca="1" si="337"/>
        <v>0</v>
      </c>
      <c r="DS153" s="474">
        <f t="shared" ca="1" si="337"/>
        <v>0</v>
      </c>
      <c r="DT153" s="474">
        <f t="shared" ca="1" si="337"/>
        <v>0</v>
      </c>
      <c r="DU153" s="474">
        <f t="shared" ca="1" si="337"/>
        <v>0</v>
      </c>
      <c r="DV153" s="474">
        <f t="shared" ca="1" si="337"/>
        <v>0</v>
      </c>
      <c r="DW153" s="474">
        <f t="shared" ca="1" si="337"/>
        <v>0</v>
      </c>
      <c r="DX153" s="474">
        <f t="shared" ca="1" si="337"/>
        <v>0</v>
      </c>
      <c r="DY153" s="474">
        <f t="shared" ca="1" si="337"/>
        <v>0</v>
      </c>
      <c r="DZ153" s="474">
        <f t="shared" ca="1" si="337"/>
        <v>0</v>
      </c>
      <c r="EA153" s="504">
        <f t="shared" ca="1" si="363"/>
        <v>0</v>
      </c>
      <c r="EB153" s="2"/>
      <c r="EC153" s="474">
        <f t="shared" ca="1" si="364"/>
        <v>0</v>
      </c>
      <c r="ED153" s="474">
        <f t="shared" ca="1" si="338"/>
        <v>0</v>
      </c>
      <c r="EE153" s="474">
        <f t="shared" ca="1" si="338"/>
        <v>0</v>
      </c>
      <c r="EF153" s="474">
        <f t="shared" ca="1" si="338"/>
        <v>0</v>
      </c>
      <c r="EG153" s="474">
        <f t="shared" ca="1" si="338"/>
        <v>0</v>
      </c>
      <c r="EH153" s="474">
        <f t="shared" ca="1" si="338"/>
        <v>0</v>
      </c>
      <c r="EI153" s="474">
        <f t="shared" ca="1" si="338"/>
        <v>0</v>
      </c>
      <c r="EJ153" s="474">
        <f t="shared" ca="1" si="338"/>
        <v>0</v>
      </c>
      <c r="EK153" s="474">
        <f t="shared" ca="1" si="338"/>
        <v>0</v>
      </c>
      <c r="EL153" s="474">
        <f t="shared" ca="1" si="338"/>
        <v>0</v>
      </c>
      <c r="EM153" s="474">
        <f t="shared" ca="1" si="338"/>
        <v>0</v>
      </c>
      <c r="EN153" s="474">
        <f t="shared" ca="1" si="338"/>
        <v>0</v>
      </c>
      <c r="EO153" s="504">
        <f t="shared" ca="1" si="365"/>
        <v>0</v>
      </c>
      <c r="EP153" s="2"/>
      <c r="EQ153" s="474">
        <f t="shared" ca="1" si="366"/>
        <v>0</v>
      </c>
      <c r="ER153" s="474">
        <f t="shared" ca="1" si="339"/>
        <v>0</v>
      </c>
      <c r="ES153" s="474">
        <f t="shared" ca="1" si="339"/>
        <v>0</v>
      </c>
      <c r="ET153" s="474">
        <f t="shared" ca="1" si="339"/>
        <v>0</v>
      </c>
      <c r="EU153" s="474">
        <f t="shared" ca="1" si="339"/>
        <v>0</v>
      </c>
      <c r="EV153" s="474">
        <f t="shared" ca="1" si="339"/>
        <v>0</v>
      </c>
      <c r="EW153" s="474">
        <f t="shared" ca="1" si="339"/>
        <v>0</v>
      </c>
      <c r="EX153" s="474">
        <f t="shared" ca="1" si="339"/>
        <v>0</v>
      </c>
      <c r="EY153" s="474">
        <f t="shared" ca="1" si="339"/>
        <v>0</v>
      </c>
      <c r="EZ153" s="474">
        <f t="shared" ca="1" si="339"/>
        <v>0</v>
      </c>
      <c r="FA153" s="474">
        <f t="shared" ca="1" si="339"/>
        <v>0</v>
      </c>
      <c r="FB153" s="474">
        <f t="shared" ca="1" si="339"/>
        <v>0</v>
      </c>
      <c r="FC153" s="504">
        <f t="shared" ca="1" si="367"/>
        <v>0</v>
      </c>
      <c r="FD153" s="2"/>
      <c r="FE153" s="474">
        <f t="shared" ca="1" si="368"/>
        <v>0</v>
      </c>
      <c r="FF153" s="474">
        <f t="shared" ca="1" si="340"/>
        <v>0</v>
      </c>
      <c r="FG153" s="474">
        <f t="shared" ca="1" si="340"/>
        <v>0</v>
      </c>
      <c r="FH153" s="474">
        <f t="shared" ca="1" si="340"/>
        <v>0</v>
      </c>
      <c r="FI153" s="474">
        <f t="shared" ca="1" si="340"/>
        <v>0</v>
      </c>
      <c r="FJ153" s="474">
        <f t="shared" ca="1" si="340"/>
        <v>0</v>
      </c>
      <c r="FK153" s="474">
        <f t="shared" ca="1" si="340"/>
        <v>0</v>
      </c>
      <c r="FL153" s="474">
        <f t="shared" ca="1" si="340"/>
        <v>0</v>
      </c>
      <c r="FM153" s="474">
        <f t="shared" ca="1" si="340"/>
        <v>0</v>
      </c>
      <c r="FN153" s="474">
        <f t="shared" ca="1" si="340"/>
        <v>0</v>
      </c>
      <c r="FO153" s="474">
        <f t="shared" ca="1" si="340"/>
        <v>0</v>
      </c>
      <c r="FP153" s="474">
        <f t="shared" ca="1" si="340"/>
        <v>0</v>
      </c>
      <c r="FQ153" s="504">
        <f t="shared" ca="1" si="369"/>
        <v>0</v>
      </c>
      <c r="FS153" s="504">
        <f t="shared" ca="1" si="370"/>
        <v>0</v>
      </c>
    </row>
    <row r="154" spans="1:175">
      <c r="A154" s="2" t="str">
        <f ca="1">IF(I154&gt;'Target Tracking'!F10,"X","")</f>
        <v/>
      </c>
      <c r="D154" s="43"/>
      <c r="E154" s="43"/>
      <c r="G154" s="113" t="str">
        <f>'Target Tracking'!B10</f>
        <v>.F4</v>
      </c>
      <c r="H154" s="146" t="str">
        <f>INDEX(Validations!$J$11:$J$15,MATCH($G154,Validations!$M$11:$M$15,0))</f>
        <v>--</v>
      </c>
      <c r="I154" s="474">
        <f ca="1">SUMIF(EAC[Funding Source],H154,EAC[Estimate At Completion])</f>
        <v>0</v>
      </c>
      <c r="J154" s="474">
        <f t="shared" ca="1" si="341"/>
        <v>0</v>
      </c>
      <c r="K154" s="503">
        <f t="shared" ca="1" si="342"/>
        <v>0</v>
      </c>
      <c r="L154" s="2"/>
      <c r="M154" s="504">
        <f t="shared" ca="1" si="343"/>
        <v>0</v>
      </c>
      <c r="N154" s="2"/>
      <c r="O154" s="504">
        <f t="shared" ca="1" si="344"/>
        <v>0</v>
      </c>
      <c r="P154" s="474">
        <f t="shared" ca="1" si="345"/>
        <v>0</v>
      </c>
      <c r="Q154" s="474">
        <f t="shared" ca="1" si="346"/>
        <v>0</v>
      </c>
      <c r="R154" s="504">
        <f t="shared" ca="1" si="371"/>
        <v>0</v>
      </c>
      <c r="S154" s="504">
        <f t="shared" ca="1" si="347"/>
        <v>0</v>
      </c>
      <c r="T154" s="2"/>
      <c r="U154" s="474">
        <f t="shared" ca="1" si="348"/>
        <v>0</v>
      </c>
      <c r="V154" s="474">
        <f t="shared" ca="1" si="330"/>
        <v>0</v>
      </c>
      <c r="W154" s="474">
        <f t="shared" ca="1" si="330"/>
        <v>0</v>
      </c>
      <c r="X154" s="474">
        <f t="shared" ca="1" si="330"/>
        <v>0</v>
      </c>
      <c r="Y154" s="474">
        <f t="shared" ca="1" si="330"/>
        <v>0</v>
      </c>
      <c r="Z154" s="474">
        <f t="shared" ca="1" si="330"/>
        <v>0</v>
      </c>
      <c r="AA154" s="474">
        <f t="shared" ca="1" si="330"/>
        <v>0</v>
      </c>
      <c r="AB154" s="474">
        <f t="shared" ca="1" si="330"/>
        <v>0</v>
      </c>
      <c r="AC154" s="474">
        <f t="shared" ca="1" si="330"/>
        <v>0</v>
      </c>
      <c r="AD154" s="474">
        <f t="shared" ca="1" si="330"/>
        <v>0</v>
      </c>
      <c r="AE154" s="474">
        <f t="shared" ca="1" si="330"/>
        <v>0</v>
      </c>
      <c r="AF154" s="474">
        <f t="shared" ca="1" si="330"/>
        <v>0</v>
      </c>
      <c r="AG154" s="504">
        <f t="shared" ca="1" si="349"/>
        <v>0</v>
      </c>
      <c r="AH154" s="2"/>
      <c r="AI154" s="474">
        <f t="shared" ca="1" si="350"/>
        <v>0</v>
      </c>
      <c r="AJ154" s="474">
        <f t="shared" ca="1" si="331"/>
        <v>0</v>
      </c>
      <c r="AK154" s="474">
        <f t="shared" ca="1" si="331"/>
        <v>0</v>
      </c>
      <c r="AL154" s="474">
        <f t="shared" ca="1" si="331"/>
        <v>0</v>
      </c>
      <c r="AM154" s="474">
        <f t="shared" ca="1" si="331"/>
        <v>0</v>
      </c>
      <c r="AN154" s="474">
        <f t="shared" ca="1" si="331"/>
        <v>0</v>
      </c>
      <c r="AO154" s="474">
        <f t="shared" ca="1" si="331"/>
        <v>0</v>
      </c>
      <c r="AP154" s="474">
        <f t="shared" ca="1" si="331"/>
        <v>0</v>
      </c>
      <c r="AQ154" s="474">
        <f t="shared" ca="1" si="331"/>
        <v>0</v>
      </c>
      <c r="AR154" s="474">
        <f t="shared" ca="1" si="331"/>
        <v>0</v>
      </c>
      <c r="AS154" s="474">
        <f t="shared" ca="1" si="331"/>
        <v>0</v>
      </c>
      <c r="AT154" s="474">
        <f t="shared" ca="1" si="331"/>
        <v>0</v>
      </c>
      <c r="AU154" s="504">
        <f t="shared" ca="1" si="351"/>
        <v>0</v>
      </c>
      <c r="AV154" s="2"/>
      <c r="AW154" s="474">
        <f t="shared" ca="1" si="352"/>
        <v>0</v>
      </c>
      <c r="AX154" s="474">
        <f t="shared" ca="1" si="332"/>
        <v>0</v>
      </c>
      <c r="AY154" s="474">
        <f t="shared" ca="1" si="332"/>
        <v>0</v>
      </c>
      <c r="AZ154" s="474">
        <f t="shared" ca="1" si="332"/>
        <v>0</v>
      </c>
      <c r="BA154" s="474">
        <f t="shared" ca="1" si="332"/>
        <v>0</v>
      </c>
      <c r="BB154" s="474">
        <f t="shared" ca="1" si="332"/>
        <v>0</v>
      </c>
      <c r="BC154" s="474">
        <f t="shared" ca="1" si="332"/>
        <v>0</v>
      </c>
      <c r="BD154" s="474">
        <f t="shared" ca="1" si="332"/>
        <v>0</v>
      </c>
      <c r="BE154" s="474">
        <f t="shared" ca="1" si="332"/>
        <v>0</v>
      </c>
      <c r="BF154" s="474">
        <f t="shared" ca="1" si="332"/>
        <v>0</v>
      </c>
      <c r="BG154" s="474">
        <f t="shared" ca="1" si="332"/>
        <v>0</v>
      </c>
      <c r="BH154" s="474">
        <f t="shared" ca="1" si="332"/>
        <v>0</v>
      </c>
      <c r="BI154" s="504">
        <f t="shared" ca="1" si="353"/>
        <v>0</v>
      </c>
      <c r="BJ154" s="2"/>
      <c r="BK154" s="474">
        <f t="shared" ca="1" si="354"/>
        <v>0</v>
      </c>
      <c r="BL154" s="474">
        <f t="shared" ca="1" si="333"/>
        <v>0</v>
      </c>
      <c r="BM154" s="474">
        <f t="shared" ca="1" si="333"/>
        <v>0</v>
      </c>
      <c r="BN154" s="474">
        <f t="shared" ca="1" si="333"/>
        <v>0</v>
      </c>
      <c r="BO154" s="474">
        <f t="shared" ca="1" si="333"/>
        <v>0</v>
      </c>
      <c r="BP154" s="474">
        <f t="shared" ca="1" si="333"/>
        <v>0</v>
      </c>
      <c r="BQ154" s="474">
        <f t="shared" ca="1" si="333"/>
        <v>0</v>
      </c>
      <c r="BR154" s="474">
        <f t="shared" ca="1" si="333"/>
        <v>0</v>
      </c>
      <c r="BS154" s="474">
        <f t="shared" ca="1" si="333"/>
        <v>0</v>
      </c>
      <c r="BT154" s="474">
        <f t="shared" ca="1" si="333"/>
        <v>0</v>
      </c>
      <c r="BU154" s="474">
        <f t="shared" ca="1" si="333"/>
        <v>0</v>
      </c>
      <c r="BV154" s="474">
        <f t="shared" ca="1" si="333"/>
        <v>0</v>
      </c>
      <c r="BW154" s="504">
        <f t="shared" ca="1" si="355"/>
        <v>0</v>
      </c>
      <c r="BX154" s="2"/>
      <c r="BY154" s="474">
        <f t="shared" ca="1" si="356"/>
        <v>0</v>
      </c>
      <c r="BZ154" s="474">
        <f t="shared" ca="1" si="334"/>
        <v>0</v>
      </c>
      <c r="CA154" s="474">
        <f t="shared" ca="1" si="334"/>
        <v>0</v>
      </c>
      <c r="CB154" s="474">
        <f t="shared" ca="1" si="334"/>
        <v>0</v>
      </c>
      <c r="CC154" s="474">
        <f t="shared" ca="1" si="334"/>
        <v>0</v>
      </c>
      <c r="CD154" s="474">
        <f t="shared" ca="1" si="334"/>
        <v>0</v>
      </c>
      <c r="CE154" s="474">
        <f t="shared" ca="1" si="334"/>
        <v>0</v>
      </c>
      <c r="CF154" s="474">
        <f t="shared" ca="1" si="334"/>
        <v>0</v>
      </c>
      <c r="CG154" s="474">
        <f t="shared" ca="1" si="334"/>
        <v>0</v>
      </c>
      <c r="CH154" s="474">
        <f t="shared" ca="1" si="334"/>
        <v>0</v>
      </c>
      <c r="CI154" s="474">
        <f t="shared" ca="1" si="334"/>
        <v>0</v>
      </c>
      <c r="CJ154" s="474">
        <f t="shared" ca="1" si="334"/>
        <v>0</v>
      </c>
      <c r="CK154" s="504">
        <f t="shared" ca="1" si="357"/>
        <v>0</v>
      </c>
      <c r="CL154" s="2"/>
      <c r="CM154" s="474">
        <f t="shared" ca="1" si="358"/>
        <v>0</v>
      </c>
      <c r="CN154" s="474">
        <f t="shared" ca="1" si="335"/>
        <v>0</v>
      </c>
      <c r="CO154" s="474">
        <f t="shared" ca="1" si="335"/>
        <v>0</v>
      </c>
      <c r="CP154" s="474">
        <f t="shared" ca="1" si="335"/>
        <v>0</v>
      </c>
      <c r="CQ154" s="474">
        <f t="shared" ca="1" si="335"/>
        <v>0</v>
      </c>
      <c r="CR154" s="474">
        <f t="shared" ca="1" si="335"/>
        <v>0</v>
      </c>
      <c r="CS154" s="474">
        <f t="shared" ca="1" si="335"/>
        <v>0</v>
      </c>
      <c r="CT154" s="474">
        <f t="shared" ca="1" si="335"/>
        <v>0</v>
      </c>
      <c r="CU154" s="474">
        <f t="shared" ca="1" si="335"/>
        <v>0</v>
      </c>
      <c r="CV154" s="474">
        <f t="shared" ca="1" si="335"/>
        <v>0</v>
      </c>
      <c r="CW154" s="474">
        <f t="shared" ca="1" si="335"/>
        <v>0</v>
      </c>
      <c r="CX154" s="474">
        <f t="shared" ca="1" si="335"/>
        <v>0</v>
      </c>
      <c r="CY154" s="504">
        <f t="shared" ca="1" si="359"/>
        <v>0</v>
      </c>
      <c r="CZ154" s="2"/>
      <c r="DA154" s="474">
        <f t="shared" ca="1" si="360"/>
        <v>0</v>
      </c>
      <c r="DB154" s="474">
        <f t="shared" ca="1" si="336"/>
        <v>0</v>
      </c>
      <c r="DC154" s="474">
        <f t="shared" ca="1" si="336"/>
        <v>0</v>
      </c>
      <c r="DD154" s="474">
        <f t="shared" ca="1" si="336"/>
        <v>0</v>
      </c>
      <c r="DE154" s="474">
        <f t="shared" ca="1" si="336"/>
        <v>0</v>
      </c>
      <c r="DF154" s="474">
        <f t="shared" ca="1" si="336"/>
        <v>0</v>
      </c>
      <c r="DG154" s="474">
        <f t="shared" ca="1" si="336"/>
        <v>0</v>
      </c>
      <c r="DH154" s="474">
        <f t="shared" ca="1" si="336"/>
        <v>0</v>
      </c>
      <c r="DI154" s="474">
        <f t="shared" ca="1" si="336"/>
        <v>0</v>
      </c>
      <c r="DJ154" s="474">
        <f t="shared" ca="1" si="336"/>
        <v>0</v>
      </c>
      <c r="DK154" s="474">
        <f t="shared" ca="1" si="336"/>
        <v>0</v>
      </c>
      <c r="DL154" s="474">
        <f t="shared" ca="1" si="336"/>
        <v>0</v>
      </c>
      <c r="DM154" s="504">
        <f t="shared" ca="1" si="361"/>
        <v>0</v>
      </c>
      <c r="DN154" s="2"/>
      <c r="DO154" s="474">
        <f t="shared" ca="1" si="362"/>
        <v>0</v>
      </c>
      <c r="DP154" s="474">
        <f t="shared" ca="1" si="337"/>
        <v>0</v>
      </c>
      <c r="DQ154" s="474">
        <f t="shared" ca="1" si="337"/>
        <v>0</v>
      </c>
      <c r="DR154" s="474">
        <f t="shared" ca="1" si="337"/>
        <v>0</v>
      </c>
      <c r="DS154" s="474">
        <f t="shared" ca="1" si="337"/>
        <v>0</v>
      </c>
      <c r="DT154" s="474">
        <f t="shared" ca="1" si="337"/>
        <v>0</v>
      </c>
      <c r="DU154" s="474">
        <f t="shared" ca="1" si="337"/>
        <v>0</v>
      </c>
      <c r="DV154" s="474">
        <f t="shared" ca="1" si="337"/>
        <v>0</v>
      </c>
      <c r="DW154" s="474">
        <f t="shared" ca="1" si="337"/>
        <v>0</v>
      </c>
      <c r="DX154" s="474">
        <f t="shared" ca="1" si="337"/>
        <v>0</v>
      </c>
      <c r="DY154" s="474">
        <f t="shared" ca="1" si="337"/>
        <v>0</v>
      </c>
      <c r="DZ154" s="474">
        <f t="shared" ca="1" si="337"/>
        <v>0</v>
      </c>
      <c r="EA154" s="504">
        <f t="shared" ca="1" si="363"/>
        <v>0</v>
      </c>
      <c r="EB154" s="2"/>
      <c r="EC154" s="474">
        <f t="shared" ca="1" si="364"/>
        <v>0</v>
      </c>
      <c r="ED154" s="474">
        <f t="shared" ca="1" si="338"/>
        <v>0</v>
      </c>
      <c r="EE154" s="474">
        <f t="shared" ca="1" si="338"/>
        <v>0</v>
      </c>
      <c r="EF154" s="474">
        <f t="shared" ca="1" si="338"/>
        <v>0</v>
      </c>
      <c r="EG154" s="474">
        <f t="shared" ca="1" si="338"/>
        <v>0</v>
      </c>
      <c r="EH154" s="474">
        <f t="shared" ca="1" si="338"/>
        <v>0</v>
      </c>
      <c r="EI154" s="474">
        <f t="shared" ca="1" si="338"/>
        <v>0</v>
      </c>
      <c r="EJ154" s="474">
        <f t="shared" ca="1" si="338"/>
        <v>0</v>
      </c>
      <c r="EK154" s="474">
        <f t="shared" ca="1" si="338"/>
        <v>0</v>
      </c>
      <c r="EL154" s="474">
        <f t="shared" ca="1" si="338"/>
        <v>0</v>
      </c>
      <c r="EM154" s="474">
        <f t="shared" ca="1" si="338"/>
        <v>0</v>
      </c>
      <c r="EN154" s="474">
        <f t="shared" ca="1" si="338"/>
        <v>0</v>
      </c>
      <c r="EO154" s="504">
        <f t="shared" ca="1" si="365"/>
        <v>0</v>
      </c>
      <c r="EP154" s="2"/>
      <c r="EQ154" s="474">
        <f t="shared" ca="1" si="366"/>
        <v>0</v>
      </c>
      <c r="ER154" s="474">
        <f t="shared" ca="1" si="339"/>
        <v>0</v>
      </c>
      <c r="ES154" s="474">
        <f t="shared" ca="1" si="339"/>
        <v>0</v>
      </c>
      <c r="ET154" s="474">
        <f t="shared" ca="1" si="339"/>
        <v>0</v>
      </c>
      <c r="EU154" s="474">
        <f t="shared" ca="1" si="339"/>
        <v>0</v>
      </c>
      <c r="EV154" s="474">
        <f t="shared" ca="1" si="339"/>
        <v>0</v>
      </c>
      <c r="EW154" s="474">
        <f t="shared" ca="1" si="339"/>
        <v>0</v>
      </c>
      <c r="EX154" s="474">
        <f t="shared" ca="1" si="339"/>
        <v>0</v>
      </c>
      <c r="EY154" s="474">
        <f t="shared" ca="1" si="339"/>
        <v>0</v>
      </c>
      <c r="EZ154" s="474">
        <f t="shared" ca="1" si="339"/>
        <v>0</v>
      </c>
      <c r="FA154" s="474">
        <f t="shared" ca="1" si="339"/>
        <v>0</v>
      </c>
      <c r="FB154" s="474">
        <f t="shared" ca="1" si="339"/>
        <v>0</v>
      </c>
      <c r="FC154" s="504">
        <f t="shared" ca="1" si="367"/>
        <v>0</v>
      </c>
      <c r="FD154" s="2"/>
      <c r="FE154" s="474">
        <f t="shared" ca="1" si="368"/>
        <v>0</v>
      </c>
      <c r="FF154" s="474">
        <f t="shared" ca="1" si="340"/>
        <v>0</v>
      </c>
      <c r="FG154" s="474">
        <f t="shared" ca="1" si="340"/>
        <v>0</v>
      </c>
      <c r="FH154" s="474">
        <f t="shared" ca="1" si="340"/>
        <v>0</v>
      </c>
      <c r="FI154" s="474">
        <f t="shared" ca="1" si="340"/>
        <v>0</v>
      </c>
      <c r="FJ154" s="474">
        <f t="shared" ca="1" si="340"/>
        <v>0</v>
      </c>
      <c r="FK154" s="474">
        <f t="shared" ca="1" si="340"/>
        <v>0</v>
      </c>
      <c r="FL154" s="474">
        <f t="shared" ca="1" si="340"/>
        <v>0</v>
      </c>
      <c r="FM154" s="474">
        <f t="shared" ca="1" si="340"/>
        <v>0</v>
      </c>
      <c r="FN154" s="474">
        <f t="shared" ca="1" si="340"/>
        <v>0</v>
      </c>
      <c r="FO154" s="474">
        <f t="shared" ca="1" si="340"/>
        <v>0</v>
      </c>
      <c r="FP154" s="474">
        <f t="shared" ca="1" si="340"/>
        <v>0</v>
      </c>
      <c r="FQ154" s="504">
        <f t="shared" ca="1" si="369"/>
        <v>0</v>
      </c>
      <c r="FS154" s="504">
        <f t="shared" ca="1" si="370"/>
        <v>0</v>
      </c>
    </row>
    <row r="155" spans="1:175">
      <c r="A155" s="2" t="str">
        <f ca="1">IF(I155&gt;'Target Tracking'!F11,"X","")</f>
        <v/>
      </c>
      <c r="D155" s="43"/>
      <c r="E155" s="43"/>
      <c r="G155" s="113" t="str">
        <f>'Target Tracking'!B11</f>
        <v>.F5</v>
      </c>
      <c r="H155" s="146" t="str">
        <f>INDEX(Validations!$J$11:$J$15,MATCH($G155,Validations!$M$11:$M$15,0))</f>
        <v>--</v>
      </c>
      <c r="I155" s="474">
        <f ca="1">SUMIF(EAC[Funding Source],H155,EAC[Estimate At Completion])</f>
        <v>0</v>
      </c>
      <c r="J155" s="474">
        <f t="shared" ca="1" si="341"/>
        <v>0</v>
      </c>
      <c r="K155" s="503">
        <f t="shared" ca="1" si="342"/>
        <v>0</v>
      </c>
      <c r="L155" s="2"/>
      <c r="M155" s="504">
        <f t="shared" ca="1" si="343"/>
        <v>0</v>
      </c>
      <c r="N155" s="2"/>
      <c r="O155" s="504">
        <f t="shared" ca="1" si="344"/>
        <v>0</v>
      </c>
      <c r="P155" s="474">
        <f t="shared" ca="1" si="345"/>
        <v>0</v>
      </c>
      <c r="Q155" s="474">
        <f t="shared" ca="1" si="346"/>
        <v>0</v>
      </c>
      <c r="R155" s="504">
        <f t="shared" ca="1" si="371"/>
        <v>0</v>
      </c>
      <c r="S155" s="504">
        <f t="shared" ca="1" si="347"/>
        <v>0</v>
      </c>
      <c r="T155" s="2"/>
      <c r="U155" s="474">
        <f t="shared" ca="1" si="348"/>
        <v>0</v>
      </c>
      <c r="V155" s="474">
        <f t="shared" ca="1" si="330"/>
        <v>0</v>
      </c>
      <c r="W155" s="474">
        <f t="shared" ca="1" si="330"/>
        <v>0</v>
      </c>
      <c r="X155" s="474">
        <f t="shared" ca="1" si="330"/>
        <v>0</v>
      </c>
      <c r="Y155" s="474">
        <f t="shared" ca="1" si="330"/>
        <v>0</v>
      </c>
      <c r="Z155" s="474">
        <f t="shared" ca="1" si="330"/>
        <v>0</v>
      </c>
      <c r="AA155" s="474">
        <f t="shared" ca="1" si="330"/>
        <v>0</v>
      </c>
      <c r="AB155" s="474">
        <f t="shared" ca="1" si="330"/>
        <v>0</v>
      </c>
      <c r="AC155" s="474">
        <f t="shared" ca="1" si="330"/>
        <v>0</v>
      </c>
      <c r="AD155" s="474">
        <f t="shared" ca="1" si="330"/>
        <v>0</v>
      </c>
      <c r="AE155" s="474">
        <f t="shared" ca="1" si="330"/>
        <v>0</v>
      </c>
      <c r="AF155" s="474">
        <f t="shared" ca="1" si="330"/>
        <v>0</v>
      </c>
      <c r="AG155" s="504">
        <f t="shared" ca="1" si="349"/>
        <v>0</v>
      </c>
      <c r="AH155" s="2"/>
      <c r="AI155" s="474">
        <f t="shared" ca="1" si="350"/>
        <v>0</v>
      </c>
      <c r="AJ155" s="474">
        <f t="shared" ca="1" si="331"/>
        <v>0</v>
      </c>
      <c r="AK155" s="474">
        <f t="shared" ca="1" si="331"/>
        <v>0</v>
      </c>
      <c r="AL155" s="474">
        <f t="shared" ca="1" si="331"/>
        <v>0</v>
      </c>
      <c r="AM155" s="474">
        <f t="shared" ca="1" si="331"/>
        <v>0</v>
      </c>
      <c r="AN155" s="474">
        <f t="shared" ca="1" si="331"/>
        <v>0</v>
      </c>
      <c r="AO155" s="474">
        <f t="shared" ca="1" si="331"/>
        <v>0</v>
      </c>
      <c r="AP155" s="474">
        <f t="shared" ca="1" si="331"/>
        <v>0</v>
      </c>
      <c r="AQ155" s="474">
        <f t="shared" ca="1" si="331"/>
        <v>0</v>
      </c>
      <c r="AR155" s="474">
        <f t="shared" ca="1" si="331"/>
        <v>0</v>
      </c>
      <c r="AS155" s="474">
        <f t="shared" ca="1" si="331"/>
        <v>0</v>
      </c>
      <c r="AT155" s="474">
        <f t="shared" ca="1" si="331"/>
        <v>0</v>
      </c>
      <c r="AU155" s="504">
        <f t="shared" ca="1" si="351"/>
        <v>0</v>
      </c>
      <c r="AV155" s="2"/>
      <c r="AW155" s="474">
        <f t="shared" ca="1" si="352"/>
        <v>0</v>
      </c>
      <c r="AX155" s="474">
        <f t="shared" ca="1" si="332"/>
        <v>0</v>
      </c>
      <c r="AY155" s="474">
        <f t="shared" ca="1" si="332"/>
        <v>0</v>
      </c>
      <c r="AZ155" s="474">
        <f t="shared" ca="1" si="332"/>
        <v>0</v>
      </c>
      <c r="BA155" s="474">
        <f t="shared" ca="1" si="332"/>
        <v>0</v>
      </c>
      <c r="BB155" s="474">
        <f t="shared" ca="1" si="332"/>
        <v>0</v>
      </c>
      <c r="BC155" s="474">
        <f t="shared" ca="1" si="332"/>
        <v>0</v>
      </c>
      <c r="BD155" s="474">
        <f t="shared" ca="1" si="332"/>
        <v>0</v>
      </c>
      <c r="BE155" s="474">
        <f t="shared" ca="1" si="332"/>
        <v>0</v>
      </c>
      <c r="BF155" s="474">
        <f t="shared" ca="1" si="332"/>
        <v>0</v>
      </c>
      <c r="BG155" s="474">
        <f t="shared" ca="1" si="332"/>
        <v>0</v>
      </c>
      <c r="BH155" s="474">
        <f t="shared" ca="1" si="332"/>
        <v>0</v>
      </c>
      <c r="BI155" s="504">
        <f t="shared" ca="1" si="353"/>
        <v>0</v>
      </c>
      <c r="BJ155" s="2"/>
      <c r="BK155" s="474">
        <f t="shared" ca="1" si="354"/>
        <v>0</v>
      </c>
      <c r="BL155" s="474">
        <f t="shared" ca="1" si="333"/>
        <v>0</v>
      </c>
      <c r="BM155" s="474">
        <f t="shared" ca="1" si="333"/>
        <v>0</v>
      </c>
      <c r="BN155" s="474">
        <f t="shared" ca="1" si="333"/>
        <v>0</v>
      </c>
      <c r="BO155" s="474">
        <f t="shared" ca="1" si="333"/>
        <v>0</v>
      </c>
      <c r="BP155" s="474">
        <f t="shared" ca="1" si="333"/>
        <v>0</v>
      </c>
      <c r="BQ155" s="474">
        <f t="shared" ca="1" si="333"/>
        <v>0</v>
      </c>
      <c r="BR155" s="474">
        <f t="shared" ca="1" si="333"/>
        <v>0</v>
      </c>
      <c r="BS155" s="474">
        <f t="shared" ca="1" si="333"/>
        <v>0</v>
      </c>
      <c r="BT155" s="474">
        <f t="shared" ca="1" si="333"/>
        <v>0</v>
      </c>
      <c r="BU155" s="474">
        <f t="shared" ca="1" si="333"/>
        <v>0</v>
      </c>
      <c r="BV155" s="474">
        <f t="shared" ca="1" si="333"/>
        <v>0</v>
      </c>
      <c r="BW155" s="504">
        <f t="shared" ca="1" si="355"/>
        <v>0</v>
      </c>
      <c r="BX155" s="2"/>
      <c r="BY155" s="474">
        <f t="shared" ca="1" si="356"/>
        <v>0</v>
      </c>
      <c r="BZ155" s="474">
        <f t="shared" ca="1" si="334"/>
        <v>0</v>
      </c>
      <c r="CA155" s="474">
        <f t="shared" ca="1" si="334"/>
        <v>0</v>
      </c>
      <c r="CB155" s="474">
        <f t="shared" ca="1" si="334"/>
        <v>0</v>
      </c>
      <c r="CC155" s="474">
        <f t="shared" ca="1" si="334"/>
        <v>0</v>
      </c>
      <c r="CD155" s="474">
        <f t="shared" ca="1" si="334"/>
        <v>0</v>
      </c>
      <c r="CE155" s="474">
        <f t="shared" ca="1" si="334"/>
        <v>0</v>
      </c>
      <c r="CF155" s="474">
        <f t="shared" ca="1" si="334"/>
        <v>0</v>
      </c>
      <c r="CG155" s="474">
        <f t="shared" ca="1" si="334"/>
        <v>0</v>
      </c>
      <c r="CH155" s="474">
        <f t="shared" ca="1" si="334"/>
        <v>0</v>
      </c>
      <c r="CI155" s="474">
        <f t="shared" ca="1" si="334"/>
        <v>0</v>
      </c>
      <c r="CJ155" s="474">
        <f t="shared" ca="1" si="334"/>
        <v>0</v>
      </c>
      <c r="CK155" s="504">
        <f t="shared" ca="1" si="357"/>
        <v>0</v>
      </c>
      <c r="CL155" s="2"/>
      <c r="CM155" s="474">
        <f t="shared" ca="1" si="358"/>
        <v>0</v>
      </c>
      <c r="CN155" s="474">
        <f t="shared" ca="1" si="335"/>
        <v>0</v>
      </c>
      <c r="CO155" s="474">
        <f t="shared" ca="1" si="335"/>
        <v>0</v>
      </c>
      <c r="CP155" s="474">
        <f t="shared" ca="1" si="335"/>
        <v>0</v>
      </c>
      <c r="CQ155" s="474">
        <f t="shared" ca="1" si="335"/>
        <v>0</v>
      </c>
      <c r="CR155" s="474">
        <f t="shared" ca="1" si="335"/>
        <v>0</v>
      </c>
      <c r="CS155" s="474">
        <f t="shared" ca="1" si="335"/>
        <v>0</v>
      </c>
      <c r="CT155" s="474">
        <f t="shared" ca="1" si="335"/>
        <v>0</v>
      </c>
      <c r="CU155" s="474">
        <f t="shared" ca="1" si="335"/>
        <v>0</v>
      </c>
      <c r="CV155" s="474">
        <f t="shared" ca="1" si="335"/>
        <v>0</v>
      </c>
      <c r="CW155" s="474">
        <f t="shared" ca="1" si="335"/>
        <v>0</v>
      </c>
      <c r="CX155" s="474">
        <f t="shared" ca="1" si="335"/>
        <v>0</v>
      </c>
      <c r="CY155" s="504">
        <f t="shared" ca="1" si="359"/>
        <v>0</v>
      </c>
      <c r="CZ155" s="2"/>
      <c r="DA155" s="474">
        <f t="shared" ca="1" si="360"/>
        <v>0</v>
      </c>
      <c r="DB155" s="474">
        <f t="shared" ca="1" si="336"/>
        <v>0</v>
      </c>
      <c r="DC155" s="474">
        <f t="shared" ca="1" si="336"/>
        <v>0</v>
      </c>
      <c r="DD155" s="474">
        <f t="shared" ca="1" si="336"/>
        <v>0</v>
      </c>
      <c r="DE155" s="474">
        <f t="shared" ca="1" si="336"/>
        <v>0</v>
      </c>
      <c r="DF155" s="474">
        <f t="shared" ca="1" si="336"/>
        <v>0</v>
      </c>
      <c r="DG155" s="474">
        <f t="shared" ca="1" si="336"/>
        <v>0</v>
      </c>
      <c r="DH155" s="474">
        <f t="shared" ca="1" si="336"/>
        <v>0</v>
      </c>
      <c r="DI155" s="474">
        <f t="shared" ca="1" si="336"/>
        <v>0</v>
      </c>
      <c r="DJ155" s="474">
        <f t="shared" ca="1" si="336"/>
        <v>0</v>
      </c>
      <c r="DK155" s="474">
        <f t="shared" ca="1" si="336"/>
        <v>0</v>
      </c>
      <c r="DL155" s="474">
        <f t="shared" ca="1" si="336"/>
        <v>0</v>
      </c>
      <c r="DM155" s="504">
        <f t="shared" ca="1" si="361"/>
        <v>0</v>
      </c>
      <c r="DN155" s="2"/>
      <c r="DO155" s="474">
        <f t="shared" ca="1" si="362"/>
        <v>0</v>
      </c>
      <c r="DP155" s="474">
        <f t="shared" ca="1" si="337"/>
        <v>0</v>
      </c>
      <c r="DQ155" s="474">
        <f t="shared" ca="1" si="337"/>
        <v>0</v>
      </c>
      <c r="DR155" s="474">
        <f t="shared" ca="1" si="337"/>
        <v>0</v>
      </c>
      <c r="DS155" s="474">
        <f t="shared" ca="1" si="337"/>
        <v>0</v>
      </c>
      <c r="DT155" s="474">
        <f t="shared" ca="1" si="337"/>
        <v>0</v>
      </c>
      <c r="DU155" s="474">
        <f t="shared" ca="1" si="337"/>
        <v>0</v>
      </c>
      <c r="DV155" s="474">
        <f t="shared" ca="1" si="337"/>
        <v>0</v>
      </c>
      <c r="DW155" s="474">
        <f t="shared" ca="1" si="337"/>
        <v>0</v>
      </c>
      <c r="DX155" s="474">
        <f t="shared" ca="1" si="337"/>
        <v>0</v>
      </c>
      <c r="DY155" s="474">
        <f t="shared" ca="1" si="337"/>
        <v>0</v>
      </c>
      <c r="DZ155" s="474">
        <f t="shared" ca="1" si="337"/>
        <v>0</v>
      </c>
      <c r="EA155" s="504">
        <f t="shared" ca="1" si="363"/>
        <v>0</v>
      </c>
      <c r="EB155" s="2"/>
      <c r="EC155" s="474">
        <f t="shared" ca="1" si="364"/>
        <v>0</v>
      </c>
      <c r="ED155" s="474">
        <f t="shared" ca="1" si="338"/>
        <v>0</v>
      </c>
      <c r="EE155" s="474">
        <f t="shared" ca="1" si="338"/>
        <v>0</v>
      </c>
      <c r="EF155" s="474">
        <f t="shared" ca="1" si="338"/>
        <v>0</v>
      </c>
      <c r="EG155" s="474">
        <f t="shared" ca="1" si="338"/>
        <v>0</v>
      </c>
      <c r="EH155" s="474">
        <f t="shared" ca="1" si="338"/>
        <v>0</v>
      </c>
      <c r="EI155" s="474">
        <f t="shared" ca="1" si="338"/>
        <v>0</v>
      </c>
      <c r="EJ155" s="474">
        <f t="shared" ca="1" si="338"/>
        <v>0</v>
      </c>
      <c r="EK155" s="474">
        <f t="shared" ca="1" si="338"/>
        <v>0</v>
      </c>
      <c r="EL155" s="474">
        <f t="shared" ca="1" si="338"/>
        <v>0</v>
      </c>
      <c r="EM155" s="474">
        <f t="shared" ca="1" si="338"/>
        <v>0</v>
      </c>
      <c r="EN155" s="474">
        <f t="shared" ca="1" si="338"/>
        <v>0</v>
      </c>
      <c r="EO155" s="504">
        <f t="shared" ca="1" si="365"/>
        <v>0</v>
      </c>
      <c r="EP155" s="2"/>
      <c r="EQ155" s="474">
        <f t="shared" ca="1" si="366"/>
        <v>0</v>
      </c>
      <c r="ER155" s="474">
        <f t="shared" ca="1" si="339"/>
        <v>0</v>
      </c>
      <c r="ES155" s="474">
        <f t="shared" ca="1" si="339"/>
        <v>0</v>
      </c>
      <c r="ET155" s="474">
        <f t="shared" ca="1" si="339"/>
        <v>0</v>
      </c>
      <c r="EU155" s="474">
        <f t="shared" ca="1" si="339"/>
        <v>0</v>
      </c>
      <c r="EV155" s="474">
        <f t="shared" ca="1" si="339"/>
        <v>0</v>
      </c>
      <c r="EW155" s="474">
        <f t="shared" ca="1" si="339"/>
        <v>0</v>
      </c>
      <c r="EX155" s="474">
        <f t="shared" ca="1" si="339"/>
        <v>0</v>
      </c>
      <c r="EY155" s="474">
        <f t="shared" ca="1" si="339"/>
        <v>0</v>
      </c>
      <c r="EZ155" s="474">
        <f t="shared" ca="1" si="339"/>
        <v>0</v>
      </c>
      <c r="FA155" s="474">
        <f t="shared" ca="1" si="339"/>
        <v>0</v>
      </c>
      <c r="FB155" s="474">
        <f t="shared" ca="1" si="339"/>
        <v>0</v>
      </c>
      <c r="FC155" s="504">
        <f t="shared" ca="1" si="367"/>
        <v>0</v>
      </c>
      <c r="FD155" s="2"/>
      <c r="FE155" s="474">
        <f t="shared" ca="1" si="368"/>
        <v>0</v>
      </c>
      <c r="FF155" s="474">
        <f t="shared" ca="1" si="340"/>
        <v>0</v>
      </c>
      <c r="FG155" s="474">
        <f t="shared" ca="1" si="340"/>
        <v>0</v>
      </c>
      <c r="FH155" s="474">
        <f t="shared" ca="1" si="340"/>
        <v>0</v>
      </c>
      <c r="FI155" s="474">
        <f t="shared" ca="1" si="340"/>
        <v>0</v>
      </c>
      <c r="FJ155" s="474">
        <f t="shared" ca="1" si="340"/>
        <v>0</v>
      </c>
      <c r="FK155" s="474">
        <f t="shared" ca="1" si="340"/>
        <v>0</v>
      </c>
      <c r="FL155" s="474">
        <f t="shared" ca="1" si="340"/>
        <v>0</v>
      </c>
      <c r="FM155" s="474">
        <f t="shared" ca="1" si="340"/>
        <v>0</v>
      </c>
      <c r="FN155" s="474">
        <f t="shared" ca="1" si="340"/>
        <v>0</v>
      </c>
      <c r="FO155" s="474">
        <f t="shared" ca="1" si="340"/>
        <v>0</v>
      </c>
      <c r="FP155" s="474">
        <f t="shared" ca="1" si="340"/>
        <v>0</v>
      </c>
      <c r="FQ155" s="504">
        <f t="shared" ca="1" si="369"/>
        <v>0</v>
      </c>
      <c r="FS155" s="504">
        <f t="shared" ca="1" si="370"/>
        <v>0</v>
      </c>
    </row>
    <row r="156" spans="1:175" ht="6.75" customHeight="1">
      <c r="A156" s="2"/>
      <c r="D156" s="43"/>
      <c r="E156" s="43"/>
      <c r="G156" s="109"/>
      <c r="H156" s="109"/>
      <c r="I156" s="503"/>
      <c r="J156" s="474">
        <f t="shared" ca="1" si="341"/>
        <v>0</v>
      </c>
      <c r="K156" s="503"/>
      <c r="M156" s="504">
        <f t="shared" si="343"/>
        <v>0</v>
      </c>
      <c r="O156" s="504"/>
      <c r="P156" s="474">
        <f t="shared" ca="1" si="345"/>
        <v>0</v>
      </c>
      <c r="Q156" s="474">
        <f t="shared" ca="1" si="346"/>
        <v>0</v>
      </c>
      <c r="R156" s="504"/>
      <c r="S156" s="504"/>
      <c r="U156" s="474">
        <f t="shared" ca="1" si="348"/>
        <v>0</v>
      </c>
      <c r="V156" s="474">
        <f t="shared" ca="1" si="330"/>
        <v>0</v>
      </c>
      <c r="W156" s="474">
        <f t="shared" ca="1" si="330"/>
        <v>0</v>
      </c>
      <c r="X156" s="474">
        <f t="shared" ca="1" si="330"/>
        <v>0</v>
      </c>
      <c r="Y156" s="474">
        <f t="shared" ca="1" si="330"/>
        <v>0</v>
      </c>
      <c r="Z156" s="474">
        <f t="shared" ca="1" si="330"/>
        <v>0</v>
      </c>
      <c r="AA156" s="474">
        <f t="shared" ca="1" si="330"/>
        <v>0</v>
      </c>
      <c r="AB156" s="474">
        <f t="shared" ca="1" si="330"/>
        <v>0</v>
      </c>
      <c r="AC156" s="474">
        <f t="shared" ca="1" si="330"/>
        <v>0</v>
      </c>
      <c r="AD156" s="474">
        <f t="shared" ca="1" si="330"/>
        <v>0</v>
      </c>
      <c r="AE156" s="474">
        <f t="shared" ca="1" si="330"/>
        <v>0</v>
      </c>
      <c r="AF156" s="474">
        <f t="shared" ca="1" si="330"/>
        <v>0</v>
      </c>
      <c r="AG156" s="504">
        <f t="shared" ca="1" si="349"/>
        <v>0</v>
      </c>
      <c r="AI156" s="474">
        <f t="shared" ca="1" si="350"/>
        <v>0</v>
      </c>
      <c r="AJ156" s="474">
        <f t="shared" ca="1" si="331"/>
        <v>0</v>
      </c>
      <c r="AK156" s="474">
        <f t="shared" ca="1" si="331"/>
        <v>0</v>
      </c>
      <c r="AL156" s="474">
        <f t="shared" ca="1" si="331"/>
        <v>0</v>
      </c>
      <c r="AM156" s="474">
        <f t="shared" ca="1" si="331"/>
        <v>0</v>
      </c>
      <c r="AN156" s="474">
        <f t="shared" ca="1" si="331"/>
        <v>0</v>
      </c>
      <c r="AO156" s="474">
        <f t="shared" ca="1" si="331"/>
        <v>0</v>
      </c>
      <c r="AP156" s="474">
        <f t="shared" ca="1" si="331"/>
        <v>0</v>
      </c>
      <c r="AQ156" s="474">
        <f t="shared" ca="1" si="331"/>
        <v>0</v>
      </c>
      <c r="AR156" s="474">
        <f t="shared" ca="1" si="331"/>
        <v>0</v>
      </c>
      <c r="AS156" s="474">
        <f t="shared" ca="1" si="331"/>
        <v>0</v>
      </c>
      <c r="AT156" s="474">
        <f t="shared" ca="1" si="331"/>
        <v>0</v>
      </c>
      <c r="AU156" s="504"/>
      <c r="AW156" s="474">
        <f t="shared" ca="1" si="352"/>
        <v>0</v>
      </c>
      <c r="AX156" s="474">
        <f t="shared" ca="1" si="332"/>
        <v>0</v>
      </c>
      <c r="AY156" s="474">
        <f t="shared" ca="1" si="332"/>
        <v>0</v>
      </c>
      <c r="AZ156" s="474">
        <f t="shared" ca="1" si="332"/>
        <v>0</v>
      </c>
      <c r="BA156" s="474">
        <f t="shared" ca="1" si="332"/>
        <v>0</v>
      </c>
      <c r="BB156" s="474">
        <f t="shared" ca="1" si="332"/>
        <v>0</v>
      </c>
      <c r="BC156" s="474">
        <f t="shared" ca="1" si="332"/>
        <v>0</v>
      </c>
      <c r="BD156" s="474">
        <f t="shared" ca="1" si="332"/>
        <v>0</v>
      </c>
      <c r="BE156" s="474">
        <f t="shared" ca="1" si="332"/>
        <v>0</v>
      </c>
      <c r="BF156" s="474">
        <f t="shared" ca="1" si="332"/>
        <v>0</v>
      </c>
      <c r="BG156" s="474">
        <f t="shared" ca="1" si="332"/>
        <v>0</v>
      </c>
      <c r="BH156" s="474">
        <f t="shared" ca="1" si="332"/>
        <v>0</v>
      </c>
      <c r="BI156" s="504"/>
      <c r="BK156" s="474">
        <f t="shared" ca="1" si="354"/>
        <v>0</v>
      </c>
      <c r="BL156" s="474">
        <f t="shared" ca="1" si="333"/>
        <v>0</v>
      </c>
      <c r="BM156" s="474">
        <f t="shared" ca="1" si="333"/>
        <v>0</v>
      </c>
      <c r="BN156" s="474">
        <f t="shared" ca="1" si="333"/>
        <v>0</v>
      </c>
      <c r="BO156" s="474">
        <f t="shared" ca="1" si="333"/>
        <v>0</v>
      </c>
      <c r="BP156" s="474">
        <f t="shared" ca="1" si="333"/>
        <v>0</v>
      </c>
      <c r="BQ156" s="474">
        <f t="shared" ca="1" si="333"/>
        <v>0</v>
      </c>
      <c r="BR156" s="474">
        <f t="shared" ca="1" si="333"/>
        <v>0</v>
      </c>
      <c r="BS156" s="474">
        <f t="shared" ca="1" si="333"/>
        <v>0</v>
      </c>
      <c r="BT156" s="474">
        <f t="shared" ca="1" si="333"/>
        <v>0</v>
      </c>
      <c r="BU156" s="474">
        <f t="shared" ca="1" si="333"/>
        <v>0</v>
      </c>
      <c r="BV156" s="474">
        <f t="shared" ca="1" si="333"/>
        <v>0</v>
      </c>
      <c r="BW156" s="504"/>
      <c r="BY156" s="474">
        <f t="shared" ca="1" si="356"/>
        <v>0</v>
      </c>
      <c r="BZ156" s="474">
        <f t="shared" ca="1" si="334"/>
        <v>0</v>
      </c>
      <c r="CA156" s="474">
        <f t="shared" ca="1" si="334"/>
        <v>0</v>
      </c>
      <c r="CB156" s="474">
        <f t="shared" ca="1" si="334"/>
        <v>0</v>
      </c>
      <c r="CC156" s="474">
        <f t="shared" ca="1" si="334"/>
        <v>0</v>
      </c>
      <c r="CD156" s="474">
        <f t="shared" ca="1" si="334"/>
        <v>0</v>
      </c>
      <c r="CE156" s="474">
        <f t="shared" ca="1" si="334"/>
        <v>0</v>
      </c>
      <c r="CF156" s="474">
        <f t="shared" ca="1" si="334"/>
        <v>0</v>
      </c>
      <c r="CG156" s="474">
        <f t="shared" ca="1" si="334"/>
        <v>0</v>
      </c>
      <c r="CH156" s="474">
        <f t="shared" ca="1" si="334"/>
        <v>0</v>
      </c>
      <c r="CI156" s="474">
        <f t="shared" ca="1" si="334"/>
        <v>0</v>
      </c>
      <c r="CJ156" s="474">
        <f t="shared" ca="1" si="334"/>
        <v>0</v>
      </c>
      <c r="CK156" s="504"/>
      <c r="CM156" s="474">
        <f t="shared" ca="1" si="358"/>
        <v>0</v>
      </c>
      <c r="CN156" s="474">
        <f t="shared" ca="1" si="335"/>
        <v>0</v>
      </c>
      <c r="CO156" s="474">
        <f t="shared" ca="1" si="335"/>
        <v>0</v>
      </c>
      <c r="CP156" s="474">
        <f t="shared" ca="1" si="335"/>
        <v>0</v>
      </c>
      <c r="CQ156" s="474">
        <f t="shared" ca="1" si="335"/>
        <v>0</v>
      </c>
      <c r="CR156" s="474">
        <f t="shared" ca="1" si="335"/>
        <v>0</v>
      </c>
      <c r="CS156" s="474">
        <f t="shared" ca="1" si="335"/>
        <v>0</v>
      </c>
      <c r="CT156" s="474">
        <f t="shared" ca="1" si="335"/>
        <v>0</v>
      </c>
      <c r="CU156" s="474">
        <f t="shared" ca="1" si="335"/>
        <v>0</v>
      </c>
      <c r="CV156" s="474">
        <f t="shared" ca="1" si="335"/>
        <v>0</v>
      </c>
      <c r="CW156" s="474">
        <f t="shared" ca="1" si="335"/>
        <v>0</v>
      </c>
      <c r="CX156" s="474">
        <f t="shared" ca="1" si="335"/>
        <v>0</v>
      </c>
      <c r="CY156" s="504"/>
      <c r="DA156" s="474">
        <f t="shared" ca="1" si="360"/>
        <v>0</v>
      </c>
      <c r="DB156" s="474">
        <f t="shared" ca="1" si="336"/>
        <v>0</v>
      </c>
      <c r="DC156" s="474">
        <f t="shared" ca="1" si="336"/>
        <v>0</v>
      </c>
      <c r="DD156" s="474">
        <f t="shared" ca="1" si="336"/>
        <v>0</v>
      </c>
      <c r="DE156" s="474">
        <f t="shared" ca="1" si="336"/>
        <v>0</v>
      </c>
      <c r="DF156" s="474">
        <f t="shared" ca="1" si="336"/>
        <v>0</v>
      </c>
      <c r="DG156" s="474">
        <f t="shared" ca="1" si="336"/>
        <v>0</v>
      </c>
      <c r="DH156" s="474">
        <f t="shared" ca="1" si="336"/>
        <v>0</v>
      </c>
      <c r="DI156" s="474">
        <f t="shared" ca="1" si="336"/>
        <v>0</v>
      </c>
      <c r="DJ156" s="474">
        <f t="shared" ca="1" si="336"/>
        <v>0</v>
      </c>
      <c r="DK156" s="474">
        <f t="shared" ca="1" si="336"/>
        <v>0</v>
      </c>
      <c r="DL156" s="474">
        <f t="shared" ca="1" si="336"/>
        <v>0</v>
      </c>
      <c r="DM156" s="504">
        <f t="shared" ca="1" si="361"/>
        <v>0</v>
      </c>
      <c r="DO156" s="474">
        <f t="shared" ca="1" si="362"/>
        <v>0</v>
      </c>
      <c r="DP156" s="474">
        <f t="shared" ca="1" si="337"/>
        <v>0</v>
      </c>
      <c r="DQ156" s="474">
        <f t="shared" ca="1" si="337"/>
        <v>0</v>
      </c>
      <c r="DR156" s="474">
        <f t="shared" ca="1" si="337"/>
        <v>0</v>
      </c>
      <c r="DS156" s="474">
        <f t="shared" ca="1" si="337"/>
        <v>0</v>
      </c>
      <c r="DT156" s="474">
        <f t="shared" ca="1" si="337"/>
        <v>0</v>
      </c>
      <c r="DU156" s="474">
        <f t="shared" ca="1" si="337"/>
        <v>0</v>
      </c>
      <c r="DV156" s="474">
        <f t="shared" ca="1" si="337"/>
        <v>0</v>
      </c>
      <c r="DW156" s="474">
        <f t="shared" ca="1" si="337"/>
        <v>0</v>
      </c>
      <c r="DX156" s="474">
        <f t="shared" ca="1" si="337"/>
        <v>0</v>
      </c>
      <c r="DY156" s="474">
        <f t="shared" ca="1" si="337"/>
        <v>0</v>
      </c>
      <c r="DZ156" s="474">
        <f t="shared" ca="1" si="337"/>
        <v>0</v>
      </c>
      <c r="EA156" s="504"/>
      <c r="EC156" s="474">
        <f t="shared" ca="1" si="364"/>
        <v>0</v>
      </c>
      <c r="ED156" s="474">
        <f t="shared" ca="1" si="338"/>
        <v>0</v>
      </c>
      <c r="EE156" s="474">
        <f t="shared" ca="1" si="338"/>
        <v>0</v>
      </c>
      <c r="EF156" s="474">
        <f t="shared" ca="1" si="338"/>
        <v>0</v>
      </c>
      <c r="EG156" s="474">
        <f t="shared" ca="1" si="338"/>
        <v>0</v>
      </c>
      <c r="EH156" s="474">
        <f t="shared" ca="1" si="338"/>
        <v>0</v>
      </c>
      <c r="EI156" s="474">
        <f t="shared" ca="1" si="338"/>
        <v>0</v>
      </c>
      <c r="EJ156" s="474">
        <f t="shared" ca="1" si="338"/>
        <v>0</v>
      </c>
      <c r="EK156" s="474">
        <f t="shared" ca="1" si="338"/>
        <v>0</v>
      </c>
      <c r="EL156" s="474">
        <f t="shared" ca="1" si="338"/>
        <v>0</v>
      </c>
      <c r="EM156" s="474">
        <f t="shared" ca="1" si="338"/>
        <v>0</v>
      </c>
      <c r="EN156" s="474">
        <f t="shared" ca="1" si="338"/>
        <v>0</v>
      </c>
      <c r="EO156" s="504"/>
      <c r="EQ156" s="474">
        <f t="shared" ca="1" si="366"/>
        <v>0</v>
      </c>
      <c r="ER156" s="474">
        <f t="shared" ca="1" si="339"/>
        <v>0</v>
      </c>
      <c r="ES156" s="474">
        <f t="shared" ca="1" si="339"/>
        <v>0</v>
      </c>
      <c r="ET156" s="474">
        <f t="shared" ca="1" si="339"/>
        <v>0</v>
      </c>
      <c r="EU156" s="474">
        <f t="shared" ca="1" si="339"/>
        <v>0</v>
      </c>
      <c r="EV156" s="474">
        <f t="shared" ca="1" si="339"/>
        <v>0</v>
      </c>
      <c r="EW156" s="474">
        <f t="shared" ca="1" si="339"/>
        <v>0</v>
      </c>
      <c r="EX156" s="474">
        <f t="shared" ca="1" si="339"/>
        <v>0</v>
      </c>
      <c r="EY156" s="474">
        <f t="shared" ca="1" si="339"/>
        <v>0</v>
      </c>
      <c r="EZ156" s="474">
        <f t="shared" ca="1" si="339"/>
        <v>0</v>
      </c>
      <c r="FA156" s="474">
        <f t="shared" ca="1" si="339"/>
        <v>0</v>
      </c>
      <c r="FB156" s="474">
        <f t="shared" ca="1" si="339"/>
        <v>0</v>
      </c>
      <c r="FC156" s="504"/>
      <c r="FE156" s="474">
        <f t="shared" ca="1" si="368"/>
        <v>0</v>
      </c>
      <c r="FF156" s="474">
        <f t="shared" ca="1" si="340"/>
        <v>0</v>
      </c>
      <c r="FG156" s="474">
        <f t="shared" ca="1" si="340"/>
        <v>0</v>
      </c>
      <c r="FH156" s="474">
        <f t="shared" ca="1" si="340"/>
        <v>0</v>
      </c>
      <c r="FI156" s="474">
        <f t="shared" ca="1" si="340"/>
        <v>0</v>
      </c>
      <c r="FJ156" s="474">
        <f t="shared" ca="1" si="340"/>
        <v>0</v>
      </c>
      <c r="FK156" s="474">
        <f t="shared" ca="1" si="340"/>
        <v>0</v>
      </c>
      <c r="FL156" s="474">
        <f t="shared" ca="1" si="340"/>
        <v>0</v>
      </c>
      <c r="FM156" s="474">
        <f t="shared" ca="1" si="340"/>
        <v>0</v>
      </c>
      <c r="FN156" s="474">
        <f t="shared" ca="1" si="340"/>
        <v>0</v>
      </c>
      <c r="FO156" s="474">
        <f t="shared" ca="1" si="340"/>
        <v>0</v>
      </c>
      <c r="FP156" s="474">
        <f t="shared" ca="1" si="340"/>
        <v>0</v>
      </c>
      <c r="FQ156" s="504"/>
      <c r="FS156" s="504"/>
    </row>
    <row r="157" spans="1:175">
      <c r="A157" s="2"/>
      <c r="D157" s="43"/>
      <c r="E157" s="43"/>
      <c r="G157" s="230" t="s">
        <v>274</v>
      </c>
      <c r="H157" s="222"/>
      <c r="I157" s="465">
        <f ca="1">SUM(I150:I156)</f>
        <v>191099999.88000011</v>
      </c>
      <c r="J157" s="465">
        <f ca="1">SUM(J150:J156)</f>
        <v>182727345.40000004</v>
      </c>
      <c r="K157" s="465">
        <f ca="1">SUM(K150:K156)</f>
        <v>8372654.4800000787</v>
      </c>
      <c r="M157" s="465">
        <f ca="1">SUM(M150:M156)</f>
        <v>0</v>
      </c>
      <c r="O157" s="465">
        <f ca="1">SUM(O149:O156)</f>
        <v>182447597.93000001</v>
      </c>
      <c r="P157" s="465">
        <f t="shared" ref="P157:Q157" ca="1" si="372">SUM(P149:P156)</f>
        <v>62407.740000000005</v>
      </c>
      <c r="Q157" s="465">
        <f t="shared" ca="1" si="372"/>
        <v>1286128.56</v>
      </c>
      <c r="R157" s="465">
        <f t="shared" ref="R157:S157" ca="1" si="373">SUM(R149:R156)</f>
        <v>1515171.99</v>
      </c>
      <c r="S157" s="465">
        <f t="shared" ca="1" si="373"/>
        <v>7137229.9600000009</v>
      </c>
      <c r="U157" s="465">
        <f t="shared" ref="U157:AG157" ca="1" si="374">SUM(U150:U156)</f>
        <v>0</v>
      </c>
      <c r="V157" s="465">
        <f t="shared" ca="1" si="374"/>
        <v>0</v>
      </c>
      <c r="W157" s="465">
        <f t="shared" ca="1" si="374"/>
        <v>0</v>
      </c>
      <c r="X157" s="465">
        <f t="shared" ca="1" si="374"/>
        <v>0</v>
      </c>
      <c r="Y157" s="465">
        <f t="shared" ca="1" si="374"/>
        <v>70549.600000000006</v>
      </c>
      <c r="Z157" s="465">
        <f t="shared" ca="1" si="374"/>
        <v>45459.990000000005</v>
      </c>
      <c r="AA157" s="465">
        <f t="shared" ca="1" si="374"/>
        <v>64270.92</v>
      </c>
      <c r="AB157" s="465">
        <f t="shared" ca="1" si="374"/>
        <v>70291.48</v>
      </c>
      <c r="AC157" s="465">
        <f t="shared" ca="1" si="374"/>
        <v>113754.36</v>
      </c>
      <c r="AD157" s="465">
        <f t="shared" ca="1" si="374"/>
        <v>3366295.18</v>
      </c>
      <c r="AE157" s="465">
        <f t="shared" ca="1" si="374"/>
        <v>33626.18</v>
      </c>
      <c r="AF157" s="465">
        <f t="shared" ca="1" si="374"/>
        <v>40826.410000000003</v>
      </c>
      <c r="AG157" s="465">
        <f t="shared" ca="1" si="374"/>
        <v>3805074.1200000006</v>
      </c>
      <c r="AI157" s="465">
        <f t="shared" ref="AI157:AU157" ca="1" si="375">SUM(AI150:AI156)</f>
        <v>0</v>
      </c>
      <c r="AJ157" s="465">
        <f t="shared" ca="1" si="375"/>
        <v>306030</v>
      </c>
      <c r="AK157" s="465">
        <f t="shared" ca="1" si="375"/>
        <v>1482047.17</v>
      </c>
      <c r="AL157" s="465">
        <f t="shared" ca="1" si="375"/>
        <v>425581.29000000004</v>
      </c>
      <c r="AM157" s="465">
        <f t="shared" ca="1" si="375"/>
        <v>383205.14999999997</v>
      </c>
      <c r="AN157" s="465">
        <f t="shared" ca="1" si="375"/>
        <v>341521.97</v>
      </c>
      <c r="AO157" s="465">
        <f t="shared" ca="1" si="375"/>
        <v>345370.03</v>
      </c>
      <c r="AP157" s="465">
        <f t="shared" ca="1" si="375"/>
        <v>354037.01</v>
      </c>
      <c r="AQ157" s="465">
        <f t="shared" ca="1" si="375"/>
        <v>257482.62</v>
      </c>
      <c r="AR157" s="465">
        <f t="shared" ca="1" si="375"/>
        <v>265998.07</v>
      </c>
      <c r="AS157" s="465">
        <f t="shared" ca="1" si="375"/>
        <v>258481.03</v>
      </c>
      <c r="AT157" s="465">
        <f t="shared" ca="1" si="375"/>
        <v>646547.74</v>
      </c>
      <c r="AU157" s="465">
        <f t="shared" ca="1" si="375"/>
        <v>5066302.08</v>
      </c>
      <c r="AW157" s="465">
        <f t="shared" ref="AW157:BI157" ca="1" si="376">SUM(AW150:AW156)</f>
        <v>34348.850000000006</v>
      </c>
      <c r="AX157" s="465">
        <f t="shared" ca="1" si="376"/>
        <v>560829.26</v>
      </c>
      <c r="AY157" s="465">
        <f t="shared" ca="1" si="376"/>
        <v>379011.21</v>
      </c>
      <c r="AZ157" s="465">
        <f t="shared" ca="1" si="376"/>
        <v>398927.95</v>
      </c>
      <c r="BA157" s="465">
        <f t="shared" ca="1" si="376"/>
        <v>417205.13</v>
      </c>
      <c r="BB157" s="465">
        <f t="shared" ca="1" si="376"/>
        <v>460514.61</v>
      </c>
      <c r="BC157" s="465">
        <f t="shared" ca="1" si="376"/>
        <v>618436.89</v>
      </c>
      <c r="BD157" s="465">
        <f t="shared" ca="1" si="376"/>
        <v>1382507.8499999999</v>
      </c>
      <c r="BE157" s="465">
        <f t="shared" ca="1" si="376"/>
        <v>244742.34999999998</v>
      </c>
      <c r="BF157" s="465">
        <f t="shared" ca="1" si="376"/>
        <v>160547.64000000001</v>
      </c>
      <c r="BG157" s="465">
        <f t="shared" ca="1" si="376"/>
        <v>54663.83</v>
      </c>
      <c r="BH157" s="465">
        <f t="shared" ca="1" si="376"/>
        <v>154625.38999999998</v>
      </c>
      <c r="BI157" s="465">
        <f t="shared" ca="1" si="376"/>
        <v>4866360.959999999</v>
      </c>
      <c r="BK157" s="465">
        <f t="shared" ref="BK157:BW157" ca="1" si="377">SUM(BK150:BK156)</f>
        <v>32009.22</v>
      </c>
      <c r="BL157" s="465">
        <f t="shared" ca="1" si="377"/>
        <v>87225.77</v>
      </c>
      <c r="BM157" s="465">
        <f t="shared" ca="1" si="377"/>
        <v>147894.70000000001</v>
      </c>
      <c r="BN157" s="465">
        <f t="shared" ca="1" si="377"/>
        <v>159353.51</v>
      </c>
      <c r="BO157" s="465">
        <f t="shared" ca="1" si="377"/>
        <v>235597.81</v>
      </c>
      <c r="BP157" s="465">
        <f t="shared" ca="1" si="377"/>
        <v>2787597.66</v>
      </c>
      <c r="BQ157" s="465">
        <f t="shared" ca="1" si="377"/>
        <v>896855.61</v>
      </c>
      <c r="BR157" s="465">
        <f t="shared" ca="1" si="377"/>
        <v>1637398.74</v>
      </c>
      <c r="BS157" s="465">
        <f t="shared" ca="1" si="377"/>
        <v>1092048.67</v>
      </c>
      <c r="BT157" s="465">
        <f t="shared" ca="1" si="377"/>
        <v>1626918.0899999999</v>
      </c>
      <c r="BU157" s="465">
        <f t="shared" ca="1" si="377"/>
        <v>2188545.7799999998</v>
      </c>
      <c r="BV157" s="465">
        <f t="shared" ca="1" si="377"/>
        <v>4375234.7399999993</v>
      </c>
      <c r="BW157" s="465">
        <f t="shared" ca="1" si="377"/>
        <v>15266680.300000001</v>
      </c>
      <c r="BY157" s="465">
        <f t="shared" ref="BY157:CK157" ca="1" si="378">SUM(BY150:BY156)</f>
        <v>48667.5</v>
      </c>
      <c r="BZ157" s="465">
        <f t="shared" ca="1" si="378"/>
        <v>2545147.9</v>
      </c>
      <c r="CA157" s="465">
        <f t="shared" ca="1" si="378"/>
        <v>2392322.6199999996</v>
      </c>
      <c r="CB157" s="465">
        <f t="shared" ca="1" si="378"/>
        <v>2107079.7600000002</v>
      </c>
      <c r="CC157" s="465">
        <f t="shared" ca="1" si="378"/>
        <v>2349776.7600000002</v>
      </c>
      <c r="CD157" s="465">
        <f t="shared" ca="1" si="378"/>
        <v>1868298.45</v>
      </c>
      <c r="CE157" s="465">
        <f t="shared" ca="1" si="378"/>
        <v>2520593.7800000003</v>
      </c>
      <c r="CF157" s="465">
        <f t="shared" ca="1" si="378"/>
        <v>2265015.19</v>
      </c>
      <c r="CG157" s="465">
        <f t="shared" ca="1" si="378"/>
        <v>2909666.84</v>
      </c>
      <c r="CH157" s="465">
        <f t="shared" ca="1" si="378"/>
        <v>2739074.1</v>
      </c>
      <c r="CI157" s="465">
        <f t="shared" ca="1" si="378"/>
        <v>152285.85999999999</v>
      </c>
      <c r="CJ157" s="465">
        <f t="shared" ca="1" si="378"/>
        <v>8926629.4700000025</v>
      </c>
      <c r="CK157" s="465">
        <f t="shared" ca="1" si="378"/>
        <v>30824558.23</v>
      </c>
      <c r="CM157" s="465">
        <f t="shared" ref="CM157:CY157" ca="1" si="379">SUM(CM150:CM156)</f>
        <v>452020.68</v>
      </c>
      <c r="CN157" s="465">
        <f t="shared" ca="1" si="379"/>
        <v>4449468.4300000006</v>
      </c>
      <c r="CO157" s="465">
        <f t="shared" ca="1" si="379"/>
        <v>6086613.5600000005</v>
      </c>
      <c r="CP157" s="465">
        <f t="shared" ca="1" si="379"/>
        <v>5872216.3300000001</v>
      </c>
      <c r="CQ157" s="465">
        <f t="shared" ca="1" si="379"/>
        <v>6321995.7800000003</v>
      </c>
      <c r="CR157" s="465">
        <f t="shared" ca="1" si="379"/>
        <v>9531002.9900000002</v>
      </c>
      <c r="CS157" s="465">
        <f t="shared" ca="1" si="379"/>
        <v>7429437.1600000011</v>
      </c>
      <c r="CT157" s="465">
        <f t="shared" ca="1" si="379"/>
        <v>7604604.8999999994</v>
      </c>
      <c r="CU157" s="465">
        <f t="shared" ca="1" si="379"/>
        <v>5900682.629999999</v>
      </c>
      <c r="CV157" s="465">
        <f t="shared" ca="1" si="379"/>
        <v>6244703.5800000001</v>
      </c>
      <c r="CW157" s="465">
        <f t="shared" ca="1" si="379"/>
        <v>5955543.25</v>
      </c>
      <c r="CX157" s="465">
        <f t="shared" ca="1" si="379"/>
        <v>11132382.43</v>
      </c>
      <c r="CY157" s="465">
        <f t="shared" ca="1" si="379"/>
        <v>76980671.719999999</v>
      </c>
      <c r="DA157" s="465">
        <f t="shared" ref="DA157:DM157" ca="1" si="380">SUM(DA150:DA156)</f>
        <v>278497.16000000003</v>
      </c>
      <c r="DB157" s="465">
        <f t="shared" ca="1" si="380"/>
        <v>4882063.99</v>
      </c>
      <c r="DC157" s="465">
        <f t="shared" ca="1" si="380"/>
        <v>4731909.4700000007</v>
      </c>
      <c r="DD157" s="465">
        <f t="shared" ca="1" si="380"/>
        <v>3728976.3500000006</v>
      </c>
      <c r="DE157" s="465">
        <f t="shared" ca="1" si="380"/>
        <v>4003755.7800000003</v>
      </c>
      <c r="DF157" s="465">
        <f t="shared" ca="1" si="380"/>
        <v>3956157.25</v>
      </c>
      <c r="DG157" s="465">
        <f t="shared" ca="1" si="380"/>
        <v>3073240.23</v>
      </c>
      <c r="DH157" s="465">
        <f t="shared" ca="1" si="380"/>
        <v>1972629.76</v>
      </c>
      <c r="DI157" s="465">
        <f t="shared" ca="1" si="380"/>
        <v>1946571.27</v>
      </c>
      <c r="DJ157" s="465">
        <f t="shared" ca="1" si="380"/>
        <v>1502118.09</v>
      </c>
      <c r="DK157" s="465">
        <f t="shared" ca="1" si="380"/>
        <v>1395339.27</v>
      </c>
      <c r="DL157" s="465">
        <f t="shared" ca="1" si="380"/>
        <v>2667921.7399999993</v>
      </c>
      <c r="DM157" s="465">
        <f t="shared" ca="1" si="380"/>
        <v>34139180.360000007</v>
      </c>
      <c r="DO157" s="465">
        <f t="shared" ref="DO157:EA157" ca="1" si="381">SUM(DO150:DO156)</f>
        <v>193776.56</v>
      </c>
      <c r="DP157" s="465">
        <f t="shared" ca="1" si="381"/>
        <v>89723.25</v>
      </c>
      <c r="DQ157" s="465">
        <f t="shared" ca="1" si="381"/>
        <v>746845.91999999993</v>
      </c>
      <c r="DR157" s="465">
        <f t="shared" ca="1" si="381"/>
        <v>662047.47</v>
      </c>
      <c r="DS157" s="465">
        <f t="shared" ca="1" si="381"/>
        <v>746370.79</v>
      </c>
      <c r="DT157" s="465">
        <f t="shared" ca="1" si="381"/>
        <v>49192.73</v>
      </c>
      <c r="DU157" s="465">
        <f t="shared" ca="1" si="381"/>
        <v>5549374.2800000003</v>
      </c>
      <c r="DV157" s="465">
        <f t="shared" ca="1" si="381"/>
        <v>999375.67999999993</v>
      </c>
      <c r="DW157" s="465">
        <f t="shared" ca="1" si="381"/>
        <v>520860.10000000003</v>
      </c>
      <c r="DX157" s="465">
        <f t="shared" ca="1" si="381"/>
        <v>433312.34</v>
      </c>
      <c r="DY157" s="465">
        <f t="shared" ca="1" si="381"/>
        <v>629450.8600000001</v>
      </c>
      <c r="DZ157" s="465">
        <f t="shared" ca="1" si="381"/>
        <v>878440.17999999993</v>
      </c>
      <c r="EA157" s="465">
        <f t="shared" ca="1" si="381"/>
        <v>11498770.159999998</v>
      </c>
      <c r="EC157" s="465">
        <f t="shared" ref="EC157:EO157" ca="1" si="382">SUM(EC150:EC156)</f>
        <v>73319.77</v>
      </c>
      <c r="ED157" s="465">
        <f t="shared" ca="1" si="382"/>
        <v>198632.21</v>
      </c>
      <c r="EE157" s="465">
        <f t="shared" ca="1" si="382"/>
        <v>119000</v>
      </c>
      <c r="EF157" s="465">
        <f t="shared" ca="1" si="382"/>
        <v>492748</v>
      </c>
      <c r="EG157" s="465">
        <f t="shared" ca="1" si="382"/>
        <v>324210.91000000003</v>
      </c>
      <c r="EH157" s="465">
        <f t="shared" ca="1" si="382"/>
        <v>58803</v>
      </c>
      <c r="EI157" s="465">
        <f t="shared" ca="1" si="382"/>
        <v>18402.14</v>
      </c>
      <c r="EJ157" s="465">
        <f t="shared" ca="1" si="382"/>
        <v>0</v>
      </c>
      <c r="EK157" s="465">
        <f t="shared" ca="1" si="382"/>
        <v>0</v>
      </c>
      <c r="EL157" s="465">
        <f t="shared" ca="1" si="382"/>
        <v>0</v>
      </c>
      <c r="EM157" s="465">
        <f t="shared" ca="1" si="382"/>
        <v>0</v>
      </c>
      <c r="EN157" s="465">
        <f t="shared" ca="1" si="382"/>
        <v>230055.96000000002</v>
      </c>
      <c r="EO157" s="465">
        <f t="shared" ca="1" si="382"/>
        <v>1515171.99</v>
      </c>
      <c r="EQ157" s="465">
        <f t="shared" ref="EQ157:FC157" ca="1" si="383">SUM(EQ150:EQ156)</f>
        <v>14111.53</v>
      </c>
      <c r="ER157" s="465">
        <f t="shared" ca="1" si="383"/>
        <v>4746252.1300000008</v>
      </c>
      <c r="ES157" s="465">
        <f t="shared" ca="1" si="383"/>
        <v>0</v>
      </c>
      <c r="ET157" s="465">
        <f t="shared" ca="1" si="383"/>
        <v>200000</v>
      </c>
      <c r="EU157" s="465">
        <f t="shared" ca="1" si="383"/>
        <v>200000</v>
      </c>
      <c r="EV157" s="465">
        <f t="shared" ca="1" si="383"/>
        <v>200000</v>
      </c>
      <c r="EW157" s="465">
        <f t="shared" ca="1" si="383"/>
        <v>200000</v>
      </c>
      <c r="EX157" s="465">
        <f t="shared" ca="1" si="383"/>
        <v>0</v>
      </c>
      <c r="EY157" s="465">
        <f t="shared" ca="1" si="383"/>
        <v>0</v>
      </c>
      <c r="EZ157" s="465">
        <f t="shared" ca="1" si="383"/>
        <v>0</v>
      </c>
      <c r="FA157" s="465">
        <f t="shared" ca="1" si="383"/>
        <v>0</v>
      </c>
      <c r="FB157" s="465">
        <f t="shared" ca="1" si="383"/>
        <v>1576866.3</v>
      </c>
      <c r="FC157" s="465">
        <f t="shared" ca="1" si="383"/>
        <v>7137229.9600000009</v>
      </c>
      <c r="FE157" s="465">
        <f t="shared" ref="FE157:FQ157" ca="1" si="384">SUM(FE150:FE156)</f>
        <v>0</v>
      </c>
      <c r="FF157" s="465">
        <f t="shared" ca="1" si="384"/>
        <v>0</v>
      </c>
      <c r="FG157" s="465">
        <f t="shared" ca="1" si="384"/>
        <v>0</v>
      </c>
      <c r="FH157" s="465">
        <f t="shared" ca="1" si="384"/>
        <v>0</v>
      </c>
      <c r="FI157" s="465">
        <f t="shared" ca="1" si="384"/>
        <v>0</v>
      </c>
      <c r="FJ157" s="465">
        <f t="shared" ca="1" si="384"/>
        <v>0</v>
      </c>
      <c r="FK157" s="465">
        <f t="shared" ca="1" si="384"/>
        <v>0</v>
      </c>
      <c r="FL157" s="465">
        <f t="shared" ca="1" si="384"/>
        <v>0</v>
      </c>
      <c r="FM157" s="465">
        <f t="shared" ca="1" si="384"/>
        <v>0</v>
      </c>
      <c r="FN157" s="465">
        <f t="shared" ca="1" si="384"/>
        <v>0</v>
      </c>
      <c r="FO157" s="465">
        <f t="shared" ca="1" si="384"/>
        <v>0</v>
      </c>
      <c r="FP157" s="465">
        <f t="shared" ca="1" si="384"/>
        <v>0</v>
      </c>
      <c r="FQ157" s="465">
        <f t="shared" ca="1" si="384"/>
        <v>0</v>
      </c>
      <c r="FS157" s="465">
        <f ca="1">SUM(FS150:FS156)</f>
        <v>191099999.88000003</v>
      </c>
    </row>
    <row r="158" spans="1:175">
      <c r="A158" s="2"/>
      <c r="D158" s="43"/>
      <c r="E158" s="43"/>
      <c r="M158" s="6"/>
      <c r="O158" s="155"/>
      <c r="P158" s="155"/>
      <c r="Q158" s="155"/>
      <c r="R158" s="155"/>
      <c r="S158" s="155"/>
      <c r="AG158" s="6"/>
      <c r="AU158" s="6"/>
      <c r="BI158" s="6"/>
      <c r="BW158" s="6"/>
      <c r="CK158" s="6"/>
      <c r="CY158" s="6"/>
      <c r="DM158" s="6"/>
      <c r="EA158" s="6"/>
      <c r="EO158" s="6"/>
      <c r="FC158" s="6"/>
      <c r="FQ158" s="6"/>
    </row>
    <row r="159" spans="1:175">
      <c r="D159" s="43"/>
      <c r="E159" s="43"/>
      <c r="J159" s="1155" t="s">
        <v>10</v>
      </c>
      <c r="K159" s="1156"/>
      <c r="M159" s="20" t="s">
        <v>274</v>
      </c>
      <c r="O159" s="155"/>
      <c r="P159" s="155"/>
      <c r="Q159" s="155"/>
      <c r="R159" s="155"/>
      <c r="S159" s="155"/>
      <c r="AG159" s="20" t="str">
        <f>AG150</f>
        <v>2017-18</v>
      </c>
      <c r="AU159" s="20" t="str">
        <f>AU150</f>
        <v>2018-19</v>
      </c>
      <c r="BI159" s="20" t="str">
        <f>BI150</f>
        <v>2019-20</v>
      </c>
      <c r="BW159" s="20" t="str">
        <f>BW150</f>
        <v>2020-21</v>
      </c>
      <c r="CK159" s="20" t="str">
        <f>CK150</f>
        <v>2021-22</v>
      </c>
      <c r="CY159" s="20" t="str">
        <f>CY150</f>
        <v>2022-23</v>
      </c>
      <c r="DM159" s="20" t="str">
        <f>DM150</f>
        <v>2023-24</v>
      </c>
      <c r="EA159" s="20" t="str">
        <f>EA150</f>
        <v>2024-25</v>
      </c>
      <c r="EO159" s="20" t="str">
        <f>EO150</f>
        <v>2025-26</v>
      </c>
      <c r="FC159" s="20" t="str">
        <f>FC150</f>
        <v>2026-27</v>
      </c>
      <c r="FQ159" s="20" t="str">
        <f>FQ150</f>
        <v>2027-28</v>
      </c>
    </row>
    <row r="160" spans="1:175">
      <c r="J160" s="1150" t="s">
        <v>1612</v>
      </c>
      <c r="K160" s="1152"/>
      <c r="M160" s="511">
        <f ca="1">SUM(AG160:FQ160)</f>
        <v>191099999.99999997</v>
      </c>
      <c r="O160" s="155"/>
      <c r="P160" s="155"/>
      <c r="Q160" s="155"/>
      <c r="R160" s="155"/>
      <c r="S160" s="155"/>
      <c r="U160" s="116"/>
      <c r="V160" s="116"/>
      <c r="W160" s="116"/>
      <c r="X160" s="116"/>
      <c r="Y160" s="116"/>
      <c r="Z160" s="116"/>
      <c r="AA160" s="116"/>
      <c r="AB160" s="116"/>
      <c r="AC160" s="116"/>
      <c r="AD160" s="116"/>
      <c r="AE160" s="116"/>
      <c r="AF160" s="116"/>
      <c r="AG160" s="511">
        <f ca="1">IFERROR(INDEX('Target Tracking'!$C$17:$W$18,2,MATCH(Cashflow!AG7,'Target Tracking'!$C$17:$W$17,0)),"")</f>
        <v>3805074.12</v>
      </c>
      <c r="AI160" s="116"/>
      <c r="AJ160" s="116"/>
      <c r="AK160" s="116"/>
      <c r="AL160" s="116"/>
      <c r="AM160" s="116"/>
      <c r="AN160" s="116"/>
      <c r="AO160" s="116"/>
      <c r="AP160" s="116"/>
      <c r="AQ160" s="116"/>
      <c r="AR160" s="116"/>
      <c r="AS160" s="116"/>
      <c r="AT160" s="116"/>
      <c r="AU160" s="504">
        <f ca="1">IFERROR(INDEX('Target Tracking'!$C$17:$W$18,2,MATCH(Cashflow!AU7,'Target Tracking'!$C$17:$W$17,0)),"")</f>
        <v>5066302.08</v>
      </c>
      <c r="AW160" s="116"/>
      <c r="AX160" s="116"/>
      <c r="AY160" s="116"/>
      <c r="AZ160" s="116"/>
      <c r="BA160" s="116"/>
      <c r="BB160" s="116"/>
      <c r="BC160" s="116"/>
      <c r="BD160" s="116"/>
      <c r="BE160" s="116"/>
      <c r="BF160" s="116"/>
      <c r="BG160" s="116"/>
      <c r="BH160" s="116"/>
      <c r="BI160" s="504">
        <f ca="1">IFERROR(INDEX('Target Tracking'!$C$17:$W$18,2,MATCH(Cashflow!BI7,'Target Tracking'!$C$17:$W$17,0)),"")</f>
        <v>4866360.96</v>
      </c>
      <c r="BK160" s="116"/>
      <c r="BL160" s="116"/>
      <c r="BM160" s="116"/>
      <c r="BN160" s="116"/>
      <c r="BO160" s="116"/>
      <c r="BP160" s="116"/>
      <c r="BQ160" s="116"/>
      <c r="BR160" s="116"/>
      <c r="BS160" s="116"/>
      <c r="BT160" s="116"/>
      <c r="BU160" s="116"/>
      <c r="BV160" s="116"/>
      <c r="BW160" s="504">
        <f ca="1">IFERROR(INDEX('Target Tracking'!$C$17:$W$18,2,MATCH(Cashflow!BW7,'Target Tracking'!$C$17:$W$17,0)),"")</f>
        <v>15266680.300000001</v>
      </c>
      <c r="BY160" s="116"/>
      <c r="BZ160" s="116"/>
      <c r="CA160" s="116"/>
      <c r="CB160" s="116"/>
      <c r="CC160" s="116"/>
      <c r="CD160" s="116"/>
      <c r="CE160" s="116"/>
      <c r="CF160" s="116"/>
      <c r="CG160" s="116"/>
      <c r="CH160" s="116"/>
      <c r="CI160" s="116"/>
      <c r="CJ160" s="116"/>
      <c r="CK160" s="504">
        <f ca="1">IFERROR(INDEX('Target Tracking'!$C$17:$W$18,2,MATCH(Cashflow!CK7,'Target Tracking'!$C$17:$W$17,0)),"")</f>
        <v>30824558.229999997</v>
      </c>
      <c r="CM160" s="116"/>
      <c r="CN160" s="116"/>
      <c r="CO160" s="116"/>
      <c r="CP160" s="116"/>
      <c r="CQ160" s="116"/>
      <c r="CR160" s="116"/>
      <c r="CS160" s="116"/>
      <c r="CT160" s="116"/>
      <c r="CU160" s="116"/>
      <c r="CV160" s="116"/>
      <c r="CW160" s="116"/>
      <c r="CX160" s="116"/>
      <c r="CY160" s="504">
        <f ca="1">IFERROR(INDEX('Target Tracking'!$C$17:$W$18,2,MATCH(Cashflow!CY7,'Target Tracking'!$C$17:$W$17,0)),"")</f>
        <v>76980671.719999999</v>
      </c>
      <c r="DA160" s="116"/>
      <c r="DB160" s="116"/>
      <c r="DC160" s="116"/>
      <c r="DD160" s="116"/>
      <c r="DE160" s="116"/>
      <c r="DF160" s="116"/>
      <c r="DG160" s="116"/>
      <c r="DH160" s="116"/>
      <c r="DI160" s="116"/>
      <c r="DJ160" s="116"/>
      <c r="DK160" s="116"/>
      <c r="DL160" s="116"/>
      <c r="DM160" s="504">
        <f ca="1">IFERROR(INDEX('Target Tracking'!$C$17:$W$18,2,MATCH(Cashflow!DM7,'Target Tracking'!$C$17:$W$17,0)),"")</f>
        <v>34139180.359999992</v>
      </c>
      <c r="DO160" s="116"/>
      <c r="DP160" s="116"/>
      <c r="DQ160" s="116"/>
      <c r="DR160" s="116"/>
      <c r="DS160" s="116"/>
      <c r="DT160" s="116"/>
      <c r="DU160" s="116"/>
      <c r="DV160" s="116"/>
      <c r="DW160" s="116"/>
      <c r="DX160" s="116"/>
      <c r="DY160" s="116" t="s">
        <v>1613</v>
      </c>
      <c r="DZ160" s="116"/>
      <c r="EA160" s="504">
        <f ca="1">IFERROR(INDEX('Target Tracking'!$C$17:$W$18,2,MATCH(Cashflow!EA7,'Target Tracking'!$C$17:$W$17,0)),"")</f>
        <v>11498770</v>
      </c>
      <c r="EC160" s="116"/>
      <c r="ED160" s="116"/>
      <c r="EE160" s="116"/>
      <c r="EF160" s="116"/>
      <c r="EG160" s="116"/>
      <c r="EH160" s="116"/>
      <c r="EI160" s="116"/>
      <c r="EJ160" s="116"/>
      <c r="EK160" s="116"/>
      <c r="EL160" s="116"/>
      <c r="EM160" s="116"/>
      <c r="EN160" s="116"/>
      <c r="EO160" s="504">
        <f ca="1">IFERROR(INDEX('Target Tracking'!$C$17:$W$18,2,MATCH(Cashflow!EO7,'Target Tracking'!$C$17:$W$17,0)),"")</f>
        <v>1515172.2300000004</v>
      </c>
      <c r="EQ160" s="116"/>
      <c r="ER160" s="116"/>
      <c r="ES160" s="116"/>
      <c r="ET160" s="116"/>
      <c r="EU160" s="116"/>
      <c r="EV160" s="116"/>
      <c r="EW160" s="116"/>
      <c r="EX160" s="116"/>
      <c r="EY160" s="116"/>
      <c r="EZ160" s="116"/>
      <c r="FA160" s="116"/>
      <c r="FB160" s="116"/>
      <c r="FC160" s="504">
        <f ca="1">IFERROR(INDEX('Target Tracking'!$C$17:$W$18,2,MATCH(Cashflow!FC7,'Target Tracking'!$C$17:$W$17,0)),"")</f>
        <v>7137230</v>
      </c>
      <c r="FE160" s="116"/>
      <c r="FF160" s="116"/>
      <c r="FG160" s="116"/>
      <c r="FH160" s="116"/>
      <c r="FI160" s="116"/>
      <c r="FJ160" s="116"/>
      <c r="FK160" s="116"/>
      <c r="FL160" s="116"/>
      <c r="FM160" s="116"/>
      <c r="FN160" s="116"/>
      <c r="FO160" s="116"/>
      <c r="FP160" s="116"/>
      <c r="FQ160" s="504">
        <f ca="1">IFERROR(INDEX('Target Tracking'!$C$17:$W$18,2,MATCH(Cashflow!FQ7,'Target Tracking'!$C$17:$W$17,0)),"")</f>
        <v>0</v>
      </c>
    </row>
    <row r="161" spans="2:175">
      <c r="K161" s="161" t="s">
        <v>277</v>
      </c>
      <c r="M161" s="508">
        <f ca="1">SUM(AG161:FQ161)</f>
        <v>0.11999998311512172</v>
      </c>
      <c r="O161" s="155"/>
      <c r="P161" s="155"/>
      <c r="Q161" s="155"/>
      <c r="R161" s="155"/>
      <c r="S161" s="155"/>
      <c r="U161" s="155"/>
      <c r="V161" s="155"/>
      <c r="W161" s="155"/>
      <c r="X161" s="155"/>
      <c r="Y161" s="155"/>
      <c r="Z161" s="155"/>
      <c r="AA161" s="155"/>
      <c r="AB161" s="155"/>
      <c r="AC161" s="155"/>
      <c r="AD161" s="155"/>
      <c r="AE161" s="155"/>
      <c r="AF161" s="155"/>
      <c r="AG161" s="155">
        <f ca="1">IF(AG7=0,"",AG160-AG157)</f>
        <v>-4.6566128730773926E-10</v>
      </c>
      <c r="AI161" s="155"/>
      <c r="AJ161" s="155"/>
      <c r="AK161" s="155"/>
      <c r="AL161" s="155"/>
      <c r="AM161" s="155"/>
      <c r="AN161" s="155"/>
      <c r="AO161" s="155"/>
      <c r="AP161" s="155"/>
      <c r="AQ161" s="155"/>
      <c r="AR161" s="155"/>
      <c r="AS161" s="155"/>
      <c r="AT161" s="155"/>
      <c r="AU161" s="155">
        <f ca="1">IF(AU7=0,"",AU160-AU157)</f>
        <v>0</v>
      </c>
      <c r="AW161" s="155"/>
      <c r="AX161" s="155"/>
      <c r="AY161" s="155"/>
      <c r="AZ161" s="155"/>
      <c r="BA161" s="155"/>
      <c r="BB161" s="155"/>
      <c r="BC161" s="155"/>
      <c r="BD161" s="155"/>
      <c r="BE161" s="155"/>
      <c r="BF161" s="155"/>
      <c r="BG161" s="155"/>
      <c r="BH161" s="155"/>
      <c r="BI161" s="155">
        <f ca="1">IF(BI7=0,"",BI160-BI157)</f>
        <v>9.3132257461547852E-10</v>
      </c>
      <c r="BK161" s="155"/>
      <c r="BL161" s="155"/>
      <c r="BM161" s="155"/>
      <c r="BN161" s="155"/>
      <c r="BO161" s="155"/>
      <c r="BP161" s="155"/>
      <c r="BQ161" s="155"/>
      <c r="BR161" s="155"/>
      <c r="BS161" s="155"/>
      <c r="BT161" s="155"/>
      <c r="BU161" s="155"/>
      <c r="BV161" s="155"/>
      <c r="BW161" s="155">
        <f ca="1">IF(BW7=0,"",BW160-BW157)</f>
        <v>0</v>
      </c>
      <c r="BY161" s="155"/>
      <c r="BZ161" s="155"/>
      <c r="CA161" s="155"/>
      <c r="CB161" s="155"/>
      <c r="CC161" s="155"/>
      <c r="CD161" s="155"/>
      <c r="CE161" s="155"/>
      <c r="CF161" s="155"/>
      <c r="CG161" s="155"/>
      <c r="CH161" s="155"/>
      <c r="CI161" s="155"/>
      <c r="CJ161" s="155"/>
      <c r="CK161" s="155">
        <f ca="1">IF(CK7=0,"",CK160-CK157)</f>
        <v>-3.7252902984619141E-9</v>
      </c>
      <c r="CM161" s="155"/>
      <c r="CN161" s="155"/>
      <c r="CO161" s="155"/>
      <c r="CP161" s="155"/>
      <c r="CQ161" s="155"/>
      <c r="CR161" s="155"/>
      <c r="CS161" s="155"/>
      <c r="CT161" s="155"/>
      <c r="CU161" s="155"/>
      <c r="CV161" s="155"/>
      <c r="CW161" s="155"/>
      <c r="CX161" s="155"/>
      <c r="CY161" s="155">
        <f ca="1">IF(CY7=0,"",CY160-CY157)</f>
        <v>0</v>
      </c>
      <c r="DA161" s="155"/>
      <c r="DB161" s="155"/>
      <c r="DC161" s="155"/>
      <c r="DD161" s="155"/>
      <c r="DE161" s="155"/>
      <c r="DF161" s="155"/>
      <c r="DG161" s="155"/>
      <c r="DH161" s="155"/>
      <c r="DI161" s="155"/>
      <c r="DJ161" s="155"/>
      <c r="DK161" s="155"/>
      <c r="DL161" s="155"/>
      <c r="DM161" s="155">
        <f ca="1">IF(DM7=0,"",DM160-DM157)</f>
        <v>-1.4901161193847656E-8</v>
      </c>
      <c r="DO161" s="155"/>
      <c r="DP161" s="155"/>
      <c r="DQ161" s="155"/>
      <c r="DR161" s="155"/>
      <c r="DS161" s="155"/>
      <c r="DT161" s="155"/>
      <c r="DU161" s="155"/>
      <c r="DV161" s="155"/>
      <c r="DW161" s="155"/>
      <c r="DX161" s="155"/>
      <c r="DY161" s="155"/>
      <c r="DZ161" s="155"/>
      <c r="EA161" s="155">
        <f ca="1">IF(EA7=0,"",EA160-EA157)</f>
        <v>-0.15999999828636646</v>
      </c>
      <c r="EC161" s="155"/>
      <c r="ED161" s="155"/>
      <c r="EE161" s="155"/>
      <c r="EF161" s="155"/>
      <c r="EG161" s="155"/>
      <c r="EH161" s="155"/>
      <c r="EI161" s="155"/>
      <c r="EJ161" s="155"/>
      <c r="EK161" s="155"/>
      <c r="EL161" s="155"/>
      <c r="EM161" s="155"/>
      <c r="EN161" s="155"/>
      <c r="EO161" s="155">
        <f ca="1">IF(EO7=0,"",EO160-EO157)</f>
        <v>0.24000000045634806</v>
      </c>
      <c r="EQ161" s="155"/>
      <c r="ER161" s="155"/>
      <c r="ES161" s="155"/>
      <c r="ET161" s="155"/>
      <c r="EU161" s="155"/>
      <c r="EV161" s="155"/>
      <c r="EW161" s="155"/>
      <c r="EX161" s="155"/>
      <c r="EY161" s="155"/>
      <c r="EZ161" s="155"/>
      <c r="FA161" s="155"/>
      <c r="FB161" s="155"/>
      <c r="FC161" s="155">
        <f ca="1">IF(FC7=0,"",FC160-FC157)</f>
        <v>3.9999999105930328E-2</v>
      </c>
      <c r="FE161" s="155"/>
      <c r="FF161" s="155"/>
      <c r="FG161" s="155"/>
      <c r="FH161" s="155"/>
      <c r="FI161" s="155"/>
      <c r="FJ161" s="155"/>
      <c r="FK161" s="155"/>
      <c r="FL161" s="155"/>
      <c r="FM161" s="155"/>
      <c r="FN161" s="155"/>
      <c r="FO161" s="155"/>
      <c r="FP161" s="155"/>
      <c r="FQ161" s="155">
        <f ca="1">IF(FQ7=0,"",FQ160-FQ157)</f>
        <v>0</v>
      </c>
    </row>
    <row r="162" spans="2:175">
      <c r="K162" s="161"/>
      <c r="M162" s="155"/>
      <c r="O162" s="155"/>
      <c r="P162" s="155"/>
      <c r="Q162" s="155"/>
      <c r="R162" s="155"/>
      <c r="S162" s="155"/>
      <c r="U162" s="155"/>
      <c r="V162" s="155"/>
      <c r="W162" s="155"/>
      <c r="X162" s="155"/>
      <c r="Y162" s="155"/>
      <c r="Z162" s="155"/>
      <c r="AA162" s="155"/>
      <c r="AB162" s="155"/>
      <c r="AC162" s="155"/>
      <c r="AD162" s="155"/>
      <c r="AE162" s="155"/>
      <c r="AF162" s="155"/>
      <c r="AG162" s="155"/>
      <c r="AI162" s="155"/>
      <c r="AJ162" s="155"/>
      <c r="AK162" s="155"/>
      <c r="AL162" s="155"/>
      <c r="AM162" s="155"/>
      <c r="AN162" s="155"/>
      <c r="AO162" s="155"/>
      <c r="AP162" s="155"/>
      <c r="AQ162" s="155"/>
      <c r="AR162" s="155"/>
      <c r="AS162" s="155"/>
      <c r="AT162" s="155"/>
      <c r="AU162" s="155"/>
      <c r="AW162" s="155"/>
      <c r="AX162" s="155"/>
      <c r="AY162" s="155"/>
      <c r="AZ162" s="155"/>
      <c r="BA162" s="155"/>
      <c r="BB162" s="155"/>
      <c r="BC162" s="155"/>
      <c r="BD162" s="155"/>
      <c r="BE162" s="155"/>
      <c r="BF162" s="155"/>
      <c r="BG162" s="155"/>
      <c r="BH162" s="155"/>
      <c r="BI162" s="155"/>
      <c r="BK162" s="155"/>
      <c r="BL162" s="155"/>
      <c r="BM162" s="155"/>
      <c r="BN162" s="155"/>
      <c r="BO162" s="155"/>
      <c r="BP162" s="155"/>
      <c r="BQ162" s="155"/>
      <c r="BR162" s="155"/>
      <c r="BS162" s="155"/>
      <c r="BT162" s="155"/>
      <c r="BU162" s="155"/>
      <c r="BV162" s="155"/>
      <c r="BW162" s="155"/>
      <c r="BY162" s="155"/>
      <c r="BZ162" s="155"/>
      <c r="CA162" s="155"/>
      <c r="CB162" s="155"/>
      <c r="CC162" s="155"/>
      <c r="CD162" s="155"/>
      <c r="CE162" s="155"/>
      <c r="CF162" s="155"/>
      <c r="CG162" s="155"/>
      <c r="CH162" s="155"/>
      <c r="CI162" s="155"/>
      <c r="CJ162" s="155"/>
      <c r="CK162" s="155"/>
      <c r="CM162" s="155"/>
      <c r="CN162" s="155"/>
      <c r="CO162" s="155"/>
      <c r="CP162" s="155"/>
      <c r="CQ162" s="155"/>
      <c r="CR162" s="155"/>
      <c r="CS162" s="155"/>
      <c r="CT162" s="155"/>
      <c r="CU162" s="155"/>
      <c r="CV162" s="155"/>
      <c r="CW162" s="155"/>
      <c r="CX162" s="155"/>
      <c r="CY162" s="155"/>
      <c r="DA162" s="155"/>
      <c r="DB162" s="155"/>
      <c r="DC162" s="155"/>
      <c r="DD162" s="155"/>
      <c r="DE162" s="155"/>
      <c r="DF162" s="155"/>
      <c r="DG162" s="155"/>
      <c r="DH162" s="155"/>
      <c r="DI162" s="155"/>
      <c r="DJ162" s="155"/>
      <c r="DK162" s="155"/>
      <c r="DL162" s="155"/>
      <c r="DM162" s="155"/>
      <c r="DO162" s="155"/>
      <c r="DP162" s="155"/>
      <c r="DQ162" s="155"/>
      <c r="DR162" s="155"/>
      <c r="DS162" s="155"/>
      <c r="DT162" s="155"/>
      <c r="DU162" s="155"/>
      <c r="DV162" s="155"/>
      <c r="DW162" s="155"/>
      <c r="DX162" s="155"/>
      <c r="DY162" s="155"/>
      <c r="DZ162" s="155"/>
      <c r="EA162" s="155"/>
      <c r="EC162" s="155"/>
      <c r="ED162" s="155"/>
      <c r="EE162" s="155"/>
      <c r="EF162" s="155"/>
      <c r="EG162" s="155"/>
      <c r="EH162" s="155"/>
      <c r="EI162" s="155"/>
      <c r="EJ162" s="155"/>
      <c r="EK162" s="155"/>
      <c r="EL162" s="155"/>
      <c r="EM162" s="155"/>
      <c r="EN162" s="155"/>
      <c r="EO162" s="155"/>
      <c r="EQ162" s="155"/>
      <c r="ER162" s="155"/>
      <c r="ES162" s="155"/>
      <c r="ET162" s="155"/>
      <c r="EU162" s="155"/>
      <c r="EV162" s="155"/>
      <c r="EW162" s="155"/>
      <c r="EX162" s="155"/>
      <c r="EY162" s="155"/>
      <c r="EZ162" s="155"/>
      <c r="FA162" s="155"/>
      <c r="FB162" s="155"/>
      <c r="FC162" s="155"/>
      <c r="FE162" s="155"/>
      <c r="FF162" s="155"/>
      <c r="FG162" s="155"/>
      <c r="FH162" s="155"/>
      <c r="FI162" s="155"/>
      <c r="FJ162" s="155"/>
      <c r="FK162" s="155"/>
      <c r="FL162" s="155"/>
      <c r="FM162" s="155"/>
      <c r="FN162" s="155"/>
      <c r="FO162" s="155"/>
      <c r="FP162" s="155"/>
      <c r="FQ162" s="155"/>
    </row>
    <row r="163" spans="2:175" ht="15" customHeight="1">
      <c r="F163" s="104"/>
      <c r="G163" s="104"/>
      <c r="H163" s="104"/>
      <c r="I163" s="6" t="s">
        <v>321</v>
      </c>
      <c r="J163" s="6" t="s">
        <v>377</v>
      </c>
      <c r="K163" s="6" t="s">
        <v>790</v>
      </c>
      <c r="L163" s="2"/>
      <c r="N163" s="2"/>
      <c r="O163" s="155"/>
      <c r="P163" s="155"/>
      <c r="Q163" s="155"/>
      <c r="R163" s="155"/>
      <c r="S163" s="155"/>
      <c r="U163" s="1127" t="str">
        <f>U6</f>
        <v>Previous Fiscal</v>
      </c>
      <c r="V163" s="1149"/>
      <c r="W163" s="1149"/>
      <c r="X163" s="1149"/>
      <c r="Y163" s="1149"/>
      <c r="Z163" s="1149"/>
      <c r="AA163" s="1149"/>
      <c r="AB163" s="1149"/>
      <c r="AC163" s="1149"/>
      <c r="AD163" s="1149"/>
      <c r="AE163" s="1149"/>
      <c r="AF163" s="1149"/>
      <c r="AG163" s="1128"/>
      <c r="AI163" s="1127" t="str">
        <f>AI6</f>
        <v>Previous Fiscal</v>
      </c>
      <c r="AJ163" s="1149"/>
      <c r="AK163" s="1149"/>
      <c r="AL163" s="1149"/>
      <c r="AM163" s="1149"/>
      <c r="AN163" s="1149"/>
      <c r="AO163" s="1149"/>
      <c r="AP163" s="1149"/>
      <c r="AQ163" s="1149"/>
      <c r="AR163" s="1149"/>
      <c r="AS163" s="1149"/>
      <c r="AT163" s="1149"/>
      <c r="AU163" s="1128"/>
      <c r="AW163" s="1127" t="str">
        <f>AW6</f>
        <v>Previous Fiscal</v>
      </c>
      <c r="AX163" s="1149"/>
      <c r="AY163" s="1149"/>
      <c r="AZ163" s="1149"/>
      <c r="BA163" s="1149"/>
      <c r="BB163" s="1149"/>
      <c r="BC163" s="1149"/>
      <c r="BD163" s="1149"/>
      <c r="BE163" s="1149"/>
      <c r="BF163" s="1149"/>
      <c r="BG163" s="1149"/>
      <c r="BH163" s="1149"/>
      <c r="BI163" s="1128"/>
      <c r="BK163" s="1127" t="str">
        <f>BK6</f>
        <v>Previous Fiscal</v>
      </c>
      <c r="BL163" s="1149"/>
      <c r="BM163" s="1149"/>
      <c r="BN163" s="1149"/>
      <c r="BO163" s="1149"/>
      <c r="BP163" s="1149"/>
      <c r="BQ163" s="1149"/>
      <c r="BR163" s="1149"/>
      <c r="BS163" s="1149"/>
      <c r="BT163" s="1149"/>
      <c r="BU163" s="1149"/>
      <c r="BV163" s="1149"/>
      <c r="BW163" s="1128"/>
      <c r="BY163" s="1127" t="str">
        <f>BY6</f>
        <v>Previous Fiscal</v>
      </c>
      <c r="BZ163" s="1149"/>
      <c r="CA163" s="1149"/>
      <c r="CB163" s="1149"/>
      <c r="CC163" s="1149"/>
      <c r="CD163" s="1149"/>
      <c r="CE163" s="1149"/>
      <c r="CF163" s="1149"/>
      <c r="CG163" s="1149"/>
      <c r="CH163" s="1149"/>
      <c r="CI163" s="1149"/>
      <c r="CJ163" s="1149"/>
      <c r="CK163" s="1128"/>
      <c r="CM163" s="1127" t="str">
        <f>CM6</f>
        <v>Previous Fiscal</v>
      </c>
      <c r="CN163" s="1149"/>
      <c r="CO163" s="1149"/>
      <c r="CP163" s="1149"/>
      <c r="CQ163" s="1149"/>
      <c r="CR163" s="1149"/>
      <c r="CS163" s="1149"/>
      <c r="CT163" s="1149"/>
      <c r="CU163" s="1149"/>
      <c r="CV163" s="1149"/>
      <c r="CW163" s="1149"/>
      <c r="CX163" s="1149"/>
      <c r="CY163" s="1128"/>
      <c r="DA163" s="1127" t="str">
        <f>DA6</f>
        <v>Previous Fiscal</v>
      </c>
      <c r="DB163" s="1149"/>
      <c r="DC163" s="1149"/>
      <c r="DD163" s="1149"/>
      <c r="DE163" s="1149"/>
      <c r="DF163" s="1149"/>
      <c r="DG163" s="1149"/>
      <c r="DH163" s="1149"/>
      <c r="DI163" s="1149"/>
      <c r="DJ163" s="1149"/>
      <c r="DK163" s="1149"/>
      <c r="DL163" s="1149"/>
      <c r="DM163" s="1128"/>
      <c r="DO163" s="1127" t="str">
        <f>DO6</f>
        <v>Previous Fiscal</v>
      </c>
      <c r="DP163" s="1149"/>
      <c r="DQ163" s="1149"/>
      <c r="DR163" s="1149"/>
      <c r="DS163" s="1149"/>
      <c r="DT163" s="1149"/>
      <c r="DU163" s="1149"/>
      <c r="DV163" s="1149"/>
      <c r="DW163" s="1149"/>
      <c r="DX163" s="1149"/>
      <c r="DY163" s="1149"/>
      <c r="DZ163" s="1149"/>
      <c r="EA163" s="1128"/>
      <c r="EC163" s="1127" t="str">
        <f>EC6</f>
        <v>Current Fiscal</v>
      </c>
      <c r="ED163" s="1149"/>
      <c r="EE163" s="1149"/>
      <c r="EF163" s="1149"/>
      <c r="EG163" s="1149"/>
      <c r="EH163" s="1149"/>
      <c r="EI163" s="1149"/>
      <c r="EJ163" s="1149"/>
      <c r="EK163" s="1149"/>
      <c r="EL163" s="1149"/>
      <c r="EM163" s="1149"/>
      <c r="EN163" s="1149"/>
      <c r="EO163" s="1128"/>
      <c r="EQ163" s="1127" t="str">
        <f>EQ6</f>
        <v>Future Fiscal</v>
      </c>
      <c r="ER163" s="1149"/>
      <c r="ES163" s="1149"/>
      <c r="ET163" s="1149"/>
      <c r="EU163" s="1149"/>
      <c r="EV163" s="1149"/>
      <c r="EW163" s="1149"/>
      <c r="EX163" s="1149"/>
      <c r="EY163" s="1149"/>
      <c r="EZ163" s="1149"/>
      <c r="FA163" s="1149"/>
      <c r="FB163" s="1149"/>
      <c r="FC163" s="1128"/>
      <c r="FE163" s="1127" t="str">
        <f>FE6</f>
        <v>Future Fiscal</v>
      </c>
      <c r="FF163" s="1149"/>
      <c r="FG163" s="1149"/>
      <c r="FH163" s="1149"/>
      <c r="FI163" s="1149"/>
      <c r="FJ163" s="1149"/>
      <c r="FK163" s="1149"/>
      <c r="FL163" s="1149"/>
      <c r="FM163" s="1149"/>
      <c r="FN163" s="1149"/>
      <c r="FO163" s="1149"/>
      <c r="FP163" s="1149"/>
      <c r="FQ163" s="1128"/>
      <c r="FR163" s="2"/>
    </row>
    <row r="164" spans="2:175" ht="27.95">
      <c r="F164" s="1"/>
      <c r="G164"/>
      <c r="H164" s="17" t="s">
        <v>7</v>
      </c>
      <c r="I164" s="20" t="s">
        <v>396</v>
      </c>
      <c r="J164" s="20" t="s">
        <v>1598</v>
      </c>
      <c r="K164" s="20" t="s">
        <v>1574</v>
      </c>
      <c r="L164" s="2"/>
      <c r="M164" s="164" t="s">
        <v>1580</v>
      </c>
      <c r="N164" s="2"/>
      <c r="O164" s="20" t="s">
        <v>1581</v>
      </c>
      <c r="P164" s="20" t="s">
        <v>1582</v>
      </c>
      <c r="Q164" s="20" t="s">
        <v>1583</v>
      </c>
      <c r="R164" s="20" t="s">
        <v>1584</v>
      </c>
      <c r="S164" s="20" t="s">
        <v>1585</v>
      </c>
      <c r="U164" s="20" t="s">
        <v>1599</v>
      </c>
      <c r="V164" s="20" t="s">
        <v>1600</v>
      </c>
      <c r="W164" s="20" t="s">
        <v>1601</v>
      </c>
      <c r="X164" s="20" t="s">
        <v>1602</v>
      </c>
      <c r="Y164" s="20" t="s">
        <v>1603</v>
      </c>
      <c r="Z164" s="20" t="s">
        <v>1604</v>
      </c>
      <c r="AA164" s="20" t="s">
        <v>1605</v>
      </c>
      <c r="AB164" s="20" t="s">
        <v>1606</v>
      </c>
      <c r="AC164" s="20" t="s">
        <v>1607</v>
      </c>
      <c r="AD164" s="20" t="s">
        <v>1608</v>
      </c>
      <c r="AE164" s="20" t="s">
        <v>1609</v>
      </c>
      <c r="AF164" s="20" t="s">
        <v>1610</v>
      </c>
      <c r="AG164" s="20" t="str">
        <f>AG7</f>
        <v>2017-18</v>
      </c>
      <c r="AI164" s="20" t="s">
        <v>1599</v>
      </c>
      <c r="AJ164" s="20" t="s">
        <v>1600</v>
      </c>
      <c r="AK164" s="20" t="s">
        <v>1601</v>
      </c>
      <c r="AL164" s="20" t="s">
        <v>1602</v>
      </c>
      <c r="AM164" s="20" t="s">
        <v>1603</v>
      </c>
      <c r="AN164" s="20" t="s">
        <v>1604</v>
      </c>
      <c r="AO164" s="20" t="s">
        <v>1605</v>
      </c>
      <c r="AP164" s="20" t="s">
        <v>1606</v>
      </c>
      <c r="AQ164" s="20" t="s">
        <v>1607</v>
      </c>
      <c r="AR164" s="20" t="s">
        <v>1608</v>
      </c>
      <c r="AS164" s="20" t="s">
        <v>1609</v>
      </c>
      <c r="AT164" s="20" t="s">
        <v>1610</v>
      </c>
      <c r="AU164" s="20" t="str">
        <f>AU7</f>
        <v>2018-19</v>
      </c>
      <c r="AW164" s="20" t="s">
        <v>1599</v>
      </c>
      <c r="AX164" s="20" t="s">
        <v>1600</v>
      </c>
      <c r="AY164" s="20" t="s">
        <v>1601</v>
      </c>
      <c r="AZ164" s="20" t="s">
        <v>1602</v>
      </c>
      <c r="BA164" s="20" t="s">
        <v>1603</v>
      </c>
      <c r="BB164" s="20" t="s">
        <v>1604</v>
      </c>
      <c r="BC164" s="20" t="s">
        <v>1605</v>
      </c>
      <c r="BD164" s="20" t="s">
        <v>1606</v>
      </c>
      <c r="BE164" s="20" t="s">
        <v>1607</v>
      </c>
      <c r="BF164" s="20" t="s">
        <v>1608</v>
      </c>
      <c r="BG164" s="20" t="s">
        <v>1609</v>
      </c>
      <c r="BH164" s="20" t="s">
        <v>1610</v>
      </c>
      <c r="BI164" s="20" t="str">
        <f>BI7</f>
        <v>2019-20</v>
      </c>
      <c r="BK164" s="20" t="s">
        <v>1599</v>
      </c>
      <c r="BL164" s="20" t="s">
        <v>1600</v>
      </c>
      <c r="BM164" s="20" t="s">
        <v>1601</v>
      </c>
      <c r="BN164" s="20" t="s">
        <v>1602</v>
      </c>
      <c r="BO164" s="20" t="s">
        <v>1603</v>
      </c>
      <c r="BP164" s="20" t="s">
        <v>1604</v>
      </c>
      <c r="BQ164" s="20" t="s">
        <v>1605</v>
      </c>
      <c r="BR164" s="20" t="s">
        <v>1606</v>
      </c>
      <c r="BS164" s="20" t="s">
        <v>1607</v>
      </c>
      <c r="BT164" s="20" t="s">
        <v>1608</v>
      </c>
      <c r="BU164" s="20" t="s">
        <v>1609</v>
      </c>
      <c r="BV164" s="20" t="s">
        <v>1610</v>
      </c>
      <c r="BW164" s="20" t="str">
        <f>BW7</f>
        <v>2020-21</v>
      </c>
      <c r="BY164" s="20" t="s">
        <v>1599</v>
      </c>
      <c r="BZ164" s="20" t="s">
        <v>1600</v>
      </c>
      <c r="CA164" s="20" t="s">
        <v>1601</v>
      </c>
      <c r="CB164" s="20" t="s">
        <v>1602</v>
      </c>
      <c r="CC164" s="20" t="s">
        <v>1603</v>
      </c>
      <c r="CD164" s="20" t="s">
        <v>1604</v>
      </c>
      <c r="CE164" s="20" t="s">
        <v>1605</v>
      </c>
      <c r="CF164" s="20" t="s">
        <v>1606</v>
      </c>
      <c r="CG164" s="20" t="s">
        <v>1607</v>
      </c>
      <c r="CH164" s="20" t="s">
        <v>1608</v>
      </c>
      <c r="CI164" s="20" t="s">
        <v>1609</v>
      </c>
      <c r="CJ164" s="20" t="s">
        <v>1610</v>
      </c>
      <c r="CK164" s="20" t="str">
        <f>CK7</f>
        <v>2021-22</v>
      </c>
      <c r="CM164" s="20" t="s">
        <v>1599</v>
      </c>
      <c r="CN164" s="20" t="s">
        <v>1600</v>
      </c>
      <c r="CO164" s="20" t="s">
        <v>1601</v>
      </c>
      <c r="CP164" s="20" t="s">
        <v>1602</v>
      </c>
      <c r="CQ164" s="20" t="s">
        <v>1603</v>
      </c>
      <c r="CR164" s="20" t="s">
        <v>1604</v>
      </c>
      <c r="CS164" s="20" t="s">
        <v>1605</v>
      </c>
      <c r="CT164" s="20" t="s">
        <v>1606</v>
      </c>
      <c r="CU164" s="20" t="s">
        <v>1607</v>
      </c>
      <c r="CV164" s="20" t="s">
        <v>1608</v>
      </c>
      <c r="CW164" s="20" t="s">
        <v>1609</v>
      </c>
      <c r="CX164" s="20" t="s">
        <v>1610</v>
      </c>
      <c r="CY164" s="20" t="str">
        <f>CY7</f>
        <v>2022-23</v>
      </c>
      <c r="DA164" s="20" t="s">
        <v>1599</v>
      </c>
      <c r="DB164" s="20" t="s">
        <v>1600</v>
      </c>
      <c r="DC164" s="20" t="s">
        <v>1601</v>
      </c>
      <c r="DD164" s="20" t="s">
        <v>1602</v>
      </c>
      <c r="DE164" s="20" t="s">
        <v>1603</v>
      </c>
      <c r="DF164" s="20" t="s">
        <v>1604</v>
      </c>
      <c r="DG164" s="20" t="s">
        <v>1605</v>
      </c>
      <c r="DH164" s="20" t="s">
        <v>1606</v>
      </c>
      <c r="DI164" s="20" t="s">
        <v>1607</v>
      </c>
      <c r="DJ164" s="20" t="s">
        <v>1608</v>
      </c>
      <c r="DK164" s="20" t="s">
        <v>1609</v>
      </c>
      <c r="DL164" s="20" t="s">
        <v>1610</v>
      </c>
      <c r="DM164" s="20" t="str">
        <f>DM7</f>
        <v>2023-24</v>
      </c>
      <c r="DO164" s="20" t="s">
        <v>1599</v>
      </c>
      <c r="DP164" s="20" t="s">
        <v>1600</v>
      </c>
      <c r="DQ164" s="20" t="s">
        <v>1601</v>
      </c>
      <c r="DR164" s="20" t="s">
        <v>1602</v>
      </c>
      <c r="DS164" s="20" t="s">
        <v>1603</v>
      </c>
      <c r="DT164" s="20" t="s">
        <v>1604</v>
      </c>
      <c r="DU164" s="20" t="s">
        <v>1605</v>
      </c>
      <c r="DV164" s="20" t="s">
        <v>1606</v>
      </c>
      <c r="DW164" s="20" t="s">
        <v>1607</v>
      </c>
      <c r="DX164" s="20" t="s">
        <v>1608</v>
      </c>
      <c r="DY164" s="20" t="s">
        <v>1609</v>
      </c>
      <c r="DZ164" s="20" t="s">
        <v>1610</v>
      </c>
      <c r="EA164" s="20" t="str">
        <f>EA7</f>
        <v>2024-25</v>
      </c>
      <c r="EC164" s="20" t="s">
        <v>1599</v>
      </c>
      <c r="ED164" s="20" t="s">
        <v>1600</v>
      </c>
      <c r="EE164" s="20" t="s">
        <v>1601</v>
      </c>
      <c r="EF164" s="20" t="s">
        <v>1602</v>
      </c>
      <c r="EG164" s="20" t="s">
        <v>1603</v>
      </c>
      <c r="EH164" s="20" t="s">
        <v>1604</v>
      </c>
      <c r="EI164" s="20" t="s">
        <v>1605</v>
      </c>
      <c r="EJ164" s="20" t="s">
        <v>1606</v>
      </c>
      <c r="EK164" s="20" t="s">
        <v>1607</v>
      </c>
      <c r="EL164" s="20" t="s">
        <v>1608</v>
      </c>
      <c r="EM164" s="20" t="s">
        <v>1609</v>
      </c>
      <c r="EN164" s="20" t="s">
        <v>1610</v>
      </c>
      <c r="EO164" s="20" t="str">
        <f>EO7</f>
        <v>2025-26</v>
      </c>
      <c r="EQ164" s="20" t="s">
        <v>1599</v>
      </c>
      <c r="ER164" s="20" t="s">
        <v>1600</v>
      </c>
      <c r="ES164" s="20" t="s">
        <v>1601</v>
      </c>
      <c r="ET164" s="20" t="s">
        <v>1602</v>
      </c>
      <c r="EU164" s="20" t="s">
        <v>1603</v>
      </c>
      <c r="EV164" s="20" t="s">
        <v>1604</v>
      </c>
      <c r="EW164" s="20" t="s">
        <v>1605</v>
      </c>
      <c r="EX164" s="20" t="s">
        <v>1606</v>
      </c>
      <c r="EY164" s="20" t="s">
        <v>1607</v>
      </c>
      <c r="EZ164" s="20" t="s">
        <v>1608</v>
      </c>
      <c r="FA164" s="20" t="s">
        <v>1609</v>
      </c>
      <c r="FB164" s="20" t="s">
        <v>1610</v>
      </c>
      <c r="FC164" s="20" t="str">
        <f>FC7</f>
        <v>2026-27</v>
      </c>
      <c r="FE164" s="20" t="s">
        <v>1599</v>
      </c>
      <c r="FF164" s="20" t="s">
        <v>1600</v>
      </c>
      <c r="FG164" s="20" t="s">
        <v>1601</v>
      </c>
      <c r="FH164" s="20" t="s">
        <v>1602</v>
      </c>
      <c r="FI164" s="20" t="s">
        <v>1603</v>
      </c>
      <c r="FJ164" s="20" t="s">
        <v>1604</v>
      </c>
      <c r="FK164" s="20" t="s">
        <v>1605</v>
      </c>
      <c r="FL164" s="20" t="s">
        <v>1606</v>
      </c>
      <c r="FM164" s="20" t="s">
        <v>1607</v>
      </c>
      <c r="FN164" s="20" t="s">
        <v>1608</v>
      </c>
      <c r="FO164" s="20" t="s">
        <v>1609</v>
      </c>
      <c r="FP164" s="20" t="s">
        <v>1610</v>
      </c>
      <c r="FQ164" s="20" t="str">
        <f>FQ7</f>
        <v>2027-28</v>
      </c>
      <c r="FR164" s="2"/>
      <c r="FS164" s="164" t="s">
        <v>1611</v>
      </c>
    </row>
    <row r="165" spans="2:175">
      <c r="F165" s="1"/>
      <c r="G165"/>
      <c r="H165" s="76" t="s">
        <v>20</v>
      </c>
      <c r="I165" s="474">
        <f ca="1">SUMIF(EAC[Primary Category],H165,EAC[Estimate At Completion])</f>
        <v>3738384.7800000003</v>
      </c>
      <c r="J165" s="474">
        <f ca="1">SUMIF($C$8:$C$139,H165,J$8:J$139)</f>
        <v>3464562.7500000009</v>
      </c>
      <c r="K165" s="503">
        <f ca="1">I165-J165</f>
        <v>273822.02999999933</v>
      </c>
      <c r="L165" s="2"/>
      <c r="M165" s="504">
        <f ca="1">I165-FS165</f>
        <v>0</v>
      </c>
      <c r="N165" s="2"/>
      <c r="O165" s="504">
        <f ca="1">SUMIF($U$6:$FQ$6,"Previous Fiscal",AG165:FQ165)</f>
        <v>3343334.71</v>
      </c>
      <c r="P165" s="474">
        <f ca="1">SUMIF($C$8:$C$139,$H165,P$8:P$139)</f>
        <v>85.99</v>
      </c>
      <c r="Q165" s="474">
        <f ca="1">SUMIF($C$8:$C$139,$H165,Q$8:Q$139)</f>
        <v>251198.01</v>
      </c>
      <c r="R165" s="504">
        <f ca="1">SUMIF($U$6:$FQ$6,"Current Fiscal",AG165:FQ165)</f>
        <v>251283.99999999997</v>
      </c>
      <c r="S165" s="504">
        <f ca="1">SUMIF($U$6:$FQ$6,"Future Fiscal",AG165:FQ165)</f>
        <v>143766.07</v>
      </c>
      <c r="U165" s="474">
        <f ca="1">SUMIF($C$8:$C$139,$H165,U$8:U$139)</f>
        <v>0</v>
      </c>
      <c r="V165" s="474">
        <f t="shared" ref="V165:AF170" ca="1" si="385">SUMIF($C$8:$C$139,$H165,V$8:V$139)</f>
        <v>0</v>
      </c>
      <c r="W165" s="474">
        <f t="shared" ca="1" si="385"/>
        <v>0</v>
      </c>
      <c r="X165" s="474">
        <f t="shared" ca="1" si="385"/>
        <v>0</v>
      </c>
      <c r="Y165" s="474">
        <f t="shared" ca="1" si="385"/>
        <v>70549.600000000006</v>
      </c>
      <c r="Z165" s="474">
        <f t="shared" ca="1" si="385"/>
        <v>13692.26</v>
      </c>
      <c r="AA165" s="474">
        <f t="shared" ca="1" si="385"/>
        <v>14270.92</v>
      </c>
      <c r="AB165" s="474">
        <f t="shared" ca="1" si="385"/>
        <v>14601.48</v>
      </c>
      <c r="AC165" s="474">
        <f t="shared" ca="1" si="385"/>
        <v>15130.36</v>
      </c>
      <c r="AD165" s="474">
        <f t="shared" ca="1" si="385"/>
        <v>16327.18</v>
      </c>
      <c r="AE165" s="474">
        <f t="shared" ca="1" si="385"/>
        <v>13569.18</v>
      </c>
      <c r="AF165" s="474">
        <f t="shared" ca="1" si="385"/>
        <v>20776.41</v>
      </c>
      <c r="AG165" s="504">
        <f ca="1">SUM(U165:AF165)</f>
        <v>178917.38999999998</v>
      </c>
      <c r="AI165" s="474">
        <f ca="1">SUMIF($C$8:$C$139,$H165,AI$8:AI$139)</f>
        <v>0</v>
      </c>
      <c r="AJ165" s="474">
        <f t="shared" ref="AJ165:AT170" ca="1" si="386">SUMIF($C$8:$C$139,$H165,AJ$8:AJ$139)</f>
        <v>0</v>
      </c>
      <c r="AK165" s="474">
        <f t="shared" ca="1" si="386"/>
        <v>68749.25</v>
      </c>
      <c r="AL165" s="474">
        <f t="shared" ca="1" si="386"/>
        <v>18686.34</v>
      </c>
      <c r="AM165" s="474">
        <f t="shared" ca="1" si="386"/>
        <v>24758.05</v>
      </c>
      <c r="AN165" s="474">
        <f t="shared" ca="1" si="386"/>
        <v>21378.97</v>
      </c>
      <c r="AO165" s="474">
        <f t="shared" ca="1" si="386"/>
        <v>24704.03</v>
      </c>
      <c r="AP165" s="474">
        <f t="shared" ca="1" si="386"/>
        <v>23424.46</v>
      </c>
      <c r="AQ165" s="474">
        <f t="shared" ca="1" si="386"/>
        <v>22471.37</v>
      </c>
      <c r="AR165" s="474">
        <f t="shared" ca="1" si="386"/>
        <v>26487.82</v>
      </c>
      <c r="AS165" s="474">
        <f t="shared" ca="1" si="386"/>
        <v>22896.28</v>
      </c>
      <c r="AT165" s="474">
        <f t="shared" ca="1" si="386"/>
        <v>23060.5</v>
      </c>
      <c r="AU165" s="474">
        <f ca="1">SUM(AI165:AT165)</f>
        <v>276617.06999999995</v>
      </c>
      <c r="AW165" s="474">
        <f ca="1">SUMIF($C$8:$C$139,$H165,AW$8:AW$139)</f>
        <v>34348.850000000006</v>
      </c>
      <c r="AX165" s="474">
        <f t="shared" ref="AX165:BH170" ca="1" si="387">SUMIF($C$8:$C$139,$H165,AX$8:AX$139)</f>
        <v>8679.6200000000008</v>
      </c>
      <c r="AY165" s="474">
        <f t="shared" ca="1" si="387"/>
        <v>63999.47</v>
      </c>
      <c r="AZ165" s="474">
        <f t="shared" ca="1" si="387"/>
        <v>34269.4</v>
      </c>
      <c r="BA165" s="474">
        <f t="shared" ca="1" si="387"/>
        <v>31294.74</v>
      </c>
      <c r="BB165" s="474">
        <f t="shared" ca="1" si="387"/>
        <v>28568.84</v>
      </c>
      <c r="BC165" s="474">
        <f t="shared" ca="1" si="387"/>
        <v>31607.17</v>
      </c>
      <c r="BD165" s="474">
        <f t="shared" ca="1" si="387"/>
        <v>26578.43</v>
      </c>
      <c r="BE165" s="474">
        <f t="shared" ca="1" si="387"/>
        <v>52665.55</v>
      </c>
      <c r="BF165" s="474">
        <f t="shared" ca="1" si="387"/>
        <v>38174.61</v>
      </c>
      <c r="BG165" s="474">
        <f t="shared" ca="1" si="387"/>
        <v>31976.48</v>
      </c>
      <c r="BH165" s="474">
        <f t="shared" ca="1" si="387"/>
        <v>37710</v>
      </c>
      <c r="BI165" s="504">
        <f ca="1">SUM(AW165:BH165)</f>
        <v>419873.15999999992</v>
      </c>
      <c r="BK165" s="474">
        <f ca="1">SUMIF($C$8:$C$139,$H165,BK$8:BK$139)</f>
        <v>32009.22</v>
      </c>
      <c r="BL165" s="474">
        <f t="shared" ref="BL165:BV170" ca="1" si="388">SUMIF($C$8:$C$139,$H165,BL$8:BL$139)</f>
        <v>30031.55</v>
      </c>
      <c r="BM165" s="474">
        <f t="shared" ca="1" si="388"/>
        <v>31822.99</v>
      </c>
      <c r="BN165" s="474">
        <f t="shared" ca="1" si="388"/>
        <v>31472.240000000002</v>
      </c>
      <c r="BO165" s="474">
        <f t="shared" ca="1" si="388"/>
        <v>28122.240000000002</v>
      </c>
      <c r="BP165" s="474">
        <f t="shared" ca="1" si="388"/>
        <v>30634.93</v>
      </c>
      <c r="BQ165" s="474">
        <f t="shared" ca="1" si="388"/>
        <v>30189.730000000003</v>
      </c>
      <c r="BR165" s="474">
        <f t="shared" ca="1" si="388"/>
        <v>28675.38</v>
      </c>
      <c r="BS165" s="474">
        <f t="shared" ca="1" si="388"/>
        <v>29752.560000000001</v>
      </c>
      <c r="BT165" s="474">
        <f t="shared" ca="1" si="388"/>
        <v>31273.360000000001</v>
      </c>
      <c r="BU165" s="474">
        <f t="shared" ca="1" si="388"/>
        <v>24903.73</v>
      </c>
      <c r="BV165" s="474">
        <f t="shared" ca="1" si="388"/>
        <v>26299.69</v>
      </c>
      <c r="BW165" s="504">
        <f ca="1">SUM(BK165:BV165)</f>
        <v>355187.62</v>
      </c>
      <c r="BY165" s="474">
        <f ca="1">SUMIF($C$8:$C$139,$H165,BY$8:BY$139)</f>
        <v>0</v>
      </c>
      <c r="BZ165" s="474">
        <f t="shared" ref="BZ165:CJ170" ca="1" si="389">SUMIF($C$8:$C$139,$H165,BZ$8:BZ$139)</f>
        <v>78221.649999999994</v>
      </c>
      <c r="CA165" s="474">
        <f t="shared" ca="1" si="389"/>
        <v>39394.47</v>
      </c>
      <c r="CB165" s="474">
        <f t="shared" ca="1" si="389"/>
        <v>46997.86</v>
      </c>
      <c r="CC165" s="474">
        <f t="shared" ca="1" si="389"/>
        <v>39432.050000000003</v>
      </c>
      <c r="CD165" s="474">
        <f t="shared" ca="1" si="389"/>
        <v>36325.57</v>
      </c>
      <c r="CE165" s="474">
        <f t="shared" ca="1" si="389"/>
        <v>46975.82</v>
      </c>
      <c r="CF165" s="474">
        <f t="shared" ca="1" si="389"/>
        <v>46532.39</v>
      </c>
      <c r="CG165" s="474">
        <f t="shared" ca="1" si="389"/>
        <v>47588.9</v>
      </c>
      <c r="CH165" s="474">
        <f t="shared" ca="1" si="389"/>
        <v>44906.96</v>
      </c>
      <c r="CI165" s="474">
        <f t="shared" ca="1" si="389"/>
        <v>44351.13</v>
      </c>
      <c r="CJ165" s="474">
        <f t="shared" ca="1" si="389"/>
        <v>49939.079999999994</v>
      </c>
      <c r="CK165" s="504">
        <f ca="1">SUM(BY165:CJ165)</f>
        <v>520665.88000000006</v>
      </c>
      <c r="CM165" s="474">
        <f ca="1">SUMIF($C$8:$C$139,$H165,CM$8:CM$139)</f>
        <v>0</v>
      </c>
      <c r="CN165" s="474">
        <f t="shared" ref="CN165:CX170" ca="1" si="390">SUMIF($C$8:$C$139,$H165,CN$8:CN$139)</f>
        <v>116234.18</v>
      </c>
      <c r="CO165" s="474">
        <f t="shared" ca="1" si="390"/>
        <v>53232.88</v>
      </c>
      <c r="CP165" s="474">
        <f t="shared" ca="1" si="390"/>
        <v>54810.87</v>
      </c>
      <c r="CQ165" s="474">
        <f t="shared" ca="1" si="390"/>
        <v>60429.08</v>
      </c>
      <c r="CR165" s="474">
        <f t="shared" ca="1" si="390"/>
        <v>34972.85</v>
      </c>
      <c r="CS165" s="474">
        <f t="shared" ca="1" si="390"/>
        <v>57359.03</v>
      </c>
      <c r="CT165" s="474">
        <f t="shared" ca="1" si="390"/>
        <v>59935.08</v>
      </c>
      <c r="CU165" s="474">
        <f t="shared" ca="1" si="390"/>
        <v>61288.19</v>
      </c>
      <c r="CV165" s="474">
        <f t="shared" ca="1" si="390"/>
        <v>64950.27</v>
      </c>
      <c r="CW165" s="474">
        <f t="shared" ca="1" si="390"/>
        <v>61954.98</v>
      </c>
      <c r="CX165" s="474">
        <f t="shared" ca="1" si="390"/>
        <v>68105.040000000008</v>
      </c>
      <c r="CY165" s="504">
        <f ca="1">SUM(CM165:CX165)</f>
        <v>693272.45000000007</v>
      </c>
      <c r="DA165" s="474">
        <f ca="1">SUMIF($C$8:$C$139,$H165,DA$8:DA$139)</f>
        <v>165.39</v>
      </c>
      <c r="DB165" s="474">
        <f t="shared" ref="DB165:DL170" ca="1" si="391">SUMIF($C$8:$C$139,$H165,DB$8:DB$139)</f>
        <v>74196.740000000005</v>
      </c>
      <c r="DC165" s="474">
        <f t="shared" ca="1" si="391"/>
        <v>37785.21</v>
      </c>
      <c r="DD165" s="474">
        <f t="shared" ca="1" si="391"/>
        <v>34201.870000000003</v>
      </c>
      <c r="DE165" s="474">
        <f t="shared" ca="1" si="391"/>
        <v>32831.51</v>
      </c>
      <c r="DF165" s="474">
        <f t="shared" ca="1" si="391"/>
        <v>30363.379999999997</v>
      </c>
      <c r="DG165" s="474">
        <f t="shared" ca="1" si="391"/>
        <v>32707.77</v>
      </c>
      <c r="DH165" s="474">
        <f t="shared" ca="1" si="391"/>
        <v>35021.21</v>
      </c>
      <c r="DI165" s="474">
        <f t="shared" ca="1" si="391"/>
        <v>32398.77</v>
      </c>
      <c r="DJ165" s="474">
        <f t="shared" ca="1" si="391"/>
        <v>37837.660000000003</v>
      </c>
      <c r="DK165" s="474">
        <f t="shared" ca="1" si="391"/>
        <v>35284.89</v>
      </c>
      <c r="DL165" s="474">
        <f t="shared" ca="1" si="391"/>
        <v>39851.030000000006</v>
      </c>
      <c r="DM165" s="504">
        <f ca="1">SUM(DA165:DL165)</f>
        <v>422645.43000000005</v>
      </c>
      <c r="DO165" s="474">
        <f ca="1">SUMIF($C$8:$C$139,$H165,DO$8:DO$139)</f>
        <v>66.52</v>
      </c>
      <c r="DP165" s="474">
        <f t="shared" ref="DP165:DZ170" ca="1" si="392">SUMIF($C$8:$C$139,$H165,DP$8:DP$139)</f>
        <v>5595.82</v>
      </c>
      <c r="DQ165" s="474">
        <f t="shared" ca="1" si="392"/>
        <v>141260.82999999999</v>
      </c>
      <c r="DR165" s="474">
        <f t="shared" ca="1" si="392"/>
        <v>50482.78</v>
      </c>
      <c r="DS165" s="474">
        <f t="shared" ca="1" si="392"/>
        <v>43559.76</v>
      </c>
      <c r="DT165" s="474">
        <f t="shared" ca="1" si="392"/>
        <v>40785.730000000003</v>
      </c>
      <c r="DU165" s="474">
        <f t="shared" ca="1" si="392"/>
        <v>44192.46</v>
      </c>
      <c r="DV165" s="474">
        <f t="shared" ca="1" si="392"/>
        <v>35170.31</v>
      </c>
      <c r="DW165" s="474">
        <f t="shared" ca="1" si="392"/>
        <v>37314.99</v>
      </c>
      <c r="DX165" s="474">
        <f t="shared" ca="1" si="392"/>
        <v>-7442.52</v>
      </c>
      <c r="DY165" s="474">
        <f t="shared" ca="1" si="392"/>
        <v>27133.38</v>
      </c>
      <c r="DZ165" s="474">
        <f t="shared" ca="1" si="392"/>
        <v>58035.65</v>
      </c>
      <c r="EA165" s="504">
        <f ca="1">SUM(DO165:DZ165)</f>
        <v>476155.71</v>
      </c>
      <c r="EC165" s="474">
        <f ca="1">SUMIF($C$8:$C$139,$H165,EC$8:EC$139)</f>
        <v>85.99</v>
      </c>
      <c r="ED165" s="474">
        <f t="shared" ref="ED165:EN170" ca="1" si="393">SUMIF($C$8:$C$139,$H165,ED$8:ED$139)</f>
        <v>147142.04999999999</v>
      </c>
      <c r="EE165" s="474">
        <f t="shared" ca="1" si="393"/>
        <v>26000</v>
      </c>
      <c r="EF165" s="474">
        <f t="shared" ca="1" si="393"/>
        <v>26000</v>
      </c>
      <c r="EG165" s="474">
        <f t="shared" ca="1" si="393"/>
        <v>26000</v>
      </c>
      <c r="EH165" s="474">
        <f t="shared" ca="1" si="393"/>
        <v>26000</v>
      </c>
      <c r="EI165" s="474">
        <f t="shared" ca="1" si="393"/>
        <v>0</v>
      </c>
      <c r="EJ165" s="474">
        <f t="shared" ca="1" si="393"/>
        <v>0</v>
      </c>
      <c r="EK165" s="474">
        <f t="shared" ca="1" si="393"/>
        <v>0</v>
      </c>
      <c r="EL165" s="474">
        <f t="shared" ca="1" si="393"/>
        <v>0</v>
      </c>
      <c r="EM165" s="474">
        <f t="shared" ca="1" si="393"/>
        <v>0</v>
      </c>
      <c r="EN165" s="474">
        <f t="shared" ca="1" si="393"/>
        <v>55.96</v>
      </c>
      <c r="EO165" s="504">
        <f ca="1">SUM(EC165:EN165)</f>
        <v>251283.99999999997</v>
      </c>
      <c r="EQ165" s="474">
        <f ca="1">SUMIF($C$8:$C$139,$H165,EQ$8:EQ$139)</f>
        <v>14111.53</v>
      </c>
      <c r="ER165" s="474">
        <f t="shared" ref="ER165:FB170" ca="1" si="394">SUMIF($C$8:$C$139,$H165,ER$8:ER$139)</f>
        <v>0</v>
      </c>
      <c r="ES165" s="474">
        <f t="shared" ca="1" si="394"/>
        <v>0</v>
      </c>
      <c r="ET165" s="474">
        <f t="shared" ca="1" si="394"/>
        <v>0</v>
      </c>
      <c r="EU165" s="474">
        <f t="shared" ca="1" si="394"/>
        <v>0</v>
      </c>
      <c r="EV165" s="474">
        <f t="shared" ca="1" si="394"/>
        <v>0</v>
      </c>
      <c r="EW165" s="474">
        <f t="shared" ca="1" si="394"/>
        <v>0</v>
      </c>
      <c r="EX165" s="474">
        <f t="shared" ca="1" si="394"/>
        <v>0</v>
      </c>
      <c r="EY165" s="474">
        <f t="shared" ca="1" si="394"/>
        <v>0</v>
      </c>
      <c r="EZ165" s="474">
        <f t="shared" ca="1" si="394"/>
        <v>0</v>
      </c>
      <c r="FA165" s="474">
        <f t="shared" ca="1" si="394"/>
        <v>0</v>
      </c>
      <c r="FB165" s="474">
        <f t="shared" ca="1" si="394"/>
        <v>129654.54</v>
      </c>
      <c r="FC165" s="504">
        <f ca="1">SUM(EQ165:FB165)</f>
        <v>143766.07</v>
      </c>
      <c r="FE165" s="474">
        <f ca="1">SUMIF($C$8:$C$139,$H165,FE$8:FE$139)</f>
        <v>0</v>
      </c>
      <c r="FF165" s="474">
        <f t="shared" ref="FF165:FP170" ca="1" si="395">SUMIF($C$8:$C$139,$H165,FF$8:FF$139)</f>
        <v>0</v>
      </c>
      <c r="FG165" s="474">
        <f t="shared" ca="1" si="395"/>
        <v>0</v>
      </c>
      <c r="FH165" s="474">
        <f t="shared" ca="1" si="395"/>
        <v>0</v>
      </c>
      <c r="FI165" s="474">
        <f t="shared" ca="1" si="395"/>
        <v>0</v>
      </c>
      <c r="FJ165" s="474">
        <f t="shared" ca="1" si="395"/>
        <v>0</v>
      </c>
      <c r="FK165" s="474">
        <f t="shared" ca="1" si="395"/>
        <v>0</v>
      </c>
      <c r="FL165" s="474">
        <f t="shared" ca="1" si="395"/>
        <v>0</v>
      </c>
      <c r="FM165" s="474">
        <f t="shared" ca="1" si="395"/>
        <v>0</v>
      </c>
      <c r="FN165" s="474">
        <f t="shared" ca="1" si="395"/>
        <v>0</v>
      </c>
      <c r="FO165" s="474">
        <f t="shared" ca="1" si="395"/>
        <v>0</v>
      </c>
      <c r="FP165" s="474">
        <f t="shared" ca="1" si="395"/>
        <v>0</v>
      </c>
      <c r="FQ165" s="504">
        <f ca="1">SUM(FE165:FP165)</f>
        <v>0</v>
      </c>
      <c r="FS165" s="504">
        <f ca="1">AG165+AU165+BI165+BW165+CK165+CY165+DM165+EA165+EO165+FC165+FQ165</f>
        <v>3738384.78</v>
      </c>
    </row>
    <row r="166" spans="2:175">
      <c r="F166" s="1"/>
      <c r="G166"/>
      <c r="H166" s="76" t="s">
        <v>25</v>
      </c>
      <c r="I166" s="474">
        <f ca="1">SUMIF(EAC[Primary Category],H166,EAC[Estimate At Completion])</f>
        <v>14545842.18</v>
      </c>
      <c r="J166" s="474">
        <f t="shared" ref="J166:J170" ca="1" si="396">SUMIF($C$8:$C$139,H166,J$8:J$139)</f>
        <v>11296386.509999992</v>
      </c>
      <c r="K166" s="503">
        <f t="shared" ref="K166:K170" ca="1" si="397">I166-J166</f>
        <v>3249455.6700000074</v>
      </c>
      <c r="L166" s="2"/>
      <c r="M166" s="504">
        <f t="shared" ref="M166:M170" ca="1" si="398">I166-FS166</f>
        <v>0</v>
      </c>
      <c r="N166" s="2"/>
      <c r="O166" s="504">
        <f t="shared" ref="O166:O169" ca="1" si="399">SUMIF($U$6:$FQ$6,"Previous Fiscal",AG166:FQ166)</f>
        <v>11148779.110000001</v>
      </c>
      <c r="P166" s="474">
        <f t="shared" ref="P166:Q170" ca="1" si="400">SUMIF($C$8:$C$139,$H166,P$8:P$139)</f>
        <v>62321.75</v>
      </c>
      <c r="Q166" s="474">
        <f t="shared" ca="1" si="400"/>
        <v>145182.54999999999</v>
      </c>
      <c r="R166" s="504">
        <f t="shared" ref="R166:R170" ca="1" si="401">SUMIF($U$6:$FQ$6,"Current Fiscal",AG166:FQ166)</f>
        <v>207504.3</v>
      </c>
      <c r="S166" s="504">
        <f t="shared" ref="S166:S170" ca="1" si="402">SUMIF($U$6:$FQ$6,"Future Fiscal",AG166:FQ166)</f>
        <v>3189558.77</v>
      </c>
      <c r="U166" s="474">
        <f t="shared" ref="U166:U170" ca="1" si="403">SUMIF($C$8:$C$139,$H166,U$8:U$139)</f>
        <v>0</v>
      </c>
      <c r="V166" s="474">
        <f t="shared" ca="1" si="385"/>
        <v>0</v>
      </c>
      <c r="W166" s="474">
        <f t="shared" ca="1" si="385"/>
        <v>0</v>
      </c>
      <c r="X166" s="474">
        <f t="shared" ca="1" si="385"/>
        <v>0</v>
      </c>
      <c r="Y166" s="474">
        <f t="shared" ca="1" si="385"/>
        <v>0</v>
      </c>
      <c r="Z166" s="474">
        <f t="shared" ca="1" si="385"/>
        <v>31767.73</v>
      </c>
      <c r="AA166" s="474">
        <f t="shared" ca="1" si="385"/>
        <v>50000</v>
      </c>
      <c r="AB166" s="474">
        <f t="shared" ca="1" si="385"/>
        <v>55690</v>
      </c>
      <c r="AC166" s="474">
        <f t="shared" ca="1" si="385"/>
        <v>98624</v>
      </c>
      <c r="AD166" s="474">
        <f t="shared" ca="1" si="385"/>
        <v>30879</v>
      </c>
      <c r="AE166" s="474">
        <f t="shared" ca="1" si="385"/>
        <v>20057</v>
      </c>
      <c r="AF166" s="474">
        <f t="shared" ca="1" si="385"/>
        <v>20050</v>
      </c>
      <c r="AG166" s="504">
        <f t="shared" ref="AG166:AG170" ca="1" si="404">SUM(U166:AF166)</f>
        <v>307067.73</v>
      </c>
      <c r="AI166" s="474">
        <f t="shared" ref="AI166:AI170" ca="1" si="405">SUMIF($C$8:$C$139,$H166,AI$8:AI$139)</f>
        <v>0</v>
      </c>
      <c r="AJ166" s="474">
        <f t="shared" ca="1" si="386"/>
        <v>1860</v>
      </c>
      <c r="AK166" s="474">
        <f t="shared" ca="1" si="386"/>
        <v>407944.95</v>
      </c>
      <c r="AL166" s="474">
        <f t="shared" ca="1" si="386"/>
        <v>406894.95</v>
      </c>
      <c r="AM166" s="474">
        <f t="shared" ca="1" si="386"/>
        <v>358447.1</v>
      </c>
      <c r="AN166" s="474">
        <f t="shared" ca="1" si="386"/>
        <v>320143</v>
      </c>
      <c r="AO166" s="474">
        <f t="shared" ca="1" si="386"/>
        <v>320666</v>
      </c>
      <c r="AP166" s="474">
        <f t="shared" ca="1" si="386"/>
        <v>234447.25</v>
      </c>
      <c r="AQ166" s="474">
        <f t="shared" ca="1" si="386"/>
        <v>235011.25</v>
      </c>
      <c r="AR166" s="474">
        <f t="shared" ca="1" si="386"/>
        <v>239510.25</v>
      </c>
      <c r="AS166" s="474">
        <f t="shared" ca="1" si="386"/>
        <v>175584.75</v>
      </c>
      <c r="AT166" s="474">
        <f t="shared" ca="1" si="386"/>
        <v>571487.24</v>
      </c>
      <c r="AU166" s="474">
        <f t="shared" ref="AU166:AU170" ca="1" si="406">SUM(AI166:AT166)</f>
        <v>3271996.74</v>
      </c>
      <c r="AW166" s="474">
        <f t="shared" ref="AW166:AW170" ca="1" si="407">SUMIF($C$8:$C$139,$H166,AW$8:AW$139)</f>
        <v>0</v>
      </c>
      <c r="AX166" s="474">
        <f t="shared" ca="1" si="387"/>
        <v>467899.64</v>
      </c>
      <c r="AY166" s="474">
        <f t="shared" ca="1" si="387"/>
        <v>315011.74</v>
      </c>
      <c r="AZ166" s="474">
        <f t="shared" ca="1" si="387"/>
        <v>311410.17</v>
      </c>
      <c r="BA166" s="474">
        <f t="shared" ca="1" si="387"/>
        <v>385910.39</v>
      </c>
      <c r="BB166" s="474">
        <f t="shared" ca="1" si="387"/>
        <v>431945.77</v>
      </c>
      <c r="BC166" s="474">
        <f t="shared" ca="1" si="387"/>
        <v>324129.71999999997</v>
      </c>
      <c r="BD166" s="474">
        <f t="shared" ca="1" si="387"/>
        <v>211849.63</v>
      </c>
      <c r="BE166" s="474">
        <f t="shared" ca="1" si="387"/>
        <v>179386.8</v>
      </c>
      <c r="BF166" s="474">
        <f t="shared" ca="1" si="387"/>
        <v>120713.03</v>
      </c>
      <c r="BG166" s="474">
        <f t="shared" ca="1" si="387"/>
        <v>22687.35</v>
      </c>
      <c r="BH166" s="474">
        <f t="shared" ca="1" si="387"/>
        <v>75410.490000000005</v>
      </c>
      <c r="BI166" s="504">
        <f t="shared" ref="BI166:BI170" ca="1" si="408">SUM(AW166:BH166)</f>
        <v>2846354.7299999995</v>
      </c>
      <c r="BK166" s="474">
        <f t="shared" ref="BK166:BK170" ca="1" si="409">SUMIF($C$8:$C$139,$H166,BK$8:BK$139)</f>
        <v>0</v>
      </c>
      <c r="BL166" s="474">
        <f t="shared" ca="1" si="388"/>
        <v>50594.22</v>
      </c>
      <c r="BM166" s="474">
        <f t="shared" ca="1" si="388"/>
        <v>116071.71</v>
      </c>
      <c r="BN166" s="474">
        <f t="shared" ca="1" si="388"/>
        <v>127881.27</v>
      </c>
      <c r="BO166" s="474">
        <f t="shared" ca="1" si="388"/>
        <v>207475.57</v>
      </c>
      <c r="BP166" s="474">
        <f t="shared" ca="1" si="388"/>
        <v>51225.729999999996</v>
      </c>
      <c r="BQ166" s="474">
        <f t="shared" ca="1" si="388"/>
        <v>42952.04</v>
      </c>
      <c r="BR166" s="474">
        <f t="shared" ca="1" si="388"/>
        <v>58709.79</v>
      </c>
      <c r="BS166" s="474">
        <f t="shared" ca="1" si="388"/>
        <v>54323.54</v>
      </c>
      <c r="BT166" s="474">
        <f t="shared" ca="1" si="388"/>
        <v>46849.56</v>
      </c>
      <c r="BU166" s="474">
        <f t="shared" ca="1" si="388"/>
        <v>71462.540000000008</v>
      </c>
      <c r="BV166" s="474">
        <f t="shared" ca="1" si="388"/>
        <v>123941.13</v>
      </c>
      <c r="BW166" s="504">
        <f t="shared" ref="BW166:BW170" ca="1" si="410">SUM(BK166:BV166)</f>
        <v>951487.10000000021</v>
      </c>
      <c r="BY166" s="474">
        <f t="shared" ref="BY166:BY170" ca="1" si="411">SUMIF($C$8:$C$139,$H166,BY$8:BY$139)</f>
        <v>4487.5</v>
      </c>
      <c r="BZ166" s="474">
        <f t="shared" ca="1" si="389"/>
        <v>107304.38</v>
      </c>
      <c r="CA166" s="474">
        <f t="shared" ca="1" si="389"/>
        <v>126559.06</v>
      </c>
      <c r="CB166" s="474">
        <f t="shared" ca="1" si="389"/>
        <v>123056.54</v>
      </c>
      <c r="CC166" s="474">
        <f t="shared" ca="1" si="389"/>
        <v>82887.23</v>
      </c>
      <c r="CD166" s="474">
        <f t="shared" ca="1" si="389"/>
        <v>138310.59</v>
      </c>
      <c r="CE166" s="474">
        <f t="shared" ca="1" si="389"/>
        <v>74383.59</v>
      </c>
      <c r="CF166" s="474">
        <f t="shared" ca="1" si="389"/>
        <v>78704.89</v>
      </c>
      <c r="CG166" s="474">
        <f t="shared" ca="1" si="389"/>
        <v>59415.89</v>
      </c>
      <c r="CH166" s="474">
        <f t="shared" ca="1" si="389"/>
        <v>107460.77</v>
      </c>
      <c r="CI166" s="474">
        <f t="shared" ca="1" si="389"/>
        <v>107934.73</v>
      </c>
      <c r="CJ166" s="474">
        <f t="shared" ca="1" si="389"/>
        <v>480723.77999999997</v>
      </c>
      <c r="CK166" s="504">
        <f t="shared" ref="CK166:CK170" ca="1" si="412">SUM(BY166:CJ166)</f>
        <v>1491228.95</v>
      </c>
      <c r="CM166" s="474">
        <f t="shared" ref="CM166:CM170" ca="1" si="413">SUMIF($C$8:$C$139,$H166,CM$8:CM$139)</f>
        <v>2764</v>
      </c>
      <c r="CN166" s="474">
        <f t="shared" ca="1" si="390"/>
        <v>84303.64</v>
      </c>
      <c r="CO166" s="474">
        <f t="shared" ca="1" si="390"/>
        <v>84804.24</v>
      </c>
      <c r="CP166" s="474">
        <f t="shared" ca="1" si="390"/>
        <v>85125.94</v>
      </c>
      <c r="CQ166" s="474">
        <f t="shared" ca="1" si="390"/>
        <v>60804.19</v>
      </c>
      <c r="CR166" s="474">
        <f t="shared" ca="1" si="390"/>
        <v>67267.14</v>
      </c>
      <c r="CS166" s="474">
        <f t="shared" ca="1" si="390"/>
        <v>142630.19</v>
      </c>
      <c r="CT166" s="474">
        <f t="shared" ca="1" si="390"/>
        <v>64563.23</v>
      </c>
      <c r="CU166" s="474">
        <f t="shared" ca="1" si="390"/>
        <v>78413.56</v>
      </c>
      <c r="CV166" s="474">
        <f t="shared" ca="1" si="390"/>
        <v>70838.84</v>
      </c>
      <c r="CW166" s="474">
        <f t="shared" ca="1" si="390"/>
        <v>50814.270000000004</v>
      </c>
      <c r="CX166" s="474">
        <f t="shared" ca="1" si="390"/>
        <v>87592.489999999991</v>
      </c>
      <c r="CY166" s="504">
        <f t="shared" ref="CY166:CY170" ca="1" si="414">SUM(CM166:CX166)</f>
        <v>879921.7300000001</v>
      </c>
      <c r="DA166" s="474">
        <f t="shared" ref="DA166:DA170" ca="1" si="415">SUMIF($C$8:$C$139,$H166,DA$8:DA$139)</f>
        <v>1645</v>
      </c>
      <c r="DB166" s="474">
        <f t="shared" ca="1" si="391"/>
        <v>66227.209999999992</v>
      </c>
      <c r="DC166" s="474">
        <f t="shared" ca="1" si="391"/>
        <v>104830.49</v>
      </c>
      <c r="DD166" s="474">
        <f t="shared" ca="1" si="391"/>
        <v>91165.02</v>
      </c>
      <c r="DE166" s="474">
        <f t="shared" ca="1" si="391"/>
        <v>47656.36</v>
      </c>
      <c r="DF166" s="474">
        <f t="shared" ca="1" si="391"/>
        <v>44606.869999999995</v>
      </c>
      <c r="DG166" s="474">
        <f t="shared" ca="1" si="391"/>
        <v>58776.3</v>
      </c>
      <c r="DH166" s="474">
        <f t="shared" ca="1" si="391"/>
        <v>60412.97</v>
      </c>
      <c r="DI166" s="474">
        <f t="shared" ca="1" si="391"/>
        <v>86336.709999999992</v>
      </c>
      <c r="DJ166" s="474">
        <f t="shared" ca="1" si="391"/>
        <v>49620.36</v>
      </c>
      <c r="DK166" s="474">
        <f t="shared" ca="1" si="391"/>
        <v>77806.14</v>
      </c>
      <c r="DL166" s="474">
        <f t="shared" ca="1" si="391"/>
        <v>96641.63</v>
      </c>
      <c r="DM166" s="504">
        <f t="shared" ref="DM166:DM170" ca="1" si="416">SUM(DA166:DL166)</f>
        <v>785725.05999999994</v>
      </c>
      <c r="DO166" s="474">
        <f t="shared" ref="DO166:DO170" ca="1" si="417">SUMIF($C$8:$C$139,$H166,DO$8:DO$139)</f>
        <v>0</v>
      </c>
      <c r="DP166" s="474">
        <f t="shared" ca="1" si="392"/>
        <v>42948.439999999995</v>
      </c>
      <c r="DQ166" s="474">
        <f t="shared" ca="1" si="392"/>
        <v>13250.39</v>
      </c>
      <c r="DR166" s="474">
        <f t="shared" ca="1" si="392"/>
        <v>5873.76</v>
      </c>
      <c r="DS166" s="474">
        <f t="shared" ca="1" si="392"/>
        <v>38828.6</v>
      </c>
      <c r="DT166" s="474">
        <f t="shared" ca="1" si="392"/>
        <v>8407</v>
      </c>
      <c r="DU166" s="474">
        <f t="shared" ca="1" si="392"/>
        <v>38976.25</v>
      </c>
      <c r="DV166" s="474">
        <f t="shared" ca="1" si="392"/>
        <v>26223.5</v>
      </c>
      <c r="DW166" s="474">
        <f t="shared" ca="1" si="392"/>
        <v>11967</v>
      </c>
      <c r="DX166" s="474">
        <f t="shared" ca="1" si="392"/>
        <v>19790.5</v>
      </c>
      <c r="DY166" s="474">
        <f t="shared" ca="1" si="392"/>
        <v>95464.99</v>
      </c>
      <c r="DZ166" s="474">
        <f t="shared" ca="1" si="392"/>
        <v>313266.64</v>
      </c>
      <c r="EA166" s="504">
        <f t="shared" ref="EA166:EA170" ca="1" si="418">SUM(DO166:DZ166)</f>
        <v>614997.07000000007</v>
      </c>
      <c r="EC166" s="474">
        <f t="shared" ref="EC166:EC170" ca="1" si="419">SUMIF($C$8:$C$139,$H166,EC$8:EC$139)</f>
        <v>62321.75</v>
      </c>
      <c r="ED166" s="474">
        <f t="shared" ca="1" si="393"/>
        <v>15766.5</v>
      </c>
      <c r="EE166" s="474">
        <f t="shared" ca="1" si="393"/>
        <v>13000</v>
      </c>
      <c r="EF166" s="474">
        <f t="shared" ca="1" si="393"/>
        <v>13000</v>
      </c>
      <c r="EG166" s="474">
        <f t="shared" ca="1" si="393"/>
        <v>22210.91</v>
      </c>
      <c r="EH166" s="474">
        <f t="shared" ca="1" si="393"/>
        <v>32803</v>
      </c>
      <c r="EI166" s="474">
        <f t="shared" ca="1" si="393"/>
        <v>18402.14</v>
      </c>
      <c r="EJ166" s="474">
        <f t="shared" ca="1" si="393"/>
        <v>0</v>
      </c>
      <c r="EK166" s="474">
        <f t="shared" ca="1" si="393"/>
        <v>0</v>
      </c>
      <c r="EL166" s="474">
        <f t="shared" ca="1" si="393"/>
        <v>0</v>
      </c>
      <c r="EM166" s="474">
        <f t="shared" ca="1" si="393"/>
        <v>0</v>
      </c>
      <c r="EN166" s="474">
        <f t="shared" ca="1" si="393"/>
        <v>30000</v>
      </c>
      <c r="EO166" s="504">
        <f t="shared" ref="EO166:EO170" ca="1" si="420">SUM(EC166:EN166)</f>
        <v>207504.3</v>
      </c>
      <c r="EQ166" s="474">
        <f t="shared" ref="EQ166:EQ170" ca="1" si="421">SUMIF($C$8:$C$139,$H166,EQ$8:EQ$139)</f>
        <v>0</v>
      </c>
      <c r="ER166" s="474">
        <f t="shared" ca="1" si="394"/>
        <v>2871569.73</v>
      </c>
      <c r="ES166" s="474">
        <f t="shared" ca="1" si="394"/>
        <v>0</v>
      </c>
      <c r="ET166" s="474">
        <f t="shared" ca="1" si="394"/>
        <v>0</v>
      </c>
      <c r="EU166" s="474">
        <f t="shared" ca="1" si="394"/>
        <v>0</v>
      </c>
      <c r="EV166" s="474">
        <f t="shared" ca="1" si="394"/>
        <v>0</v>
      </c>
      <c r="EW166" s="474">
        <f t="shared" ca="1" si="394"/>
        <v>0</v>
      </c>
      <c r="EX166" s="474">
        <f t="shared" ca="1" si="394"/>
        <v>0</v>
      </c>
      <c r="EY166" s="474">
        <f t="shared" ca="1" si="394"/>
        <v>0</v>
      </c>
      <c r="EZ166" s="474">
        <f t="shared" ca="1" si="394"/>
        <v>0</v>
      </c>
      <c r="FA166" s="474">
        <f t="shared" ca="1" si="394"/>
        <v>0</v>
      </c>
      <c r="FB166" s="474">
        <f t="shared" ca="1" si="394"/>
        <v>317989.03999999998</v>
      </c>
      <c r="FC166" s="504">
        <f t="shared" ref="FC166:FC170" ca="1" si="422">SUM(EQ166:FB166)</f>
        <v>3189558.77</v>
      </c>
      <c r="FE166" s="474">
        <f t="shared" ref="FE166:FE170" ca="1" si="423">SUMIF($C$8:$C$139,$H166,FE$8:FE$139)</f>
        <v>0</v>
      </c>
      <c r="FF166" s="474">
        <f t="shared" ca="1" si="395"/>
        <v>0</v>
      </c>
      <c r="FG166" s="474">
        <f t="shared" ca="1" si="395"/>
        <v>0</v>
      </c>
      <c r="FH166" s="474">
        <f t="shared" ca="1" si="395"/>
        <v>0</v>
      </c>
      <c r="FI166" s="474">
        <f t="shared" ca="1" si="395"/>
        <v>0</v>
      </c>
      <c r="FJ166" s="474">
        <f t="shared" ca="1" si="395"/>
        <v>0</v>
      </c>
      <c r="FK166" s="474">
        <f t="shared" ca="1" si="395"/>
        <v>0</v>
      </c>
      <c r="FL166" s="474">
        <f t="shared" ca="1" si="395"/>
        <v>0</v>
      </c>
      <c r="FM166" s="474">
        <f t="shared" ca="1" si="395"/>
        <v>0</v>
      </c>
      <c r="FN166" s="474">
        <f t="shared" ca="1" si="395"/>
        <v>0</v>
      </c>
      <c r="FO166" s="474">
        <f t="shared" ca="1" si="395"/>
        <v>0</v>
      </c>
      <c r="FP166" s="474">
        <f t="shared" ca="1" si="395"/>
        <v>0</v>
      </c>
      <c r="FQ166" s="504">
        <f t="shared" ref="FQ166:FQ170" ca="1" si="424">SUM(FE166:FP166)</f>
        <v>0</v>
      </c>
      <c r="FS166" s="504">
        <f t="shared" ref="FS166:FS170" ca="1" si="425">AG166+AU166+BI166+BW166+CK166+CY166+DM166+EA166+EO166+FC166+FQ166</f>
        <v>14545842.180000002</v>
      </c>
    </row>
    <row r="167" spans="2:175">
      <c r="F167" s="1"/>
      <c r="G167"/>
      <c r="H167" s="76" t="s">
        <v>31</v>
      </c>
      <c r="I167" s="474">
        <f ca="1">SUMIF(EAC[Primary Category],H167,EAC[Estimate At Completion])</f>
        <v>160234243.24000004</v>
      </c>
      <c r="J167" s="474">
        <f t="shared" ca="1" si="396"/>
        <v>155853260.84000003</v>
      </c>
      <c r="K167" s="503">
        <f t="shared" ca="1" si="397"/>
        <v>4380982.400000006</v>
      </c>
      <c r="L167" s="2"/>
      <c r="M167" s="504">
        <f t="shared" ca="1" si="398"/>
        <v>0</v>
      </c>
      <c r="N167" s="2"/>
      <c r="O167" s="504">
        <f t="shared" ca="1" si="399"/>
        <v>155853260.84</v>
      </c>
      <c r="P167" s="474">
        <f t="shared" ca="1" si="400"/>
        <v>0</v>
      </c>
      <c r="Q167" s="474">
        <f t="shared" ca="1" si="400"/>
        <v>977077</v>
      </c>
      <c r="R167" s="504">
        <f t="shared" ca="1" si="401"/>
        <v>977077</v>
      </c>
      <c r="S167" s="504">
        <f t="shared" ca="1" si="402"/>
        <v>3403905.4</v>
      </c>
      <c r="T167" s="2"/>
      <c r="U167" s="474">
        <f t="shared" ca="1" si="403"/>
        <v>0</v>
      </c>
      <c r="V167" s="474">
        <f t="shared" ca="1" si="385"/>
        <v>0</v>
      </c>
      <c r="W167" s="474">
        <f t="shared" ca="1" si="385"/>
        <v>0</v>
      </c>
      <c r="X167" s="474">
        <f t="shared" ca="1" si="385"/>
        <v>0</v>
      </c>
      <c r="Y167" s="474">
        <f t="shared" ca="1" si="385"/>
        <v>0</v>
      </c>
      <c r="Z167" s="474">
        <f t="shared" ca="1" si="385"/>
        <v>0</v>
      </c>
      <c r="AA167" s="474">
        <f t="shared" ca="1" si="385"/>
        <v>0</v>
      </c>
      <c r="AB167" s="474">
        <f t="shared" ca="1" si="385"/>
        <v>0</v>
      </c>
      <c r="AC167" s="474">
        <f t="shared" ca="1" si="385"/>
        <v>0</v>
      </c>
      <c r="AD167" s="474">
        <f t="shared" ca="1" si="385"/>
        <v>0</v>
      </c>
      <c r="AE167" s="474">
        <f t="shared" ca="1" si="385"/>
        <v>0</v>
      </c>
      <c r="AF167" s="474">
        <f t="shared" ca="1" si="385"/>
        <v>0</v>
      </c>
      <c r="AG167" s="504">
        <f t="shared" ca="1" si="404"/>
        <v>0</v>
      </c>
      <c r="AH167" s="2"/>
      <c r="AI167" s="474">
        <f t="shared" ca="1" si="405"/>
        <v>0</v>
      </c>
      <c r="AJ167" s="474">
        <f t="shared" ca="1" si="386"/>
        <v>0</v>
      </c>
      <c r="AK167" s="474">
        <f t="shared" ca="1" si="386"/>
        <v>0</v>
      </c>
      <c r="AL167" s="474">
        <f t="shared" ca="1" si="386"/>
        <v>0</v>
      </c>
      <c r="AM167" s="474">
        <f t="shared" ca="1" si="386"/>
        <v>0</v>
      </c>
      <c r="AN167" s="474">
        <f t="shared" ca="1" si="386"/>
        <v>0</v>
      </c>
      <c r="AO167" s="474">
        <f t="shared" ca="1" si="386"/>
        <v>0</v>
      </c>
      <c r="AP167" s="474">
        <f t="shared" ca="1" si="386"/>
        <v>96165.3</v>
      </c>
      <c r="AQ167" s="474">
        <f t="shared" ca="1" si="386"/>
        <v>0</v>
      </c>
      <c r="AR167" s="474">
        <f t="shared" ca="1" si="386"/>
        <v>0</v>
      </c>
      <c r="AS167" s="474">
        <f t="shared" ca="1" si="386"/>
        <v>0</v>
      </c>
      <c r="AT167" s="474">
        <f t="shared" ca="1" si="386"/>
        <v>52000</v>
      </c>
      <c r="AU167" s="474">
        <f t="shared" ca="1" si="406"/>
        <v>148165.29999999999</v>
      </c>
      <c r="AV167" s="2"/>
      <c r="AW167" s="474">
        <f t="shared" ca="1" si="407"/>
        <v>0</v>
      </c>
      <c r="AX167" s="474">
        <f t="shared" ca="1" si="387"/>
        <v>84250</v>
      </c>
      <c r="AY167" s="474">
        <f t="shared" ca="1" si="387"/>
        <v>0</v>
      </c>
      <c r="AZ167" s="474">
        <f t="shared" ca="1" si="387"/>
        <v>53248.38</v>
      </c>
      <c r="BA167" s="474">
        <f t="shared" ca="1" si="387"/>
        <v>0</v>
      </c>
      <c r="BB167" s="474">
        <f t="shared" ca="1" si="387"/>
        <v>0</v>
      </c>
      <c r="BC167" s="474">
        <f t="shared" ca="1" si="387"/>
        <v>262700</v>
      </c>
      <c r="BD167" s="474">
        <f t="shared" ca="1" si="387"/>
        <v>1144079.7899999998</v>
      </c>
      <c r="BE167" s="474">
        <f t="shared" ca="1" si="387"/>
        <v>12690</v>
      </c>
      <c r="BF167" s="474">
        <f t="shared" ca="1" si="387"/>
        <v>1660</v>
      </c>
      <c r="BG167" s="474">
        <f t="shared" ca="1" si="387"/>
        <v>0</v>
      </c>
      <c r="BH167" s="474">
        <f t="shared" ca="1" si="387"/>
        <v>41504.9</v>
      </c>
      <c r="BI167" s="504">
        <f t="shared" ca="1" si="408"/>
        <v>1600133.0699999998</v>
      </c>
      <c r="BJ167" s="2"/>
      <c r="BK167" s="474">
        <f t="shared" ca="1" si="409"/>
        <v>0</v>
      </c>
      <c r="BL167" s="474">
        <f t="shared" ca="1" si="388"/>
        <v>6600</v>
      </c>
      <c r="BM167" s="474">
        <f t="shared" ca="1" si="388"/>
        <v>0</v>
      </c>
      <c r="BN167" s="474">
        <f t="shared" ca="1" si="388"/>
        <v>0</v>
      </c>
      <c r="BO167" s="474">
        <f t="shared" ca="1" si="388"/>
        <v>0</v>
      </c>
      <c r="BP167" s="474">
        <f t="shared" ca="1" si="388"/>
        <v>2705737</v>
      </c>
      <c r="BQ167" s="474">
        <f t="shared" ca="1" si="388"/>
        <v>823713.84</v>
      </c>
      <c r="BR167" s="474">
        <f t="shared" ca="1" si="388"/>
        <v>1550013.57</v>
      </c>
      <c r="BS167" s="474">
        <f t="shared" ca="1" si="388"/>
        <v>1007972.57</v>
      </c>
      <c r="BT167" s="474">
        <f t="shared" ca="1" si="388"/>
        <v>1548795.17</v>
      </c>
      <c r="BU167" s="474">
        <f t="shared" ca="1" si="388"/>
        <v>2092179.51</v>
      </c>
      <c r="BV167" s="474">
        <f t="shared" ca="1" si="388"/>
        <v>4224993.92</v>
      </c>
      <c r="BW167" s="504">
        <f t="shared" ca="1" si="410"/>
        <v>13960005.58</v>
      </c>
      <c r="BX167" s="2"/>
      <c r="BY167" s="474">
        <f t="shared" ca="1" si="411"/>
        <v>44180</v>
      </c>
      <c r="BZ167" s="474">
        <f t="shared" ca="1" si="389"/>
        <v>2359621.87</v>
      </c>
      <c r="CA167" s="474">
        <f t="shared" ca="1" si="389"/>
        <v>2226369.09</v>
      </c>
      <c r="CB167" s="474">
        <f t="shared" ca="1" si="389"/>
        <v>1937025.36</v>
      </c>
      <c r="CC167" s="474">
        <f t="shared" ca="1" si="389"/>
        <v>2227457.48</v>
      </c>
      <c r="CD167" s="474">
        <f t="shared" ca="1" si="389"/>
        <v>1693662.29</v>
      </c>
      <c r="CE167" s="474">
        <f t="shared" ca="1" si="389"/>
        <v>2399234.37</v>
      </c>
      <c r="CF167" s="474">
        <f t="shared" ca="1" si="389"/>
        <v>2139777.91</v>
      </c>
      <c r="CG167" s="474">
        <f t="shared" ca="1" si="389"/>
        <v>2802662.05</v>
      </c>
      <c r="CH167" s="474">
        <f t="shared" ca="1" si="389"/>
        <v>2586706.37</v>
      </c>
      <c r="CI167" s="474">
        <f t="shared" ca="1" si="389"/>
        <v>0</v>
      </c>
      <c r="CJ167" s="474">
        <f t="shared" ca="1" si="389"/>
        <v>8382884.21</v>
      </c>
      <c r="CK167" s="504">
        <f t="shared" ca="1" si="412"/>
        <v>28799581.000000004</v>
      </c>
      <c r="CL167" s="2"/>
      <c r="CM167" s="474">
        <f t="shared" ca="1" si="413"/>
        <v>449256.68</v>
      </c>
      <c r="CN167" s="474">
        <f t="shared" ca="1" si="390"/>
        <v>4248930.6100000003</v>
      </c>
      <c r="CO167" s="474">
        <f t="shared" ca="1" si="390"/>
        <v>5948576.4400000004</v>
      </c>
      <c r="CP167" s="474">
        <f t="shared" ca="1" si="390"/>
        <v>5732279.5200000005</v>
      </c>
      <c r="CQ167" s="474">
        <f t="shared" ca="1" si="390"/>
        <v>6200762.5100000007</v>
      </c>
      <c r="CR167" s="474">
        <f t="shared" ca="1" si="390"/>
        <v>9428763</v>
      </c>
      <c r="CS167" s="474">
        <f t="shared" ca="1" si="390"/>
        <v>6615702.2600000007</v>
      </c>
      <c r="CT167" s="474">
        <f t="shared" ca="1" si="390"/>
        <v>7475318.4500000002</v>
      </c>
      <c r="CU167" s="474">
        <f t="shared" ca="1" si="390"/>
        <v>4956919.0399999991</v>
      </c>
      <c r="CV167" s="474">
        <f t="shared" ca="1" si="390"/>
        <v>6108914.4699999997</v>
      </c>
      <c r="CW167" s="474">
        <f t="shared" ca="1" si="390"/>
        <v>5696753.5999999996</v>
      </c>
      <c r="CX167" s="474">
        <f t="shared" ca="1" si="390"/>
        <v>9653766.0600000005</v>
      </c>
      <c r="CY167" s="504">
        <f t="shared" ca="1" si="414"/>
        <v>72515942.640000001</v>
      </c>
      <c r="CZ167" s="2"/>
      <c r="DA167" s="474">
        <f t="shared" ca="1" si="415"/>
        <v>276686.77</v>
      </c>
      <c r="DB167" s="474">
        <f t="shared" ca="1" si="391"/>
        <v>4739758.4400000004</v>
      </c>
      <c r="DC167" s="474">
        <f t="shared" ca="1" si="391"/>
        <v>3872908.29</v>
      </c>
      <c r="DD167" s="474">
        <f t="shared" ca="1" si="391"/>
        <v>3479147.6700000004</v>
      </c>
      <c r="DE167" s="474">
        <f t="shared" ca="1" si="391"/>
        <v>3923267.91</v>
      </c>
      <c r="DF167" s="474">
        <f t="shared" ca="1" si="391"/>
        <v>3880207</v>
      </c>
      <c r="DG167" s="474">
        <f t="shared" ca="1" si="391"/>
        <v>2978471.16</v>
      </c>
      <c r="DH167" s="474">
        <f t="shared" ca="1" si="391"/>
        <v>1667401.8399999999</v>
      </c>
      <c r="DI167" s="474">
        <f t="shared" ca="1" si="391"/>
        <v>1827835.79</v>
      </c>
      <c r="DJ167" s="474">
        <f t="shared" ca="1" si="391"/>
        <v>1414660.07</v>
      </c>
      <c r="DK167" s="474">
        <f t="shared" ca="1" si="391"/>
        <v>1282248.24</v>
      </c>
      <c r="DL167" s="474">
        <f t="shared" ca="1" si="391"/>
        <v>1055763.3600000001</v>
      </c>
      <c r="DM167" s="504">
        <f t="shared" ca="1" si="416"/>
        <v>30398356.539999995</v>
      </c>
      <c r="DN167" s="2"/>
      <c r="DO167" s="474">
        <f t="shared" ca="1" si="417"/>
        <v>0</v>
      </c>
      <c r="DP167" s="474">
        <f t="shared" ca="1" si="392"/>
        <v>26028.39</v>
      </c>
      <c r="DQ167" s="474">
        <f t="shared" ca="1" si="392"/>
        <v>0</v>
      </c>
      <c r="DR167" s="474">
        <f t="shared" ca="1" si="392"/>
        <v>273368.99</v>
      </c>
      <c r="DS167" s="474">
        <f t="shared" ca="1" si="392"/>
        <v>171046.6</v>
      </c>
      <c r="DT167" s="474">
        <f t="shared" ca="1" si="392"/>
        <v>0</v>
      </c>
      <c r="DU167" s="474">
        <f t="shared" ca="1" si="392"/>
        <v>5447568.3700000001</v>
      </c>
      <c r="DV167" s="474">
        <f t="shared" ca="1" si="392"/>
        <v>882786.87</v>
      </c>
      <c r="DW167" s="474">
        <f t="shared" ca="1" si="392"/>
        <v>471578.11000000004</v>
      </c>
      <c r="DX167" s="474">
        <f t="shared" ca="1" si="392"/>
        <v>371245.77</v>
      </c>
      <c r="DY167" s="474">
        <f t="shared" ca="1" si="392"/>
        <v>506852.49</v>
      </c>
      <c r="DZ167" s="474">
        <f t="shared" ca="1" si="392"/>
        <v>280601.12000000005</v>
      </c>
      <c r="EA167" s="504">
        <f t="shared" ca="1" si="418"/>
        <v>8431076.709999999</v>
      </c>
      <c r="EB167" s="2"/>
      <c r="EC167" s="474">
        <f t="shared" ca="1" si="419"/>
        <v>0</v>
      </c>
      <c r="ED167" s="474">
        <f t="shared" ca="1" si="393"/>
        <v>80000</v>
      </c>
      <c r="EE167" s="474">
        <f t="shared" ca="1" si="393"/>
        <v>80000</v>
      </c>
      <c r="EF167" s="474">
        <f t="shared" ca="1" si="393"/>
        <v>453748</v>
      </c>
      <c r="EG167" s="474">
        <f t="shared" ca="1" si="393"/>
        <v>263329</v>
      </c>
      <c r="EH167" s="474">
        <f t="shared" ca="1" si="393"/>
        <v>0</v>
      </c>
      <c r="EI167" s="474">
        <f t="shared" ca="1" si="393"/>
        <v>0</v>
      </c>
      <c r="EJ167" s="474">
        <f t="shared" ca="1" si="393"/>
        <v>0</v>
      </c>
      <c r="EK167" s="474">
        <f t="shared" ca="1" si="393"/>
        <v>0</v>
      </c>
      <c r="EL167" s="474">
        <f t="shared" ca="1" si="393"/>
        <v>0</v>
      </c>
      <c r="EM167" s="474">
        <f t="shared" ca="1" si="393"/>
        <v>0</v>
      </c>
      <c r="EN167" s="474">
        <f t="shared" ca="1" si="393"/>
        <v>100000</v>
      </c>
      <c r="EO167" s="504">
        <f t="shared" ca="1" si="420"/>
        <v>977077</v>
      </c>
      <c r="EP167" s="2"/>
      <c r="EQ167" s="474">
        <f t="shared" ca="1" si="421"/>
        <v>0</v>
      </c>
      <c r="ER167" s="474">
        <f t="shared" ca="1" si="394"/>
        <v>1874682.4</v>
      </c>
      <c r="ES167" s="474">
        <f t="shared" ca="1" si="394"/>
        <v>0</v>
      </c>
      <c r="ET167" s="474">
        <f t="shared" ca="1" si="394"/>
        <v>100000</v>
      </c>
      <c r="EU167" s="474">
        <f t="shared" ca="1" si="394"/>
        <v>100000</v>
      </c>
      <c r="EV167" s="474">
        <f t="shared" ca="1" si="394"/>
        <v>100000</v>
      </c>
      <c r="EW167" s="474">
        <f t="shared" ca="1" si="394"/>
        <v>100000</v>
      </c>
      <c r="EX167" s="474">
        <f t="shared" ca="1" si="394"/>
        <v>0</v>
      </c>
      <c r="EY167" s="474">
        <f t="shared" ca="1" si="394"/>
        <v>0</v>
      </c>
      <c r="EZ167" s="474">
        <f t="shared" ca="1" si="394"/>
        <v>0</v>
      </c>
      <c r="FA167" s="474">
        <f t="shared" ca="1" si="394"/>
        <v>0</v>
      </c>
      <c r="FB167" s="474">
        <f t="shared" ca="1" si="394"/>
        <v>1129223</v>
      </c>
      <c r="FC167" s="504">
        <f t="shared" ca="1" si="422"/>
        <v>3403905.4</v>
      </c>
      <c r="FD167" s="2"/>
      <c r="FE167" s="474">
        <f t="shared" ca="1" si="423"/>
        <v>0</v>
      </c>
      <c r="FF167" s="474">
        <f t="shared" ca="1" si="395"/>
        <v>0</v>
      </c>
      <c r="FG167" s="474">
        <f t="shared" ca="1" si="395"/>
        <v>0</v>
      </c>
      <c r="FH167" s="474">
        <f t="shared" ca="1" si="395"/>
        <v>0</v>
      </c>
      <c r="FI167" s="474">
        <f t="shared" ca="1" si="395"/>
        <v>0</v>
      </c>
      <c r="FJ167" s="474">
        <f t="shared" ca="1" si="395"/>
        <v>0</v>
      </c>
      <c r="FK167" s="474">
        <f t="shared" ca="1" si="395"/>
        <v>0</v>
      </c>
      <c r="FL167" s="474">
        <f t="shared" ca="1" si="395"/>
        <v>0</v>
      </c>
      <c r="FM167" s="474">
        <f t="shared" ca="1" si="395"/>
        <v>0</v>
      </c>
      <c r="FN167" s="474">
        <f t="shared" ca="1" si="395"/>
        <v>0</v>
      </c>
      <c r="FO167" s="474">
        <f t="shared" ca="1" si="395"/>
        <v>0</v>
      </c>
      <c r="FP167" s="474">
        <f t="shared" ca="1" si="395"/>
        <v>0</v>
      </c>
      <c r="FQ167" s="504">
        <f t="shared" ca="1" si="424"/>
        <v>0</v>
      </c>
      <c r="FS167" s="504">
        <f t="shared" ca="1" si="425"/>
        <v>160234243.24000001</v>
      </c>
    </row>
    <row r="168" spans="2:175">
      <c r="F168" s="1"/>
      <c r="G168"/>
      <c r="H168" s="76" t="s">
        <v>37</v>
      </c>
      <c r="I168" s="474">
        <f ca="1">SUMIF(EAC[Primary Category],H168,EAC[Estimate At Completion])</f>
        <v>7892917.71</v>
      </c>
      <c r="J168" s="474">
        <f t="shared" ca="1" si="396"/>
        <v>7424523.3299999991</v>
      </c>
      <c r="K168" s="503">
        <f ca="1">I168-J168</f>
        <v>468394.38000000082</v>
      </c>
      <c r="L168" s="2"/>
      <c r="M168" s="504">
        <f ca="1">I168-FS168</f>
        <v>0</v>
      </c>
      <c r="N168" s="2"/>
      <c r="O168" s="504">
        <f t="shared" ca="1" si="399"/>
        <v>7413611.2999999998</v>
      </c>
      <c r="P168" s="474">
        <f t="shared" ca="1" si="400"/>
        <v>10912.029999999999</v>
      </c>
      <c r="Q168" s="474">
        <f t="shared" ca="1" si="400"/>
        <v>68394.66</v>
      </c>
      <c r="R168" s="504">
        <f t="shared" ca="1" si="401"/>
        <v>79306.69</v>
      </c>
      <c r="S168" s="504">
        <f t="shared" ca="1" si="402"/>
        <v>399999.72</v>
      </c>
      <c r="T168" s="2"/>
      <c r="U168" s="474">
        <f t="shared" ca="1" si="403"/>
        <v>0</v>
      </c>
      <c r="V168" s="474">
        <f t="shared" ca="1" si="385"/>
        <v>0</v>
      </c>
      <c r="W168" s="474">
        <f t="shared" ca="1" si="385"/>
        <v>0</v>
      </c>
      <c r="X168" s="474">
        <f t="shared" ca="1" si="385"/>
        <v>0</v>
      </c>
      <c r="Y168" s="474">
        <f t="shared" ca="1" si="385"/>
        <v>0</v>
      </c>
      <c r="Z168" s="474">
        <f t="shared" ca="1" si="385"/>
        <v>0</v>
      </c>
      <c r="AA168" s="474">
        <f t="shared" ca="1" si="385"/>
        <v>0</v>
      </c>
      <c r="AB168" s="474">
        <f t="shared" ca="1" si="385"/>
        <v>0</v>
      </c>
      <c r="AC168" s="474">
        <f t="shared" ca="1" si="385"/>
        <v>0</v>
      </c>
      <c r="AD168" s="474">
        <f t="shared" ca="1" si="385"/>
        <v>0</v>
      </c>
      <c r="AE168" s="474">
        <f t="shared" ca="1" si="385"/>
        <v>0</v>
      </c>
      <c r="AF168" s="474">
        <f t="shared" ca="1" si="385"/>
        <v>0</v>
      </c>
      <c r="AG168" s="504">
        <f t="shared" ca="1" si="404"/>
        <v>0</v>
      </c>
      <c r="AH168" s="2"/>
      <c r="AI168" s="474">
        <f t="shared" ca="1" si="405"/>
        <v>0</v>
      </c>
      <c r="AJ168" s="474">
        <f t="shared" ca="1" si="386"/>
        <v>0</v>
      </c>
      <c r="AK168" s="474">
        <f t="shared" ca="1" si="386"/>
        <v>0</v>
      </c>
      <c r="AL168" s="474">
        <f t="shared" ca="1" si="386"/>
        <v>0</v>
      </c>
      <c r="AM168" s="474">
        <f t="shared" ca="1" si="386"/>
        <v>0</v>
      </c>
      <c r="AN168" s="474">
        <f t="shared" ca="1" si="386"/>
        <v>0</v>
      </c>
      <c r="AO168" s="474">
        <f t="shared" ca="1" si="386"/>
        <v>0</v>
      </c>
      <c r="AP168" s="474">
        <f t="shared" ca="1" si="386"/>
        <v>0</v>
      </c>
      <c r="AQ168" s="474">
        <f t="shared" ca="1" si="386"/>
        <v>0</v>
      </c>
      <c r="AR168" s="474">
        <f t="shared" ca="1" si="386"/>
        <v>0</v>
      </c>
      <c r="AS168" s="474">
        <f t="shared" ca="1" si="386"/>
        <v>0</v>
      </c>
      <c r="AT168" s="474">
        <f t="shared" ca="1" si="386"/>
        <v>0</v>
      </c>
      <c r="AU168" s="474">
        <f t="shared" ca="1" si="406"/>
        <v>0</v>
      </c>
      <c r="AV168" s="2"/>
      <c r="AW168" s="474">
        <f t="shared" ca="1" si="407"/>
        <v>0</v>
      </c>
      <c r="AX168" s="474">
        <f t="shared" ca="1" si="387"/>
        <v>0</v>
      </c>
      <c r="AY168" s="474">
        <f t="shared" ca="1" si="387"/>
        <v>0</v>
      </c>
      <c r="AZ168" s="474">
        <f t="shared" ca="1" si="387"/>
        <v>0</v>
      </c>
      <c r="BA168" s="474">
        <f t="shared" ca="1" si="387"/>
        <v>0</v>
      </c>
      <c r="BB168" s="474">
        <f t="shared" ca="1" si="387"/>
        <v>0</v>
      </c>
      <c r="BC168" s="474">
        <f t="shared" ca="1" si="387"/>
        <v>0</v>
      </c>
      <c r="BD168" s="474">
        <f t="shared" ca="1" si="387"/>
        <v>0</v>
      </c>
      <c r="BE168" s="474">
        <f t="shared" ca="1" si="387"/>
        <v>0</v>
      </c>
      <c r="BF168" s="474">
        <f t="shared" ca="1" si="387"/>
        <v>0</v>
      </c>
      <c r="BG168" s="474">
        <f t="shared" ca="1" si="387"/>
        <v>0</v>
      </c>
      <c r="BH168" s="474">
        <f t="shared" ca="1" si="387"/>
        <v>0</v>
      </c>
      <c r="BI168" s="504">
        <f t="shared" ca="1" si="408"/>
        <v>0</v>
      </c>
      <c r="BJ168" s="2"/>
      <c r="BK168" s="474">
        <f t="shared" ca="1" si="409"/>
        <v>0</v>
      </c>
      <c r="BL168" s="474">
        <f t="shared" ca="1" si="388"/>
        <v>0</v>
      </c>
      <c r="BM168" s="474">
        <f t="shared" ca="1" si="388"/>
        <v>0</v>
      </c>
      <c r="BN168" s="474">
        <f t="shared" ca="1" si="388"/>
        <v>0</v>
      </c>
      <c r="BO168" s="474">
        <f t="shared" ca="1" si="388"/>
        <v>0</v>
      </c>
      <c r="BP168" s="474">
        <f t="shared" ca="1" si="388"/>
        <v>0</v>
      </c>
      <c r="BQ168" s="474">
        <f t="shared" ca="1" si="388"/>
        <v>0</v>
      </c>
      <c r="BR168" s="474">
        <f t="shared" ca="1" si="388"/>
        <v>0</v>
      </c>
      <c r="BS168" s="474">
        <f t="shared" ca="1" si="388"/>
        <v>0</v>
      </c>
      <c r="BT168" s="474">
        <f t="shared" ca="1" si="388"/>
        <v>0</v>
      </c>
      <c r="BU168" s="474">
        <f t="shared" ca="1" si="388"/>
        <v>0</v>
      </c>
      <c r="BV168" s="474">
        <f t="shared" ca="1" si="388"/>
        <v>0</v>
      </c>
      <c r="BW168" s="504">
        <f t="shared" ca="1" si="410"/>
        <v>0</v>
      </c>
      <c r="BX168" s="2"/>
      <c r="BY168" s="474">
        <f t="shared" ca="1" si="411"/>
        <v>0</v>
      </c>
      <c r="BZ168" s="474">
        <f t="shared" ca="1" si="389"/>
        <v>0</v>
      </c>
      <c r="CA168" s="474">
        <f t="shared" ca="1" si="389"/>
        <v>0</v>
      </c>
      <c r="CB168" s="474">
        <f t="shared" ca="1" si="389"/>
        <v>0</v>
      </c>
      <c r="CC168" s="474">
        <f t="shared" ca="1" si="389"/>
        <v>0</v>
      </c>
      <c r="CD168" s="474">
        <f t="shared" ca="1" si="389"/>
        <v>0</v>
      </c>
      <c r="CE168" s="474">
        <f t="shared" ca="1" si="389"/>
        <v>0</v>
      </c>
      <c r="CF168" s="474">
        <f t="shared" ca="1" si="389"/>
        <v>0</v>
      </c>
      <c r="CG168" s="474">
        <f t="shared" ca="1" si="389"/>
        <v>0</v>
      </c>
      <c r="CH168" s="474">
        <f t="shared" ca="1" si="389"/>
        <v>0</v>
      </c>
      <c r="CI168" s="474">
        <f t="shared" ca="1" si="389"/>
        <v>0</v>
      </c>
      <c r="CJ168" s="474">
        <f t="shared" ca="1" si="389"/>
        <v>13082.4</v>
      </c>
      <c r="CK168" s="504">
        <f t="shared" ca="1" si="412"/>
        <v>13082.4</v>
      </c>
      <c r="CL168" s="2"/>
      <c r="CM168" s="474">
        <f t="shared" ca="1" si="413"/>
        <v>0</v>
      </c>
      <c r="CN168" s="474">
        <f t="shared" ca="1" si="390"/>
        <v>0</v>
      </c>
      <c r="CO168" s="474">
        <f t="shared" ca="1" si="390"/>
        <v>0</v>
      </c>
      <c r="CP168" s="474">
        <f t="shared" ca="1" si="390"/>
        <v>0</v>
      </c>
      <c r="CQ168" s="474">
        <f t="shared" ca="1" si="390"/>
        <v>0</v>
      </c>
      <c r="CR168" s="474">
        <f t="shared" ca="1" si="390"/>
        <v>0</v>
      </c>
      <c r="CS168" s="474">
        <f t="shared" ca="1" si="390"/>
        <v>613745.67999999993</v>
      </c>
      <c r="CT168" s="474">
        <f t="shared" ca="1" si="390"/>
        <v>4788.1399999999994</v>
      </c>
      <c r="CU168" s="474">
        <f t="shared" ca="1" si="390"/>
        <v>804061.84</v>
      </c>
      <c r="CV168" s="474">
        <f t="shared" ca="1" si="390"/>
        <v>0</v>
      </c>
      <c r="CW168" s="474">
        <f t="shared" ca="1" si="390"/>
        <v>146020.4</v>
      </c>
      <c r="CX168" s="474">
        <f t="shared" ca="1" si="390"/>
        <v>1322918.8400000001</v>
      </c>
      <c r="CY168" s="504">
        <f t="shared" ca="1" si="414"/>
        <v>2891534.9</v>
      </c>
      <c r="CZ168" s="2"/>
      <c r="DA168" s="474">
        <f t="shared" ca="1" si="415"/>
        <v>0</v>
      </c>
      <c r="DB168" s="474">
        <f t="shared" ca="1" si="391"/>
        <v>1881.6</v>
      </c>
      <c r="DC168" s="474">
        <f t="shared" ca="1" si="391"/>
        <v>716385.48</v>
      </c>
      <c r="DD168" s="474">
        <f t="shared" ca="1" si="391"/>
        <v>124461.79</v>
      </c>
      <c r="DE168" s="474">
        <f t="shared" ca="1" si="391"/>
        <v>0</v>
      </c>
      <c r="DF168" s="474">
        <f t="shared" ca="1" si="391"/>
        <v>980</v>
      </c>
      <c r="DG168" s="474">
        <f t="shared" ca="1" si="391"/>
        <v>3285</v>
      </c>
      <c r="DH168" s="474">
        <f t="shared" ca="1" si="391"/>
        <v>209793.74</v>
      </c>
      <c r="DI168" s="474">
        <f t="shared" ca="1" si="391"/>
        <v>0</v>
      </c>
      <c r="DJ168" s="474">
        <f t="shared" ca="1" si="391"/>
        <v>0</v>
      </c>
      <c r="DK168" s="474">
        <f t="shared" ca="1" si="391"/>
        <v>0</v>
      </c>
      <c r="DL168" s="474">
        <f t="shared" ca="1" si="391"/>
        <v>1475665.72</v>
      </c>
      <c r="DM168" s="504">
        <f t="shared" ca="1" si="416"/>
        <v>2532453.33</v>
      </c>
      <c r="DN168" s="2"/>
      <c r="DO168" s="474">
        <f t="shared" ca="1" si="417"/>
        <v>193710.04</v>
      </c>
      <c r="DP168" s="474">
        <f t="shared" ca="1" si="392"/>
        <v>15150.6</v>
      </c>
      <c r="DQ168" s="474">
        <f t="shared" ca="1" si="392"/>
        <v>592334.69999999995</v>
      </c>
      <c r="DR168" s="474">
        <f t="shared" ca="1" si="392"/>
        <v>332321.94</v>
      </c>
      <c r="DS168" s="474">
        <f t="shared" ca="1" si="392"/>
        <v>492935.83000000007</v>
      </c>
      <c r="DT168" s="474">
        <f t="shared" ca="1" si="392"/>
        <v>0</v>
      </c>
      <c r="DU168" s="474">
        <f t="shared" ca="1" si="392"/>
        <v>18637.2</v>
      </c>
      <c r="DV168" s="474">
        <f t="shared" ca="1" si="392"/>
        <v>55195</v>
      </c>
      <c r="DW168" s="474">
        <f t="shared" ca="1" si="392"/>
        <v>0</v>
      </c>
      <c r="DX168" s="474">
        <f t="shared" ca="1" si="392"/>
        <v>49718.59</v>
      </c>
      <c r="DY168" s="474">
        <f t="shared" ca="1" si="392"/>
        <v>0</v>
      </c>
      <c r="DZ168" s="474">
        <f t="shared" ca="1" si="392"/>
        <v>226536.77</v>
      </c>
      <c r="EA168" s="504">
        <f t="shared" ca="1" si="418"/>
        <v>1976540.6700000002</v>
      </c>
      <c r="EB168" s="2"/>
      <c r="EC168" s="474">
        <f t="shared" ca="1" si="419"/>
        <v>10912.029999999999</v>
      </c>
      <c r="ED168" s="474">
        <f t="shared" ca="1" si="393"/>
        <v>-44276.34</v>
      </c>
      <c r="EE168" s="474">
        <f t="shared" ca="1" si="393"/>
        <v>0</v>
      </c>
      <c r="EF168" s="474">
        <f t="shared" ca="1" si="393"/>
        <v>0</v>
      </c>
      <c r="EG168" s="474">
        <f t="shared" ca="1" si="393"/>
        <v>12671</v>
      </c>
      <c r="EH168" s="474">
        <f t="shared" ca="1" si="393"/>
        <v>0</v>
      </c>
      <c r="EI168" s="474">
        <f t="shared" ca="1" si="393"/>
        <v>0</v>
      </c>
      <c r="EJ168" s="474">
        <f t="shared" ca="1" si="393"/>
        <v>0</v>
      </c>
      <c r="EK168" s="474">
        <f t="shared" ca="1" si="393"/>
        <v>0</v>
      </c>
      <c r="EL168" s="474">
        <f t="shared" ca="1" si="393"/>
        <v>0</v>
      </c>
      <c r="EM168" s="474">
        <f t="shared" ca="1" si="393"/>
        <v>0</v>
      </c>
      <c r="EN168" s="474">
        <f t="shared" ca="1" si="393"/>
        <v>100000</v>
      </c>
      <c r="EO168" s="504">
        <f ca="1">SUM(EC168:EN168)</f>
        <v>79306.69</v>
      </c>
      <c r="EP168" s="2"/>
      <c r="EQ168" s="474">
        <f t="shared" ca="1" si="421"/>
        <v>0</v>
      </c>
      <c r="ER168" s="474">
        <f t="shared" ca="1" si="394"/>
        <v>0</v>
      </c>
      <c r="ES168" s="474">
        <f t="shared" ca="1" si="394"/>
        <v>0</v>
      </c>
      <c r="ET168" s="474">
        <f t="shared" ca="1" si="394"/>
        <v>100000</v>
      </c>
      <c r="EU168" s="474">
        <f t="shared" ca="1" si="394"/>
        <v>100000</v>
      </c>
      <c r="EV168" s="474">
        <f t="shared" ca="1" si="394"/>
        <v>100000</v>
      </c>
      <c r="EW168" s="474">
        <f t="shared" ca="1" si="394"/>
        <v>100000</v>
      </c>
      <c r="EX168" s="474">
        <f t="shared" ca="1" si="394"/>
        <v>0</v>
      </c>
      <c r="EY168" s="474">
        <f t="shared" ca="1" si="394"/>
        <v>0</v>
      </c>
      <c r="EZ168" s="474">
        <f t="shared" ca="1" si="394"/>
        <v>0</v>
      </c>
      <c r="FA168" s="474">
        <f t="shared" ca="1" si="394"/>
        <v>0</v>
      </c>
      <c r="FB168" s="474">
        <f t="shared" ca="1" si="394"/>
        <v>-0.28000000000000003</v>
      </c>
      <c r="FC168" s="504">
        <f t="shared" ca="1" si="422"/>
        <v>399999.72</v>
      </c>
      <c r="FD168" s="2"/>
      <c r="FE168" s="474">
        <f t="shared" ca="1" si="423"/>
        <v>0</v>
      </c>
      <c r="FF168" s="474">
        <f t="shared" ca="1" si="395"/>
        <v>0</v>
      </c>
      <c r="FG168" s="474">
        <f t="shared" ca="1" si="395"/>
        <v>0</v>
      </c>
      <c r="FH168" s="474">
        <f t="shared" ca="1" si="395"/>
        <v>0</v>
      </c>
      <c r="FI168" s="474">
        <f t="shared" ca="1" si="395"/>
        <v>0</v>
      </c>
      <c r="FJ168" s="474">
        <f t="shared" ca="1" si="395"/>
        <v>0</v>
      </c>
      <c r="FK168" s="474">
        <f t="shared" ca="1" si="395"/>
        <v>0</v>
      </c>
      <c r="FL168" s="474">
        <f t="shared" ca="1" si="395"/>
        <v>0</v>
      </c>
      <c r="FM168" s="474">
        <f t="shared" ca="1" si="395"/>
        <v>0</v>
      </c>
      <c r="FN168" s="474">
        <f t="shared" ca="1" si="395"/>
        <v>0</v>
      </c>
      <c r="FO168" s="474">
        <f t="shared" ca="1" si="395"/>
        <v>0</v>
      </c>
      <c r="FP168" s="474">
        <f t="shared" ca="1" si="395"/>
        <v>0</v>
      </c>
      <c r="FQ168" s="504">
        <f t="shared" ca="1" si="424"/>
        <v>0</v>
      </c>
      <c r="FS168" s="504">
        <f t="shared" ca="1" si="425"/>
        <v>7892917.71</v>
      </c>
    </row>
    <row r="169" spans="2:175">
      <c r="F169" s="1"/>
      <c r="G169"/>
      <c r="H169" s="76" t="s">
        <v>43</v>
      </c>
      <c r="I169" s="474">
        <f ca="1">SUMIF(EAC[Primary Category],H169,EAC[Estimate At Completion])</f>
        <v>4688611.97</v>
      </c>
      <c r="J169" s="474">
        <f t="shared" ca="1" si="396"/>
        <v>4688611.97</v>
      </c>
      <c r="K169" s="503">
        <f t="shared" ca="1" si="397"/>
        <v>0</v>
      </c>
      <c r="L169" s="2"/>
      <c r="M169" s="504">
        <f t="shared" ca="1" si="398"/>
        <v>0</v>
      </c>
      <c r="N169" s="2"/>
      <c r="O169" s="504">
        <f t="shared" ca="1" si="399"/>
        <v>4688611.97</v>
      </c>
      <c r="P169" s="474">
        <f t="shared" ca="1" si="400"/>
        <v>0</v>
      </c>
      <c r="Q169" s="474">
        <f t="shared" ca="1" si="400"/>
        <v>0</v>
      </c>
      <c r="R169" s="504">
        <f t="shared" ca="1" si="401"/>
        <v>0</v>
      </c>
      <c r="S169" s="504">
        <f t="shared" ca="1" si="402"/>
        <v>0</v>
      </c>
      <c r="T169" s="2"/>
      <c r="U169" s="474">
        <f t="shared" ca="1" si="403"/>
        <v>0</v>
      </c>
      <c r="V169" s="474">
        <f t="shared" ca="1" si="385"/>
        <v>0</v>
      </c>
      <c r="W169" s="474">
        <f t="shared" ca="1" si="385"/>
        <v>0</v>
      </c>
      <c r="X169" s="474">
        <f t="shared" ca="1" si="385"/>
        <v>0</v>
      </c>
      <c r="Y169" s="474">
        <f t="shared" ca="1" si="385"/>
        <v>0</v>
      </c>
      <c r="Z169" s="474">
        <f t="shared" ca="1" si="385"/>
        <v>0</v>
      </c>
      <c r="AA169" s="474">
        <f t="shared" ca="1" si="385"/>
        <v>0</v>
      </c>
      <c r="AB169" s="474">
        <f t="shared" ca="1" si="385"/>
        <v>0</v>
      </c>
      <c r="AC169" s="474">
        <f t="shared" ca="1" si="385"/>
        <v>0</v>
      </c>
      <c r="AD169" s="474">
        <f t="shared" ca="1" si="385"/>
        <v>3319089</v>
      </c>
      <c r="AE169" s="474">
        <f t="shared" ca="1" si="385"/>
        <v>0</v>
      </c>
      <c r="AF169" s="474">
        <f t="shared" ca="1" si="385"/>
        <v>0</v>
      </c>
      <c r="AG169" s="504">
        <f t="shared" ca="1" si="404"/>
        <v>3319089</v>
      </c>
      <c r="AH169" s="2"/>
      <c r="AI169" s="474">
        <f t="shared" ca="1" si="405"/>
        <v>0</v>
      </c>
      <c r="AJ169" s="474">
        <f t="shared" ca="1" si="386"/>
        <v>304170</v>
      </c>
      <c r="AK169" s="474">
        <f t="shared" ca="1" si="386"/>
        <v>1005352.97</v>
      </c>
      <c r="AL169" s="474">
        <f t="shared" ca="1" si="386"/>
        <v>0</v>
      </c>
      <c r="AM169" s="474">
        <f t="shared" ca="1" si="386"/>
        <v>0</v>
      </c>
      <c r="AN169" s="474">
        <f t="shared" ca="1" si="386"/>
        <v>0</v>
      </c>
      <c r="AO169" s="474">
        <f t="shared" ca="1" si="386"/>
        <v>0</v>
      </c>
      <c r="AP169" s="474">
        <f t="shared" ca="1" si="386"/>
        <v>0</v>
      </c>
      <c r="AQ169" s="474">
        <f t="shared" ca="1" si="386"/>
        <v>0</v>
      </c>
      <c r="AR169" s="474">
        <f t="shared" ca="1" si="386"/>
        <v>0</v>
      </c>
      <c r="AS169" s="474">
        <f t="shared" ca="1" si="386"/>
        <v>60000</v>
      </c>
      <c r="AT169" s="474">
        <f t="shared" ca="1" si="386"/>
        <v>0</v>
      </c>
      <c r="AU169" s="474">
        <f t="shared" ca="1" si="406"/>
        <v>1369522.97</v>
      </c>
      <c r="AV169" s="2"/>
      <c r="AW169" s="474">
        <f t="shared" ca="1" si="407"/>
        <v>0</v>
      </c>
      <c r="AX169" s="474">
        <f t="shared" ca="1" si="387"/>
        <v>0</v>
      </c>
      <c r="AY169" s="474">
        <f t="shared" ca="1" si="387"/>
        <v>0</v>
      </c>
      <c r="AZ169" s="474">
        <f t="shared" ca="1" si="387"/>
        <v>0</v>
      </c>
      <c r="BA169" s="474">
        <f t="shared" ca="1" si="387"/>
        <v>0</v>
      </c>
      <c r="BB169" s="474">
        <f t="shared" ca="1" si="387"/>
        <v>0</v>
      </c>
      <c r="BC169" s="474">
        <f t="shared" ca="1" si="387"/>
        <v>0</v>
      </c>
      <c r="BD169" s="474">
        <f t="shared" ca="1" si="387"/>
        <v>0</v>
      </c>
      <c r="BE169" s="474">
        <f t="shared" ca="1" si="387"/>
        <v>0</v>
      </c>
      <c r="BF169" s="474">
        <f t="shared" ca="1" si="387"/>
        <v>0</v>
      </c>
      <c r="BG169" s="474">
        <f t="shared" ca="1" si="387"/>
        <v>0</v>
      </c>
      <c r="BH169" s="474">
        <f t="shared" ca="1" si="387"/>
        <v>0</v>
      </c>
      <c r="BI169" s="504">
        <f t="shared" ca="1" si="408"/>
        <v>0</v>
      </c>
      <c r="BJ169" s="2"/>
      <c r="BK169" s="474">
        <f t="shared" ca="1" si="409"/>
        <v>0</v>
      </c>
      <c r="BL169" s="474">
        <f t="shared" ca="1" si="388"/>
        <v>0</v>
      </c>
      <c r="BM169" s="474">
        <f t="shared" ca="1" si="388"/>
        <v>0</v>
      </c>
      <c r="BN169" s="474">
        <f t="shared" ca="1" si="388"/>
        <v>0</v>
      </c>
      <c r="BO169" s="474">
        <f t="shared" ca="1" si="388"/>
        <v>0</v>
      </c>
      <c r="BP169" s="474">
        <f t="shared" ca="1" si="388"/>
        <v>0</v>
      </c>
      <c r="BQ169" s="474">
        <f t="shared" ca="1" si="388"/>
        <v>0</v>
      </c>
      <c r="BR169" s="474">
        <f t="shared" ca="1" si="388"/>
        <v>0</v>
      </c>
      <c r="BS169" s="474">
        <f t="shared" ca="1" si="388"/>
        <v>0</v>
      </c>
      <c r="BT169" s="474">
        <f t="shared" ca="1" si="388"/>
        <v>0</v>
      </c>
      <c r="BU169" s="474">
        <f t="shared" ca="1" si="388"/>
        <v>0</v>
      </c>
      <c r="BV169" s="474">
        <f t="shared" ca="1" si="388"/>
        <v>0</v>
      </c>
      <c r="BW169" s="504">
        <f t="shared" ca="1" si="410"/>
        <v>0</v>
      </c>
      <c r="BX169" s="2"/>
      <c r="BY169" s="474">
        <f t="shared" ca="1" si="411"/>
        <v>0</v>
      </c>
      <c r="BZ169" s="474">
        <f t="shared" ca="1" si="389"/>
        <v>0</v>
      </c>
      <c r="CA169" s="474">
        <f t="shared" ca="1" si="389"/>
        <v>0</v>
      </c>
      <c r="CB169" s="474">
        <f t="shared" ca="1" si="389"/>
        <v>0</v>
      </c>
      <c r="CC169" s="474">
        <f t="shared" ca="1" si="389"/>
        <v>0</v>
      </c>
      <c r="CD169" s="474">
        <f t="shared" ca="1" si="389"/>
        <v>0</v>
      </c>
      <c r="CE169" s="474">
        <f t="shared" ca="1" si="389"/>
        <v>0</v>
      </c>
      <c r="CF169" s="474">
        <f t="shared" ca="1" si="389"/>
        <v>0</v>
      </c>
      <c r="CG169" s="474">
        <f t="shared" ca="1" si="389"/>
        <v>0</v>
      </c>
      <c r="CH169" s="474">
        <f t="shared" ca="1" si="389"/>
        <v>0</v>
      </c>
      <c r="CI169" s="474">
        <f t="shared" ca="1" si="389"/>
        <v>0</v>
      </c>
      <c r="CJ169" s="474">
        <f t="shared" ca="1" si="389"/>
        <v>0</v>
      </c>
      <c r="CK169" s="504">
        <f t="shared" ca="1" si="412"/>
        <v>0</v>
      </c>
      <c r="CL169" s="2"/>
      <c r="CM169" s="474">
        <f t="shared" ca="1" si="413"/>
        <v>0</v>
      </c>
      <c r="CN169" s="474">
        <f t="shared" ca="1" si="390"/>
        <v>0</v>
      </c>
      <c r="CO169" s="474">
        <f t="shared" ca="1" si="390"/>
        <v>0</v>
      </c>
      <c r="CP169" s="474">
        <f t="shared" ca="1" si="390"/>
        <v>0</v>
      </c>
      <c r="CQ169" s="474">
        <f t="shared" ca="1" si="390"/>
        <v>0</v>
      </c>
      <c r="CR169" s="474">
        <f t="shared" ca="1" si="390"/>
        <v>0</v>
      </c>
      <c r="CS169" s="474">
        <f t="shared" ca="1" si="390"/>
        <v>0</v>
      </c>
      <c r="CT169" s="474">
        <f t="shared" ca="1" si="390"/>
        <v>0</v>
      </c>
      <c r="CU169" s="474">
        <f t="shared" ca="1" si="390"/>
        <v>0</v>
      </c>
      <c r="CV169" s="474">
        <f t="shared" ca="1" si="390"/>
        <v>0</v>
      </c>
      <c r="CW169" s="474">
        <f t="shared" ca="1" si="390"/>
        <v>0</v>
      </c>
      <c r="CX169" s="474">
        <f t="shared" ca="1" si="390"/>
        <v>0</v>
      </c>
      <c r="CY169" s="504">
        <f t="shared" ca="1" si="414"/>
        <v>0</v>
      </c>
      <c r="CZ169" s="2"/>
      <c r="DA169" s="474">
        <f t="shared" ca="1" si="415"/>
        <v>0</v>
      </c>
      <c r="DB169" s="474">
        <f t="shared" ca="1" si="391"/>
        <v>0</v>
      </c>
      <c r="DC169" s="474">
        <f t="shared" ca="1" si="391"/>
        <v>0</v>
      </c>
      <c r="DD169" s="474">
        <f t="shared" ca="1" si="391"/>
        <v>0</v>
      </c>
      <c r="DE169" s="474">
        <f t="shared" ca="1" si="391"/>
        <v>0</v>
      </c>
      <c r="DF169" s="474">
        <f t="shared" ca="1" si="391"/>
        <v>0</v>
      </c>
      <c r="DG169" s="474">
        <f t="shared" ca="1" si="391"/>
        <v>0</v>
      </c>
      <c r="DH169" s="474">
        <f t="shared" ca="1" si="391"/>
        <v>0</v>
      </c>
      <c r="DI169" s="474">
        <f t="shared" ca="1" si="391"/>
        <v>0</v>
      </c>
      <c r="DJ169" s="474">
        <f t="shared" ca="1" si="391"/>
        <v>0</v>
      </c>
      <c r="DK169" s="474">
        <f t="shared" ca="1" si="391"/>
        <v>0</v>
      </c>
      <c r="DL169" s="474">
        <f t="shared" ca="1" si="391"/>
        <v>0</v>
      </c>
      <c r="DM169" s="504">
        <f t="shared" ca="1" si="416"/>
        <v>0</v>
      </c>
      <c r="DN169" s="2"/>
      <c r="DO169" s="474">
        <f t="shared" ca="1" si="417"/>
        <v>0</v>
      </c>
      <c r="DP169" s="474">
        <f t="shared" ca="1" si="392"/>
        <v>0</v>
      </c>
      <c r="DQ169" s="474">
        <f t="shared" ca="1" si="392"/>
        <v>0</v>
      </c>
      <c r="DR169" s="474">
        <f t="shared" ca="1" si="392"/>
        <v>0</v>
      </c>
      <c r="DS169" s="474">
        <f t="shared" ca="1" si="392"/>
        <v>0</v>
      </c>
      <c r="DT169" s="474">
        <f t="shared" ca="1" si="392"/>
        <v>0</v>
      </c>
      <c r="DU169" s="474">
        <f t="shared" ca="1" si="392"/>
        <v>0</v>
      </c>
      <c r="DV169" s="474">
        <f t="shared" ca="1" si="392"/>
        <v>0</v>
      </c>
      <c r="DW169" s="474">
        <f t="shared" ca="1" si="392"/>
        <v>0</v>
      </c>
      <c r="DX169" s="474">
        <f t="shared" ca="1" si="392"/>
        <v>0</v>
      </c>
      <c r="DY169" s="474">
        <f t="shared" ca="1" si="392"/>
        <v>0</v>
      </c>
      <c r="DZ169" s="474">
        <f t="shared" ca="1" si="392"/>
        <v>0</v>
      </c>
      <c r="EA169" s="504">
        <f t="shared" ca="1" si="418"/>
        <v>0</v>
      </c>
      <c r="EB169" s="2"/>
      <c r="EC169" s="474">
        <f t="shared" ca="1" si="419"/>
        <v>0</v>
      </c>
      <c r="ED169" s="474">
        <f t="shared" ca="1" si="393"/>
        <v>0</v>
      </c>
      <c r="EE169" s="474">
        <f t="shared" ca="1" si="393"/>
        <v>0</v>
      </c>
      <c r="EF169" s="474">
        <f t="shared" ca="1" si="393"/>
        <v>0</v>
      </c>
      <c r="EG169" s="474">
        <f t="shared" ca="1" si="393"/>
        <v>0</v>
      </c>
      <c r="EH169" s="474">
        <f t="shared" ca="1" si="393"/>
        <v>0</v>
      </c>
      <c r="EI169" s="474">
        <f t="shared" ca="1" si="393"/>
        <v>0</v>
      </c>
      <c r="EJ169" s="474">
        <f t="shared" ca="1" si="393"/>
        <v>0</v>
      </c>
      <c r="EK169" s="474">
        <f t="shared" ca="1" si="393"/>
        <v>0</v>
      </c>
      <c r="EL169" s="474">
        <f t="shared" ca="1" si="393"/>
        <v>0</v>
      </c>
      <c r="EM169" s="474">
        <f t="shared" ca="1" si="393"/>
        <v>0</v>
      </c>
      <c r="EN169" s="474">
        <f t="shared" ca="1" si="393"/>
        <v>0</v>
      </c>
      <c r="EO169" s="504">
        <f t="shared" ca="1" si="420"/>
        <v>0</v>
      </c>
      <c r="EP169" s="2"/>
      <c r="EQ169" s="474">
        <f t="shared" ca="1" si="421"/>
        <v>0</v>
      </c>
      <c r="ER169" s="474">
        <f t="shared" ca="1" si="394"/>
        <v>0</v>
      </c>
      <c r="ES169" s="474">
        <f t="shared" ca="1" si="394"/>
        <v>0</v>
      </c>
      <c r="ET169" s="474">
        <f t="shared" ca="1" si="394"/>
        <v>0</v>
      </c>
      <c r="EU169" s="474">
        <f t="shared" ca="1" si="394"/>
        <v>0</v>
      </c>
      <c r="EV169" s="474">
        <f t="shared" ca="1" si="394"/>
        <v>0</v>
      </c>
      <c r="EW169" s="474">
        <f t="shared" ca="1" si="394"/>
        <v>0</v>
      </c>
      <c r="EX169" s="474">
        <f t="shared" ca="1" si="394"/>
        <v>0</v>
      </c>
      <c r="EY169" s="474">
        <f t="shared" ca="1" si="394"/>
        <v>0</v>
      </c>
      <c r="EZ169" s="474">
        <f t="shared" ca="1" si="394"/>
        <v>0</v>
      </c>
      <c r="FA169" s="474">
        <f t="shared" ca="1" si="394"/>
        <v>0</v>
      </c>
      <c r="FB169" s="474">
        <f t="shared" ca="1" si="394"/>
        <v>0</v>
      </c>
      <c r="FC169" s="504">
        <f t="shared" ca="1" si="422"/>
        <v>0</v>
      </c>
      <c r="FD169" s="2"/>
      <c r="FE169" s="474">
        <f t="shared" ca="1" si="423"/>
        <v>0</v>
      </c>
      <c r="FF169" s="474">
        <f t="shared" ca="1" si="395"/>
        <v>0</v>
      </c>
      <c r="FG169" s="474">
        <f t="shared" ca="1" si="395"/>
        <v>0</v>
      </c>
      <c r="FH169" s="474">
        <f t="shared" ca="1" si="395"/>
        <v>0</v>
      </c>
      <c r="FI169" s="474">
        <f t="shared" ca="1" si="395"/>
        <v>0</v>
      </c>
      <c r="FJ169" s="474">
        <f t="shared" ca="1" si="395"/>
        <v>0</v>
      </c>
      <c r="FK169" s="474">
        <f t="shared" ca="1" si="395"/>
        <v>0</v>
      </c>
      <c r="FL169" s="474">
        <f t="shared" ca="1" si="395"/>
        <v>0</v>
      </c>
      <c r="FM169" s="474">
        <f t="shared" ca="1" si="395"/>
        <v>0</v>
      </c>
      <c r="FN169" s="474">
        <f t="shared" ca="1" si="395"/>
        <v>0</v>
      </c>
      <c r="FO169" s="474">
        <f t="shared" ca="1" si="395"/>
        <v>0</v>
      </c>
      <c r="FP169" s="474">
        <f t="shared" ca="1" si="395"/>
        <v>0</v>
      </c>
      <c r="FQ169" s="504">
        <f t="shared" ca="1" si="424"/>
        <v>0</v>
      </c>
      <c r="FS169" s="504">
        <f t="shared" ca="1" si="425"/>
        <v>4688611.97</v>
      </c>
    </row>
    <row r="170" spans="2:175">
      <c r="F170" s="1"/>
      <c r="G170"/>
      <c r="H170" s="76" t="s">
        <v>48</v>
      </c>
      <c r="I170" s="474">
        <f ca="1">SUMIF(EAC[Primary Category],H170,EAC[Estimate At Completion])</f>
        <v>0</v>
      </c>
      <c r="J170" s="474">
        <f t="shared" ca="1" si="396"/>
        <v>0</v>
      </c>
      <c r="K170" s="503">
        <f t="shared" ca="1" si="397"/>
        <v>0</v>
      </c>
      <c r="M170" s="504">
        <f t="shared" ca="1" si="398"/>
        <v>0</v>
      </c>
      <c r="O170" s="504">
        <f t="shared" ref="O170" ca="1" si="426">SUMIF($U$6:$FQ$6,"Previous Fiscal",AG170:FQ170)</f>
        <v>0</v>
      </c>
      <c r="P170" s="474">
        <f t="shared" ca="1" si="400"/>
        <v>0</v>
      </c>
      <c r="Q170" s="474">
        <f t="shared" ca="1" si="400"/>
        <v>0</v>
      </c>
      <c r="R170" s="504">
        <f t="shared" ca="1" si="401"/>
        <v>0</v>
      </c>
      <c r="S170" s="504">
        <f t="shared" ca="1" si="402"/>
        <v>0</v>
      </c>
      <c r="U170" s="474">
        <f t="shared" ca="1" si="403"/>
        <v>0</v>
      </c>
      <c r="V170" s="474">
        <f t="shared" ca="1" si="385"/>
        <v>0</v>
      </c>
      <c r="W170" s="474">
        <f t="shared" ca="1" si="385"/>
        <v>0</v>
      </c>
      <c r="X170" s="474">
        <f t="shared" ca="1" si="385"/>
        <v>0</v>
      </c>
      <c r="Y170" s="474">
        <f t="shared" ca="1" si="385"/>
        <v>0</v>
      </c>
      <c r="Z170" s="474">
        <f t="shared" ca="1" si="385"/>
        <v>0</v>
      </c>
      <c r="AA170" s="474">
        <f t="shared" ca="1" si="385"/>
        <v>0</v>
      </c>
      <c r="AB170" s="474">
        <f t="shared" ca="1" si="385"/>
        <v>0</v>
      </c>
      <c r="AC170" s="474">
        <f t="shared" ca="1" si="385"/>
        <v>0</v>
      </c>
      <c r="AD170" s="474">
        <f t="shared" ca="1" si="385"/>
        <v>0</v>
      </c>
      <c r="AE170" s="474">
        <f t="shared" ca="1" si="385"/>
        <v>0</v>
      </c>
      <c r="AF170" s="474">
        <f t="shared" ca="1" si="385"/>
        <v>0</v>
      </c>
      <c r="AG170" s="504">
        <f t="shared" ca="1" si="404"/>
        <v>0</v>
      </c>
      <c r="AI170" s="474">
        <f t="shared" ca="1" si="405"/>
        <v>0</v>
      </c>
      <c r="AJ170" s="474">
        <f t="shared" ca="1" si="386"/>
        <v>0</v>
      </c>
      <c r="AK170" s="474">
        <f t="shared" ca="1" si="386"/>
        <v>0</v>
      </c>
      <c r="AL170" s="474">
        <f t="shared" ca="1" si="386"/>
        <v>0</v>
      </c>
      <c r="AM170" s="474">
        <f t="shared" ca="1" si="386"/>
        <v>0</v>
      </c>
      <c r="AN170" s="474">
        <f t="shared" ca="1" si="386"/>
        <v>0</v>
      </c>
      <c r="AO170" s="474">
        <f t="shared" ca="1" si="386"/>
        <v>0</v>
      </c>
      <c r="AP170" s="474">
        <f t="shared" ca="1" si="386"/>
        <v>0</v>
      </c>
      <c r="AQ170" s="474">
        <f t="shared" ca="1" si="386"/>
        <v>0</v>
      </c>
      <c r="AR170" s="474">
        <f t="shared" ca="1" si="386"/>
        <v>0</v>
      </c>
      <c r="AS170" s="474">
        <f t="shared" ca="1" si="386"/>
        <v>0</v>
      </c>
      <c r="AT170" s="474">
        <f t="shared" ca="1" si="386"/>
        <v>0</v>
      </c>
      <c r="AU170" s="474">
        <f t="shared" ca="1" si="406"/>
        <v>0</v>
      </c>
      <c r="AW170" s="474">
        <f t="shared" ca="1" si="407"/>
        <v>0</v>
      </c>
      <c r="AX170" s="474">
        <f t="shared" ca="1" si="387"/>
        <v>0</v>
      </c>
      <c r="AY170" s="474">
        <f t="shared" ca="1" si="387"/>
        <v>0</v>
      </c>
      <c r="AZ170" s="474">
        <f t="shared" ca="1" si="387"/>
        <v>0</v>
      </c>
      <c r="BA170" s="474">
        <f t="shared" ca="1" si="387"/>
        <v>0</v>
      </c>
      <c r="BB170" s="474">
        <f t="shared" ca="1" si="387"/>
        <v>0</v>
      </c>
      <c r="BC170" s="474">
        <f t="shared" ca="1" si="387"/>
        <v>0</v>
      </c>
      <c r="BD170" s="474">
        <f t="shared" ca="1" si="387"/>
        <v>0</v>
      </c>
      <c r="BE170" s="474">
        <f t="shared" ca="1" si="387"/>
        <v>0</v>
      </c>
      <c r="BF170" s="474">
        <f t="shared" ca="1" si="387"/>
        <v>0</v>
      </c>
      <c r="BG170" s="474">
        <f t="shared" ca="1" si="387"/>
        <v>0</v>
      </c>
      <c r="BH170" s="474">
        <f t="shared" ca="1" si="387"/>
        <v>0</v>
      </c>
      <c r="BI170" s="504">
        <f t="shared" ca="1" si="408"/>
        <v>0</v>
      </c>
      <c r="BK170" s="474">
        <f t="shared" ca="1" si="409"/>
        <v>0</v>
      </c>
      <c r="BL170" s="474">
        <f t="shared" ca="1" si="388"/>
        <v>0</v>
      </c>
      <c r="BM170" s="474">
        <f t="shared" ca="1" si="388"/>
        <v>0</v>
      </c>
      <c r="BN170" s="474">
        <f t="shared" ca="1" si="388"/>
        <v>0</v>
      </c>
      <c r="BO170" s="474">
        <f t="shared" ca="1" si="388"/>
        <v>0</v>
      </c>
      <c r="BP170" s="474">
        <f t="shared" ca="1" si="388"/>
        <v>0</v>
      </c>
      <c r="BQ170" s="474">
        <f t="shared" ca="1" si="388"/>
        <v>0</v>
      </c>
      <c r="BR170" s="474">
        <f t="shared" ca="1" si="388"/>
        <v>0</v>
      </c>
      <c r="BS170" s="474">
        <f t="shared" ca="1" si="388"/>
        <v>0</v>
      </c>
      <c r="BT170" s="474">
        <f t="shared" ca="1" si="388"/>
        <v>0</v>
      </c>
      <c r="BU170" s="474">
        <f t="shared" ca="1" si="388"/>
        <v>0</v>
      </c>
      <c r="BV170" s="474">
        <f t="shared" ca="1" si="388"/>
        <v>0</v>
      </c>
      <c r="BW170" s="504">
        <f t="shared" ca="1" si="410"/>
        <v>0</v>
      </c>
      <c r="BY170" s="474">
        <f t="shared" ca="1" si="411"/>
        <v>0</v>
      </c>
      <c r="BZ170" s="474">
        <f t="shared" ca="1" si="389"/>
        <v>0</v>
      </c>
      <c r="CA170" s="474">
        <f t="shared" ca="1" si="389"/>
        <v>0</v>
      </c>
      <c r="CB170" s="474">
        <f t="shared" ca="1" si="389"/>
        <v>0</v>
      </c>
      <c r="CC170" s="474">
        <f t="shared" ca="1" si="389"/>
        <v>0</v>
      </c>
      <c r="CD170" s="474">
        <f t="shared" ca="1" si="389"/>
        <v>0</v>
      </c>
      <c r="CE170" s="474">
        <f t="shared" ca="1" si="389"/>
        <v>0</v>
      </c>
      <c r="CF170" s="474">
        <f t="shared" ca="1" si="389"/>
        <v>0</v>
      </c>
      <c r="CG170" s="474">
        <f t="shared" ca="1" si="389"/>
        <v>0</v>
      </c>
      <c r="CH170" s="474">
        <f t="shared" ca="1" si="389"/>
        <v>0</v>
      </c>
      <c r="CI170" s="474">
        <f t="shared" ca="1" si="389"/>
        <v>0</v>
      </c>
      <c r="CJ170" s="474">
        <f t="shared" ca="1" si="389"/>
        <v>0</v>
      </c>
      <c r="CK170" s="504">
        <f t="shared" ca="1" si="412"/>
        <v>0</v>
      </c>
      <c r="CM170" s="474">
        <f t="shared" ca="1" si="413"/>
        <v>0</v>
      </c>
      <c r="CN170" s="474">
        <f t="shared" ca="1" si="390"/>
        <v>0</v>
      </c>
      <c r="CO170" s="474">
        <f t="shared" ca="1" si="390"/>
        <v>0</v>
      </c>
      <c r="CP170" s="474">
        <f t="shared" ca="1" si="390"/>
        <v>0</v>
      </c>
      <c r="CQ170" s="474">
        <f t="shared" ca="1" si="390"/>
        <v>0</v>
      </c>
      <c r="CR170" s="474">
        <f t="shared" ca="1" si="390"/>
        <v>0</v>
      </c>
      <c r="CS170" s="474">
        <f t="shared" ca="1" si="390"/>
        <v>0</v>
      </c>
      <c r="CT170" s="474">
        <f t="shared" ca="1" si="390"/>
        <v>0</v>
      </c>
      <c r="CU170" s="474">
        <f t="shared" ca="1" si="390"/>
        <v>0</v>
      </c>
      <c r="CV170" s="474">
        <f t="shared" ca="1" si="390"/>
        <v>0</v>
      </c>
      <c r="CW170" s="474">
        <f t="shared" ca="1" si="390"/>
        <v>0</v>
      </c>
      <c r="CX170" s="474">
        <f t="shared" ca="1" si="390"/>
        <v>0</v>
      </c>
      <c r="CY170" s="504">
        <f t="shared" ca="1" si="414"/>
        <v>0</v>
      </c>
      <c r="DA170" s="474">
        <f t="shared" ca="1" si="415"/>
        <v>0</v>
      </c>
      <c r="DB170" s="474">
        <f t="shared" ca="1" si="391"/>
        <v>0</v>
      </c>
      <c r="DC170" s="474">
        <f t="shared" ca="1" si="391"/>
        <v>0</v>
      </c>
      <c r="DD170" s="474">
        <f t="shared" ca="1" si="391"/>
        <v>0</v>
      </c>
      <c r="DE170" s="474">
        <f t="shared" ca="1" si="391"/>
        <v>0</v>
      </c>
      <c r="DF170" s="474">
        <f t="shared" ca="1" si="391"/>
        <v>0</v>
      </c>
      <c r="DG170" s="474">
        <f t="shared" ca="1" si="391"/>
        <v>0</v>
      </c>
      <c r="DH170" s="474">
        <f t="shared" ca="1" si="391"/>
        <v>0</v>
      </c>
      <c r="DI170" s="474">
        <f t="shared" ca="1" si="391"/>
        <v>0</v>
      </c>
      <c r="DJ170" s="474">
        <f t="shared" ca="1" si="391"/>
        <v>0</v>
      </c>
      <c r="DK170" s="474">
        <f t="shared" ca="1" si="391"/>
        <v>0</v>
      </c>
      <c r="DL170" s="474">
        <f t="shared" ca="1" si="391"/>
        <v>0</v>
      </c>
      <c r="DM170" s="504">
        <f t="shared" ca="1" si="416"/>
        <v>0</v>
      </c>
      <c r="DO170" s="474">
        <f t="shared" ca="1" si="417"/>
        <v>0</v>
      </c>
      <c r="DP170" s="474">
        <f t="shared" ca="1" si="392"/>
        <v>0</v>
      </c>
      <c r="DQ170" s="474">
        <f t="shared" ca="1" si="392"/>
        <v>0</v>
      </c>
      <c r="DR170" s="474">
        <f t="shared" ca="1" si="392"/>
        <v>0</v>
      </c>
      <c r="DS170" s="474">
        <f t="shared" ca="1" si="392"/>
        <v>0</v>
      </c>
      <c r="DT170" s="474">
        <f t="shared" ca="1" si="392"/>
        <v>0</v>
      </c>
      <c r="DU170" s="474">
        <f t="shared" ca="1" si="392"/>
        <v>0</v>
      </c>
      <c r="DV170" s="474">
        <f t="shared" ca="1" si="392"/>
        <v>0</v>
      </c>
      <c r="DW170" s="474">
        <f t="shared" ca="1" si="392"/>
        <v>0</v>
      </c>
      <c r="DX170" s="474">
        <f t="shared" ca="1" si="392"/>
        <v>0</v>
      </c>
      <c r="DY170" s="474">
        <f t="shared" ca="1" si="392"/>
        <v>0</v>
      </c>
      <c r="DZ170" s="474">
        <f t="shared" ca="1" si="392"/>
        <v>0</v>
      </c>
      <c r="EA170" s="504">
        <f t="shared" ca="1" si="418"/>
        <v>0</v>
      </c>
      <c r="EC170" s="474">
        <f t="shared" ca="1" si="419"/>
        <v>0</v>
      </c>
      <c r="ED170" s="474">
        <f t="shared" ca="1" si="393"/>
        <v>0</v>
      </c>
      <c r="EE170" s="474">
        <f t="shared" ca="1" si="393"/>
        <v>0</v>
      </c>
      <c r="EF170" s="474">
        <f t="shared" ca="1" si="393"/>
        <v>0</v>
      </c>
      <c r="EG170" s="474">
        <f t="shared" ca="1" si="393"/>
        <v>0</v>
      </c>
      <c r="EH170" s="474">
        <f t="shared" ca="1" si="393"/>
        <v>0</v>
      </c>
      <c r="EI170" s="474">
        <f t="shared" ca="1" si="393"/>
        <v>0</v>
      </c>
      <c r="EJ170" s="474">
        <f t="shared" ca="1" si="393"/>
        <v>0</v>
      </c>
      <c r="EK170" s="474">
        <f t="shared" ca="1" si="393"/>
        <v>0</v>
      </c>
      <c r="EL170" s="474">
        <f t="shared" ca="1" si="393"/>
        <v>0</v>
      </c>
      <c r="EM170" s="474">
        <f t="shared" ca="1" si="393"/>
        <v>0</v>
      </c>
      <c r="EN170" s="474">
        <f t="shared" ca="1" si="393"/>
        <v>0</v>
      </c>
      <c r="EO170" s="504">
        <f t="shared" ca="1" si="420"/>
        <v>0</v>
      </c>
      <c r="EQ170" s="474">
        <f t="shared" ca="1" si="421"/>
        <v>0</v>
      </c>
      <c r="ER170" s="474">
        <f t="shared" ca="1" si="394"/>
        <v>0</v>
      </c>
      <c r="ES170" s="474">
        <f t="shared" ca="1" si="394"/>
        <v>0</v>
      </c>
      <c r="ET170" s="474">
        <f t="shared" ca="1" si="394"/>
        <v>0</v>
      </c>
      <c r="EU170" s="474">
        <f t="shared" ca="1" si="394"/>
        <v>0</v>
      </c>
      <c r="EV170" s="474">
        <f t="shared" ca="1" si="394"/>
        <v>0</v>
      </c>
      <c r="EW170" s="474">
        <f t="shared" ca="1" si="394"/>
        <v>0</v>
      </c>
      <c r="EX170" s="474">
        <f t="shared" ca="1" si="394"/>
        <v>0</v>
      </c>
      <c r="EY170" s="474">
        <f t="shared" ca="1" si="394"/>
        <v>0</v>
      </c>
      <c r="EZ170" s="474">
        <f t="shared" ca="1" si="394"/>
        <v>0</v>
      </c>
      <c r="FA170" s="474">
        <f t="shared" ca="1" si="394"/>
        <v>0</v>
      </c>
      <c r="FB170" s="474">
        <f t="shared" ca="1" si="394"/>
        <v>0</v>
      </c>
      <c r="FC170" s="504">
        <f t="shared" ca="1" si="422"/>
        <v>0</v>
      </c>
      <c r="FE170" s="474">
        <f t="shared" ca="1" si="423"/>
        <v>0</v>
      </c>
      <c r="FF170" s="474">
        <f t="shared" ca="1" si="395"/>
        <v>0</v>
      </c>
      <c r="FG170" s="474">
        <f t="shared" ca="1" si="395"/>
        <v>0</v>
      </c>
      <c r="FH170" s="474">
        <f t="shared" ca="1" si="395"/>
        <v>0</v>
      </c>
      <c r="FI170" s="474">
        <f t="shared" ca="1" si="395"/>
        <v>0</v>
      </c>
      <c r="FJ170" s="474">
        <f t="shared" ca="1" si="395"/>
        <v>0</v>
      </c>
      <c r="FK170" s="474">
        <f t="shared" ca="1" si="395"/>
        <v>0</v>
      </c>
      <c r="FL170" s="474">
        <f t="shared" ca="1" si="395"/>
        <v>0</v>
      </c>
      <c r="FM170" s="474">
        <f t="shared" ca="1" si="395"/>
        <v>0</v>
      </c>
      <c r="FN170" s="474">
        <f t="shared" ca="1" si="395"/>
        <v>0</v>
      </c>
      <c r="FO170" s="474">
        <f t="shared" ca="1" si="395"/>
        <v>0</v>
      </c>
      <c r="FP170" s="474">
        <f t="shared" ca="1" si="395"/>
        <v>0</v>
      </c>
      <c r="FQ170" s="504">
        <f t="shared" ca="1" si="424"/>
        <v>0</v>
      </c>
      <c r="FS170" s="504">
        <f t="shared" ca="1" si="425"/>
        <v>0</v>
      </c>
    </row>
    <row r="171" spans="2:175">
      <c r="F171" s="1"/>
      <c r="G171"/>
      <c r="H171" s="230" t="s">
        <v>274</v>
      </c>
      <c r="I171" s="465">
        <f ca="1">SUM(I164:I170)</f>
        <v>191099999.88000005</v>
      </c>
      <c r="J171" s="465">
        <f ca="1">SUM(J164:J170)</f>
        <v>182727345.40000004</v>
      </c>
      <c r="K171" s="465">
        <f ca="1">SUM(K164:K170)</f>
        <v>8372654.4800000135</v>
      </c>
      <c r="M171" s="465">
        <f ca="1">SUM(M164:M170)</f>
        <v>0</v>
      </c>
      <c r="O171" s="465">
        <f ca="1">SUM(O163:O170)</f>
        <v>182447597.93000001</v>
      </c>
      <c r="P171" s="465">
        <f t="shared" ref="P171:Q171" ca="1" si="427">SUM(P163:P170)</f>
        <v>73319.76999999999</v>
      </c>
      <c r="Q171" s="465">
        <f t="shared" ca="1" si="427"/>
        <v>1441852.22</v>
      </c>
      <c r="R171" s="465">
        <f t="shared" ref="R171:S171" ca="1" si="428">SUM(R163:R170)</f>
        <v>1515171.9899999998</v>
      </c>
      <c r="S171" s="465">
        <f t="shared" ca="1" si="428"/>
        <v>7137229.96</v>
      </c>
      <c r="U171" s="465">
        <f t="shared" ref="U171:AG171" ca="1" si="429">SUM(U164:U170)</f>
        <v>0</v>
      </c>
      <c r="V171" s="465">
        <f t="shared" ca="1" si="429"/>
        <v>0</v>
      </c>
      <c r="W171" s="465">
        <f t="shared" ca="1" si="429"/>
        <v>0</v>
      </c>
      <c r="X171" s="465">
        <f t="shared" ca="1" si="429"/>
        <v>0</v>
      </c>
      <c r="Y171" s="465">
        <f t="shared" ca="1" si="429"/>
        <v>70549.600000000006</v>
      </c>
      <c r="Z171" s="465">
        <f t="shared" ca="1" si="429"/>
        <v>45459.99</v>
      </c>
      <c r="AA171" s="465">
        <f t="shared" ca="1" si="429"/>
        <v>64270.92</v>
      </c>
      <c r="AB171" s="465">
        <f t="shared" ca="1" si="429"/>
        <v>70291.48</v>
      </c>
      <c r="AC171" s="465">
        <f t="shared" ca="1" si="429"/>
        <v>113754.36</v>
      </c>
      <c r="AD171" s="465">
        <f t="shared" ca="1" si="429"/>
        <v>3366295.18</v>
      </c>
      <c r="AE171" s="465">
        <f t="shared" ca="1" si="429"/>
        <v>33626.18</v>
      </c>
      <c r="AF171" s="465">
        <f t="shared" ca="1" si="429"/>
        <v>40826.410000000003</v>
      </c>
      <c r="AG171" s="465">
        <f t="shared" ca="1" si="429"/>
        <v>3805074.12</v>
      </c>
      <c r="AI171" s="465">
        <f t="shared" ref="AI171:AU171" ca="1" si="430">SUM(AI164:AI170)</f>
        <v>0</v>
      </c>
      <c r="AJ171" s="465">
        <f t="shared" ca="1" si="430"/>
        <v>306030</v>
      </c>
      <c r="AK171" s="465">
        <f t="shared" ca="1" si="430"/>
        <v>1482047.17</v>
      </c>
      <c r="AL171" s="465">
        <f t="shared" ca="1" si="430"/>
        <v>425581.29000000004</v>
      </c>
      <c r="AM171" s="465">
        <f t="shared" ca="1" si="430"/>
        <v>383205.14999999997</v>
      </c>
      <c r="AN171" s="465">
        <f t="shared" ca="1" si="430"/>
        <v>341521.97</v>
      </c>
      <c r="AO171" s="465">
        <f t="shared" ca="1" si="430"/>
        <v>345370.03</v>
      </c>
      <c r="AP171" s="465">
        <f t="shared" ca="1" si="430"/>
        <v>354037.01</v>
      </c>
      <c r="AQ171" s="465">
        <f t="shared" ca="1" si="430"/>
        <v>257482.62</v>
      </c>
      <c r="AR171" s="465">
        <f t="shared" ca="1" si="430"/>
        <v>265998.07</v>
      </c>
      <c r="AS171" s="465">
        <f t="shared" ca="1" si="430"/>
        <v>258481.03</v>
      </c>
      <c r="AT171" s="465">
        <f t="shared" ca="1" si="430"/>
        <v>646547.74</v>
      </c>
      <c r="AU171" s="465">
        <f t="shared" ca="1" si="430"/>
        <v>5066302.08</v>
      </c>
      <c r="AW171" s="465">
        <f t="shared" ref="AW171:BI171" ca="1" si="431">SUM(AW164:AW170)</f>
        <v>34348.850000000006</v>
      </c>
      <c r="AX171" s="465">
        <f t="shared" ca="1" si="431"/>
        <v>560829.26</v>
      </c>
      <c r="AY171" s="465">
        <f t="shared" ca="1" si="431"/>
        <v>379011.20999999996</v>
      </c>
      <c r="AZ171" s="465">
        <f t="shared" ca="1" si="431"/>
        <v>398927.95</v>
      </c>
      <c r="BA171" s="465">
        <f t="shared" ca="1" si="431"/>
        <v>417205.13</v>
      </c>
      <c r="BB171" s="465">
        <f t="shared" ca="1" si="431"/>
        <v>460514.61000000004</v>
      </c>
      <c r="BC171" s="465">
        <f t="shared" ca="1" si="431"/>
        <v>618436.8899999999</v>
      </c>
      <c r="BD171" s="465">
        <f t="shared" ca="1" si="431"/>
        <v>1382507.8499999999</v>
      </c>
      <c r="BE171" s="465">
        <f t="shared" ca="1" si="431"/>
        <v>244742.34999999998</v>
      </c>
      <c r="BF171" s="465">
        <f t="shared" ca="1" si="431"/>
        <v>160547.64000000001</v>
      </c>
      <c r="BG171" s="465">
        <f t="shared" ca="1" si="431"/>
        <v>54663.83</v>
      </c>
      <c r="BH171" s="465">
        <f t="shared" ca="1" si="431"/>
        <v>154625.39000000001</v>
      </c>
      <c r="BI171" s="465">
        <f t="shared" ca="1" si="431"/>
        <v>4866360.959999999</v>
      </c>
      <c r="BK171" s="465">
        <f t="shared" ref="BK171:BW171" ca="1" si="432">SUM(BK164:BK170)</f>
        <v>32009.22</v>
      </c>
      <c r="BL171" s="465">
        <f t="shared" ca="1" si="432"/>
        <v>87225.77</v>
      </c>
      <c r="BM171" s="465">
        <f t="shared" ca="1" si="432"/>
        <v>147894.70000000001</v>
      </c>
      <c r="BN171" s="465">
        <f t="shared" ca="1" si="432"/>
        <v>159353.51</v>
      </c>
      <c r="BO171" s="465">
        <f t="shared" ca="1" si="432"/>
        <v>235597.81</v>
      </c>
      <c r="BP171" s="465">
        <f t="shared" ca="1" si="432"/>
        <v>2787597.66</v>
      </c>
      <c r="BQ171" s="465">
        <f t="shared" ca="1" si="432"/>
        <v>896855.61</v>
      </c>
      <c r="BR171" s="465">
        <f t="shared" ca="1" si="432"/>
        <v>1637398.74</v>
      </c>
      <c r="BS171" s="465">
        <f t="shared" ca="1" si="432"/>
        <v>1092048.67</v>
      </c>
      <c r="BT171" s="465">
        <f t="shared" ca="1" si="432"/>
        <v>1626918.0899999999</v>
      </c>
      <c r="BU171" s="465">
        <f t="shared" ca="1" si="432"/>
        <v>2188545.7799999998</v>
      </c>
      <c r="BV171" s="465">
        <f t="shared" ca="1" si="432"/>
        <v>4375234.74</v>
      </c>
      <c r="BW171" s="465">
        <f t="shared" ca="1" si="432"/>
        <v>15266680.300000001</v>
      </c>
      <c r="BY171" s="465">
        <f t="shared" ref="BY171:CK171" ca="1" si="433">SUM(BY164:BY170)</f>
        <v>48667.5</v>
      </c>
      <c r="BZ171" s="465">
        <f t="shared" ca="1" si="433"/>
        <v>2545147.9</v>
      </c>
      <c r="CA171" s="465">
        <f t="shared" ca="1" si="433"/>
        <v>2392322.6199999996</v>
      </c>
      <c r="CB171" s="465">
        <f t="shared" ca="1" si="433"/>
        <v>2107079.7600000002</v>
      </c>
      <c r="CC171" s="465">
        <f t="shared" ca="1" si="433"/>
        <v>2349776.7599999998</v>
      </c>
      <c r="CD171" s="465">
        <f t="shared" ca="1" si="433"/>
        <v>1868298.45</v>
      </c>
      <c r="CE171" s="465">
        <f t="shared" ca="1" si="433"/>
        <v>2520593.7800000003</v>
      </c>
      <c r="CF171" s="465">
        <f t="shared" ca="1" si="433"/>
        <v>2265015.19</v>
      </c>
      <c r="CG171" s="465">
        <f t="shared" ca="1" si="433"/>
        <v>2909666.84</v>
      </c>
      <c r="CH171" s="465">
        <f t="shared" ca="1" si="433"/>
        <v>2739074.1</v>
      </c>
      <c r="CI171" s="465">
        <f t="shared" ca="1" si="433"/>
        <v>152285.85999999999</v>
      </c>
      <c r="CJ171" s="465">
        <f t="shared" ca="1" si="433"/>
        <v>8926629.4700000007</v>
      </c>
      <c r="CK171" s="465">
        <f t="shared" ca="1" si="433"/>
        <v>30824558.230000004</v>
      </c>
      <c r="CM171" s="465">
        <f t="shared" ref="CM171:CY171" ca="1" si="434">SUM(CM164:CM170)</f>
        <v>452020.68</v>
      </c>
      <c r="CN171" s="465">
        <f t="shared" ca="1" si="434"/>
        <v>4449468.4300000006</v>
      </c>
      <c r="CO171" s="465">
        <f t="shared" ca="1" si="434"/>
        <v>6086613.5600000005</v>
      </c>
      <c r="CP171" s="465">
        <f t="shared" ca="1" si="434"/>
        <v>5872216.3300000001</v>
      </c>
      <c r="CQ171" s="465">
        <f t="shared" ca="1" si="434"/>
        <v>6321995.7800000003</v>
      </c>
      <c r="CR171" s="465">
        <f t="shared" ca="1" si="434"/>
        <v>9531002.9900000002</v>
      </c>
      <c r="CS171" s="465">
        <f t="shared" ca="1" si="434"/>
        <v>7429437.1600000001</v>
      </c>
      <c r="CT171" s="465">
        <f t="shared" ca="1" si="434"/>
        <v>7604604.8999999994</v>
      </c>
      <c r="CU171" s="465">
        <f t="shared" ca="1" si="434"/>
        <v>5900682.629999999</v>
      </c>
      <c r="CV171" s="465">
        <f t="shared" ca="1" si="434"/>
        <v>6244703.5800000001</v>
      </c>
      <c r="CW171" s="465">
        <f t="shared" ca="1" si="434"/>
        <v>5955543.25</v>
      </c>
      <c r="CX171" s="465">
        <f t="shared" ca="1" si="434"/>
        <v>11132382.43</v>
      </c>
      <c r="CY171" s="465">
        <f t="shared" ca="1" si="434"/>
        <v>76980671.720000014</v>
      </c>
      <c r="DA171" s="465">
        <f t="shared" ref="DA171:DM171" ca="1" si="435">SUM(DA164:DA170)</f>
        <v>278497.16000000003</v>
      </c>
      <c r="DB171" s="465">
        <f t="shared" ca="1" si="435"/>
        <v>4882063.99</v>
      </c>
      <c r="DC171" s="465">
        <f t="shared" ca="1" si="435"/>
        <v>4731909.4700000007</v>
      </c>
      <c r="DD171" s="465">
        <f t="shared" ca="1" si="435"/>
        <v>3728976.3500000006</v>
      </c>
      <c r="DE171" s="465">
        <f t="shared" ca="1" si="435"/>
        <v>4003755.7800000003</v>
      </c>
      <c r="DF171" s="465">
        <f t="shared" ca="1" si="435"/>
        <v>3956157.25</v>
      </c>
      <c r="DG171" s="465">
        <f t="shared" ca="1" si="435"/>
        <v>3073240.23</v>
      </c>
      <c r="DH171" s="465">
        <f t="shared" ca="1" si="435"/>
        <v>1972629.7599999998</v>
      </c>
      <c r="DI171" s="465">
        <f t="shared" ca="1" si="435"/>
        <v>1946571.27</v>
      </c>
      <c r="DJ171" s="465">
        <f t="shared" ca="1" si="435"/>
        <v>1502118.09</v>
      </c>
      <c r="DK171" s="465">
        <f t="shared" ca="1" si="435"/>
        <v>1395339.27</v>
      </c>
      <c r="DL171" s="465">
        <f t="shared" ca="1" si="435"/>
        <v>2667921.7400000002</v>
      </c>
      <c r="DM171" s="465">
        <f t="shared" ca="1" si="435"/>
        <v>34139180.359999992</v>
      </c>
      <c r="DO171" s="465">
        <f t="shared" ref="DO171:EA171" ca="1" si="436">SUM(DO164:DO170)</f>
        <v>193776.56</v>
      </c>
      <c r="DP171" s="465">
        <f t="shared" ca="1" si="436"/>
        <v>89723.25</v>
      </c>
      <c r="DQ171" s="465">
        <f t="shared" ca="1" si="436"/>
        <v>746845.91999999993</v>
      </c>
      <c r="DR171" s="465">
        <f t="shared" ca="1" si="436"/>
        <v>662047.47</v>
      </c>
      <c r="DS171" s="465">
        <f t="shared" ca="1" si="436"/>
        <v>746370.79</v>
      </c>
      <c r="DT171" s="465">
        <f t="shared" ca="1" si="436"/>
        <v>49192.73</v>
      </c>
      <c r="DU171" s="465">
        <f t="shared" ca="1" si="436"/>
        <v>5549374.2800000003</v>
      </c>
      <c r="DV171" s="465">
        <f t="shared" ca="1" si="436"/>
        <v>999375.67999999993</v>
      </c>
      <c r="DW171" s="465">
        <f t="shared" ca="1" si="436"/>
        <v>520860.10000000003</v>
      </c>
      <c r="DX171" s="465">
        <f t="shared" ca="1" si="436"/>
        <v>433312.33999999997</v>
      </c>
      <c r="DY171" s="465">
        <f t="shared" ca="1" si="436"/>
        <v>629450.86</v>
      </c>
      <c r="DZ171" s="465">
        <f t="shared" ca="1" si="436"/>
        <v>878440.18000000017</v>
      </c>
      <c r="EA171" s="465">
        <f t="shared" ca="1" si="436"/>
        <v>11498770.159999998</v>
      </c>
      <c r="EC171" s="465">
        <f t="shared" ref="EC171:EO171" ca="1" si="437">SUM(EC164:EC170)</f>
        <v>73319.76999999999</v>
      </c>
      <c r="ED171" s="465">
        <f t="shared" ca="1" si="437"/>
        <v>198632.21</v>
      </c>
      <c r="EE171" s="465">
        <f t="shared" ca="1" si="437"/>
        <v>119000</v>
      </c>
      <c r="EF171" s="465">
        <f t="shared" ca="1" si="437"/>
        <v>492748</v>
      </c>
      <c r="EG171" s="465">
        <f t="shared" ca="1" si="437"/>
        <v>324210.91000000003</v>
      </c>
      <c r="EH171" s="465">
        <f t="shared" ca="1" si="437"/>
        <v>58803</v>
      </c>
      <c r="EI171" s="465">
        <f t="shared" ca="1" si="437"/>
        <v>18402.14</v>
      </c>
      <c r="EJ171" s="465">
        <f t="shared" ca="1" si="437"/>
        <v>0</v>
      </c>
      <c r="EK171" s="465">
        <f t="shared" ca="1" si="437"/>
        <v>0</v>
      </c>
      <c r="EL171" s="465">
        <f t="shared" ca="1" si="437"/>
        <v>0</v>
      </c>
      <c r="EM171" s="465">
        <f t="shared" ca="1" si="437"/>
        <v>0</v>
      </c>
      <c r="EN171" s="465">
        <f t="shared" ca="1" si="437"/>
        <v>230055.96</v>
      </c>
      <c r="EO171" s="465">
        <f t="shared" ca="1" si="437"/>
        <v>1515171.9899999998</v>
      </c>
      <c r="EQ171" s="465">
        <f t="shared" ref="EQ171:FC171" ca="1" si="438">SUM(EQ164:EQ170)</f>
        <v>14111.53</v>
      </c>
      <c r="ER171" s="465">
        <f t="shared" ca="1" si="438"/>
        <v>4746252.13</v>
      </c>
      <c r="ES171" s="465">
        <f t="shared" ca="1" si="438"/>
        <v>0</v>
      </c>
      <c r="ET171" s="465">
        <f t="shared" ca="1" si="438"/>
        <v>200000</v>
      </c>
      <c r="EU171" s="465">
        <f t="shared" ca="1" si="438"/>
        <v>200000</v>
      </c>
      <c r="EV171" s="465">
        <f t="shared" ca="1" si="438"/>
        <v>200000</v>
      </c>
      <c r="EW171" s="465">
        <f t="shared" ca="1" si="438"/>
        <v>200000</v>
      </c>
      <c r="EX171" s="465">
        <f t="shared" ca="1" si="438"/>
        <v>0</v>
      </c>
      <c r="EY171" s="465">
        <f t="shared" ca="1" si="438"/>
        <v>0</v>
      </c>
      <c r="EZ171" s="465">
        <f t="shared" ca="1" si="438"/>
        <v>0</v>
      </c>
      <c r="FA171" s="465">
        <f t="shared" ca="1" si="438"/>
        <v>0</v>
      </c>
      <c r="FB171" s="465">
        <f t="shared" ca="1" si="438"/>
        <v>1576866.3</v>
      </c>
      <c r="FC171" s="465">
        <f t="shared" ca="1" si="438"/>
        <v>7137229.96</v>
      </c>
      <c r="FE171" s="465">
        <f t="shared" ref="FE171:FQ171" ca="1" si="439">SUM(FE164:FE170)</f>
        <v>0</v>
      </c>
      <c r="FF171" s="465">
        <f t="shared" ca="1" si="439"/>
        <v>0</v>
      </c>
      <c r="FG171" s="465">
        <f t="shared" ca="1" si="439"/>
        <v>0</v>
      </c>
      <c r="FH171" s="465">
        <f t="shared" ca="1" si="439"/>
        <v>0</v>
      </c>
      <c r="FI171" s="465">
        <f t="shared" ca="1" si="439"/>
        <v>0</v>
      </c>
      <c r="FJ171" s="465">
        <f t="shared" ca="1" si="439"/>
        <v>0</v>
      </c>
      <c r="FK171" s="465">
        <f t="shared" ca="1" si="439"/>
        <v>0</v>
      </c>
      <c r="FL171" s="465">
        <f t="shared" ca="1" si="439"/>
        <v>0</v>
      </c>
      <c r="FM171" s="465">
        <f t="shared" ca="1" si="439"/>
        <v>0</v>
      </c>
      <c r="FN171" s="465">
        <f t="shared" ca="1" si="439"/>
        <v>0</v>
      </c>
      <c r="FO171" s="465">
        <f t="shared" ca="1" si="439"/>
        <v>0</v>
      </c>
      <c r="FP171" s="465">
        <f t="shared" ca="1" si="439"/>
        <v>0</v>
      </c>
      <c r="FQ171" s="465">
        <f t="shared" ca="1" si="439"/>
        <v>0</v>
      </c>
      <c r="FS171" s="465">
        <f ca="1">SUM(FS164:FS170)</f>
        <v>191099999.88000003</v>
      </c>
    </row>
    <row r="172" spans="2:175">
      <c r="K172" s="161"/>
      <c r="M172" s="155"/>
      <c r="O172" s="155"/>
      <c r="P172" s="155"/>
      <c r="Q172" s="155"/>
      <c r="R172" s="155"/>
      <c r="S172" s="155"/>
      <c r="U172" s="155"/>
      <c r="V172" s="155"/>
      <c r="W172" s="155"/>
      <c r="X172" s="155"/>
      <c r="Y172" s="155"/>
      <c r="Z172" s="155"/>
      <c r="AA172" s="155"/>
      <c r="AB172" s="155"/>
      <c r="AC172" s="155"/>
      <c r="AD172" s="155"/>
      <c r="AE172" s="155"/>
      <c r="AF172" s="155"/>
      <c r="AG172" s="155"/>
      <c r="AI172" s="155"/>
      <c r="AJ172" s="155"/>
      <c r="AK172" s="155"/>
      <c r="AL172" s="155"/>
      <c r="AM172" s="155"/>
      <c r="AN172" s="155"/>
      <c r="AO172" s="155"/>
      <c r="AP172" s="155"/>
      <c r="AQ172" s="155"/>
      <c r="AR172" s="155"/>
      <c r="AS172" s="155"/>
      <c r="AT172" s="155"/>
      <c r="AU172" s="155"/>
      <c r="AW172" s="155"/>
      <c r="AX172" s="155"/>
      <c r="AY172" s="155"/>
      <c r="AZ172" s="155"/>
      <c r="BA172" s="155"/>
      <c r="BB172" s="155"/>
      <c r="BC172" s="155"/>
      <c r="BD172" s="155"/>
      <c r="BE172" s="155"/>
      <c r="BF172" s="155"/>
      <c r="BG172" s="155"/>
      <c r="BH172" s="155"/>
      <c r="BI172" s="155"/>
      <c r="BK172" s="155"/>
      <c r="BL172" s="155"/>
      <c r="BM172" s="155"/>
      <c r="BN172" s="155"/>
      <c r="BO172" s="155"/>
      <c r="BP172" s="155"/>
      <c r="BQ172" s="155"/>
      <c r="BR172" s="155"/>
      <c r="BS172" s="155"/>
      <c r="BT172" s="155"/>
      <c r="BU172" s="155"/>
      <c r="BV172" s="155"/>
      <c r="BW172" s="155"/>
      <c r="BY172" s="155"/>
      <c r="BZ172" s="155"/>
      <c r="CA172" s="155"/>
      <c r="CB172" s="155"/>
      <c r="CC172" s="155"/>
      <c r="CD172" s="155"/>
      <c r="CE172" s="155"/>
      <c r="CF172" s="155"/>
      <c r="CG172" s="155"/>
      <c r="CH172" s="155"/>
      <c r="CI172" s="155"/>
      <c r="CJ172" s="155"/>
      <c r="CK172" s="155"/>
      <c r="CM172" s="155"/>
      <c r="CN172" s="155"/>
      <c r="CO172" s="155"/>
      <c r="CP172" s="155"/>
      <c r="CQ172" s="155"/>
      <c r="CR172" s="155"/>
      <c r="CS172" s="155"/>
      <c r="CT172" s="155"/>
      <c r="CU172" s="155"/>
      <c r="CV172" s="155"/>
      <c r="CW172" s="155"/>
      <c r="CX172" s="155"/>
      <c r="CY172" s="155"/>
      <c r="DA172" s="155"/>
      <c r="DB172" s="155"/>
      <c r="DC172" s="155"/>
      <c r="DD172" s="155"/>
      <c r="DE172" s="155"/>
      <c r="DF172" s="155"/>
      <c r="DG172" s="155"/>
      <c r="DH172" s="155"/>
      <c r="DI172" s="155"/>
      <c r="DJ172" s="155"/>
      <c r="DK172" s="155"/>
      <c r="DL172" s="155"/>
      <c r="DM172" s="155"/>
      <c r="DO172" s="155"/>
      <c r="DP172" s="155"/>
      <c r="DQ172" s="155"/>
      <c r="DR172" s="155"/>
      <c r="DS172" s="155"/>
      <c r="DT172" s="155"/>
      <c r="DU172" s="155"/>
      <c r="DV172" s="155"/>
      <c r="DW172" s="155"/>
      <c r="DX172" s="155"/>
      <c r="DY172" s="155"/>
      <c r="DZ172" s="155"/>
      <c r="EA172" s="155"/>
      <c r="EC172" s="155"/>
      <c r="ED172" s="155"/>
      <c r="EE172" s="155"/>
      <c r="EF172" s="155"/>
      <c r="EG172" s="155"/>
      <c r="EH172" s="155"/>
      <c r="EI172" s="155"/>
      <c r="EJ172" s="155"/>
      <c r="EK172" s="155"/>
      <c r="EL172" s="155"/>
      <c r="EM172" s="155"/>
      <c r="EN172" s="155"/>
      <c r="EO172" s="155"/>
      <c r="EQ172" s="155"/>
      <c r="ER172" s="155"/>
      <c r="ES172" s="155"/>
      <c r="ET172" s="155"/>
      <c r="EU172" s="155"/>
      <c r="EV172" s="155"/>
      <c r="EW172" s="155"/>
      <c r="EX172" s="155"/>
      <c r="EY172" s="155"/>
      <c r="EZ172" s="155"/>
      <c r="FA172" s="155"/>
      <c r="FB172" s="155"/>
      <c r="FC172" s="155"/>
      <c r="FE172" s="155"/>
      <c r="FF172" s="155"/>
      <c r="FG172" s="155"/>
      <c r="FH172" s="155"/>
      <c r="FI172" s="155"/>
      <c r="FJ172" s="155"/>
      <c r="FK172" s="155"/>
      <c r="FL172" s="155"/>
      <c r="FM172" s="155"/>
      <c r="FN172" s="155"/>
      <c r="FO172" s="155"/>
      <c r="FP172" s="155"/>
      <c r="FQ172" s="155"/>
    </row>
    <row r="173" spans="2:175">
      <c r="K173" s="161"/>
      <c r="M173" s="155"/>
      <c r="O173" s="155"/>
      <c r="P173" s="155"/>
      <c r="Q173" s="155"/>
      <c r="R173" s="155"/>
      <c r="S173" s="155"/>
      <c r="U173" s="155"/>
      <c r="V173" s="155"/>
      <c r="W173" s="155"/>
      <c r="X173" s="155"/>
      <c r="Y173" s="155"/>
      <c r="Z173" s="155"/>
      <c r="AA173" s="155"/>
      <c r="AB173" s="155"/>
      <c r="AC173" s="155"/>
      <c r="AD173" s="155"/>
      <c r="AE173" s="155"/>
      <c r="AF173" s="155"/>
      <c r="AG173" s="155"/>
      <c r="AI173" s="155"/>
      <c r="AJ173" s="155"/>
      <c r="AK173" s="155"/>
      <c r="AL173" s="155"/>
      <c r="AM173" s="155"/>
      <c r="AN173" s="155"/>
      <c r="AO173" s="155"/>
      <c r="AP173" s="155"/>
      <c r="AQ173" s="155"/>
      <c r="AR173" s="155"/>
      <c r="AS173" s="155"/>
      <c r="AT173" s="155"/>
      <c r="AU173" s="155"/>
      <c r="AW173" s="155"/>
      <c r="AX173" s="155"/>
      <c r="AY173" s="155"/>
      <c r="AZ173" s="155"/>
      <c r="BA173" s="155"/>
      <c r="BB173" s="155"/>
      <c r="BC173" s="155"/>
      <c r="BD173" s="155"/>
      <c r="BE173" s="155"/>
      <c r="BF173" s="155"/>
      <c r="BG173" s="155"/>
      <c r="BH173" s="155"/>
      <c r="BI173" s="155"/>
      <c r="BK173" s="155"/>
      <c r="BL173" s="155"/>
      <c r="BM173" s="155"/>
      <c r="BN173" s="155"/>
      <c r="BO173" s="155"/>
      <c r="BP173" s="155"/>
      <c r="BQ173" s="155"/>
      <c r="BR173" s="155"/>
      <c r="BS173" s="155"/>
      <c r="BT173" s="155"/>
      <c r="BU173" s="155"/>
      <c r="BV173" s="155"/>
      <c r="BW173" s="155"/>
      <c r="BY173" s="155"/>
      <c r="BZ173" s="155"/>
      <c r="CA173" s="155"/>
      <c r="CB173" s="155"/>
      <c r="CC173" s="155"/>
      <c r="CD173" s="155"/>
      <c r="CE173" s="155"/>
      <c r="CF173" s="155"/>
      <c r="CG173" s="155"/>
      <c r="CH173" s="155"/>
      <c r="CI173" s="155"/>
      <c r="CJ173" s="155"/>
      <c r="CK173" s="155"/>
      <c r="CM173" s="155"/>
      <c r="CN173" s="155"/>
      <c r="CO173" s="155"/>
      <c r="CP173" s="155"/>
      <c r="CQ173" s="155"/>
      <c r="CR173" s="155"/>
      <c r="CS173" s="155"/>
      <c r="CT173" s="155"/>
      <c r="CU173" s="155"/>
      <c r="CV173" s="155"/>
      <c r="CW173" s="155"/>
      <c r="CX173" s="155"/>
      <c r="CY173" s="155"/>
      <c r="DA173" s="155"/>
      <c r="DB173" s="155"/>
      <c r="DC173" s="155"/>
      <c r="DD173" s="155"/>
      <c r="DE173" s="155"/>
      <c r="DF173" s="155"/>
      <c r="DG173" s="155"/>
      <c r="DH173" s="155"/>
      <c r="DI173" s="155"/>
      <c r="DJ173" s="155"/>
      <c r="DK173" s="155"/>
      <c r="DL173" s="155"/>
      <c r="DM173" s="155"/>
      <c r="DO173" s="155"/>
      <c r="DP173" s="155"/>
      <c r="DQ173" s="155"/>
      <c r="DR173" s="155"/>
      <c r="DS173" s="155"/>
      <c r="DT173" s="155"/>
      <c r="DU173" s="155"/>
      <c r="DV173" s="155"/>
      <c r="DW173" s="155"/>
      <c r="DX173" s="155"/>
      <c r="DY173" s="155"/>
      <c r="DZ173" s="155"/>
      <c r="EA173" s="155"/>
      <c r="EC173" s="155"/>
      <c r="ED173" s="155"/>
      <c r="EE173" s="155"/>
      <c r="EF173" s="155"/>
      <c r="EG173" s="155"/>
      <c r="EH173" s="155"/>
      <c r="EI173" s="155"/>
      <c r="EJ173" s="155"/>
      <c r="EK173" s="155"/>
      <c r="EL173" s="155"/>
      <c r="EM173" s="155"/>
      <c r="EN173" s="155"/>
      <c r="EO173" s="155"/>
      <c r="EQ173" s="155"/>
      <c r="ER173" s="155"/>
      <c r="ES173" s="155"/>
      <c r="ET173" s="155"/>
      <c r="EU173" s="155"/>
      <c r="EV173" s="155"/>
      <c r="EW173" s="155"/>
      <c r="EX173" s="155"/>
      <c r="EY173" s="155"/>
      <c r="EZ173" s="155"/>
      <c r="FA173" s="155"/>
      <c r="FB173" s="155"/>
      <c r="FC173" s="155"/>
      <c r="FE173" s="155"/>
      <c r="FF173" s="155"/>
      <c r="FG173" s="155"/>
      <c r="FH173" s="155"/>
      <c r="FI173" s="155"/>
      <c r="FJ173" s="155"/>
      <c r="FK173" s="155"/>
      <c r="FL173" s="155"/>
      <c r="FM173" s="155"/>
      <c r="FN173" s="155"/>
      <c r="FO173" s="155"/>
      <c r="FP173" s="155"/>
      <c r="FQ173" s="155"/>
    </row>
    <row r="174" spans="2:175">
      <c r="B174" s="61" t="s">
        <v>1614</v>
      </c>
      <c r="C174" s="61"/>
      <c r="D174" s="61"/>
      <c r="E174" s="61"/>
      <c r="F174" s="61"/>
      <c r="G174" s="61"/>
      <c r="H174" s="61"/>
    </row>
    <row r="175" spans="2:175">
      <c r="B175" s="1154"/>
      <c r="C175" s="1154"/>
      <c r="D175" s="1154"/>
      <c r="E175" s="1154"/>
      <c r="F175" s="1154"/>
      <c r="G175" s="1154"/>
      <c r="H175" s="1154"/>
      <c r="I175" s="1154"/>
      <c r="J175" s="1154"/>
      <c r="K175" s="1154"/>
      <c r="L175" s="1154"/>
      <c r="M175" s="1154"/>
      <c r="N175" s="1154"/>
      <c r="O175" s="1154"/>
      <c r="P175" s="1154"/>
      <c r="Q175" s="1154"/>
      <c r="R175" s="1154"/>
      <c r="S175" s="1154"/>
      <c r="T175" s="1154"/>
      <c r="U175" s="1154"/>
      <c r="V175" s="1154"/>
      <c r="W175" s="1154"/>
      <c r="X175" s="1154"/>
      <c r="Y175" s="1154"/>
      <c r="Z175" s="1154"/>
      <c r="AA175" s="1154"/>
      <c r="AB175" s="1154"/>
      <c r="AC175" s="1154"/>
      <c r="AD175" s="1154"/>
      <c r="AE175" s="1154"/>
      <c r="AF175" s="1154"/>
      <c r="AG175" s="1154"/>
      <c r="AH175" s="1154"/>
      <c r="AI175" s="1154"/>
      <c r="AJ175" s="1154"/>
      <c r="AK175" s="1154"/>
      <c r="AL175" s="1154"/>
      <c r="AM175" s="1154"/>
      <c r="AN175" s="1154"/>
      <c r="AO175" s="1154"/>
      <c r="AP175" s="1154"/>
      <c r="AQ175" s="1154"/>
      <c r="AR175" s="1154"/>
      <c r="AS175" s="1154"/>
      <c r="AT175" s="1154"/>
      <c r="AU175" s="1154"/>
      <c r="AV175" s="1154"/>
      <c r="AW175" s="1154"/>
      <c r="AX175" s="1154"/>
      <c r="AY175" s="1154"/>
      <c r="AZ175" s="1154"/>
      <c r="BA175" s="1154"/>
      <c r="BB175" s="1154"/>
      <c r="BC175" s="1154"/>
      <c r="BD175" s="1154"/>
      <c r="BE175" s="1154"/>
      <c r="BF175" s="1154"/>
      <c r="BG175" s="1154"/>
      <c r="BH175" s="1154"/>
      <c r="BI175" s="1154"/>
      <c r="BJ175" s="1154"/>
      <c r="BK175" s="1154"/>
      <c r="BL175" s="1154"/>
      <c r="BM175" s="1154"/>
      <c r="BN175" s="1154"/>
      <c r="BO175" s="1154"/>
      <c r="BP175" s="1154"/>
      <c r="BQ175" s="1154"/>
      <c r="BR175" s="1154"/>
      <c r="BS175" s="1154"/>
      <c r="BT175" s="1154"/>
      <c r="BU175" s="1154"/>
      <c r="BV175" s="1154"/>
      <c r="BW175" s="1154"/>
      <c r="BX175" s="1154"/>
      <c r="BY175" s="1154"/>
      <c r="BZ175" s="1154"/>
      <c r="CA175" s="1154"/>
      <c r="CB175" s="1154"/>
      <c r="CC175" s="1154"/>
      <c r="CD175" s="1154"/>
      <c r="CE175" s="1154"/>
      <c r="CF175" s="1154"/>
      <c r="CG175" s="1154"/>
      <c r="CH175" s="1154"/>
      <c r="CI175" s="1154"/>
      <c r="CJ175" s="1154"/>
      <c r="CK175" s="1154"/>
      <c r="CL175" s="1154"/>
      <c r="CM175" s="1154"/>
      <c r="CN175" s="1154"/>
      <c r="CO175" s="1154"/>
      <c r="CP175" s="1154"/>
      <c r="CQ175" s="1154"/>
      <c r="CR175" s="1154"/>
      <c r="CS175" s="1154"/>
      <c r="CT175" s="1154"/>
      <c r="CU175" s="1154"/>
      <c r="CV175" s="1154"/>
      <c r="CW175" s="1154"/>
      <c r="CX175" s="1154"/>
      <c r="CY175" s="1154"/>
      <c r="CZ175" s="1154"/>
      <c r="DA175" s="1154"/>
      <c r="DB175" s="1154"/>
      <c r="DC175" s="1154"/>
      <c r="DD175" s="1154"/>
      <c r="DE175" s="1154"/>
      <c r="DF175" s="1154"/>
      <c r="DG175" s="1154"/>
      <c r="DH175" s="1154"/>
      <c r="DI175" s="1154"/>
      <c r="DJ175" s="1154"/>
      <c r="DK175" s="1154"/>
      <c r="DL175" s="1154"/>
      <c r="DM175" s="1154"/>
      <c r="DN175" s="1154"/>
      <c r="DO175" s="1154"/>
      <c r="DP175" s="1154"/>
      <c r="DQ175" s="1154"/>
      <c r="DR175" s="1154"/>
      <c r="DS175" s="1154"/>
      <c r="DT175" s="1154"/>
      <c r="DU175" s="1154"/>
      <c r="DV175" s="1154"/>
      <c r="DW175" s="1154"/>
      <c r="DX175" s="1154"/>
      <c r="DY175" s="1154"/>
      <c r="DZ175" s="1154"/>
      <c r="EA175" s="1154"/>
      <c r="EB175" s="1154"/>
      <c r="EC175" s="1154"/>
      <c r="ED175" s="1154"/>
      <c r="EE175" s="1154"/>
      <c r="EF175" s="1154"/>
      <c r="EG175" s="1154"/>
      <c r="EH175" s="1154"/>
      <c r="EI175" s="1154"/>
      <c r="EJ175" s="1154"/>
      <c r="EK175" s="1154"/>
      <c r="EL175" s="1154"/>
      <c r="EM175" s="1154"/>
      <c r="EN175" s="1154"/>
      <c r="EO175" s="1154"/>
      <c r="EP175" s="1154"/>
      <c r="EQ175" s="1154"/>
      <c r="ER175" s="1154"/>
      <c r="ES175" s="1154"/>
      <c r="ET175" s="1154"/>
      <c r="EU175" s="1154"/>
      <c r="EV175" s="1154"/>
      <c r="EW175" s="1154"/>
      <c r="EX175" s="1154"/>
      <c r="EY175" s="1154"/>
      <c r="EZ175" s="1154"/>
      <c r="FA175" s="1154"/>
      <c r="FB175" s="1154"/>
      <c r="FC175" s="1154"/>
      <c r="FD175" s="1154"/>
      <c r="FE175" s="1154"/>
      <c r="FF175" s="1154"/>
      <c r="FG175" s="1154"/>
      <c r="FH175" s="1154"/>
      <c r="FI175" s="1154"/>
      <c r="FJ175" s="1154"/>
      <c r="FK175" s="1154"/>
      <c r="FL175" s="1154"/>
      <c r="FM175" s="1154"/>
      <c r="FN175" s="1154"/>
      <c r="FO175" s="1154"/>
      <c r="FP175" s="1154"/>
      <c r="FQ175" s="1154"/>
      <c r="FR175" s="1154"/>
      <c r="FS175" s="1154"/>
    </row>
    <row r="176" spans="2:175">
      <c r="B176" s="1154"/>
      <c r="C176" s="1154"/>
      <c r="D176" s="1154"/>
      <c r="E176" s="1154"/>
      <c r="F176" s="1154"/>
      <c r="G176" s="1154"/>
      <c r="H176" s="1154"/>
      <c r="I176" s="1154"/>
      <c r="J176" s="1154"/>
      <c r="K176" s="1154"/>
      <c r="L176" s="1154"/>
      <c r="M176" s="1154"/>
      <c r="N176" s="1154"/>
      <c r="O176" s="1154"/>
      <c r="P176" s="1154"/>
      <c r="Q176" s="1154"/>
      <c r="R176" s="1154"/>
      <c r="S176" s="1154"/>
      <c r="T176" s="1154"/>
      <c r="U176" s="1154"/>
      <c r="V176" s="1154"/>
      <c r="W176" s="1154"/>
      <c r="X176" s="1154"/>
      <c r="Y176" s="1154"/>
      <c r="Z176" s="1154"/>
      <c r="AA176" s="1154"/>
      <c r="AB176" s="1154"/>
      <c r="AC176" s="1154"/>
      <c r="AD176" s="1154"/>
      <c r="AE176" s="1154"/>
      <c r="AF176" s="1154"/>
      <c r="AG176" s="1154"/>
      <c r="AH176" s="1154"/>
      <c r="AI176" s="1154"/>
      <c r="AJ176" s="1154"/>
      <c r="AK176" s="1154"/>
      <c r="AL176" s="1154"/>
      <c r="AM176" s="1154"/>
      <c r="AN176" s="1154"/>
      <c r="AO176" s="1154"/>
      <c r="AP176" s="1154"/>
      <c r="AQ176" s="1154"/>
      <c r="AR176" s="1154"/>
      <c r="AS176" s="1154"/>
      <c r="AT176" s="1154"/>
      <c r="AU176" s="1154"/>
      <c r="AV176" s="1154"/>
      <c r="AW176" s="1154"/>
      <c r="AX176" s="1154"/>
      <c r="AY176" s="1154"/>
      <c r="AZ176" s="1154"/>
      <c r="BA176" s="1154"/>
      <c r="BB176" s="1154"/>
      <c r="BC176" s="1154"/>
      <c r="BD176" s="1154"/>
      <c r="BE176" s="1154"/>
      <c r="BF176" s="1154"/>
      <c r="BG176" s="1154"/>
      <c r="BH176" s="1154"/>
      <c r="BI176" s="1154"/>
      <c r="BJ176" s="1154"/>
      <c r="BK176" s="1154"/>
      <c r="BL176" s="1154"/>
      <c r="BM176" s="1154"/>
      <c r="BN176" s="1154"/>
      <c r="BO176" s="1154"/>
      <c r="BP176" s="1154"/>
      <c r="BQ176" s="1154"/>
      <c r="BR176" s="1154"/>
      <c r="BS176" s="1154"/>
      <c r="BT176" s="1154"/>
      <c r="BU176" s="1154"/>
      <c r="BV176" s="1154"/>
      <c r="BW176" s="1154"/>
      <c r="BX176" s="1154"/>
      <c r="BY176" s="1154"/>
      <c r="BZ176" s="1154"/>
      <c r="CA176" s="1154"/>
      <c r="CB176" s="1154"/>
      <c r="CC176" s="1154"/>
      <c r="CD176" s="1154"/>
      <c r="CE176" s="1154"/>
      <c r="CF176" s="1154"/>
      <c r="CG176" s="1154"/>
      <c r="CH176" s="1154"/>
      <c r="CI176" s="1154"/>
      <c r="CJ176" s="1154"/>
      <c r="CK176" s="1154"/>
      <c r="CL176" s="1154"/>
      <c r="CM176" s="1154"/>
      <c r="CN176" s="1154"/>
      <c r="CO176" s="1154"/>
      <c r="CP176" s="1154"/>
      <c r="CQ176" s="1154"/>
      <c r="CR176" s="1154"/>
      <c r="CS176" s="1154"/>
      <c r="CT176" s="1154"/>
      <c r="CU176" s="1154"/>
      <c r="CV176" s="1154"/>
      <c r="CW176" s="1154"/>
      <c r="CX176" s="1154"/>
      <c r="CY176" s="1154"/>
      <c r="CZ176" s="1154"/>
      <c r="DA176" s="1154"/>
      <c r="DB176" s="1154"/>
      <c r="DC176" s="1154"/>
      <c r="DD176" s="1154"/>
      <c r="DE176" s="1154"/>
      <c r="DF176" s="1154"/>
      <c r="DG176" s="1154"/>
      <c r="DH176" s="1154"/>
      <c r="DI176" s="1154"/>
      <c r="DJ176" s="1154"/>
      <c r="DK176" s="1154"/>
      <c r="DL176" s="1154"/>
      <c r="DM176" s="1154"/>
      <c r="DN176" s="1154"/>
      <c r="DO176" s="1154"/>
      <c r="DP176" s="1154"/>
      <c r="DQ176" s="1154"/>
      <c r="DR176" s="1154"/>
      <c r="DS176" s="1154"/>
      <c r="DT176" s="1154"/>
      <c r="DU176" s="1154"/>
      <c r="DV176" s="1154"/>
      <c r="DW176" s="1154"/>
      <c r="DX176" s="1154"/>
      <c r="DY176" s="1154"/>
      <c r="DZ176" s="1154"/>
      <c r="EA176" s="1154"/>
      <c r="EB176" s="1154"/>
      <c r="EC176" s="1154"/>
      <c r="ED176" s="1154"/>
      <c r="EE176" s="1154"/>
      <c r="EF176" s="1154"/>
      <c r="EG176" s="1154"/>
      <c r="EH176" s="1154"/>
      <c r="EI176" s="1154"/>
      <c r="EJ176" s="1154"/>
      <c r="EK176" s="1154"/>
      <c r="EL176" s="1154"/>
      <c r="EM176" s="1154"/>
      <c r="EN176" s="1154"/>
      <c r="EO176" s="1154"/>
      <c r="EP176" s="1154"/>
      <c r="EQ176" s="1154"/>
      <c r="ER176" s="1154"/>
      <c r="ES176" s="1154"/>
      <c r="ET176" s="1154"/>
      <c r="EU176" s="1154"/>
      <c r="EV176" s="1154"/>
      <c r="EW176" s="1154"/>
      <c r="EX176" s="1154"/>
      <c r="EY176" s="1154"/>
      <c r="EZ176" s="1154"/>
      <c r="FA176" s="1154"/>
      <c r="FB176" s="1154"/>
      <c r="FC176" s="1154"/>
      <c r="FD176" s="1154"/>
      <c r="FE176" s="1154"/>
      <c r="FF176" s="1154"/>
      <c r="FG176" s="1154"/>
      <c r="FH176" s="1154"/>
      <c r="FI176" s="1154"/>
      <c r="FJ176" s="1154"/>
      <c r="FK176" s="1154"/>
      <c r="FL176" s="1154"/>
      <c r="FM176" s="1154"/>
      <c r="FN176" s="1154"/>
      <c r="FO176" s="1154"/>
      <c r="FP176" s="1154"/>
      <c r="FQ176" s="1154"/>
      <c r="FR176" s="1154"/>
      <c r="FS176" s="1154"/>
    </row>
    <row r="177" spans="2:175">
      <c r="B177" s="1154"/>
      <c r="C177" s="1154"/>
      <c r="D177" s="1154"/>
      <c r="E177" s="1154"/>
      <c r="F177" s="1154"/>
      <c r="G177" s="1154"/>
      <c r="H177" s="1154"/>
      <c r="I177" s="1154"/>
      <c r="J177" s="1154"/>
      <c r="K177" s="1154"/>
      <c r="L177" s="1154"/>
      <c r="M177" s="1154"/>
      <c r="N177" s="1154"/>
      <c r="O177" s="1154"/>
      <c r="P177" s="1154"/>
      <c r="Q177" s="1154"/>
      <c r="R177" s="1154"/>
      <c r="S177" s="1154"/>
      <c r="T177" s="1154"/>
      <c r="U177" s="1154"/>
      <c r="V177" s="1154"/>
      <c r="W177" s="1154"/>
      <c r="X177" s="1154"/>
      <c r="Y177" s="1154"/>
      <c r="Z177" s="1154"/>
      <c r="AA177" s="1154"/>
      <c r="AB177" s="1154"/>
      <c r="AC177" s="1154"/>
      <c r="AD177" s="1154"/>
      <c r="AE177" s="1154"/>
      <c r="AF177" s="1154"/>
      <c r="AG177" s="1154"/>
      <c r="AH177" s="1154"/>
      <c r="AI177" s="1154"/>
      <c r="AJ177" s="1154"/>
      <c r="AK177" s="1154"/>
      <c r="AL177" s="1154"/>
      <c r="AM177" s="1154"/>
      <c r="AN177" s="1154"/>
      <c r="AO177" s="1154"/>
      <c r="AP177" s="1154"/>
      <c r="AQ177" s="1154"/>
      <c r="AR177" s="1154"/>
      <c r="AS177" s="1154"/>
      <c r="AT177" s="1154"/>
      <c r="AU177" s="1154"/>
      <c r="AV177" s="1154"/>
      <c r="AW177" s="1154"/>
      <c r="AX177" s="1154"/>
      <c r="AY177" s="1154"/>
      <c r="AZ177" s="1154"/>
      <c r="BA177" s="1154"/>
      <c r="BB177" s="1154"/>
      <c r="BC177" s="1154"/>
      <c r="BD177" s="1154"/>
      <c r="BE177" s="1154"/>
      <c r="BF177" s="1154"/>
      <c r="BG177" s="1154"/>
      <c r="BH177" s="1154"/>
      <c r="BI177" s="1154"/>
      <c r="BJ177" s="1154"/>
      <c r="BK177" s="1154"/>
      <c r="BL177" s="1154"/>
      <c r="BM177" s="1154"/>
      <c r="BN177" s="1154"/>
      <c r="BO177" s="1154"/>
      <c r="BP177" s="1154"/>
      <c r="BQ177" s="1154"/>
      <c r="BR177" s="1154"/>
      <c r="BS177" s="1154"/>
      <c r="BT177" s="1154"/>
      <c r="BU177" s="1154"/>
      <c r="BV177" s="1154"/>
      <c r="BW177" s="1154"/>
      <c r="BX177" s="1154"/>
      <c r="BY177" s="1154"/>
      <c r="BZ177" s="1154"/>
      <c r="CA177" s="1154"/>
      <c r="CB177" s="1154"/>
      <c r="CC177" s="1154"/>
      <c r="CD177" s="1154"/>
      <c r="CE177" s="1154"/>
      <c r="CF177" s="1154"/>
      <c r="CG177" s="1154"/>
      <c r="CH177" s="1154"/>
      <c r="CI177" s="1154"/>
      <c r="CJ177" s="1154"/>
      <c r="CK177" s="1154"/>
      <c r="CL177" s="1154"/>
      <c r="CM177" s="1154"/>
      <c r="CN177" s="1154"/>
      <c r="CO177" s="1154"/>
      <c r="CP177" s="1154"/>
      <c r="CQ177" s="1154"/>
      <c r="CR177" s="1154"/>
      <c r="CS177" s="1154"/>
      <c r="CT177" s="1154"/>
      <c r="CU177" s="1154"/>
      <c r="CV177" s="1154"/>
      <c r="CW177" s="1154"/>
      <c r="CX177" s="1154"/>
      <c r="CY177" s="1154"/>
      <c r="CZ177" s="1154"/>
      <c r="DA177" s="1154"/>
      <c r="DB177" s="1154"/>
      <c r="DC177" s="1154"/>
      <c r="DD177" s="1154"/>
      <c r="DE177" s="1154"/>
      <c r="DF177" s="1154"/>
      <c r="DG177" s="1154"/>
      <c r="DH177" s="1154"/>
      <c r="DI177" s="1154"/>
      <c r="DJ177" s="1154"/>
      <c r="DK177" s="1154"/>
      <c r="DL177" s="1154"/>
      <c r="DM177" s="1154"/>
      <c r="DN177" s="1154"/>
      <c r="DO177" s="1154"/>
      <c r="DP177" s="1154"/>
      <c r="DQ177" s="1154"/>
      <c r="DR177" s="1154"/>
      <c r="DS177" s="1154"/>
      <c r="DT177" s="1154"/>
      <c r="DU177" s="1154"/>
      <c r="DV177" s="1154"/>
      <c r="DW177" s="1154"/>
      <c r="DX177" s="1154"/>
      <c r="DY177" s="1154"/>
      <c r="DZ177" s="1154"/>
      <c r="EA177" s="1154"/>
      <c r="EB177" s="1154"/>
      <c r="EC177" s="1154"/>
      <c r="ED177" s="1154"/>
      <c r="EE177" s="1154"/>
      <c r="EF177" s="1154"/>
      <c r="EG177" s="1154"/>
      <c r="EH177" s="1154"/>
      <c r="EI177" s="1154"/>
      <c r="EJ177" s="1154"/>
      <c r="EK177" s="1154"/>
      <c r="EL177" s="1154"/>
      <c r="EM177" s="1154"/>
      <c r="EN177" s="1154"/>
      <c r="EO177" s="1154"/>
      <c r="EP177" s="1154"/>
      <c r="EQ177" s="1154"/>
      <c r="ER177" s="1154"/>
      <c r="ES177" s="1154"/>
      <c r="ET177" s="1154"/>
      <c r="EU177" s="1154"/>
      <c r="EV177" s="1154"/>
      <c r="EW177" s="1154"/>
      <c r="EX177" s="1154"/>
      <c r="EY177" s="1154"/>
      <c r="EZ177" s="1154"/>
      <c r="FA177" s="1154"/>
      <c r="FB177" s="1154"/>
      <c r="FC177" s="1154"/>
      <c r="FD177" s="1154"/>
      <c r="FE177" s="1154"/>
      <c r="FF177" s="1154"/>
      <c r="FG177" s="1154"/>
      <c r="FH177" s="1154"/>
      <c r="FI177" s="1154"/>
      <c r="FJ177" s="1154"/>
      <c r="FK177" s="1154"/>
      <c r="FL177" s="1154"/>
      <c r="FM177" s="1154"/>
      <c r="FN177" s="1154"/>
      <c r="FO177" s="1154"/>
      <c r="FP177" s="1154"/>
      <c r="FQ177" s="1154"/>
      <c r="FR177" s="1154"/>
      <c r="FS177" s="1154"/>
    </row>
    <row r="178" spans="2:175">
      <c r="B178" s="1154"/>
      <c r="C178" s="1154"/>
      <c r="D178" s="1154"/>
      <c r="E178" s="1154"/>
      <c r="F178" s="1154"/>
      <c r="G178" s="1154"/>
      <c r="H178" s="1154"/>
      <c r="I178" s="1154"/>
      <c r="J178" s="1154"/>
      <c r="K178" s="1154"/>
      <c r="L178" s="1154"/>
      <c r="M178" s="1154"/>
      <c r="N178" s="1154"/>
      <c r="O178" s="1154"/>
      <c r="P178" s="1154"/>
      <c r="Q178" s="1154"/>
      <c r="R178" s="1154"/>
      <c r="S178" s="1154"/>
      <c r="T178" s="1154"/>
      <c r="U178" s="1154"/>
      <c r="V178" s="1154"/>
      <c r="W178" s="1154"/>
      <c r="X178" s="1154"/>
      <c r="Y178" s="1154"/>
      <c r="Z178" s="1154"/>
      <c r="AA178" s="1154"/>
      <c r="AB178" s="1154"/>
      <c r="AC178" s="1154"/>
      <c r="AD178" s="1154"/>
      <c r="AE178" s="1154"/>
      <c r="AF178" s="1154"/>
      <c r="AG178" s="1154"/>
      <c r="AH178" s="1154"/>
      <c r="AI178" s="1154"/>
      <c r="AJ178" s="1154"/>
      <c r="AK178" s="1154"/>
      <c r="AL178" s="1154"/>
      <c r="AM178" s="1154"/>
      <c r="AN178" s="1154"/>
      <c r="AO178" s="1154"/>
      <c r="AP178" s="1154"/>
      <c r="AQ178" s="1154"/>
      <c r="AR178" s="1154"/>
      <c r="AS178" s="1154"/>
      <c r="AT178" s="1154"/>
      <c r="AU178" s="1154"/>
      <c r="AV178" s="1154"/>
      <c r="AW178" s="1154"/>
      <c r="AX178" s="1154"/>
      <c r="AY178" s="1154"/>
      <c r="AZ178" s="1154"/>
      <c r="BA178" s="1154"/>
      <c r="BB178" s="1154"/>
      <c r="BC178" s="1154"/>
      <c r="BD178" s="1154"/>
      <c r="BE178" s="1154"/>
      <c r="BF178" s="1154"/>
      <c r="BG178" s="1154"/>
      <c r="BH178" s="1154"/>
      <c r="BI178" s="1154"/>
      <c r="BJ178" s="1154"/>
      <c r="BK178" s="1154"/>
      <c r="BL178" s="1154"/>
      <c r="BM178" s="1154"/>
      <c r="BN178" s="1154"/>
      <c r="BO178" s="1154"/>
      <c r="BP178" s="1154"/>
      <c r="BQ178" s="1154"/>
      <c r="BR178" s="1154"/>
      <c r="BS178" s="1154"/>
      <c r="BT178" s="1154"/>
      <c r="BU178" s="1154"/>
      <c r="BV178" s="1154"/>
      <c r="BW178" s="1154"/>
      <c r="BX178" s="1154"/>
      <c r="BY178" s="1154"/>
      <c r="BZ178" s="1154"/>
      <c r="CA178" s="1154"/>
      <c r="CB178" s="1154"/>
      <c r="CC178" s="1154"/>
      <c r="CD178" s="1154"/>
      <c r="CE178" s="1154"/>
      <c r="CF178" s="1154"/>
      <c r="CG178" s="1154"/>
      <c r="CH178" s="1154"/>
      <c r="CI178" s="1154"/>
      <c r="CJ178" s="1154"/>
      <c r="CK178" s="1154"/>
      <c r="CL178" s="1154"/>
      <c r="CM178" s="1154"/>
      <c r="CN178" s="1154"/>
      <c r="CO178" s="1154"/>
      <c r="CP178" s="1154"/>
      <c r="CQ178" s="1154"/>
      <c r="CR178" s="1154"/>
      <c r="CS178" s="1154"/>
      <c r="CT178" s="1154"/>
      <c r="CU178" s="1154"/>
      <c r="CV178" s="1154"/>
      <c r="CW178" s="1154"/>
      <c r="CX178" s="1154"/>
      <c r="CY178" s="1154"/>
      <c r="CZ178" s="1154"/>
      <c r="DA178" s="1154"/>
      <c r="DB178" s="1154"/>
      <c r="DC178" s="1154"/>
      <c r="DD178" s="1154"/>
      <c r="DE178" s="1154"/>
      <c r="DF178" s="1154"/>
      <c r="DG178" s="1154"/>
      <c r="DH178" s="1154"/>
      <c r="DI178" s="1154"/>
      <c r="DJ178" s="1154"/>
      <c r="DK178" s="1154"/>
      <c r="DL178" s="1154"/>
      <c r="DM178" s="1154"/>
      <c r="DN178" s="1154"/>
      <c r="DO178" s="1154"/>
      <c r="DP178" s="1154"/>
      <c r="DQ178" s="1154"/>
      <c r="DR178" s="1154"/>
      <c r="DS178" s="1154"/>
      <c r="DT178" s="1154"/>
      <c r="DU178" s="1154"/>
      <c r="DV178" s="1154"/>
      <c r="DW178" s="1154"/>
      <c r="DX178" s="1154"/>
      <c r="DY178" s="1154"/>
      <c r="DZ178" s="1154"/>
      <c r="EA178" s="1154"/>
      <c r="EB178" s="1154"/>
      <c r="EC178" s="1154"/>
      <c r="ED178" s="1154"/>
      <c r="EE178" s="1154"/>
      <c r="EF178" s="1154"/>
      <c r="EG178" s="1154"/>
      <c r="EH178" s="1154"/>
      <c r="EI178" s="1154"/>
      <c r="EJ178" s="1154"/>
      <c r="EK178" s="1154"/>
      <c r="EL178" s="1154"/>
      <c r="EM178" s="1154"/>
      <c r="EN178" s="1154"/>
      <c r="EO178" s="1154"/>
      <c r="EP178" s="1154"/>
      <c r="EQ178" s="1154"/>
      <c r="ER178" s="1154"/>
      <c r="ES178" s="1154"/>
      <c r="ET178" s="1154"/>
      <c r="EU178" s="1154"/>
      <c r="EV178" s="1154"/>
      <c r="EW178" s="1154"/>
      <c r="EX178" s="1154"/>
      <c r="EY178" s="1154"/>
      <c r="EZ178" s="1154"/>
      <c r="FA178" s="1154"/>
      <c r="FB178" s="1154"/>
      <c r="FC178" s="1154"/>
      <c r="FD178" s="1154"/>
      <c r="FE178" s="1154"/>
      <c r="FF178" s="1154"/>
      <c r="FG178" s="1154"/>
      <c r="FH178" s="1154"/>
      <c r="FI178" s="1154"/>
      <c r="FJ178" s="1154"/>
      <c r="FK178" s="1154"/>
      <c r="FL178" s="1154"/>
      <c r="FM178" s="1154"/>
      <c r="FN178" s="1154"/>
      <c r="FO178" s="1154"/>
      <c r="FP178" s="1154"/>
      <c r="FQ178" s="1154"/>
      <c r="FR178" s="1154"/>
      <c r="FS178" s="1154"/>
    </row>
    <row r="179" spans="2:175">
      <c r="B179" s="1154"/>
      <c r="C179" s="1154"/>
      <c r="D179" s="1154"/>
      <c r="E179" s="1154"/>
      <c r="F179" s="1154"/>
      <c r="G179" s="1154"/>
      <c r="H179" s="1154"/>
      <c r="I179" s="1154"/>
      <c r="J179" s="1154"/>
      <c r="K179" s="1154"/>
      <c r="L179" s="1154"/>
      <c r="M179" s="1154"/>
      <c r="N179" s="1154"/>
      <c r="O179" s="1154"/>
      <c r="P179" s="1154"/>
      <c r="Q179" s="1154"/>
      <c r="R179" s="1154"/>
      <c r="S179" s="1154"/>
      <c r="T179" s="1154"/>
      <c r="U179" s="1154"/>
      <c r="V179" s="1154"/>
      <c r="W179" s="1154"/>
      <c r="X179" s="1154"/>
      <c r="Y179" s="1154"/>
      <c r="Z179" s="1154"/>
      <c r="AA179" s="1154"/>
      <c r="AB179" s="1154"/>
      <c r="AC179" s="1154"/>
      <c r="AD179" s="1154"/>
      <c r="AE179" s="1154"/>
      <c r="AF179" s="1154"/>
      <c r="AG179" s="1154"/>
      <c r="AH179" s="1154"/>
      <c r="AI179" s="1154"/>
      <c r="AJ179" s="1154"/>
      <c r="AK179" s="1154"/>
      <c r="AL179" s="1154"/>
      <c r="AM179" s="1154"/>
      <c r="AN179" s="1154"/>
      <c r="AO179" s="1154"/>
      <c r="AP179" s="1154"/>
      <c r="AQ179" s="1154"/>
      <c r="AR179" s="1154"/>
      <c r="AS179" s="1154"/>
      <c r="AT179" s="1154"/>
      <c r="AU179" s="1154"/>
      <c r="AV179" s="1154"/>
      <c r="AW179" s="1154"/>
      <c r="AX179" s="1154"/>
      <c r="AY179" s="1154"/>
      <c r="AZ179" s="1154"/>
      <c r="BA179" s="1154"/>
      <c r="BB179" s="1154"/>
      <c r="BC179" s="1154"/>
      <c r="BD179" s="1154"/>
      <c r="BE179" s="1154"/>
      <c r="BF179" s="1154"/>
      <c r="BG179" s="1154"/>
      <c r="BH179" s="1154"/>
      <c r="BI179" s="1154"/>
      <c r="BJ179" s="1154"/>
      <c r="BK179" s="1154"/>
      <c r="BL179" s="1154"/>
      <c r="BM179" s="1154"/>
      <c r="BN179" s="1154"/>
      <c r="BO179" s="1154"/>
      <c r="BP179" s="1154"/>
      <c r="BQ179" s="1154"/>
      <c r="BR179" s="1154"/>
      <c r="BS179" s="1154"/>
      <c r="BT179" s="1154"/>
      <c r="BU179" s="1154"/>
      <c r="BV179" s="1154"/>
      <c r="BW179" s="1154"/>
      <c r="BX179" s="1154"/>
      <c r="BY179" s="1154"/>
      <c r="BZ179" s="1154"/>
      <c r="CA179" s="1154"/>
      <c r="CB179" s="1154"/>
      <c r="CC179" s="1154"/>
      <c r="CD179" s="1154"/>
      <c r="CE179" s="1154"/>
      <c r="CF179" s="1154"/>
      <c r="CG179" s="1154"/>
      <c r="CH179" s="1154"/>
      <c r="CI179" s="1154"/>
      <c r="CJ179" s="1154"/>
      <c r="CK179" s="1154"/>
      <c r="CL179" s="1154"/>
      <c r="CM179" s="1154"/>
      <c r="CN179" s="1154"/>
      <c r="CO179" s="1154"/>
      <c r="CP179" s="1154"/>
      <c r="CQ179" s="1154"/>
      <c r="CR179" s="1154"/>
      <c r="CS179" s="1154"/>
      <c r="CT179" s="1154"/>
      <c r="CU179" s="1154"/>
      <c r="CV179" s="1154"/>
      <c r="CW179" s="1154"/>
      <c r="CX179" s="1154"/>
      <c r="CY179" s="1154"/>
      <c r="CZ179" s="1154"/>
      <c r="DA179" s="1154"/>
      <c r="DB179" s="1154"/>
      <c r="DC179" s="1154"/>
      <c r="DD179" s="1154"/>
      <c r="DE179" s="1154"/>
      <c r="DF179" s="1154"/>
      <c r="DG179" s="1154"/>
      <c r="DH179" s="1154"/>
      <c r="DI179" s="1154"/>
      <c r="DJ179" s="1154"/>
      <c r="DK179" s="1154"/>
      <c r="DL179" s="1154"/>
      <c r="DM179" s="1154"/>
      <c r="DN179" s="1154"/>
      <c r="DO179" s="1154"/>
      <c r="DP179" s="1154"/>
      <c r="DQ179" s="1154"/>
      <c r="DR179" s="1154"/>
      <c r="DS179" s="1154"/>
      <c r="DT179" s="1154"/>
      <c r="DU179" s="1154"/>
      <c r="DV179" s="1154"/>
      <c r="DW179" s="1154"/>
      <c r="DX179" s="1154"/>
      <c r="DY179" s="1154"/>
      <c r="DZ179" s="1154"/>
      <c r="EA179" s="1154"/>
      <c r="EB179" s="1154"/>
      <c r="EC179" s="1154"/>
      <c r="ED179" s="1154"/>
      <c r="EE179" s="1154"/>
      <c r="EF179" s="1154"/>
      <c r="EG179" s="1154"/>
      <c r="EH179" s="1154"/>
      <c r="EI179" s="1154"/>
      <c r="EJ179" s="1154"/>
      <c r="EK179" s="1154"/>
      <c r="EL179" s="1154"/>
      <c r="EM179" s="1154"/>
      <c r="EN179" s="1154"/>
      <c r="EO179" s="1154"/>
      <c r="EP179" s="1154"/>
      <c r="EQ179" s="1154"/>
      <c r="ER179" s="1154"/>
      <c r="ES179" s="1154"/>
      <c r="ET179" s="1154"/>
      <c r="EU179" s="1154"/>
      <c r="EV179" s="1154"/>
      <c r="EW179" s="1154"/>
      <c r="EX179" s="1154"/>
      <c r="EY179" s="1154"/>
      <c r="EZ179" s="1154"/>
      <c r="FA179" s="1154"/>
      <c r="FB179" s="1154"/>
      <c r="FC179" s="1154"/>
      <c r="FD179" s="1154"/>
      <c r="FE179" s="1154"/>
      <c r="FF179" s="1154"/>
      <c r="FG179" s="1154"/>
      <c r="FH179" s="1154"/>
      <c r="FI179" s="1154"/>
      <c r="FJ179" s="1154"/>
      <c r="FK179" s="1154"/>
      <c r="FL179" s="1154"/>
      <c r="FM179" s="1154"/>
      <c r="FN179" s="1154"/>
      <c r="FO179" s="1154"/>
      <c r="FP179" s="1154"/>
      <c r="FQ179" s="1154"/>
      <c r="FR179" s="1154"/>
      <c r="FS179" s="1154"/>
    </row>
    <row r="181" spans="2:175">
      <c r="B181" s="3"/>
      <c r="C181" s="3"/>
      <c r="D181" s="3"/>
      <c r="E181" s="3"/>
      <c r="F181" s="3"/>
      <c r="G181" s="3"/>
      <c r="H181" s="3"/>
    </row>
    <row r="183" spans="2:175">
      <c r="DE183"/>
    </row>
    <row r="184" spans="2:175">
      <c r="DE184" s="883"/>
    </row>
    <row r="185" spans="2:175">
      <c r="DE185" s="883"/>
    </row>
    <row r="186" spans="2:175">
      <c r="DE186" s="883"/>
    </row>
    <row r="187" spans="2:175">
      <c r="DE187" s="883"/>
    </row>
    <row r="188" spans="2:175">
      <c r="DE188" s="883"/>
    </row>
    <row r="189" spans="2:175">
      <c r="DE189" s="883"/>
    </row>
    <row r="190" spans="2:175">
      <c r="DE190" s="883"/>
    </row>
    <row r="191" spans="2:175">
      <c r="DE191" s="883"/>
    </row>
    <row r="192" spans="2:175">
      <c r="DE192" s="883"/>
    </row>
    <row r="193" spans="109:109">
      <c r="DE193"/>
    </row>
  </sheetData>
  <sheetProtection autoFilter="0"/>
  <autoFilter ref="A7:FT140" xr:uid="{00000000-0009-0000-0000-00000A000000}"/>
  <mergeCells count="42">
    <mergeCell ref="B178:FS178"/>
    <mergeCell ref="B179:FS179"/>
    <mergeCell ref="J159:K159"/>
    <mergeCell ref="J160:K160"/>
    <mergeCell ref="B175:FS175"/>
    <mergeCell ref="B176:FS176"/>
    <mergeCell ref="B177:FS177"/>
    <mergeCell ref="U163:AG163"/>
    <mergeCell ref="AI163:AU163"/>
    <mergeCell ref="AW163:BI163"/>
    <mergeCell ref="BK163:BW163"/>
    <mergeCell ref="BY163:CK163"/>
    <mergeCell ref="CM163:CY163"/>
    <mergeCell ref="DA163:DM163"/>
    <mergeCell ref="EQ163:FC163"/>
    <mergeCell ref="FE163:FQ163"/>
    <mergeCell ref="B140:G140"/>
    <mergeCell ref="U149:AG149"/>
    <mergeCell ref="AI149:AU149"/>
    <mergeCell ref="AW149:BI149"/>
    <mergeCell ref="AI6:AU6"/>
    <mergeCell ref="AW6:BI6"/>
    <mergeCell ref="P6:R6"/>
    <mergeCell ref="U6:AG6"/>
    <mergeCell ref="EC163:EO163"/>
    <mergeCell ref="EC149:EO149"/>
    <mergeCell ref="CM6:CY6"/>
    <mergeCell ref="DA6:DM6"/>
    <mergeCell ref="DO6:EA6"/>
    <mergeCell ref="EC6:EO6"/>
    <mergeCell ref="CM149:CY149"/>
    <mergeCell ref="DA149:DM149"/>
    <mergeCell ref="DO149:EA149"/>
    <mergeCell ref="DO163:EA163"/>
    <mergeCell ref="FE6:FQ6"/>
    <mergeCell ref="EQ149:FC149"/>
    <mergeCell ref="FE149:FQ149"/>
    <mergeCell ref="EQ6:FC6"/>
    <mergeCell ref="BK6:BW6"/>
    <mergeCell ref="BY6:CK6"/>
    <mergeCell ref="BK149:BW149"/>
    <mergeCell ref="BY149:CK149"/>
  </mergeCells>
  <conditionalFormatting sqref="M151:M156 M165:M170 M8:M103">
    <cfRule type="cellIs" dxfId="355" priority="26" operator="notBetween">
      <formula>1</formula>
      <formula>-1</formula>
    </cfRule>
  </conditionalFormatting>
  <conditionalFormatting sqref="BY147:CK147">
    <cfRule type="cellIs" dxfId="354" priority="18" operator="lessThan">
      <formula>0</formula>
    </cfRule>
    <cfRule type="cellIs" dxfId="353" priority="19" operator="greaterThan">
      <formula>0</formula>
    </cfRule>
  </conditionalFormatting>
  <conditionalFormatting sqref="CM147:CY147">
    <cfRule type="cellIs" dxfId="352" priority="12" operator="lessThan">
      <formula>0</formula>
    </cfRule>
    <cfRule type="cellIs" dxfId="351" priority="13" operator="greaterThan">
      <formula>0</formula>
    </cfRule>
  </conditionalFormatting>
  <conditionalFormatting sqref="DE184:DE192">
    <cfRule type="cellIs" dxfId="350" priority="8" operator="lessThan">
      <formula>0</formula>
    </cfRule>
  </conditionalFormatting>
  <conditionalFormatting sqref="DE184:DE192">
    <cfRule type="cellIs" dxfId="349" priority="7" operator="lessThan">
      <formula>0</formula>
    </cfRule>
  </conditionalFormatting>
  <conditionalFormatting sqref="M105">
    <cfRule type="cellIs" dxfId="348" priority="5" operator="notBetween">
      <formula>1</formula>
      <formula>-1</formula>
    </cfRule>
  </conditionalFormatting>
  <conditionalFormatting sqref="M104">
    <cfRule type="cellIs" dxfId="347" priority="4" operator="notBetween">
      <formula>1</formula>
      <formula>-1</formula>
    </cfRule>
  </conditionalFormatting>
  <conditionalFormatting sqref="M106">
    <cfRule type="cellIs" dxfId="346" priority="3" operator="notBetween">
      <formula>1</formula>
      <formula>-1</formula>
    </cfRule>
  </conditionalFormatting>
  <conditionalFormatting sqref="M107">
    <cfRule type="cellIs" dxfId="345" priority="2" operator="notBetween">
      <formula>1</formula>
      <formula>-1</formula>
    </cfRule>
  </conditionalFormatting>
  <conditionalFormatting sqref="M108:M139">
    <cfRule type="cellIs" dxfId="344" priority="1" operator="notBetween">
      <formula>1</formula>
      <formula>-1</formula>
    </cfRule>
  </conditionalFormatting>
  <dataValidations count="1">
    <dataValidation allowBlank="1" showInputMessage="1" showErrorMessage="1" promptTitle="Year is automatic" prompt="Enter the year in the Target Tracking Sheet" sqref="AG7 FC7 AU7 BI7 BW7 CK7 CY7 DM7 EA7 EO7 FQ7" xr:uid="{00000000-0002-0000-0A00-000000000000}"/>
  </dataValidations>
  <pageMargins left="0.23622047244094491" right="0.23622047244094491" top="0.35433070866141736" bottom="0.35433070866141736" header="0.31496062992125984" footer="0.31496062992125984"/>
  <pageSetup scale="20" fitToHeight="4" orientation="landscape" r:id="rId1"/>
  <headerFooter>
    <oddFooter>&amp;L&amp;1#&amp;"Calibri"&amp;11&amp;K000000Classification: Protected A</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Validations!$C$46:$C$48</xm:f>
          </x14:formula1>
          <xm:sqref>AI6:AU6 AW6:BI6 BK6:BW6 BY6:CK6 CM6:CY6 DA6:DM6 DO6:EA6 EC6:EO6 EQ6:FC6 FE6:FQ6 U6:AG6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3" tint="0.59999389629810485"/>
    <pageSetUpPr fitToPage="1"/>
  </sheetPr>
  <dimension ref="B1:V40"/>
  <sheetViews>
    <sheetView showGridLines="0" zoomScaleNormal="100" workbookViewId="0">
      <selection activeCell="D35" sqref="D35"/>
    </sheetView>
  </sheetViews>
  <sheetFormatPr defaultColWidth="9.42578125" defaultRowHeight="14.1" outlineLevelRow="1"/>
  <cols>
    <col min="1" max="1" width="2.42578125" style="1" customWidth="1"/>
    <col min="2" max="2" width="19.42578125" style="2" customWidth="1"/>
    <col min="3" max="3" width="21" style="3" customWidth="1"/>
    <col min="4" max="4" width="16.42578125" style="2" bestFit="1" customWidth="1"/>
    <col min="5" max="5" width="17.7109375" style="2" bestFit="1" customWidth="1"/>
    <col min="6" max="6" width="26.42578125" style="2" customWidth="1"/>
    <col min="7" max="7" width="22.42578125" style="2" customWidth="1"/>
    <col min="8" max="8" width="3.42578125" style="1" customWidth="1"/>
    <col min="9" max="9" width="29.7109375" style="1" customWidth="1"/>
    <col min="10" max="10" width="40.42578125" style="1" customWidth="1"/>
    <col min="11" max="11" width="2.42578125" style="1" customWidth="1"/>
    <col min="12" max="12" width="21.42578125" style="1" customWidth="1"/>
    <col min="13" max="13" width="10.7109375" style="2" customWidth="1"/>
    <col min="14" max="14" width="19.42578125" style="1" customWidth="1"/>
    <col min="15" max="15" width="2.42578125" style="1" customWidth="1"/>
    <col min="16" max="16" width="17.28515625" style="1" bestFit="1" customWidth="1"/>
    <col min="17" max="17" width="7" style="2" customWidth="1"/>
    <col min="18" max="18" width="16.42578125" style="1" bestFit="1" customWidth="1"/>
    <col min="19" max="19" width="2.42578125" style="1" customWidth="1"/>
    <col min="20" max="20" width="15.42578125" style="1" bestFit="1" customWidth="1"/>
    <col min="21" max="16384" width="9.42578125" style="1"/>
  </cols>
  <sheetData>
    <row r="1" spans="2:22" ht="9" customHeight="1"/>
    <row r="2" spans="2:22" ht="23.65">
      <c r="B2" s="183" t="s">
        <v>1615</v>
      </c>
      <c r="F2" s="19" t="str">
        <f>Validations!$C$6</f>
        <v>Justice Centre</v>
      </c>
      <c r="G2" s="19"/>
      <c r="M2" s="19"/>
      <c r="Q2" s="19"/>
    </row>
    <row r="3" spans="2:22" ht="9" customHeight="1">
      <c r="B3" s="189"/>
    </row>
    <row r="4" spans="2:22" s="41" customFormat="1" ht="15.6">
      <c r="B4" s="40" t="s">
        <v>1616</v>
      </c>
      <c r="C4" s="50"/>
      <c r="D4" s="6" t="s">
        <v>321</v>
      </c>
      <c r="E4" s="6" t="s">
        <v>377</v>
      </c>
      <c r="F4" s="6" t="s">
        <v>378</v>
      </c>
      <c r="G4" s="6"/>
      <c r="I4" s="6" t="s">
        <v>333</v>
      </c>
      <c r="J4" s="6" t="s">
        <v>334</v>
      </c>
      <c r="L4" s="6" t="s">
        <v>335</v>
      </c>
      <c r="M4" s="6"/>
      <c r="N4" s="6" t="s">
        <v>1566</v>
      </c>
      <c r="P4" s="6" t="s">
        <v>1567</v>
      </c>
      <c r="Q4" s="6"/>
      <c r="R4" s="6" t="s">
        <v>1568</v>
      </c>
    </row>
    <row r="5" spans="2:22" s="2" customFormat="1" ht="27.95">
      <c r="B5" s="220" t="s">
        <v>338</v>
      </c>
      <c r="C5" s="51" t="s">
        <v>7</v>
      </c>
      <c r="D5" s="20" t="s">
        <v>1569</v>
      </c>
      <c r="E5" s="20" t="s">
        <v>1617</v>
      </c>
      <c r="F5" s="20" t="s">
        <v>354</v>
      </c>
      <c r="G5" s="20" t="s">
        <v>1618</v>
      </c>
      <c r="H5" s="458" t="s">
        <v>535</v>
      </c>
      <c r="I5" s="20" t="s">
        <v>1571</v>
      </c>
      <c r="J5" s="20" t="s">
        <v>357</v>
      </c>
      <c r="K5" s="458" t="s">
        <v>353</v>
      </c>
      <c r="L5" s="20" t="s">
        <v>1619</v>
      </c>
      <c r="M5" s="20" t="s">
        <v>1620</v>
      </c>
      <c r="N5" s="20" t="s">
        <v>1573</v>
      </c>
      <c r="O5" s="458" t="s">
        <v>355</v>
      </c>
      <c r="P5" s="20" t="s">
        <v>389</v>
      </c>
      <c r="Q5" s="20" t="s">
        <v>1621</v>
      </c>
      <c r="R5" s="230" t="s">
        <v>1574</v>
      </c>
      <c r="T5" s="3"/>
    </row>
    <row r="6" spans="2:22">
      <c r="B6" s="468">
        <f>Validations!B11</f>
        <v>100</v>
      </c>
      <c r="C6" s="94" t="str">
        <f>Validations!C11</f>
        <v>Administration</v>
      </c>
      <c r="D6" s="474">
        <f ca="1">SUMIF(BudgetDetails[Primary Category],SummPrimCat[[#This Row],[Primary Category]],BudgetDetails[Base Budget])</f>
        <v>3000167</v>
      </c>
      <c r="E6" s="503">
        <f ca="1">SummPrimCat[[#This Row],[Current Budget]]-SummPrimCat[[#This Row],[Base Budget]]</f>
        <v>617089.74000000022</v>
      </c>
      <c r="F6" s="503">
        <f ca="1">SUMIF(BudgetDetails[Primary Category],SummPrimCat[[#This Row],[Primary Category]],BudgetDetails[Current Budget])</f>
        <v>3617256.74</v>
      </c>
      <c r="G6" s="106">
        <f ca="1">SummPrimCat[[#This Row],[Current Budget]]/SummPrimCat[[#Totals],[Current Budget]]</f>
        <v>1.8928606713911965E-2</v>
      </c>
      <c r="I6" s="504">
        <f ca="1">SUMIF(BudgetDetails[Primary Category],SummPrimCat[[#This Row],[Primary Category]],BudgetDetails[Estimate at Completion])</f>
        <v>3738384.78</v>
      </c>
      <c r="J6" s="504">
        <f ca="1">SummPrimCat[[#This Row],[Current Budget]]-SummPrimCat[[#This Row],[Estimate at Completion]]</f>
        <v>-121128.03999999957</v>
      </c>
      <c r="L6" s="504">
        <f ca="1">SUMIF(BudgetDetails[Primary Category],SummPrimCat[[#This Row],[Primary Category]],BudgetDetails[Commitments to Date])</f>
        <v>3738384.78</v>
      </c>
      <c r="M6" s="106">
        <f ca="1">IFERROR(SummPrimCat[[#This Row],[Commitment to Date]]/SummPrimCat[[#This Row],[Estimate at Completion]],"-")</f>
        <v>1</v>
      </c>
      <c r="N6" s="504">
        <f ca="1">SummPrimCat[[#This Row],[Current Budget]]-SummPrimCat[[#This Row],[Commitment to Date]]</f>
        <v>-121128.03999999957</v>
      </c>
      <c r="P6" s="504">
        <f ca="1">SUMIFS(CostTrack[Value],CostTrack[Primary Category],SummPrimCat[[#This Row],[Primary Category]],CostTrack[Holdback (Y/N/R)],"&lt;&gt;Release",CostTrack[Status],"Approved")</f>
        <v>3464562.7499999991</v>
      </c>
      <c r="Q6" s="106">
        <f ca="1">IFERROR(SummPrimCat[[#This Row],[Expenditures to Date]]/SummPrimCat[[#This Row],[Estimate at Completion]],"-")</f>
        <v>0.9267539201783288</v>
      </c>
      <c r="R6" s="513">
        <f ca="1">SummPrimCat[[#This Row],[Current Budget]]-SummPrimCat[[#This Row],[Expenditures to Date]]</f>
        <v>152693.99000000115</v>
      </c>
      <c r="U6" s="3"/>
    </row>
    <row r="7" spans="2:22">
      <c r="B7" s="468">
        <f>Validations!B12</f>
        <v>200</v>
      </c>
      <c r="C7" s="94" t="str">
        <f>Validations!C12</f>
        <v>Professional Services</v>
      </c>
      <c r="D7" s="474">
        <f ca="1">SUMIF(BudgetDetails[Primary Category],SummPrimCat[[#This Row],[Primary Category]],BudgetDetails[Base Budget])</f>
        <v>13210000</v>
      </c>
      <c r="E7" s="503">
        <f ca="1">SummPrimCat[[#This Row],[Current Budget]]-SummPrimCat[[#This Row],[Base Budget]]</f>
        <v>1369716.1799999997</v>
      </c>
      <c r="F7" s="503">
        <f ca="1">SUMIF(BudgetDetails[Primary Category],SummPrimCat[[#This Row],[Primary Category]],BudgetDetails[Current Budget])</f>
        <v>14579716.18</v>
      </c>
      <c r="G7" s="106">
        <f ca="1">SummPrimCat[[#This Row],[Current Budget]]/SummPrimCat[[#Totals],[Current Budget]]</f>
        <v>7.6293648310868559E-2</v>
      </c>
      <c r="I7" s="504">
        <f ca="1">SUMIF(BudgetDetails[Primary Category],SummPrimCat[[#This Row],[Primary Category]],BudgetDetails[Estimate at Completion])</f>
        <v>14545842.18</v>
      </c>
      <c r="J7" s="504">
        <f ca="1">SummPrimCat[[#This Row],[Current Budget]]-SummPrimCat[[#This Row],[Estimate at Completion]]</f>
        <v>33874</v>
      </c>
      <c r="L7" s="504">
        <f ca="1">SUMIF(BudgetDetails[Primary Category],SummPrimCat[[#This Row],[Primary Category]],BudgetDetails[Commitments to Date])</f>
        <v>11665967.18</v>
      </c>
      <c r="M7" s="106">
        <f ca="1">IFERROR(SummPrimCat[[#This Row],[Commitment to Date]]/SummPrimCat[[#This Row],[Estimate at Completion]],"-")</f>
        <v>0.80201387005561475</v>
      </c>
      <c r="N7" s="504">
        <f ca="1">SummPrimCat[[#This Row],[Current Budget]]-SummPrimCat[[#This Row],[Commitment to Date]]</f>
        <v>2913749</v>
      </c>
      <c r="P7" s="504">
        <f ca="1">SUMIFS(CostTrack[Value],CostTrack[Primary Category],SummPrimCat[[#This Row],[Primary Category]],CostTrack[Holdback (Y/N/R)],"&lt;&gt;Release",CostTrack[Status],"Approved")</f>
        <v>11296386.509999992</v>
      </c>
      <c r="Q7" s="106">
        <f ca="1">IFERROR(SummPrimCat[[#This Row],[Expenditures to Date]]/SummPrimCat[[#This Row],[Estimate at Completion]],"-")</f>
        <v>0.77660587611297682</v>
      </c>
      <c r="R7" s="513">
        <f ca="1">SummPrimCat[[#This Row],[Current Budget]]-SummPrimCat[[#This Row],[Expenditures to Date]]</f>
        <v>3283329.6700000074</v>
      </c>
      <c r="U7" s="3"/>
    </row>
    <row r="8" spans="2:22">
      <c r="B8" s="468">
        <f>Validations!B13</f>
        <v>300</v>
      </c>
      <c r="C8" s="94" t="str">
        <f>Validations!C13</f>
        <v>Construction</v>
      </c>
      <c r="D8" s="474">
        <f ca="1">SUMIF(BudgetDetails[Primary Category],SummPrimCat[[#This Row],[Primary Category]],BudgetDetails[Base Budget])</f>
        <v>163219053.38</v>
      </c>
      <c r="E8" s="503">
        <f ca="1">SummPrimCat[[#This Row],[Current Budget]]-SummPrimCat[[#This Row],[Base Budget]]</f>
        <v>-2897556.1399999857</v>
      </c>
      <c r="F8" s="503">
        <f ca="1">SUMIF(BudgetDetails[Primary Category],SummPrimCat[[#This Row],[Primary Category]],BudgetDetails[Current Budget])</f>
        <v>160321497.24000001</v>
      </c>
      <c r="G8" s="106">
        <f ca="1">SummPrimCat[[#This Row],[Current Budget]]/SummPrimCat[[#Totals],[Current Budget]]</f>
        <v>0.83894033162862602</v>
      </c>
      <c r="I8" s="504">
        <f ca="1">SUMIF(BudgetDetails[Primary Category],SummPrimCat[[#This Row],[Primary Category]],BudgetDetails[Estimate at Completion])</f>
        <v>160234243.24000004</v>
      </c>
      <c r="J8" s="504">
        <f ca="1">SummPrimCat[[#This Row],[Current Budget]]-SummPrimCat[[#This Row],[Estimate at Completion]]</f>
        <v>87253.999999970198</v>
      </c>
      <c r="L8" s="504">
        <f ca="1">SUMIF(BudgetDetails[Primary Category],SummPrimCat[[#This Row],[Primary Category]],BudgetDetails[Commitments to Date])</f>
        <v>157605020.24000004</v>
      </c>
      <c r="M8" s="106">
        <f ca="1">IFERROR(SummPrimCat[[#This Row],[Commitment to Date]]/SummPrimCat[[#This Row],[Estimate at Completion]],"-")</f>
        <v>0.98359137880370595</v>
      </c>
      <c r="N8" s="504">
        <f ca="1">SummPrimCat[[#This Row],[Current Budget]]-SummPrimCat[[#This Row],[Commitment to Date]]</f>
        <v>2716476.9999999702</v>
      </c>
      <c r="P8" s="504">
        <f ca="1">SUMIFS(CostTrack[Value],CostTrack[Primary Category],SummPrimCat[[#This Row],[Primary Category]],CostTrack[Holdback (Y/N/R)],"&lt;&gt;Release",CostTrack[Status],"Approved")</f>
        <v>155853260.84000003</v>
      </c>
      <c r="Q8" s="106">
        <f ca="1">IFERROR(SummPrimCat[[#This Row],[Expenditures to Date]]/SummPrimCat[[#This Row],[Estimate at Completion]],"-")</f>
        <v>0.97265888794171085</v>
      </c>
      <c r="R8" s="513">
        <f ca="1">SummPrimCat[[#This Row],[Current Budget]]-SummPrimCat[[#This Row],[Expenditures to Date]]</f>
        <v>4468236.3999999762</v>
      </c>
    </row>
    <row r="9" spans="2:22">
      <c r="B9" s="468">
        <f>Validations!B14</f>
        <v>400</v>
      </c>
      <c r="C9" s="94" t="str">
        <f>Validations!C14</f>
        <v>FE_IT</v>
      </c>
      <c r="D9" s="474">
        <f ca="1">SUMIF(BudgetDetails[Primary Category],SummPrimCat[[#This Row],[Primary Category]],BudgetDetails[Base Budget])</f>
        <v>15200000</v>
      </c>
      <c r="E9" s="503">
        <f ca="1">SummPrimCat[[#This Row],[Current Budget]]-SummPrimCat[[#This Row],[Base Budget]]</f>
        <v>-7307082.2899999991</v>
      </c>
      <c r="F9" s="503">
        <f ca="1">SUMIF(BudgetDetails[Primary Category],SummPrimCat[[#This Row],[Primary Category]],BudgetDetails[Current Budget])</f>
        <v>7892917.7100000009</v>
      </c>
      <c r="G9" s="106">
        <f ca="1">SummPrimCat[[#This Row],[Current Budget]]/SummPrimCat[[#Totals],[Current Budget]]</f>
        <v>4.130255215389015E-2</v>
      </c>
      <c r="I9" s="504">
        <f ca="1">SUMIF(BudgetDetails[Primary Category],SummPrimCat[[#This Row],[Primary Category]],BudgetDetails[Estimate at Completion])</f>
        <v>7892917.7100000009</v>
      </c>
      <c r="J9" s="504">
        <f ca="1">SummPrimCat[[#This Row],[Current Budget]]-SummPrimCat[[#This Row],[Estimate at Completion]]</f>
        <v>0</v>
      </c>
      <c r="L9" s="504">
        <f ca="1">SUMIF(BudgetDetails[Primary Category],SummPrimCat[[#This Row],[Primary Category]],BudgetDetails[Commitments to Date])</f>
        <v>7892917.7100000009</v>
      </c>
      <c r="M9" s="106">
        <f ca="1">IFERROR(SummPrimCat[[#This Row],[Commitment to Date]]/SummPrimCat[[#This Row],[Estimate at Completion]],"-")</f>
        <v>1</v>
      </c>
      <c r="N9" s="504">
        <f ca="1">SummPrimCat[[#This Row],[Current Budget]]-SummPrimCat[[#This Row],[Commitment to Date]]</f>
        <v>0</v>
      </c>
      <c r="P9" s="504">
        <f ca="1">SUMIFS(CostTrack[Value],CostTrack[Primary Category],SummPrimCat[[#This Row],[Primary Category]],CostTrack[Holdback (Y/N/R)],"&lt;&gt;Release",CostTrack[Status],"Approved")</f>
        <v>7424523.3299999991</v>
      </c>
      <c r="Q9" s="106">
        <f ca="1">IFERROR(SummPrimCat[[#This Row],[Expenditures to Date]]/SummPrimCat[[#This Row],[Estimate at Completion]],"-")</f>
        <v>0.94065637103924626</v>
      </c>
      <c r="R9" s="513">
        <f ca="1">SummPrimCat[[#This Row],[Current Budget]]-SummPrimCat[[#This Row],[Expenditures to Date]]</f>
        <v>468394.38000000175</v>
      </c>
    </row>
    <row r="10" spans="2:22">
      <c r="B10" s="468">
        <f>Validations!B15</f>
        <v>500</v>
      </c>
      <c r="C10" s="94" t="str">
        <f>Validations!C15</f>
        <v>Land</v>
      </c>
      <c r="D10" s="474">
        <f ca="1">SUMIF(BudgetDetails[Primary Category],SummPrimCat[[#This Row],[Primary Category]],BudgetDetails[Base Budget])</f>
        <v>5000000</v>
      </c>
      <c r="E10" s="503">
        <f ca="1">SummPrimCat[[#This Row],[Current Budget]]-SummPrimCat[[#This Row],[Base Budget]]</f>
        <v>-311388.03000000026</v>
      </c>
      <c r="F10" s="503">
        <f ca="1">SUMIF(BudgetDetails[Primary Category],SummPrimCat[[#This Row],[Primary Category]],BudgetDetails[Current Budget])</f>
        <v>4688611.97</v>
      </c>
      <c r="G10" s="106">
        <f ca="1">SummPrimCat[[#This Row],[Current Budget]]/SummPrimCat[[#Totals],[Current Budget]]</f>
        <v>2.4534861192703174E-2</v>
      </c>
      <c r="I10" s="504">
        <f ca="1">SUMIF(BudgetDetails[Primary Category],SummPrimCat[[#This Row],[Primary Category]],BudgetDetails[Estimate at Completion])</f>
        <v>4688611.97</v>
      </c>
      <c r="J10" s="504">
        <f ca="1">SummPrimCat[[#This Row],[Current Budget]]-SummPrimCat[[#This Row],[Estimate at Completion]]</f>
        <v>0</v>
      </c>
      <c r="L10" s="504">
        <f ca="1">SUMIF(BudgetDetails[Primary Category],SummPrimCat[[#This Row],[Primary Category]],BudgetDetails[Commitments to Date])</f>
        <v>4688611.97</v>
      </c>
      <c r="M10" s="106">
        <f ca="1">IFERROR(SummPrimCat[[#This Row],[Commitment to Date]]/SummPrimCat[[#This Row],[Estimate at Completion]],"-")</f>
        <v>1</v>
      </c>
      <c r="N10" s="504">
        <f ca="1">SummPrimCat[[#This Row],[Current Budget]]-SummPrimCat[[#This Row],[Commitment to Date]]</f>
        <v>0</v>
      </c>
      <c r="P10" s="504">
        <f ca="1">SUMIFS(CostTrack[Value],CostTrack[Primary Category],SummPrimCat[[#This Row],[Primary Category]],CostTrack[Holdback (Y/N/R)],"&lt;&gt;Release",CostTrack[Status],"Approved")</f>
        <v>4688611.97</v>
      </c>
      <c r="Q10" s="106">
        <f ca="1">IFERROR(SummPrimCat[[#This Row],[Expenditures to Date]]/SummPrimCat[[#This Row],[Estimate at Completion]],"-")</f>
        <v>1</v>
      </c>
      <c r="R10" s="513">
        <f ca="1">SummPrimCat[[#This Row],[Current Budget]]-SummPrimCat[[#This Row],[Expenditures to Date]]</f>
        <v>0</v>
      </c>
    </row>
    <row r="11" spans="2:22">
      <c r="B11" s="468">
        <f>Validations!B16</f>
        <v>600</v>
      </c>
      <c r="C11" s="94" t="str">
        <f>Validations!C16</f>
        <v>Management Reserve</v>
      </c>
      <c r="D11" s="474">
        <f ca="1">SUMIF(BudgetDetails[Primary Category],SummPrimCat[[#This Row],[Primary Category]],BudgetDetails[Base Budget])</f>
        <v>7000000</v>
      </c>
      <c r="E11" s="503">
        <f ca="1">SummPrimCat[[#This Row],[Current Budget]]-SummPrimCat[[#This Row],[Base Budget]]</f>
        <v>-7000000</v>
      </c>
      <c r="F11" s="503">
        <f ca="1">SUMIF(BudgetDetails[Primary Category],SummPrimCat[[#This Row],[Primary Category]],BudgetDetails[Current Budget])</f>
        <v>0</v>
      </c>
      <c r="G11" s="106">
        <f ca="1">SummPrimCat[[#This Row],[Current Budget]]/SummPrimCat[[#Totals],[Current Budget]]</f>
        <v>0</v>
      </c>
      <c r="I11" s="504">
        <f ca="1">SUMIF(BudgetDetails[Primary Category],SummPrimCat[[#This Row],[Primary Category]],BudgetDetails[Estimate at Completion])</f>
        <v>0</v>
      </c>
      <c r="J11" s="504">
        <f ca="1">SummPrimCat[[#This Row],[Current Budget]]-SummPrimCat[[#This Row],[Estimate at Completion]]</f>
        <v>0</v>
      </c>
      <c r="L11" s="504">
        <f ca="1">SUMIF(BudgetDetails[Primary Category],SummPrimCat[[#This Row],[Primary Category]],BudgetDetails[Commitments to Date])</f>
        <v>0</v>
      </c>
      <c r="M11" s="106" t="str">
        <f ca="1">IFERROR(SummPrimCat[[#This Row],[Commitment to Date]]/SummPrimCat[[#This Row],[Estimate at Completion]],"-")</f>
        <v>-</v>
      </c>
      <c r="N11" s="504">
        <f ca="1">SummPrimCat[[#This Row],[Current Budget]]-SummPrimCat[[#This Row],[Commitment to Date]]</f>
        <v>0</v>
      </c>
      <c r="P11" s="504">
        <f ca="1">SUMIFS(CostTrack[Value],CostTrack[Primary Category],SummPrimCat[[#This Row],[Primary Category]],CostTrack[Holdback (Y/N/R)],"&lt;&gt;Release",CostTrack[Status],"Approved")</f>
        <v>0</v>
      </c>
      <c r="Q11" s="106" t="str">
        <f ca="1">IFERROR(SummPrimCat[[#This Row],[Expenditures to Date]]/SummPrimCat[[#This Row],[Estimate at Completion]],"-")</f>
        <v>-</v>
      </c>
      <c r="R11" s="513">
        <f ca="1">SummPrimCat[[#This Row],[Current Budget]]-SummPrimCat[[#This Row],[Expenditures to Date]]</f>
        <v>0</v>
      </c>
    </row>
    <row r="12" spans="2:22">
      <c r="B12" s="114"/>
      <c r="C12" s="464" t="s">
        <v>274</v>
      </c>
      <c r="D12" s="280">
        <f ca="1">SUBTOTAL(109,SummPrimCat[Base Budget])</f>
        <v>206629220.38</v>
      </c>
      <c r="E12" s="280">
        <f ca="1">SUBTOTAL(109,SummPrimCat[Budget Amendments])</f>
        <v>-15529220.539999984</v>
      </c>
      <c r="F12" s="280">
        <f ca="1">SUBTOTAL(109,SummPrimCat[Current Budget])</f>
        <v>191099999.84000003</v>
      </c>
      <c r="G12" s="469">
        <f ca="1">SUBTOTAL(109,SummPrimCat[% Split])</f>
        <v>0.99999999999999989</v>
      </c>
      <c r="I12" s="280">
        <f ca="1">SUBTOTAL(109,SummPrimCat[Estimate at Completion])</f>
        <v>191099999.88000005</v>
      </c>
      <c r="J12" s="280">
        <f ca="1">SUBTOTAL(109,SummPrimCat[Budget Variance])</f>
        <v>-4.0000029373914003E-2</v>
      </c>
      <c r="L12" s="280">
        <f ca="1">SUBTOTAL(109,SummPrimCat[Commitment to Date])</f>
        <v>185590901.88000005</v>
      </c>
      <c r="M12" s="469">
        <f ca="1">IFERROR(SummPrimCat[[#Totals],[Commitment to Date]]/SummPrimCat[[#Totals],[Estimate at Completion]],"-")</f>
        <v>0.97117164833354575</v>
      </c>
      <c r="N12" s="280">
        <f ca="1">SUBTOTAL(109,SummPrimCat[Available Funds])</f>
        <v>5509097.9599999711</v>
      </c>
      <c r="P12" s="280">
        <f ca="1">SUBTOTAL(109,SummPrimCat[Expenditures to Date])</f>
        <v>182727345.40000004</v>
      </c>
      <c r="Q12" s="469">
        <f ca="1">IFERROR(SummPrimCat[[#Totals],[Expenditures to Date]]/SummPrimCat[[#Totals],[Estimate at Completion]],"-")</f>
        <v>0.95618705135919635</v>
      </c>
      <c r="R12" s="280">
        <f ca="1">SUBTOTAL(109,SummPrimCat[Unspent])</f>
        <v>8372654.4399999864</v>
      </c>
    </row>
    <row r="13" spans="2:22">
      <c r="I13" s="354"/>
      <c r="J13" s="354"/>
      <c r="K13" s="105"/>
      <c r="T13" s="122"/>
      <c r="V13" s="41"/>
    </row>
    <row r="14" spans="2:22" s="9" customFormat="1" ht="29.1" customHeight="1">
      <c r="B14" s="2"/>
      <c r="C14" s="20" t="s">
        <v>1622</v>
      </c>
      <c r="D14" s="121"/>
      <c r="E14" s="1153" t="s">
        <v>1623</v>
      </c>
      <c r="F14" s="1153"/>
      <c r="G14" s="2"/>
      <c r="H14" s="1"/>
      <c r="I14" s="20" t="s">
        <v>1624</v>
      </c>
      <c r="K14"/>
      <c r="L14" s="1158" t="s">
        <v>1625</v>
      </c>
      <c r="M14" s="1159"/>
      <c r="N14"/>
      <c r="O14" s="1"/>
      <c r="P14" s="1153" t="s">
        <v>1626</v>
      </c>
      <c r="Q14" s="1153"/>
      <c r="R14" s="518">
        <f ca="1">SummPrimCat[[#Totals],[Expenditures to Date]]/TAFValue</f>
        <v>0.9561870507587652</v>
      </c>
      <c r="U14" s="1"/>
      <c r="V14" s="18"/>
    </row>
    <row r="15" spans="2:22" ht="29.1" customHeight="1">
      <c r="B15" s="9"/>
      <c r="C15" s="478">
        <f>'Target Tracking'!F13</f>
        <v>191100000</v>
      </c>
      <c r="D15" s="121"/>
      <c r="E15" s="1157">
        <f ca="1">C15-SummPrimCat[[#Totals],[Current Budget]]</f>
        <v>0.15999996662139893</v>
      </c>
      <c r="F15" s="1157"/>
      <c r="G15" s="9"/>
      <c r="H15" s="105"/>
      <c r="I15" s="478">
        <f ca="1">TAFValue-SummPrimCat[[#Totals],[Estimate at Completion]]</f>
        <v>0.11999994516372681</v>
      </c>
      <c r="K15" s="44"/>
      <c r="L15" s="1160">
        <f ca="1">SUM(SUMIF('Budget Details (Rpt)'!$D$4:$D$64,{"*Contingency*","*Management*","*Allowance*"},'Budget Details (Rpt)'!$L$4:$L$64))</f>
        <v>5329223</v>
      </c>
      <c r="M15" s="1161"/>
      <c r="N15"/>
      <c r="O15" s="9"/>
      <c r="P15" s="1153" t="s">
        <v>1627</v>
      </c>
      <c r="Q15" s="1153"/>
      <c r="R15" s="518">
        <f ca="1">SummPrimCat[[#Totals],[Expenditures to Date]]/SummPrimCat[[#Totals],[Estimate at Completion]]</f>
        <v>0.95618705135919635</v>
      </c>
    </row>
    <row r="16" spans="2:22" s="41" customFormat="1" hidden="1" outlineLevel="1">
      <c r="B16" s="2"/>
      <c r="C16" s="3"/>
      <c r="D16" s="2"/>
      <c r="E16" s="2"/>
      <c r="F16" s="2"/>
      <c r="G16" s="2"/>
      <c r="H16" s="1"/>
      <c r="I16" s="1"/>
      <c r="J16" s="1"/>
      <c r="K16" s="1"/>
      <c r="L16" s="1"/>
      <c r="M16" s="2"/>
      <c r="N16" s="1"/>
      <c r="O16" s="1"/>
      <c r="P16" s="1"/>
      <c r="Q16" s="2"/>
      <c r="R16" s="1"/>
      <c r="U16" s="1"/>
    </row>
    <row r="17" spans="2:21" s="2" customFormat="1" ht="15.6" hidden="1" outlineLevel="1">
      <c r="B17" s="40" t="s">
        <v>1628</v>
      </c>
      <c r="C17" s="50"/>
      <c r="D17" s="6" t="s">
        <v>321</v>
      </c>
      <c r="E17" s="6" t="s">
        <v>377</v>
      </c>
      <c r="F17" s="6" t="s">
        <v>378</v>
      </c>
      <c r="G17" s="6"/>
      <c r="H17" s="41"/>
      <c r="I17" s="6" t="s">
        <v>333</v>
      </c>
      <c r="J17" s="6" t="s">
        <v>334</v>
      </c>
      <c r="K17" s="41"/>
      <c r="L17" s="6" t="s">
        <v>335</v>
      </c>
      <c r="M17" s="6"/>
      <c r="N17" s="6" t="s">
        <v>1566</v>
      </c>
      <c r="O17" s="41"/>
      <c r="P17" s="6" t="s">
        <v>1567</v>
      </c>
      <c r="Q17" s="6"/>
      <c r="R17" s="6" t="s">
        <v>1568</v>
      </c>
      <c r="T17" s="3"/>
      <c r="U17" s="1"/>
    </row>
    <row r="18" spans="2:21" ht="27.95" hidden="1" outlineLevel="1">
      <c r="B18" s="471" t="s">
        <v>340</v>
      </c>
      <c r="C18" s="463" t="s">
        <v>341</v>
      </c>
      <c r="D18" s="20" t="s">
        <v>1569</v>
      </c>
      <c r="E18" s="20" t="s">
        <v>1617</v>
      </c>
      <c r="F18" s="20" t="s">
        <v>354</v>
      </c>
      <c r="G18" s="20" t="s">
        <v>1618</v>
      </c>
      <c r="H18" s="458" t="s">
        <v>535</v>
      </c>
      <c r="I18" s="20" t="s">
        <v>1571</v>
      </c>
      <c r="J18" s="20" t="s">
        <v>357</v>
      </c>
      <c r="K18" s="458" t="s">
        <v>353</v>
      </c>
      <c r="L18" s="20" t="s">
        <v>1619</v>
      </c>
      <c r="M18" s="20" t="s">
        <v>1620</v>
      </c>
      <c r="N18" s="20" t="s">
        <v>1573</v>
      </c>
      <c r="O18" s="458" t="s">
        <v>355</v>
      </c>
      <c r="P18" s="20" t="s">
        <v>389</v>
      </c>
      <c r="Q18" s="20" t="s">
        <v>1621</v>
      </c>
      <c r="R18" s="230" t="s">
        <v>1574</v>
      </c>
      <c r="U18" s="3"/>
    </row>
    <row r="19" spans="2:21" hidden="1" outlineLevel="1">
      <c r="B19" s="429" t="s">
        <v>22</v>
      </c>
      <c r="C19" s="95" t="s">
        <v>22</v>
      </c>
      <c r="D19" s="474">
        <f ca="1">SUMIFS(BudgetDetails[Base Budget],BudgetDetails[Phase / Subproject],SummPhase[[#This Row],[Phase / Subproject]],BudgetDetails[Secondary Category],SummPhase[[#This Row],[Phase / Subproject 2]])</f>
        <v>0</v>
      </c>
      <c r="E19" s="503">
        <f ca="1">SummPhase[[#This Row],[Current Budget]]-SummPhase[[#This Row],[Base Budget]]</f>
        <v>191099999.84</v>
      </c>
      <c r="F19" s="474">
        <f ca="1">SUMIFS('Budget Details (Rpt)'!$J$4:$J$64,'Budget Details (Rpt)'!$E$4:$E$64,'Summary (Rpt)'!B19,'Budget Details (Rpt)'!$F$4:$F$64,'Summary (Rpt)'!C19)</f>
        <v>191099999.84</v>
      </c>
      <c r="G19" s="107" t="e">
        <f ca="1">SummPhase[[#This Row],[Current Budget]]/SummPhase[[#Totals],[Current Budget]]</f>
        <v>#DIV/0!</v>
      </c>
      <c r="I19" s="504">
        <f ca="1">SUMIFS(BudgetDetails[Estimate at Completion],BudgetDetails[Phase / Subproject],SummPhase[[#This Row],[Phase / Subproject]],BudgetDetails[Secondary Category],SummPhase[[#This Row],[Phase / Subproject 2]])</f>
        <v>0</v>
      </c>
      <c r="J19" s="504">
        <f ca="1">SummPhase[[#This Row],[Current Budget]]-SummPhase[[#This Row],[Estimate at Completion]]</f>
        <v>191099999.84</v>
      </c>
      <c r="L19" s="504">
        <f ca="1">SUMIFS(BudgetDetails[Commitments to Date],BudgetDetails[Phase / Subproject],SummPhase[[#This Row],[Phase / Subproject]],BudgetDetails[Secondary Category],SummPhase[[#This Row],[Phase / Subproject 2]])</f>
        <v>0</v>
      </c>
      <c r="M19" s="107" t="str">
        <f ca="1">IFERROR(SummPhase[[#This Row],[Commitment to Date]]/SummPhase[[#This Row],[Estimate at Completion]],"-")</f>
        <v>-</v>
      </c>
      <c r="N19" s="504">
        <f ca="1">SummPhase[[#This Row],[Current Budget]]-SummPhase[[#This Row],[Commitment to Date]]</f>
        <v>191099999.84</v>
      </c>
      <c r="P19" s="504">
        <f ca="1">SUMIFS(CostTrack[Value],CostTrack[Holdback (Y/N/R)],"&lt;&gt;Release",CostTrack[Status],"Approved",CostTrack[Phase / Subproject],SummPhase[[#This Row],[Phase / Subproject]],CostTrack[Phase / Subproject 2],SummPhase[[#This Row],[Phase / Subproject 2]])</f>
        <v>182727345.40000013</v>
      </c>
      <c r="Q19" s="107" t="str">
        <f ca="1">IFERROR(SummPhase[[#This Row],[Expenditures to Date]]/SummPhase[[#This Row],[Estimate at Completion]],"-")</f>
        <v>-</v>
      </c>
      <c r="R19" s="513">
        <f ca="1">SummPhase[[#This Row],[Current Budget]]-SummPhase[[#This Row],[Expenditures to Date]]</f>
        <v>8372654.4399998784</v>
      </c>
      <c r="U19" s="3"/>
    </row>
    <row r="20" spans="2:21" hidden="1" outlineLevel="1">
      <c r="B20" s="429"/>
      <c r="C20" s="95"/>
      <c r="D20" s="474">
        <f ca="1">SUMIFS(BudgetDetails[Base Budget],BudgetDetails[Phase / Subproject],SummPhase[[#This Row],[Phase / Subproject]],BudgetDetails[Secondary Category],SummPhase[[#This Row],[Phase / Subproject 2]])</f>
        <v>0</v>
      </c>
      <c r="E20" s="503">
        <f ca="1">SummPhase[[#This Row],[Current Budget]]-SummPhase[[#This Row],[Base Budget]]</f>
        <v>0</v>
      </c>
      <c r="F20" s="474">
        <f ca="1">SUMIFS('Budget Details (Rpt)'!$J$4:$J$64,'Budget Details (Rpt)'!$E$4:$E$64,'Summary (Rpt)'!B20,'Budget Details (Rpt)'!$F$4:$F$64,'Summary (Rpt)'!C20)</f>
        <v>0</v>
      </c>
      <c r="G20" s="107" t="e">
        <f ca="1">SummPhase[[#This Row],[Current Budget]]/SummPhase[[#Totals],[Current Budget]]</f>
        <v>#DIV/0!</v>
      </c>
      <c r="I20" s="504">
        <f ca="1">SUMIFS(BudgetDetails[Estimate at Completion],BudgetDetails[Phase / Subproject],SummPhase[[#This Row],[Phase / Subproject]],BudgetDetails[Secondary Category],SummPhase[[#This Row],[Phase / Subproject 2]])</f>
        <v>0</v>
      </c>
      <c r="J20" s="504">
        <f ca="1">SummPhase[[#This Row],[Current Budget]]-SummPhase[[#This Row],[Estimate at Completion]]</f>
        <v>0</v>
      </c>
      <c r="L20" s="504">
        <f ca="1">SUMIFS(BudgetDetails[Commitments to Date],BudgetDetails[Phase / Subproject],SummPhase[[#This Row],[Phase / Subproject]],BudgetDetails[Secondary Category],SummPhase[[#This Row],[Phase / Subproject 2]])</f>
        <v>0</v>
      </c>
      <c r="M20" s="107" t="str">
        <f ca="1">IFERROR(SummPhase[[#This Row],[Commitment to Date]]/SummPhase[[#This Row],[Estimate at Completion]],"-")</f>
        <v>-</v>
      </c>
      <c r="N20" s="504">
        <f ca="1">SummPhase[[#This Row],[Current Budget]]-SummPhase[[#This Row],[Commitment to Date]]</f>
        <v>0</v>
      </c>
      <c r="P20" s="504">
        <f ca="1">SUMIFS(CostTrack[Value],CostTrack[Holdback (Y/N/R)],"&lt;&gt;Release",CostTrack[Status],"Approved",CostTrack[Phase / Subproject],SummPhase[[#This Row],[Phase / Subproject]],CostTrack[Phase / Subproject 2],SummPhase[[#This Row],[Phase / Subproject 2]])</f>
        <v>0</v>
      </c>
      <c r="Q20" s="107" t="str">
        <f ca="1">IFERROR(SummPhase[[#This Row],[Expenditures to Date]]/SummPhase[[#This Row],[Estimate at Completion]],"-")</f>
        <v>-</v>
      </c>
      <c r="R20" s="513">
        <f ca="1">SummPhase[[#This Row],[Current Budget]]-SummPhase[[#This Row],[Expenditures to Date]]</f>
        <v>0</v>
      </c>
    </row>
    <row r="21" spans="2:21" hidden="1" outlineLevel="1">
      <c r="B21" s="429"/>
      <c r="C21" s="95"/>
      <c r="D21" s="474">
        <f ca="1">SUMIFS(BudgetDetails[Base Budget],BudgetDetails[Phase / Subproject],SummPhase[[#This Row],[Phase / Subproject]],BudgetDetails[Secondary Category],SummPhase[[#This Row],[Phase / Subproject 2]])</f>
        <v>0</v>
      </c>
      <c r="E21" s="503">
        <f ca="1">SummPhase[[#This Row],[Current Budget]]-SummPhase[[#This Row],[Base Budget]]</f>
        <v>0</v>
      </c>
      <c r="F21" s="474">
        <f ca="1">SUMIFS('Budget Details (Rpt)'!$J$4:$J$64,'Budget Details (Rpt)'!$E$4:$E$64,'Summary (Rpt)'!B21,'Budget Details (Rpt)'!$F$4:$F$64,'Summary (Rpt)'!C21)</f>
        <v>0</v>
      </c>
      <c r="G21" s="107" t="e">
        <f ca="1">SummPhase[[#This Row],[Current Budget]]/SummPhase[[#Totals],[Current Budget]]</f>
        <v>#DIV/0!</v>
      </c>
      <c r="I21" s="504">
        <f ca="1">SUMIFS(BudgetDetails[Estimate at Completion],BudgetDetails[Phase / Subproject],SummPhase[[#This Row],[Phase / Subproject]],BudgetDetails[Secondary Category],SummPhase[[#This Row],[Phase / Subproject 2]])</f>
        <v>0</v>
      </c>
      <c r="J21" s="504">
        <f ca="1">SummPhase[[#This Row],[Current Budget]]-SummPhase[[#This Row],[Estimate at Completion]]</f>
        <v>0</v>
      </c>
      <c r="L21" s="504">
        <f ca="1">SUMIFS(BudgetDetails[Commitments to Date],BudgetDetails[Phase / Subproject],SummPhase[[#This Row],[Phase / Subproject]],BudgetDetails[Secondary Category],SummPhase[[#This Row],[Phase / Subproject 2]])</f>
        <v>0</v>
      </c>
      <c r="M21" s="107" t="str">
        <f ca="1">IFERROR(SummPhase[[#This Row],[Commitment to Date]]/SummPhase[[#This Row],[Estimate at Completion]],"-")</f>
        <v>-</v>
      </c>
      <c r="N21" s="504">
        <f ca="1">SummPhase[[#This Row],[Current Budget]]-SummPhase[[#This Row],[Commitment to Date]]</f>
        <v>0</v>
      </c>
      <c r="P21" s="504">
        <f ca="1">SUMIFS(CostTrack[Value],CostTrack[Holdback (Y/N/R)],"&lt;&gt;Release",CostTrack[Status],"Approved",CostTrack[Phase / Subproject],SummPhase[[#This Row],[Phase / Subproject]],CostTrack[Phase / Subproject 2],SummPhase[[#This Row],[Phase / Subproject 2]])</f>
        <v>0</v>
      </c>
      <c r="Q21" s="107" t="str">
        <f ca="1">IFERROR(SummPhase[[#This Row],[Expenditures to Date]]/SummPhase[[#This Row],[Estimate at Completion]],"-")</f>
        <v>-</v>
      </c>
      <c r="R21" s="513">
        <f ca="1">SummPhase[[#This Row],[Current Budget]]-SummPhase[[#This Row],[Expenditures to Date]]</f>
        <v>0</v>
      </c>
    </row>
    <row r="22" spans="2:21" hidden="1" outlineLevel="1">
      <c r="B22" s="429"/>
      <c r="C22" s="95"/>
      <c r="D22" s="474">
        <f ca="1">SUMIFS(BudgetDetails[Base Budget],BudgetDetails[Phase / Subproject],SummPhase[[#This Row],[Phase / Subproject]],BudgetDetails[Secondary Category],SummPhase[[#This Row],[Phase / Subproject 2]])</f>
        <v>0</v>
      </c>
      <c r="E22" s="503">
        <f ca="1">SummPhase[[#This Row],[Current Budget]]-SummPhase[[#This Row],[Base Budget]]</f>
        <v>0</v>
      </c>
      <c r="F22" s="474">
        <f ca="1">SUMIFS('Budget Details (Rpt)'!$J$4:$J$64,'Budget Details (Rpt)'!$E$4:$E$64,'Summary (Rpt)'!B22,'Budget Details (Rpt)'!$F$4:$F$64,'Summary (Rpt)'!C22)</f>
        <v>0</v>
      </c>
      <c r="G22" s="107" t="e">
        <f ca="1">SummPhase[[#This Row],[Current Budget]]/SummPhase[[#Totals],[Current Budget]]</f>
        <v>#DIV/0!</v>
      </c>
      <c r="I22" s="504">
        <f ca="1">SUMIFS(BudgetDetails[Estimate at Completion],BudgetDetails[Phase / Subproject],SummPhase[[#This Row],[Phase / Subproject]],BudgetDetails[Secondary Category],SummPhase[[#This Row],[Phase / Subproject 2]])</f>
        <v>0</v>
      </c>
      <c r="J22" s="504">
        <f ca="1">SummPhase[[#This Row],[Current Budget]]-SummPhase[[#This Row],[Estimate at Completion]]</f>
        <v>0</v>
      </c>
      <c r="L22" s="504">
        <f ca="1">SUMIFS(BudgetDetails[Commitments to Date],BudgetDetails[Phase / Subproject],SummPhase[[#This Row],[Phase / Subproject]],BudgetDetails[Secondary Category],SummPhase[[#This Row],[Phase / Subproject 2]])</f>
        <v>0</v>
      </c>
      <c r="M22" s="107" t="str">
        <f ca="1">IFERROR(SummPhase[[#This Row],[Commitment to Date]]/SummPhase[[#This Row],[Estimate at Completion]],"-")</f>
        <v>-</v>
      </c>
      <c r="N22" s="504">
        <f ca="1">SummPhase[[#This Row],[Current Budget]]-SummPhase[[#This Row],[Commitment to Date]]</f>
        <v>0</v>
      </c>
      <c r="P22" s="504">
        <f ca="1">SUMIFS(CostTrack[Value],CostTrack[Holdback (Y/N/R)],"&lt;&gt;Release",CostTrack[Status],"Approved",CostTrack[Phase / Subproject],SummPhase[[#This Row],[Phase / Subproject]],CostTrack[Phase / Subproject 2],SummPhase[[#This Row],[Phase / Subproject 2]])</f>
        <v>0</v>
      </c>
      <c r="Q22" s="107" t="str">
        <f ca="1">IFERROR(SummPhase[[#This Row],[Expenditures to Date]]/SummPhase[[#This Row],[Estimate at Completion]],"-")</f>
        <v>-</v>
      </c>
      <c r="R22" s="513">
        <f ca="1">SummPhase[[#This Row],[Current Budget]]-SummPhase[[#This Row],[Expenditures to Date]]</f>
        <v>0</v>
      </c>
    </row>
    <row r="23" spans="2:21" hidden="1" outlineLevel="1">
      <c r="B23" s="429"/>
      <c r="C23" s="95"/>
      <c r="D23" s="474">
        <f ca="1">SUMIFS(BudgetDetails[Base Budget],BudgetDetails[Phase / Subproject],SummPhase[[#This Row],[Phase / Subproject]],BudgetDetails[Secondary Category],SummPhase[[#This Row],[Phase / Subproject 2]])</f>
        <v>0</v>
      </c>
      <c r="E23" s="503">
        <f ca="1">SummPhase[[#This Row],[Current Budget]]-SummPhase[[#This Row],[Base Budget]]</f>
        <v>0</v>
      </c>
      <c r="F23" s="474">
        <f ca="1">SUMIFS('Budget Details (Rpt)'!$J$4:$J$64,'Budget Details (Rpt)'!$E$4:$E$64,'Summary (Rpt)'!B23,'Budget Details (Rpt)'!$F$4:$F$64,'Summary (Rpt)'!C23)</f>
        <v>0</v>
      </c>
      <c r="G23" s="107" t="e">
        <f ca="1">SummPhase[[#This Row],[Current Budget]]/SummPhase[[#Totals],[Current Budget]]</f>
        <v>#DIV/0!</v>
      </c>
      <c r="I23" s="504">
        <f ca="1">SUMIFS(BudgetDetails[Estimate at Completion],BudgetDetails[Phase / Subproject],SummPhase[[#This Row],[Phase / Subproject]],BudgetDetails[Secondary Category],SummPhase[[#This Row],[Phase / Subproject 2]])</f>
        <v>0</v>
      </c>
      <c r="J23" s="504">
        <f ca="1">SummPhase[[#This Row],[Current Budget]]-SummPhase[[#This Row],[Estimate at Completion]]</f>
        <v>0</v>
      </c>
      <c r="L23" s="504">
        <f ca="1">SUMIFS(BudgetDetails[Commitments to Date],BudgetDetails[Phase / Subproject],SummPhase[[#This Row],[Phase / Subproject]],BudgetDetails[Secondary Category],SummPhase[[#This Row],[Phase / Subproject 2]])</f>
        <v>0</v>
      </c>
      <c r="M23" s="107" t="str">
        <f ca="1">IFERROR(SummPhase[[#This Row],[Commitment to Date]]/SummPhase[[#This Row],[Estimate at Completion]],"-")</f>
        <v>-</v>
      </c>
      <c r="N23" s="504">
        <f ca="1">SummPhase[[#This Row],[Current Budget]]-SummPhase[[#This Row],[Commitment to Date]]</f>
        <v>0</v>
      </c>
      <c r="P23" s="504">
        <f ca="1">SUMIFS(CostTrack[Value],CostTrack[Holdback (Y/N/R)],"&lt;&gt;Release",CostTrack[Status],"Approved",CostTrack[Phase / Subproject],SummPhase[[#This Row],[Phase / Subproject]],CostTrack[Phase / Subproject 2],SummPhase[[#This Row],[Phase / Subproject 2]])</f>
        <v>0</v>
      </c>
      <c r="Q23" s="107" t="str">
        <f ca="1">IFERROR(SummPhase[[#This Row],[Expenditures to Date]]/SummPhase[[#This Row],[Estimate at Completion]],"-")</f>
        <v>-</v>
      </c>
      <c r="R23" s="513">
        <f ca="1">SummPhase[[#This Row],[Current Budget]]-SummPhase[[#This Row],[Expenditures to Date]]</f>
        <v>0</v>
      </c>
    </row>
    <row r="24" spans="2:21" collapsed="1">
      <c r="B24" s="114"/>
      <c r="C24" s="464" t="s">
        <v>274</v>
      </c>
      <c r="D24" s="280">
        <f ca="1">SUBTOTAL(109,SummPhase[Base Budget])</f>
        <v>0</v>
      </c>
      <c r="E24" s="280">
        <f ca="1">SUBTOTAL(109,SummPhase[Budget Amendments])</f>
        <v>0</v>
      </c>
      <c r="F24" s="280">
        <f ca="1">SUBTOTAL(109,SummPhase[Current Budget])</f>
        <v>0</v>
      </c>
      <c r="G24" s="280">
        <f ca="1">SUBTOTAL(109,SummPhase[% Split])</f>
        <v>0</v>
      </c>
      <c r="I24" s="280">
        <f ca="1">SUBTOTAL(109,SummPhase[Estimate at Completion])</f>
        <v>0</v>
      </c>
      <c r="J24" s="280">
        <f ca="1">SUBTOTAL(109,SummPhase[Budget Variance])</f>
        <v>0</v>
      </c>
      <c r="L24" s="280">
        <f ca="1">SUBTOTAL(109,SummPhase[Commitment to Date])</f>
        <v>0</v>
      </c>
      <c r="M24" s="469" t="str">
        <f ca="1">IFERROR(SummPhase[[#Totals],[Commitment to Date]]/SummPhase[[#Totals],[Estimate at Completion]],"-")</f>
        <v>-</v>
      </c>
      <c r="N24" s="280">
        <f ca="1">SUBTOTAL(109,SummPhase[Available Funds])</f>
        <v>0</v>
      </c>
      <c r="P24" s="280">
        <f ca="1">SUBTOTAL(109,SummPhase[Expenditures to Date])</f>
        <v>0</v>
      </c>
      <c r="Q24" s="469" t="str">
        <f ca="1">IFERROR(SummPhase[[#Totals],[Expenditures to Date]]/SummPhase[[#Totals],[Estimate at Completion]],"-")</f>
        <v>-</v>
      </c>
      <c r="R24" s="280">
        <f ca="1">SUBTOTAL(109,SummPhase[Unspent])</f>
        <v>0</v>
      </c>
    </row>
    <row r="25" spans="2:21" s="2" customFormat="1" outlineLevel="1">
      <c r="C25" s="3"/>
      <c r="H25" s="1"/>
      <c r="I25" s="1"/>
      <c r="J25" s="1"/>
      <c r="K25" s="1"/>
      <c r="L25" s="1"/>
      <c r="N25" s="1"/>
      <c r="O25" s="1"/>
      <c r="P25" s="1"/>
      <c r="R25" s="1"/>
      <c r="T25" s="3"/>
      <c r="U25" s="1"/>
    </row>
    <row r="26" spans="2:21" ht="15.6" outlineLevel="1">
      <c r="B26" s="40" t="s">
        <v>1629</v>
      </c>
      <c r="C26" s="50"/>
      <c r="D26" s="6" t="s">
        <v>321</v>
      </c>
      <c r="E26" s="6" t="s">
        <v>377</v>
      </c>
      <c r="F26" s="6" t="s">
        <v>378</v>
      </c>
      <c r="G26" s="6"/>
      <c r="H26" s="41"/>
      <c r="I26" s="6" t="s">
        <v>333</v>
      </c>
      <c r="J26" s="6" t="s">
        <v>334</v>
      </c>
      <c r="K26" s="41"/>
      <c r="L26" s="6" t="s">
        <v>335</v>
      </c>
      <c r="M26" s="6"/>
      <c r="N26" s="6" t="s">
        <v>1566</v>
      </c>
      <c r="O26" s="41"/>
      <c r="P26" s="6" t="s">
        <v>1567</v>
      </c>
      <c r="Q26" s="6"/>
      <c r="R26" s="6" t="s">
        <v>1568</v>
      </c>
      <c r="U26" s="3"/>
    </row>
    <row r="27" spans="2:21" ht="27.95" outlineLevel="1">
      <c r="B27" s="473" t="s">
        <v>13</v>
      </c>
      <c r="C27" s="470" t="s">
        <v>534</v>
      </c>
      <c r="D27" s="20" t="s">
        <v>1569</v>
      </c>
      <c r="E27" s="20" t="s">
        <v>1617</v>
      </c>
      <c r="F27" s="20" t="s">
        <v>354</v>
      </c>
      <c r="G27" s="20" t="s">
        <v>1618</v>
      </c>
      <c r="H27" s="458" t="s">
        <v>535</v>
      </c>
      <c r="I27" s="20" t="s">
        <v>1571</v>
      </c>
      <c r="J27" s="20" t="s">
        <v>357</v>
      </c>
      <c r="K27" s="458" t="s">
        <v>353</v>
      </c>
      <c r="L27" s="20" t="s">
        <v>1619</v>
      </c>
      <c r="M27" s="20" t="s">
        <v>1620</v>
      </c>
      <c r="N27" s="20" t="s">
        <v>1573</v>
      </c>
      <c r="O27" s="458" t="s">
        <v>355</v>
      </c>
      <c r="P27" s="20" t="s">
        <v>389</v>
      </c>
      <c r="Q27" s="20" t="s">
        <v>1621</v>
      </c>
      <c r="R27" s="230" t="s">
        <v>1574</v>
      </c>
      <c r="U27" s="3"/>
    </row>
    <row r="28" spans="2:21" outlineLevel="1">
      <c r="B28" s="472" t="s">
        <v>1630</v>
      </c>
      <c r="C28" s="94" t="str">
        <f ca="1">_xlfn.IFNA(INDEX(Validations!$K$11:$K$15,MATCH(SummFundSrc[[#This Row],[Funding Source]],Validations!$J$11:$J$15,0)),"-")</f>
        <v>-</v>
      </c>
      <c r="D28" s="504">
        <f ca="1">SUMIF(BudgetDetails[Funding Source],SummFundSrc[[#This Row],[Funding Source]],BudgetDetails[Base Budget])</f>
        <v>0</v>
      </c>
      <c r="E28" s="503">
        <f ca="1">SummFundSrc[[#This Row],[Current Budget]]-SummFundSrc[[#This Row],[Base Budget]]</f>
        <v>0</v>
      </c>
      <c r="F28" s="504">
        <f ca="1">SUMIF('Budget Details (Rpt)'!$G$4:$G$64,'Summary (Rpt)'!$B28,'Budget Details (Rpt)'!$J$4:$J$64)</f>
        <v>0</v>
      </c>
      <c r="G28" s="107" t="e">
        <f ca="1">SummFundSrc[[#This Row],[Current Budget]]/SummFundSrc[[#Totals],[Current Budget]]</f>
        <v>#DIV/0!</v>
      </c>
      <c r="I28" s="53">
        <f ca="1">SUMIF(BudgetDetails[Funding Source],SummFundSrc[[#This Row],[Funding Source]],BudgetDetails[Estimate at Completion])</f>
        <v>0</v>
      </c>
      <c r="J28" s="53">
        <f ca="1">SummFundSrc[[#This Row],[Current Budget]]-SummFundSrc[[#This Row],[Estimate at Completion]]</f>
        <v>0</v>
      </c>
      <c r="L28" s="504">
        <f ca="1">SUMIF(BudgetDetails[Funding Source],SummFundSrc[[#This Row],[Funding Source]],BudgetDetails[Commitments to Date])</f>
        <v>0</v>
      </c>
      <c r="M28" s="107" t="str">
        <f ca="1">IFERROR(SummFundSrc[[#This Row],[Commitment to Date]]/SummFundSrc[[#This Row],[Estimate at Completion]],"-")</f>
        <v>-</v>
      </c>
      <c r="N28" s="504">
        <f ca="1">SummFundSrc[[#This Row],[Current Budget]]-SummFundSrc[[#This Row],[Commitment to Date]]</f>
        <v>0</v>
      </c>
      <c r="P28" s="504">
        <f ca="1">SUMIFS(CostTrack[Value],CostTrack[Holdback (Y/N/R)],"&lt;&gt;Release",CostTrack[Status],"Approved",CostTrack[Funding Source],SummFundSrc[[#This Row],[Funding Source]])</f>
        <v>0</v>
      </c>
      <c r="Q28" s="107" t="str">
        <f ca="1">IFERROR(SummFundSrc[[#This Row],[Expenditures to Date]]/SummFundSrc[[#This Row],[Estimate at Completion]],"-")</f>
        <v>-</v>
      </c>
      <c r="R28" s="513">
        <f ca="1">SummFundSrc[[#This Row],[Current Budget]]-SummFundSrc[[#This Row],[Expenditures to Date]]</f>
        <v>0</v>
      </c>
    </row>
    <row r="29" spans="2:21" outlineLevel="1">
      <c r="B29" s="472"/>
      <c r="C29" s="94" t="str">
        <f ca="1">_xlfn.IFNA(INDEX(Validations!$K$11:$K$15,MATCH(SummFundSrc[[#This Row],[Funding Source]],Validations!$J$11:$J$15,0)),"-")</f>
        <v>-</v>
      </c>
      <c r="D29" s="504">
        <f ca="1">SUMIF(BudgetDetails[Funding Source],SummFundSrc[[#This Row],[Funding Source]],BudgetDetails[Base Budget])</f>
        <v>0</v>
      </c>
      <c r="E29" s="503">
        <f ca="1">SummFundSrc[[#This Row],[Current Budget]]-SummFundSrc[[#This Row],[Base Budget]]</f>
        <v>0</v>
      </c>
      <c r="F29" s="504">
        <f ca="1">SUMIF('Budget Details (Rpt)'!$G$4:$G$64,'Summary (Rpt)'!$B29,'Budget Details (Rpt)'!$J$4:$J$64)</f>
        <v>0</v>
      </c>
      <c r="G29" s="107" t="e">
        <f ca="1">SummFundSrc[[#This Row],[Current Budget]]/SummFundSrc[[#Totals],[Current Budget]]</f>
        <v>#DIV/0!</v>
      </c>
      <c r="I29" s="53">
        <f ca="1">SUMIF(BudgetDetails[Funding Source],SummFundSrc[[#This Row],[Funding Source]],BudgetDetails[Estimate at Completion])</f>
        <v>0</v>
      </c>
      <c r="J29" s="53">
        <f ca="1">SummFundSrc[[#This Row],[Current Budget]]-SummFundSrc[[#This Row],[Estimate at Completion]]</f>
        <v>0</v>
      </c>
      <c r="L29" s="504">
        <f ca="1">SUMIF(BudgetDetails[Funding Source],SummFundSrc[[#This Row],[Funding Source]],BudgetDetails[Commitments to Date])</f>
        <v>0</v>
      </c>
      <c r="M29" s="107" t="str">
        <f ca="1">IFERROR(SummFundSrc[[#This Row],[Commitment to Date]]/SummFundSrc[[#This Row],[Estimate at Completion]],"-")</f>
        <v>-</v>
      </c>
      <c r="N29" s="504">
        <f ca="1">SummFundSrc[[#This Row],[Current Budget]]-SummFundSrc[[#This Row],[Commitment to Date]]</f>
        <v>0</v>
      </c>
      <c r="P29" s="504">
        <f ca="1">SUMIFS(CostTrack[Value],CostTrack[Holdback (Y/N/R)],"&lt;&gt;Release",CostTrack[Status],"Approved",CostTrack[Funding Source],SummFundSrc[[#This Row],[Funding Source]])</f>
        <v>0</v>
      </c>
      <c r="Q29" s="107" t="str">
        <f ca="1">IFERROR(SummFundSrc[[#This Row],[Expenditures to Date]]/SummFundSrc[[#This Row],[Estimate at Completion]],"-")</f>
        <v>-</v>
      </c>
      <c r="R29" s="513">
        <f ca="1">SummFundSrc[[#This Row],[Current Budget]]-SummFundSrc[[#This Row],[Expenditures to Date]]</f>
        <v>0</v>
      </c>
    </row>
    <row r="30" spans="2:21" outlineLevel="1">
      <c r="B30" s="472"/>
      <c r="C30" s="94" t="str">
        <f ca="1">_xlfn.IFNA(INDEX(Validations!$K$11:$K$15,MATCH(SummFundSrc[[#This Row],[Funding Source]],Validations!$J$11:$J$15,0)),"-")</f>
        <v>-</v>
      </c>
      <c r="D30" s="504">
        <f ca="1">SUMIF(BudgetDetails[Funding Source],SummFundSrc[[#This Row],[Funding Source]],BudgetDetails[Base Budget])</f>
        <v>0</v>
      </c>
      <c r="E30" s="503">
        <f ca="1">SummFundSrc[[#This Row],[Current Budget]]-SummFundSrc[[#This Row],[Base Budget]]</f>
        <v>0</v>
      </c>
      <c r="F30" s="504">
        <f ca="1">SUMIF('Budget Details (Rpt)'!$G$4:$G$64,'Summary (Rpt)'!$B30,'Budget Details (Rpt)'!$J$4:$J$64)</f>
        <v>0</v>
      </c>
      <c r="G30" s="107" t="e">
        <f ca="1">SummFundSrc[[#This Row],[Current Budget]]/SummFundSrc[[#Totals],[Current Budget]]</f>
        <v>#DIV/0!</v>
      </c>
      <c r="I30" s="53">
        <f ca="1">SUMIF(BudgetDetails[Funding Source],SummFundSrc[[#This Row],[Funding Source]],BudgetDetails[Estimate at Completion])</f>
        <v>0</v>
      </c>
      <c r="J30" s="53">
        <f ca="1">SummFundSrc[[#This Row],[Current Budget]]-SummFundSrc[[#This Row],[Estimate at Completion]]</f>
        <v>0</v>
      </c>
      <c r="L30" s="504">
        <f ca="1">SUMIF(BudgetDetails[Funding Source],SummFundSrc[[#This Row],[Funding Source]],BudgetDetails[Commitments to Date])</f>
        <v>0</v>
      </c>
      <c r="M30" s="107" t="str">
        <f ca="1">IFERROR(SummFundSrc[[#This Row],[Commitment to Date]]/SummFundSrc[[#This Row],[Estimate at Completion]],"-")</f>
        <v>-</v>
      </c>
      <c r="N30" s="504">
        <f ca="1">SummFundSrc[[#This Row],[Current Budget]]-SummFundSrc[[#This Row],[Commitment to Date]]</f>
        <v>0</v>
      </c>
      <c r="P30" s="504">
        <f ca="1">SUMIFS(CostTrack[Value],CostTrack[Holdback (Y/N/R)],"&lt;&gt;Release",CostTrack[Status],"Approved",CostTrack[Funding Source],SummFundSrc[[#This Row],[Funding Source]])</f>
        <v>0</v>
      </c>
      <c r="Q30" s="107" t="str">
        <f ca="1">IFERROR(SummFundSrc[[#This Row],[Expenditures to Date]]/SummFundSrc[[#This Row],[Estimate at Completion]],"-")</f>
        <v>-</v>
      </c>
      <c r="R30" s="513">
        <f ca="1">SummFundSrc[[#This Row],[Current Budget]]-SummFundSrc[[#This Row],[Expenditures to Date]]</f>
        <v>0</v>
      </c>
    </row>
    <row r="31" spans="2:21" outlineLevel="1">
      <c r="B31" s="472"/>
      <c r="C31" s="94" t="str">
        <f ca="1">_xlfn.IFNA(INDEX(Validations!$K$11:$K$15,MATCH(SummFundSrc[[#This Row],[Funding Source]],Validations!$J$11:$J$15,0)),"-")</f>
        <v>-</v>
      </c>
      <c r="D31" s="504">
        <f ca="1">SUMIF(BudgetDetails[Funding Source],SummFundSrc[[#This Row],[Funding Source]],BudgetDetails[Base Budget])</f>
        <v>0</v>
      </c>
      <c r="E31" s="503">
        <f ca="1">SummFundSrc[[#This Row],[Current Budget]]-SummFundSrc[[#This Row],[Base Budget]]</f>
        <v>0</v>
      </c>
      <c r="F31" s="504">
        <f ca="1">SUMIF('Budget Details (Rpt)'!$G$4:$G$64,'Summary (Rpt)'!$B31,'Budget Details (Rpt)'!$J$4:$J$64)</f>
        <v>0</v>
      </c>
      <c r="G31" s="107" t="e">
        <f ca="1">SummFundSrc[[#This Row],[Current Budget]]/SummFundSrc[[#Totals],[Current Budget]]</f>
        <v>#DIV/0!</v>
      </c>
      <c r="I31" s="53">
        <f ca="1">SUMIF(BudgetDetails[Funding Source],SummFundSrc[[#This Row],[Funding Source]],BudgetDetails[Estimate at Completion])</f>
        <v>0</v>
      </c>
      <c r="J31" s="53">
        <f ca="1">SummFundSrc[[#This Row],[Current Budget]]-SummFundSrc[[#This Row],[Estimate at Completion]]</f>
        <v>0</v>
      </c>
      <c r="L31" s="504">
        <f ca="1">SUMIF(BudgetDetails[Funding Source],SummFundSrc[[#This Row],[Funding Source]],BudgetDetails[Commitments to Date])</f>
        <v>0</v>
      </c>
      <c r="M31" s="107" t="str">
        <f ca="1">IFERROR(SummFundSrc[[#This Row],[Commitment to Date]]/SummFundSrc[[#This Row],[Estimate at Completion]],"-")</f>
        <v>-</v>
      </c>
      <c r="N31" s="504">
        <f ca="1">SummFundSrc[[#This Row],[Current Budget]]-SummFundSrc[[#This Row],[Commitment to Date]]</f>
        <v>0</v>
      </c>
      <c r="P31" s="504">
        <f ca="1">SUMIFS(CostTrack[Value],CostTrack[Holdback (Y/N/R)],"&lt;&gt;Release",CostTrack[Status],"Approved",CostTrack[Funding Source],SummFundSrc[[#This Row],[Funding Source]])</f>
        <v>0</v>
      </c>
      <c r="Q31" s="107" t="str">
        <f ca="1">IFERROR(SummFundSrc[[#This Row],[Expenditures to Date]]/SummFundSrc[[#This Row],[Estimate at Completion]],"-")</f>
        <v>-</v>
      </c>
      <c r="R31" s="513">
        <f ca="1">SummFundSrc[[#This Row],[Current Budget]]-SummFundSrc[[#This Row],[Expenditures to Date]]</f>
        <v>0</v>
      </c>
    </row>
    <row r="32" spans="2:21" outlineLevel="1">
      <c r="B32" s="472"/>
      <c r="C32" s="94" t="str">
        <f ca="1">_xlfn.IFNA(INDEX(Validations!$K$11:$K$15,MATCH(SummFundSrc[[#This Row],[Funding Source]],Validations!$J$11:$J$15,0)),"-")</f>
        <v>-</v>
      </c>
      <c r="D32" s="504">
        <f ca="1">SUMIF(BudgetDetails[Funding Source],SummFundSrc[[#This Row],[Funding Source]],BudgetDetails[Base Budget])</f>
        <v>0</v>
      </c>
      <c r="E32" s="503">
        <f ca="1">SummFundSrc[[#This Row],[Current Budget]]-SummFundSrc[[#This Row],[Base Budget]]</f>
        <v>0</v>
      </c>
      <c r="F32" s="504">
        <f ca="1">SUMIF('Budget Details (Rpt)'!$G$4:$G$64,'Summary (Rpt)'!$B32,'Budget Details (Rpt)'!$J$4:$J$64)</f>
        <v>0</v>
      </c>
      <c r="G32" s="107" t="e">
        <f ca="1">SummFundSrc[[#This Row],[Current Budget]]/SummFundSrc[[#Totals],[Current Budget]]</f>
        <v>#DIV/0!</v>
      </c>
      <c r="I32" s="53">
        <f ca="1">SUMIF(BudgetDetails[Funding Source],SummFundSrc[[#This Row],[Funding Source]],BudgetDetails[Estimate at Completion])</f>
        <v>0</v>
      </c>
      <c r="J32" s="53">
        <f ca="1">SummFundSrc[[#This Row],[Current Budget]]-SummFundSrc[[#This Row],[Estimate at Completion]]</f>
        <v>0</v>
      </c>
      <c r="L32" s="504">
        <f ca="1">SUMIF(BudgetDetails[Funding Source],SummFundSrc[[#This Row],[Funding Source]],BudgetDetails[Commitments to Date])</f>
        <v>0</v>
      </c>
      <c r="M32" s="107" t="str">
        <f ca="1">IFERROR(SummFundSrc[[#This Row],[Commitment to Date]]/SummFundSrc[[#This Row],[Estimate at Completion]],"-")</f>
        <v>-</v>
      </c>
      <c r="N32" s="504">
        <f ca="1">SummFundSrc[[#This Row],[Current Budget]]-SummFundSrc[[#This Row],[Commitment to Date]]</f>
        <v>0</v>
      </c>
      <c r="P32" s="504">
        <f ca="1">SUMIFS(CostTrack[Value],CostTrack[Holdback (Y/N/R)],"&lt;&gt;Release",CostTrack[Status],"Approved",CostTrack[Funding Source],SummFundSrc[[#This Row],[Funding Source]])</f>
        <v>0</v>
      </c>
      <c r="Q32" s="107" t="str">
        <f ca="1">IFERROR(SummFundSrc[[#This Row],[Expenditures to Date]]/SummFundSrc[[#This Row],[Estimate at Completion]],"-")</f>
        <v>-</v>
      </c>
      <c r="R32" s="513">
        <f ca="1">SummFundSrc[[#This Row],[Current Budget]]-SummFundSrc[[#This Row],[Expenditures to Date]]</f>
        <v>0</v>
      </c>
    </row>
    <row r="33" spans="2:18">
      <c r="B33" s="114"/>
      <c r="C33" s="464" t="s">
        <v>274</v>
      </c>
      <c r="D33" s="280">
        <f ca="1">SUBTOTAL(109,SummFundSrc[Base Budget])</f>
        <v>0</v>
      </c>
      <c r="E33" s="280">
        <f ca="1">SUBTOTAL(109,SummFundSrc[Budget Amendments])</f>
        <v>0</v>
      </c>
      <c r="F33" s="280">
        <f ca="1">SUBTOTAL(109,SummFundSrc[Current Budget])</f>
        <v>0</v>
      </c>
      <c r="G33" s="280" t="e">
        <f ca="1">SUBTOTAL(109,SummFundSrc[% Split])</f>
        <v>#DIV/0!</v>
      </c>
      <c r="I33" s="280">
        <f ca="1">SUBTOTAL(109,SummFundSrc[Estimate at Completion])</f>
        <v>0</v>
      </c>
      <c r="J33" s="280">
        <f ca="1">SUBTOTAL(109,SummFundSrc[Budget Variance])</f>
        <v>0</v>
      </c>
      <c r="L33" s="280">
        <f ca="1">SUBTOTAL(109,SummFundSrc[Commitment to Date])</f>
        <v>0</v>
      </c>
      <c r="M33" s="469" t="str">
        <f ca="1">IFERROR(SummFundSrc[[#Totals],[Commitment to Date]]/SummFundSrc[[#Totals],[Estimate at Completion]],"-")</f>
        <v>-</v>
      </c>
      <c r="N33" s="280">
        <f ca="1">SUBTOTAL(109,SummFundSrc[Available Funds])</f>
        <v>0</v>
      </c>
      <c r="P33" s="280">
        <f ca="1">SUBTOTAL(109,SummFundSrc[Expenditures to Date])</f>
        <v>0</v>
      </c>
      <c r="Q33" s="469" t="str">
        <f ca="1">IFERROR(SummFundSrc[[#Totals],[Expenditures to Date]]/SummFundSrc[[#Totals],[Estimate at Completion]],"-")</f>
        <v>-</v>
      </c>
      <c r="R33" s="280">
        <f ca="1">SUBTOTAL(109,SummFundSrc[Unspent])</f>
        <v>0</v>
      </c>
    </row>
    <row r="35" spans="2:18" ht="28.35" customHeight="1">
      <c r="I35"/>
      <c r="J35"/>
      <c r="K35"/>
      <c r="L35"/>
      <c r="M35"/>
      <c r="N35"/>
      <c r="O35"/>
      <c r="P35"/>
      <c r="Q35"/>
      <c r="R35"/>
    </row>
    <row r="36" spans="2:18" ht="28.35" customHeight="1"/>
    <row r="37" spans="2:18" ht="28.35" customHeight="1"/>
    <row r="38" spans="2:18" ht="28.35" customHeight="1"/>
    <row r="40" spans="2:18">
      <c r="B40" s="1154"/>
      <c r="C40" s="1154"/>
      <c r="D40" s="1154"/>
      <c r="E40" s="1154"/>
      <c r="F40" s="1154"/>
      <c r="G40" s="1154"/>
      <c r="H40" s="1154"/>
      <c r="I40" s="1154"/>
      <c r="J40" s="1154"/>
      <c r="K40" s="1154"/>
      <c r="L40" s="1154"/>
      <c r="M40" s="1154"/>
      <c r="N40" s="1154"/>
      <c r="O40" s="1154"/>
      <c r="P40" s="1154"/>
      <c r="Q40" s="1154"/>
      <c r="R40" s="1154"/>
    </row>
  </sheetData>
  <mergeCells count="7">
    <mergeCell ref="B40:R40"/>
    <mergeCell ref="P14:Q14"/>
    <mergeCell ref="P15:Q15"/>
    <mergeCell ref="E14:F14"/>
    <mergeCell ref="E15:F15"/>
    <mergeCell ref="L14:M14"/>
    <mergeCell ref="L15:M15"/>
  </mergeCells>
  <conditionalFormatting sqref="J6:J11 J19:J23 J28:J32 N6:N11 N19:N23 N28:N32">
    <cfRule type="cellIs" dxfId="343" priority="2" operator="notBetween">
      <formula>1</formula>
      <formula>-1</formula>
    </cfRule>
  </conditionalFormatting>
  <pageMargins left="0.23622047244094491" right="0.23622047244094491" top="0.35433070866141736" bottom="0.35433070866141736" header="0.31496062992125984" footer="0.31496062992125984"/>
  <pageSetup scale="57" fitToHeight="4" orientation="landscape" r:id="rId1"/>
  <headerFooter>
    <oddFooter>&amp;L&amp;1#&amp;"Calibri"&amp;11&amp;K000000Classification: Protected A</oddFooter>
  </headerFooter>
  <drawing r:id="rId2"/>
  <tableParts count="3">
    <tablePart r:id="rId3"/>
    <tablePart r:id="rId4"/>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900-000000000000}">
          <x14:formula1>
            <xm:f>Validations!$J$11:$J$33</xm:f>
          </x14:formula1>
          <xm:sqref>B28:B32</xm:sqref>
        </x14:dataValidation>
        <x14:dataValidation type="list" allowBlank="1" showInputMessage="1" showErrorMessage="1" xr:uid="{00000000-0002-0000-0900-000001000000}">
          <x14:formula1>
            <xm:f>Validations!$H$11:$H$38</xm:f>
          </x14:formula1>
          <xm:sqref>B19:C23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2" tint="-0.499984740745262"/>
    <pageSetUpPr fitToPage="1"/>
  </sheetPr>
  <dimension ref="A1:Q149"/>
  <sheetViews>
    <sheetView showGridLines="0" zoomScale="85" zoomScaleNormal="85" workbookViewId="0">
      <selection activeCell="N123" sqref="N123"/>
    </sheetView>
  </sheetViews>
  <sheetFormatPr defaultColWidth="9.42578125" defaultRowHeight="14.1" outlineLevelCol="1"/>
  <cols>
    <col min="1" max="1" width="3.42578125" style="1" customWidth="1"/>
    <col min="2" max="2" width="16.42578125" style="2" customWidth="1"/>
    <col min="3" max="3" width="20.42578125" style="3" customWidth="1"/>
    <col min="4" max="4" width="27.28515625" style="3" customWidth="1"/>
    <col min="5" max="5" width="17.42578125" style="1" hidden="1" customWidth="1" outlineLevel="1"/>
    <col min="6" max="6" width="21.7109375" style="1" hidden="1" customWidth="1" outlineLevel="1"/>
    <col min="7" max="7" width="15.42578125" style="1" hidden="1" customWidth="1" outlineLevel="1"/>
    <col min="8" max="8" width="44.42578125" style="3" customWidth="1" collapsed="1"/>
    <col min="9" max="9" width="14.42578125" style="1" customWidth="1"/>
    <col min="10" max="10" width="27.42578125" style="1" customWidth="1"/>
    <col min="11" max="11" width="28.7109375" style="2" customWidth="1"/>
    <col min="12" max="12" width="20.28515625" style="1" customWidth="1"/>
    <col min="13" max="13" width="18.7109375" style="1" customWidth="1"/>
    <col min="14" max="14" width="20.42578125" style="1" bestFit="1" customWidth="1"/>
    <col min="15" max="15" width="32.42578125" style="1" customWidth="1"/>
    <col min="16" max="16" width="18.42578125" style="1" customWidth="1"/>
    <col min="17" max="17" width="64.42578125" style="1" bestFit="1" customWidth="1"/>
    <col min="18" max="18" width="2.42578125" style="1" customWidth="1"/>
    <col min="19" max="16384" width="9.42578125" style="1"/>
  </cols>
  <sheetData>
    <row r="1" spans="1:17" ht="9" customHeight="1"/>
    <row r="2" spans="1:17" ht="23.65">
      <c r="B2" s="16" t="s">
        <v>1631</v>
      </c>
      <c r="H2" s="19" t="str">
        <f>Validations!$C$6</f>
        <v>Justice Centre</v>
      </c>
    </row>
    <row r="3" spans="1:17" s="41" customFormat="1" ht="10.7">
      <c r="B3" s="43"/>
      <c r="C3" s="50"/>
      <c r="D3" s="50"/>
      <c r="H3" s="50"/>
      <c r="M3" s="6" t="s">
        <v>790</v>
      </c>
      <c r="N3" s="6" t="s">
        <v>333</v>
      </c>
    </row>
    <row r="4" spans="1:17" s="2" customFormat="1" ht="15" customHeight="1">
      <c r="B4" s="459"/>
      <c r="C4" s="459"/>
      <c r="D4" s="459"/>
      <c r="E4" s="460"/>
      <c r="F4" s="460"/>
      <c r="G4" s="461"/>
      <c r="H4" s="459"/>
      <c r="I4" s="459"/>
      <c r="J4" s="459"/>
      <c r="K4" s="6" t="s">
        <v>321</v>
      </c>
      <c r="L4" s="6" t="s">
        <v>377</v>
      </c>
      <c r="M4" s="1162" t="s">
        <v>1632</v>
      </c>
      <c r="N4" s="1163"/>
      <c r="O4" s="6" t="s">
        <v>1633</v>
      </c>
      <c r="P4" s="6" t="s">
        <v>1634</v>
      </c>
      <c r="Q4" s="1"/>
    </row>
    <row r="5" spans="1:17" s="2" customFormat="1" ht="27.95">
      <c r="A5" s="458" t="s">
        <v>337</v>
      </c>
      <c r="B5" s="20" t="s">
        <v>338</v>
      </c>
      <c r="C5" s="20" t="s">
        <v>7</v>
      </c>
      <c r="D5" s="147" t="s">
        <v>339</v>
      </c>
      <c r="E5" s="462" t="s">
        <v>340</v>
      </c>
      <c r="F5" s="463" t="s">
        <v>341</v>
      </c>
      <c r="G5" s="417" t="s">
        <v>13</v>
      </c>
      <c r="H5" s="20" t="s">
        <v>385</v>
      </c>
      <c r="I5" s="20" t="s">
        <v>282</v>
      </c>
      <c r="J5" s="20" t="s">
        <v>1635</v>
      </c>
      <c r="K5" s="20" t="s">
        <v>388</v>
      </c>
      <c r="L5" s="20" t="s">
        <v>389</v>
      </c>
      <c r="M5" s="20" t="s">
        <v>1636</v>
      </c>
      <c r="N5" s="20" t="s">
        <v>1637</v>
      </c>
      <c r="O5" s="20" t="s">
        <v>356</v>
      </c>
      <c r="P5" s="20" t="s">
        <v>1638</v>
      </c>
      <c r="Q5" s="144" t="s">
        <v>267</v>
      </c>
    </row>
    <row r="6" spans="1:17" s="4" customFormat="1" hidden="1">
      <c r="A6" s="217">
        <v>1</v>
      </c>
      <c r="B6" s="129" t="s">
        <v>418</v>
      </c>
      <c r="C6" s="87" t="str">
        <f ca="1">IF(EAC[[#This Row],[PA ID]]="","",INDEX(BudgetTrack[Primary Category],MATCH(EAC[[#This Row],[PA ID]],BudgetTrack[PA ID],0),0))</f>
        <v>Administration</v>
      </c>
      <c r="D6" s="87" t="str">
        <f ca="1">IF(EAC[[#This Row],[PA ID]]="","",INDEX(BudgetTrack[Secondary Category],MATCH(EAC[[#This Row],[PA ID]],BudgetTrack[PA ID],0),0))</f>
        <v>Staff Capitalization - INFRA</v>
      </c>
      <c r="E6" s="118" t="str">
        <f ca="1">IF(EAC[[#This Row],[PA ID]]="","",INDEX(BudgetTrack[Phase / Subproject],MATCH(EAC[[#This Row],[PA ID]],BudgetTrack[PA ID],0),0))</f>
        <v>--</v>
      </c>
      <c r="F6" s="118" t="str">
        <f ca="1">IF(EAC[[#This Row],[PA ID]]="","",INDEX(BudgetTrack[Phase / Subproject 2],MATCH(EAC[[#This Row],[PA ID]],BudgetTrack[PA ID],0),0))</f>
        <v>--</v>
      </c>
      <c r="G6" s="118" t="str">
        <f ca="1">IF(EAC[[#This Row],[PA ID]]="","",INDEX(BudgetTrack[Funding Source],MATCH(EAC[[#This Row],[PA ID]],BudgetTrack[PA ID],0),0))</f>
        <v>P-002360</v>
      </c>
      <c r="H6" s="128" t="s">
        <v>736</v>
      </c>
      <c r="I6" s="118" t="str">
        <f ca="1">IF(EAC[[#This Row],[Vendor / Org. with Contract ID]]="","",INDEX(VendorList[Status],MATCH(EAC[[#This Row],[Vendor / Org. with Contract ID]],VendorList[Vendor / Org. with Contract ID],0),0))</f>
        <v>Open</v>
      </c>
      <c r="J6" s="248" t="s">
        <v>417</v>
      </c>
      <c r="K6" s="474">
        <f ca="1">IF(EAC[[#This Row],[Vendor / Org. with Contract ID]]="",0,SUMIFS(VendorList[Current Commitment],VendorList[Vendor / Org. with Contract ID],EAC[[#This Row],[Vendor / Org. with Contract ID]],VendorList[PA ID],EAC[[#This Row],[PA ID]]))</f>
        <v>3577739</v>
      </c>
      <c r="L6" s="474">
        <f ca="1">IF(EAC[[#This Row],[Vendor / Org. with Contract ID]]="",0,SUMIFS(CostTrack[Value],CostTrack[Vendor - Contract],EAC[[#This Row],[Vendor / Org. with Contract ID]],CostTrack[PA ID],EAC[[#This Row],[PA ID]],CostTrack[Holdback (Y/N/R)],"&lt;&gt;Release",CostTrack[Status],"Approved"))</f>
        <v>3303972.9300000006</v>
      </c>
      <c r="M6" s="475">
        <f ca="1">IF(EAC[[#This Row],[Current Commitment]]="",0,EAC[[#This Row],[Current Commitment]]-EAC[[#This Row],[Expenditures to Date]])</f>
        <v>273766.06999999937</v>
      </c>
      <c r="N6" s="343"/>
      <c r="O6" s="42">
        <f ca="1">EAC[[#This Row],[Open Commit.]]+EAC[[#This Row],[Future Commit.]]+EAC[[#This Row],[Expenditures to Date]]</f>
        <v>3577739</v>
      </c>
      <c r="P6" s="188">
        <f ca="1">IF(EAC[[#This Row],[Current Commitment]]="","",EAC[[#This Row],[Current Commitment]]-EAC[[#This Row],[Estimate At Completion]])</f>
        <v>0</v>
      </c>
      <c r="Q6" s="457"/>
    </row>
    <row r="7" spans="1:17" s="4" customFormat="1" hidden="1">
      <c r="A7" s="217">
        <v>2</v>
      </c>
      <c r="B7" s="129" t="s">
        <v>413</v>
      </c>
      <c r="C7" s="87" t="str">
        <f ca="1">IF(EAC[[#This Row],[PA ID]]="","",INDEX(BudgetTrack[Primary Category],MATCH(EAC[[#This Row],[PA ID]],BudgetTrack[PA ID],0),0))</f>
        <v>Administration</v>
      </c>
      <c r="D7" s="87" t="str">
        <f ca="1">IF(EAC[[#This Row],[PA ID]]="","",INDEX(BudgetTrack[Secondary Category],MATCH(EAC[[#This Row],[PA ID]],BudgetTrack[PA ID],0),0))</f>
        <v>Other Administration</v>
      </c>
      <c r="E7" s="118" t="str">
        <f ca="1">IF(EAC[[#This Row],[PA ID]]="","",INDEX(BudgetTrack[Phase / Subproject],MATCH(EAC[[#This Row],[PA ID]],BudgetTrack[PA ID],0),0))</f>
        <v>--</v>
      </c>
      <c r="F7" s="118" t="str">
        <f ca="1">IF(EAC[[#This Row],[PA ID]]="","",INDEX(BudgetTrack[Phase / Subproject 2],MATCH(EAC[[#This Row],[PA ID]],BudgetTrack[PA ID],0),0))</f>
        <v>--</v>
      </c>
      <c r="G7" s="118" t="str">
        <f ca="1">IF(EAC[[#This Row],[PA ID]]="","",INDEX(BudgetTrack[Funding Source],MATCH(EAC[[#This Row],[PA ID]],BudgetTrack[PA ID],0),0))</f>
        <v>P-002360</v>
      </c>
      <c r="H7" s="128" t="s">
        <v>731</v>
      </c>
      <c r="I7" s="118" t="str">
        <f ca="1">IF(EAC[[#This Row],[Vendor / Org. with Contract ID]]="","",INDEX(VendorList[Status],MATCH(EAC[[#This Row],[Vendor / Org. with Contract ID]],VendorList[Vendor / Org. with Contract ID],0),0))</f>
        <v>Open</v>
      </c>
      <c r="J7" s="248" t="s">
        <v>1639</v>
      </c>
      <c r="K7" s="474">
        <f ca="1">IF(EAC[[#This Row],[Vendor / Org. with Contract ID]]="",0,SUMIFS(VendorList[Current Commitment],VendorList[Vendor / Org. with Contract ID],EAC[[#This Row],[Vendor / Org. with Contract ID]],VendorList[PA ID],EAC[[#This Row],[PA ID]]))</f>
        <v>8565.33</v>
      </c>
      <c r="L7" s="474">
        <f ca="1">IF(EAC[[#This Row],[Vendor / Org. with Contract ID]]="",0,SUMIFS(CostTrack[Value],CostTrack[Vendor - Contract],EAC[[#This Row],[Vendor / Org. with Contract ID]],CostTrack[PA ID],EAC[[#This Row],[PA ID]],CostTrack[Holdback (Y/N/R)],"&lt;&gt;Release",CostTrack[Status],"Approved"))</f>
        <v>8565.3299999999981</v>
      </c>
      <c r="M7" s="475">
        <f ca="1">IF(EAC[[#This Row],[Current Commitment]]="",0,EAC[[#This Row],[Current Commitment]]-EAC[[#This Row],[Expenditures to Date]])</f>
        <v>1.8189894035458565E-12</v>
      </c>
      <c r="N7" s="343"/>
      <c r="O7" s="42">
        <f ca="1">EAC[[#This Row],[Open Commit.]]+EAC[[#This Row],[Future Commit.]]+EAC[[#This Row],[Expenditures to Date]]</f>
        <v>8565.33</v>
      </c>
      <c r="P7" s="188">
        <f ca="1">IF(EAC[[#This Row],[Current Commitment]]="","",EAC[[#This Row],[Current Commitment]]-EAC[[#This Row],[Estimate At Completion]])</f>
        <v>0</v>
      </c>
      <c r="Q7" s="457"/>
    </row>
    <row r="8" spans="1:17" s="4" customFormat="1" hidden="1">
      <c r="A8" s="217">
        <v>3</v>
      </c>
      <c r="B8" s="129" t="s">
        <v>399</v>
      </c>
      <c r="C8" s="87" t="str">
        <f ca="1">IF(EAC[[#This Row],[PA ID]]="","",INDEX(BudgetTrack[Primary Category],MATCH(EAC[[#This Row],[PA ID]],BudgetTrack[PA ID],0),0))</f>
        <v>Professional Services</v>
      </c>
      <c r="D8" s="87" t="str">
        <f ca="1">IF(EAC[[#This Row],[PA ID]]="","",INDEX(BudgetTrack[Secondary Category],MATCH(EAC[[#This Row],[PA ID]],BudgetTrack[PA ID],0),0))</f>
        <v>Prime Consultant</v>
      </c>
      <c r="E8" s="118" t="str">
        <f ca="1">IF(EAC[[#This Row],[PA ID]]="","",INDEX(BudgetTrack[Phase / Subproject],MATCH(EAC[[#This Row],[PA ID]],BudgetTrack[PA ID],0),0))</f>
        <v>--</v>
      </c>
      <c r="F8" s="118" t="str">
        <f ca="1">IF(EAC[[#This Row],[PA ID]]="","",INDEX(BudgetTrack[Phase / Subproject 2],MATCH(EAC[[#This Row],[PA ID]],BudgetTrack[PA ID],0),0))</f>
        <v>--</v>
      </c>
      <c r="G8" s="118" t="str">
        <f ca="1">IF(EAC[[#This Row],[PA ID]]="","",INDEX(BudgetTrack[Funding Source],MATCH(EAC[[#This Row],[PA ID]],BudgetTrack[PA ID],0),0))</f>
        <v>P-002360</v>
      </c>
      <c r="H8" s="128" t="s">
        <v>527</v>
      </c>
      <c r="I8" s="118" t="str">
        <f ca="1">IF(EAC[[#This Row],[Vendor / Org. with Contract ID]]="","",INDEX(VendorList[Status],MATCH(EAC[[#This Row],[Vendor / Org. with Contract ID]],VendorList[Vendor / Org. with Contract ID],0),0))</f>
        <v>Open</v>
      </c>
      <c r="J8" s="248" t="s">
        <v>49</v>
      </c>
      <c r="K8" s="474">
        <f ca="1">IF(EAC[[#This Row],[Vendor / Org. with Contract ID]]="",0,SUMIFS(VendorList[Current Commitment],VendorList[Vendor / Org. with Contract ID],EAC[[#This Row],[Vendor / Org. with Contract ID]],VendorList[PA ID],EAC[[#This Row],[PA ID]]))</f>
        <v>9743665.8200000003</v>
      </c>
      <c r="L8" s="474">
        <f ca="1">IF(EAC[[#This Row],[Vendor / Org. with Contract ID]]="",0,SUMIFS(CostTrack[Value],CostTrack[Vendor - Contract],EAC[[#This Row],[Vendor / Org. with Contract ID]],CostTrack[PA ID],EAC[[#This Row],[PA ID]],CostTrack[Holdback (Y/N/R)],"&lt;&gt;Release",CostTrack[Status],"Approved"))</f>
        <v>9659288.0199999921</v>
      </c>
      <c r="M8" s="475">
        <f ca="1">IF(EAC[[#This Row],[Current Commitment]]="",0,EAC[[#This Row],[Current Commitment]]-EAC[[#This Row],[Expenditures to Date]])</f>
        <v>84377.800000008196</v>
      </c>
      <c r="N8" s="343"/>
      <c r="O8" s="42">
        <f ca="1">EAC[[#This Row],[Open Commit.]]+EAC[[#This Row],[Future Commit.]]+EAC[[#This Row],[Expenditures to Date]]</f>
        <v>9743665.8200000003</v>
      </c>
      <c r="P8" s="188">
        <f ca="1">IF(EAC[[#This Row],[Current Commitment]]="","",EAC[[#This Row],[Current Commitment]]-EAC[[#This Row],[Estimate At Completion]])</f>
        <v>0</v>
      </c>
      <c r="Q8" s="457"/>
    </row>
    <row r="9" spans="1:17" s="4" customFormat="1" hidden="1">
      <c r="A9" s="217">
        <v>4</v>
      </c>
      <c r="B9" s="129" t="s">
        <v>401</v>
      </c>
      <c r="C9" s="87" t="str">
        <f ca="1">IF(EAC[[#This Row],[PA ID]]="","",INDEX(BudgetTrack[Primary Category],MATCH(EAC[[#This Row],[PA ID]],BudgetTrack[PA ID],0),0))</f>
        <v>Professional Services</v>
      </c>
      <c r="D9" s="87" t="str">
        <f ca="1">IF(EAC[[#This Row],[PA ID]]="","",INDEX(BudgetTrack[Secondary Category],MATCH(EAC[[#This Row],[PA ID]],BudgetTrack[PA ID],0),0))</f>
        <v>Other Professional Services</v>
      </c>
      <c r="E9" s="118" t="str">
        <f ca="1">IF(EAC[[#This Row],[PA ID]]="","",INDEX(BudgetTrack[Phase / Subproject],MATCH(EAC[[#This Row],[PA ID]],BudgetTrack[PA ID],0),0))</f>
        <v>--</v>
      </c>
      <c r="F9" s="118" t="str">
        <f ca="1">IF(EAC[[#This Row],[PA ID]]="","",INDEX(BudgetTrack[Phase / Subproject 2],MATCH(EAC[[#This Row],[PA ID]],BudgetTrack[PA ID],0),0))</f>
        <v>--</v>
      </c>
      <c r="G9" s="118" t="str">
        <f ca="1">IF(EAC[[#This Row],[PA ID]]="","",INDEX(BudgetTrack[Funding Source],MATCH(EAC[[#This Row],[PA ID]],BudgetTrack[PA ID],0),0))</f>
        <v>P-002360</v>
      </c>
      <c r="H9" s="128" t="s">
        <v>543</v>
      </c>
      <c r="I9" s="118" t="str">
        <f ca="1">IF(EAC[[#This Row],[Vendor / Org. with Contract ID]]="","",INDEX(VendorList[Status],MATCH(EAC[[#This Row],[Vendor / Org. with Contract ID]],VendorList[Vendor / Org. with Contract ID],0),0))</f>
        <v>Closed</v>
      </c>
      <c r="J9" s="248" t="s">
        <v>1640</v>
      </c>
      <c r="K9" s="474">
        <f ca="1">IF(EAC[[#This Row],[Vendor / Org. with Contract ID]]="",0,SUMIFS(VendorList[Current Commitment],VendorList[Vendor / Org. with Contract ID],EAC[[#This Row],[Vendor / Org. with Contract ID]],VendorList[PA ID],EAC[[#This Row],[PA ID]]))</f>
        <v>12085</v>
      </c>
      <c r="L9" s="474">
        <f ca="1">IF(EAC[[#This Row],[Vendor / Org. with Contract ID]]="",0,SUMIFS(CostTrack[Value],CostTrack[Vendor - Contract],EAC[[#This Row],[Vendor / Org. with Contract ID]],CostTrack[PA ID],EAC[[#This Row],[PA ID]],CostTrack[Holdback (Y/N/R)],"&lt;&gt;Release",CostTrack[Status],"Approved"))</f>
        <v>12085</v>
      </c>
      <c r="M9" s="475">
        <f ca="1">IF(EAC[[#This Row],[Current Commitment]]="",0,EAC[[#This Row],[Current Commitment]]-EAC[[#This Row],[Expenditures to Date]])</f>
        <v>0</v>
      </c>
      <c r="N9" s="343"/>
      <c r="O9" s="42">
        <f ca="1">EAC[[#This Row],[Open Commit.]]+EAC[[#This Row],[Future Commit.]]+EAC[[#This Row],[Expenditures to Date]]</f>
        <v>12085</v>
      </c>
      <c r="P9" s="188">
        <f ca="1">IF(EAC[[#This Row],[Current Commitment]]="","",EAC[[#This Row],[Current Commitment]]-EAC[[#This Row],[Estimate At Completion]])</f>
        <v>0</v>
      </c>
      <c r="Q9" s="457"/>
    </row>
    <row r="10" spans="1:17" s="4" customFormat="1" hidden="1">
      <c r="A10" s="217">
        <v>5</v>
      </c>
      <c r="B10" s="129" t="s">
        <v>401</v>
      </c>
      <c r="C10" s="87" t="str">
        <f ca="1">IF(EAC[[#This Row],[PA ID]]="","",INDEX(BudgetTrack[Primary Category],MATCH(EAC[[#This Row],[PA ID]],BudgetTrack[PA ID],0),0))</f>
        <v>Professional Services</v>
      </c>
      <c r="D10" s="87" t="str">
        <f ca="1">IF(EAC[[#This Row],[PA ID]]="","",INDEX(BudgetTrack[Secondary Category],MATCH(EAC[[#This Row],[PA ID]],BudgetTrack[PA ID],0),0))</f>
        <v>Other Professional Services</v>
      </c>
      <c r="E10" s="118" t="str">
        <f ca="1">IF(EAC[[#This Row],[PA ID]]="","",INDEX(BudgetTrack[Phase / Subproject],MATCH(EAC[[#This Row],[PA ID]],BudgetTrack[PA ID],0),0))</f>
        <v>--</v>
      </c>
      <c r="F10" s="118" t="str">
        <f ca="1">IF(EAC[[#This Row],[PA ID]]="","",INDEX(BudgetTrack[Phase / Subproject 2],MATCH(EAC[[#This Row],[PA ID]],BudgetTrack[PA ID],0),0))</f>
        <v>--</v>
      </c>
      <c r="G10" s="118" t="str">
        <f ca="1">IF(EAC[[#This Row],[PA ID]]="","",INDEX(BudgetTrack[Funding Source],MATCH(EAC[[#This Row],[PA ID]],BudgetTrack[PA ID],0),0))</f>
        <v>P-002360</v>
      </c>
      <c r="H10" s="128" t="s">
        <v>548</v>
      </c>
      <c r="I10" s="118" t="str">
        <f ca="1">IF(EAC[[#This Row],[Vendor / Org. with Contract ID]]="","",INDEX(VendorList[Status],MATCH(EAC[[#This Row],[Vendor / Org. with Contract ID]],VendorList[Vendor / Org. with Contract ID],0),0))</f>
        <v>Closed</v>
      </c>
      <c r="J10" s="248" t="s">
        <v>1641</v>
      </c>
      <c r="K10" s="474">
        <f ca="1">IF(EAC[[#This Row],[Vendor / Org. with Contract ID]]="",0,SUMIFS(VendorList[Current Commitment],VendorList[Vendor / Org. with Contract ID],EAC[[#This Row],[Vendor / Org. with Contract ID]],VendorList[PA ID],EAC[[#This Row],[PA ID]]))</f>
        <v>75260</v>
      </c>
      <c r="L10" s="474">
        <f ca="1">IF(EAC[[#This Row],[Vendor / Org. with Contract ID]]="",0,SUMIFS(CostTrack[Value],CostTrack[Vendor - Contract],EAC[[#This Row],[Vendor / Org. with Contract ID]],CostTrack[PA ID],EAC[[#This Row],[PA ID]],CostTrack[Holdback (Y/N/R)],"&lt;&gt;Release",CostTrack[Status],"Approved"))</f>
        <v>75260</v>
      </c>
      <c r="M10" s="475">
        <f ca="1">IF(EAC[[#This Row],[Current Commitment]]="",0,EAC[[#This Row],[Current Commitment]]-EAC[[#This Row],[Expenditures to Date]])</f>
        <v>0</v>
      </c>
      <c r="N10" s="343"/>
      <c r="O10" s="42">
        <f ca="1">EAC[[#This Row],[Open Commit.]]+EAC[[#This Row],[Future Commit.]]+EAC[[#This Row],[Expenditures to Date]]</f>
        <v>75260</v>
      </c>
      <c r="P10" s="188">
        <f ca="1">IF(EAC[[#This Row],[Current Commitment]]="","",EAC[[#This Row],[Current Commitment]]-EAC[[#This Row],[Estimate At Completion]])</f>
        <v>0</v>
      </c>
      <c r="Q10" s="457"/>
    </row>
    <row r="11" spans="1:17" s="4" customFormat="1" ht="27.95" hidden="1">
      <c r="A11" s="217">
        <v>6</v>
      </c>
      <c r="B11" s="129" t="s">
        <v>401</v>
      </c>
      <c r="C11" s="87" t="str">
        <f ca="1">IF(EAC[[#This Row],[PA ID]]="","",INDEX(BudgetTrack[Primary Category],MATCH(EAC[[#This Row],[PA ID]],BudgetTrack[PA ID],0),0))</f>
        <v>Professional Services</v>
      </c>
      <c r="D11" s="87" t="str">
        <f ca="1">IF(EAC[[#This Row],[PA ID]]="","",INDEX(BudgetTrack[Secondary Category],MATCH(EAC[[#This Row],[PA ID]],BudgetTrack[PA ID],0),0))</f>
        <v>Other Professional Services</v>
      </c>
      <c r="E11" s="118" t="str">
        <f ca="1">IF(EAC[[#This Row],[PA ID]]="","",INDEX(BudgetTrack[Phase / Subproject],MATCH(EAC[[#This Row],[PA ID]],BudgetTrack[PA ID],0),0))</f>
        <v>--</v>
      </c>
      <c r="F11" s="118" t="str">
        <f ca="1">IF(EAC[[#This Row],[PA ID]]="","",INDEX(BudgetTrack[Phase / Subproject 2],MATCH(EAC[[#This Row],[PA ID]],BudgetTrack[PA ID],0),0))</f>
        <v>--</v>
      </c>
      <c r="G11" s="118" t="str">
        <f ca="1">IF(EAC[[#This Row],[PA ID]]="","",INDEX(BudgetTrack[Funding Source],MATCH(EAC[[#This Row],[PA ID]],BudgetTrack[PA ID],0),0))</f>
        <v>P-002360</v>
      </c>
      <c r="H11" s="128" t="s">
        <v>816</v>
      </c>
      <c r="I11" s="118" t="str">
        <f ca="1">IF(EAC[[#This Row],[Vendor / Org. with Contract ID]]="","",INDEX(VendorList[Status],MATCH(EAC[[#This Row],[Vendor / Org. with Contract ID]],VendorList[Vendor / Org. with Contract ID],0),0))</f>
        <v>Closed</v>
      </c>
      <c r="J11" s="248" t="s">
        <v>1642</v>
      </c>
      <c r="K11" s="474">
        <f ca="1">IF(EAC[[#This Row],[Vendor / Org. with Contract ID]]="",0,SUMIFS(VendorList[Current Commitment],VendorList[Vendor / Org. with Contract ID],EAC[[#This Row],[Vendor / Org. with Contract ID]],VendorList[PA ID],EAC[[#This Row],[PA ID]]))</f>
        <v>2080</v>
      </c>
      <c r="L11" s="474">
        <f ca="1">IF(EAC[[#This Row],[Vendor / Org. with Contract ID]]="",0,SUMIFS(CostTrack[Value],CostTrack[Vendor - Contract],EAC[[#This Row],[Vendor / Org. with Contract ID]],CostTrack[PA ID],EAC[[#This Row],[PA ID]],CostTrack[Holdback (Y/N/R)],"&lt;&gt;Release",CostTrack[Status],"Approved"))</f>
        <v>2080</v>
      </c>
      <c r="M11" s="475">
        <f ca="1">IF(EAC[[#This Row],[Current Commitment]]="",0,EAC[[#This Row],[Current Commitment]]-EAC[[#This Row],[Expenditures to Date]])</f>
        <v>0</v>
      </c>
      <c r="N11" s="343"/>
      <c r="O11" s="42">
        <f ca="1">EAC[[#This Row],[Open Commit.]]+EAC[[#This Row],[Future Commit.]]+EAC[[#This Row],[Expenditures to Date]]</f>
        <v>2080</v>
      </c>
      <c r="P11" s="188">
        <f ca="1">IF(EAC[[#This Row],[Current Commitment]]="","",EAC[[#This Row],[Current Commitment]]-EAC[[#This Row],[Estimate At Completion]])</f>
        <v>0</v>
      </c>
      <c r="Q11" s="457"/>
    </row>
    <row r="12" spans="1:17" s="4" customFormat="1" hidden="1">
      <c r="A12" s="217">
        <v>7</v>
      </c>
      <c r="B12" s="129" t="s">
        <v>401</v>
      </c>
      <c r="C12" s="87" t="str">
        <f ca="1">IF(EAC[[#This Row],[PA ID]]="","",INDEX(BudgetTrack[Primary Category],MATCH(EAC[[#This Row],[PA ID]],BudgetTrack[PA ID],0),0))</f>
        <v>Professional Services</v>
      </c>
      <c r="D12" s="87" t="str">
        <f ca="1">IF(EAC[[#This Row],[PA ID]]="","",INDEX(BudgetTrack[Secondary Category],MATCH(EAC[[#This Row],[PA ID]],BudgetTrack[PA ID],0),0))</f>
        <v>Other Professional Services</v>
      </c>
      <c r="E12" s="118" t="str">
        <f ca="1">IF(EAC[[#This Row],[PA ID]]="","",INDEX(BudgetTrack[Phase / Subproject],MATCH(EAC[[#This Row],[PA ID]],BudgetTrack[PA ID],0),0))</f>
        <v>--</v>
      </c>
      <c r="F12" s="118" t="str">
        <f ca="1">IF(EAC[[#This Row],[PA ID]]="","",INDEX(BudgetTrack[Phase / Subproject 2],MATCH(EAC[[#This Row],[PA ID]],BudgetTrack[PA ID],0),0))</f>
        <v>--</v>
      </c>
      <c r="G12" s="118" t="str">
        <f ca="1">IF(EAC[[#This Row],[PA ID]]="","",INDEX(BudgetTrack[Funding Source],MATCH(EAC[[#This Row],[PA ID]],BudgetTrack[PA ID],0),0))</f>
        <v>P-002360</v>
      </c>
      <c r="H12" s="128" t="s">
        <v>556</v>
      </c>
      <c r="I12" s="118" t="str">
        <f ca="1">IF(EAC[[#This Row],[Vendor / Org. with Contract ID]]="","",INDEX(VendorList[Status],MATCH(EAC[[#This Row],[Vendor / Org. with Contract ID]],VendorList[Vendor / Org. with Contract ID],0),0))</f>
        <v>Closed</v>
      </c>
      <c r="J12" s="248" t="s">
        <v>1643</v>
      </c>
      <c r="K12" s="474">
        <f ca="1">IF(EAC[[#This Row],[Vendor / Org. with Contract ID]]="",0,SUMIFS(VendorList[Current Commitment],VendorList[Vendor / Org. with Contract ID],EAC[[#This Row],[Vendor / Org. with Contract ID]],VendorList[PA ID],EAC[[#This Row],[PA ID]]))</f>
        <v>229270</v>
      </c>
      <c r="L12" s="474">
        <f ca="1">IF(EAC[[#This Row],[Vendor / Org. with Contract ID]]="",0,SUMIFS(CostTrack[Value],CostTrack[Vendor - Contract],EAC[[#This Row],[Vendor / Org. with Contract ID]],CostTrack[PA ID],EAC[[#This Row],[PA ID]],CostTrack[Holdback (Y/N/R)],"&lt;&gt;Release",CostTrack[Status],"Approved"))</f>
        <v>229270</v>
      </c>
      <c r="M12" s="475">
        <f ca="1">IF(EAC[[#This Row],[Current Commitment]]="",0,EAC[[#This Row],[Current Commitment]]-EAC[[#This Row],[Expenditures to Date]])</f>
        <v>0</v>
      </c>
      <c r="N12" s="343"/>
      <c r="O12" s="42">
        <f ca="1">EAC[[#This Row],[Open Commit.]]+EAC[[#This Row],[Future Commit.]]+EAC[[#This Row],[Expenditures to Date]]</f>
        <v>229270</v>
      </c>
      <c r="P12" s="188">
        <f ca="1">IF(EAC[[#This Row],[Current Commitment]]="","",EAC[[#This Row],[Current Commitment]]-EAC[[#This Row],[Estimate At Completion]])</f>
        <v>0</v>
      </c>
      <c r="Q12" s="457"/>
    </row>
    <row r="13" spans="1:17" s="4" customFormat="1" ht="27.95" hidden="1">
      <c r="A13" s="217">
        <v>8</v>
      </c>
      <c r="B13" s="129" t="s">
        <v>401</v>
      </c>
      <c r="C13" s="87" t="str">
        <f ca="1">IF(EAC[[#This Row],[PA ID]]="","",INDEX(BudgetTrack[Primary Category],MATCH(EAC[[#This Row],[PA ID]],BudgetTrack[PA ID],0),0))</f>
        <v>Professional Services</v>
      </c>
      <c r="D13" s="87" t="str">
        <f ca="1">IF(EAC[[#This Row],[PA ID]]="","",INDEX(BudgetTrack[Secondary Category],MATCH(EAC[[#This Row],[PA ID]],BudgetTrack[PA ID],0),0))</f>
        <v>Other Professional Services</v>
      </c>
      <c r="E13" s="118" t="str">
        <f ca="1">IF(EAC[[#This Row],[PA ID]]="","",INDEX(BudgetTrack[Phase / Subproject],MATCH(EAC[[#This Row],[PA ID]],BudgetTrack[PA ID],0),0))</f>
        <v>--</v>
      </c>
      <c r="F13" s="118" t="str">
        <f ca="1">IF(EAC[[#This Row],[PA ID]]="","",INDEX(BudgetTrack[Phase / Subproject 2],MATCH(EAC[[#This Row],[PA ID]],BudgetTrack[PA ID],0),0))</f>
        <v>--</v>
      </c>
      <c r="G13" s="118" t="str">
        <f ca="1">IF(EAC[[#This Row],[PA ID]]="","",INDEX(BudgetTrack[Funding Source],MATCH(EAC[[#This Row],[PA ID]],BudgetTrack[PA ID],0),0))</f>
        <v>P-002360</v>
      </c>
      <c r="H13" s="128" t="s">
        <v>818</v>
      </c>
      <c r="I13" s="118" t="str">
        <f ca="1">IF(EAC[[#This Row],[Vendor / Org. with Contract ID]]="","",INDEX(VendorList[Status],MATCH(EAC[[#This Row],[Vendor / Org. with Contract ID]],VendorList[Vendor / Org. with Contract ID],0),0))</f>
        <v>Closed</v>
      </c>
      <c r="J13" s="248" t="s">
        <v>1644</v>
      </c>
      <c r="K13" s="474">
        <f ca="1">IF(EAC[[#This Row],[Vendor / Org. with Contract ID]]="",0,SUMIFS(VendorList[Current Commitment],VendorList[Vendor / Org. with Contract ID],EAC[[#This Row],[Vendor / Org. with Contract ID]],VendorList[PA ID],EAC[[#This Row],[PA ID]]))</f>
        <v>1267.73</v>
      </c>
      <c r="L13" s="474">
        <f ca="1">IF(EAC[[#This Row],[Vendor / Org. with Contract ID]]="",0,SUMIFS(CostTrack[Value],CostTrack[Vendor - Contract],EAC[[#This Row],[Vendor / Org. with Contract ID]],CostTrack[PA ID],EAC[[#This Row],[PA ID]],CostTrack[Holdback (Y/N/R)],"&lt;&gt;Release",CostTrack[Status],"Approved"))</f>
        <v>1267.73</v>
      </c>
      <c r="M13" s="475">
        <f ca="1">IF(EAC[[#This Row],[Current Commitment]]="",0,EAC[[#This Row],[Current Commitment]]-EAC[[#This Row],[Expenditures to Date]])</f>
        <v>0</v>
      </c>
      <c r="N13" s="343"/>
      <c r="O13" s="42">
        <f ca="1">EAC[[#This Row],[Open Commit.]]+EAC[[#This Row],[Future Commit.]]+EAC[[#This Row],[Expenditures to Date]]</f>
        <v>1267.73</v>
      </c>
      <c r="P13" s="188">
        <f ca="1">IF(EAC[[#This Row],[Current Commitment]]="","",EAC[[#This Row],[Current Commitment]]-EAC[[#This Row],[Estimate At Completion]])</f>
        <v>0</v>
      </c>
      <c r="Q13" s="457"/>
    </row>
    <row r="14" spans="1:17" s="4" customFormat="1" hidden="1">
      <c r="A14" s="217">
        <v>9</v>
      </c>
      <c r="B14" s="129" t="s">
        <v>405</v>
      </c>
      <c r="C14" s="87" t="str">
        <f ca="1">IF(EAC[[#This Row],[PA ID]]="","",INDEX(BudgetTrack[Primary Category],MATCH(EAC[[#This Row],[PA ID]],BudgetTrack[PA ID],0),0))</f>
        <v>Professional Services</v>
      </c>
      <c r="D14" s="87" t="str">
        <f ca="1">IF(EAC[[#This Row],[PA ID]]="","",INDEX(BudgetTrack[Secondary Category],MATCH(EAC[[#This Row],[PA ID]],BudgetTrack[PA ID],0),0))</f>
        <v>Commissioning</v>
      </c>
      <c r="E14" s="118" t="str">
        <f ca="1">IF(EAC[[#This Row],[PA ID]]="","",INDEX(BudgetTrack[Phase / Subproject],MATCH(EAC[[#This Row],[PA ID]],BudgetTrack[PA ID],0),0))</f>
        <v>--</v>
      </c>
      <c r="F14" s="118" t="str">
        <f ca="1">IF(EAC[[#This Row],[PA ID]]="","",INDEX(BudgetTrack[Phase / Subproject 2],MATCH(EAC[[#This Row],[PA ID]],BudgetTrack[PA ID],0),0))</f>
        <v>--</v>
      </c>
      <c r="G14" s="118" t="str">
        <f ca="1">IF(EAC[[#This Row],[PA ID]]="","",INDEX(BudgetTrack[Funding Source],MATCH(EAC[[#This Row],[PA ID]],BudgetTrack[PA ID],0),0))</f>
        <v>P-002360</v>
      </c>
      <c r="H14" s="128" t="s">
        <v>624</v>
      </c>
      <c r="I14" s="118" t="str">
        <f ca="1">IF(EAC[[#This Row],[Vendor / Org. with Contract ID]]="","",INDEX(VendorList[Status],MATCH(EAC[[#This Row],[Vendor / Org. with Contract ID]],VendorList[Vendor / Org. with Contract ID],0),0))</f>
        <v>Open</v>
      </c>
      <c r="J14" s="248" t="s">
        <v>207</v>
      </c>
      <c r="K14" s="474">
        <f ca="1">IF(EAC[[#This Row],[Vendor / Org. with Contract ID]]="",0,SUMIFS(VendorList[Current Commitment],VendorList[Vendor / Org. with Contract ID],EAC[[#This Row],[Vendor / Org. with Contract ID]],VendorList[PA ID],EAC[[#This Row],[PA ID]]))</f>
        <v>518581.79</v>
      </c>
      <c r="L14" s="474">
        <f ca="1">IF(EAC[[#This Row],[Vendor / Org. with Contract ID]]="",0,SUMIFS(CostTrack[Value],CostTrack[Vendor - Contract],EAC[[#This Row],[Vendor / Org. with Contract ID]],CostTrack[PA ID],EAC[[#This Row],[PA ID]],CostTrack[Holdback (Y/N/R)],"&lt;&gt;Release",CostTrack[Status],"Approved"))</f>
        <v>517954.04</v>
      </c>
      <c r="M14" s="475">
        <f ca="1">IF(EAC[[#This Row],[Current Commitment]]="",0,EAC[[#This Row],[Current Commitment]]-EAC[[#This Row],[Expenditures to Date]])</f>
        <v>627.75</v>
      </c>
      <c r="N14" s="343"/>
      <c r="O14" s="42">
        <f ca="1">EAC[[#This Row],[Open Commit.]]+EAC[[#This Row],[Future Commit.]]+EAC[[#This Row],[Expenditures to Date]]</f>
        <v>518581.79</v>
      </c>
      <c r="P14" s="188">
        <f ca="1">IF(EAC[[#This Row],[Current Commitment]]="","",EAC[[#This Row],[Current Commitment]]-EAC[[#This Row],[Estimate At Completion]])</f>
        <v>0</v>
      </c>
      <c r="Q14" s="457"/>
    </row>
    <row r="15" spans="1:17" s="4" customFormat="1" ht="27.95" hidden="1">
      <c r="A15" s="217">
        <v>10</v>
      </c>
      <c r="B15" s="129" t="s">
        <v>401</v>
      </c>
      <c r="C15" s="87" t="str">
        <f ca="1">IF(EAC[[#This Row],[PA ID]]="","",INDEX(BudgetTrack[Primary Category],MATCH(EAC[[#This Row],[PA ID]],BudgetTrack[PA ID],0),0))</f>
        <v>Professional Services</v>
      </c>
      <c r="D15" s="87" t="str">
        <f ca="1">IF(EAC[[#This Row],[PA ID]]="","",INDEX(BudgetTrack[Secondary Category],MATCH(EAC[[#This Row],[PA ID]],BudgetTrack[PA ID],0),0))</f>
        <v>Other Professional Services</v>
      </c>
      <c r="E15" s="118" t="str">
        <f ca="1">IF(EAC[[#This Row],[PA ID]]="","",INDEX(BudgetTrack[Phase / Subproject],MATCH(EAC[[#This Row],[PA ID]],BudgetTrack[PA ID],0),0))</f>
        <v>--</v>
      </c>
      <c r="F15" s="118" t="str">
        <f ca="1">IF(EAC[[#This Row],[PA ID]]="","",INDEX(BudgetTrack[Phase / Subproject 2],MATCH(EAC[[#This Row],[PA ID]],BudgetTrack[PA ID],0),0))</f>
        <v>--</v>
      </c>
      <c r="G15" s="118" t="str">
        <f ca="1">IF(EAC[[#This Row],[PA ID]]="","",INDEX(BudgetTrack[Funding Source],MATCH(EAC[[#This Row],[PA ID]],BudgetTrack[PA ID],0),0))</f>
        <v>P-002360</v>
      </c>
      <c r="H15" s="128" t="s">
        <v>528</v>
      </c>
      <c r="I15" s="118" t="str">
        <f ca="1">IF(EAC[[#This Row],[Vendor / Org. with Contract ID]]="","",INDEX(VendorList[Status],MATCH(EAC[[#This Row],[Vendor / Org. with Contract ID]],VendorList[Vendor / Org. with Contract ID],0),0))</f>
        <v>Closed</v>
      </c>
      <c r="J15" s="248" t="s">
        <v>1645</v>
      </c>
      <c r="K15" s="474">
        <f ca="1">IF(EAC[[#This Row],[Vendor / Org. with Contract ID]]="",0,SUMIFS(VendorList[Current Commitment],VendorList[Vendor / Org. with Contract ID],EAC[[#This Row],[Vendor / Org. with Contract ID]],VendorList[PA ID],EAC[[#This Row],[PA ID]]))</f>
        <v>204706.25</v>
      </c>
      <c r="L15" s="474">
        <f ca="1">IF(EAC[[#This Row],[Vendor / Org. with Contract ID]]="",0,SUMIFS(CostTrack[Value],CostTrack[Vendor - Contract],EAC[[#This Row],[Vendor / Org. with Contract ID]],CostTrack[PA ID],EAC[[#This Row],[PA ID]],CostTrack[Holdback (Y/N/R)],"&lt;&gt;Release",CostTrack[Status],"Approved"))</f>
        <v>204706.25</v>
      </c>
      <c r="M15" s="475">
        <f ca="1">IF(EAC[[#This Row],[Current Commitment]]="",0,EAC[[#This Row],[Current Commitment]]-EAC[[#This Row],[Expenditures to Date]])</f>
        <v>0</v>
      </c>
      <c r="N15" s="343"/>
      <c r="O15" s="42">
        <f ca="1">EAC[[#This Row],[Open Commit.]]+EAC[[#This Row],[Future Commit.]]+EAC[[#This Row],[Expenditures to Date]]</f>
        <v>204706.25</v>
      </c>
      <c r="P15" s="188">
        <f ca="1">IF(EAC[[#This Row],[Current Commitment]]="","",EAC[[#This Row],[Current Commitment]]-EAC[[#This Row],[Estimate At Completion]])</f>
        <v>0</v>
      </c>
      <c r="Q15" s="457"/>
    </row>
    <row r="16" spans="1:17" s="4" customFormat="1" hidden="1">
      <c r="A16" s="217">
        <v>11</v>
      </c>
      <c r="B16" s="129" t="s">
        <v>401</v>
      </c>
      <c r="C16" s="87" t="str">
        <f ca="1">IF(EAC[[#This Row],[PA ID]]="","",INDEX(BudgetTrack[Primary Category],MATCH(EAC[[#This Row],[PA ID]],BudgetTrack[PA ID],0),0))</f>
        <v>Professional Services</v>
      </c>
      <c r="D16" s="87" t="str">
        <f ca="1">IF(EAC[[#This Row],[PA ID]]="","",INDEX(BudgetTrack[Secondary Category],MATCH(EAC[[#This Row],[PA ID]],BudgetTrack[PA ID],0),0))</f>
        <v>Other Professional Services</v>
      </c>
      <c r="E16" s="118" t="str">
        <f ca="1">IF(EAC[[#This Row],[PA ID]]="","",INDEX(BudgetTrack[Phase / Subproject],MATCH(EAC[[#This Row],[PA ID]],BudgetTrack[PA ID],0),0))</f>
        <v>--</v>
      </c>
      <c r="F16" s="118" t="str">
        <f ca="1">IF(EAC[[#This Row],[PA ID]]="","",INDEX(BudgetTrack[Phase / Subproject 2],MATCH(EAC[[#This Row],[PA ID]],BudgetTrack[PA ID],0),0))</f>
        <v>--</v>
      </c>
      <c r="G16" s="118" t="str">
        <f ca="1">IF(EAC[[#This Row],[PA ID]]="","",INDEX(BudgetTrack[Funding Source],MATCH(EAC[[#This Row],[PA ID]],BudgetTrack[PA ID],0),0))</f>
        <v>P-002360</v>
      </c>
      <c r="H16" s="128" t="s">
        <v>573</v>
      </c>
      <c r="I16" s="118" t="str">
        <f ca="1">IF(EAC[[#This Row],[Vendor / Org. with Contract ID]]="","",INDEX(VendorList[Status],MATCH(EAC[[#This Row],[Vendor / Org. with Contract ID]],VendorList[Vendor / Org. with Contract ID],0),0))</f>
        <v>Closed</v>
      </c>
      <c r="J16" s="248" t="s">
        <v>1646</v>
      </c>
      <c r="K16" s="474">
        <f ca="1">IF(EAC[[#This Row],[Vendor / Org. with Contract ID]]="",0,SUMIFS(VendorList[Current Commitment],VendorList[Vendor / Org. with Contract ID],EAC[[#This Row],[Vendor / Org. with Contract ID]],VendorList[PA ID],EAC[[#This Row],[PA ID]]))</f>
        <v>13880</v>
      </c>
      <c r="L16" s="474">
        <f ca="1">IF(EAC[[#This Row],[Vendor / Org. with Contract ID]]="",0,SUMIFS(CostTrack[Value],CostTrack[Vendor - Contract],EAC[[#This Row],[Vendor / Org. with Contract ID]],CostTrack[PA ID],EAC[[#This Row],[PA ID]],CostTrack[Holdback (Y/N/R)],"&lt;&gt;Release",CostTrack[Status],"Approved"))</f>
        <v>13880</v>
      </c>
      <c r="M16" s="475">
        <f ca="1">IF(EAC[[#This Row],[Current Commitment]]="",0,EAC[[#This Row],[Current Commitment]]-EAC[[#This Row],[Expenditures to Date]])</f>
        <v>0</v>
      </c>
      <c r="N16" s="888"/>
      <c r="O16" s="42">
        <f ca="1">EAC[[#This Row],[Open Commit.]]+EAC[[#This Row],[Future Commit.]]+EAC[[#This Row],[Expenditures to Date]]</f>
        <v>13880</v>
      </c>
      <c r="P16" s="188">
        <f ca="1">IF(EAC[[#This Row],[Current Commitment]]="","",EAC[[#This Row],[Current Commitment]]-EAC[[#This Row],[Estimate At Completion]])</f>
        <v>0</v>
      </c>
      <c r="Q16" s="457"/>
    </row>
    <row r="17" spans="1:17" s="4" customFormat="1" hidden="1">
      <c r="A17" s="217">
        <v>12</v>
      </c>
      <c r="B17" s="129" t="s">
        <v>401</v>
      </c>
      <c r="C17" s="87" t="str">
        <f ca="1">IF(EAC[[#This Row],[PA ID]]="","",INDEX(BudgetTrack[Primary Category],MATCH(EAC[[#This Row],[PA ID]],BudgetTrack[PA ID],0),0))</f>
        <v>Professional Services</v>
      </c>
      <c r="D17" s="87" t="str">
        <f ca="1">IF(EAC[[#This Row],[PA ID]]="","",INDEX(BudgetTrack[Secondary Category],MATCH(EAC[[#This Row],[PA ID]],BudgetTrack[PA ID],0),0))</f>
        <v>Other Professional Services</v>
      </c>
      <c r="E17" s="118" t="str">
        <f ca="1">IF(EAC[[#This Row],[PA ID]]="","",INDEX(BudgetTrack[Phase / Subproject],MATCH(EAC[[#This Row],[PA ID]],BudgetTrack[PA ID],0),0))</f>
        <v>--</v>
      </c>
      <c r="F17" s="118" t="str">
        <f ca="1">IF(EAC[[#This Row],[PA ID]]="","",INDEX(BudgetTrack[Phase / Subproject 2],MATCH(EAC[[#This Row],[PA ID]],BudgetTrack[PA ID],0),0))</f>
        <v>--</v>
      </c>
      <c r="G17" s="118" t="str">
        <f ca="1">IF(EAC[[#This Row],[PA ID]]="","",INDEX(BudgetTrack[Funding Source],MATCH(EAC[[#This Row],[PA ID]],BudgetTrack[PA ID],0),0))</f>
        <v>P-002360</v>
      </c>
      <c r="H17" s="128" t="s">
        <v>662</v>
      </c>
      <c r="I17" s="118" t="str">
        <f ca="1">IF(EAC[[#This Row],[Vendor / Org. with Contract ID]]="","",INDEX(VendorList[Status],MATCH(EAC[[#This Row],[Vendor / Org. with Contract ID]],VendorList[Vendor / Org. with Contract ID],0),0))</f>
        <v>Closed</v>
      </c>
      <c r="J17" s="248" t="s">
        <v>1647</v>
      </c>
      <c r="K17" s="474">
        <f ca="1">IF(EAC[[#This Row],[Vendor / Org. with Contract ID]]="",0,SUMIFS(VendorList[Current Commitment],VendorList[Vendor / Org. with Contract ID],EAC[[#This Row],[Vendor / Org. with Contract ID]],VendorList[PA ID],EAC[[#This Row],[PA ID]]))</f>
        <v>31551</v>
      </c>
      <c r="L17" s="474">
        <f ca="1">IF(EAC[[#This Row],[Vendor / Org. with Contract ID]]="",0,SUMIFS(CostTrack[Value],CostTrack[Vendor - Contract],EAC[[#This Row],[Vendor / Org. with Contract ID]],CostTrack[PA ID],EAC[[#This Row],[PA ID]],CostTrack[Holdback (Y/N/R)],"&lt;&gt;Release",CostTrack[Status],"Approved"))</f>
        <v>31551</v>
      </c>
      <c r="M17" s="475">
        <f ca="1">IF(EAC[[#This Row],[Current Commitment]]="",0,EAC[[#This Row],[Current Commitment]]-EAC[[#This Row],[Expenditures to Date]])</f>
        <v>0</v>
      </c>
      <c r="N17" s="888"/>
      <c r="O17" s="42">
        <f ca="1">EAC[[#This Row],[Open Commit.]]+EAC[[#This Row],[Future Commit.]]+EAC[[#This Row],[Expenditures to Date]]</f>
        <v>31551</v>
      </c>
      <c r="P17" s="188">
        <f ca="1">IF(EAC[[#This Row],[Current Commitment]]="","",EAC[[#This Row],[Current Commitment]]-EAC[[#This Row],[Estimate At Completion]])</f>
        <v>0</v>
      </c>
      <c r="Q17" s="457"/>
    </row>
    <row r="18" spans="1:17" s="4" customFormat="1" hidden="1">
      <c r="A18" s="217">
        <v>13</v>
      </c>
      <c r="B18" s="129" t="s">
        <v>401</v>
      </c>
      <c r="C18" s="87" t="str">
        <f ca="1">IF(EAC[[#This Row],[PA ID]]="","",INDEX(BudgetTrack[Primary Category],MATCH(EAC[[#This Row],[PA ID]],BudgetTrack[PA ID],0),0))</f>
        <v>Professional Services</v>
      </c>
      <c r="D18" s="87" t="str">
        <f ca="1">IF(EAC[[#This Row],[PA ID]]="","",INDEX(BudgetTrack[Secondary Category],MATCH(EAC[[#This Row],[PA ID]],BudgetTrack[PA ID],0),0))</f>
        <v>Other Professional Services</v>
      </c>
      <c r="E18" s="118" t="str">
        <f ca="1">IF(EAC[[#This Row],[PA ID]]="","",INDEX(BudgetTrack[Phase / Subproject],MATCH(EAC[[#This Row],[PA ID]],BudgetTrack[PA ID],0),0))</f>
        <v>--</v>
      </c>
      <c r="F18" s="118" t="str">
        <f ca="1">IF(EAC[[#This Row],[PA ID]]="","",INDEX(BudgetTrack[Phase / Subproject 2],MATCH(EAC[[#This Row],[PA ID]],BudgetTrack[PA ID],0),0))</f>
        <v>--</v>
      </c>
      <c r="G18" s="118" t="str">
        <f ca="1">IF(EAC[[#This Row],[PA ID]]="","",INDEX(BudgetTrack[Funding Source],MATCH(EAC[[#This Row],[PA ID]],BudgetTrack[PA ID],0),0))</f>
        <v>P-002360</v>
      </c>
      <c r="H18" s="128" t="s">
        <v>734</v>
      </c>
      <c r="I18" s="118" t="str">
        <f ca="1">IF(EAC[[#This Row],[Vendor / Org. with Contract ID]]="","",INDEX(VendorList[Status],MATCH(EAC[[#This Row],[Vendor / Org. with Contract ID]],VendorList[Vendor / Org. with Contract ID],0),0))</f>
        <v>Closed</v>
      </c>
      <c r="J18" s="248" t="s">
        <v>1648</v>
      </c>
      <c r="K18" s="474">
        <f ca="1">IF(EAC[[#This Row],[Vendor / Org. with Contract ID]]="",0,SUMIFS(VendorList[Current Commitment],VendorList[Vendor / Org. with Contract ID],EAC[[#This Row],[Vendor / Org. with Contract ID]],VendorList[PA ID],EAC[[#This Row],[PA ID]]))</f>
        <v>7434.6</v>
      </c>
      <c r="L18" s="474">
        <f ca="1">IF(EAC[[#This Row],[Vendor / Org. with Contract ID]]="",0,SUMIFS(CostTrack[Value],CostTrack[Vendor - Contract],EAC[[#This Row],[Vendor / Org. with Contract ID]],CostTrack[PA ID],EAC[[#This Row],[PA ID]],CostTrack[Holdback (Y/N/R)],"&lt;&gt;Release",CostTrack[Status],"Approved"))</f>
        <v>7434.6000000000013</v>
      </c>
      <c r="M18" s="475">
        <f ca="1">IF(EAC[[#This Row],[Current Commitment]]="",0,EAC[[#This Row],[Current Commitment]]-EAC[[#This Row],[Expenditures to Date]])</f>
        <v>-9.0949470177292824E-13</v>
      </c>
      <c r="N18" s="888"/>
      <c r="O18" s="42">
        <f ca="1">EAC[[#This Row],[Open Commit.]]+EAC[[#This Row],[Future Commit.]]+EAC[[#This Row],[Expenditures to Date]]</f>
        <v>7434.6</v>
      </c>
      <c r="P18" s="188">
        <f ca="1">IF(EAC[[#This Row],[Current Commitment]]="","",EAC[[#This Row],[Current Commitment]]-EAC[[#This Row],[Estimate At Completion]])</f>
        <v>0</v>
      </c>
      <c r="Q18" s="457"/>
    </row>
    <row r="19" spans="1:17" s="4" customFormat="1">
      <c r="A19" s="217">
        <v>14</v>
      </c>
      <c r="B19" s="129" t="s">
        <v>401</v>
      </c>
      <c r="C19" s="87" t="str">
        <f ca="1">IF(EAC[[#This Row],[PA ID]]="","",INDEX(BudgetTrack[Primary Category],MATCH(EAC[[#This Row],[PA ID]],BudgetTrack[PA ID],0),0))</f>
        <v>Professional Services</v>
      </c>
      <c r="D19" s="87" t="str">
        <f ca="1">IF(EAC[[#This Row],[PA ID]]="","",INDEX(BudgetTrack[Secondary Category],MATCH(EAC[[#This Row],[PA ID]],BudgetTrack[PA ID],0),0))</f>
        <v>Other Professional Services</v>
      </c>
      <c r="E19" s="118" t="str">
        <f ca="1">IF(EAC[[#This Row],[PA ID]]="","",INDEX(BudgetTrack[Phase / Subproject],MATCH(EAC[[#This Row],[PA ID]],BudgetTrack[PA ID],0),0))</f>
        <v>--</v>
      </c>
      <c r="F19" s="118" t="str">
        <f ca="1">IF(EAC[[#This Row],[PA ID]]="","",INDEX(BudgetTrack[Phase / Subproject 2],MATCH(EAC[[#This Row],[PA ID]],BudgetTrack[PA ID],0),0))</f>
        <v>--</v>
      </c>
      <c r="G19" s="118" t="str">
        <f ca="1">IF(EAC[[#This Row],[PA ID]]="","",INDEX(BudgetTrack[Funding Source],MATCH(EAC[[#This Row],[PA ID]],BudgetTrack[PA ID],0),0))</f>
        <v>P-002360</v>
      </c>
      <c r="H19" s="128" t="s">
        <v>397</v>
      </c>
      <c r="I19" s="118" t="str">
        <f ca="1">IF(EAC[[#This Row],[Vendor / Org. with Contract ID]]="","",INDEX(VendorList[Status],MATCH(EAC[[#This Row],[Vendor / Org. with Contract ID]],VendorList[Vendor / Org. with Contract ID],0),0))</f>
        <v>--</v>
      </c>
      <c r="J19" s="248" t="s">
        <v>1649</v>
      </c>
      <c r="K19" s="474">
        <f ca="1">IF(EAC[[#This Row],[Vendor / Org. with Contract ID]]="",0,SUMIFS(VendorList[Current Commitment],VendorList[Vendor / Org. with Contract ID],EAC[[#This Row],[Vendor / Org. with Contract ID]],VendorList[PA ID],EAC[[#This Row],[PA ID]]))</f>
        <v>0</v>
      </c>
      <c r="L19" s="474">
        <f ca="1">IF(EAC[[#This Row],[Vendor / Org. with Contract ID]]="",0,SUMIFS(CostTrack[Value],CostTrack[Vendor - Contract],EAC[[#This Row],[Vendor / Org. with Contract ID]],CostTrack[PA ID],EAC[[#This Row],[PA ID]],CostTrack[Holdback (Y/N/R)],"&lt;&gt;Release",CostTrack[Status],"Approved"))</f>
        <v>0</v>
      </c>
      <c r="M19" s="475">
        <f ca="1">IF(EAC[[#This Row],[Current Commitment]]="",0,EAC[[#This Row],[Current Commitment]]-EAC[[#This Row],[Expenditures to Date]])</f>
        <v>0</v>
      </c>
      <c r="N19" s="888">
        <v>30000</v>
      </c>
      <c r="O19" s="42">
        <f ca="1">EAC[[#This Row],[Open Commit.]]+EAC[[#This Row],[Future Commit.]]+EAC[[#This Row],[Expenditures to Date]]</f>
        <v>30000</v>
      </c>
      <c r="P19" s="188">
        <f ca="1">IF(EAC[[#This Row],[Current Commitment]]="","",EAC[[#This Row],[Current Commitment]]-EAC[[#This Row],[Estimate At Completion]])</f>
        <v>-30000</v>
      </c>
      <c r="Q19" s="457"/>
    </row>
    <row r="20" spans="1:17" s="4" customFormat="1" ht="42" hidden="1">
      <c r="A20" s="217">
        <v>15</v>
      </c>
      <c r="B20" s="129" t="s">
        <v>1650</v>
      </c>
      <c r="C20" s="87" t="str">
        <f ca="1">IF(EAC[[#This Row],[PA ID]]="","",INDEX(BudgetTrack[Primary Category],MATCH(EAC[[#This Row],[PA ID]],BudgetTrack[PA ID],0),0))</f>
        <v>Professional Services</v>
      </c>
      <c r="D20" s="87" t="str">
        <f ca="1">IF(EAC[[#This Row],[PA ID]]="","",INDEX(BudgetTrack[Secondary Category],MATCH(EAC[[#This Row],[PA ID]],BudgetTrack[PA ID],0),0))</f>
        <v>Contingency - Professional</v>
      </c>
      <c r="E20" s="118" t="str">
        <f ca="1">IF(EAC[[#This Row],[PA ID]]="","",INDEX(BudgetTrack[Phase / Subproject],MATCH(EAC[[#This Row],[PA ID]],BudgetTrack[PA ID],0),0))</f>
        <v>--</v>
      </c>
      <c r="F20" s="118" t="str">
        <f ca="1">IF(EAC[[#This Row],[PA ID]]="","",INDEX(BudgetTrack[Phase / Subproject 2],MATCH(EAC[[#This Row],[PA ID]],BudgetTrack[PA ID],0),0))</f>
        <v>--</v>
      </c>
      <c r="G20" s="118" t="str">
        <f ca="1">IF(EAC[[#This Row],[PA ID]]="","",INDEX(BudgetTrack[Funding Source],MATCH(EAC[[#This Row],[PA ID]],BudgetTrack[PA ID],0),0))</f>
        <v>P-002360</v>
      </c>
      <c r="H20" s="128" t="s">
        <v>397</v>
      </c>
      <c r="I20" s="118" t="str">
        <f ca="1">IF(EAC[[#This Row],[Vendor / Org. with Contract ID]]="","",INDEX(VendorList[Status],MATCH(EAC[[#This Row],[Vendor / Org. with Contract ID]],VendorList[Vendor / Org. with Contract ID],0),0))</f>
        <v>--</v>
      </c>
      <c r="J20" s="248" t="s">
        <v>1651</v>
      </c>
      <c r="K20" s="474">
        <f ca="1">IF(EAC[[#This Row],[Vendor / Org. with Contract ID]]="",0,SUMIFS(VendorList[Current Commitment],VendorList[Vendor / Org. with Contract ID],EAC[[#This Row],[Vendor / Org. with Contract ID]],VendorList[PA ID],EAC[[#This Row],[PA ID]]))</f>
        <v>0</v>
      </c>
      <c r="L20" s="474">
        <f ca="1">IF(EAC[[#This Row],[Vendor / Org. with Contract ID]]="",0,SUMIFS(CostTrack[Value],CostTrack[Vendor - Contract],EAC[[#This Row],[Vendor / Org. with Contract ID]],CostTrack[PA ID],EAC[[#This Row],[PA ID]],CostTrack[Holdback (Y/N/R)],"&lt;&gt;Release",CostTrack[Status],"Approved"))</f>
        <v>0</v>
      </c>
      <c r="M20" s="475">
        <f ca="1">IF(EAC[[#This Row],[Current Commitment]]="",0,EAC[[#This Row],[Current Commitment]]-EAC[[#This Row],[Expenditures to Date]])</f>
        <v>0</v>
      </c>
      <c r="N20" s="888"/>
      <c r="O20" s="42">
        <f ca="1">EAC[[#This Row],[Open Commit.]]+EAC[[#This Row],[Future Commit.]]+EAC[[#This Row],[Expenditures to Date]]</f>
        <v>0</v>
      </c>
      <c r="P20" s="188">
        <f ca="1">IF(EAC[[#This Row],[Current Commitment]]="","",EAC[[#This Row],[Current Commitment]]-EAC[[#This Row],[Estimate At Completion]])</f>
        <v>0</v>
      </c>
      <c r="Q20" s="457"/>
    </row>
    <row r="21" spans="1:17" s="4" customFormat="1" ht="42" hidden="1">
      <c r="A21" s="217">
        <v>16</v>
      </c>
      <c r="B21" s="129" t="s">
        <v>431</v>
      </c>
      <c r="C21" s="87" t="str">
        <f ca="1">IF(EAC[[#This Row],[PA ID]]="","",INDEX(BudgetTrack[Primary Category],MATCH(EAC[[#This Row],[PA ID]],BudgetTrack[PA ID],0),0))</f>
        <v>Construction</v>
      </c>
      <c r="D21" s="87" t="str">
        <f ca="1">IF(EAC[[#This Row],[PA ID]]="","",INDEX(BudgetTrack[Secondary Category],MATCH(EAC[[#This Row],[PA ID]],BudgetTrack[PA ID],0),0))</f>
        <v>Permits &amp; Fees</v>
      </c>
      <c r="E21" s="118" t="str">
        <f ca="1">IF(EAC[[#This Row],[PA ID]]="","",INDEX(BudgetTrack[Phase / Subproject],MATCH(EAC[[#This Row],[PA ID]],BudgetTrack[PA ID],0),0))</f>
        <v>--</v>
      </c>
      <c r="F21" s="118" t="str">
        <f ca="1">IF(EAC[[#This Row],[PA ID]]="","",INDEX(BudgetTrack[Phase / Subproject 2],MATCH(EAC[[#This Row],[PA ID]],BudgetTrack[PA ID],0),0))</f>
        <v>--</v>
      </c>
      <c r="G21" s="118" t="str">
        <f ca="1">IF(EAC[[#This Row],[PA ID]]="","",INDEX(BudgetTrack[Funding Source],MATCH(EAC[[#This Row],[PA ID]],BudgetTrack[PA ID],0),0))</f>
        <v>P-002360</v>
      </c>
      <c r="H21" s="128" t="s">
        <v>582</v>
      </c>
      <c r="I21" s="118" t="str">
        <f ca="1">IF(EAC[[#This Row],[Vendor / Org. with Contract ID]]="","",INDEX(VendorList[Status],MATCH(EAC[[#This Row],[Vendor / Org. with Contract ID]],VendorList[Vendor / Org. with Contract ID],0),0))</f>
        <v>Closed</v>
      </c>
      <c r="J21" s="248" t="s">
        <v>1652</v>
      </c>
      <c r="K21" s="474">
        <f ca="1">IF(EAC[[#This Row],[Vendor / Org. with Contract ID]]="",0,SUMIFS(VendorList[Current Commitment],VendorList[Vendor / Org. with Contract ID],EAC[[#This Row],[Vendor / Org. with Contract ID]],VendorList[PA ID],EAC[[#This Row],[PA ID]]))</f>
        <v>1123238.8399999999</v>
      </c>
      <c r="L21" s="474">
        <f ca="1">IF(EAC[[#This Row],[Vendor / Org. with Contract ID]]="",0,SUMIFS(CostTrack[Value],CostTrack[Vendor - Contract],EAC[[#This Row],[Vendor / Org. with Contract ID]],CostTrack[PA ID],EAC[[#This Row],[PA ID]],CostTrack[Holdback (Y/N/R)],"&lt;&gt;Release",CostTrack[Status],"Approved"))</f>
        <v>1123238.8399999999</v>
      </c>
      <c r="M21" s="475">
        <f ca="1">IF(EAC[[#This Row],[Current Commitment]]="",0,EAC[[#This Row],[Current Commitment]]-EAC[[#This Row],[Expenditures to Date]])</f>
        <v>0</v>
      </c>
      <c r="N21" s="343"/>
      <c r="O21" s="42">
        <f ca="1">EAC[[#This Row],[Open Commit.]]+EAC[[#This Row],[Future Commit.]]+EAC[[#This Row],[Expenditures to Date]]</f>
        <v>1123238.8399999999</v>
      </c>
      <c r="P21" s="188">
        <f ca="1">IF(EAC[[#This Row],[Current Commitment]]="","",EAC[[#This Row],[Current Commitment]]-EAC[[#This Row],[Estimate At Completion]])</f>
        <v>0</v>
      </c>
      <c r="Q21" s="457"/>
    </row>
    <row r="22" spans="1:17" s="4" customFormat="1" hidden="1">
      <c r="A22" s="217">
        <v>17</v>
      </c>
      <c r="B22" s="129" t="s">
        <v>428</v>
      </c>
      <c r="C22" s="87" t="str">
        <f ca="1">IF(EAC[[#This Row],[PA ID]]="","",INDEX(BudgetTrack[Primary Category],MATCH(EAC[[#This Row],[PA ID]],BudgetTrack[PA ID],0),0))</f>
        <v>Construction</v>
      </c>
      <c r="D22" s="87" t="str">
        <f ca="1">IF(EAC[[#This Row],[PA ID]]="","",INDEX(BudgetTrack[Secondary Category],MATCH(EAC[[#This Row],[PA ID]],BudgetTrack[PA ID],0),0))</f>
        <v>Utilities</v>
      </c>
      <c r="E22" s="118" t="str">
        <f ca="1">IF(EAC[[#This Row],[PA ID]]="","",INDEX(BudgetTrack[Phase / Subproject],MATCH(EAC[[#This Row],[PA ID]],BudgetTrack[PA ID],0),0))</f>
        <v>--</v>
      </c>
      <c r="F22" s="118" t="str">
        <f ca="1">IF(EAC[[#This Row],[PA ID]]="","",INDEX(BudgetTrack[Phase / Subproject 2],MATCH(EAC[[#This Row],[PA ID]],BudgetTrack[PA ID],0),0))</f>
        <v>--</v>
      </c>
      <c r="G22" s="118" t="str">
        <f ca="1">IF(EAC[[#This Row],[PA ID]]="","",INDEX(BudgetTrack[Funding Source],MATCH(EAC[[#This Row],[PA ID]],BudgetTrack[PA ID],0),0))</f>
        <v>P-002360</v>
      </c>
      <c r="H22" s="128" t="s">
        <v>1307</v>
      </c>
      <c r="I22" s="118" t="str">
        <f ca="1">IF(EAC[[#This Row],[Vendor / Org. with Contract ID]]="","",INDEX(VendorList[Status],MATCH(EAC[[#This Row],[Vendor / Org. with Contract ID]],VendorList[Vendor / Org. with Contract ID],0),0))</f>
        <v>Closed</v>
      </c>
      <c r="J22" s="248" t="s">
        <v>209</v>
      </c>
      <c r="K22" s="474">
        <f ca="1">IF(EAC[[#This Row],[Vendor / Org. with Contract ID]]="",0,SUMIFS(VendorList[Current Commitment],VendorList[Vendor / Org. with Contract ID],EAC[[#This Row],[Vendor / Org. with Contract ID]],VendorList[PA ID],EAC[[#This Row],[PA ID]]))</f>
        <v>72300</v>
      </c>
      <c r="L22" s="474">
        <f ca="1">IF(EAC[[#This Row],[Vendor / Org. with Contract ID]]="",0,SUMIFS(CostTrack[Value],CostTrack[Vendor - Contract],EAC[[#This Row],[Vendor / Org. with Contract ID]],CostTrack[PA ID],EAC[[#This Row],[PA ID]],CostTrack[Holdback (Y/N/R)],"&lt;&gt;Release",CostTrack[Status],"Approved"))</f>
        <v>72300</v>
      </c>
      <c r="M22" s="475">
        <f ca="1">IF(EAC[[#This Row],[Current Commitment]]="",0,EAC[[#This Row],[Current Commitment]]-EAC[[#This Row],[Expenditures to Date]])</f>
        <v>0</v>
      </c>
      <c r="N22" s="343"/>
      <c r="O22" s="42">
        <f ca="1">EAC[[#This Row],[Open Commit.]]+EAC[[#This Row],[Future Commit.]]+EAC[[#This Row],[Expenditures to Date]]</f>
        <v>72300</v>
      </c>
      <c r="P22" s="188">
        <f ca="1">IF(EAC[[#This Row],[Current Commitment]]="","",EAC[[#This Row],[Current Commitment]]-EAC[[#This Row],[Estimate At Completion]])</f>
        <v>0</v>
      </c>
      <c r="Q22" s="457"/>
    </row>
    <row r="23" spans="1:17" s="4" customFormat="1" hidden="1">
      <c r="A23" s="217">
        <v>18</v>
      </c>
      <c r="B23" s="129" t="s">
        <v>443</v>
      </c>
      <c r="C23" s="87" t="str">
        <f ca="1">IF(EAC[[#This Row],[PA ID]]="","",INDEX(BudgetTrack[Primary Category],MATCH(EAC[[#This Row],[PA ID]],BudgetTrack[PA ID],0),0))</f>
        <v>Construction</v>
      </c>
      <c r="D23" s="87" t="str">
        <f ca="1">IF(EAC[[#This Row],[PA ID]]="","",INDEX(BudgetTrack[Secondary Category],MATCH(EAC[[#This Row],[PA ID]],BudgetTrack[PA ID],0),0))</f>
        <v>Prime Contractor</v>
      </c>
      <c r="E23" s="118" t="str">
        <f ca="1">IF(EAC[[#This Row],[PA ID]]="","",INDEX(BudgetTrack[Phase / Subproject],MATCH(EAC[[#This Row],[PA ID]],BudgetTrack[PA ID],0),0))</f>
        <v>--</v>
      </c>
      <c r="F23" s="118" t="str">
        <f ca="1">IF(EAC[[#This Row],[PA ID]]="","",INDEX(BudgetTrack[Phase / Subproject 2],MATCH(EAC[[#This Row],[PA ID]],BudgetTrack[PA ID],0),0))</f>
        <v>--</v>
      </c>
      <c r="G23" s="118" t="str">
        <f ca="1">IF(EAC[[#This Row],[PA ID]]="","",INDEX(BudgetTrack[Funding Source],MATCH(EAC[[#This Row],[PA ID]],BudgetTrack[PA ID],0),0))</f>
        <v>P-002360</v>
      </c>
      <c r="H23" s="128" t="s">
        <v>529</v>
      </c>
      <c r="I23" s="118" t="str">
        <f ca="1">IF(EAC[[#This Row],[Vendor / Org. with Contract ID]]="","",INDEX(VendorList[Status],MATCH(EAC[[#This Row],[Vendor / Org. with Contract ID]],VendorList[Vendor / Org. with Contract ID],0),0))</f>
        <v>Open</v>
      </c>
      <c r="J23" s="248" t="s">
        <v>1653</v>
      </c>
      <c r="K23" s="474">
        <f ca="1">IF(EAC[[#This Row],[Vendor / Org. with Contract ID]]="",0,SUMIFS(VendorList[Current Commitment],VendorList[Vendor / Org. with Contract ID],EAC[[#This Row],[Vendor / Org. with Contract ID]],VendorList[PA ID],EAC[[#This Row],[PA ID]]))</f>
        <v>154314591.42000002</v>
      </c>
      <c r="L23" s="474">
        <f ca="1">IF(EAC[[#This Row],[Vendor / Org. with Contract ID]]="",0,SUMIFS(CostTrack[Value],CostTrack[Vendor - Contract],EAC[[#This Row],[Vendor / Org. with Contract ID]],CostTrack[PA ID],EAC[[#This Row],[PA ID]],CostTrack[Holdback (Y/N/R)],"&lt;&gt;Release",CostTrack[Status],"Approved"))</f>
        <v>153062832.02000001</v>
      </c>
      <c r="M23" s="475">
        <f ca="1">IF(EAC[[#This Row],[Current Commitment]]="",0,EAC[[#This Row],[Current Commitment]]-EAC[[#This Row],[Expenditures to Date]])</f>
        <v>1251759.400000006</v>
      </c>
      <c r="N23" s="888"/>
      <c r="O23" s="42">
        <f ca="1">EAC[[#This Row],[Open Commit.]]+EAC[[#This Row],[Future Commit.]]+EAC[[#This Row],[Expenditures to Date]]</f>
        <v>154314591.42000002</v>
      </c>
      <c r="P23" s="188">
        <f ca="1">IF(EAC[[#This Row],[Current Commitment]]="","",EAC[[#This Row],[Current Commitment]]-EAC[[#This Row],[Estimate At Completion]])</f>
        <v>0</v>
      </c>
      <c r="Q23" s="457"/>
    </row>
    <row r="24" spans="1:17" s="4" customFormat="1" hidden="1">
      <c r="A24" s="217">
        <v>19</v>
      </c>
      <c r="B24" s="129" t="s">
        <v>403</v>
      </c>
      <c r="C24" s="87" t="str">
        <f ca="1">IF(EAC[[#This Row],[PA ID]]="","",INDEX(BudgetTrack[Primary Category],MATCH(EAC[[#This Row],[PA ID]],BudgetTrack[PA ID],0),0))</f>
        <v>Construction</v>
      </c>
      <c r="D24" s="87" t="str">
        <f ca="1">IF(EAC[[#This Row],[PA ID]]="","",INDEX(BudgetTrack[Secondary Category],MATCH(EAC[[#This Row],[PA ID]],BudgetTrack[PA ID],0),0))</f>
        <v>Hazmat - Contractor</v>
      </c>
      <c r="E24" s="118" t="str">
        <f ca="1">IF(EAC[[#This Row],[PA ID]]="","",INDEX(BudgetTrack[Phase / Subproject],MATCH(EAC[[#This Row],[PA ID]],BudgetTrack[PA ID],0),0))</f>
        <v>--</v>
      </c>
      <c r="F24" s="118" t="str">
        <f ca="1">IF(EAC[[#This Row],[PA ID]]="","",INDEX(BudgetTrack[Phase / Subproject 2],MATCH(EAC[[#This Row],[PA ID]],BudgetTrack[PA ID],0),0))</f>
        <v>--</v>
      </c>
      <c r="G24" s="118" t="str">
        <f ca="1">IF(EAC[[#This Row],[PA ID]]="","",INDEX(BudgetTrack[Funding Source],MATCH(EAC[[#This Row],[PA ID]],BudgetTrack[PA ID],0),0))</f>
        <v>P-002360</v>
      </c>
      <c r="H24" s="128" t="s">
        <v>561</v>
      </c>
      <c r="I24" s="118" t="str">
        <f ca="1">IF(EAC[[#This Row],[Vendor / Org. with Contract ID]]="","",INDEX(VendorList[Status],MATCH(EAC[[#This Row],[Vendor / Org. with Contract ID]],VendorList[Vendor / Org. with Contract ID],0),0))</f>
        <v>Closed</v>
      </c>
      <c r="J24" s="248" t="s">
        <v>1654</v>
      </c>
      <c r="K24" s="474">
        <f ca="1">IF(EAC[[#This Row],[Vendor / Org. with Contract ID]]="",0,SUMIFS(VendorList[Current Commitment],VendorList[Vendor / Org. with Contract ID],EAC[[#This Row],[Vendor / Org. with Contract ID]],VendorList[PA ID],EAC[[#This Row],[PA ID]]))</f>
        <v>96165.3</v>
      </c>
      <c r="L24" s="474">
        <f ca="1">IF(EAC[[#This Row],[Vendor / Org. with Contract ID]]="",0,SUMIFS(CostTrack[Value],CostTrack[Vendor - Contract],EAC[[#This Row],[Vendor / Org. with Contract ID]],CostTrack[PA ID],EAC[[#This Row],[PA ID]],CostTrack[Holdback (Y/N/R)],"&lt;&gt;Release",CostTrack[Status],"Approved"))</f>
        <v>96165.3</v>
      </c>
      <c r="M24" s="475">
        <f ca="1">IF(EAC[[#This Row],[Current Commitment]]="",0,EAC[[#This Row],[Current Commitment]]-EAC[[#This Row],[Expenditures to Date]])</f>
        <v>0</v>
      </c>
      <c r="N24" s="343">
        <v>0</v>
      </c>
      <c r="O24" s="42">
        <f ca="1">EAC[[#This Row],[Open Commit.]]+EAC[[#This Row],[Future Commit.]]+EAC[[#This Row],[Expenditures to Date]]</f>
        <v>96165.3</v>
      </c>
      <c r="P24" s="188">
        <f ca="1">IF(EAC[[#This Row],[Current Commitment]]="","",EAC[[#This Row],[Current Commitment]]-EAC[[#This Row],[Estimate At Completion]])</f>
        <v>0</v>
      </c>
      <c r="Q24" s="457"/>
    </row>
    <row r="25" spans="1:17" s="4" customFormat="1" hidden="1">
      <c r="A25" s="217">
        <v>20</v>
      </c>
      <c r="B25" s="79" t="s">
        <v>421</v>
      </c>
      <c r="C25" s="87" t="str">
        <f ca="1">IF(EAC[[#This Row],[PA ID]]="","",INDEX(BudgetTrack[Primary Category],MATCH(EAC[[#This Row],[PA ID]],BudgetTrack[PA ID],0),0))</f>
        <v>Construction</v>
      </c>
      <c r="D25" s="87" t="str">
        <f ca="1">IF(EAC[[#This Row],[PA ID]]="","",INDEX(BudgetTrack[Secondary Category],MATCH(EAC[[#This Row],[PA ID]],BudgetTrack[PA ID],0),0))</f>
        <v>Demolition</v>
      </c>
      <c r="E25" s="118" t="str">
        <f ca="1">IF(EAC[[#This Row],[PA ID]]="","",INDEX(BudgetTrack[Phase / Subproject],MATCH(EAC[[#This Row],[PA ID]],BudgetTrack[PA ID],0),0))</f>
        <v>--</v>
      </c>
      <c r="F25" s="118" t="str">
        <f ca="1">IF(EAC[[#This Row],[PA ID]]="","",INDEX(BudgetTrack[Phase / Subproject 2],MATCH(EAC[[#This Row],[PA ID]],BudgetTrack[PA ID],0),0))</f>
        <v>--</v>
      </c>
      <c r="G25" s="118" t="str">
        <f ca="1">IF(EAC[[#This Row],[PA ID]]="","",INDEX(BudgetTrack[Funding Source],MATCH(EAC[[#This Row],[PA ID]],BudgetTrack[PA ID],0),0))</f>
        <v>P-002360</v>
      </c>
      <c r="H25" s="128" t="s">
        <v>569</v>
      </c>
      <c r="I25" s="118" t="str">
        <f ca="1">IF(EAC[[#This Row],[Vendor / Org. with Contract ID]]="","",INDEX(VendorList[Status],MATCH(EAC[[#This Row],[Vendor / Org. with Contract ID]],VendorList[Vendor / Org. with Contract ID],0),0))</f>
        <v>Closed</v>
      </c>
      <c r="J25" s="248" t="s">
        <v>1655</v>
      </c>
      <c r="K25" s="474">
        <f ca="1">IF(EAC[[#This Row],[Vendor / Org. with Contract ID]]="",0,SUMIFS(VendorList[Current Commitment],VendorList[Vendor / Org. with Contract ID],EAC[[#This Row],[Vendor / Org. with Contract ID]],VendorList[PA ID],EAC[[#This Row],[PA ID]]))</f>
        <v>472888.38</v>
      </c>
      <c r="L25" s="474">
        <f ca="1">IF(EAC[[#This Row],[Vendor / Org. with Contract ID]]="",0,SUMIFS(CostTrack[Value],CostTrack[Vendor - Contract],EAC[[#This Row],[Vendor / Org. with Contract ID]],CostTrack[PA ID],EAC[[#This Row],[PA ID]],CostTrack[Holdback (Y/N/R)],"&lt;&gt;Release",CostTrack[Status],"Approved"))</f>
        <v>472888.38</v>
      </c>
      <c r="M25" s="475">
        <f ca="1">IF(EAC[[#This Row],[Current Commitment]]="",0,EAC[[#This Row],[Current Commitment]]-EAC[[#This Row],[Expenditures to Date]])</f>
        <v>0</v>
      </c>
      <c r="N25" s="343"/>
      <c r="O25" s="42">
        <f ca="1">EAC[[#This Row],[Open Commit.]]+EAC[[#This Row],[Future Commit.]]+EAC[[#This Row],[Expenditures to Date]]</f>
        <v>472888.38</v>
      </c>
      <c r="P25" s="188">
        <f ca="1">IF(EAC[[#This Row],[Current Commitment]]="","",EAC[[#This Row],[Current Commitment]]-EAC[[#This Row],[Estimate At Completion]])</f>
        <v>0</v>
      </c>
      <c r="Q25" s="457"/>
    </row>
    <row r="26" spans="1:17" s="4" customFormat="1" hidden="1">
      <c r="A26" s="217">
        <v>21</v>
      </c>
      <c r="B26" s="129" t="s">
        <v>248</v>
      </c>
      <c r="C26" s="87" t="str">
        <f ca="1">IF(EAC[[#This Row],[PA ID]]="","",INDEX(BudgetTrack[Primary Category],MATCH(EAC[[#This Row],[PA ID]],BudgetTrack[PA ID],0),0))</f>
        <v>Construction</v>
      </c>
      <c r="D26" s="87" t="str">
        <f ca="1">IF(EAC[[#This Row],[PA ID]]="","",INDEX(BudgetTrack[Secondary Category],MATCH(EAC[[#This Row],[PA ID]],BudgetTrack[PA ID],0),0))</f>
        <v>Other Contractor</v>
      </c>
      <c r="E26" s="118" t="str">
        <f ca="1">IF(EAC[[#This Row],[PA ID]]="","",INDEX(BudgetTrack[Phase / Subproject],MATCH(EAC[[#This Row],[PA ID]],BudgetTrack[PA ID],0),0))</f>
        <v>--</v>
      </c>
      <c r="F26" s="118" t="str">
        <f ca="1">IF(EAC[[#This Row],[PA ID]]="","",INDEX(BudgetTrack[Phase / Subproject 2],MATCH(EAC[[#This Row],[PA ID]],BudgetTrack[PA ID],0),0))</f>
        <v>--</v>
      </c>
      <c r="G26" s="118" t="str">
        <f ca="1">IF(EAC[[#This Row],[PA ID]]="","",INDEX(BudgetTrack[Funding Source],MATCH(EAC[[#This Row],[PA ID]],BudgetTrack[PA ID],0),0))</f>
        <v>P-002360</v>
      </c>
      <c r="H26" s="128" t="s">
        <v>853</v>
      </c>
      <c r="I26" s="118" t="str">
        <f ca="1">IF(EAC[[#This Row],[Vendor / Org. with Contract ID]]="","",INDEX(VendorList[Status],MATCH(EAC[[#This Row],[Vendor / Org. with Contract ID]],VendorList[Vendor / Org. with Contract ID],0),0))</f>
        <v>Closed</v>
      </c>
      <c r="J26" s="248" t="s">
        <v>1656</v>
      </c>
      <c r="K26" s="474">
        <f ca="1">IF(EAC[[#This Row],[Vendor / Org. with Contract ID]]="",0,SUMIFS(VendorList[Current Commitment],VendorList[Vendor / Org. with Contract ID],EAC[[#This Row],[Vendor / Org. with Contract ID]],VendorList[PA ID],EAC[[#This Row],[PA ID]]))</f>
        <v>7000</v>
      </c>
      <c r="L26" s="474">
        <f ca="1">IF(EAC[[#This Row],[Vendor / Org. with Contract ID]]="",0,SUMIFS(CostTrack[Value],CostTrack[Vendor - Contract],EAC[[#This Row],[Vendor / Org. with Contract ID]],CostTrack[PA ID],EAC[[#This Row],[PA ID]],CostTrack[Holdback (Y/N/R)],"&lt;&gt;Release",CostTrack[Status],"Approved"))</f>
        <v>7000</v>
      </c>
      <c r="M26" s="475">
        <f ca="1">IF(EAC[[#This Row],[Current Commitment]]="",0,EAC[[#This Row],[Current Commitment]]-EAC[[#This Row],[Expenditures to Date]])</f>
        <v>0</v>
      </c>
      <c r="N26" s="343"/>
      <c r="O26" s="42">
        <f ca="1">EAC[[#This Row],[Open Commit.]]+EAC[[#This Row],[Future Commit.]]+EAC[[#This Row],[Expenditures to Date]]</f>
        <v>7000</v>
      </c>
      <c r="P26" s="188">
        <f ca="1">IF(EAC[[#This Row],[Current Commitment]]="","",EAC[[#This Row],[Current Commitment]]-EAC[[#This Row],[Estimate At Completion]])</f>
        <v>0</v>
      </c>
      <c r="Q26" s="457"/>
    </row>
    <row r="27" spans="1:17" s="4" customFormat="1" ht="27.95" hidden="1">
      <c r="A27" s="217">
        <v>22</v>
      </c>
      <c r="B27" s="129" t="s">
        <v>1657</v>
      </c>
      <c r="C27" s="87" t="str">
        <f ca="1">IF(EAC[[#This Row],[PA ID]]="","",INDEX(BudgetTrack[Primary Category],MATCH(EAC[[#This Row],[PA ID]],BudgetTrack[PA ID],0),0))</f>
        <v>Construction</v>
      </c>
      <c r="D27" s="87" t="str">
        <f ca="1">IF(EAC[[#This Row],[PA ID]]="","",INDEX(BudgetTrack[Secondary Category],MATCH(EAC[[#This Row],[PA ID]],BudgetTrack[PA ID],0),0))</f>
        <v>Contingency - Const. Phase</v>
      </c>
      <c r="E27" s="118" t="str">
        <f ca="1">IF(EAC[[#This Row],[PA ID]]="","",INDEX(BudgetTrack[Phase / Subproject],MATCH(EAC[[#This Row],[PA ID]],BudgetTrack[PA ID],0),0))</f>
        <v>--</v>
      </c>
      <c r="F27" s="118" t="str">
        <f ca="1">IF(EAC[[#This Row],[PA ID]]="","",INDEX(BudgetTrack[Phase / Subproject 2],MATCH(EAC[[#This Row],[PA ID]],BudgetTrack[PA ID],0),0))</f>
        <v>--</v>
      </c>
      <c r="G27" s="118" t="str">
        <f ca="1">IF(EAC[[#This Row],[PA ID]]="","",INDEX(BudgetTrack[Funding Source],MATCH(EAC[[#This Row],[PA ID]],BudgetTrack[PA ID],0),0))</f>
        <v>P-002360</v>
      </c>
      <c r="H27" s="128" t="s">
        <v>397</v>
      </c>
      <c r="I27" s="118" t="str">
        <f ca="1">IF(EAC[[#This Row],[Vendor / Org. with Contract ID]]="","",INDEX(VendorList[Status],MATCH(EAC[[#This Row],[Vendor / Org. with Contract ID]],VendorList[Vendor / Org. with Contract ID],0),0))</f>
        <v>--</v>
      </c>
      <c r="J27" s="248" t="s">
        <v>1658</v>
      </c>
      <c r="K27" s="474">
        <f ca="1">IF(EAC[[#This Row],[Vendor / Org. with Contract ID]]="",0,SUMIFS(VendorList[Current Commitment],VendorList[Vendor / Org. with Contract ID],EAC[[#This Row],[Vendor / Org. with Contract ID]],VendorList[PA ID],EAC[[#This Row],[PA ID]]))</f>
        <v>0</v>
      </c>
      <c r="L27" s="474">
        <f ca="1">IF(EAC[[#This Row],[Vendor / Org. with Contract ID]]="",0,SUMIFS(CostTrack[Value],CostTrack[Vendor - Contract],EAC[[#This Row],[Vendor / Org. with Contract ID]],CostTrack[PA ID],EAC[[#This Row],[PA ID]],CostTrack[Holdback (Y/N/R)],"&lt;&gt;Release",CostTrack[Status],"Approved"))</f>
        <v>0</v>
      </c>
      <c r="M27" s="475">
        <f ca="1">IF(EAC[[#This Row],[Current Commitment]]="",0,EAC[[#This Row],[Current Commitment]]-EAC[[#This Row],[Expenditures to Date]])</f>
        <v>0</v>
      </c>
      <c r="N27" s="343"/>
      <c r="O27" s="42">
        <f ca="1">EAC[[#This Row],[Open Commit.]]+EAC[[#This Row],[Future Commit.]]+EAC[[#This Row],[Expenditures to Date]]</f>
        <v>0</v>
      </c>
      <c r="P27" s="188">
        <f ca="1">IF(EAC[[#This Row],[Current Commitment]]="","",EAC[[#This Row],[Current Commitment]]-EAC[[#This Row],[Estimate At Completion]])</f>
        <v>0</v>
      </c>
      <c r="Q27" s="457"/>
    </row>
    <row r="28" spans="1:17" s="4" customFormat="1" ht="27.95" hidden="1">
      <c r="A28" s="217">
        <v>23</v>
      </c>
      <c r="B28" s="129" t="s">
        <v>1657</v>
      </c>
      <c r="C28" s="87" t="str">
        <f ca="1">IF(EAC[[#This Row],[PA ID]]="","",INDEX(BudgetTrack[Primary Category],MATCH(EAC[[#This Row],[PA ID]],BudgetTrack[PA ID],0),0))</f>
        <v>Construction</v>
      </c>
      <c r="D28" s="87" t="str">
        <f ca="1">IF(EAC[[#This Row],[PA ID]]="","",INDEX(BudgetTrack[Secondary Category],MATCH(EAC[[#This Row],[PA ID]],BudgetTrack[PA ID],0),0))</f>
        <v>Contingency - Const. Phase</v>
      </c>
      <c r="E28" s="118" t="str">
        <f ca="1">IF(EAC[[#This Row],[PA ID]]="","",INDEX(BudgetTrack[Phase / Subproject],MATCH(EAC[[#This Row],[PA ID]],BudgetTrack[PA ID],0),0))</f>
        <v>--</v>
      </c>
      <c r="F28" s="118" t="str">
        <f ca="1">IF(EAC[[#This Row],[PA ID]]="","",INDEX(BudgetTrack[Phase / Subproject 2],MATCH(EAC[[#This Row],[PA ID]],BudgetTrack[PA ID],0),0))</f>
        <v>--</v>
      </c>
      <c r="G28" s="118" t="str">
        <f ca="1">IF(EAC[[#This Row],[PA ID]]="","",INDEX(BudgetTrack[Funding Source],MATCH(EAC[[#This Row],[PA ID]],BudgetTrack[PA ID],0),0))</f>
        <v>P-002360</v>
      </c>
      <c r="H28" s="128" t="s">
        <v>569</v>
      </c>
      <c r="I28" s="118" t="str">
        <f ca="1">IF(EAC[[#This Row],[Vendor / Org. with Contract ID]]="","",INDEX(VendorList[Status],MATCH(EAC[[#This Row],[Vendor / Org. with Contract ID]],VendorList[Vendor / Org. with Contract ID],0),0))</f>
        <v>Closed</v>
      </c>
      <c r="J28" s="248" t="s">
        <v>1659</v>
      </c>
      <c r="K28" s="474">
        <f ca="1">IF(EAC[[#This Row],[Vendor / Org. with Contract ID]]="",0,SUMIFS(VendorList[Current Commitment],VendorList[Vendor / Org. with Contract ID],EAC[[#This Row],[Vendor / Org. with Contract ID]],VendorList[PA ID],EAC[[#This Row],[PA ID]]))</f>
        <v>0</v>
      </c>
      <c r="L28" s="474">
        <f ca="1">IF(EAC[[#This Row],[Vendor / Org. with Contract ID]]="",0,SUMIFS(CostTrack[Value],CostTrack[Vendor - Contract],EAC[[#This Row],[Vendor / Org. with Contract ID]],CostTrack[PA ID],EAC[[#This Row],[PA ID]],CostTrack[Holdback (Y/N/R)],"&lt;&gt;Release",CostTrack[Status],"Approved"))</f>
        <v>0</v>
      </c>
      <c r="M28" s="475">
        <f ca="1">IF(EAC[[#This Row],[Current Commitment]]="",0,EAC[[#This Row],[Current Commitment]]-EAC[[#This Row],[Expenditures to Date]])</f>
        <v>0</v>
      </c>
      <c r="N28" s="343">
        <v>0</v>
      </c>
      <c r="O28" s="42">
        <f ca="1">EAC[[#This Row],[Open Commit.]]+EAC[[#This Row],[Future Commit.]]+EAC[[#This Row],[Expenditures to Date]]</f>
        <v>0</v>
      </c>
      <c r="P28" s="188">
        <f ca="1">IF(EAC[[#This Row],[Current Commitment]]="","",EAC[[#This Row],[Current Commitment]]-EAC[[#This Row],[Estimate At Completion]])</f>
        <v>0</v>
      </c>
      <c r="Q28" s="457"/>
    </row>
    <row r="29" spans="1:17" s="4" customFormat="1" ht="27.95" hidden="1">
      <c r="A29" s="217">
        <v>24</v>
      </c>
      <c r="B29" s="129" t="s">
        <v>1660</v>
      </c>
      <c r="C29" s="87" t="str">
        <f ca="1">IF(EAC[[#This Row],[PA ID]]="","",INDEX(BudgetTrack[Primary Category],MATCH(EAC[[#This Row],[PA ID]],BudgetTrack[PA ID],0),0))</f>
        <v>Construction</v>
      </c>
      <c r="D29" s="87" t="str">
        <f ca="1">IF(EAC[[#This Row],[PA ID]]="","",INDEX(BudgetTrack[Secondary Category],MATCH(EAC[[#This Row],[PA ID]],BudgetTrack[PA ID],0),0))</f>
        <v>Allowance - Escalation</v>
      </c>
      <c r="E29" s="118" t="str">
        <f ca="1">IF(EAC[[#This Row],[PA ID]]="","",INDEX(BudgetTrack[Phase / Subproject],MATCH(EAC[[#This Row],[PA ID]],BudgetTrack[PA ID],0),0))</f>
        <v>--</v>
      </c>
      <c r="F29" s="118" t="str">
        <f ca="1">IF(EAC[[#This Row],[PA ID]]="","",INDEX(BudgetTrack[Phase / Subproject 2],MATCH(EAC[[#This Row],[PA ID]],BudgetTrack[PA ID],0),0))</f>
        <v>--</v>
      </c>
      <c r="G29" s="118" t="str">
        <f ca="1">IF(EAC[[#This Row],[PA ID]]="","",INDEX(BudgetTrack[Funding Source],MATCH(EAC[[#This Row],[PA ID]],BudgetTrack[PA ID],0),0))</f>
        <v>P-002360</v>
      </c>
      <c r="H29" s="128" t="s">
        <v>397</v>
      </c>
      <c r="I29" s="118" t="str">
        <f ca="1">IF(EAC[[#This Row],[Vendor / Org. with Contract ID]]="","",INDEX(VendorList[Status],MATCH(EAC[[#This Row],[Vendor / Org. with Contract ID]],VendorList[Vendor / Org. with Contract ID],0),0))</f>
        <v>--</v>
      </c>
      <c r="J29" s="248" t="s">
        <v>1661</v>
      </c>
      <c r="K29" s="474">
        <f ca="1">IF(EAC[[#This Row],[Vendor / Org. with Contract ID]]="",0,SUMIFS(VendorList[Current Commitment],VendorList[Vendor / Org. with Contract ID],EAC[[#This Row],[Vendor / Org. with Contract ID]],VendorList[PA ID],EAC[[#This Row],[PA ID]]))</f>
        <v>0</v>
      </c>
      <c r="L29" s="474">
        <f ca="1">IF(EAC[[#This Row],[Vendor / Org. with Contract ID]]="",0,SUMIFS(CostTrack[Value],CostTrack[Vendor - Contract],EAC[[#This Row],[Vendor / Org. with Contract ID]],CostTrack[PA ID],EAC[[#This Row],[PA ID]],CostTrack[Holdback (Y/N/R)],"&lt;&gt;Release",CostTrack[Status],"Approved"))</f>
        <v>0</v>
      </c>
      <c r="M29" s="475">
        <f ca="1">IF(EAC[[#This Row],[Current Commitment]]="",0,EAC[[#This Row],[Current Commitment]]-EAC[[#This Row],[Expenditures to Date]])</f>
        <v>0</v>
      </c>
      <c r="N29" s="343"/>
      <c r="O29" s="42">
        <f ca="1">EAC[[#This Row],[Open Commit.]]+EAC[[#This Row],[Future Commit.]]+EAC[[#This Row],[Expenditures to Date]]</f>
        <v>0</v>
      </c>
      <c r="P29" s="188">
        <f ca="1">IF(EAC[[#This Row],[Current Commitment]]="","",EAC[[#This Row],[Current Commitment]]-EAC[[#This Row],[Estimate At Completion]])</f>
        <v>0</v>
      </c>
      <c r="Q29" s="457"/>
    </row>
    <row r="30" spans="1:17" s="4" customFormat="1" hidden="1">
      <c r="A30" s="217">
        <v>25</v>
      </c>
      <c r="B30" s="129" t="s">
        <v>471</v>
      </c>
      <c r="C30" s="87" t="str">
        <f ca="1">IF(EAC[[#This Row],[PA ID]]="","",INDEX(BudgetTrack[Primary Category],MATCH(EAC[[#This Row],[PA ID]],BudgetTrack[PA ID],0),0))</f>
        <v>FE_IT</v>
      </c>
      <c r="D30" s="87" t="str">
        <f ca="1">IF(EAC[[#This Row],[PA ID]]="","",INDEX(BudgetTrack[Secondary Category],MATCH(EAC[[#This Row],[PA ID]],BudgetTrack[PA ID],0),0))</f>
        <v>Furniture &amp; Equipment</v>
      </c>
      <c r="E30" s="118" t="str">
        <f ca="1">IF(EAC[[#This Row],[PA ID]]="","",INDEX(BudgetTrack[Phase / Subproject],MATCH(EAC[[#This Row],[PA ID]],BudgetTrack[PA ID],0),0))</f>
        <v>--</v>
      </c>
      <c r="F30" s="118" t="str">
        <f ca="1">IF(EAC[[#This Row],[PA ID]]="","",INDEX(BudgetTrack[Phase / Subproject 2],MATCH(EAC[[#This Row],[PA ID]],BudgetTrack[PA ID],0),0))</f>
        <v>--</v>
      </c>
      <c r="G30" s="118" t="str">
        <f ca="1">IF(EAC[[#This Row],[PA ID]]="","",INDEX(BudgetTrack[Funding Source],MATCH(EAC[[#This Row],[PA ID]],BudgetTrack[PA ID],0),0))</f>
        <v>P-002360</v>
      </c>
      <c r="H30" s="128" t="s">
        <v>1360</v>
      </c>
      <c r="I30" s="118" t="str">
        <f ca="1">IF(EAC[[#This Row],[Vendor / Org. with Contract ID]]="","",INDEX(VendorList[Status],MATCH(EAC[[#This Row],[Vendor / Org. with Contract ID]],VendorList[Vendor / Org. with Contract ID],0),0))</f>
        <v>Closed</v>
      </c>
      <c r="J30" s="248" t="s">
        <v>1662</v>
      </c>
      <c r="K30" s="474">
        <f ca="1">IF(EAC[[#This Row],[Vendor / Org. with Contract ID]]="",0,SUMIFS(VendorList[Current Commitment],VendorList[Vendor / Org. with Contract ID],EAC[[#This Row],[Vendor / Org. with Contract ID]],VendorList[PA ID],EAC[[#This Row],[PA ID]]))</f>
        <v>1012070.93</v>
      </c>
      <c r="L30" s="474">
        <f ca="1">IF(EAC[[#This Row],[Vendor / Org. with Contract ID]]="",0,SUMIFS(CostTrack[Value],CostTrack[Vendor - Contract],EAC[[#This Row],[Vendor / Org. with Contract ID]],CostTrack[PA ID],EAC[[#This Row],[PA ID]],CostTrack[Holdback (Y/N/R)],"&lt;&gt;Release",CostTrack[Status],"Approved"))</f>
        <v>1012070.93</v>
      </c>
      <c r="M30" s="475">
        <f ca="1">IF(EAC[[#This Row],[Current Commitment]]="",0,EAC[[#This Row],[Current Commitment]]-EAC[[#This Row],[Expenditures to Date]])</f>
        <v>0</v>
      </c>
      <c r="N30" s="343"/>
      <c r="O30" s="42">
        <f ca="1">EAC[[#This Row],[Open Commit.]]+EAC[[#This Row],[Future Commit.]]+EAC[[#This Row],[Expenditures to Date]]</f>
        <v>1012070.93</v>
      </c>
      <c r="P30" s="188">
        <f ca="1">IF(EAC[[#This Row],[Current Commitment]]="","",EAC[[#This Row],[Current Commitment]]-EAC[[#This Row],[Estimate At Completion]])</f>
        <v>0</v>
      </c>
      <c r="Q30" s="457" t="s">
        <v>1663</v>
      </c>
    </row>
    <row r="31" spans="1:17" s="4" customFormat="1" hidden="1">
      <c r="A31" s="217">
        <v>26</v>
      </c>
      <c r="B31" s="129" t="s">
        <v>452</v>
      </c>
      <c r="C31" s="87" t="str">
        <f ca="1">IF(EAC[[#This Row],[PA ID]]="","",INDEX(BudgetTrack[Primary Category],MATCH(EAC[[#This Row],[PA ID]],BudgetTrack[PA ID],0),0))</f>
        <v>FE_IT</v>
      </c>
      <c r="D31" s="87" t="str">
        <f ca="1">IF(EAC[[#This Row],[PA ID]]="","",INDEX(BudgetTrack[Secondary Category],MATCH(EAC[[#This Row],[PA ID]],BudgetTrack[PA ID],0),0))</f>
        <v>Information Technology</v>
      </c>
      <c r="E31" s="118" t="str">
        <f ca="1">IF(EAC[[#This Row],[PA ID]]="","",INDEX(BudgetTrack[Phase / Subproject],MATCH(EAC[[#This Row],[PA ID]],BudgetTrack[PA ID],0),0))</f>
        <v>--</v>
      </c>
      <c r="F31" s="118" t="str">
        <f ca="1">IF(EAC[[#This Row],[PA ID]]="","",INDEX(BudgetTrack[Phase / Subproject 2],MATCH(EAC[[#This Row],[PA ID]],BudgetTrack[PA ID],0),0))</f>
        <v>--</v>
      </c>
      <c r="G31" s="118" t="str">
        <f ca="1">IF(EAC[[#This Row],[PA ID]]="","",INDEX(BudgetTrack[Funding Source],MATCH(EAC[[#This Row],[PA ID]],BudgetTrack[PA ID],0),0))</f>
        <v>P-002360</v>
      </c>
      <c r="H31" s="128" t="s">
        <v>397</v>
      </c>
      <c r="I31" s="118" t="str">
        <f ca="1">IF(EAC[[#This Row],[Vendor / Org. with Contract ID]]="","",INDEX(VendorList[Status],MATCH(EAC[[#This Row],[Vendor / Org. with Contract ID]],VendorList[Vendor / Org. with Contract ID],0),0))</f>
        <v>--</v>
      </c>
      <c r="J31" s="248" t="s">
        <v>1664</v>
      </c>
      <c r="K31" s="474">
        <f ca="1">IF(EAC[[#This Row],[Vendor / Org. with Contract ID]]="",0,SUMIFS(VendorList[Current Commitment],VendorList[Vendor / Org. with Contract ID],EAC[[#This Row],[Vendor / Org. with Contract ID]],VendorList[PA ID],EAC[[#This Row],[PA ID]]))</f>
        <v>0</v>
      </c>
      <c r="L31" s="474">
        <f ca="1">IF(EAC[[#This Row],[Vendor / Org. with Contract ID]]="",0,SUMIFS(CostTrack[Value],CostTrack[Vendor - Contract],EAC[[#This Row],[Vendor / Org. with Contract ID]],CostTrack[PA ID],EAC[[#This Row],[PA ID]],CostTrack[Holdback (Y/N/R)],"&lt;&gt;Release",CostTrack[Status],"Approved"))</f>
        <v>0</v>
      </c>
      <c r="M31" s="475">
        <f ca="1">IF(EAC[[#This Row],[Current Commitment]]="",0,EAC[[#This Row],[Current Commitment]]-EAC[[#This Row],[Expenditures to Date]])</f>
        <v>0</v>
      </c>
      <c r="N31" s="343"/>
      <c r="O31" s="42">
        <f ca="1">EAC[[#This Row],[Open Commit.]]+EAC[[#This Row],[Future Commit.]]+EAC[[#This Row],[Expenditures to Date]]</f>
        <v>0</v>
      </c>
      <c r="P31" s="188">
        <f ca="1">IF(EAC[[#This Row],[Current Commitment]]="","",EAC[[#This Row],[Current Commitment]]-EAC[[#This Row],[Estimate At Completion]])</f>
        <v>0</v>
      </c>
      <c r="Q31" s="457"/>
    </row>
    <row r="32" spans="1:17" s="4" customFormat="1" hidden="1">
      <c r="A32" s="217">
        <v>27</v>
      </c>
      <c r="B32" s="129" t="s">
        <v>471</v>
      </c>
      <c r="C32" s="87" t="str">
        <f ca="1">IF(EAC[[#This Row],[PA ID]]="","",INDEX(BudgetTrack[Primary Category],MATCH(EAC[[#This Row],[PA ID]],BudgetTrack[PA ID],0),0))</f>
        <v>FE_IT</v>
      </c>
      <c r="D32" s="87" t="str">
        <f ca="1">IF(EAC[[#This Row],[PA ID]]="","",INDEX(BudgetTrack[Secondary Category],MATCH(EAC[[#This Row],[PA ID]],BudgetTrack[PA ID],0),0))</f>
        <v>Furniture &amp; Equipment</v>
      </c>
      <c r="E32" s="118" t="str">
        <f ca="1">IF(EAC[[#This Row],[PA ID]]="","",INDEX(BudgetTrack[Phase / Subproject],MATCH(EAC[[#This Row],[PA ID]],BudgetTrack[PA ID],0),0))</f>
        <v>--</v>
      </c>
      <c r="F32" s="118" t="str">
        <f ca="1">IF(EAC[[#This Row],[PA ID]]="","",INDEX(BudgetTrack[Phase / Subproject 2],MATCH(EAC[[#This Row],[PA ID]],BudgetTrack[PA ID],0),0))</f>
        <v>--</v>
      </c>
      <c r="G32" s="118" t="str">
        <f ca="1">IF(EAC[[#This Row],[PA ID]]="","",INDEX(BudgetTrack[Funding Source],MATCH(EAC[[#This Row],[PA ID]],BudgetTrack[PA ID],0),0))</f>
        <v>P-002360</v>
      </c>
      <c r="H32" s="128" t="s">
        <v>397</v>
      </c>
      <c r="I32" s="118" t="str">
        <f ca="1">IF(EAC[[#This Row],[Vendor / Org. with Contract ID]]="","",INDEX(VendorList[Status],MATCH(EAC[[#This Row],[Vendor / Org. with Contract ID]],VendorList[Vendor / Org. with Contract ID],0),0))</f>
        <v>--</v>
      </c>
      <c r="J32" s="248" t="s">
        <v>1665</v>
      </c>
      <c r="K32" s="474">
        <f ca="1">IF(EAC[[#This Row],[Vendor / Org. with Contract ID]]="",0,SUMIFS(VendorList[Current Commitment],VendorList[Vendor / Org. with Contract ID],EAC[[#This Row],[Vendor / Org. with Contract ID]],VendorList[PA ID],EAC[[#This Row],[PA ID]]))</f>
        <v>0</v>
      </c>
      <c r="L32" s="474">
        <f ca="1">IF(EAC[[#This Row],[Vendor / Org. with Contract ID]]="",0,SUMIFS(CostTrack[Value],CostTrack[Vendor - Contract],EAC[[#This Row],[Vendor / Org. with Contract ID]],CostTrack[PA ID],EAC[[#This Row],[PA ID]],CostTrack[Holdback (Y/N/R)],"&lt;&gt;Release",CostTrack[Status],"Approved"))</f>
        <v>0</v>
      </c>
      <c r="M32" s="475">
        <f ca="1">IF(EAC[[#This Row],[Current Commitment]]="",0,EAC[[#This Row],[Current Commitment]]-EAC[[#This Row],[Expenditures to Date]])</f>
        <v>0</v>
      </c>
      <c r="N32" s="343"/>
      <c r="O32" s="42">
        <f ca="1">EAC[[#This Row],[Open Commit.]]+EAC[[#This Row],[Future Commit.]]+EAC[[#This Row],[Expenditures to Date]]</f>
        <v>0</v>
      </c>
      <c r="P32" s="188">
        <f ca="1">IF(EAC[[#This Row],[Current Commitment]]="","",EAC[[#This Row],[Current Commitment]]-EAC[[#This Row],[Estimate At Completion]])</f>
        <v>0</v>
      </c>
      <c r="Q32" s="457"/>
    </row>
    <row r="33" spans="1:17" s="4" customFormat="1" hidden="1">
      <c r="A33" s="217">
        <v>28</v>
      </c>
      <c r="B33" s="79" t="s">
        <v>477</v>
      </c>
      <c r="C33" s="87" t="str">
        <f ca="1">IF(EAC[[#This Row],[PA ID]]="","",INDEX(BudgetTrack[Primary Category],MATCH(EAC[[#This Row],[PA ID]],BudgetTrack[PA ID],0),0))</f>
        <v>FE_IT</v>
      </c>
      <c r="D33" s="87" t="str">
        <f ca="1">IF(EAC[[#This Row],[PA ID]]="","",INDEX(BudgetTrack[Secondary Category],MATCH(EAC[[#This Row],[PA ID]],BudgetTrack[PA ID],0),0))</f>
        <v>Movers</v>
      </c>
      <c r="E33" s="118" t="str">
        <f ca="1">IF(EAC[[#This Row],[PA ID]]="","",INDEX(BudgetTrack[Phase / Subproject],MATCH(EAC[[#This Row],[PA ID]],BudgetTrack[PA ID],0),0))</f>
        <v>--</v>
      </c>
      <c r="F33" s="118" t="str">
        <f ca="1">IF(EAC[[#This Row],[PA ID]]="","",INDEX(BudgetTrack[Phase / Subproject 2],MATCH(EAC[[#This Row],[PA ID]],BudgetTrack[PA ID],0),0))</f>
        <v>--</v>
      </c>
      <c r="G33" s="118" t="str">
        <f ca="1">IF(EAC[[#This Row],[PA ID]]="","",INDEX(BudgetTrack[Funding Source],MATCH(EAC[[#This Row],[PA ID]],BudgetTrack[PA ID],0),0))</f>
        <v>P-002360</v>
      </c>
      <c r="H33" s="128" t="s">
        <v>775</v>
      </c>
      <c r="I33" s="118" t="str">
        <f ca="1">IF(EAC[[#This Row],[Vendor / Org. with Contract ID]]="","",INDEX(VendorList[Status],MATCH(EAC[[#This Row],[Vendor / Org. with Contract ID]],VendorList[Vendor / Org. with Contract ID],0),0))</f>
        <v>Closed</v>
      </c>
      <c r="J33" s="248" t="s">
        <v>1666</v>
      </c>
      <c r="K33" s="474">
        <f ca="1">IF(EAC[[#This Row],[Vendor / Org. with Contract ID]]="",0,SUMIFS(VendorList[Current Commitment],VendorList[Vendor / Org. with Contract ID],EAC[[#This Row],[Vendor / Org. with Contract ID]],VendorList[PA ID],EAC[[#This Row],[PA ID]]))</f>
        <v>166795.76999999999</v>
      </c>
      <c r="L33" s="474">
        <f ca="1">IF(EAC[[#This Row],[Vendor / Org. with Contract ID]]="",0,SUMIFS(CostTrack[Value],CostTrack[Vendor - Contract],EAC[[#This Row],[Vendor / Org. with Contract ID]],CostTrack[PA ID],EAC[[#This Row],[PA ID]],CostTrack[Holdback (Y/N/R)],"&lt;&gt;Release",CostTrack[Status],"Approved"))</f>
        <v>166795.76999999999</v>
      </c>
      <c r="M33" s="475">
        <f ca="1">IF(EAC[[#This Row],[Current Commitment]]="",0,EAC[[#This Row],[Current Commitment]]-EAC[[#This Row],[Expenditures to Date]])</f>
        <v>0</v>
      </c>
      <c r="N33" s="343"/>
      <c r="O33" s="42">
        <f ca="1">EAC[[#This Row],[Open Commit.]]+EAC[[#This Row],[Future Commit.]]+EAC[[#This Row],[Expenditures to Date]]</f>
        <v>166795.76999999999</v>
      </c>
      <c r="P33" s="188">
        <f ca="1">IF(EAC[[#This Row],[Current Commitment]]="","",EAC[[#This Row],[Current Commitment]]-EAC[[#This Row],[Estimate At Completion]])</f>
        <v>0</v>
      </c>
      <c r="Q33" s="457"/>
    </row>
    <row r="34" spans="1:17" s="4" customFormat="1" hidden="1">
      <c r="A34" s="217">
        <v>29</v>
      </c>
      <c r="B34" s="129" t="s">
        <v>477</v>
      </c>
      <c r="C34" s="87" t="str">
        <f ca="1">IF(EAC[[#This Row],[PA ID]]="","",INDEX(BudgetTrack[Primary Category],MATCH(EAC[[#This Row],[PA ID]],BudgetTrack[PA ID],0),0))</f>
        <v>FE_IT</v>
      </c>
      <c r="D34" s="87" t="str">
        <f ca="1">IF(EAC[[#This Row],[PA ID]]="","",INDEX(BudgetTrack[Secondary Category],MATCH(EAC[[#This Row],[PA ID]],BudgetTrack[PA ID],0),0))</f>
        <v>Movers</v>
      </c>
      <c r="E34" s="118" t="str">
        <f ca="1">IF(EAC[[#This Row],[PA ID]]="","",INDEX(BudgetTrack[Phase / Subproject],MATCH(EAC[[#This Row],[PA ID]],BudgetTrack[PA ID],0),0))</f>
        <v>--</v>
      </c>
      <c r="F34" s="118" t="str">
        <f ca="1">IF(EAC[[#This Row],[PA ID]]="","",INDEX(BudgetTrack[Phase / Subproject 2],MATCH(EAC[[#This Row],[PA ID]],BudgetTrack[PA ID],0),0))</f>
        <v>--</v>
      </c>
      <c r="G34" s="118" t="str">
        <f ca="1">IF(EAC[[#This Row],[PA ID]]="","",INDEX(BudgetTrack[Funding Source],MATCH(EAC[[#This Row],[PA ID]],BudgetTrack[PA ID],0),0))</f>
        <v>P-002360</v>
      </c>
      <c r="H34" s="128" t="s">
        <v>397</v>
      </c>
      <c r="I34" s="118" t="str">
        <f ca="1">IF(EAC[[#This Row],[Vendor / Org. with Contract ID]]="","",INDEX(VendorList[Status],MATCH(EAC[[#This Row],[Vendor / Org. with Contract ID]],VendorList[Vendor / Org. with Contract ID],0),0))</f>
        <v>--</v>
      </c>
      <c r="J34" s="248" t="s">
        <v>1667</v>
      </c>
      <c r="K34" s="474">
        <f ca="1">IF(EAC[[#This Row],[Vendor / Org. with Contract ID]]="",0,SUMIFS(VendorList[Current Commitment],VendorList[Vendor / Org. with Contract ID],EAC[[#This Row],[Vendor / Org. with Contract ID]],VendorList[PA ID],EAC[[#This Row],[PA ID]]))</f>
        <v>0</v>
      </c>
      <c r="L34" s="474">
        <f ca="1">IF(EAC[[#This Row],[Vendor / Org. with Contract ID]]="",0,SUMIFS(CostTrack[Value],CostTrack[Vendor - Contract],EAC[[#This Row],[Vendor / Org. with Contract ID]],CostTrack[PA ID],EAC[[#This Row],[PA ID]],CostTrack[Holdback (Y/N/R)],"&lt;&gt;Release",CostTrack[Status],"Approved"))</f>
        <v>0</v>
      </c>
      <c r="M34" s="475">
        <f ca="1">IF(EAC[[#This Row],[Current Commitment]]="",0,EAC[[#This Row],[Current Commitment]]-EAC[[#This Row],[Expenditures to Date]])</f>
        <v>0</v>
      </c>
      <c r="N34" s="343">
        <v>0</v>
      </c>
      <c r="O34" s="42">
        <f ca="1">EAC[[#This Row],[Open Commit.]]+EAC[[#This Row],[Future Commit.]]+EAC[[#This Row],[Expenditures to Date]]</f>
        <v>0</v>
      </c>
      <c r="P34" s="188">
        <f ca="1">IF(EAC[[#This Row],[Current Commitment]]="","",EAC[[#This Row],[Current Commitment]]-EAC[[#This Row],[Estimate At Completion]])</f>
        <v>0</v>
      </c>
      <c r="Q34" s="457"/>
    </row>
    <row r="35" spans="1:17" hidden="1">
      <c r="A35" s="217">
        <v>30</v>
      </c>
      <c r="B35" s="129" t="s">
        <v>410</v>
      </c>
      <c r="C35" s="87" t="str">
        <f ca="1">IF(EAC[[#This Row],[PA ID]]="","",INDEX(BudgetTrack[Primary Category],MATCH(EAC[[#This Row],[PA ID]],BudgetTrack[PA ID],0),0))</f>
        <v>Land</v>
      </c>
      <c r="D35" s="87" t="str">
        <f ca="1">IF(EAC[[#This Row],[PA ID]]="","",INDEX(BudgetTrack[Secondary Category],MATCH(EAC[[#This Row],[PA ID]],BudgetTrack[PA ID],0),0))</f>
        <v>Land Purchase</v>
      </c>
      <c r="E35" s="118" t="str">
        <f ca="1">IF(EAC[[#This Row],[PA ID]]="","",INDEX(BudgetTrack[Phase / Subproject],MATCH(EAC[[#This Row],[PA ID]],BudgetTrack[PA ID],0),0))</f>
        <v>--</v>
      </c>
      <c r="F35" s="118" t="str">
        <f ca="1">IF(EAC[[#This Row],[PA ID]]="","",INDEX(BudgetTrack[Phase / Subproject 2],MATCH(EAC[[#This Row],[PA ID]],BudgetTrack[PA ID],0),0))</f>
        <v>--</v>
      </c>
      <c r="G35" s="118" t="str">
        <f ca="1">IF(EAC[[#This Row],[PA ID]]="","",INDEX(BudgetTrack[Funding Source],MATCH(EAC[[#This Row],[PA ID]],BudgetTrack[PA ID],0),0))</f>
        <v>P-002360</v>
      </c>
      <c r="H35" s="128" t="s">
        <v>564</v>
      </c>
      <c r="I35" s="118" t="str">
        <f ca="1">IF(EAC[[#This Row],[Vendor / Org. with Contract ID]]="","",INDEX(VendorList[Status],MATCH(EAC[[#This Row],[Vendor / Org. with Contract ID]],VendorList[Vendor / Org. with Contract ID],0),0))</f>
        <v>Closed</v>
      </c>
      <c r="J35" s="248" t="s">
        <v>1668</v>
      </c>
      <c r="K35" s="474">
        <f ca="1">IF(EAC[[#This Row],[Vendor / Org. with Contract ID]]="",0,SUMIFS(VendorList[Current Commitment],VendorList[Vendor / Org. with Contract ID],EAC[[#This Row],[Vendor / Org. with Contract ID]],VendorList[PA ID],EAC[[#This Row],[PA ID]]))</f>
        <v>3683259</v>
      </c>
      <c r="L35" s="474">
        <f ca="1">IF(EAC[[#This Row],[Vendor / Org. with Contract ID]]="",0,SUMIFS(CostTrack[Value],CostTrack[Vendor - Contract],EAC[[#This Row],[Vendor / Org. with Contract ID]],CostTrack[PA ID],EAC[[#This Row],[PA ID]],CostTrack[Holdback (Y/N/R)],"&lt;&gt;Release",CostTrack[Status],"Approved"))</f>
        <v>3683259</v>
      </c>
      <c r="M35" s="475">
        <f ca="1">IF(EAC[[#This Row],[Current Commitment]]="",0,EAC[[#This Row],[Current Commitment]]-EAC[[#This Row],[Expenditures to Date]])</f>
        <v>0</v>
      </c>
      <c r="N35" s="343"/>
      <c r="O35" s="42">
        <f ca="1">EAC[[#This Row],[Open Commit.]]+EAC[[#This Row],[Future Commit.]]+EAC[[#This Row],[Expenditures to Date]]</f>
        <v>3683259</v>
      </c>
      <c r="P35" s="188">
        <f ca="1">IF(EAC[[#This Row],[Current Commitment]]="","",EAC[[#This Row],[Current Commitment]]-EAC[[#This Row],[Estimate At Completion]])</f>
        <v>0</v>
      </c>
      <c r="Q35" s="457"/>
    </row>
    <row r="36" spans="1:17" s="54" customFormat="1" hidden="1">
      <c r="A36" s="217">
        <v>31</v>
      </c>
      <c r="B36" s="129" t="s">
        <v>410</v>
      </c>
      <c r="C36" s="87" t="str">
        <f ca="1">IF(EAC[[#This Row],[PA ID]]="","",INDEX(BudgetTrack[Primary Category],MATCH(EAC[[#This Row],[PA ID]],BudgetTrack[PA ID],0),0))</f>
        <v>Land</v>
      </c>
      <c r="D36" s="87" t="str">
        <f ca="1">IF(EAC[[#This Row],[PA ID]]="","",INDEX(BudgetTrack[Secondary Category],MATCH(EAC[[#This Row],[PA ID]],BudgetTrack[PA ID],0),0))</f>
        <v>Land Purchase</v>
      </c>
      <c r="E36" s="118" t="str">
        <f ca="1">IF(EAC[[#This Row],[PA ID]]="","",INDEX(BudgetTrack[Phase / Subproject],MATCH(EAC[[#This Row],[PA ID]],BudgetTrack[PA ID],0),0))</f>
        <v>--</v>
      </c>
      <c r="F36" s="118" t="str">
        <f ca="1">IF(EAC[[#This Row],[PA ID]]="","",INDEX(BudgetTrack[Phase / Subproject 2],MATCH(EAC[[#This Row],[PA ID]],BudgetTrack[PA ID],0),0))</f>
        <v>--</v>
      </c>
      <c r="G36" s="118" t="str">
        <f ca="1">IF(EAC[[#This Row],[PA ID]]="","",INDEX(BudgetTrack[Funding Source],MATCH(EAC[[#This Row],[PA ID]],BudgetTrack[PA ID],0),0))</f>
        <v>P-002360</v>
      </c>
      <c r="H36" s="128" t="s">
        <v>825</v>
      </c>
      <c r="I36" s="118" t="str">
        <f ca="1">IF(EAC[[#This Row],[Vendor / Org. with Contract ID]]="","",INDEX(VendorList[Status],MATCH(EAC[[#This Row],[Vendor / Org. with Contract ID]],VendorList[Vendor / Org. with Contract ID],0),0))</f>
        <v>Closed</v>
      </c>
      <c r="J36" s="248" t="s">
        <v>1669</v>
      </c>
      <c r="K36" s="474">
        <f ca="1">IF(EAC[[#This Row],[Vendor / Org. with Contract ID]]="",0,SUMIFS(VendorList[Current Commitment],VendorList[Vendor / Org. with Contract ID],EAC[[#This Row],[Vendor / Org. with Contract ID]],VendorList[PA ID],EAC[[#This Row],[PA ID]]))</f>
        <v>1005352.97</v>
      </c>
      <c r="L36" s="474">
        <f ca="1">IF(EAC[[#This Row],[Vendor / Org. with Contract ID]]="",0,SUMIFS(CostTrack[Value],CostTrack[Vendor - Contract],EAC[[#This Row],[Vendor / Org. with Contract ID]],CostTrack[PA ID],EAC[[#This Row],[PA ID]],CostTrack[Holdback (Y/N/R)],"&lt;&gt;Release",CostTrack[Status],"Approved"))</f>
        <v>1005352.97</v>
      </c>
      <c r="M36" s="475">
        <f ca="1">IF(EAC[[#This Row],[Current Commitment]]="",0,EAC[[#This Row],[Current Commitment]]-EAC[[#This Row],[Expenditures to Date]])</f>
        <v>0</v>
      </c>
      <c r="N36" s="343"/>
      <c r="O36" s="42">
        <f ca="1">EAC[[#This Row],[Open Commit.]]+EAC[[#This Row],[Future Commit.]]+EAC[[#This Row],[Expenditures to Date]]</f>
        <v>1005352.97</v>
      </c>
      <c r="P36" s="188">
        <f ca="1">IF(EAC[[#This Row],[Current Commitment]]="","",EAC[[#This Row],[Current Commitment]]-EAC[[#This Row],[Estimate At Completion]])</f>
        <v>0</v>
      </c>
      <c r="Q36" s="457"/>
    </row>
    <row r="37" spans="1:17" ht="27.95" hidden="1">
      <c r="A37" s="217">
        <v>32</v>
      </c>
      <c r="B37" s="129" t="s">
        <v>248</v>
      </c>
      <c r="C37" s="87" t="str">
        <f ca="1">IF(EAC[[#This Row],[PA ID]]="","",INDEX(BudgetTrack[Primary Category],MATCH(EAC[[#This Row],[PA ID]],BudgetTrack[PA ID],0),0))</f>
        <v>Construction</v>
      </c>
      <c r="D37" s="87" t="str">
        <f ca="1">IF(EAC[[#This Row],[PA ID]]="","",INDEX(BudgetTrack[Secondary Category],MATCH(EAC[[#This Row],[PA ID]],BudgetTrack[PA ID],0),0))</f>
        <v>Other Contractor</v>
      </c>
      <c r="E37" s="118" t="str">
        <f ca="1">IF(EAC[[#This Row],[PA ID]]="","",INDEX(BudgetTrack[Phase / Subproject],MATCH(EAC[[#This Row],[PA ID]],BudgetTrack[PA ID],0),0))</f>
        <v>--</v>
      </c>
      <c r="F37" s="118" t="str">
        <f ca="1">IF(EAC[[#This Row],[PA ID]]="","",INDEX(BudgetTrack[Phase / Subproject 2],MATCH(EAC[[#This Row],[PA ID]],BudgetTrack[PA ID],0),0))</f>
        <v>--</v>
      </c>
      <c r="G37" s="118" t="str">
        <f ca="1">IF(EAC[[#This Row],[PA ID]]="","",INDEX(BudgetTrack[Funding Source],MATCH(EAC[[#This Row],[PA ID]],BudgetTrack[PA ID],0),0))</f>
        <v>P-002360</v>
      </c>
      <c r="H37" s="128" t="s">
        <v>397</v>
      </c>
      <c r="I37" s="118" t="str">
        <f ca="1">IF(EAC[[#This Row],[Vendor / Org. with Contract ID]]="","",INDEX(VendorList[Status],MATCH(EAC[[#This Row],[Vendor / Org. with Contract ID]],VendorList[Vendor / Org. with Contract ID],0),0))</f>
        <v>--</v>
      </c>
      <c r="J37" s="248" t="s">
        <v>1670</v>
      </c>
      <c r="K37" s="474">
        <f ca="1">IF(EAC[[#This Row],[Vendor / Org. with Contract ID]]="",0,SUMIFS(VendorList[Current Commitment],VendorList[Vendor / Org. with Contract ID],EAC[[#This Row],[Vendor / Org. with Contract ID]],VendorList[PA ID],EAC[[#This Row],[PA ID]]))</f>
        <v>0</v>
      </c>
      <c r="L37" s="474">
        <f ca="1">IF(EAC[[#This Row],[Vendor / Org. with Contract ID]]="",0,SUMIFS(CostTrack[Value],CostTrack[Vendor - Contract],EAC[[#This Row],[Vendor / Org. with Contract ID]],CostTrack[PA ID],EAC[[#This Row],[PA ID]],CostTrack[Holdback (Y/N/R)],"&lt;&gt;Release",CostTrack[Status],"Approved"))</f>
        <v>0</v>
      </c>
      <c r="M37" s="475">
        <f ca="1">IF(EAC[[#This Row],[Current Commitment]]="",0,EAC[[#This Row],[Current Commitment]]-EAC[[#This Row],[Expenditures to Date]])</f>
        <v>0</v>
      </c>
      <c r="N37" s="343"/>
      <c r="O37" s="42">
        <f ca="1">EAC[[#This Row],[Open Commit.]]+EAC[[#This Row],[Future Commit.]]+EAC[[#This Row],[Expenditures to Date]]</f>
        <v>0</v>
      </c>
      <c r="P37" s="188">
        <f ca="1">IF(EAC[[#This Row],[Current Commitment]]="","",EAC[[#This Row],[Current Commitment]]-EAC[[#This Row],[Estimate At Completion]])</f>
        <v>0</v>
      </c>
      <c r="Q37" s="457" t="s">
        <v>1671</v>
      </c>
    </row>
    <row r="38" spans="1:17" hidden="1">
      <c r="A38" s="217">
        <v>33</v>
      </c>
      <c r="B38" s="129" t="s">
        <v>413</v>
      </c>
      <c r="C38" s="87" t="str">
        <f ca="1">IF(EAC[[#This Row],[PA ID]]="","",INDEX(BudgetTrack[Primary Category],MATCH(EAC[[#This Row],[PA ID]],BudgetTrack[PA ID],0),0))</f>
        <v>Administration</v>
      </c>
      <c r="D38" s="87" t="str">
        <f ca="1">IF(EAC[[#This Row],[PA ID]]="","",INDEX(BudgetTrack[Secondary Category],MATCH(EAC[[#This Row],[PA ID]],BudgetTrack[PA ID],0),0))</f>
        <v>Other Administration</v>
      </c>
      <c r="E38" s="118" t="str">
        <f ca="1">IF(EAC[[#This Row],[PA ID]]="","",INDEX(BudgetTrack[Phase / Subproject],MATCH(EAC[[#This Row],[PA ID]],BudgetTrack[PA ID],0),0))</f>
        <v>--</v>
      </c>
      <c r="F38" s="118" t="str">
        <f ca="1">IF(EAC[[#This Row],[PA ID]]="","",INDEX(BudgetTrack[Phase / Subproject 2],MATCH(EAC[[#This Row],[PA ID]],BudgetTrack[PA ID],0),0))</f>
        <v>--</v>
      </c>
      <c r="G38" s="118" t="str">
        <f ca="1">IF(EAC[[#This Row],[PA ID]]="","",INDEX(BudgetTrack[Funding Source],MATCH(EAC[[#This Row],[PA ID]],BudgetTrack[PA ID],0),0))</f>
        <v>P-002360</v>
      </c>
      <c r="H38" s="128" t="s">
        <v>823</v>
      </c>
      <c r="I38" s="118" t="str">
        <f ca="1">IF(EAC[[#This Row],[Vendor / Org. with Contract ID]]="","",INDEX(VendorList[Status],MATCH(EAC[[#This Row],[Vendor / Org. with Contract ID]],VendorList[Vendor / Org. with Contract ID],0),0))</f>
        <v>Closed</v>
      </c>
      <c r="J38" s="248" t="s">
        <v>1672</v>
      </c>
      <c r="K38" s="474">
        <f ca="1">IF(EAC[[#This Row],[Vendor / Org. with Contract ID]]="",0,SUMIFS(VendorList[Current Commitment],VendorList[Vendor / Org. with Contract ID],EAC[[#This Row],[Vendor / Org. with Contract ID]],VendorList[PA ID],EAC[[#This Row],[PA ID]]))</f>
        <v>5985</v>
      </c>
      <c r="L38" s="474">
        <f ca="1">IF(EAC[[#This Row],[Vendor / Org. with Contract ID]]="",0,SUMIFS(CostTrack[Value],CostTrack[Vendor - Contract],EAC[[#This Row],[Vendor / Org. with Contract ID]],CostTrack[PA ID],EAC[[#This Row],[PA ID]],CostTrack[Holdback (Y/N/R)],"&lt;&gt;Release",CostTrack[Status],"Approved"))</f>
        <v>5985</v>
      </c>
      <c r="M38" s="475">
        <f ca="1">IF(EAC[[#This Row],[Current Commitment]]="",0,EAC[[#This Row],[Current Commitment]]-EAC[[#This Row],[Expenditures to Date]])</f>
        <v>0</v>
      </c>
      <c r="N38" s="343"/>
      <c r="O38" s="42">
        <f ca="1">EAC[[#This Row],[Open Commit.]]+EAC[[#This Row],[Future Commit.]]+EAC[[#This Row],[Expenditures to Date]]</f>
        <v>5985</v>
      </c>
      <c r="P38" s="188">
        <f ca="1">IF(EAC[[#This Row],[Current Commitment]]="","",EAC[[#This Row],[Current Commitment]]-EAC[[#This Row],[Estimate At Completion]])</f>
        <v>0</v>
      </c>
      <c r="Q38" s="457"/>
    </row>
    <row r="39" spans="1:17" hidden="1">
      <c r="A39" s="217">
        <v>34</v>
      </c>
      <c r="B39" s="129" t="s">
        <v>413</v>
      </c>
      <c r="C39" s="87" t="str">
        <f ca="1">IF(EAC[[#This Row],[PA ID]]="","",INDEX(BudgetTrack[Primary Category],MATCH(EAC[[#This Row],[PA ID]],BudgetTrack[PA ID],0),0))</f>
        <v>Administration</v>
      </c>
      <c r="D39" s="87" t="str">
        <f ca="1">IF(EAC[[#This Row],[PA ID]]="","",INDEX(BudgetTrack[Secondary Category],MATCH(EAC[[#This Row],[PA ID]],BudgetTrack[PA ID],0),0))</f>
        <v>Other Administration</v>
      </c>
      <c r="E39" s="118" t="str">
        <f ca="1">IF(EAC[[#This Row],[PA ID]]="","",INDEX(BudgetTrack[Phase / Subproject],MATCH(EAC[[#This Row],[PA ID]],BudgetTrack[PA ID],0),0))</f>
        <v>--</v>
      </c>
      <c r="F39" s="118" t="str">
        <f ca="1">IF(EAC[[#This Row],[PA ID]]="","",INDEX(BudgetTrack[Phase / Subproject 2],MATCH(EAC[[#This Row],[PA ID]],BudgetTrack[PA ID],0),0))</f>
        <v>--</v>
      </c>
      <c r="G39" s="118" t="str">
        <f ca="1">IF(EAC[[#This Row],[PA ID]]="","",INDEX(BudgetTrack[Funding Source],MATCH(EAC[[#This Row],[PA ID]],BudgetTrack[PA ID],0),0))</f>
        <v>P-002360</v>
      </c>
      <c r="H39" s="128" t="s">
        <v>821</v>
      </c>
      <c r="I39" s="118" t="str">
        <f ca="1">IF(EAC[[#This Row],[Vendor / Org. with Contract ID]]="","",INDEX(VendorList[Status],MATCH(EAC[[#This Row],[Vendor / Org. with Contract ID]],VendorList[Vendor / Org. with Contract ID],0),0))</f>
        <v>Closed</v>
      </c>
      <c r="J39" s="248" t="s">
        <v>1673</v>
      </c>
      <c r="K39" s="474">
        <f ca="1">IF(EAC[[#This Row],[Vendor / Org. with Contract ID]]="",0,SUMIFS(VendorList[Current Commitment],VendorList[Vendor / Org. with Contract ID],EAC[[#This Row],[Vendor / Org. with Contract ID]],VendorList[PA ID],EAC[[#This Row],[PA ID]]))</f>
        <v>166.55</v>
      </c>
      <c r="L39" s="474">
        <f ca="1">IF(EAC[[#This Row],[Vendor / Org. with Contract ID]]="",0,SUMIFS(CostTrack[Value],CostTrack[Vendor - Contract],EAC[[#This Row],[Vendor / Org. with Contract ID]],CostTrack[PA ID],EAC[[#This Row],[PA ID]],CostTrack[Holdback (Y/N/R)],"&lt;&gt;Release",CostTrack[Status],"Approved"))</f>
        <v>166.55</v>
      </c>
      <c r="M39" s="475">
        <f ca="1">IF(EAC[[#This Row],[Current Commitment]]="",0,EAC[[#This Row],[Current Commitment]]-EAC[[#This Row],[Expenditures to Date]])</f>
        <v>0</v>
      </c>
      <c r="N39" s="343"/>
      <c r="O39" s="42">
        <f ca="1">EAC[[#This Row],[Open Commit.]]+EAC[[#This Row],[Future Commit.]]+EAC[[#This Row],[Expenditures to Date]]</f>
        <v>166.55</v>
      </c>
      <c r="P39" s="188">
        <f ca="1">IF(EAC[[#This Row],[Current Commitment]]="","",EAC[[#This Row],[Current Commitment]]-EAC[[#This Row],[Estimate At Completion]])</f>
        <v>0</v>
      </c>
      <c r="Q39" s="457"/>
    </row>
    <row r="40" spans="1:17" ht="27.95" hidden="1">
      <c r="A40" s="217">
        <v>35</v>
      </c>
      <c r="B40" s="129" t="s">
        <v>248</v>
      </c>
      <c r="C40" s="87" t="str">
        <f ca="1">IF(EAC[[#This Row],[PA ID]]="","",INDEX(BudgetTrack[Primary Category],MATCH(EAC[[#This Row],[PA ID]],BudgetTrack[PA ID],0),0))</f>
        <v>Construction</v>
      </c>
      <c r="D40" s="87" t="str">
        <f ca="1">IF(EAC[[#This Row],[PA ID]]="","",INDEX(BudgetTrack[Secondary Category],MATCH(EAC[[#This Row],[PA ID]],BudgetTrack[PA ID],0),0))</f>
        <v>Other Contractor</v>
      </c>
      <c r="E40" s="118" t="str">
        <f ca="1">IF(EAC[[#This Row],[PA ID]]="","",INDEX(BudgetTrack[Phase / Subproject],MATCH(EAC[[#This Row],[PA ID]],BudgetTrack[PA ID],0),0))</f>
        <v>--</v>
      </c>
      <c r="F40" s="118" t="str">
        <f ca="1">IF(EAC[[#This Row],[PA ID]]="","",INDEX(BudgetTrack[Phase / Subproject 2],MATCH(EAC[[#This Row],[PA ID]],BudgetTrack[PA ID],0),0))</f>
        <v>--</v>
      </c>
      <c r="G40" s="118" t="str">
        <f ca="1">IF(EAC[[#This Row],[PA ID]]="","",INDEX(BudgetTrack[Funding Source],MATCH(EAC[[#This Row],[PA ID]],BudgetTrack[PA ID],0),0))</f>
        <v>P-002360</v>
      </c>
      <c r="H40" s="128" t="s">
        <v>397</v>
      </c>
      <c r="I40" s="118" t="str">
        <f ca="1">IF(EAC[[#This Row],[Vendor / Org. with Contract ID]]="","",INDEX(VendorList[Status],MATCH(EAC[[#This Row],[Vendor / Org. with Contract ID]],VendorList[Vendor / Org. with Contract ID],0),0))</f>
        <v>--</v>
      </c>
      <c r="J40" s="248" t="s">
        <v>1674</v>
      </c>
      <c r="K40" s="474">
        <f ca="1">IF(EAC[[#This Row],[Vendor / Org. with Contract ID]]="",0,SUMIFS(VendorList[Current Commitment],VendorList[Vendor / Org. with Contract ID],EAC[[#This Row],[Vendor / Org. with Contract ID]],VendorList[PA ID],EAC[[#This Row],[PA ID]]))</f>
        <v>0</v>
      </c>
      <c r="L40" s="474">
        <f ca="1">IF(EAC[[#This Row],[Vendor / Org. with Contract ID]]="",0,SUMIFS(CostTrack[Value],CostTrack[Vendor - Contract],EAC[[#This Row],[Vendor / Org. with Contract ID]],CostTrack[PA ID],EAC[[#This Row],[PA ID]],CostTrack[Holdback (Y/N/R)],"&lt;&gt;Release",CostTrack[Status],"Approved"))</f>
        <v>0</v>
      </c>
      <c r="M40" s="475">
        <f ca="1">IF(EAC[[#This Row],[Current Commitment]]="",0,EAC[[#This Row],[Current Commitment]]-EAC[[#This Row],[Expenditures to Date]])</f>
        <v>0</v>
      </c>
      <c r="N40" s="343"/>
      <c r="O40" s="42">
        <f ca="1">EAC[[#This Row],[Open Commit.]]+EAC[[#This Row],[Future Commit.]]+EAC[[#This Row],[Expenditures to Date]]</f>
        <v>0</v>
      </c>
      <c r="P40" s="188">
        <f ca="1">IF(EAC[[#This Row],[Current Commitment]]="","",EAC[[#This Row],[Current Commitment]]-EAC[[#This Row],[Estimate At Completion]])</f>
        <v>0</v>
      </c>
      <c r="Q40" s="457"/>
    </row>
    <row r="41" spans="1:17" ht="27.95" hidden="1">
      <c r="A41" s="217">
        <v>36</v>
      </c>
      <c r="B41" s="129" t="s">
        <v>428</v>
      </c>
      <c r="C41" s="87" t="str">
        <f ca="1">IF(EAC[[#This Row],[PA ID]]="","",INDEX(BudgetTrack[Primary Category],MATCH(EAC[[#This Row],[PA ID]],BudgetTrack[PA ID],0),0))</f>
        <v>Construction</v>
      </c>
      <c r="D41" s="87" t="str">
        <f ca="1">IF(EAC[[#This Row],[PA ID]]="","",INDEX(BudgetTrack[Secondary Category],MATCH(EAC[[#This Row],[PA ID]],BudgetTrack[PA ID],0),0))</f>
        <v>Utilities</v>
      </c>
      <c r="E41" s="118" t="str">
        <f ca="1">IF(EAC[[#This Row],[PA ID]]="","",INDEX(BudgetTrack[Phase / Subproject],MATCH(EAC[[#This Row],[PA ID]],BudgetTrack[PA ID],0),0))</f>
        <v>--</v>
      </c>
      <c r="F41" s="118" t="str">
        <f ca="1">IF(EAC[[#This Row],[PA ID]]="","",INDEX(BudgetTrack[Phase / Subproject 2],MATCH(EAC[[#This Row],[PA ID]],BudgetTrack[PA ID],0),0))</f>
        <v>--</v>
      </c>
      <c r="G41" s="118" t="str">
        <f ca="1">IF(EAC[[#This Row],[PA ID]]="","",INDEX(BudgetTrack[Funding Source],MATCH(EAC[[#This Row],[PA ID]],BudgetTrack[PA ID],0),0))</f>
        <v>P-002360</v>
      </c>
      <c r="H41" s="128" t="s">
        <v>397</v>
      </c>
      <c r="I41" s="118" t="str">
        <f ca="1">IF(EAC[[#This Row],[Vendor / Org. with Contract ID]]="","",INDEX(VendorList[Status],MATCH(EAC[[#This Row],[Vendor / Org. with Contract ID]],VendorList[Vendor / Org. with Contract ID],0),0))</f>
        <v>--</v>
      </c>
      <c r="J41" s="248" t="s">
        <v>1675</v>
      </c>
      <c r="K41" s="474">
        <f ca="1">IF(EAC[[#This Row],[Vendor / Org. with Contract ID]]="",0,SUMIFS(VendorList[Current Commitment],VendorList[Vendor / Org. with Contract ID],EAC[[#This Row],[Vendor / Org. with Contract ID]],VendorList[PA ID],EAC[[#This Row],[PA ID]]))</f>
        <v>0</v>
      </c>
      <c r="L41" s="474">
        <f ca="1">IF(EAC[[#This Row],[Vendor / Org. with Contract ID]]="",0,SUMIFS(CostTrack[Value],CostTrack[Vendor - Contract],EAC[[#This Row],[Vendor / Org. with Contract ID]],CostTrack[PA ID],EAC[[#This Row],[PA ID]],CostTrack[Holdback (Y/N/R)],"&lt;&gt;Release",CostTrack[Status],"Approved"))</f>
        <v>0</v>
      </c>
      <c r="M41" s="475">
        <f ca="1">IF(EAC[[#This Row],[Current Commitment]]="",0,EAC[[#This Row],[Current Commitment]]-EAC[[#This Row],[Expenditures to Date]])</f>
        <v>0</v>
      </c>
      <c r="N41" s="343"/>
      <c r="O41" s="42">
        <f ca="1">EAC[[#This Row],[Open Commit.]]+EAC[[#This Row],[Future Commit.]]+EAC[[#This Row],[Expenditures to Date]]</f>
        <v>0</v>
      </c>
      <c r="P41" s="188">
        <f ca="1">IF(EAC[[#This Row],[Current Commitment]]="","",EAC[[#This Row],[Current Commitment]]-EAC[[#This Row],[Estimate At Completion]])</f>
        <v>0</v>
      </c>
      <c r="Q41" s="457" t="s">
        <v>1676</v>
      </c>
    </row>
    <row r="42" spans="1:17" ht="27.95" hidden="1">
      <c r="A42" s="217">
        <v>37</v>
      </c>
      <c r="B42" s="79" t="s">
        <v>428</v>
      </c>
      <c r="C42" s="87" t="str">
        <f ca="1">IF(EAC[[#This Row],[PA ID]]="","",INDEX(BudgetTrack[Primary Category],MATCH(EAC[[#This Row],[PA ID]],BudgetTrack[PA ID],0),0))</f>
        <v>Construction</v>
      </c>
      <c r="D42" s="87" t="str">
        <f ca="1">IF(EAC[[#This Row],[PA ID]]="","",INDEX(BudgetTrack[Secondary Category],MATCH(EAC[[#This Row],[PA ID]],BudgetTrack[PA ID],0),0))</f>
        <v>Utilities</v>
      </c>
      <c r="E42" s="118" t="str">
        <f ca="1">IF(EAC[[#This Row],[PA ID]]="","",INDEX(BudgetTrack[Phase / Subproject],MATCH(EAC[[#This Row],[PA ID]],BudgetTrack[PA ID],0),0))</f>
        <v>--</v>
      </c>
      <c r="F42" s="118" t="str">
        <f ca="1">IF(EAC[[#This Row],[PA ID]]="","",INDEX(BudgetTrack[Phase / Subproject 2],MATCH(EAC[[#This Row],[PA ID]],BudgetTrack[PA ID],0),0))</f>
        <v>--</v>
      </c>
      <c r="G42" s="118" t="str">
        <f ca="1">IF(EAC[[#This Row],[PA ID]]="","",INDEX(BudgetTrack[Funding Source],MATCH(EAC[[#This Row],[PA ID]],BudgetTrack[PA ID],0),0))</f>
        <v>P-002360</v>
      </c>
      <c r="H42" s="128" t="s">
        <v>397</v>
      </c>
      <c r="I42" s="118" t="str">
        <f ca="1">IF(EAC[[#This Row],[Vendor / Org. with Contract ID]]="","",INDEX(VendorList[Status],MATCH(EAC[[#This Row],[Vendor / Org. with Contract ID]],VendorList[Vendor / Org. with Contract ID],0),0))</f>
        <v>--</v>
      </c>
      <c r="J42" s="248" t="s">
        <v>1677</v>
      </c>
      <c r="K42" s="474">
        <f ca="1">IF(EAC[[#This Row],[Vendor / Org. with Contract ID]]="",0,SUMIFS(VendorList[Current Commitment],VendorList[Vendor / Org. with Contract ID],EAC[[#This Row],[Vendor / Org. with Contract ID]],VendorList[PA ID],EAC[[#This Row],[PA ID]]))</f>
        <v>0</v>
      </c>
      <c r="L42" s="474">
        <f ca="1">IF(EAC[[#This Row],[Vendor / Org. with Contract ID]]="",0,SUMIFS(CostTrack[Value],CostTrack[Vendor - Contract],EAC[[#This Row],[Vendor / Org. with Contract ID]],CostTrack[PA ID],EAC[[#This Row],[PA ID]],CostTrack[Holdback (Y/N/R)],"&lt;&gt;Release",CostTrack[Status],"Approved"))</f>
        <v>0</v>
      </c>
      <c r="M42" s="475">
        <f ca="1">IF(EAC[[#This Row],[Current Commitment]]="",0,EAC[[#This Row],[Current Commitment]]-EAC[[#This Row],[Expenditures to Date]])</f>
        <v>0</v>
      </c>
      <c r="N42" s="343"/>
      <c r="O42" s="42">
        <f ca="1">EAC[[#This Row],[Open Commit.]]+EAC[[#This Row],[Future Commit.]]+EAC[[#This Row],[Expenditures to Date]]</f>
        <v>0</v>
      </c>
      <c r="P42" s="188">
        <f ca="1">IF(EAC[[#This Row],[Current Commitment]]="","",EAC[[#This Row],[Current Commitment]]-EAC[[#This Row],[Estimate At Completion]])</f>
        <v>0</v>
      </c>
      <c r="Q42" s="457"/>
    </row>
    <row r="43" spans="1:17" hidden="1">
      <c r="A43" s="217">
        <v>38</v>
      </c>
      <c r="B43" s="129" t="s">
        <v>413</v>
      </c>
      <c r="C43" s="87" t="str">
        <f ca="1">IF(EAC[[#This Row],[PA ID]]="","",INDEX(BudgetTrack[Primary Category],MATCH(EAC[[#This Row],[PA ID]],BudgetTrack[PA ID],0),0))</f>
        <v>Administration</v>
      </c>
      <c r="D43" s="87" t="str">
        <f ca="1">IF(EAC[[#This Row],[PA ID]]="","",INDEX(BudgetTrack[Secondary Category],MATCH(EAC[[#This Row],[PA ID]],BudgetTrack[PA ID],0),0))</f>
        <v>Other Administration</v>
      </c>
      <c r="E43" s="118" t="str">
        <f ca="1">IF(EAC[[#This Row],[PA ID]]="","",INDEX(BudgetTrack[Phase / Subproject],MATCH(EAC[[#This Row],[PA ID]],BudgetTrack[PA ID],0),0))</f>
        <v>--</v>
      </c>
      <c r="F43" s="118" t="str">
        <f ca="1">IF(EAC[[#This Row],[PA ID]]="","",INDEX(BudgetTrack[Phase / Subproject 2],MATCH(EAC[[#This Row],[PA ID]],BudgetTrack[PA ID],0),0))</f>
        <v>--</v>
      </c>
      <c r="G43" s="118" t="str">
        <f ca="1">IF(EAC[[#This Row],[PA ID]]="","",INDEX(BudgetTrack[Funding Source],MATCH(EAC[[#This Row],[PA ID]],BudgetTrack[PA ID],0),0))</f>
        <v>P-002360</v>
      </c>
      <c r="H43" s="128" t="s">
        <v>859</v>
      </c>
      <c r="I43" s="118" t="str">
        <f ca="1">IF(EAC[[#This Row],[Vendor / Org. with Contract ID]]="","",INDEX(VendorList[Status],MATCH(EAC[[#This Row],[Vendor / Org. with Contract ID]],VendorList[Vendor / Org. with Contract ID],0),0))</f>
        <v>Closed</v>
      </c>
      <c r="J43" s="248" t="s">
        <v>1678</v>
      </c>
      <c r="K43" s="474">
        <f ca="1">IF(EAC[[#This Row],[Vendor / Org. with Contract ID]]="",0,SUMIFS(VendorList[Current Commitment],VendorList[Vendor / Org. with Contract ID],EAC[[#This Row],[Vendor / Org. with Contract ID]],VendorList[PA ID],EAC[[#This Row],[PA ID]]))</f>
        <v>3324.04</v>
      </c>
      <c r="L43" s="474">
        <f ca="1">IF(EAC[[#This Row],[Vendor / Org. with Contract ID]]="",0,SUMIFS(CostTrack[Value],CostTrack[Vendor - Contract],EAC[[#This Row],[Vendor / Org. with Contract ID]],CostTrack[PA ID],EAC[[#This Row],[PA ID]],CostTrack[Holdback (Y/N/R)],"&lt;&gt;Release",CostTrack[Status],"Approved"))</f>
        <v>3324.04</v>
      </c>
      <c r="M43" s="475">
        <f ca="1">IF(EAC[[#This Row],[Current Commitment]]="",0,EAC[[#This Row],[Current Commitment]]-EAC[[#This Row],[Expenditures to Date]])</f>
        <v>0</v>
      </c>
      <c r="N43" s="343"/>
      <c r="O43" s="42">
        <f ca="1">EAC[[#This Row],[Open Commit.]]+EAC[[#This Row],[Future Commit.]]+EAC[[#This Row],[Expenditures to Date]]</f>
        <v>3324.04</v>
      </c>
      <c r="P43" s="188">
        <f ca="1">IF(EAC[[#This Row],[Current Commitment]]="","",EAC[[#This Row],[Current Commitment]]-EAC[[#This Row],[Estimate At Completion]])</f>
        <v>0</v>
      </c>
      <c r="Q43" s="457"/>
    </row>
    <row r="44" spans="1:17" ht="27.95" hidden="1">
      <c r="A44" s="217">
        <v>39</v>
      </c>
      <c r="B44" s="129" t="s">
        <v>248</v>
      </c>
      <c r="C44" s="87" t="str">
        <f ca="1">IF(EAC[[#This Row],[PA ID]]="","",INDEX(BudgetTrack[Primary Category],MATCH(EAC[[#This Row],[PA ID]],BudgetTrack[PA ID],0),0))</f>
        <v>Construction</v>
      </c>
      <c r="D44" s="87" t="str">
        <f ca="1">IF(EAC[[#This Row],[PA ID]]="","",INDEX(BudgetTrack[Secondary Category],MATCH(EAC[[#This Row],[PA ID]],BudgetTrack[PA ID],0),0))</f>
        <v>Other Contractor</v>
      </c>
      <c r="E44" s="118" t="str">
        <f ca="1">IF(EAC[[#This Row],[PA ID]]="","",INDEX(BudgetTrack[Phase / Subproject],MATCH(EAC[[#This Row],[PA ID]],BudgetTrack[PA ID],0),0))</f>
        <v>--</v>
      </c>
      <c r="F44" s="118" t="str">
        <f ca="1">IF(EAC[[#This Row],[PA ID]]="","",INDEX(BudgetTrack[Phase / Subproject 2],MATCH(EAC[[#This Row],[PA ID]],BudgetTrack[PA ID],0),0))</f>
        <v>--</v>
      </c>
      <c r="G44" s="118" t="str">
        <f ca="1">IF(EAC[[#This Row],[PA ID]]="","",INDEX(BudgetTrack[Funding Source],MATCH(EAC[[#This Row],[PA ID]],BudgetTrack[PA ID],0),0))</f>
        <v>P-002360</v>
      </c>
      <c r="H44" s="128" t="s">
        <v>397</v>
      </c>
      <c r="I44" s="118" t="str">
        <f ca="1">IF(EAC[[#This Row],[Vendor / Org. with Contract ID]]="","",INDEX(VendorList[Status],MATCH(EAC[[#This Row],[Vendor / Org. with Contract ID]],VendorList[Vendor / Org. with Contract ID],0),0))</f>
        <v>--</v>
      </c>
      <c r="J44" s="248" t="s">
        <v>1679</v>
      </c>
      <c r="K44" s="474">
        <f ca="1">IF(EAC[[#This Row],[Vendor / Org. with Contract ID]]="",0,SUMIFS(VendorList[Current Commitment],VendorList[Vendor / Org. with Contract ID],EAC[[#This Row],[Vendor / Org. with Contract ID]],VendorList[PA ID],EAC[[#This Row],[PA ID]]))</f>
        <v>0</v>
      </c>
      <c r="L44" s="474">
        <f ca="1">IF(EAC[[#This Row],[Vendor / Org. with Contract ID]]="",0,SUMIFS(CostTrack[Value],CostTrack[Vendor - Contract],EAC[[#This Row],[Vendor / Org. with Contract ID]],CostTrack[PA ID],EAC[[#This Row],[PA ID]],CostTrack[Holdback (Y/N/R)],"&lt;&gt;Release",CostTrack[Status],"Approved"))</f>
        <v>0</v>
      </c>
      <c r="M44" s="475">
        <f ca="1">IF(EAC[[#This Row],[Current Commitment]]="",0,EAC[[#This Row],[Current Commitment]]-EAC[[#This Row],[Expenditures to Date]])</f>
        <v>0</v>
      </c>
      <c r="N44" s="343"/>
      <c r="O44" s="42">
        <f ca="1">EAC[[#This Row],[Open Commit.]]+EAC[[#This Row],[Future Commit.]]+EAC[[#This Row],[Expenditures to Date]]</f>
        <v>0</v>
      </c>
      <c r="P44" s="188">
        <f ca="1">IF(EAC[[#This Row],[Current Commitment]]="","",EAC[[#This Row],[Current Commitment]]-EAC[[#This Row],[Estimate At Completion]])</f>
        <v>0</v>
      </c>
      <c r="Q44" s="457"/>
    </row>
    <row r="45" spans="1:17" ht="27.95" hidden="1">
      <c r="A45" s="217">
        <v>40</v>
      </c>
      <c r="B45" s="129" t="s">
        <v>1657</v>
      </c>
      <c r="C45" s="87" t="str">
        <f ca="1">IF(EAC[[#This Row],[PA ID]]="","",INDEX(BudgetTrack[Primary Category],MATCH(EAC[[#This Row],[PA ID]],BudgetTrack[PA ID],0),0))</f>
        <v>Construction</v>
      </c>
      <c r="D45" s="87" t="str">
        <f ca="1">IF(EAC[[#This Row],[PA ID]]="","",INDEX(BudgetTrack[Secondary Category],MATCH(EAC[[#This Row],[PA ID]],BudgetTrack[PA ID],0),0))</f>
        <v>Contingency - Const. Phase</v>
      </c>
      <c r="E45" s="118" t="str">
        <f ca="1">IF(EAC[[#This Row],[PA ID]]="","",INDEX(BudgetTrack[Phase / Subproject],MATCH(EAC[[#This Row],[PA ID]],BudgetTrack[PA ID],0),0))</f>
        <v>--</v>
      </c>
      <c r="F45" s="118" t="str">
        <f ca="1">IF(EAC[[#This Row],[PA ID]]="","",INDEX(BudgetTrack[Phase / Subproject 2],MATCH(EAC[[#This Row],[PA ID]],BudgetTrack[PA ID],0),0))</f>
        <v>--</v>
      </c>
      <c r="G45" s="118" t="str">
        <f ca="1">IF(EAC[[#This Row],[PA ID]]="","",INDEX(BudgetTrack[Funding Source],MATCH(EAC[[#This Row],[PA ID]],BudgetTrack[PA ID],0),0))</f>
        <v>P-002360</v>
      </c>
      <c r="H45" s="128" t="s">
        <v>397</v>
      </c>
      <c r="I45" s="118" t="str">
        <f ca="1">IF(EAC[[#This Row],[Vendor / Org. with Contract ID]]="","",INDEX(VendorList[Status],MATCH(EAC[[#This Row],[Vendor / Org. with Contract ID]],VendorList[Vendor / Org. with Contract ID],0),0))</f>
        <v>--</v>
      </c>
      <c r="J45" s="248" t="s">
        <v>1679</v>
      </c>
      <c r="K45" s="474">
        <f ca="1">IF(EAC[[#This Row],[Vendor / Org. with Contract ID]]="",0,SUMIFS(VendorList[Current Commitment],VendorList[Vendor / Org. with Contract ID],EAC[[#This Row],[Vendor / Org. with Contract ID]],VendorList[PA ID],EAC[[#This Row],[PA ID]]))</f>
        <v>0</v>
      </c>
      <c r="L45" s="474">
        <f ca="1">IF(EAC[[#This Row],[Vendor / Org. with Contract ID]]="",0,SUMIFS(CostTrack[Value],CostTrack[Vendor - Contract],EAC[[#This Row],[Vendor / Org. with Contract ID]],CostTrack[PA ID],EAC[[#This Row],[PA ID]],CostTrack[Holdback (Y/N/R)],"&lt;&gt;Release",CostTrack[Status],"Approved"))</f>
        <v>0</v>
      </c>
      <c r="M45" s="475">
        <f ca="1">IF(EAC[[#This Row],[Current Commitment]]="",0,EAC[[#This Row],[Current Commitment]]-EAC[[#This Row],[Expenditures to Date]])</f>
        <v>0</v>
      </c>
      <c r="N45" s="343"/>
      <c r="O45" s="42">
        <f ca="1">EAC[[#This Row],[Open Commit.]]+EAC[[#This Row],[Future Commit.]]+EAC[[#This Row],[Expenditures to Date]]</f>
        <v>0</v>
      </c>
      <c r="P45" s="188">
        <f ca="1">IF(EAC[[#This Row],[Current Commitment]]="","",EAC[[#This Row],[Current Commitment]]-EAC[[#This Row],[Estimate At Completion]])</f>
        <v>0</v>
      </c>
      <c r="Q45" s="457"/>
    </row>
    <row r="46" spans="1:17" hidden="1">
      <c r="A46" s="217">
        <v>41</v>
      </c>
      <c r="B46" s="129" t="s">
        <v>1680</v>
      </c>
      <c r="C46" s="87" t="str">
        <f ca="1">IF(EAC[[#This Row],[PA ID]]="","",INDEX(BudgetTrack[Primary Category],MATCH(EAC[[#This Row],[PA ID]],BudgetTrack[PA ID],0),0))</f>
        <v>Management Reserve</v>
      </c>
      <c r="D46" s="87" t="str">
        <f ca="1">IF(EAC[[#This Row],[PA ID]]="","",INDEX(BudgetTrack[Secondary Category],MATCH(EAC[[#This Row],[PA ID]],BudgetTrack[PA ID],0),0))</f>
        <v>Management Reserve</v>
      </c>
      <c r="E46" s="118" t="str">
        <f ca="1">IF(EAC[[#This Row],[PA ID]]="","",INDEX(BudgetTrack[Phase / Subproject],MATCH(EAC[[#This Row],[PA ID]],BudgetTrack[PA ID],0),0))</f>
        <v>--</v>
      </c>
      <c r="F46" s="118" t="str">
        <f ca="1">IF(EAC[[#This Row],[PA ID]]="","",INDEX(BudgetTrack[Phase / Subproject 2],MATCH(EAC[[#This Row],[PA ID]],BudgetTrack[PA ID],0),0))</f>
        <v>--</v>
      </c>
      <c r="G46" s="118" t="str">
        <f ca="1">IF(EAC[[#This Row],[PA ID]]="","",INDEX(BudgetTrack[Funding Source],MATCH(EAC[[#This Row],[PA ID]],BudgetTrack[PA ID],0),0))</f>
        <v>P-002360</v>
      </c>
      <c r="H46" s="128" t="s">
        <v>397</v>
      </c>
      <c r="I46" s="118" t="str">
        <f ca="1">IF(EAC[[#This Row],[Vendor / Org. with Contract ID]]="","",INDEX(VendorList[Status],MATCH(EAC[[#This Row],[Vendor / Org. with Contract ID]],VendorList[Vendor / Org. with Contract ID],0),0))</f>
        <v>--</v>
      </c>
      <c r="J46" s="248" t="s">
        <v>48</v>
      </c>
      <c r="K46" s="474">
        <f ca="1">IF(EAC[[#This Row],[Vendor / Org. with Contract ID]]="",0,SUMIFS(VendorList[Current Commitment],VendorList[Vendor / Org. with Contract ID],EAC[[#This Row],[Vendor / Org. with Contract ID]],VendorList[PA ID],EAC[[#This Row],[PA ID]]))</f>
        <v>0</v>
      </c>
      <c r="L46" s="474">
        <f ca="1">IF(EAC[[#This Row],[Vendor / Org. with Contract ID]]="",0,SUMIFS(CostTrack[Value],CostTrack[Vendor - Contract],EAC[[#This Row],[Vendor / Org. with Contract ID]],CostTrack[PA ID],EAC[[#This Row],[PA ID]],CostTrack[Holdback (Y/N/R)],"&lt;&gt;Release",CostTrack[Status],"Approved"))</f>
        <v>0</v>
      </c>
      <c r="M46" s="475">
        <f ca="1">IF(EAC[[#This Row],[Current Commitment]]="",0,EAC[[#This Row],[Current Commitment]]-EAC[[#This Row],[Expenditures to Date]])</f>
        <v>0</v>
      </c>
      <c r="N46" s="343"/>
      <c r="O46" s="42">
        <f ca="1">EAC[[#This Row],[Open Commit.]]+EAC[[#This Row],[Future Commit.]]+EAC[[#This Row],[Expenditures to Date]]</f>
        <v>0</v>
      </c>
      <c r="P46" s="188">
        <f ca="1">IF(EAC[[#This Row],[Current Commitment]]="","",EAC[[#This Row],[Current Commitment]]-EAC[[#This Row],[Estimate At Completion]])</f>
        <v>0</v>
      </c>
      <c r="Q46" s="457" t="s">
        <v>1681</v>
      </c>
    </row>
    <row r="47" spans="1:17" hidden="1">
      <c r="A47" s="217">
        <v>42</v>
      </c>
      <c r="B47" s="129" t="s">
        <v>413</v>
      </c>
      <c r="C47" s="87" t="str">
        <f ca="1">IF(EAC[[#This Row],[PA ID]]="","",INDEX(BudgetTrack[Primary Category],MATCH(EAC[[#This Row],[PA ID]],BudgetTrack[PA ID],0),0))</f>
        <v>Administration</v>
      </c>
      <c r="D47" s="87" t="str">
        <f ca="1">IF(EAC[[#This Row],[PA ID]]="","",INDEX(BudgetTrack[Secondary Category],MATCH(EAC[[#This Row],[PA ID]],BudgetTrack[PA ID],0),0))</f>
        <v>Other Administration</v>
      </c>
      <c r="E47" s="118" t="str">
        <f ca="1">IF(EAC[[#This Row],[PA ID]]="","",INDEX(BudgetTrack[Phase / Subproject],MATCH(EAC[[#This Row],[PA ID]],BudgetTrack[PA ID],0),0))</f>
        <v>--</v>
      </c>
      <c r="F47" s="118" t="str">
        <f ca="1">IF(EAC[[#This Row],[PA ID]]="","",INDEX(BudgetTrack[Phase / Subproject 2],MATCH(EAC[[#This Row],[PA ID]],BudgetTrack[PA ID],0),0))</f>
        <v>--</v>
      </c>
      <c r="G47" s="118" t="str">
        <f ca="1">IF(EAC[[#This Row],[PA ID]]="","",INDEX(BudgetTrack[Funding Source],MATCH(EAC[[#This Row],[PA ID]],BudgetTrack[PA ID],0),0))</f>
        <v>P-002360</v>
      </c>
      <c r="H47" s="128" t="s">
        <v>861</v>
      </c>
      <c r="I47" s="118" t="str">
        <f ca="1">IF(EAC[[#This Row],[Vendor / Org. with Contract ID]]="","",INDEX(VendorList[Status],MATCH(EAC[[#This Row],[Vendor / Org. with Contract ID]],VendorList[Vendor / Org. with Contract ID],0),0))</f>
        <v>Closed</v>
      </c>
      <c r="J47" s="248" t="s">
        <v>1678</v>
      </c>
      <c r="K47" s="474">
        <f ca="1">IF(EAC[[#This Row],[Vendor / Org. with Contract ID]]="",0,SUMIFS(VendorList[Current Commitment],VendorList[Vendor / Org. with Contract ID],EAC[[#This Row],[Vendor / Org. with Contract ID]],VendorList[PA ID],EAC[[#This Row],[PA ID]]))</f>
        <v>5000</v>
      </c>
      <c r="L47" s="474">
        <f ca="1">IF(EAC[[#This Row],[Vendor / Org. with Contract ID]]="",0,SUMIFS(CostTrack[Value],CostTrack[Vendor - Contract],EAC[[#This Row],[Vendor / Org. with Contract ID]],CostTrack[PA ID],EAC[[#This Row],[PA ID]],CostTrack[Holdback (Y/N/R)],"&lt;&gt;Release",CostTrack[Status],"Approved"))</f>
        <v>5000</v>
      </c>
      <c r="M47" s="475">
        <f ca="1">IF(EAC[[#This Row],[Current Commitment]]="",0,EAC[[#This Row],[Current Commitment]]-EAC[[#This Row],[Expenditures to Date]])</f>
        <v>0</v>
      </c>
      <c r="N47" s="343"/>
      <c r="O47" s="42">
        <f ca="1">EAC[[#This Row],[Open Commit.]]+EAC[[#This Row],[Future Commit.]]+EAC[[#This Row],[Expenditures to Date]]</f>
        <v>5000</v>
      </c>
      <c r="P47" s="188">
        <f ca="1">IF(EAC[[#This Row],[Current Commitment]]="","",EAC[[#This Row],[Current Commitment]]-EAC[[#This Row],[Estimate At Completion]])</f>
        <v>0</v>
      </c>
      <c r="Q47" s="457"/>
    </row>
    <row r="48" spans="1:17" ht="27.95" hidden="1">
      <c r="A48" s="217">
        <v>43</v>
      </c>
      <c r="B48" s="129" t="s">
        <v>248</v>
      </c>
      <c r="C48" s="87" t="str">
        <f ca="1">IF(EAC[[#This Row],[PA ID]]="","",INDEX(BudgetTrack[Primary Category],MATCH(EAC[[#This Row],[PA ID]],BudgetTrack[PA ID],0),0))</f>
        <v>Construction</v>
      </c>
      <c r="D48" s="87" t="str">
        <f ca="1">IF(EAC[[#This Row],[PA ID]]="","",INDEX(BudgetTrack[Secondary Category],MATCH(EAC[[#This Row],[PA ID]],BudgetTrack[PA ID],0),0))</f>
        <v>Other Contractor</v>
      </c>
      <c r="E48" s="118" t="str">
        <f ca="1">IF(EAC[[#This Row],[PA ID]]="","",INDEX(BudgetTrack[Phase / Subproject],MATCH(EAC[[#This Row],[PA ID]],BudgetTrack[PA ID],0),0))</f>
        <v>--</v>
      </c>
      <c r="F48" s="118" t="str">
        <f ca="1">IF(EAC[[#This Row],[PA ID]]="","",INDEX(BudgetTrack[Phase / Subproject 2],MATCH(EAC[[#This Row],[PA ID]],BudgetTrack[PA ID],0),0))</f>
        <v>--</v>
      </c>
      <c r="G48" s="118" t="str">
        <f ca="1">IF(EAC[[#This Row],[PA ID]]="","",INDEX(BudgetTrack[Funding Source],MATCH(EAC[[#This Row],[PA ID]],BudgetTrack[PA ID],0),0))</f>
        <v>P-002360</v>
      </c>
      <c r="H48" s="128" t="s">
        <v>597</v>
      </c>
      <c r="I48" s="118" t="str">
        <f ca="1">IF(EAC[[#This Row],[Vendor / Org. with Contract ID]]="","",INDEX(VendorList[Status],MATCH(EAC[[#This Row],[Vendor / Org. with Contract ID]],VendorList[Vendor / Org. with Contract ID],0),0))</f>
        <v>Closed</v>
      </c>
      <c r="J48" s="248" t="s">
        <v>1682</v>
      </c>
      <c r="K48" s="474">
        <f ca="1">IF(EAC[[#This Row],[Vendor / Org. with Contract ID]]="",0,SUMIFS(VendorList[Current Commitment],VendorList[Vendor / Org. with Contract ID],EAC[[#This Row],[Vendor / Org. with Contract ID]],VendorList[PA ID],EAC[[#This Row],[PA ID]]))</f>
        <v>397065.97</v>
      </c>
      <c r="L48" s="474">
        <f ca="1">IF(EAC[[#This Row],[Vendor / Org. with Contract ID]]="",0,SUMIFS(CostTrack[Value],CostTrack[Vendor - Contract],EAC[[#This Row],[Vendor / Org. with Contract ID]],CostTrack[PA ID],EAC[[#This Row],[PA ID]],CostTrack[Holdback (Y/N/R)],"&lt;&gt;Release",CostTrack[Status],"Approved"))</f>
        <v>397065.97000000003</v>
      </c>
      <c r="M48" s="475">
        <f ca="1">IF(EAC[[#This Row],[Current Commitment]]="",0,EAC[[#This Row],[Current Commitment]]-EAC[[#This Row],[Expenditures to Date]])</f>
        <v>-5.8207660913467407E-11</v>
      </c>
      <c r="N48" s="343"/>
      <c r="O48" s="42">
        <f ca="1">EAC[[#This Row],[Open Commit.]]+EAC[[#This Row],[Future Commit.]]+EAC[[#This Row],[Expenditures to Date]]</f>
        <v>397065.97</v>
      </c>
      <c r="P48" s="188">
        <f ca="1">IF(EAC[[#This Row],[Current Commitment]]="","",EAC[[#This Row],[Current Commitment]]-EAC[[#This Row],[Estimate At Completion]])</f>
        <v>0</v>
      </c>
      <c r="Q48" s="457"/>
    </row>
    <row r="49" spans="1:17" ht="27.95" hidden="1">
      <c r="A49" s="217">
        <v>44</v>
      </c>
      <c r="B49" s="129" t="s">
        <v>428</v>
      </c>
      <c r="C49" s="87" t="str">
        <f ca="1">IF(EAC[[#This Row],[PA ID]]="","",INDEX(BudgetTrack[Primary Category],MATCH(EAC[[#This Row],[PA ID]],BudgetTrack[PA ID],0),0))</f>
        <v>Construction</v>
      </c>
      <c r="D49" s="87" t="str">
        <f ca="1">IF(EAC[[#This Row],[PA ID]]="","",INDEX(BudgetTrack[Secondary Category],MATCH(EAC[[#This Row],[PA ID]],BudgetTrack[PA ID],0),0))</f>
        <v>Utilities</v>
      </c>
      <c r="E49" s="118" t="str">
        <f ca="1">IF(EAC[[#This Row],[PA ID]]="","",INDEX(BudgetTrack[Phase / Subproject],MATCH(EAC[[#This Row],[PA ID]],BudgetTrack[PA ID],0),0))</f>
        <v>--</v>
      </c>
      <c r="F49" s="118" t="str">
        <f ca="1">IF(EAC[[#This Row],[PA ID]]="","",INDEX(BudgetTrack[Phase / Subproject 2],MATCH(EAC[[#This Row],[PA ID]],BudgetTrack[PA ID],0),0))</f>
        <v>--</v>
      </c>
      <c r="G49" s="118" t="str">
        <f ca="1">IF(EAC[[#This Row],[PA ID]]="","",INDEX(BudgetTrack[Funding Source],MATCH(EAC[[#This Row],[PA ID]],BudgetTrack[PA ID],0),0))</f>
        <v>P-002360</v>
      </c>
      <c r="H49" s="128" t="s">
        <v>935</v>
      </c>
      <c r="I49" s="118" t="str">
        <f ca="1">IF(EAC[[#This Row],[Vendor / Org. with Contract ID]]="","",INDEX(VendorList[Status],MATCH(EAC[[#This Row],[Vendor / Org. with Contract ID]],VendorList[Vendor / Org. with Contract ID],0),0))</f>
        <v>Closed</v>
      </c>
      <c r="J49" s="248" t="s">
        <v>1683</v>
      </c>
      <c r="K49" s="474">
        <f ca="1">IF(EAC[[#This Row],[Vendor / Org. with Contract ID]]="",0,SUMIFS(VendorList[Current Commitment],VendorList[Vendor / Org. with Contract ID],EAC[[#This Row],[Vendor / Org. with Contract ID]],VendorList[PA ID],EAC[[#This Row],[PA ID]]))</f>
        <v>26504.9</v>
      </c>
      <c r="L49" s="474">
        <f ca="1">IF(EAC[[#This Row],[Vendor / Org. with Contract ID]]="",0,SUMIFS(CostTrack[Value],CostTrack[Vendor - Contract],EAC[[#This Row],[Vendor / Org. with Contract ID]],CostTrack[PA ID],EAC[[#This Row],[PA ID]],CostTrack[Holdback (Y/N/R)],"&lt;&gt;Release",CostTrack[Status],"Approved"))</f>
        <v>26504.9</v>
      </c>
      <c r="M49" s="475">
        <f ca="1">IF(EAC[[#This Row],[Current Commitment]]="",0,EAC[[#This Row],[Current Commitment]]-EAC[[#This Row],[Expenditures to Date]])</f>
        <v>0</v>
      </c>
      <c r="N49" s="343"/>
      <c r="O49" s="42">
        <f ca="1">EAC[[#This Row],[Open Commit.]]+EAC[[#This Row],[Future Commit.]]+EAC[[#This Row],[Expenditures to Date]]</f>
        <v>26504.9</v>
      </c>
      <c r="P49" s="188">
        <f ca="1">IF(EAC[[#This Row],[Current Commitment]]="","",EAC[[#This Row],[Current Commitment]]-EAC[[#This Row],[Estimate At Completion]])</f>
        <v>0</v>
      </c>
      <c r="Q49" s="457"/>
    </row>
    <row r="50" spans="1:17" hidden="1">
      <c r="A50" s="217">
        <v>45</v>
      </c>
      <c r="B50" s="79" t="s">
        <v>428</v>
      </c>
      <c r="C50" s="87" t="str">
        <f ca="1">IF(EAC[[#This Row],[PA ID]]="","",INDEX(BudgetTrack[Primary Category],MATCH(EAC[[#This Row],[PA ID]],BudgetTrack[PA ID],0),0))</f>
        <v>Construction</v>
      </c>
      <c r="D50" s="87" t="str">
        <f ca="1">IF(EAC[[#This Row],[PA ID]]="","",INDEX(BudgetTrack[Secondary Category],MATCH(EAC[[#This Row],[PA ID]],BudgetTrack[PA ID],0),0))</f>
        <v>Utilities</v>
      </c>
      <c r="E50" s="118" t="str">
        <f ca="1">IF(EAC[[#This Row],[PA ID]]="","",INDEX(BudgetTrack[Phase / Subproject],MATCH(EAC[[#This Row],[PA ID]],BudgetTrack[PA ID],0),0))</f>
        <v>--</v>
      </c>
      <c r="F50" s="118" t="str">
        <f ca="1">IF(EAC[[#This Row],[PA ID]]="","",INDEX(BudgetTrack[Phase / Subproject 2],MATCH(EAC[[#This Row],[PA ID]],BudgetTrack[PA ID],0),0))</f>
        <v>--</v>
      </c>
      <c r="G50" s="118" t="str">
        <f ca="1">IF(EAC[[#This Row],[PA ID]]="","",INDEX(BudgetTrack[Funding Source],MATCH(EAC[[#This Row],[PA ID]],BudgetTrack[PA ID],0),0))</f>
        <v>P-002360</v>
      </c>
      <c r="H50" s="128" t="s">
        <v>577</v>
      </c>
      <c r="I50" s="118" t="str">
        <f ca="1">IF(EAC[[#This Row],[Vendor / Org. with Contract ID]]="","",INDEX(VendorList[Status],MATCH(EAC[[#This Row],[Vendor / Org. with Contract ID]],VendorList[Vendor / Org. with Contract ID],0),0))</f>
        <v>Closed</v>
      </c>
      <c r="J50" s="248" t="s">
        <v>1684</v>
      </c>
      <c r="K50" s="474">
        <f ca="1">IF(EAC[[#This Row],[Vendor / Org. with Contract ID]]="",0,SUMIFS(VendorList[Current Commitment],VendorList[Vendor / Org. with Contract ID],EAC[[#This Row],[Vendor / Org. with Contract ID]],VendorList[PA ID],EAC[[#This Row],[PA ID]]))</f>
        <v>13440.95</v>
      </c>
      <c r="L50" s="474">
        <f ca="1">IF(EAC[[#This Row],[Vendor / Org. with Contract ID]]="",0,SUMIFS(CostTrack[Value],CostTrack[Vendor - Contract],EAC[[#This Row],[Vendor / Org. with Contract ID]],CostTrack[PA ID],EAC[[#This Row],[PA ID]],CostTrack[Holdback (Y/N/R)],"&lt;&gt;Release",CostTrack[Status],"Approved"))</f>
        <v>13440.95</v>
      </c>
      <c r="M50" s="475">
        <f ca="1">IF(EAC[[#This Row],[Current Commitment]]="",0,EAC[[#This Row],[Current Commitment]]-EAC[[#This Row],[Expenditures to Date]])</f>
        <v>0</v>
      </c>
      <c r="N50" s="343"/>
      <c r="O50" s="42">
        <f ca="1">EAC[[#This Row],[Open Commit.]]+EAC[[#This Row],[Future Commit.]]+EAC[[#This Row],[Expenditures to Date]]</f>
        <v>13440.95</v>
      </c>
      <c r="P50" s="188">
        <f ca="1">IF(EAC[[#This Row],[Current Commitment]]="","",EAC[[#This Row],[Current Commitment]]-EAC[[#This Row],[Estimate At Completion]])</f>
        <v>0</v>
      </c>
      <c r="Q50" s="457"/>
    </row>
    <row r="51" spans="1:17" hidden="1">
      <c r="A51" s="217">
        <v>46</v>
      </c>
      <c r="B51" s="129" t="s">
        <v>413</v>
      </c>
      <c r="C51" s="87" t="str">
        <f ca="1">IF(EAC[[#This Row],[PA ID]]="","",INDEX(BudgetTrack[Primary Category],MATCH(EAC[[#This Row],[PA ID]],BudgetTrack[PA ID],0),0))</f>
        <v>Administration</v>
      </c>
      <c r="D51" s="87" t="str">
        <f ca="1">IF(EAC[[#This Row],[PA ID]]="","",INDEX(BudgetTrack[Secondary Category],MATCH(EAC[[#This Row],[PA ID]],BudgetTrack[PA ID],0),0))</f>
        <v>Other Administration</v>
      </c>
      <c r="E51" s="118" t="str">
        <f ca="1">IF(EAC[[#This Row],[PA ID]]="","",INDEX(BudgetTrack[Phase / Subproject],MATCH(EAC[[#This Row],[PA ID]],BudgetTrack[PA ID],0),0))</f>
        <v>--</v>
      </c>
      <c r="F51" s="118" t="str">
        <f ca="1">IF(EAC[[#This Row],[PA ID]]="","",INDEX(BudgetTrack[Phase / Subproject 2],MATCH(EAC[[#This Row],[PA ID]],BudgetTrack[PA ID],0),0))</f>
        <v>--</v>
      </c>
      <c r="G51" s="118" t="str">
        <f ca="1">IF(EAC[[#This Row],[PA ID]]="","",INDEX(BudgetTrack[Funding Source],MATCH(EAC[[#This Row],[PA ID]],BudgetTrack[PA ID],0),0))</f>
        <v>P-002360</v>
      </c>
      <c r="H51" s="128" t="s">
        <v>754</v>
      </c>
      <c r="I51" s="118" t="str">
        <f ca="1">IF(EAC[[#This Row],[Vendor / Org. with Contract ID]]="","",INDEX(VendorList[Status],MATCH(EAC[[#This Row],[Vendor / Org. with Contract ID]],VendorList[Vendor / Org. with Contract ID],0),0))</f>
        <v>Open</v>
      </c>
      <c r="J51" s="248" t="s">
        <v>1685</v>
      </c>
      <c r="K51" s="474">
        <f ca="1">IF(EAC[[#This Row],[Vendor / Org. with Contract ID]]="",0,SUMIFS(VendorList[Current Commitment],VendorList[Vendor / Org. with Contract ID],EAC[[#This Row],[Vendor / Org. with Contract ID]],VendorList[PA ID],EAC[[#This Row],[PA ID]]))</f>
        <v>5342</v>
      </c>
      <c r="L51" s="474">
        <f ca="1">IF(EAC[[#This Row],[Vendor / Org. with Contract ID]]="",0,SUMIFS(CostTrack[Value],CostTrack[Vendor - Contract],EAC[[#This Row],[Vendor / Org. with Contract ID]],CostTrack[PA ID],EAC[[#This Row],[PA ID]],CostTrack[Holdback (Y/N/R)],"&lt;&gt;Release",CostTrack[Status],"Approved"))</f>
        <v>5328.67</v>
      </c>
      <c r="M51" s="475">
        <f ca="1">IF(EAC[[#This Row],[Current Commitment]]="",0,EAC[[#This Row],[Current Commitment]]-EAC[[#This Row],[Expenditures to Date]])</f>
        <v>13.329999999999927</v>
      </c>
      <c r="N51" s="343"/>
      <c r="O51" s="42">
        <f ca="1">EAC[[#This Row],[Open Commit.]]+EAC[[#This Row],[Future Commit.]]+EAC[[#This Row],[Expenditures to Date]]</f>
        <v>5342</v>
      </c>
      <c r="P51" s="188">
        <f ca="1">IF(EAC[[#This Row],[Current Commitment]]="","",EAC[[#This Row],[Current Commitment]]-EAC[[#This Row],[Estimate At Completion]])</f>
        <v>0</v>
      </c>
      <c r="Q51" s="457"/>
    </row>
    <row r="52" spans="1:17" hidden="1">
      <c r="A52" s="217">
        <v>47</v>
      </c>
      <c r="B52" s="129" t="s">
        <v>413</v>
      </c>
      <c r="C52" s="87" t="str">
        <f ca="1">IF(EAC[[#This Row],[PA ID]]="","",INDEX(BudgetTrack[Primary Category],MATCH(EAC[[#This Row],[PA ID]],BudgetTrack[PA ID],0),0))</f>
        <v>Administration</v>
      </c>
      <c r="D52" s="87" t="str">
        <f ca="1">IF(EAC[[#This Row],[PA ID]]="","",INDEX(BudgetTrack[Secondary Category],MATCH(EAC[[#This Row],[PA ID]],BudgetTrack[PA ID],0),0))</f>
        <v>Other Administration</v>
      </c>
      <c r="E52" s="118" t="str">
        <f ca="1">IF(EAC[[#This Row],[PA ID]]="","",INDEX(BudgetTrack[Phase / Subproject],MATCH(EAC[[#This Row],[PA ID]],BudgetTrack[PA ID],0),0))</f>
        <v>--</v>
      </c>
      <c r="F52" s="118" t="str">
        <f ca="1">IF(EAC[[#This Row],[PA ID]]="","",INDEX(BudgetTrack[Phase / Subproject 2],MATCH(EAC[[#This Row],[PA ID]],BudgetTrack[PA ID],0),0))</f>
        <v>--</v>
      </c>
      <c r="G52" s="118" t="str">
        <f ca="1">IF(EAC[[#This Row],[PA ID]]="","",INDEX(BudgetTrack[Funding Source],MATCH(EAC[[#This Row],[PA ID]],BudgetTrack[PA ID],0),0))</f>
        <v>P-002360</v>
      </c>
      <c r="H52" s="128" t="s">
        <v>601</v>
      </c>
      <c r="I52" s="118" t="str">
        <f ca="1">IF(EAC[[#This Row],[Vendor / Org. with Contract ID]]="","",INDEX(VendorList[Status],MATCH(EAC[[#This Row],[Vendor / Org. with Contract ID]],VendorList[Vendor / Org. with Contract ID],0),0))</f>
        <v>Open</v>
      </c>
      <c r="J52" s="248" t="s">
        <v>1685</v>
      </c>
      <c r="K52" s="474">
        <f ca="1">IF(EAC[[#This Row],[Vendor / Org. with Contract ID]]="",0,SUMIFS(VendorList[Current Commitment],VendorList[Vendor / Org. with Contract ID],EAC[[#This Row],[Vendor / Org. with Contract ID]],VendorList[PA ID],EAC[[#This Row],[PA ID]]))</f>
        <v>1050</v>
      </c>
      <c r="L52" s="474">
        <f ca="1">IF(EAC[[#This Row],[Vendor / Org. with Contract ID]]="",0,SUMIFS(CostTrack[Value],CostTrack[Vendor - Contract],EAC[[#This Row],[Vendor / Org. with Contract ID]],CostTrack[PA ID],EAC[[#This Row],[PA ID]],CostTrack[Holdback (Y/N/R)],"&lt;&gt;Release",CostTrack[Status],"Approved"))</f>
        <v>1017.7500000000001</v>
      </c>
      <c r="M52" s="475">
        <f ca="1">IF(EAC[[#This Row],[Current Commitment]]="",0,EAC[[#This Row],[Current Commitment]]-EAC[[#This Row],[Expenditures to Date]])</f>
        <v>32.249999999999886</v>
      </c>
      <c r="N52" s="343"/>
      <c r="O52" s="42">
        <f ca="1">EAC[[#This Row],[Open Commit.]]+EAC[[#This Row],[Future Commit.]]+EAC[[#This Row],[Expenditures to Date]]</f>
        <v>1050</v>
      </c>
      <c r="P52" s="188">
        <f ca="1">IF(EAC[[#This Row],[Current Commitment]]="","",EAC[[#This Row],[Current Commitment]]-EAC[[#This Row],[Estimate At Completion]])</f>
        <v>0</v>
      </c>
      <c r="Q52" s="457"/>
    </row>
    <row r="53" spans="1:17" ht="27.95" hidden="1">
      <c r="A53" s="217">
        <v>48</v>
      </c>
      <c r="B53" s="129" t="s">
        <v>413</v>
      </c>
      <c r="C53" s="87" t="str">
        <f ca="1">IF(EAC[[#This Row],[PA ID]]="","",INDEX(BudgetTrack[Primary Category],MATCH(EAC[[#This Row],[PA ID]],BudgetTrack[PA ID],0),0))</f>
        <v>Administration</v>
      </c>
      <c r="D53" s="87" t="str">
        <f ca="1">IF(EAC[[#This Row],[PA ID]]="","",INDEX(BudgetTrack[Secondary Category],MATCH(EAC[[#This Row],[PA ID]],BudgetTrack[PA ID],0),0))</f>
        <v>Other Administration</v>
      </c>
      <c r="E53" s="118" t="str">
        <f ca="1">IF(EAC[[#This Row],[PA ID]]="","",INDEX(BudgetTrack[Phase / Subproject],MATCH(EAC[[#This Row],[PA ID]],BudgetTrack[PA ID],0),0))</f>
        <v>--</v>
      </c>
      <c r="F53" s="118" t="str">
        <f ca="1">IF(EAC[[#This Row],[PA ID]]="","",INDEX(BudgetTrack[Phase / Subproject 2],MATCH(EAC[[#This Row],[PA ID]],BudgetTrack[PA ID],0),0))</f>
        <v>--</v>
      </c>
      <c r="G53" s="118" t="str">
        <f ca="1">IF(EAC[[#This Row],[PA ID]]="","",INDEX(BudgetTrack[Funding Source],MATCH(EAC[[#This Row],[PA ID]],BudgetTrack[PA ID],0),0))</f>
        <v>P-002360</v>
      </c>
      <c r="H53" s="128" t="s">
        <v>755</v>
      </c>
      <c r="I53" s="118" t="str">
        <f ca="1">IF(EAC[[#This Row],[Vendor / Org. with Contract ID]]="","",INDEX(VendorList[Status],MATCH(EAC[[#This Row],[Vendor / Org. with Contract ID]],VendorList[Vendor / Org. with Contract ID],0),0))</f>
        <v>Open</v>
      </c>
      <c r="J53" s="248" t="s">
        <v>1686</v>
      </c>
      <c r="K53" s="474">
        <f ca="1">IF(EAC[[#This Row],[Vendor / Org. with Contract ID]]="",0,SUMIFS(VendorList[Current Commitment],VendorList[Vendor / Org. with Contract ID],EAC[[#This Row],[Vendor / Org. with Contract ID]],VendorList[PA ID],EAC[[#This Row],[PA ID]]))</f>
        <v>599.61</v>
      </c>
      <c r="L53" s="474">
        <f ca="1">IF(EAC[[#This Row],[Vendor / Org. with Contract ID]]="",0,SUMIFS(CostTrack[Value],CostTrack[Vendor - Contract],EAC[[#This Row],[Vendor / Org. with Contract ID]],CostTrack[PA ID],EAC[[#This Row],[PA ID]],CostTrack[Holdback (Y/N/R)],"&lt;&gt;Release",CostTrack[Status],"Approved"))</f>
        <v>589.23</v>
      </c>
      <c r="M53" s="475">
        <f ca="1">IF(EAC[[#This Row],[Current Commitment]]="",0,EAC[[#This Row],[Current Commitment]]-EAC[[#This Row],[Expenditures to Date]])</f>
        <v>10.379999999999995</v>
      </c>
      <c r="N53" s="343"/>
      <c r="O53" s="42">
        <f ca="1">EAC[[#This Row],[Open Commit.]]+EAC[[#This Row],[Future Commit.]]+EAC[[#This Row],[Expenditures to Date]]</f>
        <v>599.61</v>
      </c>
      <c r="P53" s="188">
        <f ca="1">IF(EAC[[#This Row],[Current Commitment]]="","",EAC[[#This Row],[Current Commitment]]-EAC[[#This Row],[Estimate At Completion]])</f>
        <v>0</v>
      </c>
      <c r="Q53" s="457"/>
    </row>
    <row r="54" spans="1:17" hidden="1">
      <c r="A54" s="217">
        <v>49</v>
      </c>
      <c r="B54" s="129" t="s">
        <v>401</v>
      </c>
      <c r="C54" s="87" t="str">
        <f ca="1">IF(EAC[[#This Row],[PA ID]]="","",INDEX(BudgetTrack[Primary Category],MATCH(EAC[[#This Row],[PA ID]],BudgetTrack[PA ID],0),0))</f>
        <v>Professional Services</v>
      </c>
      <c r="D54" s="87" t="str">
        <f ca="1">IF(EAC[[#This Row],[PA ID]]="","",INDEX(BudgetTrack[Secondary Category],MATCH(EAC[[#This Row],[PA ID]],BudgetTrack[PA ID],0),0))</f>
        <v>Other Professional Services</v>
      </c>
      <c r="E54" s="118" t="str">
        <f ca="1">IF(EAC[[#This Row],[PA ID]]="","",INDEX(BudgetTrack[Phase / Subproject],MATCH(EAC[[#This Row],[PA ID]],BudgetTrack[PA ID],0),0))</f>
        <v>--</v>
      </c>
      <c r="F54" s="118" t="str">
        <f ca="1">IF(EAC[[#This Row],[PA ID]]="","",INDEX(BudgetTrack[Phase / Subproject 2],MATCH(EAC[[#This Row],[PA ID]],BudgetTrack[PA ID],0),0))</f>
        <v>--</v>
      </c>
      <c r="G54" s="118" t="str">
        <f ca="1">IF(EAC[[#This Row],[PA ID]]="","",INDEX(BudgetTrack[Funding Source],MATCH(EAC[[#This Row],[PA ID]],BudgetTrack[PA ID],0),0))</f>
        <v>P-002360</v>
      </c>
      <c r="H54" s="128" t="s">
        <v>585</v>
      </c>
      <c r="I54" s="118" t="str">
        <f ca="1">IF(EAC[[#This Row],[Vendor / Org. with Contract ID]]="","",INDEX(VendorList[Status],MATCH(EAC[[#This Row],[Vendor / Org. with Contract ID]],VendorList[Vendor / Org. with Contract ID],0),0))</f>
        <v>Closed</v>
      </c>
      <c r="J54" s="248" t="s">
        <v>1687</v>
      </c>
      <c r="K54" s="474">
        <f ca="1">IF(EAC[[#This Row],[Vendor / Org. with Contract ID]]="",0,SUMIFS(VendorList[Current Commitment],VendorList[Vendor / Org. with Contract ID],EAC[[#This Row],[Vendor / Org. with Contract ID]],VendorList[PA ID],EAC[[#This Row],[PA ID]]))</f>
        <v>7542.5</v>
      </c>
      <c r="L54" s="474">
        <f ca="1">IF(EAC[[#This Row],[Vendor / Org. with Contract ID]]="",0,SUMIFS(CostTrack[Value],CostTrack[Vendor - Contract],EAC[[#This Row],[Vendor / Org. with Contract ID]],CostTrack[PA ID],EAC[[#This Row],[PA ID]],CostTrack[Holdback (Y/N/R)],"&lt;&gt;Release",CostTrack[Status],"Approved"))</f>
        <v>7542.5</v>
      </c>
      <c r="M54" s="475">
        <f ca="1">IF(EAC[[#This Row],[Current Commitment]]="",0,EAC[[#This Row],[Current Commitment]]-EAC[[#This Row],[Expenditures to Date]])</f>
        <v>0</v>
      </c>
      <c r="N54" s="343"/>
      <c r="O54" s="42">
        <f ca="1">EAC[[#This Row],[Open Commit.]]+EAC[[#This Row],[Future Commit.]]+EAC[[#This Row],[Expenditures to Date]]</f>
        <v>7542.5</v>
      </c>
      <c r="P54" s="188">
        <f ca="1">IF(EAC[[#This Row],[Current Commitment]]="","",EAC[[#This Row],[Current Commitment]]-EAC[[#This Row],[Estimate At Completion]])</f>
        <v>0</v>
      </c>
      <c r="Q54" s="457"/>
    </row>
    <row r="55" spans="1:17" hidden="1">
      <c r="A55" s="217">
        <v>50</v>
      </c>
      <c r="B55" s="129" t="s">
        <v>428</v>
      </c>
      <c r="C55" s="87" t="str">
        <f ca="1">IF(EAC[[#This Row],[PA ID]]="","",INDEX(BudgetTrack[Primary Category],MATCH(EAC[[#This Row],[PA ID]],BudgetTrack[PA ID],0),0))</f>
        <v>Construction</v>
      </c>
      <c r="D55" s="87" t="str">
        <f ca="1">IF(EAC[[#This Row],[PA ID]]="","",INDEX(BudgetTrack[Secondary Category],MATCH(EAC[[#This Row],[PA ID]],BudgetTrack[PA ID],0),0))</f>
        <v>Utilities</v>
      </c>
      <c r="E55" s="118" t="str">
        <f ca="1">IF(EAC[[#This Row],[PA ID]]="","",INDEX(BudgetTrack[Phase / Subproject],MATCH(EAC[[#This Row],[PA ID]],BudgetTrack[PA ID],0),0))</f>
        <v>--</v>
      </c>
      <c r="F55" s="118" t="str">
        <f ca="1">IF(EAC[[#This Row],[PA ID]]="","",INDEX(BudgetTrack[Phase / Subproject 2],MATCH(EAC[[#This Row],[PA ID]],BudgetTrack[PA ID],0),0))</f>
        <v>--</v>
      </c>
      <c r="G55" s="118" t="str">
        <f ca="1">IF(EAC[[#This Row],[PA ID]]="","",INDEX(BudgetTrack[Funding Source],MATCH(EAC[[#This Row],[PA ID]],BudgetTrack[PA ID],0),0))</f>
        <v>P-002360</v>
      </c>
      <c r="H55" s="128" t="s">
        <v>397</v>
      </c>
      <c r="I55" s="118" t="str">
        <f ca="1">IF(EAC[[#This Row],[Vendor / Org. with Contract ID]]="","",INDEX(VendorList[Status],MATCH(EAC[[#This Row],[Vendor / Org. with Contract ID]],VendorList[Vendor / Org. with Contract ID],0),0))</f>
        <v>--</v>
      </c>
      <c r="J55" s="248" t="s">
        <v>1688</v>
      </c>
      <c r="K55" s="474">
        <f ca="1">IF(EAC[[#This Row],[Vendor / Org. with Contract ID]]="",0,SUMIFS(VendorList[Current Commitment],VendorList[Vendor / Org. with Contract ID],EAC[[#This Row],[Vendor / Org. with Contract ID]],VendorList[PA ID],EAC[[#This Row],[PA ID]]))</f>
        <v>0</v>
      </c>
      <c r="L55" s="474">
        <f ca="1">IF(EAC[[#This Row],[Vendor / Org. with Contract ID]]="",0,SUMIFS(CostTrack[Value],CostTrack[Vendor - Contract],EAC[[#This Row],[Vendor / Org. with Contract ID]],CostTrack[PA ID],EAC[[#This Row],[PA ID]],CostTrack[Holdback (Y/N/R)],"&lt;&gt;Release",CostTrack[Status],"Approved"))</f>
        <v>0</v>
      </c>
      <c r="M55" s="475">
        <f ca="1">IF(EAC[[#This Row],[Current Commitment]]="",0,EAC[[#This Row],[Current Commitment]]-EAC[[#This Row],[Expenditures to Date]])</f>
        <v>0</v>
      </c>
      <c r="N55" s="343"/>
      <c r="O55" s="42">
        <f ca="1">EAC[[#This Row],[Open Commit.]]+EAC[[#This Row],[Future Commit.]]+EAC[[#This Row],[Expenditures to Date]]</f>
        <v>0</v>
      </c>
      <c r="P55" s="188">
        <f ca="1">IF(EAC[[#This Row],[Current Commitment]]="","",EAC[[#This Row],[Current Commitment]]-EAC[[#This Row],[Estimate At Completion]])</f>
        <v>0</v>
      </c>
      <c r="Q55" s="457"/>
    </row>
    <row r="56" spans="1:17" ht="27.95" hidden="1">
      <c r="A56" s="217">
        <v>51</v>
      </c>
      <c r="B56" s="129" t="s">
        <v>401</v>
      </c>
      <c r="C56" s="87" t="str">
        <f ca="1">IF(EAC[[#This Row],[PA ID]]="","",INDEX(BudgetTrack[Primary Category],MATCH(EAC[[#This Row],[PA ID]],BudgetTrack[PA ID],0),0))</f>
        <v>Professional Services</v>
      </c>
      <c r="D56" s="87" t="str">
        <f ca="1">IF(EAC[[#This Row],[PA ID]]="","",INDEX(BudgetTrack[Secondary Category],MATCH(EAC[[#This Row],[PA ID]],BudgetTrack[PA ID],0),0))</f>
        <v>Other Professional Services</v>
      </c>
      <c r="E56" s="118" t="str">
        <f ca="1">IF(EAC[[#This Row],[PA ID]]="","",INDEX(BudgetTrack[Phase / Subproject],MATCH(EAC[[#This Row],[PA ID]],BudgetTrack[PA ID],0),0))</f>
        <v>--</v>
      </c>
      <c r="F56" s="118" t="str">
        <f ca="1">IF(EAC[[#This Row],[PA ID]]="","",INDEX(BudgetTrack[Phase / Subproject 2],MATCH(EAC[[#This Row],[PA ID]],BudgetTrack[PA ID],0),0))</f>
        <v>--</v>
      </c>
      <c r="G56" s="118" t="str">
        <f ca="1">IF(EAC[[#This Row],[PA ID]]="","",INDEX(BudgetTrack[Funding Source],MATCH(EAC[[#This Row],[PA ID]],BudgetTrack[PA ID],0),0))</f>
        <v>P-002360</v>
      </c>
      <c r="H56" s="128" t="s">
        <v>655</v>
      </c>
      <c r="I56" s="118" t="str">
        <f ca="1">IF(EAC[[#This Row],[Vendor / Org. with Contract ID]]="","",INDEX(VendorList[Status],MATCH(EAC[[#This Row],[Vendor / Org. with Contract ID]],VendorList[Vendor / Org. with Contract ID],0),0))</f>
        <v>Closed</v>
      </c>
      <c r="J56" s="248" t="s">
        <v>1689</v>
      </c>
      <c r="K56" s="474">
        <f ca="1">IF(EAC[[#This Row],[Vendor / Org. with Contract ID]]="",0,SUMIFS(VendorList[Current Commitment],VendorList[Vendor / Org. with Contract ID],EAC[[#This Row],[Vendor / Org. with Contract ID]],VendorList[PA ID],EAC[[#This Row],[PA ID]]))</f>
        <v>34404</v>
      </c>
      <c r="L56" s="474">
        <f ca="1">IF(EAC[[#This Row],[Vendor / Org. with Contract ID]]="",0,SUMIFS(CostTrack[Value],CostTrack[Vendor - Contract],EAC[[#This Row],[Vendor / Org. with Contract ID]],CostTrack[PA ID],EAC[[#This Row],[PA ID]],CostTrack[Holdback (Y/N/R)],"&lt;&gt;Release",CostTrack[Status],"Approved"))</f>
        <v>34404</v>
      </c>
      <c r="M56" s="475">
        <f ca="1">IF(EAC[[#This Row],[Current Commitment]]="",0,EAC[[#This Row],[Current Commitment]]-EAC[[#This Row],[Expenditures to Date]])</f>
        <v>0</v>
      </c>
      <c r="N56" s="343"/>
      <c r="O56" s="42">
        <f ca="1">EAC[[#This Row],[Open Commit.]]+EAC[[#This Row],[Future Commit.]]+EAC[[#This Row],[Expenditures to Date]]</f>
        <v>34404</v>
      </c>
      <c r="P56" s="188">
        <f ca="1">IF(EAC[[#This Row],[Current Commitment]]="","",EAC[[#This Row],[Current Commitment]]-EAC[[#This Row],[Estimate At Completion]])</f>
        <v>0</v>
      </c>
      <c r="Q56" s="457"/>
    </row>
    <row r="57" spans="1:17" hidden="1">
      <c r="A57" s="217">
        <v>52</v>
      </c>
      <c r="B57" s="129" t="s">
        <v>401</v>
      </c>
      <c r="C57" s="87" t="str">
        <f ca="1">IF(EAC[[#This Row],[PA ID]]="","",INDEX(BudgetTrack[Primary Category],MATCH(EAC[[#This Row],[PA ID]],BudgetTrack[PA ID],0),0))</f>
        <v>Professional Services</v>
      </c>
      <c r="D57" s="87" t="str">
        <f ca="1">IF(EAC[[#This Row],[PA ID]]="","",INDEX(BudgetTrack[Secondary Category],MATCH(EAC[[#This Row],[PA ID]],BudgetTrack[PA ID],0),0))</f>
        <v>Other Professional Services</v>
      </c>
      <c r="E57" s="118" t="str">
        <f ca="1">IF(EAC[[#This Row],[PA ID]]="","",INDEX(BudgetTrack[Phase / Subproject],MATCH(EAC[[#This Row],[PA ID]],BudgetTrack[PA ID],0),0))</f>
        <v>--</v>
      </c>
      <c r="F57" s="118" t="str">
        <f ca="1">IF(EAC[[#This Row],[PA ID]]="","",INDEX(BudgetTrack[Phase / Subproject 2],MATCH(EAC[[#This Row],[PA ID]],BudgetTrack[PA ID],0),0))</f>
        <v>--</v>
      </c>
      <c r="G57" s="118" t="str">
        <f ca="1">IF(EAC[[#This Row],[PA ID]]="","",INDEX(BudgetTrack[Funding Source],MATCH(EAC[[#This Row],[PA ID]],BudgetTrack[PA ID],0),0))</f>
        <v>P-002360</v>
      </c>
      <c r="H57" s="128" t="s">
        <v>397</v>
      </c>
      <c r="I57" s="118" t="str">
        <f ca="1">IF(EAC[[#This Row],[Vendor / Org. with Contract ID]]="","",INDEX(VendorList[Status],MATCH(EAC[[#This Row],[Vendor / Org. with Contract ID]],VendorList[Vendor / Org. with Contract ID],0),0))</f>
        <v>--</v>
      </c>
      <c r="J57" s="248" t="s">
        <v>1690</v>
      </c>
      <c r="K57" s="474">
        <f ca="1">IF(EAC[[#This Row],[Vendor / Org. with Contract ID]]="",0,SUMIFS(VendorList[Current Commitment],VendorList[Vendor / Org. with Contract ID],EAC[[#This Row],[Vendor / Org. with Contract ID]],VendorList[PA ID],EAC[[#This Row],[PA ID]]))</f>
        <v>0</v>
      </c>
      <c r="L57" s="474">
        <f ca="1">IF(EAC[[#This Row],[Vendor / Org. with Contract ID]]="",0,SUMIFS(CostTrack[Value],CostTrack[Vendor - Contract],EAC[[#This Row],[Vendor / Org. with Contract ID]],CostTrack[PA ID],EAC[[#This Row],[PA ID]],CostTrack[Holdback (Y/N/R)],"&lt;&gt;Release",CostTrack[Status],"Approved"))</f>
        <v>0</v>
      </c>
      <c r="M57" s="475">
        <f ca="1">IF(EAC[[#This Row],[Current Commitment]]="",0,EAC[[#This Row],[Current Commitment]]-EAC[[#This Row],[Expenditures to Date]])</f>
        <v>0</v>
      </c>
      <c r="N57" s="343"/>
      <c r="O57" s="42">
        <f ca="1">EAC[[#This Row],[Open Commit.]]+EAC[[#This Row],[Future Commit.]]+EAC[[#This Row],[Expenditures to Date]]</f>
        <v>0</v>
      </c>
      <c r="P57" s="188">
        <f ca="1">IF(EAC[[#This Row],[Current Commitment]]="","",EAC[[#This Row],[Current Commitment]]-EAC[[#This Row],[Estimate At Completion]])</f>
        <v>0</v>
      </c>
      <c r="Q57" s="457" t="s">
        <v>1691</v>
      </c>
    </row>
    <row r="58" spans="1:17" ht="27.95" hidden="1">
      <c r="A58" s="217">
        <v>53</v>
      </c>
      <c r="B58" s="129" t="s">
        <v>401</v>
      </c>
      <c r="C58" s="87" t="str">
        <f ca="1">IF(EAC[[#This Row],[PA ID]]="","",INDEX(BudgetTrack[Primary Category],MATCH(EAC[[#This Row],[PA ID]],BudgetTrack[PA ID],0),0))</f>
        <v>Professional Services</v>
      </c>
      <c r="D58" s="87" t="str">
        <f ca="1">IF(EAC[[#This Row],[PA ID]]="","",INDEX(BudgetTrack[Secondary Category],MATCH(EAC[[#This Row],[PA ID]],BudgetTrack[PA ID],0),0))</f>
        <v>Other Professional Services</v>
      </c>
      <c r="E58" s="118" t="str">
        <f ca="1">IF(EAC[[#This Row],[PA ID]]="","",INDEX(BudgetTrack[Phase / Subproject],MATCH(EAC[[#This Row],[PA ID]],BudgetTrack[PA ID],0),0))</f>
        <v>--</v>
      </c>
      <c r="F58" s="118" t="str">
        <f ca="1">IF(EAC[[#This Row],[PA ID]]="","",INDEX(BudgetTrack[Phase / Subproject 2],MATCH(EAC[[#This Row],[PA ID]],BudgetTrack[PA ID],0),0))</f>
        <v>--</v>
      </c>
      <c r="G58" s="118" t="str">
        <f ca="1">IF(EAC[[#This Row],[PA ID]]="","",INDEX(BudgetTrack[Funding Source],MATCH(EAC[[#This Row],[PA ID]],BudgetTrack[PA ID],0),0))</f>
        <v>P-002360</v>
      </c>
      <c r="H58" s="128" t="s">
        <v>750</v>
      </c>
      <c r="I58" s="118" t="str">
        <f ca="1">IF(EAC[[#This Row],[Vendor / Org. with Contract ID]]="","",INDEX(VendorList[Status],MATCH(EAC[[#This Row],[Vendor / Org. with Contract ID]],VendorList[Vendor / Org. with Contract ID],0),0))</f>
        <v>Closed</v>
      </c>
      <c r="J58" s="248" t="s">
        <v>1692</v>
      </c>
      <c r="K58" s="474">
        <f ca="1">IF(EAC[[#This Row],[Vendor / Org. with Contract ID]]="",0,SUMIFS(VendorList[Current Commitment],VendorList[Vendor / Org. with Contract ID],EAC[[#This Row],[Vendor / Org. with Contract ID]],VendorList[PA ID],EAC[[#This Row],[PA ID]]))</f>
        <v>15656</v>
      </c>
      <c r="L58" s="474">
        <f ca="1">IF(EAC[[#This Row],[Vendor / Org. with Contract ID]]="",0,SUMIFS(CostTrack[Value],CostTrack[Vendor - Contract],EAC[[#This Row],[Vendor / Org. with Contract ID]],CostTrack[PA ID],EAC[[#This Row],[PA ID]],CostTrack[Holdback (Y/N/R)],"&lt;&gt;Release",CostTrack[Status],"Approved"))</f>
        <v>15656</v>
      </c>
      <c r="M58" s="475">
        <f ca="1">IF(EAC[[#This Row],[Current Commitment]]="",0,EAC[[#This Row],[Current Commitment]]-EAC[[#This Row],[Expenditures to Date]])</f>
        <v>0</v>
      </c>
      <c r="N58" s="343"/>
      <c r="O58" s="42">
        <f ca="1">EAC[[#This Row],[Open Commit.]]+EAC[[#This Row],[Future Commit.]]+EAC[[#This Row],[Expenditures to Date]]</f>
        <v>15656</v>
      </c>
      <c r="P58" s="188">
        <f ca="1">IF(EAC[[#This Row],[Current Commitment]]="","",EAC[[#This Row],[Current Commitment]]-EAC[[#This Row],[Estimate At Completion]])</f>
        <v>0</v>
      </c>
      <c r="Q58" s="457"/>
    </row>
    <row r="59" spans="1:17" hidden="1">
      <c r="A59" s="217">
        <v>54</v>
      </c>
      <c r="B59" s="129" t="s">
        <v>413</v>
      </c>
      <c r="C59" s="87" t="str">
        <f ca="1">IF(EAC[[#This Row],[PA ID]]="","",INDEX(BudgetTrack[Primary Category],MATCH(EAC[[#This Row],[PA ID]],BudgetTrack[PA ID],0),0))</f>
        <v>Administration</v>
      </c>
      <c r="D59" s="87" t="str">
        <f ca="1">IF(EAC[[#This Row],[PA ID]]="","",INDEX(BudgetTrack[Secondary Category],MATCH(EAC[[#This Row],[PA ID]],BudgetTrack[PA ID],0),0))</f>
        <v>Other Administration</v>
      </c>
      <c r="E59" s="118" t="str">
        <f ca="1">IF(EAC[[#This Row],[PA ID]]="","",INDEX(BudgetTrack[Phase / Subproject],MATCH(EAC[[#This Row],[PA ID]],BudgetTrack[PA ID],0),0))</f>
        <v>--</v>
      </c>
      <c r="F59" s="118" t="str">
        <f ca="1">IF(EAC[[#This Row],[PA ID]]="","",INDEX(BudgetTrack[Phase / Subproject 2],MATCH(EAC[[#This Row],[PA ID]],BudgetTrack[PA ID],0),0))</f>
        <v>--</v>
      </c>
      <c r="G59" s="118" t="str">
        <f ca="1">IF(EAC[[#This Row],[PA ID]]="","",INDEX(BudgetTrack[Funding Source],MATCH(EAC[[#This Row],[PA ID]],BudgetTrack[PA ID],0),0))</f>
        <v>P-002360</v>
      </c>
      <c r="H59" s="128" t="s">
        <v>911</v>
      </c>
      <c r="I59" s="118" t="str">
        <f ca="1">IF(EAC[[#This Row],[Vendor / Org. with Contract ID]]="","",INDEX(VendorList[Status],MATCH(EAC[[#This Row],[Vendor / Org. with Contract ID]],VendorList[Vendor / Org. with Contract ID],0),0))</f>
        <v>Closed</v>
      </c>
      <c r="J59" s="248" t="s">
        <v>1693</v>
      </c>
      <c r="K59" s="474">
        <f ca="1">IF(EAC[[#This Row],[Vendor / Org. with Contract ID]]="",0,SUMIFS(VendorList[Current Commitment],VendorList[Vendor / Org. with Contract ID],EAC[[#This Row],[Vendor / Org. with Contract ID]],VendorList[PA ID],EAC[[#This Row],[PA ID]]))</f>
        <v>640.74</v>
      </c>
      <c r="L59" s="474">
        <f ca="1">IF(EAC[[#This Row],[Vendor / Org. with Contract ID]]="",0,SUMIFS(CostTrack[Value],CostTrack[Vendor - Contract],EAC[[#This Row],[Vendor / Org. with Contract ID]],CostTrack[PA ID],EAC[[#This Row],[PA ID]],CostTrack[Holdback (Y/N/R)],"&lt;&gt;Release",CostTrack[Status],"Approved"))</f>
        <v>640.74</v>
      </c>
      <c r="M59" s="475">
        <f ca="1">IF(EAC[[#This Row],[Current Commitment]]="",0,EAC[[#This Row],[Current Commitment]]-EAC[[#This Row],[Expenditures to Date]])</f>
        <v>0</v>
      </c>
      <c r="N59" s="343"/>
      <c r="O59" s="42">
        <f ca="1">EAC[[#This Row],[Open Commit.]]+EAC[[#This Row],[Future Commit.]]+EAC[[#This Row],[Expenditures to Date]]</f>
        <v>640.74</v>
      </c>
      <c r="P59" s="188">
        <f ca="1">IF(EAC[[#This Row],[Current Commitment]]="","",EAC[[#This Row],[Current Commitment]]-EAC[[#This Row],[Estimate At Completion]])</f>
        <v>0</v>
      </c>
      <c r="Q59" s="457"/>
    </row>
    <row r="60" spans="1:17" ht="27.95" hidden="1">
      <c r="A60" s="217">
        <v>55</v>
      </c>
      <c r="B60" s="129" t="s">
        <v>431</v>
      </c>
      <c r="C60" s="87" t="str">
        <f ca="1">IF(EAC[[#This Row],[PA ID]]="","",INDEX(BudgetTrack[Primary Category],MATCH(EAC[[#This Row],[PA ID]],BudgetTrack[PA ID],0),0))</f>
        <v>Construction</v>
      </c>
      <c r="D60" s="87" t="str">
        <f ca="1">IF(EAC[[#This Row],[PA ID]]="","",INDEX(BudgetTrack[Secondary Category],MATCH(EAC[[#This Row],[PA ID]],BudgetTrack[PA ID],0),0))</f>
        <v>Permits &amp; Fees</v>
      </c>
      <c r="E60" s="118" t="str">
        <f ca="1">IF(EAC[[#This Row],[PA ID]]="","",INDEX(BudgetTrack[Phase / Subproject],MATCH(EAC[[#This Row],[PA ID]],BudgetTrack[PA ID],0),0))</f>
        <v>--</v>
      </c>
      <c r="F60" s="118" t="str">
        <f ca="1">IF(EAC[[#This Row],[PA ID]]="","",INDEX(BudgetTrack[Phase / Subproject 2],MATCH(EAC[[#This Row],[PA ID]],BudgetTrack[PA ID],0),0))</f>
        <v>--</v>
      </c>
      <c r="G60" s="118" t="str">
        <f ca="1">IF(EAC[[#This Row],[PA ID]]="","",INDEX(BudgetTrack[Funding Source],MATCH(EAC[[#This Row],[PA ID]],BudgetTrack[PA ID],0),0))</f>
        <v>P-002360</v>
      </c>
      <c r="H60" s="128" t="s">
        <v>933</v>
      </c>
      <c r="I60" s="118" t="str">
        <f ca="1">IF(EAC[[#This Row],[Vendor / Org. with Contract ID]]="","",INDEX(VendorList[Status],MATCH(EAC[[#This Row],[Vendor / Org. with Contract ID]],VendorList[Vendor / Org. with Contract ID],0),0))</f>
        <v>Closed</v>
      </c>
      <c r="J60" s="248" t="s">
        <v>1694</v>
      </c>
      <c r="K60" s="474">
        <f ca="1">IF(EAC[[#This Row],[Vendor / Org. with Contract ID]]="",0,SUMIFS(VendorList[Current Commitment],VendorList[Vendor / Org. with Contract ID],EAC[[#This Row],[Vendor / Org. with Contract ID]],VendorList[PA ID],EAC[[#This Row],[PA ID]]))</f>
        <v>6600</v>
      </c>
      <c r="L60" s="474">
        <f ca="1">IF(EAC[[#This Row],[Vendor / Org. with Contract ID]]="",0,SUMIFS(CostTrack[Value],CostTrack[Vendor - Contract],EAC[[#This Row],[Vendor / Org. with Contract ID]],CostTrack[PA ID],EAC[[#This Row],[PA ID]],CostTrack[Holdback (Y/N/R)],"&lt;&gt;Release",CostTrack[Status],"Approved"))</f>
        <v>6600</v>
      </c>
      <c r="M60" s="475">
        <f ca="1">IF(EAC[[#This Row],[Current Commitment]]="",0,EAC[[#This Row],[Current Commitment]]-EAC[[#This Row],[Expenditures to Date]])</f>
        <v>0</v>
      </c>
      <c r="N60" s="343"/>
      <c r="O60" s="42">
        <f ca="1">EAC[[#This Row],[Open Commit.]]+EAC[[#This Row],[Future Commit.]]+EAC[[#This Row],[Expenditures to Date]]</f>
        <v>6600</v>
      </c>
      <c r="P60" s="188">
        <f ca="1">IF(EAC[[#This Row],[Current Commitment]]="","",EAC[[#This Row],[Current Commitment]]-EAC[[#This Row],[Estimate At Completion]])</f>
        <v>0</v>
      </c>
      <c r="Q60" s="457"/>
    </row>
    <row r="61" spans="1:17" ht="27.95" hidden="1">
      <c r="A61" s="217">
        <v>56</v>
      </c>
      <c r="B61" s="129" t="s">
        <v>413</v>
      </c>
      <c r="C61" s="87" t="str">
        <f ca="1">IF(EAC[[#This Row],[PA ID]]="","",INDEX(BudgetTrack[Primary Category],MATCH(EAC[[#This Row],[PA ID]],BudgetTrack[PA ID],0),0))</f>
        <v>Administration</v>
      </c>
      <c r="D61" s="87" t="str">
        <f ca="1">IF(EAC[[#This Row],[PA ID]]="","",INDEX(BudgetTrack[Secondary Category],MATCH(EAC[[#This Row],[PA ID]],BudgetTrack[PA ID],0),0))</f>
        <v>Other Administration</v>
      </c>
      <c r="E61" s="118" t="str">
        <f ca="1">IF(EAC[[#This Row],[PA ID]]="","",INDEX(BudgetTrack[Phase / Subproject],MATCH(EAC[[#This Row],[PA ID]],BudgetTrack[PA ID],0),0))</f>
        <v>--</v>
      </c>
      <c r="F61" s="118" t="str">
        <f ca="1">IF(EAC[[#This Row],[PA ID]]="","",INDEX(BudgetTrack[Phase / Subproject 2],MATCH(EAC[[#This Row],[PA ID]],BudgetTrack[PA ID],0),0))</f>
        <v>--</v>
      </c>
      <c r="G61" s="118" t="str">
        <f ca="1">IF(EAC[[#This Row],[PA ID]]="","",INDEX(BudgetTrack[Funding Source],MATCH(EAC[[#This Row],[PA ID]],BudgetTrack[PA ID],0),0))</f>
        <v>P-002360</v>
      </c>
      <c r="H61" s="128" t="s">
        <v>916</v>
      </c>
      <c r="I61" s="118" t="str">
        <f ca="1">IF(EAC[[#This Row],[Vendor / Org. with Contract ID]]="","",INDEX(VendorList[Status],MATCH(EAC[[#This Row],[Vendor / Org. with Contract ID]],VendorList[Vendor / Org. with Contract ID],0),0))</f>
        <v>Closed</v>
      </c>
      <c r="J61" s="248" t="s">
        <v>1695</v>
      </c>
      <c r="K61" s="474">
        <f ca="1">IF(EAC[[#This Row],[Vendor / Org. with Contract ID]]="",0,SUMIFS(VendorList[Current Commitment],VendorList[Vendor / Org. with Contract ID],EAC[[#This Row],[Vendor / Org. with Contract ID]],VendorList[PA ID],EAC[[#This Row],[PA ID]]))</f>
        <v>32.72</v>
      </c>
      <c r="L61" s="474">
        <f ca="1">IF(EAC[[#This Row],[Vendor / Org. with Contract ID]]="",0,SUMIFS(CostTrack[Value],CostTrack[Vendor - Contract],EAC[[#This Row],[Vendor / Org. with Contract ID]],CostTrack[PA ID],EAC[[#This Row],[PA ID]],CostTrack[Holdback (Y/N/R)],"&lt;&gt;Release",CostTrack[Status],"Approved"))</f>
        <v>32.72</v>
      </c>
      <c r="M61" s="475">
        <f ca="1">IF(EAC[[#This Row],[Current Commitment]]="",0,EAC[[#This Row],[Current Commitment]]-EAC[[#This Row],[Expenditures to Date]])</f>
        <v>0</v>
      </c>
      <c r="N61" s="343"/>
      <c r="O61" s="42">
        <f ca="1">EAC[[#This Row],[Open Commit.]]+EAC[[#This Row],[Future Commit.]]+EAC[[#This Row],[Expenditures to Date]]</f>
        <v>32.72</v>
      </c>
      <c r="P61" s="188">
        <f ca="1">IF(EAC[[#This Row],[Current Commitment]]="","",EAC[[#This Row],[Current Commitment]]-EAC[[#This Row],[Estimate At Completion]])</f>
        <v>0</v>
      </c>
      <c r="Q61" s="457"/>
    </row>
    <row r="62" spans="1:17" hidden="1">
      <c r="A62" s="217">
        <v>57</v>
      </c>
      <c r="B62" s="129" t="s">
        <v>431</v>
      </c>
      <c r="C62" s="87" t="str">
        <f ca="1">IF(EAC[[#This Row],[PA ID]]="","",INDEX(BudgetTrack[Primary Category],MATCH(EAC[[#This Row],[PA ID]],BudgetTrack[PA ID],0),0))</f>
        <v>Construction</v>
      </c>
      <c r="D62" s="87" t="str">
        <f ca="1">IF(EAC[[#This Row],[PA ID]]="","",INDEX(BudgetTrack[Secondary Category],MATCH(EAC[[#This Row],[PA ID]],BudgetTrack[PA ID],0),0))</f>
        <v>Permits &amp; Fees</v>
      </c>
      <c r="E62" s="118" t="str">
        <f ca="1">IF(EAC[[#This Row],[PA ID]]="","",INDEX(BudgetTrack[Phase / Subproject],MATCH(EAC[[#This Row],[PA ID]],BudgetTrack[PA ID],0),0))</f>
        <v>--</v>
      </c>
      <c r="F62" s="118" t="str">
        <f ca="1">IF(EAC[[#This Row],[PA ID]]="","",INDEX(BudgetTrack[Phase / Subproject 2],MATCH(EAC[[#This Row],[PA ID]],BudgetTrack[PA ID],0),0))</f>
        <v>--</v>
      </c>
      <c r="G62" s="118" t="str">
        <f ca="1">IF(EAC[[#This Row],[PA ID]]="","",INDEX(BudgetTrack[Funding Source],MATCH(EAC[[#This Row],[PA ID]],BudgetTrack[PA ID],0),0))</f>
        <v>P-002360</v>
      </c>
      <c r="H62" s="128" t="s">
        <v>1336</v>
      </c>
      <c r="I62" s="118" t="str">
        <f ca="1">IF(EAC[[#This Row],[Vendor / Org. with Contract ID]]="","",INDEX(VendorList[Status],MATCH(EAC[[#This Row],[Vendor / Org. with Contract ID]],VendorList[Vendor / Org. with Contract ID],0),0))</f>
        <v>Closed</v>
      </c>
      <c r="J62" s="248" t="s">
        <v>1696</v>
      </c>
      <c r="K62" s="474">
        <f ca="1">IF(EAC[[#This Row],[Vendor / Org. with Contract ID]]="",0,SUMIFS(VendorList[Current Commitment],VendorList[Vendor / Org. with Contract ID],EAC[[#This Row],[Vendor / Org. with Contract ID]],VendorList[PA ID],EAC[[#This Row],[PA ID]]))</f>
        <v>27937.86</v>
      </c>
      <c r="L62" s="474">
        <f ca="1">IF(EAC[[#This Row],[Vendor / Org. with Contract ID]]="",0,SUMIFS(CostTrack[Value],CostTrack[Vendor - Contract],EAC[[#This Row],[Vendor / Org. with Contract ID]],CostTrack[PA ID],EAC[[#This Row],[PA ID]],CostTrack[Holdback (Y/N/R)],"&lt;&gt;Release",CostTrack[Status],"Approved"))</f>
        <v>27937.86</v>
      </c>
      <c r="M62" s="475">
        <f ca="1">IF(EAC[[#This Row],[Current Commitment]]="",0,EAC[[#This Row],[Current Commitment]]-EAC[[#This Row],[Expenditures to Date]])</f>
        <v>0</v>
      </c>
      <c r="N62" s="343"/>
      <c r="O62" s="42">
        <f ca="1">EAC[[#This Row],[Open Commit.]]+EAC[[#This Row],[Future Commit.]]+EAC[[#This Row],[Expenditures to Date]]</f>
        <v>27937.86</v>
      </c>
      <c r="P62" s="188">
        <f ca="1">IF(EAC[[#This Row],[Current Commitment]]="","",EAC[[#This Row],[Current Commitment]]-EAC[[#This Row],[Estimate At Completion]])</f>
        <v>0</v>
      </c>
      <c r="Q62" s="457"/>
    </row>
    <row r="63" spans="1:17" ht="27.95" hidden="1">
      <c r="A63" s="217">
        <v>58</v>
      </c>
      <c r="B63" s="129" t="s">
        <v>401</v>
      </c>
      <c r="C63" s="87" t="str">
        <f ca="1">IF(EAC[[#This Row],[PA ID]]="","",INDEX(BudgetTrack[Primary Category],MATCH(EAC[[#This Row],[PA ID]],BudgetTrack[PA ID],0),0))</f>
        <v>Professional Services</v>
      </c>
      <c r="D63" s="87" t="str">
        <f ca="1">IF(EAC[[#This Row],[PA ID]]="","",INDEX(BudgetTrack[Secondary Category],MATCH(EAC[[#This Row],[PA ID]],BudgetTrack[PA ID],0),0))</f>
        <v>Other Professional Services</v>
      </c>
      <c r="E63" s="118" t="str">
        <f ca="1">IF(EAC[[#This Row],[PA ID]]="","",INDEX(BudgetTrack[Phase / Subproject],MATCH(EAC[[#This Row],[PA ID]],BudgetTrack[PA ID],0),0))</f>
        <v>--</v>
      </c>
      <c r="F63" s="118" t="str">
        <f ca="1">IF(EAC[[#This Row],[PA ID]]="","",INDEX(BudgetTrack[Phase / Subproject 2],MATCH(EAC[[#This Row],[PA ID]],BudgetTrack[PA ID],0),0))</f>
        <v>--</v>
      </c>
      <c r="G63" s="118" t="str">
        <f ca="1">IF(EAC[[#This Row],[PA ID]]="","",INDEX(BudgetTrack[Funding Source],MATCH(EAC[[#This Row],[PA ID]],BudgetTrack[PA ID],0),0))</f>
        <v>P-002360</v>
      </c>
      <c r="H63" s="128" t="s">
        <v>934</v>
      </c>
      <c r="I63" s="118" t="str">
        <f ca="1">IF(EAC[[#This Row],[Vendor / Org. with Contract ID]]="","",INDEX(VendorList[Status],MATCH(EAC[[#This Row],[Vendor / Org. with Contract ID]],VendorList[Vendor / Org. with Contract ID],0),0))</f>
        <v>Closed</v>
      </c>
      <c r="J63" s="248" t="s">
        <v>1697</v>
      </c>
      <c r="K63" s="474">
        <f ca="1">IF(EAC[[#This Row],[Vendor / Org. with Contract ID]]="",0,SUMIFS(VendorList[Current Commitment],VendorList[Vendor / Org. with Contract ID],EAC[[#This Row],[Vendor / Org. with Contract ID]],VendorList[PA ID],EAC[[#This Row],[PA ID]]))</f>
        <v>1470.77</v>
      </c>
      <c r="L63" s="474">
        <f ca="1">IF(EAC[[#This Row],[Vendor / Org. with Contract ID]]="",0,SUMIFS(CostTrack[Value],CostTrack[Vendor - Contract],EAC[[#This Row],[Vendor / Org. with Contract ID]],CostTrack[PA ID],EAC[[#This Row],[PA ID]],CostTrack[Holdback (Y/N/R)],"&lt;&gt;Release",CostTrack[Status],"Approved"))</f>
        <v>1470.77</v>
      </c>
      <c r="M63" s="475">
        <f ca="1">IF(EAC[[#This Row],[Current Commitment]]="",0,EAC[[#This Row],[Current Commitment]]-EAC[[#This Row],[Expenditures to Date]])</f>
        <v>0</v>
      </c>
      <c r="N63" s="343"/>
      <c r="O63" s="42">
        <f ca="1">EAC[[#This Row],[Open Commit.]]+EAC[[#This Row],[Future Commit.]]+EAC[[#This Row],[Expenditures to Date]]</f>
        <v>1470.77</v>
      </c>
      <c r="P63" s="188">
        <f ca="1">IF(EAC[[#This Row],[Current Commitment]]="","",EAC[[#This Row],[Current Commitment]]-EAC[[#This Row],[Estimate At Completion]])</f>
        <v>0</v>
      </c>
      <c r="Q63" s="457"/>
    </row>
    <row r="64" spans="1:17" ht="18.75" customHeight="1">
      <c r="A64" s="217">
        <v>59</v>
      </c>
      <c r="B64" s="129" t="s">
        <v>1657</v>
      </c>
      <c r="C64" s="87" t="str">
        <f ca="1">IF(EAC[[#This Row],[PA ID]]="","",INDEX(BudgetTrack[Primary Category],MATCH(EAC[[#This Row],[PA ID]],BudgetTrack[PA ID],0),0))</f>
        <v>Construction</v>
      </c>
      <c r="D64" s="87" t="str">
        <f ca="1">IF(EAC[[#This Row],[PA ID]]="","",INDEX(BudgetTrack[Secondary Category],MATCH(EAC[[#This Row],[PA ID]],BudgetTrack[PA ID],0),0))</f>
        <v>Contingency - Const. Phase</v>
      </c>
      <c r="E64" s="118" t="str">
        <f ca="1">IF(EAC[[#This Row],[PA ID]]="","",INDEX(BudgetTrack[Phase / Subproject],MATCH(EAC[[#This Row],[PA ID]],BudgetTrack[PA ID],0),0))</f>
        <v>--</v>
      </c>
      <c r="F64" s="118" t="str">
        <f ca="1">IF(EAC[[#This Row],[PA ID]]="","",INDEX(BudgetTrack[Phase / Subproject 2],MATCH(EAC[[#This Row],[PA ID]],BudgetTrack[PA ID],0),0))</f>
        <v>--</v>
      </c>
      <c r="G64" s="118" t="str">
        <f ca="1">IF(EAC[[#This Row],[PA ID]]="","",INDEX(BudgetTrack[Funding Source],MATCH(EAC[[#This Row],[PA ID]],BudgetTrack[PA ID],0),0))</f>
        <v>P-002360</v>
      </c>
      <c r="H64" s="128" t="s">
        <v>397</v>
      </c>
      <c r="I64" s="118" t="str">
        <f ca="1">IF(EAC[[#This Row],[Vendor / Org. with Contract ID]]="","",INDEX(VendorList[Status],MATCH(EAC[[#This Row],[Vendor / Org. with Contract ID]],VendorList[Vendor / Org. with Contract ID],0),0))</f>
        <v>--</v>
      </c>
      <c r="J64" s="248" t="s">
        <v>1698</v>
      </c>
      <c r="K64" s="474">
        <f ca="1">IF(EAC[[#This Row],[Vendor / Org. with Contract ID]]="",0,SUMIFS(VendorList[Current Commitment],VendorList[Vendor / Org. with Contract ID],EAC[[#This Row],[Vendor / Org. with Contract ID]],VendorList[PA ID],EAC[[#This Row],[PA ID]]))</f>
        <v>0</v>
      </c>
      <c r="L64" s="474">
        <f ca="1">IF(EAC[[#This Row],[Vendor / Org. with Contract ID]]="",0,SUMIFS(CostTrack[Value],CostTrack[Vendor - Contract],EAC[[#This Row],[Vendor / Org. with Contract ID]],CostTrack[PA ID],EAC[[#This Row],[PA ID]],CostTrack[Holdback (Y/N/R)],"&lt;&gt;Release",CostTrack[Status],"Approved"))</f>
        <v>0</v>
      </c>
      <c r="M64" s="475">
        <f ca="1">IF(EAC[[#This Row],[Current Commitment]]="",0,EAC[[#This Row],[Current Commitment]]-EAC[[#This Row],[Expenditures to Date]])</f>
        <v>0</v>
      </c>
      <c r="N64" s="1114">
        <v>1129223</v>
      </c>
      <c r="O64" s="42">
        <f ca="1">EAC[[#This Row],[Open Commit.]]+EAC[[#This Row],[Future Commit.]]+EAC[[#This Row],[Expenditures to Date]]</f>
        <v>1129223</v>
      </c>
      <c r="P64" s="188">
        <f ca="1">IF(EAC[[#This Row],[Current Commitment]]="","",EAC[[#This Row],[Current Commitment]]-EAC[[#This Row],[Estimate At Completion]])</f>
        <v>-1129223</v>
      </c>
      <c r="Q64" s="1115"/>
    </row>
    <row r="65" spans="1:17" hidden="1">
      <c r="A65" s="217">
        <v>60</v>
      </c>
      <c r="B65" s="692" t="s">
        <v>413</v>
      </c>
      <c r="C65" s="87" t="str">
        <f ca="1">IF(EAC[[#This Row],[PA ID]]="","",INDEX(BudgetTrack[Primary Category],MATCH(EAC[[#This Row],[PA ID]],BudgetTrack[PA ID],0),0))</f>
        <v>Administration</v>
      </c>
      <c r="D65" s="87" t="str">
        <f ca="1">IF(EAC[[#This Row],[PA ID]]="","",INDEX(BudgetTrack[Secondary Category],MATCH(EAC[[#This Row],[PA ID]],BudgetTrack[PA ID],0),0))</f>
        <v>Other Administration</v>
      </c>
      <c r="E65" s="118" t="str">
        <f ca="1">IF(EAC[[#This Row],[PA ID]]="","",INDEX(BudgetTrack[Phase / Subproject],MATCH(EAC[[#This Row],[PA ID]],BudgetTrack[PA ID],0),0))</f>
        <v>--</v>
      </c>
      <c r="F65" s="118" t="str">
        <f ca="1">IF(EAC[[#This Row],[PA ID]]="","",INDEX(BudgetTrack[Phase / Subproject 2],MATCH(EAC[[#This Row],[PA ID]],BudgetTrack[PA ID],0),0))</f>
        <v>--</v>
      </c>
      <c r="G65" s="118" t="str">
        <f ca="1">IF(EAC[[#This Row],[PA ID]]="","",INDEX(BudgetTrack[Funding Source],MATCH(EAC[[#This Row],[PA ID]],BudgetTrack[PA ID],0),0))</f>
        <v>P-002360</v>
      </c>
      <c r="H65" s="693" t="s">
        <v>996</v>
      </c>
      <c r="I65" s="118" t="str">
        <f ca="1">IF(EAC[[#This Row],[Vendor / Org. with Contract ID]]="","",INDEX(VendorList[Status],MATCH(EAC[[#This Row],[Vendor / Org. with Contract ID]],VendorList[Vendor / Org. with Contract ID],0),0))</f>
        <v>Closed</v>
      </c>
      <c r="J65" s="694" t="s">
        <v>1699</v>
      </c>
      <c r="K65" s="1402">
        <f ca="1">IF(EAC[[#This Row],[Vendor / Org. with Contract ID]]="",0,SUMIFS(VendorList[Current Commitment],VendorList[Vendor / Org. with Contract ID],EAC[[#This Row],[Vendor / Org. with Contract ID]],VendorList[PA ID],EAC[[#This Row],[PA ID]]))</f>
        <v>1553.18</v>
      </c>
      <c r="L65" s="1402">
        <f ca="1">IF(EAC[[#This Row],[Vendor / Org. with Contract ID]]="",0,SUMIFS(CostTrack[Value],CostTrack[Vendor - Contract],EAC[[#This Row],[Vendor / Org. with Contract ID]],CostTrack[PA ID],EAC[[#This Row],[PA ID]],CostTrack[Holdback (Y/N/R)],"&lt;&gt;Release",CostTrack[Status],"Approved"))</f>
        <v>1553.18</v>
      </c>
      <c r="M65" s="1403">
        <f ca="1">IF(EAC[[#This Row],[Current Commitment]]="",0,EAC[[#This Row],[Current Commitment]]-EAC[[#This Row],[Expenditures to Date]])</f>
        <v>0</v>
      </c>
      <c r="N65" s="1404">
        <v>0</v>
      </c>
      <c r="O65" s="1405">
        <f ca="1">EAC[[#This Row],[Open Commit.]]+EAC[[#This Row],[Future Commit.]]+EAC[[#This Row],[Expenditures to Date]]</f>
        <v>1553.18</v>
      </c>
      <c r="P65" s="1406">
        <f ca="1">IF(EAC[[#This Row],[Current Commitment]]="","",EAC[[#This Row],[Current Commitment]]-EAC[[#This Row],[Estimate At Completion]])</f>
        <v>0</v>
      </c>
      <c r="Q65" s="1407"/>
    </row>
    <row r="66" spans="1:17" ht="18.75" hidden="1" customHeight="1">
      <c r="A66" s="217">
        <v>61</v>
      </c>
      <c r="B66" s="692" t="s">
        <v>401</v>
      </c>
      <c r="C66" s="87" t="str">
        <f ca="1">IF(EAC[[#This Row],[PA ID]]="","",INDEX(BudgetTrack[Primary Category],MATCH(EAC[[#This Row],[PA ID]],BudgetTrack[PA ID],0),0))</f>
        <v>Professional Services</v>
      </c>
      <c r="D66" s="87" t="str">
        <f ca="1">IF(EAC[[#This Row],[PA ID]]="","",INDEX(BudgetTrack[Secondary Category],MATCH(EAC[[#This Row],[PA ID]],BudgetTrack[PA ID],0),0))</f>
        <v>Other Professional Services</v>
      </c>
      <c r="E66" s="118" t="str">
        <f ca="1">IF(EAC[[#This Row],[PA ID]]="","",INDEX(BudgetTrack[Phase / Subproject],MATCH(EAC[[#This Row],[PA ID]],BudgetTrack[PA ID],0),0))</f>
        <v>--</v>
      </c>
      <c r="F66" s="118" t="str">
        <f ca="1">IF(EAC[[#This Row],[PA ID]]="","",INDEX(BudgetTrack[Phase / Subproject 2],MATCH(EAC[[#This Row],[PA ID]],BudgetTrack[PA ID],0),0))</f>
        <v>--</v>
      </c>
      <c r="G66" s="118" t="str">
        <f ca="1">IF(EAC[[#This Row],[PA ID]]="","",INDEX(BudgetTrack[Funding Source],MATCH(EAC[[#This Row],[PA ID]],BudgetTrack[PA ID],0),0))</f>
        <v>P-002360</v>
      </c>
      <c r="H66" s="693" t="s">
        <v>666</v>
      </c>
      <c r="I66" s="118" t="str">
        <f ca="1">IF(EAC[[#This Row],[Vendor / Org. with Contract ID]]="","",INDEX(VendorList[Status],MATCH(EAC[[#This Row],[Vendor / Org. with Contract ID]],VendorList[Vendor / Org. with Contract ID],0),0))</f>
        <v>Closed</v>
      </c>
      <c r="J66" s="694" t="s">
        <v>1700</v>
      </c>
      <c r="K66" s="1402">
        <f ca="1">IF(EAC[[#This Row],[Vendor / Org. with Contract ID]]="",0,SUMIFS(VendorList[Current Commitment],VendorList[Vendor / Org. with Contract ID],EAC[[#This Row],[Vendor / Org. with Contract ID]],VendorList[PA ID],EAC[[#This Row],[PA ID]]))</f>
        <v>250205.72</v>
      </c>
      <c r="L66" s="1402">
        <f ca="1">IF(EAC[[#This Row],[Vendor / Org. with Contract ID]]="",0,SUMIFS(CostTrack[Value],CostTrack[Vendor - Contract],EAC[[#This Row],[Vendor / Org. with Contract ID]],CostTrack[PA ID],EAC[[#This Row],[PA ID]],CostTrack[Holdback (Y/N/R)],"&lt;&gt;Release",CostTrack[Status],"Approved"))</f>
        <v>250205.72000000003</v>
      </c>
      <c r="M66" s="1403">
        <f ca="1">IF(EAC[[#This Row],[Current Commitment]]="",0,EAC[[#This Row],[Current Commitment]]-EAC[[#This Row],[Expenditures to Date]])</f>
        <v>-2.9103830456733704E-11</v>
      </c>
      <c r="N66" s="1404"/>
      <c r="O66" s="1405">
        <f ca="1">EAC[[#This Row],[Open Commit.]]+EAC[[#This Row],[Future Commit.]]+EAC[[#This Row],[Expenditures to Date]]</f>
        <v>250205.72</v>
      </c>
      <c r="P66" s="1406">
        <f ca="1">IF(EAC[[#This Row],[Current Commitment]]="","",EAC[[#This Row],[Current Commitment]]-EAC[[#This Row],[Estimate At Completion]])</f>
        <v>0</v>
      </c>
      <c r="Q66" s="1407"/>
    </row>
    <row r="67" spans="1:17" ht="18.75" hidden="1" customHeight="1">
      <c r="A67" s="217">
        <v>62</v>
      </c>
      <c r="B67" s="692" t="s">
        <v>452</v>
      </c>
      <c r="C67" s="87" t="str">
        <f ca="1">IF(EAC[[#This Row],[PA ID]]="","",INDEX(BudgetTrack[Primary Category],MATCH(EAC[[#This Row],[PA ID]],BudgetTrack[PA ID],0),0))</f>
        <v>FE_IT</v>
      </c>
      <c r="D67" s="87" t="str">
        <f ca="1">IF(EAC[[#This Row],[PA ID]]="","",INDEX(BudgetTrack[Secondary Category],MATCH(EAC[[#This Row],[PA ID]],BudgetTrack[PA ID],0),0))</f>
        <v>Information Technology</v>
      </c>
      <c r="E67" s="118" t="str">
        <f ca="1">IF(EAC[[#This Row],[PA ID]]="","",INDEX(BudgetTrack[Phase / Subproject],MATCH(EAC[[#This Row],[PA ID]],BudgetTrack[PA ID],0),0))</f>
        <v>--</v>
      </c>
      <c r="F67" s="118" t="str">
        <f ca="1">IF(EAC[[#This Row],[PA ID]]="","",INDEX(BudgetTrack[Phase / Subproject 2],MATCH(EAC[[#This Row],[PA ID]],BudgetTrack[PA ID],0),0))</f>
        <v>--</v>
      </c>
      <c r="G67" s="118" t="str">
        <f ca="1">IF(EAC[[#This Row],[PA ID]]="","",INDEX(BudgetTrack[Funding Source],MATCH(EAC[[#This Row],[PA ID]],BudgetTrack[PA ID],0),0))</f>
        <v>P-002360</v>
      </c>
      <c r="H67" s="693" t="s">
        <v>1134</v>
      </c>
      <c r="I67" s="118" t="str">
        <f ca="1">IF(EAC[[#This Row],[Vendor / Org. with Contract ID]]="","",INDEX(VendorList[Status],MATCH(EAC[[#This Row],[Vendor / Org. with Contract ID]],VendorList[Vendor / Org. with Contract ID],0),0))</f>
        <v>Closed</v>
      </c>
      <c r="J67" s="694"/>
      <c r="K67" s="1402">
        <f ca="1">IF(EAC[[#This Row],[Vendor / Org. with Contract ID]]="",0,SUMIFS(VendorList[Current Commitment],VendorList[Vendor / Org. with Contract ID],EAC[[#This Row],[Vendor / Org. with Contract ID]],VendorList[PA ID],EAC[[#This Row],[PA ID]]))</f>
        <v>2374968.7200000002</v>
      </c>
      <c r="L67" s="1402">
        <f ca="1">IF(EAC[[#This Row],[Vendor / Org. with Contract ID]]="",0,SUMIFS(CostTrack[Value],CostTrack[Vendor - Contract],EAC[[#This Row],[Vendor / Org. with Contract ID]],CostTrack[PA ID],EAC[[#This Row],[PA ID]],CostTrack[Holdback (Y/N/R)],"&lt;&gt;Release",CostTrack[Status],"Approved"))</f>
        <v>2374968.7200000002</v>
      </c>
      <c r="M67" s="1403">
        <f ca="1">IF(EAC[[#This Row],[Current Commitment]]="",0,EAC[[#This Row],[Current Commitment]]-EAC[[#This Row],[Expenditures to Date]])</f>
        <v>0</v>
      </c>
      <c r="N67" s="1404"/>
      <c r="O67" s="1405">
        <f ca="1">EAC[[#This Row],[Open Commit.]]+EAC[[#This Row],[Future Commit.]]+EAC[[#This Row],[Expenditures to Date]]</f>
        <v>2374968.7200000002</v>
      </c>
      <c r="P67" s="1406">
        <f ca="1">IF(EAC[[#This Row],[Current Commitment]]="","",EAC[[#This Row],[Current Commitment]]-EAC[[#This Row],[Estimate At Completion]])</f>
        <v>0</v>
      </c>
      <c r="Q67" s="1407"/>
    </row>
    <row r="68" spans="1:17" ht="18.75" hidden="1" customHeight="1">
      <c r="A68" s="217">
        <v>63</v>
      </c>
      <c r="B68" s="692" t="s">
        <v>445</v>
      </c>
      <c r="C68" s="87" t="str">
        <f ca="1">IF(EAC[[#This Row],[PA ID]]="","",INDEX(BudgetTrack[Primary Category],MATCH(EAC[[#This Row],[PA ID]],BudgetTrack[PA ID],0),0))</f>
        <v>Administration</v>
      </c>
      <c r="D68" s="87" t="str">
        <f ca="1">IF(EAC[[#This Row],[PA ID]]="","",INDEX(BudgetTrack[Secondary Category],MATCH(EAC[[#This Row],[PA ID]],BudgetTrack[PA ID],0),0))</f>
        <v>Accrual Write Off</v>
      </c>
      <c r="E68" s="118" t="str">
        <f ca="1">IF(EAC[[#This Row],[PA ID]]="","",INDEX(BudgetTrack[Phase / Subproject],MATCH(EAC[[#This Row],[PA ID]],BudgetTrack[PA ID],0),0))</f>
        <v>--</v>
      </c>
      <c r="F68" s="118" t="str">
        <f ca="1">IF(EAC[[#This Row],[PA ID]]="","",INDEX(BudgetTrack[Phase / Subproject 2],MATCH(EAC[[#This Row],[PA ID]],BudgetTrack[PA ID],0),0))</f>
        <v>--</v>
      </c>
      <c r="G68" s="118" t="str">
        <f ca="1">IF(EAC[[#This Row],[PA ID]]="","",INDEX(BudgetTrack[Funding Source],MATCH(EAC[[#This Row],[PA ID]],BudgetTrack[PA ID],0),0))</f>
        <v>P-002360</v>
      </c>
      <c r="H68" s="693" t="s">
        <v>1062</v>
      </c>
      <c r="I68" s="118" t="str">
        <f ca="1">IF(EAC[[#This Row],[Vendor / Org. with Contract ID]]="","",INDEX(VendorList[Status],MATCH(EAC[[#This Row],[Vendor / Org. with Contract ID]],VendorList[Vendor / Org. with Contract ID],0),0))</f>
        <v>Open</v>
      </c>
      <c r="J68" s="694"/>
      <c r="K68" s="1402">
        <f ca="1">IF(EAC[[#This Row],[Vendor / Org. with Contract ID]]="",0,SUMIFS(VendorList[Current Commitment],VendorList[Vendor / Org. with Contract ID],EAC[[#This Row],[Vendor / Org. with Contract ID]],VendorList[PA ID],EAC[[#This Row],[PA ID]]))</f>
        <v>122405.05</v>
      </c>
      <c r="L68" s="1402">
        <f ca="1">IF(EAC[[#This Row],[Vendor / Org. with Contract ID]]="",0,SUMIFS(CostTrack[Value],CostTrack[Vendor - Contract],EAC[[#This Row],[Vendor / Org. with Contract ID]],CostTrack[PA ID],EAC[[#This Row],[PA ID]],CostTrack[Holdback (Y/N/R)],"&lt;&gt;Release",CostTrack[Status],"Approved"))</f>
        <v>122405.05</v>
      </c>
      <c r="M68" s="1403">
        <f ca="1">IF(EAC[[#This Row],[Current Commitment]]="",0,EAC[[#This Row],[Current Commitment]]-EAC[[#This Row],[Expenditures to Date]])</f>
        <v>0</v>
      </c>
      <c r="N68" s="1408"/>
      <c r="O68" s="1405">
        <f ca="1">EAC[[#This Row],[Open Commit.]]+EAC[[#This Row],[Future Commit.]]+EAC[[#This Row],[Expenditures to Date]]</f>
        <v>122405.05</v>
      </c>
      <c r="P68" s="1406">
        <f ca="1">IF(EAC[[#This Row],[Current Commitment]]="","",EAC[[#This Row],[Current Commitment]]-EAC[[#This Row],[Estimate At Completion]])</f>
        <v>0</v>
      </c>
      <c r="Q68" s="1409"/>
    </row>
    <row r="69" spans="1:17" ht="18.75" hidden="1" customHeight="1">
      <c r="A69" s="217">
        <v>64</v>
      </c>
      <c r="B69" s="692" t="s">
        <v>452</v>
      </c>
      <c r="C69" s="87" t="str">
        <f ca="1">IF(EAC[[#This Row],[PA ID]]="","",INDEX(BudgetTrack[Primary Category],MATCH(EAC[[#This Row],[PA ID]],BudgetTrack[PA ID],0),0))</f>
        <v>FE_IT</v>
      </c>
      <c r="D69" s="87" t="str">
        <f ca="1">IF(EAC[[#This Row],[PA ID]]="","",INDEX(BudgetTrack[Secondary Category],MATCH(EAC[[#This Row],[PA ID]],BudgetTrack[PA ID],0),0))</f>
        <v>Information Technology</v>
      </c>
      <c r="E69" s="118" t="str">
        <f ca="1">IF(EAC[[#This Row],[PA ID]]="","",INDEX(BudgetTrack[Phase / Subproject],MATCH(EAC[[#This Row],[PA ID]],BudgetTrack[PA ID],0),0))</f>
        <v>--</v>
      </c>
      <c r="F69" s="118" t="str">
        <f ca="1">IF(EAC[[#This Row],[PA ID]]="","",INDEX(BudgetTrack[Phase / Subproject 2],MATCH(EAC[[#This Row],[PA ID]],BudgetTrack[PA ID],0),0))</f>
        <v>--</v>
      </c>
      <c r="G69" s="118" t="str">
        <f ca="1">IF(EAC[[#This Row],[PA ID]]="","",INDEX(BudgetTrack[Funding Source],MATCH(EAC[[#This Row],[PA ID]],BudgetTrack[PA ID],0),0))</f>
        <v>P-002360</v>
      </c>
      <c r="H69" s="693" t="s">
        <v>1073</v>
      </c>
      <c r="I69" s="118" t="str">
        <f ca="1">IF(EAC[[#This Row],[Vendor / Org. with Contract ID]]="","",INDEX(VendorList[Status],MATCH(EAC[[#This Row],[Vendor / Org. with Contract ID]],VendorList[Vendor / Org. with Contract ID],0),0))</f>
        <v>Closed</v>
      </c>
      <c r="J69" s="694"/>
      <c r="K69" s="1402">
        <f ca="1">IF(EAC[[#This Row],[Vendor / Org. with Contract ID]]="",0,SUMIFS(VendorList[Current Commitment],VendorList[Vendor / Org. with Contract ID],EAC[[#This Row],[Vendor / Org. with Contract ID]],VendorList[PA ID],EAC[[#This Row],[PA ID]]))</f>
        <v>24277.119999999999</v>
      </c>
      <c r="L69" s="1402">
        <f ca="1">IF(EAC[[#This Row],[Vendor / Org. with Contract ID]]="",0,SUMIFS(CostTrack[Value],CostTrack[Vendor - Contract],EAC[[#This Row],[Vendor / Org. with Contract ID]],CostTrack[PA ID],EAC[[#This Row],[PA ID]],CostTrack[Holdback (Y/N/R)],"&lt;&gt;Release",CostTrack[Status],"Approved"))</f>
        <v>24277.119999999999</v>
      </c>
      <c r="M69" s="1403">
        <f ca="1">IF(EAC[[#This Row],[Current Commitment]]="",0,EAC[[#This Row],[Current Commitment]]-EAC[[#This Row],[Expenditures to Date]])</f>
        <v>0</v>
      </c>
      <c r="N69" s="1404"/>
      <c r="O69" s="1405">
        <f ca="1">EAC[[#This Row],[Open Commit.]]+EAC[[#This Row],[Future Commit.]]+EAC[[#This Row],[Expenditures to Date]]</f>
        <v>24277.119999999999</v>
      </c>
      <c r="P69" s="1406">
        <f ca="1">IF(EAC[[#This Row],[Current Commitment]]="","",EAC[[#This Row],[Current Commitment]]-EAC[[#This Row],[Estimate At Completion]])</f>
        <v>0</v>
      </c>
      <c r="Q69" s="1407"/>
    </row>
    <row r="70" spans="1:17" ht="18.75" hidden="1" customHeight="1">
      <c r="A70" s="217">
        <v>65</v>
      </c>
      <c r="B70" s="692" t="s">
        <v>248</v>
      </c>
      <c r="C70" s="87" t="str">
        <f ca="1">IF(EAC[[#This Row],[PA ID]]="","",INDEX(BudgetTrack[Primary Category],MATCH(EAC[[#This Row],[PA ID]],BudgetTrack[PA ID],0),0))</f>
        <v>Construction</v>
      </c>
      <c r="D70" s="87" t="str">
        <f ca="1">IF(EAC[[#This Row],[PA ID]]="","",INDEX(BudgetTrack[Secondary Category],MATCH(EAC[[#This Row],[PA ID]],BudgetTrack[PA ID],0),0))</f>
        <v>Other Contractor</v>
      </c>
      <c r="E70" s="118" t="str">
        <f ca="1">IF(EAC[[#This Row],[PA ID]]="","",INDEX(BudgetTrack[Phase / Subproject],MATCH(EAC[[#This Row],[PA ID]],BudgetTrack[PA ID],0),0))</f>
        <v>--</v>
      </c>
      <c r="F70" s="118" t="str">
        <f ca="1">IF(EAC[[#This Row],[PA ID]]="","",INDEX(BudgetTrack[Phase / Subproject 2],MATCH(EAC[[#This Row],[PA ID]],BudgetTrack[PA ID],0),0))</f>
        <v>--</v>
      </c>
      <c r="G70" s="118" t="str">
        <f ca="1">IF(EAC[[#This Row],[PA ID]]="","",INDEX(BudgetTrack[Funding Source],MATCH(EAC[[#This Row],[PA ID]],BudgetTrack[PA ID],0),0))</f>
        <v>P-002360</v>
      </c>
      <c r="H70" s="693" t="s">
        <v>1140</v>
      </c>
      <c r="I70" s="118" t="str">
        <f ca="1">IF(EAC[[#This Row],[Vendor / Org. with Contract ID]]="","",INDEX(VendorList[Status],MATCH(EAC[[#This Row],[Vendor / Org. with Contract ID]],VendorList[Vendor / Org. with Contract ID],0),0))</f>
        <v>Closed</v>
      </c>
      <c r="J70" s="694" t="s">
        <v>1701</v>
      </c>
      <c r="K70" s="1402">
        <f ca="1">IF(EAC[[#This Row],[Vendor / Org. with Contract ID]]="",0,SUMIFS(VendorList[Current Commitment],VendorList[Vendor / Org. with Contract ID],EAC[[#This Row],[Vendor / Org. with Contract ID]],VendorList[PA ID],EAC[[#This Row],[PA ID]]))</f>
        <v>48800.28</v>
      </c>
      <c r="L70" s="1402">
        <f ca="1">IF(EAC[[#This Row],[Vendor / Org. with Contract ID]]="",0,SUMIFS(CostTrack[Value],CostTrack[Vendor - Contract],EAC[[#This Row],[Vendor / Org. with Contract ID]],CostTrack[PA ID],EAC[[#This Row],[PA ID]],CostTrack[Holdback (Y/N/R)],"&lt;&gt;Release",CostTrack[Status],"Approved"))</f>
        <v>48800.28</v>
      </c>
      <c r="M70" s="1403">
        <f ca="1">IF(EAC[[#This Row],[Current Commitment]]="",0,EAC[[#This Row],[Current Commitment]]-EAC[[#This Row],[Expenditures to Date]])</f>
        <v>0</v>
      </c>
      <c r="N70" s="1404"/>
      <c r="O70" s="1405">
        <f ca="1">EAC[[#This Row],[Open Commit.]]+EAC[[#This Row],[Future Commit.]]+EAC[[#This Row],[Expenditures to Date]]</f>
        <v>48800.28</v>
      </c>
      <c r="P70" s="1406">
        <f ca="1">IF(EAC[[#This Row],[Current Commitment]]="","",EAC[[#This Row],[Current Commitment]]-EAC[[#This Row],[Estimate At Completion]])</f>
        <v>0</v>
      </c>
      <c r="Q70" s="1407"/>
    </row>
    <row r="71" spans="1:17" ht="18.75" hidden="1" customHeight="1">
      <c r="A71" s="217">
        <v>66</v>
      </c>
      <c r="B71" s="692" t="s">
        <v>248</v>
      </c>
      <c r="C71" s="87" t="str">
        <f ca="1">IF(EAC[[#This Row],[PA ID]]="","",INDEX(BudgetTrack[Primary Category],MATCH(EAC[[#This Row],[PA ID]],BudgetTrack[PA ID],0),0))</f>
        <v>Construction</v>
      </c>
      <c r="D71" s="87" t="str">
        <f ca="1">IF(EAC[[#This Row],[PA ID]]="","",INDEX(BudgetTrack[Secondary Category],MATCH(EAC[[#This Row],[PA ID]],BudgetTrack[PA ID],0),0))</f>
        <v>Other Contractor</v>
      </c>
      <c r="E71" s="118" t="str">
        <f ca="1">IF(EAC[[#This Row],[PA ID]]="","",INDEX(BudgetTrack[Phase / Subproject],MATCH(EAC[[#This Row],[PA ID]],BudgetTrack[PA ID],0),0))</f>
        <v>--</v>
      </c>
      <c r="F71" s="118" t="str">
        <f ca="1">IF(EAC[[#This Row],[PA ID]]="","",INDEX(BudgetTrack[Phase / Subproject 2],MATCH(EAC[[#This Row],[PA ID]],BudgetTrack[PA ID],0),0))</f>
        <v>--</v>
      </c>
      <c r="G71" s="118" t="str">
        <f ca="1">IF(EAC[[#This Row],[PA ID]]="","",INDEX(BudgetTrack[Funding Source],MATCH(EAC[[#This Row],[PA ID]],BudgetTrack[PA ID],0),0))</f>
        <v>P-002360</v>
      </c>
      <c r="H71" s="693" t="s">
        <v>1138</v>
      </c>
      <c r="I71" s="118" t="str">
        <f ca="1">IF(EAC[[#This Row],[Vendor / Org. with Contract ID]]="","",INDEX(VendorList[Status],MATCH(EAC[[#This Row],[Vendor / Org. with Contract ID]],VendorList[Vendor / Org. with Contract ID],0),0))</f>
        <v>Closed</v>
      </c>
      <c r="J71" s="694" t="s">
        <v>1702</v>
      </c>
      <c r="K71" s="1402">
        <f ca="1">IF(EAC[[#This Row],[Vendor / Org. with Contract ID]]="",0,SUMIFS(VendorList[Current Commitment],VendorList[Vendor / Org. with Contract ID],EAC[[#This Row],[Vendor / Org. with Contract ID]],VendorList[PA ID],EAC[[#This Row],[PA ID]]))</f>
        <v>35</v>
      </c>
      <c r="L71" s="1402">
        <f ca="1">IF(EAC[[#This Row],[Vendor / Org. with Contract ID]]="",0,SUMIFS(CostTrack[Value],CostTrack[Vendor - Contract],EAC[[#This Row],[Vendor / Org. with Contract ID]],CostTrack[PA ID],EAC[[#This Row],[PA ID]],CostTrack[Holdback (Y/N/R)],"&lt;&gt;Release",CostTrack[Status],"Approved"))</f>
        <v>35</v>
      </c>
      <c r="M71" s="1403">
        <f ca="1">IF(EAC[[#This Row],[Current Commitment]]="",0,EAC[[#This Row],[Current Commitment]]-EAC[[#This Row],[Expenditures to Date]])</f>
        <v>0</v>
      </c>
      <c r="N71" s="1404"/>
      <c r="O71" s="1405">
        <f ca="1">EAC[[#This Row],[Open Commit.]]+EAC[[#This Row],[Future Commit.]]+EAC[[#This Row],[Expenditures to Date]]</f>
        <v>35</v>
      </c>
      <c r="P71" s="1406">
        <f ca="1">IF(EAC[[#This Row],[Current Commitment]]="","",EAC[[#This Row],[Current Commitment]]-EAC[[#This Row],[Estimate At Completion]])</f>
        <v>0</v>
      </c>
      <c r="Q71" s="1407"/>
    </row>
    <row r="72" spans="1:17" ht="18.75" customHeight="1">
      <c r="A72" s="217">
        <v>67</v>
      </c>
      <c r="B72" s="692" t="s">
        <v>1657</v>
      </c>
      <c r="C72" s="87" t="str">
        <f ca="1">IF(EAC[[#This Row],[PA ID]]="","",INDEX(BudgetTrack[Primary Category],MATCH(EAC[[#This Row],[PA ID]],BudgetTrack[PA ID],0),0))</f>
        <v>Construction</v>
      </c>
      <c r="D72" s="87" t="str">
        <f ca="1">IF(EAC[[#This Row],[PA ID]]="","",INDEX(BudgetTrack[Secondary Category],MATCH(EAC[[#This Row],[PA ID]],BudgetTrack[PA ID],0),0))</f>
        <v>Contingency - Const. Phase</v>
      </c>
      <c r="E72" s="118" t="str">
        <f ca="1">IF(EAC[[#This Row],[PA ID]]="","",INDEX(BudgetTrack[Phase / Subproject],MATCH(EAC[[#This Row],[PA ID]],BudgetTrack[PA ID],0),0))</f>
        <v>--</v>
      </c>
      <c r="F72" s="118" t="str">
        <f ca="1">IF(EAC[[#This Row],[PA ID]]="","",INDEX(BudgetTrack[Phase / Subproject 2],MATCH(EAC[[#This Row],[PA ID]],BudgetTrack[PA ID],0),0))</f>
        <v>--</v>
      </c>
      <c r="G72" s="118" t="str">
        <f ca="1">IF(EAC[[#This Row],[PA ID]]="","",INDEX(BudgetTrack[Funding Source],MATCH(EAC[[#This Row],[PA ID]],BudgetTrack[PA ID],0),0))</f>
        <v>P-002360</v>
      </c>
      <c r="H72" s="693" t="s">
        <v>397</v>
      </c>
      <c r="I72" s="118" t="str">
        <f ca="1">IF(EAC[[#This Row],[Vendor / Org. with Contract ID]]="","",INDEX(VendorList[Status],MATCH(EAC[[#This Row],[Vendor / Org. with Contract ID]],VendorList[Vendor / Org. with Contract ID],0),0))</f>
        <v>--</v>
      </c>
      <c r="J72" s="694" t="s">
        <v>1703</v>
      </c>
      <c r="K72" s="1402">
        <f ca="1">IF(EAC[[#This Row],[Vendor / Org. with Contract ID]]="",0,SUMIFS(VendorList[Current Commitment],VendorList[Vendor / Org. with Contract ID],EAC[[#This Row],[Vendor / Org. with Contract ID]],VendorList[PA ID],EAC[[#This Row],[PA ID]]))</f>
        <v>0</v>
      </c>
      <c r="L72" s="1402">
        <f ca="1">IF(EAC[[#This Row],[Vendor / Org. with Contract ID]]="",0,SUMIFS(CostTrack[Value],CostTrack[Vendor - Contract],EAC[[#This Row],[Vendor / Org. with Contract ID]],CostTrack[PA ID],EAC[[#This Row],[PA ID]],CostTrack[Holdback (Y/N/R)],"&lt;&gt;Release",CostTrack[Status],"Approved"))</f>
        <v>0</v>
      </c>
      <c r="M72" s="1403">
        <f ca="1">IF(EAC[[#This Row],[Current Commitment]]="",0,EAC[[#This Row],[Current Commitment]]-EAC[[#This Row],[Expenditures to Date]])</f>
        <v>0</v>
      </c>
      <c r="N72" s="1408">
        <f ca="1">1500000</f>
        <v>1500000</v>
      </c>
      <c r="O72" s="1405">
        <f ca="1">EAC[[#This Row],[Open Commit.]]+EAC[[#This Row],[Future Commit.]]+EAC[[#This Row],[Expenditures to Date]]</f>
        <v>1500000</v>
      </c>
      <c r="P72" s="1406">
        <f ca="1">IF(EAC[[#This Row],[Current Commitment]]="","",EAC[[#This Row],[Current Commitment]]-EAC[[#This Row],[Estimate At Completion]])</f>
        <v>-1500000</v>
      </c>
      <c r="Q72" s="1115"/>
    </row>
    <row r="73" spans="1:17" ht="18.75" hidden="1" customHeight="1">
      <c r="A73" s="217">
        <v>68</v>
      </c>
      <c r="B73" s="129" t="s">
        <v>248</v>
      </c>
      <c r="C73" s="87" t="str">
        <f ca="1">IF(EAC[[#This Row],[PA ID]]="","",INDEX(BudgetTrack[Primary Category],MATCH(EAC[[#This Row],[PA ID]],BudgetTrack[PA ID],0),0))</f>
        <v>Construction</v>
      </c>
      <c r="D73" s="87" t="str">
        <f ca="1">IF(EAC[[#This Row],[PA ID]]="","",INDEX(BudgetTrack[Secondary Category],MATCH(EAC[[#This Row],[PA ID]],BudgetTrack[PA ID],0),0))</f>
        <v>Other Contractor</v>
      </c>
      <c r="E73" s="118" t="str">
        <f ca="1">IF(EAC[[#This Row],[PA ID]]="","",INDEX(BudgetTrack[Phase / Subproject],MATCH(EAC[[#This Row],[PA ID]],BudgetTrack[PA ID],0),0))</f>
        <v>--</v>
      </c>
      <c r="F73" s="118" t="str">
        <f ca="1">IF(EAC[[#This Row],[PA ID]]="","",INDEX(BudgetTrack[Phase / Subproject 2],MATCH(EAC[[#This Row],[PA ID]],BudgetTrack[PA ID],0),0))</f>
        <v>--</v>
      </c>
      <c r="G73" s="118" t="str">
        <f ca="1">IF(EAC[[#This Row],[PA ID]]="","",INDEX(BudgetTrack[Funding Source],MATCH(EAC[[#This Row],[PA ID]],BudgetTrack[PA ID],0),0))</f>
        <v>P-002360</v>
      </c>
      <c r="H73" s="128" t="s">
        <v>1087</v>
      </c>
      <c r="I73" s="118" t="str">
        <f ca="1">IF(EAC[[#This Row],[Vendor / Org. with Contract ID]]="","",INDEX(VendorList[Status],MATCH(EAC[[#This Row],[Vendor / Org. with Contract ID]],VendorList[Vendor / Org. with Contract ID],0),0))</f>
        <v>Closed</v>
      </c>
      <c r="J73" s="248" t="s">
        <v>1704</v>
      </c>
      <c r="K73" s="474">
        <f ca="1">IF(EAC[[#This Row],[Vendor / Org. with Contract ID]]="",0,SUMIFS(VendorList[Current Commitment],VendorList[Vendor / Org. with Contract ID],EAC[[#This Row],[Vendor / Org. with Contract ID]],VendorList[PA ID],EAC[[#This Row],[PA ID]]))</f>
        <v>240010.38</v>
      </c>
      <c r="L73" s="474">
        <f ca="1">IF(EAC[[#This Row],[Vendor / Org. with Contract ID]]="",0,SUMIFS(CostTrack[Value],CostTrack[Vendor - Contract],EAC[[#This Row],[Vendor / Org. with Contract ID]],CostTrack[PA ID],EAC[[#This Row],[PA ID]],CostTrack[Holdback (Y/N/R)],"&lt;&gt;Release",CostTrack[Status],"Approved"))</f>
        <v>240010.38000000003</v>
      </c>
      <c r="M73" s="475">
        <f ca="1">IF(EAC[[#This Row],[Current Commitment]]="",0,EAC[[#This Row],[Current Commitment]]-EAC[[#This Row],[Expenditures to Date]])</f>
        <v>-2.9103830456733704E-11</v>
      </c>
      <c r="N73" s="343"/>
      <c r="O73" s="42">
        <f ca="1">EAC[[#This Row],[Open Commit.]]+EAC[[#This Row],[Future Commit.]]+EAC[[#This Row],[Expenditures to Date]]</f>
        <v>240010.38</v>
      </c>
      <c r="P73" s="188">
        <f ca="1">IF(EAC[[#This Row],[Current Commitment]]="","",EAC[[#This Row],[Current Commitment]]-EAC[[#This Row],[Estimate At Completion]])</f>
        <v>0</v>
      </c>
      <c r="Q73" s="457"/>
    </row>
    <row r="74" spans="1:17" ht="18.75" hidden="1" customHeight="1">
      <c r="A74" s="217">
        <v>69</v>
      </c>
      <c r="B74" s="129" t="s">
        <v>248</v>
      </c>
      <c r="C74" s="87" t="str">
        <f ca="1">IF(EAC[[#This Row],[PA ID]]="","",INDEX(BudgetTrack[Primary Category],MATCH(EAC[[#This Row],[PA ID]],BudgetTrack[PA ID],0),0))</f>
        <v>Construction</v>
      </c>
      <c r="D74" s="87" t="str">
        <f ca="1">IF(EAC[[#This Row],[PA ID]]="","",INDEX(BudgetTrack[Secondary Category],MATCH(EAC[[#This Row],[PA ID]],BudgetTrack[PA ID],0),0))</f>
        <v>Other Contractor</v>
      </c>
      <c r="E74" s="118" t="str">
        <f ca="1">IF(EAC[[#This Row],[PA ID]]="","",INDEX(BudgetTrack[Phase / Subproject],MATCH(EAC[[#This Row],[PA ID]],BudgetTrack[PA ID],0),0))</f>
        <v>--</v>
      </c>
      <c r="F74" s="118" t="str">
        <f ca="1">IF(EAC[[#This Row],[PA ID]]="","",INDEX(BudgetTrack[Phase / Subproject 2],MATCH(EAC[[#This Row],[PA ID]],BudgetTrack[PA ID],0),0))</f>
        <v>--</v>
      </c>
      <c r="G74" s="118" t="str">
        <f ca="1">IF(EAC[[#This Row],[PA ID]]="","",INDEX(BudgetTrack[Funding Source],MATCH(EAC[[#This Row],[PA ID]],BudgetTrack[PA ID],0),0))</f>
        <v>P-002360</v>
      </c>
      <c r="H74" s="693" t="s">
        <v>710</v>
      </c>
      <c r="I74" s="118" t="str">
        <f ca="1">IF(EAC[[#This Row],[Vendor / Org. with Contract ID]]="","",INDEX(VendorList[Status],MATCH(EAC[[#This Row],[Vendor / Org. with Contract ID]],VendorList[Vendor / Org. with Contract ID],0),0))</f>
        <v>Closed</v>
      </c>
      <c r="J74" s="433" t="s">
        <v>1705</v>
      </c>
      <c r="K74" s="1402">
        <f ca="1">IF(EAC[[#This Row],[Vendor / Org. with Contract ID]]="",0,SUMIFS(VendorList[Current Commitment],VendorList[Vendor / Org. with Contract ID],EAC[[#This Row],[Vendor / Org. with Contract ID]],VendorList[PA ID],EAC[[#This Row],[PA ID]]))</f>
        <v>10918.3</v>
      </c>
      <c r="L74" s="1402">
        <f ca="1">IF(EAC[[#This Row],[Vendor / Org. with Contract ID]]="",0,SUMIFS(CostTrack[Value],CostTrack[Vendor - Contract],EAC[[#This Row],[Vendor / Org. with Contract ID]],CostTrack[PA ID],EAC[[#This Row],[PA ID]],CostTrack[Holdback (Y/N/R)],"&lt;&gt;Release",CostTrack[Status],"Approved"))</f>
        <v>10918.3</v>
      </c>
      <c r="M74" s="1403">
        <f ca="1">IF(EAC[[#This Row],[Current Commitment]]="",0,EAC[[#This Row],[Current Commitment]]-EAC[[#This Row],[Expenditures to Date]])</f>
        <v>0</v>
      </c>
      <c r="N74" s="1404"/>
      <c r="O74" s="1405">
        <f ca="1">EAC[[#This Row],[Open Commit.]]+EAC[[#This Row],[Future Commit.]]+EAC[[#This Row],[Expenditures to Date]]</f>
        <v>10918.3</v>
      </c>
      <c r="P74" s="1406">
        <f ca="1">IF(EAC[[#This Row],[Current Commitment]]="","",EAC[[#This Row],[Current Commitment]]-EAC[[#This Row],[Estimate At Completion]])</f>
        <v>0</v>
      </c>
      <c r="Q74" s="1407"/>
    </row>
    <row r="75" spans="1:17" ht="18.75" hidden="1" customHeight="1">
      <c r="A75" s="217">
        <v>70</v>
      </c>
      <c r="B75" s="129" t="s">
        <v>248</v>
      </c>
      <c r="C75" s="87" t="str">
        <f ca="1">IF(EAC[[#This Row],[PA ID]]="","",INDEX(BudgetTrack[Primary Category],MATCH(EAC[[#This Row],[PA ID]],BudgetTrack[PA ID],0),0))</f>
        <v>Construction</v>
      </c>
      <c r="D75" s="87" t="str">
        <f ca="1">IF(EAC[[#This Row],[PA ID]]="","",INDEX(BudgetTrack[Secondary Category],MATCH(EAC[[#This Row],[PA ID]],BudgetTrack[PA ID],0),0))</f>
        <v>Other Contractor</v>
      </c>
      <c r="E75" s="118" t="str">
        <f ca="1">IF(EAC[[#This Row],[PA ID]]="","",INDEX(BudgetTrack[Phase / Subproject],MATCH(EAC[[#This Row],[PA ID]],BudgetTrack[PA ID],0),0))</f>
        <v>--</v>
      </c>
      <c r="F75" s="118" t="str">
        <f ca="1">IF(EAC[[#This Row],[PA ID]]="","",INDEX(BudgetTrack[Phase / Subproject 2],MATCH(EAC[[#This Row],[PA ID]],BudgetTrack[PA ID],0),0))</f>
        <v>--</v>
      </c>
      <c r="G75" s="118" t="str">
        <f ca="1">IF(EAC[[#This Row],[PA ID]]="","",INDEX(BudgetTrack[Funding Source],MATCH(EAC[[#This Row],[PA ID]],BudgetTrack[PA ID],0),0))</f>
        <v>P-002360</v>
      </c>
      <c r="H75" s="693" t="s">
        <v>711</v>
      </c>
      <c r="I75" s="118" t="str">
        <f ca="1">IF(EAC[[#This Row],[Vendor / Org. with Contract ID]]="","",INDEX(VendorList[Status],MATCH(EAC[[#This Row],[Vendor / Org. with Contract ID]],VendorList[Vendor / Org. with Contract ID],0),0))</f>
        <v>Closed</v>
      </c>
      <c r="J75" s="433" t="s">
        <v>1706</v>
      </c>
      <c r="K75" s="1402">
        <f ca="1">IF(EAC[[#This Row],[Vendor / Org. with Contract ID]]="",0,SUMIFS(VendorList[Current Commitment],VendorList[Vendor / Org. with Contract ID],EAC[[#This Row],[Vendor / Org. with Contract ID]],VendorList[PA ID],EAC[[#This Row],[PA ID]]))</f>
        <v>4212.74</v>
      </c>
      <c r="L75" s="1402">
        <f ca="1">IF(EAC[[#This Row],[Vendor / Org. with Contract ID]]="",0,SUMIFS(CostTrack[Value],CostTrack[Vendor - Contract],EAC[[#This Row],[Vendor / Org. with Contract ID]],CostTrack[PA ID],EAC[[#This Row],[PA ID]],CostTrack[Holdback (Y/N/R)],"&lt;&gt;Release",CostTrack[Status],"Approved"))</f>
        <v>4212.74</v>
      </c>
      <c r="M75" s="1403">
        <f ca="1">IF(EAC[[#This Row],[Current Commitment]]="",0,EAC[[#This Row],[Current Commitment]]-EAC[[#This Row],[Expenditures to Date]])</f>
        <v>0</v>
      </c>
      <c r="N75" s="1404"/>
      <c r="O75" s="1405">
        <f ca="1">EAC[[#This Row],[Open Commit.]]+EAC[[#This Row],[Future Commit.]]+EAC[[#This Row],[Expenditures to Date]]</f>
        <v>4212.74</v>
      </c>
      <c r="P75" s="1406">
        <f ca="1">IF(EAC[[#This Row],[Current Commitment]]="","",EAC[[#This Row],[Current Commitment]]-EAC[[#This Row],[Estimate At Completion]])</f>
        <v>0</v>
      </c>
      <c r="Q75" s="1407"/>
    </row>
    <row r="76" spans="1:17" ht="18.75" hidden="1" customHeight="1">
      <c r="A76" s="217">
        <v>71</v>
      </c>
      <c r="B76" s="129" t="s">
        <v>401</v>
      </c>
      <c r="C76" s="87" t="str">
        <f ca="1">IF(EAC[[#This Row],[PA ID]]="","",INDEX(BudgetTrack[Primary Category],MATCH(EAC[[#This Row],[PA ID]],BudgetTrack[PA ID],0),0))</f>
        <v>Professional Services</v>
      </c>
      <c r="D76" s="87" t="str">
        <f ca="1">IF(EAC[[#This Row],[PA ID]]="","",INDEX(BudgetTrack[Secondary Category],MATCH(EAC[[#This Row],[PA ID]],BudgetTrack[PA ID],0),0))</f>
        <v>Other Professional Services</v>
      </c>
      <c r="E76" s="118" t="str">
        <f ca="1">IF(EAC[[#This Row],[PA ID]]="","",INDEX(BudgetTrack[Phase / Subproject],MATCH(EAC[[#This Row],[PA ID]],BudgetTrack[PA ID],0),0))</f>
        <v>--</v>
      </c>
      <c r="F76" s="118" t="str">
        <f ca="1">IF(EAC[[#This Row],[PA ID]]="","",INDEX(BudgetTrack[Phase / Subproject 2],MATCH(EAC[[#This Row],[PA ID]],BudgetTrack[PA ID],0),0))</f>
        <v>--</v>
      </c>
      <c r="G76" s="118" t="str">
        <f ca="1">IF(EAC[[#This Row],[PA ID]]="","",INDEX(BudgetTrack[Funding Source],MATCH(EAC[[#This Row],[PA ID]],BudgetTrack[PA ID],0),0))</f>
        <v>P-002360</v>
      </c>
      <c r="H76" s="693" t="s">
        <v>1086</v>
      </c>
      <c r="I76" s="118" t="str">
        <f ca="1">IF(EAC[[#This Row],[Vendor / Org. with Contract ID]]="","",INDEX(VendorList[Status],MATCH(EAC[[#This Row],[Vendor / Org. with Contract ID]],VendorList[Vendor / Org. with Contract ID],0),0))</f>
        <v>Closed</v>
      </c>
      <c r="J76" s="694" t="s">
        <v>1707</v>
      </c>
      <c r="K76" s="1402">
        <f ca="1">IF(EAC[[#This Row],[Vendor / Org. with Contract ID]]="",0,SUMIFS(VendorList[Current Commitment],VendorList[Vendor / Org. with Contract ID],EAC[[#This Row],[Vendor / Org. with Contract ID]],VendorList[PA ID],EAC[[#This Row],[PA ID]]))</f>
        <v>400</v>
      </c>
      <c r="L76" s="1402">
        <f ca="1">IF(EAC[[#This Row],[Vendor / Org. with Contract ID]]="",0,SUMIFS(CostTrack[Value],CostTrack[Vendor - Contract],EAC[[#This Row],[Vendor / Org. with Contract ID]],CostTrack[PA ID],EAC[[#This Row],[PA ID]],CostTrack[Holdback (Y/N/R)],"&lt;&gt;Release",CostTrack[Status],"Approved"))</f>
        <v>400</v>
      </c>
      <c r="M76" s="1403">
        <f ca="1">IF(EAC[[#This Row],[Current Commitment]]="",0,EAC[[#This Row],[Current Commitment]]-EAC[[#This Row],[Expenditures to Date]])</f>
        <v>0</v>
      </c>
      <c r="N76" s="1404"/>
      <c r="O76" s="1405">
        <f ca="1">EAC[[#This Row],[Open Commit.]]+EAC[[#This Row],[Future Commit.]]+EAC[[#This Row],[Expenditures to Date]]</f>
        <v>400</v>
      </c>
      <c r="P76" s="1406">
        <f ca="1">IF(EAC[[#This Row],[Current Commitment]]="","",EAC[[#This Row],[Current Commitment]]-EAC[[#This Row],[Estimate At Completion]])</f>
        <v>0</v>
      </c>
      <c r="Q76" s="1407"/>
    </row>
    <row r="77" spans="1:17" ht="18.75" hidden="1" customHeight="1">
      <c r="A77" s="217">
        <v>72</v>
      </c>
      <c r="B77" s="129" t="s">
        <v>401</v>
      </c>
      <c r="C77" s="87" t="str">
        <f ca="1">IF(EAC[[#This Row],[PA ID]]="","",INDEX(BudgetTrack[Primary Category],MATCH(EAC[[#This Row],[PA ID]],BudgetTrack[PA ID],0),0))</f>
        <v>Professional Services</v>
      </c>
      <c r="D77" s="87" t="str">
        <f ca="1">IF(EAC[[#This Row],[PA ID]]="","",INDEX(BudgetTrack[Secondary Category],MATCH(EAC[[#This Row],[PA ID]],BudgetTrack[PA ID],0),0))</f>
        <v>Other Professional Services</v>
      </c>
      <c r="E77" s="118" t="str">
        <f ca="1">IF(EAC[[#This Row],[PA ID]]="","",INDEX(BudgetTrack[Phase / Subproject],MATCH(EAC[[#This Row],[PA ID]],BudgetTrack[PA ID],0),0))</f>
        <v>--</v>
      </c>
      <c r="F77" s="118" t="str">
        <f ca="1">IF(EAC[[#This Row],[PA ID]]="","",INDEX(BudgetTrack[Phase / Subproject 2],MATCH(EAC[[#This Row],[PA ID]],BudgetTrack[PA ID],0),0))</f>
        <v>--</v>
      </c>
      <c r="G77" s="118" t="str">
        <f ca="1">IF(EAC[[#This Row],[PA ID]]="","",INDEX(BudgetTrack[Funding Source],MATCH(EAC[[#This Row],[PA ID]],BudgetTrack[PA ID],0),0))</f>
        <v>P-002360</v>
      </c>
      <c r="H77" s="693" t="s">
        <v>1113</v>
      </c>
      <c r="I77" s="118" t="str">
        <f ca="1">IF(EAC[[#This Row],[Vendor / Org. with Contract ID]]="","",INDEX(VendorList[Status],MATCH(EAC[[#This Row],[Vendor / Org. with Contract ID]],VendorList[Vendor / Org. with Contract ID],0),0))</f>
        <v>Closed</v>
      </c>
      <c r="J77" s="694" t="s">
        <v>1708</v>
      </c>
      <c r="K77" s="1402">
        <f ca="1">IF(EAC[[#This Row],[Vendor / Org. with Contract ID]]="",0,SUMIFS(VendorList[Current Commitment],VendorList[Vendor / Org. with Contract ID],EAC[[#This Row],[Vendor / Org. with Contract ID]],VendorList[PA ID],EAC[[#This Row],[PA ID]]))</f>
        <v>16506</v>
      </c>
      <c r="L77" s="1402">
        <f ca="1">IF(EAC[[#This Row],[Vendor / Org. with Contract ID]]="",0,SUMIFS(CostTrack[Value],CostTrack[Vendor - Contract],EAC[[#This Row],[Vendor / Org. with Contract ID]],CostTrack[PA ID],EAC[[#This Row],[PA ID]],CostTrack[Holdback (Y/N/R)],"&lt;&gt;Release",CostTrack[Status],"Approved"))</f>
        <v>16506</v>
      </c>
      <c r="M77" s="1403">
        <f ca="1">IF(EAC[[#This Row],[Current Commitment]]="",0,EAC[[#This Row],[Current Commitment]]-EAC[[#This Row],[Expenditures to Date]])</f>
        <v>0</v>
      </c>
      <c r="N77" s="1404"/>
      <c r="O77" s="1405">
        <f ca="1">EAC[[#This Row],[Open Commit.]]+EAC[[#This Row],[Future Commit.]]+EAC[[#This Row],[Expenditures to Date]]</f>
        <v>16506</v>
      </c>
      <c r="P77" s="1406">
        <f ca="1">IF(EAC[[#This Row],[Current Commitment]]="","",EAC[[#This Row],[Current Commitment]]-EAC[[#This Row],[Estimate At Completion]])</f>
        <v>0</v>
      </c>
      <c r="Q77" s="1407"/>
    </row>
    <row r="78" spans="1:17" ht="18.75" hidden="1" customHeight="1">
      <c r="A78" s="217">
        <v>73</v>
      </c>
      <c r="B78" s="129" t="s">
        <v>248</v>
      </c>
      <c r="C78" s="87" t="str">
        <f ca="1">IF(EAC[[#This Row],[PA ID]]="","",INDEX(BudgetTrack[Primary Category],MATCH(EAC[[#This Row],[PA ID]],BudgetTrack[PA ID],0),0))</f>
        <v>Construction</v>
      </c>
      <c r="D78" s="87" t="str">
        <f ca="1">IF(EAC[[#This Row],[PA ID]]="","",INDEX(BudgetTrack[Secondary Category],MATCH(EAC[[#This Row],[PA ID]],BudgetTrack[PA ID],0),0))</f>
        <v>Other Contractor</v>
      </c>
      <c r="E78" s="118" t="str">
        <f ca="1">IF(EAC[[#This Row],[PA ID]]="","",INDEX(BudgetTrack[Phase / Subproject],MATCH(EAC[[#This Row],[PA ID]],BudgetTrack[PA ID],0),0))</f>
        <v>--</v>
      </c>
      <c r="F78" s="118" t="str">
        <f ca="1">IF(EAC[[#This Row],[PA ID]]="","",INDEX(BudgetTrack[Phase / Subproject 2],MATCH(EAC[[#This Row],[PA ID]],BudgetTrack[PA ID],0),0))</f>
        <v>--</v>
      </c>
      <c r="G78" s="118" t="str">
        <f ca="1">IF(EAC[[#This Row],[PA ID]]="","",INDEX(BudgetTrack[Funding Source],MATCH(EAC[[#This Row],[PA ID]],BudgetTrack[PA ID],0),0))</f>
        <v>P-002360</v>
      </c>
      <c r="H78" s="693" t="s">
        <v>718</v>
      </c>
      <c r="I78" s="118" t="str">
        <f ca="1">IF(EAC[[#This Row],[Vendor / Org. with Contract ID]]="","",INDEX(VendorList[Status],MATCH(EAC[[#This Row],[Vendor / Org. with Contract ID]],VendorList[Vendor / Org. with Contract ID],0),0))</f>
        <v>Closed</v>
      </c>
      <c r="J78" s="694" t="s">
        <v>1709</v>
      </c>
      <c r="K78" s="1402">
        <f ca="1">IF(EAC[[#This Row],[Vendor / Org. with Contract ID]]="",0,SUMIFS(VendorList[Current Commitment],VendorList[Vendor / Org. with Contract ID],EAC[[#This Row],[Vendor / Org. with Contract ID]],VendorList[PA ID],EAC[[#This Row],[PA ID]]))</f>
        <v>1169</v>
      </c>
      <c r="L78" s="1402">
        <f ca="1">IF(EAC[[#This Row],[Vendor / Org. with Contract ID]]="",0,SUMIFS(CostTrack[Value],CostTrack[Vendor - Contract],EAC[[#This Row],[Vendor / Org. with Contract ID]],CostTrack[PA ID],EAC[[#This Row],[PA ID]],CostTrack[Holdback (Y/N/R)],"&lt;&gt;Release",CostTrack[Status],"Approved"))</f>
        <v>1169</v>
      </c>
      <c r="M78" s="1403">
        <f ca="1">IF(EAC[[#This Row],[Current Commitment]]="",0,EAC[[#This Row],[Current Commitment]]-EAC[[#This Row],[Expenditures to Date]])</f>
        <v>0</v>
      </c>
      <c r="N78" s="1404"/>
      <c r="O78" s="1405">
        <f ca="1">EAC[[#This Row],[Open Commit.]]+EAC[[#This Row],[Future Commit.]]+EAC[[#This Row],[Expenditures to Date]]</f>
        <v>1169</v>
      </c>
      <c r="P78" s="1406">
        <f ca="1">IF(EAC[[#This Row],[Current Commitment]]="","",EAC[[#This Row],[Current Commitment]]-EAC[[#This Row],[Estimate At Completion]])</f>
        <v>0</v>
      </c>
      <c r="Q78" s="1407"/>
    </row>
    <row r="79" spans="1:17" ht="18.75" hidden="1" customHeight="1">
      <c r="A79" s="217">
        <v>74</v>
      </c>
      <c r="B79" s="129" t="s">
        <v>428</v>
      </c>
      <c r="C79" s="87" t="str">
        <f ca="1">IF(EAC[[#This Row],[PA ID]]="","",INDEX(BudgetTrack[Primary Category],MATCH(EAC[[#This Row],[PA ID]],BudgetTrack[PA ID],0),0))</f>
        <v>Construction</v>
      </c>
      <c r="D79" s="87" t="str">
        <f ca="1">IF(EAC[[#This Row],[PA ID]]="","",INDEX(BudgetTrack[Secondary Category],MATCH(EAC[[#This Row],[PA ID]],BudgetTrack[PA ID],0),0))</f>
        <v>Utilities</v>
      </c>
      <c r="E79" s="118" t="str">
        <f ca="1">IF(EAC[[#This Row],[PA ID]]="","",INDEX(BudgetTrack[Phase / Subproject],MATCH(EAC[[#This Row],[PA ID]],BudgetTrack[PA ID],0),0))</f>
        <v>--</v>
      </c>
      <c r="F79" s="118" t="str">
        <f ca="1">IF(EAC[[#This Row],[PA ID]]="","",INDEX(BudgetTrack[Phase / Subproject 2],MATCH(EAC[[#This Row],[PA ID]],BudgetTrack[PA ID],0),0))</f>
        <v>--</v>
      </c>
      <c r="G79" s="118" t="str">
        <f ca="1">IF(EAC[[#This Row],[PA ID]]="","",INDEX(BudgetTrack[Funding Source],MATCH(EAC[[#This Row],[PA ID]],BudgetTrack[PA ID],0),0))</f>
        <v>P-002360</v>
      </c>
      <c r="H79" s="693" t="s">
        <v>1385</v>
      </c>
      <c r="I79" s="118" t="str">
        <f ca="1">IF(EAC[[#This Row],[Vendor / Org. with Contract ID]]="","",INDEX(VendorList[Status],MATCH(EAC[[#This Row],[Vendor / Org. with Contract ID]],VendorList[Vendor / Org. with Contract ID],0),0))</f>
        <v>Closed</v>
      </c>
      <c r="J79" s="694" t="s">
        <v>1710</v>
      </c>
      <c r="K79" s="1402">
        <f ca="1">IF(EAC[[#This Row],[Vendor / Org. with Contract ID]]="",0,SUMIFS(VendorList[Current Commitment],VendorList[Vendor / Org. with Contract ID],EAC[[#This Row],[Vendor / Org. with Contract ID]],VendorList[PA ID],EAC[[#This Row],[PA ID]]))</f>
        <v>26028.39</v>
      </c>
      <c r="L79" s="1402">
        <f ca="1">IF(EAC[[#This Row],[Vendor / Org. with Contract ID]]="",0,SUMIFS(CostTrack[Value],CostTrack[Vendor - Contract],EAC[[#This Row],[Vendor / Org. with Contract ID]],CostTrack[PA ID],EAC[[#This Row],[PA ID]],CostTrack[Holdback (Y/N/R)],"&lt;&gt;Release",CostTrack[Status],"Approved"))</f>
        <v>26028.39</v>
      </c>
      <c r="M79" s="1403">
        <f ca="1">IF(EAC[[#This Row],[Current Commitment]]="",0,EAC[[#This Row],[Current Commitment]]-EAC[[#This Row],[Expenditures to Date]])</f>
        <v>0</v>
      </c>
      <c r="N79" s="1404"/>
      <c r="O79" s="1405">
        <f ca="1">EAC[[#This Row],[Open Commit.]]+EAC[[#This Row],[Future Commit.]]+EAC[[#This Row],[Expenditures to Date]]</f>
        <v>26028.39</v>
      </c>
      <c r="P79" s="1406">
        <f ca="1">IF(EAC[[#This Row],[Current Commitment]]="","",EAC[[#This Row],[Current Commitment]]-EAC[[#This Row],[Estimate At Completion]])</f>
        <v>0</v>
      </c>
      <c r="Q79" s="1407"/>
    </row>
    <row r="80" spans="1:17" ht="18.75" hidden="1" customHeight="1">
      <c r="A80" s="217">
        <v>75</v>
      </c>
      <c r="B80" s="692" t="s">
        <v>413</v>
      </c>
      <c r="C80" s="87" t="str">
        <f ca="1">IF(EAC[[#This Row],[PA ID]]="","",INDEX(BudgetTrack[Primary Category],MATCH(EAC[[#This Row],[PA ID]],BudgetTrack[PA ID],0),0))</f>
        <v>Administration</v>
      </c>
      <c r="D80" s="87" t="str">
        <f ca="1">IF(EAC[[#This Row],[PA ID]]="","",INDEX(BudgetTrack[Secondary Category],MATCH(EAC[[#This Row],[PA ID]],BudgetTrack[PA ID],0),0))</f>
        <v>Other Administration</v>
      </c>
      <c r="E80" s="118" t="str">
        <f ca="1">IF(EAC[[#This Row],[PA ID]]="","",INDEX(BudgetTrack[Phase / Subproject],MATCH(EAC[[#This Row],[PA ID]],BudgetTrack[PA ID],0),0))</f>
        <v>--</v>
      </c>
      <c r="F80" s="118" t="str">
        <f ca="1">IF(EAC[[#This Row],[PA ID]]="","",INDEX(BudgetTrack[Phase / Subproject 2],MATCH(EAC[[#This Row],[PA ID]],BudgetTrack[PA ID],0),0))</f>
        <v>--</v>
      </c>
      <c r="G80" s="118" t="str">
        <f ca="1">IF(EAC[[#This Row],[PA ID]]="","",INDEX(BudgetTrack[Funding Source],MATCH(EAC[[#This Row],[PA ID]],BudgetTrack[PA ID],0),0))</f>
        <v>P-002360</v>
      </c>
      <c r="H80" s="693" t="s">
        <v>693</v>
      </c>
      <c r="I80" s="118" t="str">
        <f ca="1">IF(EAC[[#This Row],[Vendor / Org. with Contract ID]]="","",INDEX(VendorList[Status],MATCH(EAC[[#This Row],[Vendor / Org. with Contract ID]],VendorList[Vendor / Org. with Contract ID],0),0))</f>
        <v>Closed</v>
      </c>
      <c r="J80" s="694" t="s">
        <v>1711</v>
      </c>
      <c r="K80" s="1402">
        <f ca="1">IF(EAC[[#This Row],[Vendor / Org. with Contract ID]]="",0,SUMIFS(VendorList[Current Commitment],VendorList[Vendor / Org. with Contract ID],EAC[[#This Row],[Vendor / Org. with Contract ID]],VendorList[PA ID],EAC[[#This Row],[PA ID]]))</f>
        <v>732.62</v>
      </c>
      <c r="L80" s="1402">
        <f ca="1">IF(EAC[[#This Row],[Vendor / Org. with Contract ID]]="",0,SUMIFS(CostTrack[Value],CostTrack[Vendor - Contract],EAC[[#This Row],[Vendor / Org. with Contract ID]],CostTrack[PA ID],EAC[[#This Row],[PA ID]],CostTrack[Holdback (Y/N/R)],"&lt;&gt;Release",CostTrack[Status],"Approved"))</f>
        <v>732.62</v>
      </c>
      <c r="M80" s="1403">
        <f ca="1">IF(EAC[[#This Row],[Current Commitment]]="",0,EAC[[#This Row],[Current Commitment]]-EAC[[#This Row],[Expenditures to Date]])</f>
        <v>0</v>
      </c>
      <c r="N80" s="1404"/>
      <c r="O80" s="1405">
        <f ca="1">EAC[[#This Row],[Open Commit.]]+EAC[[#This Row],[Future Commit.]]+EAC[[#This Row],[Expenditures to Date]]</f>
        <v>732.62</v>
      </c>
      <c r="P80" s="1406">
        <f ca="1">IF(EAC[[#This Row],[Current Commitment]]="","",EAC[[#This Row],[Current Commitment]]-EAC[[#This Row],[Estimate At Completion]])</f>
        <v>0</v>
      </c>
      <c r="Q80" s="1407"/>
    </row>
    <row r="81" spans="1:17" ht="18.75" hidden="1" customHeight="1">
      <c r="A81" s="217">
        <v>76</v>
      </c>
      <c r="B81" s="692" t="s">
        <v>452</v>
      </c>
      <c r="C81" s="87" t="str">
        <f ca="1">IF(EAC[[#This Row],[PA ID]]="","",INDEX(BudgetTrack[Primary Category],MATCH(EAC[[#This Row],[PA ID]],BudgetTrack[PA ID],0),0))</f>
        <v>FE_IT</v>
      </c>
      <c r="D81" s="87" t="str">
        <f ca="1">IF(EAC[[#This Row],[PA ID]]="","",INDEX(BudgetTrack[Secondary Category],MATCH(EAC[[#This Row],[PA ID]],BudgetTrack[PA ID],0),0))</f>
        <v>Information Technology</v>
      </c>
      <c r="E81" s="118" t="str">
        <f ca="1">IF(EAC[[#This Row],[PA ID]]="","",INDEX(BudgetTrack[Phase / Subproject],MATCH(EAC[[#This Row],[PA ID]],BudgetTrack[PA ID],0),0))</f>
        <v>--</v>
      </c>
      <c r="F81" s="118" t="str">
        <f ca="1">IF(EAC[[#This Row],[PA ID]]="","",INDEX(BudgetTrack[Phase / Subproject 2],MATCH(EAC[[#This Row],[PA ID]],BudgetTrack[PA ID],0),0))</f>
        <v>--</v>
      </c>
      <c r="G81" s="118" t="str">
        <f ca="1">IF(EAC[[#This Row],[PA ID]]="","",INDEX(BudgetTrack[Funding Source],MATCH(EAC[[#This Row],[PA ID]],BudgetTrack[PA ID],0),0))</f>
        <v>P-002360</v>
      </c>
      <c r="H81" s="693" t="s">
        <v>1131</v>
      </c>
      <c r="I81" s="118" t="str">
        <f ca="1">IF(EAC[[#This Row],[Vendor / Org. with Contract ID]]="","",INDEX(VendorList[Status],MATCH(EAC[[#This Row],[Vendor / Org. with Contract ID]],VendorList[Vendor / Org. with Contract ID],0),0))</f>
        <v>Closed</v>
      </c>
      <c r="J81" s="694"/>
      <c r="K81" s="1402">
        <f ca="1">IF(EAC[[#This Row],[Vendor / Org. with Contract ID]]="",0,SUMIFS(VendorList[Current Commitment],VendorList[Vendor / Org. with Contract ID],EAC[[#This Row],[Vendor / Org. with Contract ID]],VendorList[PA ID],EAC[[#This Row],[PA ID]]))</f>
        <v>4395.3599999999997</v>
      </c>
      <c r="L81" s="1402">
        <f ca="1">IF(EAC[[#This Row],[Vendor / Org. with Contract ID]]="",0,SUMIFS(CostTrack[Value],CostTrack[Vendor - Contract],EAC[[#This Row],[Vendor / Org. with Contract ID]],CostTrack[PA ID],EAC[[#This Row],[PA ID]],CostTrack[Holdback (Y/N/R)],"&lt;&gt;Release",CostTrack[Status],"Approved"))</f>
        <v>4395.3599999999997</v>
      </c>
      <c r="M81" s="1403">
        <f ca="1">IF(EAC[[#This Row],[Current Commitment]]="",0,EAC[[#This Row],[Current Commitment]]-EAC[[#This Row],[Expenditures to Date]])</f>
        <v>0</v>
      </c>
      <c r="N81" s="1404"/>
      <c r="O81" s="1405">
        <f ca="1">EAC[[#This Row],[Open Commit.]]+EAC[[#This Row],[Future Commit.]]+EAC[[#This Row],[Expenditures to Date]]</f>
        <v>4395.3599999999997</v>
      </c>
      <c r="P81" s="1406">
        <f ca="1">IF(EAC[[#This Row],[Current Commitment]]="","",EAC[[#This Row],[Current Commitment]]-EAC[[#This Row],[Estimate At Completion]])</f>
        <v>0</v>
      </c>
      <c r="Q81" s="1407"/>
    </row>
    <row r="82" spans="1:17" ht="18.75" hidden="1" customHeight="1">
      <c r="A82" s="217">
        <v>77</v>
      </c>
      <c r="B82" s="692" t="s">
        <v>452</v>
      </c>
      <c r="C82" s="87" t="str">
        <f ca="1">IF(EAC[[#This Row],[PA ID]]="","",INDEX(BudgetTrack[Primary Category],MATCH(EAC[[#This Row],[PA ID]],BudgetTrack[PA ID],0),0))</f>
        <v>FE_IT</v>
      </c>
      <c r="D82" s="87" t="str">
        <f ca="1">IF(EAC[[#This Row],[PA ID]]="","",INDEX(BudgetTrack[Secondary Category],MATCH(EAC[[#This Row],[PA ID]],BudgetTrack[PA ID],0),0))</f>
        <v>Information Technology</v>
      </c>
      <c r="E82" s="118" t="str">
        <f ca="1">IF(EAC[[#This Row],[PA ID]]="","",INDEX(BudgetTrack[Phase / Subproject],MATCH(EAC[[#This Row],[PA ID]],BudgetTrack[PA ID],0),0))</f>
        <v>--</v>
      </c>
      <c r="F82" s="118" t="str">
        <f ca="1">IF(EAC[[#This Row],[PA ID]]="","",INDEX(BudgetTrack[Phase / Subproject 2],MATCH(EAC[[#This Row],[PA ID]],BudgetTrack[PA ID],0),0))</f>
        <v>--</v>
      </c>
      <c r="G82" s="118" t="str">
        <f ca="1">IF(EAC[[#This Row],[PA ID]]="","",INDEX(BudgetTrack[Funding Source],MATCH(EAC[[#This Row],[PA ID]],BudgetTrack[PA ID],0),0))</f>
        <v>P-002360</v>
      </c>
      <c r="H82" s="693" t="s">
        <v>1161</v>
      </c>
      <c r="I82" s="118" t="str">
        <f ca="1">IF(EAC[[#This Row],[Vendor / Org. with Contract ID]]="","",INDEX(VendorList[Status],MATCH(EAC[[#This Row],[Vendor / Org. with Contract ID]],VendorList[Vendor / Org. with Contract ID],0),0))</f>
        <v>Closed</v>
      </c>
      <c r="J82" s="694" t="s">
        <v>1712</v>
      </c>
      <c r="K82" s="1402">
        <f ca="1">IF(EAC[[#This Row],[Vendor / Org. with Contract ID]]="",0,SUMIFS(VendorList[Current Commitment],VendorList[Vendor / Org. with Contract ID],EAC[[#This Row],[Vendor / Org. with Contract ID]],VendorList[PA ID],EAC[[#This Row],[PA ID]]))</f>
        <v>1320</v>
      </c>
      <c r="L82" s="1402">
        <f ca="1">IF(EAC[[#This Row],[Vendor / Org. with Contract ID]]="",0,SUMIFS(CostTrack[Value],CostTrack[Vendor - Contract],EAC[[#This Row],[Vendor / Org. with Contract ID]],CostTrack[PA ID],EAC[[#This Row],[PA ID]],CostTrack[Holdback (Y/N/R)],"&lt;&gt;Release",CostTrack[Status],"Approved"))</f>
        <v>1320</v>
      </c>
      <c r="M82" s="1403">
        <f ca="1">IF(EAC[[#This Row],[Current Commitment]]="",0,EAC[[#This Row],[Current Commitment]]-EAC[[#This Row],[Expenditures to Date]])</f>
        <v>0</v>
      </c>
      <c r="N82" s="1404"/>
      <c r="O82" s="1405">
        <f ca="1">EAC[[#This Row],[Open Commit.]]+EAC[[#This Row],[Future Commit.]]+EAC[[#This Row],[Expenditures to Date]]</f>
        <v>1320</v>
      </c>
      <c r="P82" s="1406">
        <f ca="1">IF(EAC[[#This Row],[Current Commitment]]="","",EAC[[#This Row],[Current Commitment]]-EAC[[#This Row],[Estimate At Completion]])</f>
        <v>0</v>
      </c>
      <c r="Q82" s="1407"/>
    </row>
    <row r="83" spans="1:17" ht="18.75" hidden="1" customHeight="1">
      <c r="A83" s="217">
        <v>78</v>
      </c>
      <c r="B83" s="692" t="s">
        <v>471</v>
      </c>
      <c r="C83" s="87" t="str">
        <f ca="1">IF(EAC[[#This Row],[PA ID]]="","",INDEX(BudgetTrack[Primary Category],MATCH(EAC[[#This Row],[PA ID]],BudgetTrack[PA ID],0),0))</f>
        <v>FE_IT</v>
      </c>
      <c r="D83" s="87" t="str">
        <f ca="1">IF(EAC[[#This Row],[PA ID]]="","",INDEX(BudgetTrack[Secondary Category],MATCH(EAC[[#This Row],[PA ID]],BudgetTrack[PA ID],0),0))</f>
        <v>Furniture &amp; Equipment</v>
      </c>
      <c r="E83" s="118" t="str">
        <f ca="1">IF(EAC[[#This Row],[PA ID]]="","",INDEX(BudgetTrack[Phase / Subproject],MATCH(EAC[[#This Row],[PA ID]],BudgetTrack[PA ID],0),0))</f>
        <v>--</v>
      </c>
      <c r="F83" s="118" t="str">
        <f ca="1">IF(EAC[[#This Row],[PA ID]]="","",INDEX(BudgetTrack[Phase / Subproject 2],MATCH(EAC[[#This Row],[PA ID]],BudgetTrack[PA ID],0),0))</f>
        <v>--</v>
      </c>
      <c r="G83" s="118" t="str">
        <f ca="1">IF(EAC[[#This Row],[PA ID]]="","",INDEX(BudgetTrack[Funding Source],MATCH(EAC[[#This Row],[PA ID]],BudgetTrack[PA ID],0),0))</f>
        <v>P-002360</v>
      </c>
      <c r="H83" s="693" t="s">
        <v>1380</v>
      </c>
      <c r="I83" s="118" t="str">
        <f ca="1">IF(EAC[[#This Row],[Vendor / Org. with Contract ID]]="","",INDEX(VendorList[Status],MATCH(EAC[[#This Row],[Vendor / Org. with Contract ID]],VendorList[Vendor / Org. with Contract ID],0),0))</f>
        <v>Closed</v>
      </c>
      <c r="J83" s="694" t="s">
        <v>1713</v>
      </c>
      <c r="K83" s="1402">
        <f ca="1">IF(EAC[[#This Row],[Vendor / Org. with Contract ID]]="",0,SUMIFS(VendorList[Current Commitment],VendorList[Vendor / Org. with Contract ID],EAC[[#This Row],[Vendor / Org. with Contract ID]],VendorList[PA ID],EAC[[#This Row],[PA ID]]))</f>
        <v>52739.54</v>
      </c>
      <c r="L83" s="1402">
        <f ca="1">IF(EAC[[#This Row],[Vendor / Org. with Contract ID]]="",0,SUMIFS(CostTrack[Value],CostTrack[Vendor - Contract],EAC[[#This Row],[Vendor / Org. with Contract ID]],CostTrack[PA ID],EAC[[#This Row],[PA ID]],CostTrack[Holdback (Y/N/R)],"&lt;&gt;Release",CostTrack[Status],"Approved"))</f>
        <v>52739.54</v>
      </c>
      <c r="M83" s="1403">
        <f ca="1">IF(EAC[[#This Row],[Current Commitment]]="",0,EAC[[#This Row],[Current Commitment]]-EAC[[#This Row],[Expenditures to Date]])</f>
        <v>0</v>
      </c>
      <c r="N83" s="1404"/>
      <c r="O83" s="1405">
        <f ca="1">EAC[[#This Row],[Open Commit.]]+EAC[[#This Row],[Future Commit.]]+EAC[[#This Row],[Expenditures to Date]]</f>
        <v>52739.54</v>
      </c>
      <c r="P83" s="1406">
        <f ca="1">IF(EAC[[#This Row],[Current Commitment]]="","",EAC[[#This Row],[Current Commitment]]-EAC[[#This Row],[Estimate At Completion]])</f>
        <v>0</v>
      </c>
      <c r="Q83" s="1407"/>
    </row>
    <row r="84" spans="1:17" ht="18.75" hidden="1" customHeight="1">
      <c r="A84" s="217">
        <v>79</v>
      </c>
      <c r="B84" s="692" t="s">
        <v>471</v>
      </c>
      <c r="C84" s="87" t="str">
        <f ca="1">IF(EAC[[#This Row],[PA ID]]="","",INDEX(BudgetTrack[Primary Category],MATCH(EAC[[#This Row],[PA ID]],BudgetTrack[PA ID],0),0))</f>
        <v>FE_IT</v>
      </c>
      <c r="D84" s="87" t="str">
        <f ca="1">IF(EAC[[#This Row],[PA ID]]="","",INDEX(BudgetTrack[Secondary Category],MATCH(EAC[[#This Row],[PA ID]],BudgetTrack[PA ID],0),0))</f>
        <v>Furniture &amp; Equipment</v>
      </c>
      <c r="E84" s="118" t="str">
        <f ca="1">IF(EAC[[#This Row],[PA ID]]="","",INDEX(BudgetTrack[Phase / Subproject],MATCH(EAC[[#This Row],[PA ID]],BudgetTrack[PA ID],0),0))</f>
        <v>--</v>
      </c>
      <c r="F84" s="118" t="str">
        <f ca="1">IF(EAC[[#This Row],[PA ID]]="","",INDEX(BudgetTrack[Phase / Subproject 2],MATCH(EAC[[#This Row],[PA ID]],BudgetTrack[PA ID],0),0))</f>
        <v>--</v>
      </c>
      <c r="G84" s="118" t="str">
        <f ca="1">IF(EAC[[#This Row],[PA ID]]="","",INDEX(BudgetTrack[Funding Source],MATCH(EAC[[#This Row],[PA ID]],BudgetTrack[PA ID],0),0))</f>
        <v>P-002360</v>
      </c>
      <c r="H84" s="693" t="s">
        <v>1310</v>
      </c>
      <c r="I84" s="118" t="str">
        <f ca="1">IF(EAC[[#This Row],[Vendor / Org. with Contract ID]]="","",INDEX(VendorList[Status],MATCH(EAC[[#This Row],[Vendor / Org. with Contract ID]],VendorList[Vendor / Org. with Contract ID],0),0))</f>
        <v>Closed</v>
      </c>
      <c r="J84" s="694" t="s">
        <v>1714</v>
      </c>
      <c r="K84" s="1402">
        <f ca="1">IF(EAC[[#This Row],[Vendor / Org. with Contract ID]]="",0,SUMIFS(VendorList[Current Commitment],VendorList[Vendor / Org. with Contract ID],EAC[[#This Row],[Vendor / Org. with Contract ID]],VendorList[PA ID],EAC[[#This Row],[PA ID]]))</f>
        <v>205685.74</v>
      </c>
      <c r="L84" s="1402">
        <f ca="1">IF(EAC[[#This Row],[Vendor / Org. with Contract ID]]="",0,SUMIFS(CostTrack[Value],CostTrack[Vendor - Contract],EAC[[#This Row],[Vendor / Org. with Contract ID]],CostTrack[PA ID],EAC[[#This Row],[PA ID]],CostTrack[Holdback (Y/N/R)],"&lt;&gt;Release",CostTrack[Status],"Approved"))</f>
        <v>205685.74</v>
      </c>
      <c r="M84" s="1403">
        <f ca="1">IF(EAC[[#This Row],[Current Commitment]]="",0,EAC[[#This Row],[Current Commitment]]-EAC[[#This Row],[Expenditures to Date]])</f>
        <v>0</v>
      </c>
      <c r="N84" s="1404"/>
      <c r="O84" s="1405">
        <f ca="1">EAC[[#This Row],[Open Commit.]]+EAC[[#This Row],[Future Commit.]]+EAC[[#This Row],[Expenditures to Date]]</f>
        <v>205685.74</v>
      </c>
      <c r="P84" s="1406">
        <f ca="1">IF(EAC[[#This Row],[Current Commitment]]="","",EAC[[#This Row],[Current Commitment]]-EAC[[#This Row],[Estimate At Completion]])</f>
        <v>0</v>
      </c>
      <c r="Q84" s="1407"/>
    </row>
    <row r="85" spans="1:17" ht="18.75" hidden="1" customHeight="1">
      <c r="A85" s="217">
        <v>80</v>
      </c>
      <c r="B85" s="692" t="s">
        <v>471</v>
      </c>
      <c r="C85" s="87" t="str">
        <f ca="1">IF(EAC[[#This Row],[PA ID]]="","",INDEX(BudgetTrack[Primary Category],MATCH(EAC[[#This Row],[PA ID]],BudgetTrack[PA ID],0),0))</f>
        <v>FE_IT</v>
      </c>
      <c r="D85" s="87" t="str">
        <f ca="1">IF(EAC[[#This Row],[PA ID]]="","",INDEX(BudgetTrack[Secondary Category],MATCH(EAC[[#This Row],[PA ID]],BudgetTrack[PA ID],0),0))</f>
        <v>Furniture &amp; Equipment</v>
      </c>
      <c r="E85" s="118" t="str">
        <f ca="1">IF(EAC[[#This Row],[PA ID]]="","",INDEX(BudgetTrack[Phase / Subproject],MATCH(EAC[[#This Row],[PA ID]],BudgetTrack[PA ID],0),0))</f>
        <v>--</v>
      </c>
      <c r="F85" s="118" t="str">
        <f ca="1">IF(EAC[[#This Row],[PA ID]]="","",INDEX(BudgetTrack[Phase / Subproject 2],MATCH(EAC[[#This Row],[PA ID]],BudgetTrack[PA ID],0),0))</f>
        <v>--</v>
      </c>
      <c r="G85" s="118" t="str">
        <f ca="1">IF(EAC[[#This Row],[PA ID]]="","",INDEX(BudgetTrack[Funding Source],MATCH(EAC[[#This Row],[PA ID]],BudgetTrack[PA ID],0),0))</f>
        <v>P-002360</v>
      </c>
      <c r="H85" s="693" t="s">
        <v>1715</v>
      </c>
      <c r="I85" s="118" t="e">
        <f ca="1">IF(EAC[[#This Row],[Vendor / Org. with Contract ID]]="","",INDEX(VendorList[Status],MATCH(EAC[[#This Row],[Vendor / Org. with Contract ID]],VendorList[Vendor / Org. with Contract ID],0),0))</f>
        <v>#N/A</v>
      </c>
      <c r="J85" s="694" t="s">
        <v>1716</v>
      </c>
      <c r="K85" s="1402">
        <f ca="1">IF(EAC[[#This Row],[Vendor / Org. with Contract ID]]="",0,SUMIFS(VendorList[Current Commitment],VendorList[Vendor / Org. with Contract ID],EAC[[#This Row],[Vendor / Org. with Contract ID]],VendorList[PA ID],EAC[[#This Row],[PA ID]]))</f>
        <v>0</v>
      </c>
      <c r="L85" s="1402">
        <f ca="1">IF(EAC[[#This Row],[Vendor / Org. with Contract ID]]="",0,SUMIFS(CostTrack[Value],CostTrack[Vendor - Contract],EAC[[#This Row],[Vendor / Org. with Contract ID]],CostTrack[PA ID],EAC[[#This Row],[PA ID]],CostTrack[Holdback (Y/N/R)],"&lt;&gt;Release",CostTrack[Status],"Approved"))</f>
        <v>0</v>
      </c>
      <c r="M85" s="1403">
        <f ca="1">IF(EAC[[#This Row],[Current Commitment]]="",0,EAC[[#This Row],[Current Commitment]]-EAC[[#This Row],[Expenditures to Date]])</f>
        <v>0</v>
      </c>
      <c r="N85" s="1404"/>
      <c r="O85" s="1405">
        <f ca="1">EAC[[#This Row],[Open Commit.]]+EAC[[#This Row],[Future Commit.]]+EAC[[#This Row],[Expenditures to Date]]</f>
        <v>0</v>
      </c>
      <c r="P85" s="1406">
        <f ca="1">IF(EAC[[#This Row],[Current Commitment]]="","",EAC[[#This Row],[Current Commitment]]-EAC[[#This Row],[Estimate At Completion]])</f>
        <v>0</v>
      </c>
      <c r="Q85" s="1407"/>
    </row>
    <row r="86" spans="1:17" ht="18.75" hidden="1" customHeight="1">
      <c r="A86" s="217">
        <v>81</v>
      </c>
      <c r="B86" s="692" t="s">
        <v>452</v>
      </c>
      <c r="C86" s="87" t="str">
        <f ca="1">IF(EAC[[#This Row],[PA ID]]="","",INDEX(BudgetTrack[Primary Category],MATCH(EAC[[#This Row],[PA ID]],BudgetTrack[PA ID],0),0))</f>
        <v>FE_IT</v>
      </c>
      <c r="D86" s="87" t="str">
        <f ca="1">IF(EAC[[#This Row],[PA ID]]="","",INDEX(BudgetTrack[Secondary Category],MATCH(EAC[[#This Row],[PA ID]],BudgetTrack[PA ID],0),0))</f>
        <v>Information Technology</v>
      </c>
      <c r="E86" s="118" t="str">
        <f ca="1">IF(EAC[[#This Row],[PA ID]]="","",INDEX(BudgetTrack[Phase / Subproject],MATCH(EAC[[#This Row],[PA ID]],BudgetTrack[PA ID],0),0))</f>
        <v>--</v>
      </c>
      <c r="F86" s="118" t="str">
        <f ca="1">IF(EAC[[#This Row],[PA ID]]="","",INDEX(BudgetTrack[Phase / Subproject 2],MATCH(EAC[[#This Row],[PA ID]],BudgetTrack[PA ID],0),0))</f>
        <v>--</v>
      </c>
      <c r="G86" s="118" t="str">
        <f ca="1">IF(EAC[[#This Row],[PA ID]]="","",INDEX(BudgetTrack[Funding Source],MATCH(EAC[[#This Row],[PA ID]],BudgetTrack[PA ID],0),0))</f>
        <v>P-002360</v>
      </c>
      <c r="H86" s="693" t="s">
        <v>1219</v>
      </c>
      <c r="I86" s="118" t="str">
        <f ca="1">IF(EAC[[#This Row],[Vendor / Org. with Contract ID]]="","",INDEX(VendorList[Status],MATCH(EAC[[#This Row],[Vendor / Org. with Contract ID]],VendorList[Vendor / Org. with Contract ID],0),0))</f>
        <v>Closed</v>
      </c>
      <c r="J86" s="694" t="s">
        <v>1717</v>
      </c>
      <c r="K86" s="1402">
        <f ca="1">IF(EAC[[#This Row],[Vendor / Org. with Contract ID]]="",0,SUMIFS(VendorList[Current Commitment],VendorList[Vendor / Org. with Contract ID],EAC[[#This Row],[Vendor / Org. with Contract ID]],VendorList[PA ID],EAC[[#This Row],[PA ID]]))</f>
        <v>1063259.17</v>
      </c>
      <c r="L86" s="1402">
        <f ca="1">IF(EAC[[#This Row],[Vendor / Org. with Contract ID]]="",0,SUMIFS(CostTrack[Value],CostTrack[Vendor - Contract],EAC[[#This Row],[Vendor / Org. with Contract ID]],CostTrack[PA ID],EAC[[#This Row],[PA ID]],CostTrack[Holdback (Y/N/R)],"&lt;&gt;Release",CostTrack[Status],"Approved"))</f>
        <v>1063259.1700000002</v>
      </c>
      <c r="M86" s="1403">
        <f ca="1">IF(EAC[[#This Row],[Current Commitment]]="",0,EAC[[#This Row],[Current Commitment]]-EAC[[#This Row],[Expenditures to Date]])</f>
        <v>-2.3283064365386963E-10</v>
      </c>
      <c r="N86" s="1404"/>
      <c r="O86" s="1405">
        <f ca="1">EAC[[#This Row],[Open Commit.]]+EAC[[#This Row],[Future Commit.]]+EAC[[#This Row],[Expenditures to Date]]</f>
        <v>1063259.17</v>
      </c>
      <c r="P86" s="1406">
        <f ca="1">IF(EAC[[#This Row],[Current Commitment]]="","",EAC[[#This Row],[Current Commitment]]-EAC[[#This Row],[Estimate At Completion]])</f>
        <v>0</v>
      </c>
      <c r="Q86" s="1407"/>
    </row>
    <row r="87" spans="1:17" ht="18.75" hidden="1" customHeight="1">
      <c r="A87" s="217">
        <v>82</v>
      </c>
      <c r="B87" s="692" t="s">
        <v>452</v>
      </c>
      <c r="C87" s="87" t="str">
        <f ca="1">IF(EAC[[#This Row],[PA ID]]="","",INDEX(BudgetTrack[Primary Category],MATCH(EAC[[#This Row],[PA ID]],BudgetTrack[PA ID],0),0))</f>
        <v>FE_IT</v>
      </c>
      <c r="D87" s="87" t="str">
        <f ca="1">IF(EAC[[#This Row],[PA ID]]="","",INDEX(BudgetTrack[Secondary Category],MATCH(EAC[[#This Row],[PA ID]],BudgetTrack[PA ID],0),0))</f>
        <v>Information Technology</v>
      </c>
      <c r="E87" s="118" t="str">
        <f ca="1">IF(EAC[[#This Row],[PA ID]]="","",INDEX(BudgetTrack[Phase / Subproject],MATCH(EAC[[#This Row],[PA ID]],BudgetTrack[PA ID],0),0))</f>
        <v>--</v>
      </c>
      <c r="F87" s="118" t="str">
        <f ca="1">IF(EAC[[#This Row],[PA ID]]="","",INDEX(BudgetTrack[Phase / Subproject 2],MATCH(EAC[[#This Row],[PA ID]],BudgetTrack[PA ID],0),0))</f>
        <v>--</v>
      </c>
      <c r="G87" s="118" t="str">
        <f ca="1">IF(EAC[[#This Row],[PA ID]]="","",INDEX(BudgetTrack[Funding Source],MATCH(EAC[[#This Row],[PA ID]],BudgetTrack[PA ID],0),0))</f>
        <v>P-002360</v>
      </c>
      <c r="H87" s="693" t="s">
        <v>1153</v>
      </c>
      <c r="I87" s="118" t="str">
        <f ca="1">IF(EAC[[#This Row],[Vendor / Org. with Contract ID]]="","",INDEX(VendorList[Status],MATCH(EAC[[#This Row],[Vendor / Org. with Contract ID]],VendorList[Vendor / Org. with Contract ID],0),0))</f>
        <v>Closed</v>
      </c>
      <c r="J87" s="694" t="s">
        <v>1718</v>
      </c>
      <c r="K87" s="1402">
        <f ca="1">IF(EAC[[#This Row],[Vendor / Org. with Contract ID]]="",0,SUMIFS(VendorList[Current Commitment],VendorList[Vendor / Org. with Contract ID],EAC[[#This Row],[Vendor / Org. with Contract ID]],VendorList[PA ID],EAC[[#This Row],[PA ID]]))</f>
        <v>56539.5</v>
      </c>
      <c r="L87" s="1402">
        <f ca="1">IF(EAC[[#This Row],[Vendor / Org. with Contract ID]]="",0,SUMIFS(CostTrack[Value],CostTrack[Vendor - Contract],EAC[[#This Row],[Vendor / Org. with Contract ID]],CostTrack[PA ID],EAC[[#This Row],[PA ID]],CostTrack[Holdback (Y/N/R)],"&lt;&gt;Release",CostTrack[Status],"Approved"))</f>
        <v>56539.5</v>
      </c>
      <c r="M87" s="1403">
        <f ca="1">IF(EAC[[#This Row],[Current Commitment]]="",0,EAC[[#This Row],[Current Commitment]]-EAC[[#This Row],[Expenditures to Date]])</f>
        <v>0</v>
      </c>
      <c r="N87" s="1404"/>
      <c r="O87" s="1405">
        <f ca="1">EAC[[#This Row],[Open Commit.]]+EAC[[#This Row],[Future Commit.]]+EAC[[#This Row],[Expenditures to Date]]</f>
        <v>56539.5</v>
      </c>
      <c r="P87" s="1406">
        <f ca="1">IF(EAC[[#This Row],[Current Commitment]]="","",EAC[[#This Row],[Current Commitment]]-EAC[[#This Row],[Estimate At Completion]])</f>
        <v>0</v>
      </c>
      <c r="Q87" s="1407"/>
    </row>
    <row r="88" spans="1:17" ht="18.75" hidden="1" customHeight="1">
      <c r="A88" s="217">
        <v>83</v>
      </c>
      <c r="B88" s="692" t="s">
        <v>452</v>
      </c>
      <c r="C88" s="87" t="str">
        <f ca="1">IF(EAC[[#This Row],[PA ID]]="","",INDEX(BudgetTrack[Primary Category],MATCH(EAC[[#This Row],[PA ID]],BudgetTrack[PA ID],0),0))</f>
        <v>FE_IT</v>
      </c>
      <c r="D88" s="87" t="str">
        <f ca="1">IF(EAC[[#This Row],[PA ID]]="","",INDEX(BudgetTrack[Secondary Category],MATCH(EAC[[#This Row],[PA ID]],BudgetTrack[PA ID],0),0))</f>
        <v>Information Technology</v>
      </c>
      <c r="E88" s="118" t="str">
        <f ca="1">IF(EAC[[#This Row],[PA ID]]="","",INDEX(BudgetTrack[Phase / Subproject],MATCH(EAC[[#This Row],[PA ID]],BudgetTrack[PA ID],0),0))</f>
        <v>--</v>
      </c>
      <c r="F88" s="118" t="str">
        <f ca="1">IF(EAC[[#This Row],[PA ID]]="","",INDEX(BudgetTrack[Phase / Subproject 2],MATCH(EAC[[#This Row],[PA ID]],BudgetTrack[PA ID],0),0))</f>
        <v>--</v>
      </c>
      <c r="G88" s="118" t="str">
        <f ca="1">IF(EAC[[#This Row],[PA ID]]="","",INDEX(BudgetTrack[Funding Source],MATCH(EAC[[#This Row],[PA ID]],BudgetTrack[PA ID],0),0))</f>
        <v>P-002360</v>
      </c>
      <c r="H88" s="693" t="s">
        <v>679</v>
      </c>
      <c r="I88" s="118" t="str">
        <f ca="1">IF(EAC[[#This Row],[Vendor / Org. with Contract ID]]="","",INDEX(VendorList[Status],MATCH(EAC[[#This Row],[Vendor / Org. with Contract ID]],VendorList[Vendor / Org. with Contract ID],0),0))</f>
        <v>Open</v>
      </c>
      <c r="J88" s="694" t="s">
        <v>1719</v>
      </c>
      <c r="K88" s="1402">
        <f ca="1">IF(EAC[[#This Row],[Vendor / Org. with Contract ID]]="",0,SUMIFS(VendorList[Current Commitment],VendorList[Vendor / Org. with Contract ID],EAC[[#This Row],[Vendor / Org. with Contract ID]],VendorList[PA ID],EAC[[#This Row],[PA ID]]))</f>
        <v>380132</v>
      </c>
      <c r="L88" s="1402">
        <f ca="1">IF(EAC[[#This Row],[Vendor / Org. with Contract ID]]="",0,SUMIFS(CostTrack[Value],CostTrack[Vendor - Contract],EAC[[#This Row],[Vendor / Org. with Contract ID]],CostTrack[PA ID],EAC[[#This Row],[PA ID]],CostTrack[Holdback (Y/N/R)],"&lt;&gt;Release",CostTrack[Status],"Approved"))</f>
        <v>367461.28</v>
      </c>
      <c r="M88" s="1403">
        <f ca="1">IF(EAC[[#This Row],[Current Commitment]]="",0,EAC[[#This Row],[Current Commitment]]-EAC[[#This Row],[Expenditures to Date]])</f>
        <v>12670.719999999972</v>
      </c>
      <c r="N88" s="1404"/>
      <c r="O88" s="1405">
        <f ca="1">EAC[[#This Row],[Open Commit.]]+EAC[[#This Row],[Future Commit.]]+EAC[[#This Row],[Expenditures to Date]]</f>
        <v>380132</v>
      </c>
      <c r="P88" s="1406">
        <f ca="1">IF(EAC[[#This Row],[Current Commitment]]="","",EAC[[#This Row],[Current Commitment]]-EAC[[#This Row],[Estimate At Completion]])</f>
        <v>0</v>
      </c>
      <c r="Q88" s="1407"/>
    </row>
    <row r="89" spans="1:17" ht="18.75" hidden="1" customHeight="1">
      <c r="A89" s="217">
        <v>84</v>
      </c>
      <c r="B89" s="692" t="s">
        <v>452</v>
      </c>
      <c r="C89" s="87" t="str">
        <f ca="1">IF(EAC[[#This Row],[PA ID]]="","",INDEX(BudgetTrack[Primary Category],MATCH(EAC[[#This Row],[PA ID]],BudgetTrack[PA ID],0),0))</f>
        <v>FE_IT</v>
      </c>
      <c r="D89" s="87" t="str">
        <f ca="1">IF(EAC[[#This Row],[PA ID]]="","",INDEX(BudgetTrack[Secondary Category],MATCH(EAC[[#This Row],[PA ID]],BudgetTrack[PA ID],0),0))</f>
        <v>Information Technology</v>
      </c>
      <c r="E89" s="118" t="str">
        <f ca="1">IF(EAC[[#This Row],[PA ID]]="","",INDEX(BudgetTrack[Phase / Subproject],MATCH(EAC[[#This Row],[PA ID]],BudgetTrack[PA ID],0),0))</f>
        <v>--</v>
      </c>
      <c r="F89" s="118" t="str">
        <f ca="1">IF(EAC[[#This Row],[PA ID]]="","",INDEX(BudgetTrack[Phase / Subproject 2],MATCH(EAC[[#This Row],[PA ID]],BudgetTrack[PA ID],0),0))</f>
        <v>--</v>
      </c>
      <c r="G89" s="118" t="str">
        <f ca="1">IF(EAC[[#This Row],[PA ID]]="","",INDEX(BudgetTrack[Funding Source],MATCH(EAC[[#This Row],[PA ID]],BudgetTrack[PA ID],0),0))</f>
        <v>P-002360</v>
      </c>
      <c r="H89" s="693" t="s">
        <v>1256</v>
      </c>
      <c r="I89" s="118" t="str">
        <f ca="1">IF(EAC[[#This Row],[Vendor / Org. with Contract ID]]="","",INDEX(VendorList[Status],MATCH(EAC[[#This Row],[Vendor / Org. with Contract ID]],VendorList[Vendor / Org. with Contract ID],0),0))</f>
        <v>Closed</v>
      </c>
      <c r="J89" s="694" t="s">
        <v>1720</v>
      </c>
      <c r="K89" s="1402">
        <f ca="1">IF(EAC[[#This Row],[Vendor / Org. with Contract ID]]="",0,SUMIFS(VendorList[Current Commitment],VendorList[Vendor / Org. with Contract ID],EAC[[#This Row],[Vendor / Org. with Contract ID]],VendorList[PA ID],EAC[[#This Row],[PA ID]]))</f>
        <v>210540.7</v>
      </c>
      <c r="L89" s="1402">
        <f ca="1">IF(EAC[[#This Row],[Vendor / Org. with Contract ID]]="",0,SUMIFS(CostTrack[Value],CostTrack[Vendor - Contract],EAC[[#This Row],[Vendor / Org. with Contract ID]],CostTrack[PA ID],EAC[[#This Row],[PA ID]],CostTrack[Holdback (Y/N/R)],"&lt;&gt;Release",CostTrack[Status],"Approved"))</f>
        <v>210540.7</v>
      </c>
      <c r="M89" s="1403">
        <f ca="1">IF(EAC[[#This Row],[Current Commitment]]="",0,EAC[[#This Row],[Current Commitment]]-EAC[[#This Row],[Expenditures to Date]])</f>
        <v>0</v>
      </c>
      <c r="N89" s="1404"/>
      <c r="O89" s="1405">
        <f ca="1">EAC[[#This Row],[Open Commit.]]+EAC[[#This Row],[Future Commit.]]+EAC[[#This Row],[Expenditures to Date]]</f>
        <v>210540.7</v>
      </c>
      <c r="P89" s="1406">
        <f ca="1">IF(EAC[[#This Row],[Current Commitment]]="","",EAC[[#This Row],[Current Commitment]]-EAC[[#This Row],[Estimate At Completion]])</f>
        <v>0</v>
      </c>
      <c r="Q89" s="1407"/>
    </row>
    <row r="90" spans="1:17" ht="18.75" hidden="1" customHeight="1">
      <c r="A90" s="217">
        <v>85</v>
      </c>
      <c r="B90" s="692" t="s">
        <v>413</v>
      </c>
      <c r="C90" s="87" t="str">
        <f ca="1">IF(EAC[[#This Row],[PA ID]]="","",INDEX(BudgetTrack[Primary Category],MATCH(EAC[[#This Row],[PA ID]],BudgetTrack[PA ID],0),0))</f>
        <v>Administration</v>
      </c>
      <c r="D90" s="87" t="str">
        <f ca="1">IF(EAC[[#This Row],[PA ID]]="","",INDEX(BudgetTrack[Secondary Category],MATCH(EAC[[#This Row],[PA ID]],BudgetTrack[PA ID],0),0))</f>
        <v>Other Administration</v>
      </c>
      <c r="E90" s="118" t="str">
        <f ca="1">IF(EAC[[#This Row],[PA ID]]="","",INDEX(BudgetTrack[Phase / Subproject],MATCH(EAC[[#This Row],[PA ID]],BudgetTrack[PA ID],0),0))</f>
        <v>--</v>
      </c>
      <c r="F90" s="118" t="str">
        <f ca="1">IF(EAC[[#This Row],[PA ID]]="","",INDEX(BudgetTrack[Phase / Subproject 2],MATCH(EAC[[#This Row],[PA ID]],BudgetTrack[PA ID],0),0))</f>
        <v>--</v>
      </c>
      <c r="G90" s="118" t="str">
        <f ca="1">IF(EAC[[#This Row],[PA ID]]="","",INDEX(BudgetTrack[Funding Source],MATCH(EAC[[#This Row],[PA ID]],BudgetTrack[PA ID],0),0))</f>
        <v>P-002360</v>
      </c>
      <c r="H90" s="693" t="s">
        <v>1234</v>
      </c>
      <c r="I90" s="118" t="str">
        <f ca="1">IF(EAC[[#This Row],[Vendor / Org. with Contract ID]]="","",INDEX(VendorList[Status],MATCH(EAC[[#This Row],[Vendor / Org. with Contract ID]],VendorList[Vendor / Org. with Contract ID],0),0))</f>
        <v>Closed</v>
      </c>
      <c r="J90" s="694" t="s">
        <v>1721</v>
      </c>
      <c r="K90" s="1402">
        <f ca="1">IF(EAC[[#This Row],[Vendor / Org. with Contract ID]]="",0,SUMIFS(VendorList[Current Commitment],VendorList[Vendor / Org. with Contract ID],EAC[[#This Row],[Vendor / Org. with Contract ID]],VendorList[PA ID],EAC[[#This Row],[PA ID]]))</f>
        <v>23.94</v>
      </c>
      <c r="L90" s="1402">
        <f ca="1">IF(EAC[[#This Row],[Vendor / Org. with Contract ID]]="",0,SUMIFS(CostTrack[Value],CostTrack[Vendor - Contract],EAC[[#This Row],[Vendor / Org. with Contract ID]],CostTrack[PA ID],EAC[[#This Row],[PA ID]],CostTrack[Holdback (Y/N/R)],"&lt;&gt;Release",CostTrack[Status],"Approved"))</f>
        <v>23.94</v>
      </c>
      <c r="M90" s="1403">
        <f ca="1">IF(EAC[[#This Row],[Current Commitment]]="",0,EAC[[#This Row],[Current Commitment]]-EAC[[#This Row],[Expenditures to Date]])</f>
        <v>0</v>
      </c>
      <c r="N90" s="1404"/>
      <c r="O90" s="1405">
        <f ca="1">EAC[[#This Row],[Open Commit.]]+EAC[[#This Row],[Future Commit.]]+EAC[[#This Row],[Expenditures to Date]]</f>
        <v>23.94</v>
      </c>
      <c r="P90" s="1406">
        <f ca="1">IF(EAC[[#This Row],[Current Commitment]]="","",EAC[[#This Row],[Current Commitment]]-EAC[[#This Row],[Estimate At Completion]])</f>
        <v>0</v>
      </c>
      <c r="Q90" s="1407"/>
    </row>
    <row r="91" spans="1:17" ht="18.75" hidden="1" customHeight="1">
      <c r="A91" s="217">
        <v>86</v>
      </c>
      <c r="B91" s="692" t="s">
        <v>452</v>
      </c>
      <c r="C91" s="87" t="str">
        <f ca="1">IF(EAC[[#This Row],[PA ID]]="","",INDEX(BudgetTrack[Primary Category],MATCH(EAC[[#This Row],[PA ID]],BudgetTrack[PA ID],0),0))</f>
        <v>FE_IT</v>
      </c>
      <c r="D91" s="87" t="str">
        <f ca="1">IF(EAC[[#This Row],[PA ID]]="","",INDEX(BudgetTrack[Secondary Category],MATCH(EAC[[#This Row],[PA ID]],BudgetTrack[PA ID],0),0))</f>
        <v>Information Technology</v>
      </c>
      <c r="E91" s="118" t="str">
        <f ca="1">IF(EAC[[#This Row],[PA ID]]="","",INDEX(BudgetTrack[Phase / Subproject],MATCH(EAC[[#This Row],[PA ID]],BudgetTrack[PA ID],0),0))</f>
        <v>--</v>
      </c>
      <c r="F91" s="118" t="str">
        <f ca="1">IF(EAC[[#This Row],[PA ID]]="","",INDEX(BudgetTrack[Phase / Subproject 2],MATCH(EAC[[#This Row],[PA ID]],BudgetTrack[PA ID],0),0))</f>
        <v>--</v>
      </c>
      <c r="G91" s="118" t="str">
        <f ca="1">IF(EAC[[#This Row],[PA ID]]="","",INDEX(BudgetTrack[Funding Source],MATCH(EAC[[#This Row],[PA ID]],BudgetTrack[PA ID],0),0))</f>
        <v>P-002360</v>
      </c>
      <c r="H91" s="693" t="s">
        <v>683</v>
      </c>
      <c r="I91" s="118" t="str">
        <f ca="1">IF(EAC[[#This Row],[Vendor / Org. with Contract ID]]="","",INDEX(VendorList[Status],MATCH(EAC[[#This Row],[Vendor / Org. with Contract ID]],VendorList[Vendor / Org. with Contract ID],0),0))</f>
        <v>Closed</v>
      </c>
      <c r="J91" s="694" t="s">
        <v>1722</v>
      </c>
      <c r="K91" s="1402">
        <f ca="1">IF(EAC[[#This Row],[Vendor / Org. with Contract ID]]="",0,SUMIFS(VendorList[Current Commitment],VendorList[Vendor / Org. with Contract ID],EAC[[#This Row],[Vendor / Org. with Contract ID]],VendorList[PA ID],EAC[[#This Row],[PA ID]]))</f>
        <v>107181.12</v>
      </c>
      <c r="L91" s="1402">
        <f ca="1">IF(EAC[[#This Row],[Vendor / Org. with Contract ID]]="",0,SUMIFS(CostTrack[Value],CostTrack[Vendor - Contract],EAC[[#This Row],[Vendor / Org. with Contract ID]],CostTrack[PA ID],EAC[[#This Row],[PA ID]],CostTrack[Holdback (Y/N/R)],"&lt;&gt;Release",CostTrack[Status],"Approved"))</f>
        <v>107181.12</v>
      </c>
      <c r="M91" s="1403">
        <f ca="1">IF(EAC[[#This Row],[Current Commitment]]="",0,EAC[[#This Row],[Current Commitment]]-EAC[[#This Row],[Expenditures to Date]])</f>
        <v>0</v>
      </c>
      <c r="N91" s="1404"/>
      <c r="O91" s="1405">
        <f ca="1">EAC[[#This Row],[Open Commit.]]+EAC[[#This Row],[Future Commit.]]+EAC[[#This Row],[Expenditures to Date]]</f>
        <v>107181.12</v>
      </c>
      <c r="P91" s="1406">
        <f ca="1">IF(EAC[[#This Row],[Current Commitment]]="","",EAC[[#This Row],[Current Commitment]]-EAC[[#This Row],[Estimate At Completion]])</f>
        <v>0</v>
      </c>
      <c r="Q91" s="1407"/>
    </row>
    <row r="92" spans="1:17" ht="18.75" hidden="1" customHeight="1">
      <c r="A92" s="217">
        <v>87</v>
      </c>
      <c r="B92" s="692" t="s">
        <v>471</v>
      </c>
      <c r="C92" s="87" t="str">
        <f ca="1">IF(EAC[[#This Row],[PA ID]]="","",INDEX(BudgetTrack[Primary Category],MATCH(EAC[[#This Row],[PA ID]],BudgetTrack[PA ID],0),0))</f>
        <v>FE_IT</v>
      </c>
      <c r="D92" s="87" t="str">
        <f ca="1">IF(EAC[[#This Row],[PA ID]]="","",INDEX(BudgetTrack[Secondary Category],MATCH(EAC[[#This Row],[PA ID]],BudgetTrack[PA ID],0),0))</f>
        <v>Furniture &amp; Equipment</v>
      </c>
      <c r="E92" s="118" t="str">
        <f ca="1">IF(EAC[[#This Row],[PA ID]]="","",INDEX(BudgetTrack[Phase / Subproject],MATCH(EAC[[#This Row],[PA ID]],BudgetTrack[PA ID],0),0))</f>
        <v>--</v>
      </c>
      <c r="F92" s="118" t="str">
        <f ca="1">IF(EAC[[#This Row],[PA ID]]="","",INDEX(BudgetTrack[Phase / Subproject 2],MATCH(EAC[[#This Row],[PA ID]],BudgetTrack[PA ID],0),0))</f>
        <v>--</v>
      </c>
      <c r="G92" s="118" t="str">
        <f ca="1">IF(EAC[[#This Row],[PA ID]]="","",INDEX(BudgetTrack[Funding Source],MATCH(EAC[[#This Row],[PA ID]],BudgetTrack[PA ID],0),0))</f>
        <v>P-002360</v>
      </c>
      <c r="H92" s="693" t="s">
        <v>1368</v>
      </c>
      <c r="I92" s="118" t="str">
        <f ca="1">IF(EAC[[#This Row],[Vendor / Org. with Contract ID]]="","",INDEX(VendorList[Status],MATCH(EAC[[#This Row],[Vendor / Org. with Contract ID]],VendorList[Vendor / Org. with Contract ID],0),0))</f>
        <v>Closed</v>
      </c>
      <c r="J92" s="694" t="s">
        <v>1723</v>
      </c>
      <c r="K92" s="474">
        <f ca="1">IF(EAC[[#This Row],[Vendor / Org. with Contract ID]]="",0,SUMIFS(VendorList[Current Commitment],VendorList[Vendor / Org. with Contract ID],EAC[[#This Row],[Vendor / Org. with Contract ID]],VendorList[PA ID],EAC[[#This Row],[PA ID]]))</f>
        <v>140694.82</v>
      </c>
      <c r="L92" s="474">
        <f ca="1">IF(EAC[[#This Row],[Vendor / Org. with Contract ID]]="",0,SUMIFS(CostTrack[Value],CostTrack[Vendor - Contract],EAC[[#This Row],[Vendor / Org. with Contract ID]],CostTrack[PA ID],EAC[[#This Row],[PA ID]],CostTrack[Holdback (Y/N/R)],"&lt;&gt;Release",CostTrack[Status],"Approved"))</f>
        <v>140694.82</v>
      </c>
      <c r="M92" s="475">
        <f ca="1">IF(EAC[[#This Row],[Current Commitment]]="",0,EAC[[#This Row],[Current Commitment]]-EAC[[#This Row],[Expenditures to Date]])</f>
        <v>0</v>
      </c>
      <c r="N92" s="888"/>
      <c r="O92" s="42">
        <f ca="1">EAC[[#This Row],[Open Commit.]]+EAC[[#This Row],[Future Commit.]]+EAC[[#This Row],[Expenditures to Date]]</f>
        <v>140694.82</v>
      </c>
      <c r="P92" s="188">
        <f ca="1">IF(EAC[[#This Row],[Current Commitment]]="","",EAC[[#This Row],[Current Commitment]]-EAC[[#This Row],[Estimate At Completion]])</f>
        <v>0</v>
      </c>
      <c r="Q92" s="889"/>
    </row>
    <row r="93" spans="1:17" ht="18.75" hidden="1" customHeight="1">
      <c r="A93" s="217">
        <v>88</v>
      </c>
      <c r="B93" s="692" t="s">
        <v>471</v>
      </c>
      <c r="C93" s="87" t="str">
        <f ca="1">IF(EAC[[#This Row],[PA ID]]="","",INDEX(BudgetTrack[Primary Category],MATCH(EAC[[#This Row],[PA ID]],BudgetTrack[PA ID],0),0))</f>
        <v>FE_IT</v>
      </c>
      <c r="D93" s="87" t="str">
        <f ca="1">IF(EAC[[#This Row],[PA ID]]="","",INDEX(BudgetTrack[Secondary Category],MATCH(EAC[[#This Row],[PA ID]],BudgetTrack[PA ID],0),0))</f>
        <v>Furniture &amp; Equipment</v>
      </c>
      <c r="E93" s="118" t="str">
        <f ca="1">IF(EAC[[#This Row],[PA ID]]="","",INDEX(BudgetTrack[Phase / Subproject],MATCH(EAC[[#This Row],[PA ID]],BudgetTrack[PA ID],0),0))</f>
        <v>--</v>
      </c>
      <c r="F93" s="118" t="str">
        <f ca="1">IF(EAC[[#This Row],[PA ID]]="","",INDEX(BudgetTrack[Phase / Subproject 2],MATCH(EAC[[#This Row],[PA ID]],BudgetTrack[PA ID],0),0))</f>
        <v>--</v>
      </c>
      <c r="G93" s="118" t="str">
        <f ca="1">IF(EAC[[#This Row],[PA ID]]="","",INDEX(BudgetTrack[Funding Source],MATCH(EAC[[#This Row],[PA ID]],BudgetTrack[PA ID],0),0))</f>
        <v>P-002360</v>
      </c>
      <c r="H93" s="693" t="s">
        <v>729</v>
      </c>
      <c r="I93" s="118" t="str">
        <f ca="1">IF(EAC[[#This Row],[Vendor / Org. with Contract ID]]="","",INDEX(VendorList[Status],MATCH(EAC[[#This Row],[Vendor / Org. with Contract ID]],VendorList[Vendor / Org. with Contract ID],0),0))</f>
        <v>Closed</v>
      </c>
      <c r="J93" s="694" t="s">
        <v>1724</v>
      </c>
      <c r="K93" s="474">
        <f ca="1">IF(EAC[[#This Row],[Vendor / Org. with Contract ID]]="",0,SUMIFS(VendorList[Current Commitment],VendorList[Vendor / Org. with Contract ID],EAC[[#This Row],[Vendor / Org. with Contract ID]],VendorList[PA ID],EAC[[#This Row],[PA ID]]))</f>
        <v>6054</v>
      </c>
      <c r="L93" s="474">
        <f ca="1">IF(EAC[[#This Row],[Vendor / Org. with Contract ID]]="",0,SUMIFS(CostTrack[Value],CostTrack[Vendor - Contract],EAC[[#This Row],[Vendor / Org. with Contract ID]],CostTrack[PA ID],EAC[[#This Row],[PA ID]],CostTrack[Holdback (Y/N/R)],"&lt;&gt;Release",CostTrack[Status],"Approved"))</f>
        <v>6054</v>
      </c>
      <c r="M93" s="475">
        <f ca="1">IF(EAC[[#This Row],[Current Commitment]]="",0,EAC[[#This Row],[Current Commitment]]-EAC[[#This Row],[Expenditures to Date]])</f>
        <v>0</v>
      </c>
      <c r="N93" s="888"/>
      <c r="O93" s="42">
        <f ca="1">EAC[[#This Row],[Open Commit.]]+EAC[[#This Row],[Future Commit.]]+EAC[[#This Row],[Expenditures to Date]]</f>
        <v>6054</v>
      </c>
      <c r="P93" s="188">
        <f ca="1">IF(EAC[[#This Row],[Current Commitment]]="","",EAC[[#This Row],[Current Commitment]]-EAC[[#This Row],[Estimate At Completion]])</f>
        <v>0</v>
      </c>
      <c r="Q93" s="889"/>
    </row>
    <row r="94" spans="1:17" ht="18.75" hidden="1" customHeight="1">
      <c r="A94" s="217">
        <v>89</v>
      </c>
      <c r="B94" s="692" t="s">
        <v>477</v>
      </c>
      <c r="C94" s="87" t="str">
        <f ca="1">IF(EAC[[#This Row],[PA ID]]="","",INDEX(BudgetTrack[Primary Category],MATCH(EAC[[#This Row],[PA ID]],BudgetTrack[PA ID],0),0))</f>
        <v>FE_IT</v>
      </c>
      <c r="D94" s="87" t="str">
        <f ca="1">IF(EAC[[#This Row],[PA ID]]="","",INDEX(BudgetTrack[Secondary Category],MATCH(EAC[[#This Row],[PA ID]],BudgetTrack[PA ID],0),0))</f>
        <v>Movers</v>
      </c>
      <c r="E94" s="118" t="str">
        <f ca="1">IF(EAC[[#This Row],[PA ID]]="","",INDEX(BudgetTrack[Phase / Subproject],MATCH(EAC[[#This Row],[PA ID]],BudgetTrack[PA ID],0),0))</f>
        <v>--</v>
      </c>
      <c r="F94" s="118" t="str">
        <f ca="1">IF(EAC[[#This Row],[PA ID]]="","",INDEX(BudgetTrack[Phase / Subproject 2],MATCH(EAC[[#This Row],[PA ID]],BudgetTrack[PA ID],0),0))</f>
        <v>--</v>
      </c>
      <c r="G94" s="118" t="str">
        <f ca="1">IF(EAC[[#This Row],[PA ID]]="","",INDEX(BudgetTrack[Funding Source],MATCH(EAC[[#This Row],[PA ID]],BudgetTrack[PA ID],0),0))</f>
        <v>P-002360</v>
      </c>
      <c r="H94" s="693" t="s">
        <v>698</v>
      </c>
      <c r="I94" s="118" t="str">
        <f ca="1">IF(EAC[[#This Row],[Vendor / Org. with Contract ID]]="","",INDEX(VendorList[Status],MATCH(EAC[[#This Row],[Vendor / Org. with Contract ID]],VendorList[Vendor / Org. with Contract ID],0),0))</f>
        <v>Closed</v>
      </c>
      <c r="J94" s="694" t="s">
        <v>1725</v>
      </c>
      <c r="K94" s="474">
        <f ca="1">IF(EAC[[#This Row],[Vendor / Org. with Contract ID]]="",0,SUMIFS(VendorList[Current Commitment],VendorList[Vendor / Org. with Contract ID],EAC[[#This Row],[Vendor / Org. with Contract ID]],VendorList[PA ID],EAC[[#This Row],[PA ID]]))</f>
        <v>9683</v>
      </c>
      <c r="L94" s="474">
        <f ca="1">IF(EAC[[#This Row],[Vendor / Org. with Contract ID]]="",0,SUMIFS(CostTrack[Value],CostTrack[Vendor - Contract],EAC[[#This Row],[Vendor / Org. with Contract ID]],CostTrack[PA ID],EAC[[#This Row],[PA ID]],CostTrack[Holdback (Y/N/R)],"&lt;&gt;Release",CostTrack[Status],"Approved"))</f>
        <v>9683</v>
      </c>
      <c r="M94" s="475">
        <f ca="1">IF(EAC[[#This Row],[Current Commitment]]="",0,EAC[[#This Row],[Current Commitment]]-EAC[[#This Row],[Expenditures to Date]])</f>
        <v>0</v>
      </c>
      <c r="N94" s="888"/>
      <c r="O94" s="42">
        <f ca="1">EAC[[#This Row],[Open Commit.]]+EAC[[#This Row],[Future Commit.]]+EAC[[#This Row],[Expenditures to Date]]</f>
        <v>9683</v>
      </c>
      <c r="P94" s="188">
        <f ca="1">IF(EAC[[#This Row],[Current Commitment]]="","",EAC[[#This Row],[Current Commitment]]-EAC[[#This Row],[Estimate At Completion]])</f>
        <v>0</v>
      </c>
      <c r="Q94" s="889"/>
    </row>
    <row r="95" spans="1:17" ht="18.75" hidden="1" customHeight="1">
      <c r="A95" s="217">
        <v>90</v>
      </c>
      <c r="B95" s="692" t="s">
        <v>471</v>
      </c>
      <c r="C95" s="87" t="str">
        <f ca="1">IF(EAC[[#This Row],[PA ID]]="","",INDEX(BudgetTrack[Primary Category],MATCH(EAC[[#This Row],[PA ID]],BudgetTrack[PA ID],0),0))</f>
        <v>FE_IT</v>
      </c>
      <c r="D95" s="87" t="str">
        <f ca="1">IF(EAC[[#This Row],[PA ID]]="","",INDEX(BudgetTrack[Secondary Category],MATCH(EAC[[#This Row],[PA ID]],BudgetTrack[PA ID],0),0))</f>
        <v>Furniture &amp; Equipment</v>
      </c>
      <c r="E95" s="118" t="str">
        <f ca="1">IF(EAC[[#This Row],[PA ID]]="","",INDEX(BudgetTrack[Phase / Subproject],MATCH(EAC[[#This Row],[PA ID]],BudgetTrack[PA ID],0),0))</f>
        <v>--</v>
      </c>
      <c r="F95" s="118" t="str">
        <f ca="1">IF(EAC[[#This Row],[PA ID]]="","",INDEX(BudgetTrack[Phase / Subproject 2],MATCH(EAC[[#This Row],[PA ID]],BudgetTrack[PA ID],0),0))</f>
        <v>--</v>
      </c>
      <c r="G95" s="118" t="str">
        <f ca="1">IF(EAC[[#This Row],[PA ID]]="","",INDEX(BudgetTrack[Funding Source],MATCH(EAC[[#This Row],[PA ID]],BudgetTrack[PA ID],0),0))</f>
        <v>P-002360</v>
      </c>
      <c r="H95" s="693" t="s">
        <v>1312</v>
      </c>
      <c r="I95" s="118" t="str">
        <f ca="1">IF(EAC[[#This Row],[Vendor / Org. with Contract ID]]="","",INDEX(VendorList[Status],MATCH(EAC[[#This Row],[Vendor / Org. with Contract ID]],VendorList[Vendor / Org. with Contract ID],0),0))</f>
        <v>Closed</v>
      </c>
      <c r="J95" s="694" t="s">
        <v>1726</v>
      </c>
      <c r="K95" s="1402">
        <f ca="1">IF(EAC[[#This Row],[Vendor / Org. with Contract ID]]="",0,SUMIFS(VendorList[Current Commitment],VendorList[Vendor / Org. with Contract ID],EAC[[#This Row],[Vendor / Org. with Contract ID]],VendorList[PA ID],EAC[[#This Row],[PA ID]]))</f>
        <v>1900</v>
      </c>
      <c r="L95" s="1402">
        <f ca="1">IF(EAC[[#This Row],[Vendor / Org. with Contract ID]]="",0,SUMIFS(CostTrack[Value],CostTrack[Vendor - Contract],EAC[[#This Row],[Vendor / Org. with Contract ID]],CostTrack[PA ID],EAC[[#This Row],[PA ID]],CostTrack[Holdback (Y/N/R)],"&lt;&gt;Release",CostTrack[Status],"Approved"))</f>
        <v>1900</v>
      </c>
      <c r="M95" s="1403">
        <f ca="1">IF(EAC[[#This Row],[Current Commitment]]="",0,EAC[[#This Row],[Current Commitment]]-EAC[[#This Row],[Expenditures to Date]])</f>
        <v>0</v>
      </c>
      <c r="N95" s="1404"/>
      <c r="O95" s="1405">
        <f ca="1">EAC[[#This Row],[Open Commit.]]+EAC[[#This Row],[Future Commit.]]+EAC[[#This Row],[Expenditures to Date]]</f>
        <v>1900</v>
      </c>
      <c r="P95" s="1406">
        <f ca="1">IF(EAC[[#This Row],[Current Commitment]]="","",EAC[[#This Row],[Current Commitment]]-EAC[[#This Row],[Estimate At Completion]])</f>
        <v>0</v>
      </c>
      <c r="Q95" s="1407"/>
    </row>
    <row r="96" spans="1:17" ht="18.75" hidden="1" customHeight="1">
      <c r="A96" s="217">
        <v>91</v>
      </c>
      <c r="B96" s="692" t="s">
        <v>471</v>
      </c>
      <c r="C96" s="87" t="str">
        <f ca="1">IF(EAC[[#This Row],[PA ID]]="","",INDEX(BudgetTrack[Primary Category],MATCH(EAC[[#This Row],[PA ID]],BudgetTrack[PA ID],0),0))</f>
        <v>FE_IT</v>
      </c>
      <c r="D96" s="87" t="str">
        <f ca="1">IF(EAC[[#This Row],[PA ID]]="","",INDEX(BudgetTrack[Secondary Category],MATCH(EAC[[#This Row],[PA ID]],BudgetTrack[PA ID],0),0))</f>
        <v>Furniture &amp; Equipment</v>
      </c>
      <c r="E96" s="118" t="str">
        <f ca="1">IF(EAC[[#This Row],[PA ID]]="","",INDEX(BudgetTrack[Phase / Subproject],MATCH(EAC[[#This Row],[PA ID]],BudgetTrack[PA ID],0),0))</f>
        <v>--</v>
      </c>
      <c r="F96" s="118" t="str">
        <f ca="1">IF(EAC[[#This Row],[PA ID]]="","",INDEX(BudgetTrack[Phase / Subproject 2],MATCH(EAC[[#This Row],[PA ID]],BudgetTrack[PA ID],0),0))</f>
        <v>--</v>
      </c>
      <c r="G96" s="118" t="str">
        <f ca="1">IF(EAC[[#This Row],[PA ID]]="","",INDEX(BudgetTrack[Funding Source],MATCH(EAC[[#This Row],[PA ID]],BudgetTrack[PA ID],0),0))</f>
        <v>P-002360</v>
      </c>
      <c r="H96" s="693" t="s">
        <v>1382</v>
      </c>
      <c r="I96" s="118" t="str">
        <f ca="1">IF(EAC[[#This Row],[Vendor / Org. with Contract ID]]="","",INDEX(VendorList[Status],MATCH(EAC[[#This Row],[Vendor / Org. with Contract ID]],VendorList[Vendor / Org. with Contract ID],0),0))</f>
        <v>Closed</v>
      </c>
      <c r="J96" s="694" t="s">
        <v>1727</v>
      </c>
      <c r="K96" s="1402">
        <f ca="1">IF(EAC[[#This Row],[Vendor / Org. with Contract ID]]="",0,SUMIFS(VendorList[Current Commitment],VendorList[Vendor / Org. with Contract ID],EAC[[#This Row],[Vendor / Org. with Contract ID]],VendorList[PA ID],EAC[[#This Row],[PA ID]]))</f>
        <v>1065</v>
      </c>
      <c r="L96" s="1402">
        <f ca="1">IF(EAC[[#This Row],[Vendor / Org. with Contract ID]]="",0,SUMIFS(CostTrack[Value],CostTrack[Vendor - Contract],EAC[[#This Row],[Vendor / Org. with Contract ID]],CostTrack[PA ID],EAC[[#This Row],[PA ID]],CostTrack[Holdback (Y/N/R)],"&lt;&gt;Release",CostTrack[Status],"Approved"))</f>
        <v>1065</v>
      </c>
      <c r="M96" s="1403">
        <f ca="1">IF(EAC[[#This Row],[Current Commitment]]="",0,EAC[[#This Row],[Current Commitment]]-EAC[[#This Row],[Expenditures to Date]])</f>
        <v>0</v>
      </c>
      <c r="N96" s="1404"/>
      <c r="O96" s="1405">
        <f ca="1">EAC[[#This Row],[Open Commit.]]+EAC[[#This Row],[Future Commit.]]+EAC[[#This Row],[Expenditures to Date]]</f>
        <v>1065</v>
      </c>
      <c r="P96" s="1406">
        <f ca="1">IF(EAC[[#This Row],[Current Commitment]]="","",EAC[[#This Row],[Current Commitment]]-EAC[[#This Row],[Estimate At Completion]])</f>
        <v>0</v>
      </c>
      <c r="Q96" s="1407"/>
    </row>
    <row r="97" spans="1:17" ht="18.75" hidden="1" customHeight="1">
      <c r="A97" s="217">
        <v>92</v>
      </c>
      <c r="B97" s="692" t="s">
        <v>452</v>
      </c>
      <c r="C97" s="87" t="str">
        <f ca="1">IF(EAC[[#This Row],[PA ID]]="","",INDEX(BudgetTrack[Primary Category],MATCH(EAC[[#This Row],[PA ID]],BudgetTrack[PA ID],0),0))</f>
        <v>FE_IT</v>
      </c>
      <c r="D97" s="87" t="str">
        <f ca="1">IF(EAC[[#This Row],[PA ID]]="","",INDEX(BudgetTrack[Secondary Category],MATCH(EAC[[#This Row],[PA ID]],BudgetTrack[PA ID],0),0))</f>
        <v>Information Technology</v>
      </c>
      <c r="E97" s="118" t="str">
        <f ca="1">IF(EAC[[#This Row],[PA ID]]="","",INDEX(BudgetTrack[Phase / Subproject],MATCH(EAC[[#This Row],[PA ID]],BudgetTrack[PA ID],0),0))</f>
        <v>--</v>
      </c>
      <c r="F97" s="118" t="str">
        <f ca="1">IF(EAC[[#This Row],[PA ID]]="","",INDEX(BudgetTrack[Phase / Subproject 2],MATCH(EAC[[#This Row],[PA ID]],BudgetTrack[PA ID],0),0))</f>
        <v>--</v>
      </c>
      <c r="G97" s="118" t="str">
        <f ca="1">IF(EAC[[#This Row],[PA ID]]="","",INDEX(BudgetTrack[Funding Source],MATCH(EAC[[#This Row],[PA ID]],BudgetTrack[PA ID],0),0))</f>
        <v>P-002360</v>
      </c>
      <c r="H97" s="693" t="s">
        <v>1242</v>
      </c>
      <c r="I97" s="118" t="str">
        <f ca="1">IF(EAC[[#This Row],[Vendor / Org. with Contract ID]]="","",INDEX(VendorList[Status],MATCH(EAC[[#This Row],[Vendor / Org. with Contract ID]],VendorList[Vendor / Org. with Contract ID],0),0))</f>
        <v>Closed</v>
      </c>
      <c r="J97" s="694"/>
      <c r="K97" s="1402">
        <f ca="1">IF(EAC[[#This Row],[Vendor / Org. with Contract ID]]="",0,SUMIFS(VendorList[Current Commitment],VendorList[Vendor / Org. with Contract ID],EAC[[#This Row],[Vendor / Org. with Contract ID]],VendorList[PA ID],EAC[[#This Row],[PA ID]]))</f>
        <v>1881.6</v>
      </c>
      <c r="L97" s="1402">
        <f ca="1">IF(EAC[[#This Row],[Vendor / Org. with Contract ID]]="",0,SUMIFS(CostTrack[Value],CostTrack[Vendor - Contract],EAC[[#This Row],[Vendor / Org. with Contract ID]],CostTrack[PA ID],EAC[[#This Row],[PA ID]],CostTrack[Holdback (Y/N/R)],"&lt;&gt;Release",CostTrack[Status],"Approved"))</f>
        <v>1881.6</v>
      </c>
      <c r="M97" s="1403">
        <f ca="1">IF(EAC[[#This Row],[Current Commitment]]="",0,EAC[[#This Row],[Current Commitment]]-EAC[[#This Row],[Expenditures to Date]])</f>
        <v>0</v>
      </c>
      <c r="N97" s="1404"/>
      <c r="O97" s="1405">
        <f ca="1">EAC[[#This Row],[Open Commit.]]+EAC[[#This Row],[Future Commit.]]+EAC[[#This Row],[Expenditures to Date]]</f>
        <v>1881.6</v>
      </c>
      <c r="P97" s="1406">
        <f ca="1">IF(EAC[[#This Row],[Current Commitment]]="","",EAC[[#This Row],[Current Commitment]]-EAC[[#This Row],[Estimate At Completion]])</f>
        <v>0</v>
      </c>
      <c r="Q97" s="1407"/>
    </row>
    <row r="98" spans="1:17" ht="18.75" hidden="1" customHeight="1">
      <c r="A98" s="217">
        <v>93</v>
      </c>
      <c r="B98" s="692" t="s">
        <v>471</v>
      </c>
      <c r="C98" s="87" t="str">
        <f ca="1">IF(EAC[[#This Row],[PA ID]]="","",INDEX(BudgetTrack[Primary Category],MATCH(EAC[[#This Row],[PA ID]],BudgetTrack[PA ID],0),0))</f>
        <v>FE_IT</v>
      </c>
      <c r="D98" s="87" t="str">
        <f ca="1">IF(EAC[[#This Row],[PA ID]]="","",INDEX(BudgetTrack[Secondary Category],MATCH(EAC[[#This Row],[PA ID]],BudgetTrack[PA ID],0),0))</f>
        <v>Furniture &amp; Equipment</v>
      </c>
      <c r="E98" s="118" t="str">
        <f ca="1">IF(EAC[[#This Row],[PA ID]]="","",INDEX(BudgetTrack[Phase / Subproject],MATCH(EAC[[#This Row],[PA ID]],BudgetTrack[PA ID],0),0))</f>
        <v>--</v>
      </c>
      <c r="F98" s="118" t="str">
        <f ca="1">IF(EAC[[#This Row],[PA ID]]="","",INDEX(BudgetTrack[Phase / Subproject 2],MATCH(EAC[[#This Row],[PA ID]],BudgetTrack[PA ID],0),0))</f>
        <v>--</v>
      </c>
      <c r="G98" s="118" t="str">
        <f ca="1">IF(EAC[[#This Row],[PA ID]]="","",INDEX(BudgetTrack[Funding Source],MATCH(EAC[[#This Row],[PA ID]],BudgetTrack[PA ID],0),0))</f>
        <v>P-002360</v>
      </c>
      <c r="H98" s="693" t="s">
        <v>1398</v>
      </c>
      <c r="I98" s="118" t="str">
        <f ca="1">IF(EAC[[#This Row],[Vendor / Org. with Contract ID]]="","",INDEX(VendorList[Status],MATCH(EAC[[#This Row],[Vendor / Org. with Contract ID]],VendorList[Vendor / Org. with Contract ID],0),0))</f>
        <v>Closed</v>
      </c>
      <c r="J98" s="694" t="s">
        <v>1728</v>
      </c>
      <c r="K98" s="1402">
        <f ca="1">IF(EAC[[#This Row],[Vendor / Org. with Contract ID]]="",0,SUMIFS(VendorList[Current Commitment],VendorList[Vendor / Org. with Contract ID],EAC[[#This Row],[Vendor / Org. with Contract ID]],VendorList[PA ID],EAC[[#This Row],[PA ID]]))</f>
        <v>530330.59</v>
      </c>
      <c r="L98" s="1402">
        <f ca="1">IF(EAC[[#This Row],[Vendor / Org. with Contract ID]]="",0,SUMIFS(CostTrack[Value],CostTrack[Vendor - Contract],EAC[[#This Row],[Vendor / Org. with Contract ID]],CostTrack[PA ID],EAC[[#This Row],[PA ID]],CostTrack[Holdback (Y/N/R)],"&lt;&gt;Release",CostTrack[Status],"Approved"))</f>
        <v>530330.59</v>
      </c>
      <c r="M98" s="1403">
        <f ca="1">IF(EAC[[#This Row],[Current Commitment]]="",0,EAC[[#This Row],[Current Commitment]]-EAC[[#This Row],[Expenditures to Date]])</f>
        <v>0</v>
      </c>
      <c r="N98" s="1404"/>
      <c r="O98" s="1405">
        <f ca="1">EAC[[#This Row],[Open Commit.]]+EAC[[#This Row],[Future Commit.]]+EAC[[#This Row],[Expenditures to Date]]</f>
        <v>530330.59</v>
      </c>
      <c r="P98" s="1406">
        <f ca="1">IF(EAC[[#This Row],[Current Commitment]]="","",EAC[[#This Row],[Current Commitment]]-EAC[[#This Row],[Estimate At Completion]])</f>
        <v>0</v>
      </c>
      <c r="Q98" s="1407"/>
    </row>
    <row r="99" spans="1:17" ht="18.75" hidden="1" customHeight="1">
      <c r="A99" s="217">
        <v>94</v>
      </c>
      <c r="B99" s="692" t="s">
        <v>471</v>
      </c>
      <c r="C99" s="87" t="str">
        <f ca="1">IF(EAC[[#This Row],[PA ID]]="","",INDEX(BudgetTrack[Primary Category],MATCH(EAC[[#This Row],[PA ID]],BudgetTrack[PA ID],0),0))</f>
        <v>FE_IT</v>
      </c>
      <c r="D99" s="87" t="str">
        <f ca="1">IF(EAC[[#This Row],[PA ID]]="","",INDEX(BudgetTrack[Secondary Category],MATCH(EAC[[#This Row],[PA ID]],BudgetTrack[PA ID],0),0))</f>
        <v>Furniture &amp; Equipment</v>
      </c>
      <c r="E99" s="118" t="str">
        <f ca="1">IF(EAC[[#This Row],[PA ID]]="","",INDEX(BudgetTrack[Phase / Subproject],MATCH(EAC[[#This Row],[PA ID]],BudgetTrack[PA ID],0),0))</f>
        <v>--</v>
      </c>
      <c r="F99" s="118" t="str">
        <f ca="1">IF(EAC[[#This Row],[PA ID]]="","",INDEX(BudgetTrack[Phase / Subproject 2],MATCH(EAC[[#This Row],[PA ID]],BudgetTrack[PA ID],0),0))</f>
        <v>--</v>
      </c>
      <c r="G99" s="118" t="str">
        <f ca="1">IF(EAC[[#This Row],[PA ID]]="","",INDEX(BudgetTrack[Funding Source],MATCH(EAC[[#This Row],[PA ID]],BudgetTrack[PA ID],0),0))</f>
        <v>P-002360</v>
      </c>
      <c r="H99" s="693" t="s">
        <v>1292</v>
      </c>
      <c r="I99" s="118" t="str">
        <f ca="1">IF(EAC[[#This Row],[Vendor / Org. with Contract ID]]="","",INDEX(VendorList[Status],MATCH(EAC[[#This Row],[Vendor / Org. with Contract ID]],VendorList[Vendor / Org. with Contract ID],0),0))</f>
        <v>Closed</v>
      </c>
      <c r="J99" s="694" t="s">
        <v>1729</v>
      </c>
      <c r="K99" s="1402">
        <f ca="1">IF(EAC[[#This Row],[Vendor / Org. with Contract ID]]="",0,SUMIFS(VendorList[Current Commitment],VendorList[Vendor / Org. with Contract ID],EAC[[#This Row],[Vendor / Org. with Contract ID]],VendorList[PA ID],EAC[[#This Row],[PA ID]]))</f>
        <v>3285</v>
      </c>
      <c r="L99" s="1402">
        <f ca="1">IF(EAC[[#This Row],[Vendor / Org. with Contract ID]]="",0,SUMIFS(CostTrack[Value],CostTrack[Vendor - Contract],EAC[[#This Row],[Vendor / Org. with Contract ID]],CostTrack[PA ID],EAC[[#This Row],[PA ID]],CostTrack[Holdback (Y/N/R)],"&lt;&gt;Release",CostTrack[Status],"Approved"))</f>
        <v>3285</v>
      </c>
      <c r="M99" s="1403">
        <f ca="1">IF(EAC[[#This Row],[Current Commitment]]="",0,EAC[[#This Row],[Current Commitment]]-EAC[[#This Row],[Expenditures to Date]])</f>
        <v>0</v>
      </c>
      <c r="N99" s="1404"/>
      <c r="O99" s="1405">
        <f ca="1">EAC[[#This Row],[Open Commit.]]+EAC[[#This Row],[Future Commit.]]+EAC[[#This Row],[Expenditures to Date]]</f>
        <v>3285</v>
      </c>
      <c r="P99" s="1406">
        <f ca="1">IF(EAC[[#This Row],[Current Commitment]]="","",EAC[[#This Row],[Current Commitment]]-EAC[[#This Row],[Estimate At Completion]])</f>
        <v>0</v>
      </c>
      <c r="Q99" s="1407"/>
    </row>
    <row r="100" spans="1:17" ht="18.75" hidden="1" customHeight="1">
      <c r="A100" s="217">
        <v>95</v>
      </c>
      <c r="B100" s="692" t="s">
        <v>248</v>
      </c>
      <c r="C100" s="87" t="str">
        <f ca="1">IF(EAC[[#This Row],[PA ID]]="","",INDEX(BudgetTrack[Primary Category],MATCH(EAC[[#This Row],[PA ID]],BudgetTrack[PA ID],0),0))</f>
        <v>Construction</v>
      </c>
      <c r="D100" s="87" t="str">
        <f ca="1">IF(EAC[[#This Row],[PA ID]]="","",INDEX(BudgetTrack[Secondary Category],MATCH(EAC[[#This Row],[PA ID]],BudgetTrack[PA ID],0),0))</f>
        <v>Other Contractor</v>
      </c>
      <c r="E100" s="118" t="str">
        <f ca="1">IF(EAC[[#This Row],[PA ID]]="","",INDEX(BudgetTrack[Phase / Subproject],MATCH(EAC[[#This Row],[PA ID]],BudgetTrack[PA ID],0),0))</f>
        <v>--</v>
      </c>
      <c r="F100" s="118" t="str">
        <f ca="1">IF(EAC[[#This Row],[PA ID]]="","",INDEX(BudgetTrack[Phase / Subproject 2],MATCH(EAC[[#This Row],[PA ID]],BudgetTrack[PA ID],0),0))</f>
        <v>--</v>
      </c>
      <c r="G100" s="118" t="str">
        <f ca="1">IF(EAC[[#This Row],[PA ID]]="","",INDEX(BudgetTrack[Funding Source],MATCH(EAC[[#This Row],[PA ID]],BudgetTrack[PA ID],0),0))</f>
        <v>P-002360</v>
      </c>
      <c r="H100" s="693" t="s">
        <v>1322</v>
      </c>
      <c r="I100" s="118" t="str">
        <f ca="1">IF(EAC[[#This Row],[Vendor / Org. with Contract ID]]="","",INDEX(VendorList[Status],MATCH(EAC[[#This Row],[Vendor / Org. with Contract ID]],VendorList[Vendor / Org. with Contract ID],0),0))</f>
        <v>Closed</v>
      </c>
      <c r="J100" s="694" t="s">
        <v>1730</v>
      </c>
      <c r="K100" s="1402">
        <f ca="1">IF(EAC[[#This Row],[Vendor / Org. with Contract ID]]="",0,SUMIFS(VendorList[Current Commitment],VendorList[Vendor / Org. with Contract ID],EAC[[#This Row],[Vendor / Org. with Contract ID]],VendorList[PA ID],EAC[[#This Row],[PA ID]]))</f>
        <v>800</v>
      </c>
      <c r="L100" s="1402">
        <f ca="1">IF(EAC[[#This Row],[Vendor / Org. with Contract ID]]="",0,SUMIFS(CostTrack[Value],CostTrack[Vendor - Contract],EAC[[#This Row],[Vendor / Org. with Contract ID]],CostTrack[PA ID],EAC[[#This Row],[PA ID]],CostTrack[Holdback (Y/N/R)],"&lt;&gt;Release",CostTrack[Status],"Approved"))</f>
        <v>800</v>
      </c>
      <c r="M100" s="1403">
        <f ca="1">IF(EAC[[#This Row],[Current Commitment]]="",0,EAC[[#This Row],[Current Commitment]]-EAC[[#This Row],[Expenditures to Date]])</f>
        <v>0</v>
      </c>
      <c r="N100" s="1404"/>
      <c r="O100" s="1405">
        <f ca="1">EAC[[#This Row],[Open Commit.]]+EAC[[#This Row],[Future Commit.]]+EAC[[#This Row],[Expenditures to Date]]</f>
        <v>800</v>
      </c>
      <c r="P100" s="1406">
        <f ca="1">IF(EAC[[#This Row],[Current Commitment]]="","",EAC[[#This Row],[Current Commitment]]-EAC[[#This Row],[Estimate At Completion]])</f>
        <v>0</v>
      </c>
      <c r="Q100" s="1407"/>
    </row>
    <row r="101" spans="1:17" hidden="1">
      <c r="A101" s="217">
        <v>96</v>
      </c>
      <c r="B101" s="692" t="s">
        <v>471</v>
      </c>
      <c r="C101" s="87" t="str">
        <f ca="1">IF(EAC[[#This Row],[PA ID]]="","",INDEX(BudgetTrack[Primary Category],MATCH(EAC[[#This Row],[PA ID]],BudgetTrack[PA ID],0),0))</f>
        <v>FE_IT</v>
      </c>
      <c r="D101" s="87" t="str">
        <f ca="1">IF(EAC[[#This Row],[PA ID]]="","",INDEX(BudgetTrack[Secondary Category],MATCH(EAC[[#This Row],[PA ID]],BudgetTrack[PA ID],0),0))</f>
        <v>Furniture &amp; Equipment</v>
      </c>
      <c r="E101" s="118" t="str">
        <f ca="1">IF(EAC[[#This Row],[PA ID]]="","",INDEX(BudgetTrack[Phase / Subproject],MATCH(EAC[[#This Row],[PA ID]],BudgetTrack[PA ID],0),0))</f>
        <v>--</v>
      </c>
      <c r="F101" s="118" t="str">
        <f ca="1">IF(EAC[[#This Row],[PA ID]]="","",INDEX(BudgetTrack[Phase / Subproject 2],MATCH(EAC[[#This Row],[PA ID]],BudgetTrack[PA ID],0),0))</f>
        <v>--</v>
      </c>
      <c r="G101" s="118" t="str">
        <f ca="1">IF(EAC[[#This Row],[PA ID]]="","",INDEX(BudgetTrack[Funding Source],MATCH(EAC[[#This Row],[PA ID]],BudgetTrack[PA ID],0),0))</f>
        <v>P-002360</v>
      </c>
      <c r="H101" s="693" t="s">
        <v>1366</v>
      </c>
      <c r="I101" s="118" t="str">
        <f ca="1">IF(EAC[[#This Row],[Vendor / Org. with Contract ID]]="","",INDEX(VendorList[Status],MATCH(EAC[[#This Row],[Vendor / Org. with Contract ID]],VendorList[Vendor / Org. with Contract ID],0),0))</f>
        <v>Closed</v>
      </c>
      <c r="J101" s="694" t="s">
        <v>1731</v>
      </c>
      <c r="K101" s="1402">
        <f ca="1">IF(EAC[[#This Row],[Vendor / Org. with Contract ID]]="",0,SUMIFS(VendorList[Current Commitment],VendorList[Vendor / Org. with Contract ID],EAC[[#This Row],[Vendor / Org. with Contract ID]],VendorList[PA ID],EAC[[#This Row],[PA ID]]))</f>
        <v>732</v>
      </c>
      <c r="L101" s="1402">
        <f ca="1">IF(EAC[[#This Row],[Vendor / Org. with Contract ID]]="",0,SUMIFS(CostTrack[Value],CostTrack[Vendor - Contract],EAC[[#This Row],[Vendor / Org. with Contract ID]],CostTrack[PA ID],EAC[[#This Row],[PA ID]],CostTrack[Holdback (Y/N/R)],"&lt;&gt;Release",CostTrack[Status],"Approved"))</f>
        <v>732</v>
      </c>
      <c r="M101" s="1403">
        <f ca="1">IF(EAC[[#This Row],[Current Commitment]]="",0,EAC[[#This Row],[Current Commitment]]-EAC[[#This Row],[Expenditures to Date]])</f>
        <v>0</v>
      </c>
      <c r="N101" s="1404"/>
      <c r="O101" s="1405">
        <f ca="1">EAC[[#This Row],[Open Commit.]]+EAC[[#This Row],[Future Commit.]]+EAC[[#This Row],[Expenditures to Date]]</f>
        <v>732</v>
      </c>
      <c r="P101" s="1406">
        <f ca="1">IF(EAC[[#This Row],[Current Commitment]]="","",EAC[[#This Row],[Current Commitment]]-EAC[[#This Row],[Estimate At Completion]])</f>
        <v>0</v>
      </c>
      <c r="Q101" s="1407"/>
    </row>
    <row r="102" spans="1:17" hidden="1">
      <c r="A102" s="217">
        <v>97</v>
      </c>
      <c r="B102" s="692" t="s">
        <v>471</v>
      </c>
      <c r="C102" s="87" t="str">
        <f ca="1">IF(EAC[[#This Row],[PA ID]]="","",INDEX(BudgetTrack[Primary Category],MATCH(EAC[[#This Row],[PA ID]],BudgetTrack[PA ID],0),0))</f>
        <v>FE_IT</v>
      </c>
      <c r="D102" s="87" t="str">
        <f ca="1">IF(EAC[[#This Row],[PA ID]]="","",INDEX(BudgetTrack[Secondary Category],MATCH(EAC[[#This Row],[PA ID]],BudgetTrack[PA ID],0),0))</f>
        <v>Furniture &amp; Equipment</v>
      </c>
      <c r="E102" s="118" t="str">
        <f ca="1">IF(EAC[[#This Row],[PA ID]]="","",INDEX(BudgetTrack[Phase / Subproject],MATCH(EAC[[#This Row],[PA ID]],BudgetTrack[PA ID],0),0))</f>
        <v>--</v>
      </c>
      <c r="F102" s="118" t="str">
        <f ca="1">IF(EAC[[#This Row],[PA ID]]="","",INDEX(BudgetTrack[Phase / Subproject 2],MATCH(EAC[[#This Row],[PA ID]],BudgetTrack[PA ID],0),0))</f>
        <v>--</v>
      </c>
      <c r="G102" s="118" t="str">
        <f ca="1">IF(EAC[[#This Row],[PA ID]]="","",INDEX(BudgetTrack[Funding Source],MATCH(EAC[[#This Row],[PA ID]],BudgetTrack[PA ID],0),0))</f>
        <v>P-002360</v>
      </c>
      <c r="H102" s="693" t="s">
        <v>1363</v>
      </c>
      <c r="I102" s="118" t="str">
        <f ca="1">IF(EAC[[#This Row],[Vendor / Org. with Contract ID]]="","",INDEX(VendorList[Status],MATCH(EAC[[#This Row],[Vendor / Org. with Contract ID]],VendorList[Vendor / Org. with Contract ID],0),0))</f>
        <v>Closed</v>
      </c>
      <c r="J102" s="694" t="s">
        <v>1732</v>
      </c>
      <c r="K102" s="1402">
        <f ca="1">IF(EAC[[#This Row],[Vendor / Org. with Contract ID]]="",0,SUMIFS(VendorList[Current Commitment],VendorList[Vendor / Org. with Contract ID],EAC[[#This Row],[Vendor / Org. with Contract ID]],VendorList[PA ID],EAC[[#This Row],[PA ID]]))</f>
        <v>10335</v>
      </c>
      <c r="L102" s="1402">
        <f ca="1">IF(EAC[[#This Row],[Vendor / Org. with Contract ID]]="",0,SUMIFS(CostTrack[Value],CostTrack[Vendor - Contract],EAC[[#This Row],[Vendor / Org. with Contract ID]],CostTrack[PA ID],EAC[[#This Row],[PA ID]],CostTrack[Holdback (Y/N/R)],"&lt;&gt;Release",CostTrack[Status],"Approved"))</f>
        <v>10335</v>
      </c>
      <c r="M102" s="1403">
        <f ca="1">IF(EAC[[#This Row],[Current Commitment]]="",0,EAC[[#This Row],[Current Commitment]]-EAC[[#This Row],[Expenditures to Date]])</f>
        <v>0</v>
      </c>
      <c r="N102" s="1404"/>
      <c r="O102" s="1405">
        <f ca="1">EAC[[#This Row],[Open Commit.]]+EAC[[#This Row],[Future Commit.]]+EAC[[#This Row],[Expenditures to Date]]</f>
        <v>10335</v>
      </c>
      <c r="P102" s="1406">
        <f ca="1">IF(EAC[[#This Row],[Current Commitment]]="","",EAC[[#This Row],[Current Commitment]]-EAC[[#This Row],[Estimate At Completion]])</f>
        <v>0</v>
      </c>
      <c r="Q102" s="1407"/>
    </row>
    <row r="103" spans="1:17" hidden="1">
      <c r="A103" s="217">
        <v>98</v>
      </c>
      <c r="B103" s="692" t="s">
        <v>471</v>
      </c>
      <c r="C103" s="87" t="str">
        <f ca="1">IF(EAC[[#This Row],[PA ID]]="","",INDEX(BudgetTrack[Primary Category],MATCH(EAC[[#This Row],[PA ID]],BudgetTrack[PA ID],0),0))</f>
        <v>FE_IT</v>
      </c>
      <c r="D103" s="87" t="str">
        <f ca="1">IF(EAC[[#This Row],[PA ID]]="","",INDEX(BudgetTrack[Secondary Category],MATCH(EAC[[#This Row],[PA ID]],BudgetTrack[PA ID],0),0))</f>
        <v>Furniture &amp; Equipment</v>
      </c>
      <c r="E103" s="118" t="str">
        <f ca="1">IF(EAC[[#This Row],[PA ID]]="","",INDEX(BudgetTrack[Phase / Subproject],MATCH(EAC[[#This Row],[PA ID]],BudgetTrack[PA ID],0),0))</f>
        <v>--</v>
      </c>
      <c r="F103" s="118" t="str">
        <f ca="1">IF(EAC[[#This Row],[PA ID]]="","",INDEX(BudgetTrack[Phase / Subproject 2],MATCH(EAC[[#This Row],[PA ID]],BudgetTrack[PA ID],0),0))</f>
        <v>--</v>
      </c>
      <c r="G103" s="118" t="str">
        <f ca="1">IF(EAC[[#This Row],[PA ID]]="","",INDEX(BudgetTrack[Funding Source],MATCH(EAC[[#This Row],[PA ID]],BudgetTrack[PA ID],0),0))</f>
        <v>P-002360</v>
      </c>
      <c r="H103" s="693" t="s">
        <v>1401</v>
      </c>
      <c r="I103" s="118" t="str">
        <f ca="1">IF(EAC[[#This Row],[Vendor / Org. with Contract ID]]="","",INDEX(VendorList[Status],MATCH(EAC[[#This Row],[Vendor / Org. with Contract ID]],VendorList[Vendor / Org. with Contract ID],0),0))</f>
        <v>Closed</v>
      </c>
      <c r="J103" s="694" t="s">
        <v>1733</v>
      </c>
      <c r="K103" s="1402">
        <f ca="1">IF(EAC[[#This Row],[Vendor / Org. with Contract ID]]="",0,SUMIFS(VendorList[Current Commitment],VendorList[Vendor / Org. with Contract ID],EAC[[#This Row],[Vendor / Org. with Contract ID]],VendorList[PA ID],EAC[[#This Row],[PA ID]]))</f>
        <v>14616.14</v>
      </c>
      <c r="L103" s="1402">
        <f ca="1">IF(EAC[[#This Row],[Vendor / Org. with Contract ID]]="",0,SUMIFS(CostTrack[Value],CostTrack[Vendor - Contract],EAC[[#This Row],[Vendor / Org. with Contract ID]],CostTrack[PA ID],EAC[[#This Row],[PA ID]],CostTrack[Holdback (Y/N/R)],"&lt;&gt;Release",CostTrack[Status],"Approved"))</f>
        <v>14616.14</v>
      </c>
      <c r="M103" s="1403">
        <f ca="1">IF(EAC[[#This Row],[Current Commitment]]="",0,EAC[[#This Row],[Current Commitment]]-EAC[[#This Row],[Expenditures to Date]])</f>
        <v>0</v>
      </c>
      <c r="N103" s="1404"/>
      <c r="O103" s="1405">
        <f ca="1">EAC[[#This Row],[Open Commit.]]+EAC[[#This Row],[Future Commit.]]+EAC[[#This Row],[Expenditures to Date]]</f>
        <v>14616.14</v>
      </c>
      <c r="P103" s="1406">
        <f ca="1">IF(EAC[[#This Row],[Current Commitment]]="","",EAC[[#This Row],[Current Commitment]]-EAC[[#This Row],[Estimate At Completion]])</f>
        <v>0</v>
      </c>
      <c r="Q103" s="1407"/>
    </row>
    <row r="104" spans="1:17" hidden="1">
      <c r="A104" s="217">
        <v>99</v>
      </c>
      <c r="B104" s="692" t="s">
        <v>248</v>
      </c>
      <c r="C104" s="87" t="str">
        <f ca="1">IF(EAC[[#This Row],[PA ID]]="","",INDEX(BudgetTrack[Primary Category],MATCH(EAC[[#This Row],[PA ID]],BudgetTrack[PA ID],0),0))</f>
        <v>Construction</v>
      </c>
      <c r="D104" s="87" t="str">
        <f ca="1">IF(EAC[[#This Row],[PA ID]]="","",INDEX(BudgetTrack[Secondary Category],MATCH(EAC[[#This Row],[PA ID]],BudgetTrack[PA ID],0),0))</f>
        <v>Other Contractor</v>
      </c>
      <c r="E104" s="118" t="str">
        <f ca="1">IF(EAC[[#This Row],[PA ID]]="","",INDEX(BudgetTrack[Phase / Subproject],MATCH(EAC[[#This Row],[PA ID]],BudgetTrack[PA ID],0),0))</f>
        <v>--</v>
      </c>
      <c r="F104" s="118" t="str">
        <f ca="1">IF(EAC[[#This Row],[PA ID]]="","",INDEX(BudgetTrack[Phase / Subproject 2],MATCH(EAC[[#This Row],[PA ID]],BudgetTrack[PA ID],0),0))</f>
        <v>--</v>
      </c>
      <c r="G104" s="118" t="str">
        <f ca="1">IF(EAC[[#This Row],[PA ID]]="","",INDEX(BudgetTrack[Funding Source],MATCH(EAC[[#This Row],[PA ID]],BudgetTrack[PA ID],0),0))</f>
        <v>P-002360</v>
      </c>
      <c r="H104" s="693" t="s">
        <v>1358</v>
      </c>
      <c r="I104" s="118" t="str">
        <f ca="1">IF(EAC[[#This Row],[Vendor / Org. with Contract ID]]="","",INDEX(VendorList[Status],MATCH(EAC[[#This Row],[Vendor / Org. with Contract ID]],VendorList[Vendor / Org. with Contract ID],0),0))</f>
        <v>Closed</v>
      </c>
      <c r="J104" s="694"/>
      <c r="K104" s="1402">
        <f ca="1">IF(EAC[[#This Row],[Vendor / Org. with Contract ID]]="",0,SUMIFS(VendorList[Current Commitment],VendorList[Vendor / Org. with Contract ID],EAC[[#This Row],[Vendor / Org. with Contract ID]],VendorList[PA ID],EAC[[#This Row],[PA ID]]))</f>
        <v>1058.57</v>
      </c>
      <c r="L104" s="1402">
        <f ca="1">IF(EAC[[#This Row],[Vendor / Org. with Contract ID]]="",0,SUMIFS(CostTrack[Value],CostTrack[Vendor - Contract],EAC[[#This Row],[Vendor / Org. with Contract ID]],CostTrack[PA ID],EAC[[#This Row],[PA ID]],CostTrack[Holdback (Y/N/R)],"&lt;&gt;Release",CostTrack[Status],"Approved"))</f>
        <v>1058.57</v>
      </c>
      <c r="M104" s="1403">
        <f ca="1">IF(EAC[[#This Row],[Current Commitment]]="",0,EAC[[#This Row],[Current Commitment]]-EAC[[#This Row],[Expenditures to Date]])</f>
        <v>0</v>
      </c>
      <c r="N104" s="1404"/>
      <c r="O104" s="1405">
        <f ca="1">EAC[[#This Row],[Open Commit.]]+EAC[[#This Row],[Future Commit.]]+EAC[[#This Row],[Expenditures to Date]]</f>
        <v>1058.57</v>
      </c>
      <c r="P104" s="1406">
        <f ca="1">IF(EAC[[#This Row],[Current Commitment]]="","",EAC[[#This Row],[Current Commitment]]-EAC[[#This Row],[Estimate At Completion]])</f>
        <v>0</v>
      </c>
      <c r="Q104" s="1407"/>
    </row>
    <row r="105" spans="1:17" hidden="1">
      <c r="A105" s="217">
        <v>100</v>
      </c>
      <c r="B105" s="692" t="s">
        <v>471</v>
      </c>
      <c r="C105" s="87" t="str">
        <f ca="1">IF(EAC[[#This Row],[PA ID]]="","",INDEX(BudgetTrack[Primary Category],MATCH(EAC[[#This Row],[PA ID]],BudgetTrack[PA ID],0),0))</f>
        <v>FE_IT</v>
      </c>
      <c r="D105" s="87" t="str">
        <f ca="1">IF(EAC[[#This Row],[PA ID]]="","",INDEX(BudgetTrack[Secondary Category],MATCH(EAC[[#This Row],[PA ID]],BudgetTrack[PA ID],0),0))</f>
        <v>Furniture &amp; Equipment</v>
      </c>
      <c r="E105" s="118" t="str">
        <f ca="1">IF(EAC[[#This Row],[PA ID]]="","",INDEX(BudgetTrack[Phase / Subproject],MATCH(EAC[[#This Row],[PA ID]],BudgetTrack[PA ID],0),0))</f>
        <v>--</v>
      </c>
      <c r="F105" s="118" t="str">
        <f ca="1">IF(EAC[[#This Row],[PA ID]]="","",INDEX(BudgetTrack[Phase / Subproject 2],MATCH(EAC[[#This Row],[PA ID]],BudgetTrack[PA ID],0),0))</f>
        <v>--</v>
      </c>
      <c r="G105" s="118" t="str">
        <f ca="1">IF(EAC[[#This Row],[PA ID]]="","",INDEX(BudgetTrack[Funding Source],MATCH(EAC[[#This Row],[PA ID]],BudgetTrack[PA ID],0),0))</f>
        <v>P-002360</v>
      </c>
      <c r="H105" s="693" t="s">
        <v>1415</v>
      </c>
      <c r="I105" s="118" t="str">
        <f ca="1">IF(EAC[[#This Row],[Vendor / Org. with Contract ID]]="","",INDEX(VendorList[Status],MATCH(EAC[[#This Row],[Vendor / Org. with Contract ID]],VendorList[Vendor / Org. with Contract ID],0),0))</f>
        <v>Closed</v>
      </c>
      <c r="J105" s="694"/>
      <c r="K105" s="1402">
        <f ca="1">IF(EAC[[#This Row],[Vendor / Org. with Contract ID]]="",0,SUMIFS(VendorList[Current Commitment],VendorList[Vendor / Org. with Contract ID],EAC[[#This Row],[Vendor / Org. with Contract ID]],VendorList[PA ID],EAC[[#This Row],[PA ID]]))</f>
        <v>2449.5</v>
      </c>
      <c r="L105" s="1402">
        <f ca="1">IF(EAC[[#This Row],[Vendor / Org. with Contract ID]]="",0,SUMIFS(CostTrack[Value],CostTrack[Vendor - Contract],EAC[[#This Row],[Vendor / Org. with Contract ID]],CostTrack[PA ID],EAC[[#This Row],[PA ID]],CostTrack[Holdback (Y/N/R)],"&lt;&gt;Release",CostTrack[Status],"Approved"))</f>
        <v>2449.5</v>
      </c>
      <c r="M105" s="1403">
        <f ca="1">IF(EAC[[#This Row],[Current Commitment]]="",0,EAC[[#This Row],[Current Commitment]]-EAC[[#This Row],[Expenditures to Date]])</f>
        <v>0</v>
      </c>
      <c r="N105" s="1404"/>
      <c r="O105" s="1405">
        <f ca="1">EAC[[#This Row],[Open Commit.]]+EAC[[#This Row],[Future Commit.]]+EAC[[#This Row],[Expenditures to Date]]</f>
        <v>2449.5</v>
      </c>
      <c r="P105" s="1406">
        <f ca="1">IF(EAC[[#This Row],[Current Commitment]]="","",EAC[[#This Row],[Current Commitment]]-EAC[[#This Row],[Estimate At Completion]])</f>
        <v>0</v>
      </c>
      <c r="Q105" s="1407"/>
    </row>
    <row r="106" spans="1:17" hidden="1">
      <c r="A106" s="217">
        <v>101</v>
      </c>
      <c r="B106" s="692" t="s">
        <v>471</v>
      </c>
      <c r="C106" s="87" t="str">
        <f ca="1">IF(EAC[[#This Row],[PA ID]]="","",INDEX(BudgetTrack[Primary Category],MATCH(EAC[[#This Row],[PA ID]],BudgetTrack[PA ID],0),0))</f>
        <v>FE_IT</v>
      </c>
      <c r="D106" s="87" t="str">
        <f ca="1">IF(EAC[[#This Row],[PA ID]]="","",INDEX(BudgetTrack[Secondary Category],MATCH(EAC[[#This Row],[PA ID]],BudgetTrack[PA ID],0),0))</f>
        <v>Furniture &amp; Equipment</v>
      </c>
      <c r="E106" s="118" t="str">
        <f ca="1">IF(EAC[[#This Row],[PA ID]]="","",INDEX(BudgetTrack[Phase / Subproject],MATCH(EAC[[#This Row],[PA ID]],BudgetTrack[PA ID],0),0))</f>
        <v>--</v>
      </c>
      <c r="F106" s="118" t="str">
        <f ca="1">IF(EAC[[#This Row],[PA ID]]="","",INDEX(BudgetTrack[Phase / Subproject 2],MATCH(EAC[[#This Row],[PA ID]],BudgetTrack[PA ID],0),0))</f>
        <v>--</v>
      </c>
      <c r="G106" s="118" t="str">
        <f ca="1">IF(EAC[[#This Row],[PA ID]]="","",INDEX(BudgetTrack[Funding Source],MATCH(EAC[[#This Row],[PA ID]],BudgetTrack[PA ID],0),0))</f>
        <v>P-002360</v>
      </c>
      <c r="H106" s="693" t="s">
        <v>1386</v>
      </c>
      <c r="I106" s="118" t="str">
        <f ca="1">IF(EAC[[#This Row],[Vendor / Org. with Contract ID]]="","",INDEX(VendorList[Status],MATCH(EAC[[#This Row],[Vendor / Org. with Contract ID]],VendorList[Vendor / Org. with Contract ID],0),0))</f>
        <v>Closed</v>
      </c>
      <c r="J106" s="694"/>
      <c r="K106" s="1402">
        <f ca="1">IF(EAC[[#This Row],[Vendor / Org. with Contract ID]]="",0,SUMIFS(VendorList[Current Commitment],VendorList[Vendor / Org. with Contract ID],EAC[[#This Row],[Vendor / Org. with Contract ID]],VendorList[PA ID],EAC[[#This Row],[PA ID]]))</f>
        <v>1254</v>
      </c>
      <c r="L106" s="1402">
        <f ca="1">IF(EAC[[#This Row],[Vendor / Org. with Contract ID]]="",0,SUMIFS(CostTrack[Value],CostTrack[Vendor - Contract],EAC[[#This Row],[Vendor / Org. with Contract ID]],CostTrack[PA ID],EAC[[#This Row],[PA ID]],CostTrack[Holdback (Y/N/R)],"&lt;&gt;Release",CostTrack[Status],"Approved"))</f>
        <v>1254</v>
      </c>
      <c r="M106" s="1403">
        <f ca="1">IF(EAC[[#This Row],[Current Commitment]]="",0,EAC[[#This Row],[Current Commitment]]-EAC[[#This Row],[Expenditures to Date]])</f>
        <v>0</v>
      </c>
      <c r="N106" s="1404"/>
      <c r="O106" s="1405">
        <f ca="1">EAC[[#This Row],[Open Commit.]]+EAC[[#This Row],[Future Commit.]]+EAC[[#This Row],[Expenditures to Date]]</f>
        <v>1254</v>
      </c>
      <c r="P106" s="1406">
        <f ca="1">IF(EAC[[#This Row],[Current Commitment]]="","",EAC[[#This Row],[Current Commitment]]-EAC[[#This Row],[Estimate At Completion]])</f>
        <v>0</v>
      </c>
      <c r="Q106" s="1407"/>
    </row>
    <row r="107" spans="1:17" ht="18.75" hidden="1" customHeight="1">
      <c r="A107" s="217">
        <v>102</v>
      </c>
      <c r="B107" s="692" t="s">
        <v>471</v>
      </c>
      <c r="C107" s="87" t="str">
        <f ca="1">IF(EAC[[#This Row],[PA ID]]="","",INDEX(BudgetTrack[Primary Category],MATCH(EAC[[#This Row],[PA ID]],BudgetTrack[PA ID],0),0))</f>
        <v>FE_IT</v>
      </c>
      <c r="D107" s="87" t="str">
        <f ca="1">IF(EAC[[#This Row],[PA ID]]="","",INDEX(BudgetTrack[Secondary Category],MATCH(EAC[[#This Row],[PA ID]],BudgetTrack[PA ID],0),0))</f>
        <v>Furniture &amp; Equipment</v>
      </c>
      <c r="E107" s="118" t="str">
        <f ca="1">IF(EAC[[#This Row],[PA ID]]="","",INDEX(BudgetTrack[Phase / Subproject],MATCH(EAC[[#This Row],[PA ID]],BudgetTrack[PA ID],0),0))</f>
        <v>--</v>
      </c>
      <c r="F107" s="118" t="str">
        <f ca="1">IF(EAC[[#This Row],[PA ID]]="","",INDEX(BudgetTrack[Phase / Subproject 2],MATCH(EAC[[#This Row],[PA ID]],BudgetTrack[PA ID],0),0))</f>
        <v>--</v>
      </c>
      <c r="G107" s="118" t="str">
        <f ca="1">IF(EAC[[#This Row],[PA ID]]="","",INDEX(BudgetTrack[Funding Source],MATCH(EAC[[#This Row],[PA ID]],BudgetTrack[PA ID],0),0))</f>
        <v>P-002360</v>
      </c>
      <c r="H107" s="693" t="s">
        <v>1378</v>
      </c>
      <c r="I107" s="118" t="str">
        <f ca="1">IF(EAC[[#This Row],[Vendor / Org. with Contract ID]]="","",INDEX(VendorList[Status],MATCH(EAC[[#This Row],[Vendor / Org. with Contract ID]],VendorList[Vendor / Org. with Contract ID],0),0))</f>
        <v>Closed</v>
      </c>
      <c r="J107" s="694"/>
      <c r="K107" s="1402">
        <f ca="1">IF(EAC[[#This Row],[Vendor / Org. with Contract ID]]="",0,SUMIFS(VendorList[Current Commitment],VendorList[Vendor / Org. with Contract ID],EAC[[#This Row],[Vendor / Org. with Contract ID]],VendorList[PA ID],EAC[[#This Row],[PA ID]]))</f>
        <v>1025</v>
      </c>
      <c r="L107" s="1402">
        <f ca="1">IF(EAC[[#This Row],[Vendor / Org. with Contract ID]]="",0,SUMIFS(CostTrack[Value],CostTrack[Vendor - Contract],EAC[[#This Row],[Vendor / Org. with Contract ID]],CostTrack[PA ID],EAC[[#This Row],[PA ID]],CostTrack[Holdback (Y/N/R)],"&lt;&gt;Release",CostTrack[Status],"Approved"))</f>
        <v>1025</v>
      </c>
      <c r="M107" s="1403">
        <f ca="1">IF(EAC[[#This Row],[Current Commitment]]="",0,EAC[[#This Row],[Current Commitment]]-EAC[[#This Row],[Expenditures to Date]])</f>
        <v>0</v>
      </c>
      <c r="N107" s="1404"/>
      <c r="O107" s="1405">
        <f ca="1">EAC[[#This Row],[Open Commit.]]+EAC[[#This Row],[Future Commit.]]+EAC[[#This Row],[Expenditures to Date]]</f>
        <v>1025</v>
      </c>
      <c r="P107" s="1406">
        <f ca="1">IF(EAC[[#This Row],[Current Commitment]]="","",EAC[[#This Row],[Current Commitment]]-EAC[[#This Row],[Estimate At Completion]])</f>
        <v>0</v>
      </c>
      <c r="Q107" s="1407"/>
    </row>
    <row r="108" spans="1:17" ht="18.75" hidden="1" customHeight="1">
      <c r="A108" s="217">
        <v>103</v>
      </c>
      <c r="B108" s="692" t="s">
        <v>471</v>
      </c>
      <c r="C108" s="87" t="str">
        <f ca="1">IF(EAC[[#This Row],[PA ID]]="","",INDEX(BudgetTrack[Primary Category],MATCH(EAC[[#This Row],[PA ID]],BudgetTrack[PA ID],0),0))</f>
        <v>FE_IT</v>
      </c>
      <c r="D108" s="87" t="str">
        <f ca="1">IF(EAC[[#This Row],[PA ID]]="","",INDEX(BudgetTrack[Secondary Category],MATCH(EAC[[#This Row],[PA ID]],BudgetTrack[PA ID],0),0))</f>
        <v>Furniture &amp; Equipment</v>
      </c>
      <c r="E108" s="118" t="str">
        <f ca="1">IF(EAC[[#This Row],[PA ID]]="","",INDEX(BudgetTrack[Phase / Subproject],MATCH(EAC[[#This Row],[PA ID]],BudgetTrack[PA ID],0),0))</f>
        <v>--</v>
      </c>
      <c r="F108" s="118" t="str">
        <f ca="1">IF(EAC[[#This Row],[PA ID]]="","",INDEX(BudgetTrack[Phase / Subproject 2],MATCH(EAC[[#This Row],[PA ID]],BudgetTrack[PA ID],0),0))</f>
        <v>--</v>
      </c>
      <c r="G108" s="118" t="str">
        <f ca="1">IF(EAC[[#This Row],[PA ID]]="","",INDEX(BudgetTrack[Funding Source],MATCH(EAC[[#This Row],[PA ID]],BudgetTrack[PA ID],0),0))</f>
        <v>P-002360</v>
      </c>
      <c r="H108" s="693" t="s">
        <v>1373</v>
      </c>
      <c r="I108" s="118" t="str">
        <f ca="1">IF(EAC[[#This Row],[Vendor / Org. with Contract ID]]="","",INDEX(VendorList[Status],MATCH(EAC[[#This Row],[Vendor / Org. with Contract ID]],VendorList[Vendor / Org. with Contract ID],0),0))</f>
        <v>Closed</v>
      </c>
      <c r="J108" s="694"/>
      <c r="K108" s="1402">
        <f ca="1">IF(EAC[[#This Row],[Vendor / Org. with Contract ID]]="",0,SUMIFS(VendorList[Current Commitment],VendorList[Vendor / Org. with Contract ID],EAC[[#This Row],[Vendor / Org. with Contract ID]],VendorList[PA ID],EAC[[#This Row],[PA ID]]))</f>
        <v>570</v>
      </c>
      <c r="L108" s="1402">
        <f ca="1">IF(EAC[[#This Row],[Vendor / Org. with Contract ID]]="",0,SUMIFS(CostTrack[Value],CostTrack[Vendor - Contract],EAC[[#This Row],[Vendor / Org. with Contract ID]],CostTrack[PA ID],EAC[[#This Row],[PA ID]],CostTrack[Holdback (Y/N/R)],"&lt;&gt;Release",CostTrack[Status],"Approved"))</f>
        <v>570</v>
      </c>
      <c r="M108" s="1403">
        <f ca="1">IF(EAC[[#This Row],[Current Commitment]]="",0,EAC[[#This Row],[Current Commitment]]-EAC[[#This Row],[Expenditures to Date]])</f>
        <v>0</v>
      </c>
      <c r="N108" s="1404"/>
      <c r="O108" s="1405">
        <f ca="1">EAC[[#This Row],[Open Commit.]]+EAC[[#This Row],[Future Commit.]]+EAC[[#This Row],[Expenditures to Date]]</f>
        <v>570</v>
      </c>
      <c r="P108" s="1406">
        <f ca="1">IF(EAC[[#This Row],[Current Commitment]]="","",EAC[[#This Row],[Current Commitment]]-EAC[[#This Row],[Estimate At Completion]])</f>
        <v>0</v>
      </c>
      <c r="Q108" s="1407"/>
    </row>
    <row r="109" spans="1:17" ht="18.75" hidden="1" customHeight="1">
      <c r="A109" s="217">
        <v>104</v>
      </c>
      <c r="B109" s="692" t="s">
        <v>471</v>
      </c>
      <c r="C109" s="87" t="str">
        <f ca="1">IF(EAC[[#This Row],[PA ID]]="","",INDEX(BudgetTrack[Primary Category],MATCH(EAC[[#This Row],[PA ID]],BudgetTrack[PA ID],0),0))</f>
        <v>FE_IT</v>
      </c>
      <c r="D109" s="87" t="str">
        <f ca="1">IF(EAC[[#This Row],[PA ID]]="","",INDEX(BudgetTrack[Secondary Category],MATCH(EAC[[#This Row],[PA ID]],BudgetTrack[PA ID],0),0))</f>
        <v>Furniture &amp; Equipment</v>
      </c>
      <c r="E109" s="118" t="str">
        <f ca="1">IF(EAC[[#This Row],[PA ID]]="","",INDEX(BudgetTrack[Phase / Subproject],MATCH(EAC[[#This Row],[PA ID]],BudgetTrack[PA ID],0),0))</f>
        <v>--</v>
      </c>
      <c r="F109" s="118" t="str">
        <f ca="1">IF(EAC[[#This Row],[PA ID]]="","",INDEX(BudgetTrack[Phase / Subproject 2],MATCH(EAC[[#This Row],[PA ID]],BudgetTrack[PA ID],0),0))</f>
        <v>--</v>
      </c>
      <c r="G109" s="118" t="str">
        <f ca="1">IF(EAC[[#This Row],[PA ID]]="","",INDEX(BudgetTrack[Funding Source],MATCH(EAC[[#This Row],[PA ID]],BudgetTrack[PA ID],0),0))</f>
        <v>P-002360</v>
      </c>
      <c r="H109" s="693" t="s">
        <v>1413</v>
      </c>
      <c r="I109" s="118" t="str">
        <f ca="1">IF(EAC[[#This Row],[Vendor / Org. with Contract ID]]="","",INDEX(VendorList[Status],MATCH(EAC[[#This Row],[Vendor / Org. with Contract ID]],VendorList[Vendor / Org. with Contract ID],0),0))</f>
        <v>Closed</v>
      </c>
      <c r="J109" s="694"/>
      <c r="K109" s="1402">
        <f ca="1">IF(EAC[[#This Row],[Vendor / Org. with Contract ID]]="",0,SUMIFS(VendorList[Current Commitment],VendorList[Vendor / Org. with Contract ID],EAC[[#This Row],[Vendor / Org. with Contract ID]],VendorList[PA ID],EAC[[#This Row],[PA ID]]))</f>
        <v>328373.52</v>
      </c>
      <c r="L109" s="1402">
        <f ca="1">IF(EAC[[#This Row],[Vendor / Org. with Contract ID]]="",0,SUMIFS(CostTrack[Value],CostTrack[Vendor - Contract],EAC[[#This Row],[Vendor / Org. with Contract ID]],CostTrack[PA ID],EAC[[#This Row],[PA ID]],CostTrack[Holdback (Y/N/R)],"&lt;&gt;Release",CostTrack[Status],"Approved"))</f>
        <v>328373.52</v>
      </c>
      <c r="M109" s="1403">
        <f ca="1">IF(EAC[[#This Row],[Current Commitment]]="",0,EAC[[#This Row],[Current Commitment]]-EAC[[#This Row],[Expenditures to Date]])</f>
        <v>0</v>
      </c>
      <c r="N109" s="1404"/>
      <c r="O109" s="1405">
        <f ca="1">EAC[[#This Row],[Open Commit.]]+EAC[[#This Row],[Future Commit.]]+EAC[[#This Row],[Expenditures to Date]]</f>
        <v>328373.52</v>
      </c>
      <c r="P109" s="1406">
        <f ca="1">IF(EAC[[#This Row],[Current Commitment]]="","",EAC[[#This Row],[Current Commitment]]-EAC[[#This Row],[Estimate At Completion]])</f>
        <v>0</v>
      </c>
      <c r="Q109" s="1407"/>
    </row>
    <row r="110" spans="1:17" ht="18.75" hidden="1" customHeight="1">
      <c r="A110" s="217">
        <v>105</v>
      </c>
      <c r="B110" s="692" t="s">
        <v>471</v>
      </c>
      <c r="C110" s="87" t="str">
        <f ca="1">IF(EAC[[#This Row],[PA ID]]="","",INDEX(BudgetTrack[Primary Category],MATCH(EAC[[#This Row],[PA ID]],BudgetTrack[PA ID],0),0))</f>
        <v>FE_IT</v>
      </c>
      <c r="D110" s="87" t="str">
        <f ca="1">IF(EAC[[#This Row],[PA ID]]="","",INDEX(BudgetTrack[Secondary Category],MATCH(EAC[[#This Row],[PA ID]],BudgetTrack[PA ID],0),0))</f>
        <v>Furniture &amp; Equipment</v>
      </c>
      <c r="E110" s="118" t="str">
        <f ca="1">IF(EAC[[#This Row],[PA ID]]="","",INDEX(BudgetTrack[Phase / Subproject],MATCH(EAC[[#This Row],[PA ID]],BudgetTrack[PA ID],0),0))</f>
        <v>--</v>
      </c>
      <c r="F110" s="118" t="str">
        <f ca="1">IF(EAC[[#This Row],[PA ID]]="","",INDEX(BudgetTrack[Phase / Subproject 2],MATCH(EAC[[#This Row],[PA ID]],BudgetTrack[PA ID],0),0))</f>
        <v>--</v>
      </c>
      <c r="G110" s="118" t="str">
        <f ca="1">IF(EAC[[#This Row],[PA ID]]="","",INDEX(BudgetTrack[Funding Source],MATCH(EAC[[#This Row],[PA ID]],BudgetTrack[PA ID],0),0))</f>
        <v>P-002360</v>
      </c>
      <c r="H110" s="693" t="s">
        <v>1404</v>
      </c>
      <c r="I110" s="118" t="str">
        <f ca="1">IF(EAC[[#This Row],[Vendor / Org. with Contract ID]]="","",INDEX(VendorList[Status],MATCH(EAC[[#This Row],[Vendor / Org. with Contract ID]],VendorList[Vendor / Org. with Contract ID],0),0))</f>
        <v>Closed</v>
      </c>
      <c r="J110" s="694"/>
      <c r="K110" s="1402">
        <f ca="1">IF(EAC[[#This Row],[Vendor / Org. with Contract ID]]="",0,SUMIFS(VendorList[Current Commitment],VendorList[Vendor / Org. with Contract ID],EAC[[#This Row],[Vendor / Org. with Contract ID]],VendorList[PA ID],EAC[[#This Row],[PA ID]]))</f>
        <v>20406.97</v>
      </c>
      <c r="L110" s="1402">
        <f ca="1">IF(EAC[[#This Row],[Vendor / Org. with Contract ID]]="",0,SUMIFS(CostTrack[Value],CostTrack[Vendor - Contract],EAC[[#This Row],[Vendor / Org. with Contract ID]],CostTrack[PA ID],EAC[[#This Row],[PA ID]],CostTrack[Holdback (Y/N/R)],"&lt;&gt;Release",CostTrack[Status],"Approved"))</f>
        <v>20406.97</v>
      </c>
      <c r="M110" s="1403">
        <f ca="1">IF(EAC[[#This Row],[Current Commitment]]="",0,EAC[[#This Row],[Current Commitment]]-EAC[[#This Row],[Expenditures to Date]])</f>
        <v>0</v>
      </c>
      <c r="N110" s="1404"/>
      <c r="O110" s="1405">
        <f ca="1">EAC[[#This Row],[Open Commit.]]+EAC[[#This Row],[Future Commit.]]+EAC[[#This Row],[Expenditures to Date]]</f>
        <v>20406.97</v>
      </c>
      <c r="P110" s="1406">
        <f ca="1">IF(EAC[[#This Row],[Current Commitment]]="","",EAC[[#This Row],[Current Commitment]]-EAC[[#This Row],[Estimate At Completion]])</f>
        <v>0</v>
      </c>
      <c r="Q110" s="1407"/>
    </row>
    <row r="111" spans="1:17" ht="18.75" hidden="1" customHeight="1">
      <c r="A111" s="217">
        <v>106</v>
      </c>
      <c r="B111" s="692" t="s">
        <v>471</v>
      </c>
      <c r="C111" s="87" t="str">
        <f ca="1">IF(EAC[[#This Row],[PA ID]]="","",INDEX(BudgetTrack[Primary Category],MATCH(EAC[[#This Row],[PA ID]],BudgetTrack[PA ID],0),0))</f>
        <v>FE_IT</v>
      </c>
      <c r="D111" s="87" t="str">
        <f ca="1">IF(EAC[[#This Row],[PA ID]]="","",INDEX(BudgetTrack[Secondary Category],MATCH(EAC[[#This Row],[PA ID]],BudgetTrack[PA ID],0),0))</f>
        <v>Furniture &amp; Equipment</v>
      </c>
      <c r="E111" s="118" t="str">
        <f ca="1">IF(EAC[[#This Row],[PA ID]]="","",INDEX(BudgetTrack[Phase / Subproject],MATCH(EAC[[#This Row],[PA ID]],BudgetTrack[PA ID],0),0))</f>
        <v>--</v>
      </c>
      <c r="F111" s="118" t="str">
        <f ca="1">IF(EAC[[#This Row],[PA ID]]="","",INDEX(BudgetTrack[Phase / Subproject 2],MATCH(EAC[[#This Row],[PA ID]],BudgetTrack[PA ID],0),0))</f>
        <v>--</v>
      </c>
      <c r="G111" s="118" t="str">
        <f ca="1">IF(EAC[[#This Row],[PA ID]]="","",INDEX(BudgetTrack[Funding Source],MATCH(EAC[[#This Row],[PA ID]],BudgetTrack[PA ID],0),0))</f>
        <v>P-002360</v>
      </c>
      <c r="H111" s="693" t="s">
        <v>1489</v>
      </c>
      <c r="I111" s="118" t="str">
        <f ca="1">IF(EAC[[#This Row],[Vendor / Org. with Contract ID]]="","",INDEX(VendorList[Status],MATCH(EAC[[#This Row],[Vendor / Org. with Contract ID]],VendorList[Vendor / Org. with Contract ID],0),0))</f>
        <v>Closed</v>
      </c>
      <c r="J111" s="694"/>
      <c r="K111" s="1402">
        <f ca="1">IF(EAC[[#This Row],[Vendor / Org. with Contract ID]]="",0,SUMIFS(VendorList[Current Commitment],VendorList[Vendor / Org. with Contract ID],EAC[[#This Row],[Vendor / Org. with Contract ID]],VendorList[PA ID],EAC[[#This Row],[PA ID]]))</f>
        <v>11343.09</v>
      </c>
      <c r="L111" s="1402">
        <f ca="1">IF(EAC[[#This Row],[Vendor / Org. with Contract ID]]="",0,SUMIFS(CostTrack[Value],CostTrack[Vendor - Contract],EAC[[#This Row],[Vendor / Org. with Contract ID]],CostTrack[PA ID],EAC[[#This Row],[PA ID]],CostTrack[Holdback (Y/N/R)],"&lt;&gt;Release",CostTrack[Status],"Approved"))</f>
        <v>11343.09</v>
      </c>
      <c r="M111" s="1403">
        <f ca="1">IF(EAC[[#This Row],[Current Commitment]]="",0,EAC[[#This Row],[Current Commitment]]-EAC[[#This Row],[Expenditures to Date]])</f>
        <v>0</v>
      </c>
      <c r="N111" s="1404"/>
      <c r="O111" s="1405">
        <f ca="1">EAC[[#This Row],[Open Commit.]]+EAC[[#This Row],[Future Commit.]]+EAC[[#This Row],[Expenditures to Date]]</f>
        <v>11343.09</v>
      </c>
      <c r="P111" s="1406">
        <f ca="1">IF(EAC[[#This Row],[Current Commitment]]="","",EAC[[#This Row],[Current Commitment]]-EAC[[#This Row],[Estimate At Completion]])</f>
        <v>0</v>
      </c>
      <c r="Q111" s="1407"/>
    </row>
    <row r="112" spans="1:17" ht="18.75" hidden="1" customHeight="1">
      <c r="A112" s="217">
        <v>107</v>
      </c>
      <c r="B112" s="692" t="s">
        <v>471</v>
      </c>
      <c r="C112" s="87" t="str">
        <f ca="1">IF(EAC[[#This Row],[PA ID]]="","",INDEX(BudgetTrack[Primary Category],MATCH(EAC[[#This Row],[PA ID]],BudgetTrack[PA ID],0),0))</f>
        <v>FE_IT</v>
      </c>
      <c r="D112" s="87" t="str">
        <f ca="1">IF(EAC[[#This Row],[PA ID]]="","",INDEX(BudgetTrack[Secondary Category],MATCH(EAC[[#This Row],[PA ID]],BudgetTrack[PA ID],0),0))</f>
        <v>Furniture &amp; Equipment</v>
      </c>
      <c r="E112" s="118" t="str">
        <f ca="1">IF(EAC[[#This Row],[PA ID]]="","",INDEX(BudgetTrack[Phase / Subproject],MATCH(EAC[[#This Row],[PA ID]],BudgetTrack[PA ID],0),0))</f>
        <v>--</v>
      </c>
      <c r="F112" s="118" t="str">
        <f ca="1">IF(EAC[[#This Row],[PA ID]]="","",INDEX(BudgetTrack[Phase / Subproject 2],MATCH(EAC[[#This Row],[PA ID]],BudgetTrack[PA ID],0),0))</f>
        <v>--</v>
      </c>
      <c r="G112" s="118" t="str">
        <f ca="1">IF(EAC[[#This Row],[PA ID]]="","",INDEX(BudgetTrack[Funding Source],MATCH(EAC[[#This Row],[PA ID]],BudgetTrack[PA ID],0),0))</f>
        <v>P-002360</v>
      </c>
      <c r="H112" s="693" t="s">
        <v>1388</v>
      </c>
      <c r="I112" s="118" t="str">
        <f ca="1">IF(EAC[[#This Row],[Vendor / Org. with Contract ID]]="","",INDEX(VendorList[Status],MATCH(EAC[[#This Row],[Vendor / Org. with Contract ID]],VendorList[Vendor / Org. with Contract ID],0),0))</f>
        <v>Closed</v>
      </c>
      <c r="J112" s="694"/>
      <c r="K112" s="1402">
        <f ca="1">IF(EAC[[#This Row],[Vendor / Org. with Contract ID]]="",0,SUMIFS(VendorList[Current Commitment],VendorList[Vendor / Org. with Contract ID],EAC[[#This Row],[Vendor / Org. with Contract ID]],VendorList[PA ID],EAC[[#This Row],[PA ID]]))</f>
        <v>12646.6</v>
      </c>
      <c r="L112" s="1402">
        <f ca="1">IF(EAC[[#This Row],[Vendor / Org. with Contract ID]]="",0,SUMIFS(CostTrack[Value],CostTrack[Vendor - Contract],EAC[[#This Row],[Vendor / Org. with Contract ID]],CostTrack[PA ID],EAC[[#This Row],[PA ID]],CostTrack[Holdback (Y/N/R)],"&lt;&gt;Release",CostTrack[Status],"Approved"))</f>
        <v>12646.6</v>
      </c>
      <c r="M112" s="1403">
        <f ca="1">IF(EAC[[#This Row],[Current Commitment]]="",0,EAC[[#This Row],[Current Commitment]]-EAC[[#This Row],[Expenditures to Date]])</f>
        <v>0</v>
      </c>
      <c r="N112" s="1404"/>
      <c r="O112" s="1405">
        <f ca="1">EAC[[#This Row],[Open Commit.]]+EAC[[#This Row],[Future Commit.]]+EAC[[#This Row],[Expenditures to Date]]</f>
        <v>12646.6</v>
      </c>
      <c r="P112" s="1406">
        <f ca="1">IF(EAC[[#This Row],[Current Commitment]]="","",EAC[[#This Row],[Current Commitment]]-EAC[[#This Row],[Estimate At Completion]])</f>
        <v>0</v>
      </c>
      <c r="Q112" s="1407"/>
    </row>
    <row r="113" spans="1:17" ht="18.75" hidden="1" customHeight="1">
      <c r="A113" s="217">
        <v>108</v>
      </c>
      <c r="B113" s="692" t="s">
        <v>471</v>
      </c>
      <c r="C113" s="87" t="str">
        <f ca="1">IF(EAC[[#This Row],[PA ID]]="","",INDEX(BudgetTrack[Primary Category],MATCH(EAC[[#This Row],[PA ID]],BudgetTrack[PA ID],0),0))</f>
        <v>FE_IT</v>
      </c>
      <c r="D113" s="87" t="str">
        <f ca="1">IF(EAC[[#This Row],[PA ID]]="","",INDEX(BudgetTrack[Secondary Category],MATCH(EAC[[#This Row],[PA ID]],BudgetTrack[PA ID],0),0))</f>
        <v>Furniture &amp; Equipment</v>
      </c>
      <c r="E113" s="118" t="str">
        <f ca="1">IF(EAC[[#This Row],[PA ID]]="","",INDEX(BudgetTrack[Phase / Subproject],MATCH(EAC[[#This Row],[PA ID]],BudgetTrack[PA ID],0),0))</f>
        <v>--</v>
      </c>
      <c r="F113" s="118" t="str">
        <f ca="1">IF(EAC[[#This Row],[PA ID]]="","",INDEX(BudgetTrack[Phase / Subproject 2],MATCH(EAC[[#This Row],[PA ID]],BudgetTrack[PA ID],0),0))</f>
        <v>--</v>
      </c>
      <c r="G113" s="118" t="str">
        <f ca="1">IF(EAC[[#This Row],[PA ID]]="","",INDEX(BudgetTrack[Funding Source],MATCH(EAC[[#This Row],[PA ID]],BudgetTrack[PA ID],0),0))</f>
        <v>P-002360</v>
      </c>
      <c r="H113" s="693" t="s">
        <v>1434</v>
      </c>
      <c r="I113" s="118" t="str">
        <f ca="1">IF(EAC[[#This Row],[Vendor / Org. with Contract ID]]="","",INDEX(VendorList[Status],MATCH(EAC[[#This Row],[Vendor / Org. with Contract ID]],VendorList[Vendor / Org. with Contract ID],0),0))</f>
        <v>Open</v>
      </c>
      <c r="J113" s="694" t="s">
        <v>1734</v>
      </c>
      <c r="K113" s="474">
        <f ca="1">IF(EAC[[#This Row],[Vendor / Org. with Contract ID]]="",0,SUMIFS(VendorList[Current Commitment],VendorList[Vendor / Org. with Contract ID],EAC[[#This Row],[Vendor / Org. with Contract ID]],VendorList[PA ID],EAC[[#This Row],[PA ID]]))</f>
        <v>8111.59</v>
      </c>
      <c r="L113" s="474">
        <f ca="1">IF(EAC[[#This Row],[Vendor / Org. with Contract ID]]="",0,SUMIFS(CostTrack[Value],CostTrack[Vendor - Contract],EAC[[#This Row],[Vendor / Org. with Contract ID]],CostTrack[PA ID],EAC[[#This Row],[PA ID]],CostTrack[Holdback (Y/N/R)],"&lt;&gt;Release",CostTrack[Status],"Approved"))</f>
        <v>8111.59</v>
      </c>
      <c r="M113" s="475">
        <f ca="1">IF(EAC[[#This Row],[Current Commitment]]="",0,EAC[[#This Row],[Current Commitment]]-EAC[[#This Row],[Expenditures to Date]])</f>
        <v>0</v>
      </c>
      <c r="N113" s="888"/>
      <c r="O113" s="42">
        <f ca="1">EAC[[#This Row],[Open Commit.]]+EAC[[#This Row],[Future Commit.]]+EAC[[#This Row],[Expenditures to Date]]</f>
        <v>8111.59</v>
      </c>
      <c r="P113" s="188">
        <f ca="1">IF(EAC[[#This Row],[Current Commitment]]="","",EAC[[#This Row],[Current Commitment]]-EAC[[#This Row],[Estimate At Completion]])</f>
        <v>0</v>
      </c>
      <c r="Q113" s="889"/>
    </row>
    <row r="114" spans="1:17" ht="18.75" hidden="1" customHeight="1">
      <c r="A114" s="217">
        <v>109</v>
      </c>
      <c r="B114" s="692" t="s">
        <v>471</v>
      </c>
      <c r="C114" s="87" t="str">
        <f ca="1">IF(EAC[[#This Row],[PA ID]]="","",INDEX(BudgetTrack[Primary Category],MATCH(EAC[[#This Row],[PA ID]],BudgetTrack[PA ID],0),0))</f>
        <v>FE_IT</v>
      </c>
      <c r="D114" s="87" t="str">
        <f ca="1">IF(EAC[[#This Row],[PA ID]]="","",INDEX(BudgetTrack[Secondary Category],MATCH(EAC[[#This Row],[PA ID]],BudgetTrack[PA ID],0),0))</f>
        <v>Furniture &amp; Equipment</v>
      </c>
      <c r="E114" s="118" t="str">
        <f ca="1">IF(EAC[[#This Row],[PA ID]]="","",INDEX(BudgetTrack[Phase / Subproject],MATCH(EAC[[#This Row],[PA ID]],BudgetTrack[PA ID],0),0))</f>
        <v>--</v>
      </c>
      <c r="F114" s="118" t="str">
        <f ca="1">IF(EAC[[#This Row],[PA ID]]="","",INDEX(BudgetTrack[Phase / Subproject 2],MATCH(EAC[[#This Row],[PA ID]],BudgetTrack[PA ID],0),0))</f>
        <v>--</v>
      </c>
      <c r="G114" s="118" t="str">
        <f ca="1">IF(EAC[[#This Row],[PA ID]]="","",INDEX(BudgetTrack[Funding Source],MATCH(EAC[[#This Row],[PA ID]],BudgetTrack[PA ID],0),0))</f>
        <v>P-002360</v>
      </c>
      <c r="H114" s="693" t="s">
        <v>1498</v>
      </c>
      <c r="I114" s="118" t="str">
        <f ca="1">IF(EAC[[#This Row],[Vendor / Org. with Contract ID]]="","",INDEX(VendorList[Status],MATCH(EAC[[#This Row],[Vendor / Org. with Contract ID]],VendorList[Vendor / Org. with Contract ID],0),0))</f>
        <v>Closed</v>
      </c>
      <c r="J114" s="694"/>
      <c r="K114" s="474">
        <f ca="1">IF(EAC[[#This Row],[Vendor / Org. with Contract ID]]="",0,SUMIFS(VendorList[Current Commitment],VendorList[Vendor / Org. with Contract ID],EAC[[#This Row],[Vendor / Org. with Contract ID]],VendorList[PA ID],EAC[[#This Row],[PA ID]]))</f>
        <v>0</v>
      </c>
      <c r="L114" s="474">
        <f ca="1">IF(EAC[[#This Row],[Vendor / Org. with Contract ID]]="",0,SUMIFS(CostTrack[Value],CostTrack[Vendor - Contract],EAC[[#This Row],[Vendor / Org. with Contract ID]],CostTrack[PA ID],EAC[[#This Row],[PA ID]],CostTrack[Holdback (Y/N/R)],"&lt;&gt;Release",CostTrack[Status],"Approved"))</f>
        <v>0</v>
      </c>
      <c r="M114" s="475">
        <f ca="1">IF(EAC[[#This Row],[Current Commitment]]="",0,EAC[[#This Row],[Current Commitment]]-EAC[[#This Row],[Expenditures to Date]])</f>
        <v>0</v>
      </c>
      <c r="N114" s="888"/>
      <c r="O114" s="42">
        <f ca="1">EAC[[#This Row],[Open Commit.]]+EAC[[#This Row],[Future Commit.]]+EAC[[#This Row],[Expenditures to Date]]</f>
        <v>0</v>
      </c>
      <c r="P114" s="188">
        <f ca="1">IF(EAC[[#This Row],[Current Commitment]]="","",EAC[[#This Row],[Current Commitment]]-EAC[[#This Row],[Estimate At Completion]])</f>
        <v>0</v>
      </c>
      <c r="Q114" s="889"/>
    </row>
    <row r="115" spans="1:17" ht="18.75" hidden="1" customHeight="1">
      <c r="A115" s="217">
        <v>110</v>
      </c>
      <c r="B115" s="692" t="s">
        <v>471</v>
      </c>
      <c r="C115" s="87" t="str">
        <f ca="1">IF(EAC[[#This Row],[PA ID]]="","",INDEX(BudgetTrack[Primary Category],MATCH(EAC[[#This Row],[PA ID]],BudgetTrack[PA ID],0),0))</f>
        <v>FE_IT</v>
      </c>
      <c r="D115" s="87" t="str">
        <f ca="1">IF(EAC[[#This Row],[PA ID]]="","",INDEX(BudgetTrack[Secondary Category],MATCH(EAC[[#This Row],[PA ID]],BudgetTrack[PA ID],0),0))</f>
        <v>Furniture &amp; Equipment</v>
      </c>
      <c r="E115" s="118" t="str">
        <f ca="1">IF(EAC[[#This Row],[PA ID]]="","",INDEX(BudgetTrack[Phase / Subproject],MATCH(EAC[[#This Row],[PA ID]],BudgetTrack[PA ID],0),0))</f>
        <v>--</v>
      </c>
      <c r="F115" s="118" t="str">
        <f ca="1">IF(EAC[[#This Row],[PA ID]]="","",INDEX(BudgetTrack[Phase / Subproject 2],MATCH(EAC[[#This Row],[PA ID]],BudgetTrack[PA ID],0),0))</f>
        <v>--</v>
      </c>
      <c r="G115" s="118" t="str">
        <f ca="1">IF(EAC[[#This Row],[PA ID]]="","",INDEX(BudgetTrack[Funding Source],MATCH(EAC[[#This Row],[PA ID]],BudgetTrack[PA ID],0),0))</f>
        <v>P-002360</v>
      </c>
      <c r="H115" s="693" t="s">
        <v>1437</v>
      </c>
      <c r="I115" s="118" t="str">
        <f ca="1">IF(EAC[[#This Row],[Vendor / Org. with Contract ID]]="","",INDEX(VendorList[Status],MATCH(EAC[[#This Row],[Vendor / Org. with Contract ID]],VendorList[Vendor / Org. with Contract ID],0),0))</f>
        <v>Closed</v>
      </c>
      <c r="J115" s="694"/>
      <c r="K115" s="474">
        <f ca="1">IF(EAC[[#This Row],[Vendor / Org. with Contract ID]]="",0,SUMIFS(VendorList[Current Commitment],VendorList[Vendor / Org. with Contract ID],EAC[[#This Row],[Vendor / Org. with Contract ID]],VendorList[PA ID],EAC[[#This Row],[PA ID]]))</f>
        <v>498248.28</v>
      </c>
      <c r="L115" s="474">
        <f ca="1">IF(EAC[[#This Row],[Vendor / Org. with Contract ID]]="",0,SUMIFS(CostTrack[Value],CostTrack[Vendor - Contract],EAC[[#This Row],[Vendor / Org. with Contract ID]],CostTrack[PA ID],EAC[[#This Row],[PA ID]],CostTrack[Holdback (Y/N/R)],"&lt;&gt;Release",CostTrack[Status],"Approved"))</f>
        <v>498248.28</v>
      </c>
      <c r="M115" s="475">
        <f ca="1">IF(EAC[[#This Row],[Current Commitment]]="",0,EAC[[#This Row],[Current Commitment]]-EAC[[#This Row],[Expenditures to Date]])</f>
        <v>0</v>
      </c>
      <c r="N115" s="888"/>
      <c r="O115" s="42">
        <f ca="1">EAC[[#This Row],[Open Commit.]]+EAC[[#This Row],[Future Commit.]]+EAC[[#This Row],[Expenditures to Date]]</f>
        <v>498248.28</v>
      </c>
      <c r="P115" s="188">
        <f ca="1">IF(EAC[[#This Row],[Current Commitment]]="","",EAC[[#This Row],[Current Commitment]]-EAC[[#This Row],[Estimate At Completion]])</f>
        <v>0</v>
      </c>
      <c r="Q115" s="889"/>
    </row>
    <row r="116" spans="1:17" ht="18.75" hidden="1" customHeight="1">
      <c r="A116" s="217">
        <v>111</v>
      </c>
      <c r="B116" s="692" t="s">
        <v>471</v>
      </c>
      <c r="C116" s="87" t="str">
        <f ca="1">IF(EAC[[#This Row],[PA ID]]="","",INDEX(BudgetTrack[Primary Category],MATCH(EAC[[#This Row],[PA ID]],BudgetTrack[PA ID],0),0))</f>
        <v>FE_IT</v>
      </c>
      <c r="D116" s="87" t="str">
        <f ca="1">IF(EAC[[#This Row],[PA ID]]="","",INDEX(BudgetTrack[Secondary Category],MATCH(EAC[[#This Row],[PA ID]],BudgetTrack[PA ID],0),0))</f>
        <v>Furniture &amp; Equipment</v>
      </c>
      <c r="E116" s="118" t="str">
        <f ca="1">IF(EAC[[#This Row],[PA ID]]="","",INDEX(BudgetTrack[Phase / Subproject],MATCH(EAC[[#This Row],[PA ID]],BudgetTrack[PA ID],0),0))</f>
        <v>--</v>
      </c>
      <c r="F116" s="118" t="str">
        <f ca="1">IF(EAC[[#This Row],[PA ID]]="","",INDEX(BudgetTrack[Phase / Subproject 2],MATCH(EAC[[#This Row],[PA ID]],BudgetTrack[PA ID],0),0))</f>
        <v>--</v>
      </c>
      <c r="G116" s="118" t="str">
        <f ca="1">IF(EAC[[#This Row],[PA ID]]="","",INDEX(BudgetTrack[Funding Source],MATCH(EAC[[#This Row],[PA ID]],BudgetTrack[PA ID],0),0))</f>
        <v>P-002360</v>
      </c>
      <c r="H116" s="693" t="s">
        <v>1431</v>
      </c>
      <c r="I116" s="118" t="str">
        <f ca="1">IF(EAC[[#This Row],[Vendor / Org. with Contract ID]]="","",INDEX(VendorList[Status],MATCH(EAC[[#This Row],[Vendor / Org. with Contract ID]],VendorList[Vendor / Org. with Contract ID],0),0))</f>
        <v>Closed</v>
      </c>
      <c r="J116" s="694"/>
      <c r="K116" s="474">
        <f ca="1">IF(EAC[[#This Row],[Vendor / Org. with Contract ID]]="",0,SUMIFS(VendorList[Current Commitment],VendorList[Vendor / Org. with Contract ID],EAC[[#This Row],[Vendor / Org. with Contract ID]],VendorList[PA ID],EAC[[#This Row],[PA ID]]))</f>
        <v>3501.46</v>
      </c>
      <c r="L116" s="474">
        <f ca="1">IF(EAC[[#This Row],[Vendor / Org. with Contract ID]]="",0,SUMIFS(CostTrack[Value],CostTrack[Vendor - Contract],EAC[[#This Row],[Vendor / Org. with Contract ID]],CostTrack[PA ID],EAC[[#This Row],[PA ID]],CostTrack[Holdback (Y/N/R)],"&lt;&gt;Release",CostTrack[Status],"Approved"))</f>
        <v>3501.46</v>
      </c>
      <c r="M116" s="475">
        <f ca="1">IF(EAC[[#This Row],[Current Commitment]]="",0,EAC[[#This Row],[Current Commitment]]-EAC[[#This Row],[Expenditures to Date]])</f>
        <v>0</v>
      </c>
      <c r="N116" s="888"/>
      <c r="O116" s="42">
        <f ca="1">EAC[[#This Row],[Open Commit.]]+EAC[[#This Row],[Future Commit.]]+EAC[[#This Row],[Expenditures to Date]]</f>
        <v>3501.46</v>
      </c>
      <c r="P116" s="188">
        <f ca="1">IF(EAC[[#This Row],[Current Commitment]]="","",EAC[[#This Row],[Current Commitment]]-EAC[[#This Row],[Estimate At Completion]])</f>
        <v>0</v>
      </c>
      <c r="Q116" s="889"/>
    </row>
    <row r="117" spans="1:17" ht="18.75" hidden="1" customHeight="1">
      <c r="A117" s="217">
        <v>112</v>
      </c>
      <c r="B117" s="692" t="s">
        <v>471</v>
      </c>
      <c r="C117" s="87" t="str">
        <f ca="1">IF(EAC[[#This Row],[PA ID]]="","",INDEX(BudgetTrack[Primary Category],MATCH(EAC[[#This Row],[PA ID]],BudgetTrack[PA ID],0),0))</f>
        <v>FE_IT</v>
      </c>
      <c r="D117" s="87" t="str">
        <f ca="1">IF(EAC[[#This Row],[PA ID]]="","",INDEX(BudgetTrack[Secondary Category],MATCH(EAC[[#This Row],[PA ID]],BudgetTrack[PA ID],0),0))</f>
        <v>Furniture &amp; Equipment</v>
      </c>
      <c r="E117" s="118" t="str">
        <f ca="1">IF(EAC[[#This Row],[PA ID]]="","",INDEX(BudgetTrack[Phase / Subproject],MATCH(EAC[[#This Row],[PA ID]],BudgetTrack[PA ID],0),0))</f>
        <v>--</v>
      </c>
      <c r="F117" s="118" t="str">
        <f ca="1">IF(EAC[[#This Row],[PA ID]]="","",INDEX(BudgetTrack[Phase / Subproject 2],MATCH(EAC[[#This Row],[PA ID]],BudgetTrack[PA ID],0),0))</f>
        <v>--</v>
      </c>
      <c r="G117" s="118" t="str">
        <f ca="1">IF(EAC[[#This Row],[PA ID]]="","",INDEX(BudgetTrack[Funding Source],MATCH(EAC[[#This Row],[PA ID]],BudgetTrack[PA ID],0),0))</f>
        <v>P-002360</v>
      </c>
      <c r="H117" s="693" t="s">
        <v>1418</v>
      </c>
      <c r="I117" s="118" t="str">
        <f ca="1">IF(EAC[[#This Row],[Vendor / Org. with Contract ID]]="","",INDEX(VendorList[Status],MATCH(EAC[[#This Row],[Vendor / Org. with Contract ID]],VendorList[Vendor / Org. with Contract ID],0),0))</f>
        <v>Closed</v>
      </c>
      <c r="J117" s="694"/>
      <c r="K117" s="474">
        <f ca="1">IF(EAC[[#This Row],[Vendor / Org. with Contract ID]]="",0,SUMIFS(VendorList[Current Commitment],VendorList[Vendor / Org. with Contract ID],EAC[[#This Row],[Vendor / Org. with Contract ID]],VendorList[PA ID],EAC[[#This Row],[PA ID]]))</f>
        <v>1361.49</v>
      </c>
      <c r="L117" s="474">
        <f ca="1">IF(EAC[[#This Row],[Vendor / Org. with Contract ID]]="",0,SUMIFS(CostTrack[Value],CostTrack[Vendor - Contract],EAC[[#This Row],[Vendor / Org. with Contract ID]],CostTrack[PA ID],EAC[[#This Row],[PA ID]],CostTrack[Holdback (Y/N/R)],"&lt;&gt;Release",CostTrack[Status],"Approved"))</f>
        <v>1361.49</v>
      </c>
      <c r="M117" s="475">
        <f ca="1">IF(EAC[[#This Row],[Current Commitment]]="",0,EAC[[#This Row],[Current Commitment]]-EAC[[#This Row],[Expenditures to Date]])</f>
        <v>0</v>
      </c>
      <c r="N117" s="888"/>
      <c r="O117" s="42">
        <f ca="1">EAC[[#This Row],[Open Commit.]]+EAC[[#This Row],[Future Commit.]]+EAC[[#This Row],[Expenditures to Date]]</f>
        <v>1361.49</v>
      </c>
      <c r="P117" s="188">
        <f ca="1">IF(EAC[[#This Row],[Current Commitment]]="","",EAC[[#This Row],[Current Commitment]]-EAC[[#This Row],[Estimate At Completion]])</f>
        <v>0</v>
      </c>
      <c r="Q117" s="889"/>
    </row>
    <row r="118" spans="1:17" ht="18.75" hidden="1" customHeight="1">
      <c r="A118" s="217">
        <v>113</v>
      </c>
      <c r="B118" s="692" t="s">
        <v>445</v>
      </c>
      <c r="C118" s="87" t="str">
        <f ca="1">IF(EAC[[#This Row],[PA ID]]="","",INDEX(BudgetTrack[Primary Category],MATCH(EAC[[#This Row],[PA ID]],BudgetTrack[PA ID],0),0))</f>
        <v>Administration</v>
      </c>
      <c r="D118" s="87" t="str">
        <f ca="1">IF(EAC[[#This Row],[PA ID]]="","",INDEX(BudgetTrack[Secondary Category],MATCH(EAC[[#This Row],[PA ID]],BudgetTrack[PA ID],0),0))</f>
        <v>Accrual Write Off</v>
      </c>
      <c r="E118" s="118" t="str">
        <f ca="1">IF(EAC[[#This Row],[PA ID]]="","",INDEX(BudgetTrack[Phase / Subproject],MATCH(EAC[[#This Row],[PA ID]],BudgetTrack[PA ID],0),0))</f>
        <v>--</v>
      </c>
      <c r="F118" s="118" t="str">
        <f ca="1">IF(EAC[[#This Row],[PA ID]]="","",INDEX(BudgetTrack[Phase / Subproject 2],MATCH(EAC[[#This Row],[PA ID]],BudgetTrack[PA ID],0),0))</f>
        <v>--</v>
      </c>
      <c r="G118" s="118" t="str">
        <f ca="1">IF(EAC[[#This Row],[PA ID]]="","",INDEX(BudgetTrack[Funding Source],MATCH(EAC[[#This Row],[PA ID]],BudgetTrack[PA ID],0),0))</f>
        <v>P-002360</v>
      </c>
      <c r="H118" s="693" t="s">
        <v>1344</v>
      </c>
      <c r="I118" s="118" t="str">
        <f ca="1">IF(EAC[[#This Row],[Vendor / Org. with Contract ID]]="","",INDEX(VendorList[Status],MATCH(EAC[[#This Row],[Vendor / Org. with Contract ID]],VendorList[Vendor / Org. with Contract ID],0),0))</f>
        <v>Closed</v>
      </c>
      <c r="J118" s="694"/>
      <c r="K118" s="1402">
        <f ca="1">IF(EAC[[#This Row],[Vendor / Org. with Contract ID]]="",0,SUMIFS(VendorList[Current Commitment],VendorList[Vendor / Org. with Contract ID],EAC[[#This Row],[Vendor / Org. with Contract ID]],VendorList[PA ID],EAC[[#This Row],[PA ID]]))</f>
        <v>4225</v>
      </c>
      <c r="L118" s="1402">
        <f ca="1">IF(EAC[[#This Row],[Vendor / Org. with Contract ID]]="",0,SUMIFS(CostTrack[Value],CostTrack[Vendor - Contract],EAC[[#This Row],[Vendor / Org. with Contract ID]],CostTrack[PA ID],EAC[[#This Row],[PA ID]],CostTrack[Holdback (Y/N/R)],"&lt;&gt;Release",CostTrack[Status],"Approved"))</f>
        <v>4225</v>
      </c>
      <c r="M118" s="1403">
        <f ca="1">IF(EAC[[#This Row],[Current Commitment]]="",0,EAC[[#This Row],[Current Commitment]]-EAC[[#This Row],[Expenditures to Date]])</f>
        <v>0</v>
      </c>
      <c r="N118" s="1404"/>
      <c r="O118" s="1405">
        <f ca="1">EAC[[#This Row],[Open Commit.]]+EAC[[#This Row],[Future Commit.]]+EAC[[#This Row],[Expenditures to Date]]</f>
        <v>4225</v>
      </c>
      <c r="P118" s="1406">
        <f ca="1">IF(EAC[[#This Row],[Current Commitment]]="","",EAC[[#This Row],[Current Commitment]]-EAC[[#This Row],[Estimate At Completion]])</f>
        <v>0</v>
      </c>
      <c r="Q118" s="1407"/>
    </row>
    <row r="119" spans="1:17" ht="18.75" hidden="1" customHeight="1">
      <c r="A119" s="217">
        <v>114</v>
      </c>
      <c r="B119" s="692" t="s">
        <v>445</v>
      </c>
      <c r="C119" s="87" t="str">
        <f ca="1">IF(EAC[[#This Row],[PA ID]]="","",INDEX(BudgetTrack[Primary Category],MATCH(EAC[[#This Row],[PA ID]],BudgetTrack[PA ID],0),0))</f>
        <v>Administration</v>
      </c>
      <c r="D119" s="87" t="str">
        <f ca="1">IF(EAC[[#This Row],[PA ID]]="","",INDEX(BudgetTrack[Secondary Category],MATCH(EAC[[#This Row],[PA ID]],BudgetTrack[PA ID],0),0))</f>
        <v>Accrual Write Off</v>
      </c>
      <c r="E119" s="118" t="str">
        <f ca="1">IF(EAC[[#This Row],[PA ID]]="","",INDEX(BudgetTrack[Phase / Subproject],MATCH(EAC[[#This Row],[PA ID]],BudgetTrack[PA ID],0),0))</f>
        <v>--</v>
      </c>
      <c r="F119" s="118" t="str">
        <f ca="1">IF(EAC[[#This Row],[PA ID]]="","",INDEX(BudgetTrack[Phase / Subproject 2],MATCH(EAC[[#This Row],[PA ID]],BudgetTrack[PA ID],0),0))</f>
        <v>--</v>
      </c>
      <c r="G119" s="118" t="str">
        <f ca="1">IF(EAC[[#This Row],[PA ID]]="","",INDEX(BudgetTrack[Funding Source],MATCH(EAC[[#This Row],[PA ID]],BudgetTrack[PA ID],0),0))</f>
        <v>P-002360</v>
      </c>
      <c r="H119" s="693" t="s">
        <v>1353</v>
      </c>
      <c r="I119" s="118" t="str">
        <f ca="1">IF(EAC[[#This Row],[Vendor / Org. with Contract ID]]="","",INDEX(VendorList[Status],MATCH(EAC[[#This Row],[Vendor / Org. with Contract ID]],VendorList[Vendor / Org. with Contract ID],0),0))</f>
        <v>Closed</v>
      </c>
      <c r="J119" s="694"/>
      <c r="K119" s="1402">
        <f ca="1">IF(EAC[[#This Row],[Vendor / Org. with Contract ID]]="",0,SUMIFS(VendorList[Current Commitment],VendorList[Vendor / Org. with Contract ID],EAC[[#This Row],[Vendor / Org. with Contract ID]],VendorList[PA ID],EAC[[#This Row],[PA ID]]))</f>
        <v>1000</v>
      </c>
      <c r="L119" s="1402">
        <f ca="1">IF(EAC[[#This Row],[Vendor / Org. with Contract ID]]="",0,SUMIFS(CostTrack[Value],CostTrack[Vendor - Contract],EAC[[#This Row],[Vendor / Org. with Contract ID]],CostTrack[PA ID],EAC[[#This Row],[PA ID]],CostTrack[Holdback (Y/N/R)],"&lt;&gt;Release",CostTrack[Status],"Approved"))</f>
        <v>1000</v>
      </c>
      <c r="M119" s="1403">
        <f ca="1">IF(EAC[[#This Row],[Current Commitment]]="",0,EAC[[#This Row],[Current Commitment]]-EAC[[#This Row],[Expenditures to Date]])</f>
        <v>0</v>
      </c>
      <c r="N119" s="1404"/>
      <c r="O119" s="1405">
        <f ca="1">EAC[[#This Row],[Open Commit.]]+EAC[[#This Row],[Future Commit.]]+EAC[[#This Row],[Expenditures to Date]]</f>
        <v>1000</v>
      </c>
      <c r="P119" s="1406">
        <f ca="1">IF(EAC[[#This Row],[Current Commitment]]="","",EAC[[#This Row],[Current Commitment]]-EAC[[#This Row],[Estimate At Completion]])</f>
        <v>0</v>
      </c>
      <c r="Q119" s="1407"/>
    </row>
    <row r="120" spans="1:17" ht="18.75" hidden="1" customHeight="1">
      <c r="A120" s="217">
        <v>115</v>
      </c>
      <c r="B120" s="692" t="s">
        <v>471</v>
      </c>
      <c r="C120" s="87" t="str">
        <f ca="1">IF(EAC[[#This Row],[PA ID]]="","",INDEX(BudgetTrack[Primary Category],MATCH(EAC[[#This Row],[PA ID]],BudgetTrack[PA ID],0),0))</f>
        <v>FE_IT</v>
      </c>
      <c r="D120" s="87" t="str">
        <f ca="1">IF(EAC[[#This Row],[PA ID]]="","",INDEX(BudgetTrack[Secondary Category],MATCH(EAC[[#This Row],[PA ID]],BudgetTrack[PA ID],0),0))</f>
        <v>Furniture &amp; Equipment</v>
      </c>
      <c r="E120" s="118" t="str">
        <f ca="1">IF(EAC[[#This Row],[PA ID]]="","",INDEX(BudgetTrack[Phase / Subproject],MATCH(EAC[[#This Row],[PA ID]],BudgetTrack[PA ID],0),0))</f>
        <v>--</v>
      </c>
      <c r="F120" s="118" t="str">
        <f ca="1">IF(EAC[[#This Row],[PA ID]]="","",INDEX(BudgetTrack[Phase / Subproject 2],MATCH(EAC[[#This Row],[PA ID]],BudgetTrack[PA ID],0),0))</f>
        <v>--</v>
      </c>
      <c r="G120" s="118" t="str">
        <f ca="1">IF(EAC[[#This Row],[PA ID]]="","",INDEX(BudgetTrack[Funding Source],MATCH(EAC[[#This Row],[PA ID]],BudgetTrack[PA ID],0),0))</f>
        <v>P-002360</v>
      </c>
      <c r="H120" s="693" t="s">
        <v>1374</v>
      </c>
      <c r="I120" s="118" t="str">
        <f ca="1">IF(EAC[[#This Row],[Vendor / Org. with Contract ID]]="","",INDEX(VendorList[Status],MATCH(EAC[[#This Row],[Vendor / Org. with Contract ID]],VendorList[Vendor / Org. with Contract ID],0),0))</f>
        <v>Closed</v>
      </c>
      <c r="J120" s="694"/>
      <c r="K120" s="1402">
        <f ca="1">IF(EAC[[#This Row],[Vendor / Org. with Contract ID]]="",0,SUMIFS(VendorList[Current Commitment],VendorList[Vendor / Org. with Contract ID],EAC[[#This Row],[Vendor / Org. with Contract ID]],VendorList[PA ID],EAC[[#This Row],[PA ID]]))</f>
        <v>137870.5</v>
      </c>
      <c r="L120" s="1402">
        <f ca="1">IF(EAC[[#This Row],[Vendor / Org. with Contract ID]]="",0,SUMIFS(CostTrack[Value],CostTrack[Vendor - Contract],EAC[[#This Row],[Vendor / Org. with Contract ID]],CostTrack[PA ID],EAC[[#This Row],[PA ID]],CostTrack[Holdback (Y/N/R)],"&lt;&gt;Release",CostTrack[Status],"Approved"))</f>
        <v>137870.5</v>
      </c>
      <c r="M120" s="1403">
        <f ca="1">IF(EAC[[#This Row],[Current Commitment]]="",0,EAC[[#This Row],[Current Commitment]]-EAC[[#This Row],[Expenditures to Date]])</f>
        <v>0</v>
      </c>
      <c r="N120" s="1404"/>
      <c r="O120" s="1405">
        <f ca="1">EAC[[#This Row],[Open Commit.]]+EAC[[#This Row],[Future Commit.]]+EAC[[#This Row],[Expenditures to Date]]</f>
        <v>137870.5</v>
      </c>
      <c r="P120" s="1406">
        <f ca="1">IF(EAC[[#This Row],[Current Commitment]]="","",EAC[[#This Row],[Current Commitment]]-EAC[[#This Row],[Estimate At Completion]])</f>
        <v>0</v>
      </c>
      <c r="Q120" s="1407"/>
    </row>
    <row r="121" spans="1:17" ht="18.75" hidden="1" customHeight="1">
      <c r="A121" s="217">
        <v>116</v>
      </c>
      <c r="B121" s="692" t="s">
        <v>248</v>
      </c>
      <c r="C121" s="87" t="str">
        <f ca="1">IF(EAC[[#This Row],[PA ID]]="","",INDEX(BudgetTrack[Primary Category],MATCH(EAC[[#This Row],[PA ID]],BudgetTrack[PA ID],0),0))</f>
        <v>Construction</v>
      </c>
      <c r="D121" s="87" t="str">
        <f ca="1">IF(EAC[[#This Row],[PA ID]]="","",INDEX(BudgetTrack[Secondary Category],MATCH(EAC[[#This Row],[PA ID]],BudgetTrack[PA ID],0),0))</f>
        <v>Other Contractor</v>
      </c>
      <c r="E121" s="118" t="str">
        <f ca="1">IF(EAC[[#This Row],[PA ID]]="","",INDEX(BudgetTrack[Phase / Subproject],MATCH(EAC[[#This Row],[PA ID]],BudgetTrack[PA ID],0),0))</f>
        <v>--</v>
      </c>
      <c r="F121" s="118" t="str">
        <f ca="1">IF(EAC[[#This Row],[PA ID]]="","",INDEX(BudgetTrack[Phase / Subproject 2],MATCH(EAC[[#This Row],[PA ID]],BudgetTrack[PA ID],0),0))</f>
        <v>--</v>
      </c>
      <c r="G121" s="118" t="str">
        <f ca="1">IF(EAC[[#This Row],[PA ID]]="","",INDEX(BudgetTrack[Funding Source],MATCH(EAC[[#This Row],[PA ID]],BudgetTrack[PA ID],0),0))</f>
        <v>P-002360</v>
      </c>
      <c r="H121" s="693" t="s">
        <v>738</v>
      </c>
      <c r="I121" s="118" t="str">
        <f ca="1">IF(EAC[[#This Row],[Vendor / Org. with Contract ID]]="","",INDEX(VendorList[Status],MATCH(EAC[[#This Row],[Vendor / Org. with Contract ID]],VendorList[Vendor / Org. with Contract ID],0),0))</f>
        <v>Open</v>
      </c>
      <c r="J121" s="694" t="s">
        <v>1735</v>
      </c>
      <c r="K121" s="474">
        <f ca="1">IF(EAC[[#This Row],[Vendor / Org. with Contract ID]]="",0,SUMIFS(VendorList[Current Commitment],VendorList[Vendor / Org. with Contract ID],EAC[[#This Row],[Vendor / Org. with Contract ID]],VendorList[PA ID],EAC[[#This Row],[PA ID]]))</f>
        <v>205641.88</v>
      </c>
      <c r="L121" s="474">
        <f ca="1">IF(EAC[[#This Row],[Vendor / Org. with Contract ID]]="",0,SUMIFS(CostTrack[Value],CostTrack[Vendor - Contract],EAC[[#This Row],[Vendor / Org. with Contract ID]],CostTrack[PA ID],EAC[[#This Row],[PA ID]],CostTrack[Holdback (Y/N/R)],"&lt;&gt;Release",CostTrack[Status],"Approved"))</f>
        <v>205641.88</v>
      </c>
      <c r="M121" s="475">
        <f ca="1">IF(EAC[[#This Row],[Current Commitment]]="",0,EAC[[#This Row],[Current Commitment]]-EAC[[#This Row],[Expenditures to Date]])</f>
        <v>0</v>
      </c>
      <c r="N121" s="888"/>
      <c r="O121" s="42">
        <f ca="1">EAC[[#This Row],[Open Commit.]]+EAC[[#This Row],[Future Commit.]]+EAC[[#This Row],[Expenditures to Date]]</f>
        <v>205641.88</v>
      </c>
      <c r="P121" s="188">
        <f ca="1">IF(EAC[[#This Row],[Current Commitment]]="","",EAC[[#This Row],[Current Commitment]]-EAC[[#This Row],[Estimate At Completion]])</f>
        <v>0</v>
      </c>
      <c r="Q121" s="889"/>
    </row>
    <row r="122" spans="1:17" ht="18.75" hidden="1" customHeight="1">
      <c r="A122" s="217">
        <v>117</v>
      </c>
      <c r="B122" s="692" t="s">
        <v>428</v>
      </c>
      <c r="C122" s="87" t="str">
        <f ca="1">IF(EAC[[#This Row],[PA ID]]="","",INDEX(BudgetTrack[Primary Category],MATCH(EAC[[#This Row],[PA ID]],BudgetTrack[PA ID],0),0))</f>
        <v>Construction</v>
      </c>
      <c r="D122" s="87" t="str">
        <f ca="1">IF(EAC[[#This Row],[PA ID]]="","",INDEX(BudgetTrack[Secondary Category],MATCH(EAC[[#This Row],[PA ID]],BudgetTrack[PA ID],0),0))</f>
        <v>Utilities</v>
      </c>
      <c r="E122" s="118" t="str">
        <f ca="1">IF(EAC[[#This Row],[PA ID]]="","",INDEX(BudgetTrack[Phase / Subproject],MATCH(EAC[[#This Row],[PA ID]],BudgetTrack[PA ID],0),0))</f>
        <v>--</v>
      </c>
      <c r="F122" s="118" t="str">
        <f ca="1">IF(EAC[[#This Row],[PA ID]]="","",INDEX(BudgetTrack[Phase / Subproject 2],MATCH(EAC[[#This Row],[PA ID]],BudgetTrack[PA ID],0),0))</f>
        <v>--</v>
      </c>
      <c r="G122" s="118" t="str">
        <f ca="1">IF(EAC[[#This Row],[PA ID]]="","",INDEX(BudgetTrack[Funding Source],MATCH(EAC[[#This Row],[PA ID]],BudgetTrack[PA ID],0),0))</f>
        <v>P-002360</v>
      </c>
      <c r="H122" s="693" t="s">
        <v>1498</v>
      </c>
      <c r="I122" s="118" t="str">
        <f ca="1">IF(EAC[[#This Row],[Vendor / Org. with Contract ID]]="","",INDEX(VendorList[Status],MATCH(EAC[[#This Row],[Vendor / Org. with Contract ID]],VendorList[Vendor / Org. with Contract ID],0),0))</f>
        <v>Closed</v>
      </c>
      <c r="J122" s="694"/>
      <c r="K122" s="1402">
        <f ca="1">IF(EAC[[#This Row],[Vendor / Org. with Contract ID]]="",0,SUMIFS(VendorList[Current Commitment],VendorList[Vendor / Org. with Contract ID],EAC[[#This Row],[Vendor / Org. with Contract ID]],VendorList[PA ID],EAC[[#This Row],[PA ID]]))</f>
        <v>8612.08</v>
      </c>
      <c r="L122" s="1402">
        <f ca="1">IF(EAC[[#This Row],[Vendor / Org. with Contract ID]]="",0,SUMIFS(CostTrack[Value],CostTrack[Vendor - Contract],EAC[[#This Row],[Vendor / Org. with Contract ID]],CostTrack[PA ID],EAC[[#This Row],[PA ID]],CostTrack[Holdback (Y/N/R)],"&lt;&gt;Release",CostTrack[Status],"Approved"))</f>
        <v>8612.08</v>
      </c>
      <c r="M122" s="1403">
        <f ca="1">IF(EAC[[#This Row],[Current Commitment]]="",0,EAC[[#This Row],[Current Commitment]]-EAC[[#This Row],[Expenditures to Date]])</f>
        <v>0</v>
      </c>
      <c r="N122" s="1404"/>
      <c r="O122" s="1405">
        <f ca="1">EAC[[#This Row],[Open Commit.]]+EAC[[#This Row],[Future Commit.]]+EAC[[#This Row],[Expenditures to Date]]</f>
        <v>8612.08</v>
      </c>
      <c r="P122" s="1406">
        <f ca="1">IF(EAC[[#This Row],[Current Commitment]]="","",EAC[[#This Row],[Current Commitment]]-EAC[[#This Row],[Estimate At Completion]])</f>
        <v>0</v>
      </c>
      <c r="Q122" s="1407"/>
    </row>
    <row r="123" spans="1:17" ht="31.9" customHeight="1">
      <c r="A123" s="217">
        <v>118</v>
      </c>
      <c r="B123" s="692" t="s">
        <v>1650</v>
      </c>
      <c r="C123" s="87" t="str">
        <f ca="1">IF(EAC[[#This Row],[PA ID]]="","",INDEX(BudgetTrack[Primary Category],MATCH(EAC[[#This Row],[PA ID]],BudgetTrack[PA ID],0),0))</f>
        <v>Professional Services</v>
      </c>
      <c r="D123" s="87" t="str">
        <f ca="1">IF(EAC[[#This Row],[PA ID]]="","",INDEX(BudgetTrack[Secondary Category],MATCH(EAC[[#This Row],[PA ID]],BudgetTrack[PA ID],0),0))</f>
        <v>Contingency - Professional</v>
      </c>
      <c r="E123" s="118" t="str">
        <f ca="1">IF(EAC[[#This Row],[PA ID]]="","",INDEX(BudgetTrack[Phase / Subproject],MATCH(EAC[[#This Row],[PA ID]],BudgetTrack[PA ID],0),0))</f>
        <v>--</v>
      </c>
      <c r="F123" s="118" t="str">
        <f ca="1">IF(EAC[[#This Row],[PA ID]]="","",INDEX(BudgetTrack[Phase / Subproject 2],MATCH(EAC[[#This Row],[PA ID]],BudgetTrack[PA ID],0),0))</f>
        <v>--</v>
      </c>
      <c r="G123" s="118" t="str">
        <f ca="1">IF(EAC[[#This Row],[PA ID]]="","",INDEX(BudgetTrack[Funding Source],MATCH(EAC[[#This Row],[PA ID]],BudgetTrack[PA ID],0),0))</f>
        <v>P-002360</v>
      </c>
      <c r="H123" s="693" t="s">
        <v>397</v>
      </c>
      <c r="I123" s="118" t="str">
        <f ca="1">IF(EAC[[#This Row],[Vendor / Org. with Contract ID]]="","",INDEX(VendorList[Status],MATCH(EAC[[#This Row],[Vendor / Org. with Contract ID]],VendorList[Vendor / Org. with Contract ID],0),0))</f>
        <v>--</v>
      </c>
      <c r="J123" s="694" t="s">
        <v>1736</v>
      </c>
      <c r="K123" s="1402">
        <f ca="1">IF(EAC[[#This Row],[Vendor / Org. with Contract ID]]="",0,SUMIFS(VendorList[Current Commitment],VendorList[Vendor / Org. with Contract ID],EAC[[#This Row],[Vendor / Org. with Contract ID]],VendorList[PA ID],EAC[[#This Row],[PA ID]]))</f>
        <v>0</v>
      </c>
      <c r="L123" s="1402">
        <f ca="1">IF(EAC[[#This Row],[Vendor / Org. with Contract ID]]="",0,SUMIFS(CostTrack[Value],CostTrack[Vendor - Contract],EAC[[#This Row],[Vendor / Org. with Contract ID]],CostTrack[PA ID],EAC[[#This Row],[PA ID]],CostTrack[Holdback (Y/N/R)],"&lt;&gt;Release",CostTrack[Status],"Approved"))</f>
        <v>0</v>
      </c>
      <c r="M123" s="1403">
        <f ca="1">IF(EAC[[#This Row],[Current Commitment]]="",0,EAC[[#This Row],[Current Commitment]]-EAC[[#This Row],[Expenditures to Date]])</f>
        <v>0</v>
      </c>
      <c r="N123" s="1404">
        <f ca="1">1500000+1600000-400000</f>
        <v>2700000</v>
      </c>
      <c r="O123" s="1405">
        <f ca="1">EAC[[#This Row],[Open Commit.]]+EAC[[#This Row],[Future Commit.]]+EAC[[#This Row],[Expenditures to Date]]</f>
        <v>2700000</v>
      </c>
      <c r="P123" s="1406">
        <f ca="1">IF(EAC[[#This Row],[Current Commitment]]="","",EAC[[#This Row],[Current Commitment]]-EAC[[#This Row],[Estimate At Completion]])</f>
        <v>-2700000</v>
      </c>
      <c r="Q123" s="1407"/>
    </row>
    <row r="124" spans="1:17" ht="18.75" hidden="1" customHeight="1">
      <c r="A124" s="217">
        <v>119</v>
      </c>
      <c r="B124" s="692" t="s">
        <v>471</v>
      </c>
      <c r="C124" s="87" t="str">
        <f ca="1">IF(EAC[[#This Row],[PA ID]]="","",INDEX(BudgetTrack[Primary Category],MATCH(EAC[[#This Row],[PA ID]],BudgetTrack[PA ID],0),0))</f>
        <v>FE_IT</v>
      </c>
      <c r="D124" s="87" t="str">
        <f ca="1">IF(EAC[[#This Row],[PA ID]]="","",INDEX(BudgetTrack[Secondary Category],MATCH(EAC[[#This Row],[PA ID]],BudgetTrack[PA ID],0),0))</f>
        <v>Furniture &amp; Equipment</v>
      </c>
      <c r="E124" s="118" t="str">
        <f ca="1">IF(EAC[[#This Row],[PA ID]]="","",INDEX(BudgetTrack[Phase / Subproject],MATCH(EAC[[#This Row],[PA ID]],BudgetTrack[PA ID],0),0))</f>
        <v>--</v>
      </c>
      <c r="F124" s="118" t="str">
        <f ca="1">IF(EAC[[#This Row],[PA ID]]="","",INDEX(BudgetTrack[Phase / Subproject 2],MATCH(EAC[[#This Row],[PA ID]],BudgetTrack[PA ID],0),0))</f>
        <v>--</v>
      </c>
      <c r="G124" s="118" t="str">
        <f ca="1">IF(EAC[[#This Row],[PA ID]]="","",INDEX(BudgetTrack[Funding Source],MATCH(EAC[[#This Row],[PA ID]],BudgetTrack[PA ID],0),0))</f>
        <v>P-002360</v>
      </c>
      <c r="H124" s="693" t="s">
        <v>1453</v>
      </c>
      <c r="I124" s="118" t="str">
        <f ca="1">IF(EAC[[#This Row],[Vendor / Org. with Contract ID]]="","",INDEX(VendorList[Status],MATCH(EAC[[#This Row],[Vendor / Org. with Contract ID]],VendorList[Vendor / Org. with Contract ID],0),0))</f>
        <v>Closed</v>
      </c>
      <c r="J124" s="694"/>
      <c r="K124" s="1402">
        <f ca="1">IF(EAC[[#This Row],[Vendor / Org. with Contract ID]]="",0,SUMIFS(VendorList[Current Commitment],VendorList[Vendor / Org. with Contract ID],EAC[[#This Row],[Vendor / Org. with Contract ID]],VendorList[PA ID],EAC[[#This Row],[PA ID]]))</f>
        <v>18637.2</v>
      </c>
      <c r="L124" s="1402">
        <f ca="1">IF(EAC[[#This Row],[Vendor / Org. with Contract ID]]="",0,SUMIFS(CostTrack[Value],CostTrack[Vendor - Contract],EAC[[#This Row],[Vendor / Org. with Contract ID]],CostTrack[PA ID],EAC[[#This Row],[PA ID]],CostTrack[Holdback (Y/N/R)],"&lt;&gt;Release",CostTrack[Status],"Approved"))</f>
        <v>18637.2</v>
      </c>
      <c r="M124" s="1403">
        <f ca="1">IF(EAC[[#This Row],[Current Commitment]]="",0,EAC[[#This Row],[Current Commitment]]-EAC[[#This Row],[Expenditures to Date]])</f>
        <v>0</v>
      </c>
      <c r="N124" s="1404"/>
      <c r="O124" s="1405">
        <f ca="1">EAC[[#This Row],[Open Commit.]]+EAC[[#This Row],[Future Commit.]]+EAC[[#This Row],[Expenditures to Date]]</f>
        <v>18637.2</v>
      </c>
      <c r="P124" s="1406">
        <f ca="1">IF(EAC[[#This Row],[Current Commitment]]="","",EAC[[#This Row],[Current Commitment]]-EAC[[#This Row],[Estimate At Completion]])</f>
        <v>0</v>
      </c>
      <c r="Q124" s="1407"/>
    </row>
    <row r="125" spans="1:17" ht="18.75" customHeight="1">
      <c r="A125" s="217">
        <v>120</v>
      </c>
      <c r="B125" s="692" t="s">
        <v>401</v>
      </c>
      <c r="C125" s="87" t="str">
        <f ca="1">IF(EAC[[#This Row],[PA ID]]="","",INDEX(BudgetTrack[Primary Category],MATCH(EAC[[#This Row],[PA ID]],BudgetTrack[PA ID],0),0))</f>
        <v>Professional Services</v>
      </c>
      <c r="D125" s="87" t="str">
        <f ca="1">IF(EAC[[#This Row],[PA ID]]="","",INDEX(BudgetTrack[Secondary Category],MATCH(EAC[[#This Row],[PA ID]],BudgetTrack[PA ID],0),0))</f>
        <v>Other Professional Services</v>
      </c>
      <c r="E125" s="118" t="str">
        <f ca="1">IF(EAC[[#This Row],[PA ID]]="","",INDEX(BudgetTrack[Phase / Subproject],MATCH(EAC[[#This Row],[PA ID]],BudgetTrack[PA ID],0),0))</f>
        <v>--</v>
      </c>
      <c r="F125" s="118" t="str">
        <f ca="1">IF(EAC[[#This Row],[PA ID]]="","",INDEX(BudgetTrack[Phase / Subproject 2],MATCH(EAC[[#This Row],[PA ID]],BudgetTrack[PA ID],0),0))</f>
        <v>--</v>
      </c>
      <c r="G125" s="118" t="str">
        <f ca="1">IF(EAC[[#This Row],[PA ID]]="","",INDEX(BudgetTrack[Funding Source],MATCH(EAC[[#This Row],[PA ID]],BudgetTrack[PA ID],0),0))</f>
        <v>P-002360</v>
      </c>
      <c r="H125" s="693" t="s">
        <v>1493</v>
      </c>
      <c r="I125" s="118" t="str">
        <f ca="1">IF(EAC[[#This Row],[Vendor / Org. with Contract ID]]="","",INDEX(VendorList[Status],MATCH(EAC[[#This Row],[Vendor / Org. with Contract ID]],VendorList[Vendor / Org. with Contract ID],0),0))</f>
        <v>Open</v>
      </c>
      <c r="J125" s="694"/>
      <c r="K125" s="1402">
        <f ca="1">IF(EAC[[#This Row],[Vendor / Org. with Contract ID]]="",0,SUMIFS(VendorList[Current Commitment],VendorList[Vendor / Org. with Contract ID],EAC[[#This Row],[Vendor / Org. with Contract ID]],VendorList[PA ID],EAC[[#This Row],[PA ID]]))</f>
        <v>500000</v>
      </c>
      <c r="L125" s="1402">
        <f ca="1">IF(EAC[[#This Row],[Vendor / Org. with Contract ID]]="",0,SUMIFS(CostTrack[Value],CostTrack[Vendor - Contract],EAC[[#This Row],[Vendor / Org. with Contract ID]],CostTrack[PA ID],EAC[[#This Row],[PA ID]],CostTrack[Holdback (Y/N/R)],"&lt;&gt;Release",CostTrack[Status],"Approved"))</f>
        <v>215424.87999999998</v>
      </c>
      <c r="M125" s="1403">
        <f ca="1">IF(EAC[[#This Row],[Current Commitment]]="",0,EAC[[#This Row],[Current Commitment]]-EAC[[#This Row],[Expenditures to Date]])</f>
        <v>284575.12</v>
      </c>
      <c r="N125" s="1404">
        <v>149875</v>
      </c>
      <c r="O125" s="1405">
        <f ca="1">EAC[[#This Row],[Open Commit.]]+EAC[[#This Row],[Future Commit.]]+EAC[[#This Row],[Expenditures to Date]]</f>
        <v>649875</v>
      </c>
      <c r="P125" s="1406">
        <f ca="1">IF(EAC[[#This Row],[Current Commitment]]="","",EAC[[#This Row],[Current Commitment]]-EAC[[#This Row],[Estimate At Completion]])</f>
        <v>-149875</v>
      </c>
      <c r="Q125" s="889"/>
    </row>
    <row r="126" spans="1:17" ht="18.75" hidden="1" customHeight="1">
      <c r="A126" s="217">
        <v>121</v>
      </c>
      <c r="B126" s="692" t="s">
        <v>471</v>
      </c>
      <c r="C126" s="87" t="str">
        <f ca="1">IF(EAC[[#This Row],[PA ID]]="","",INDEX(BudgetTrack[Primary Category],MATCH(EAC[[#This Row],[PA ID]],BudgetTrack[PA ID],0),0))</f>
        <v>FE_IT</v>
      </c>
      <c r="D126" s="87" t="str">
        <f ca="1">IF(EAC[[#This Row],[PA ID]]="","",INDEX(BudgetTrack[Secondary Category],MATCH(EAC[[#This Row],[PA ID]],BudgetTrack[PA ID],0),0))</f>
        <v>Furniture &amp; Equipment</v>
      </c>
      <c r="E126" s="118" t="str">
        <f ca="1">IF(EAC[[#This Row],[PA ID]]="","",INDEX(BudgetTrack[Phase / Subproject],MATCH(EAC[[#This Row],[PA ID]],BudgetTrack[PA ID],0),0))</f>
        <v>--</v>
      </c>
      <c r="F126" s="118" t="str">
        <f ca="1">IF(EAC[[#This Row],[PA ID]]="","",INDEX(BudgetTrack[Phase / Subproject 2],MATCH(EAC[[#This Row],[PA ID]],BudgetTrack[PA ID],0),0))</f>
        <v>--</v>
      </c>
      <c r="G126" s="118" t="str">
        <f ca="1">IF(EAC[[#This Row],[PA ID]]="","",INDEX(BudgetTrack[Funding Source],MATCH(EAC[[#This Row],[PA ID]],BudgetTrack[PA ID],0),0))</f>
        <v>P-002360</v>
      </c>
      <c r="H126" s="693" t="s">
        <v>1499</v>
      </c>
      <c r="I126" s="118" t="str">
        <f ca="1">IF(EAC[[#This Row],[Vendor / Org. with Contract ID]]="","",INDEX(VendorList[Status],MATCH(EAC[[#This Row],[Vendor / Org. with Contract ID]],VendorList[Vendor / Org. with Contract ID],0),0))</f>
        <v>Closed</v>
      </c>
      <c r="J126" s="694" t="s">
        <v>1737</v>
      </c>
      <c r="K126" s="1402">
        <f ca="1">IF(EAC[[#This Row],[Vendor / Org. with Contract ID]]="",0,SUMIFS(VendorList[Current Commitment],VendorList[Vendor / Org. with Contract ID],EAC[[#This Row],[Vendor / Org. with Contract ID]],VendorList[PA ID],EAC[[#This Row],[PA ID]]))</f>
        <v>10912.029999999999</v>
      </c>
      <c r="L126" s="1402">
        <f ca="1">IF(EAC[[#This Row],[Vendor / Org. with Contract ID]]="",0,SUMIFS(CostTrack[Value],CostTrack[Vendor - Contract],EAC[[#This Row],[Vendor / Org. with Contract ID]],CostTrack[PA ID],EAC[[#This Row],[PA ID]],CostTrack[Holdback (Y/N/R)],"&lt;&gt;Release",CostTrack[Status],"Approved"))</f>
        <v>10912.029999999999</v>
      </c>
      <c r="M126" s="1403">
        <f ca="1">IF(EAC[[#This Row],[Current Commitment]]="",0,EAC[[#This Row],[Current Commitment]]-EAC[[#This Row],[Expenditures to Date]])</f>
        <v>0</v>
      </c>
      <c r="N126" s="1404"/>
      <c r="O126" s="1405">
        <f ca="1">EAC[[#This Row],[Open Commit.]]+EAC[[#This Row],[Future Commit.]]+EAC[[#This Row],[Expenditures to Date]]</f>
        <v>10912.029999999999</v>
      </c>
      <c r="P126" s="1406">
        <f ca="1">IF(EAC[[#This Row],[Current Commitment]]="","",EAC[[#This Row],[Current Commitment]]-EAC[[#This Row],[Estimate At Completion]])</f>
        <v>0</v>
      </c>
      <c r="Q126" s="1407"/>
    </row>
    <row r="127" spans="1:17" ht="18.75" hidden="1" customHeight="1">
      <c r="A127" s="217">
        <v>122</v>
      </c>
      <c r="B127" s="692" t="s">
        <v>452</v>
      </c>
      <c r="C127" s="87" t="str">
        <f ca="1">IF(EAC[[#This Row],[PA ID]]="","",INDEX(BudgetTrack[Primary Category],MATCH(EAC[[#This Row],[PA ID]],BudgetTrack[PA ID],0),0))</f>
        <v>FE_IT</v>
      </c>
      <c r="D127" s="87" t="str">
        <f ca="1">IF(EAC[[#This Row],[PA ID]]="","",INDEX(BudgetTrack[Secondary Category],MATCH(EAC[[#This Row],[PA ID]],BudgetTrack[PA ID],0),0))</f>
        <v>Information Technology</v>
      </c>
      <c r="E127" s="118" t="str">
        <f ca="1">IF(EAC[[#This Row],[PA ID]]="","",INDEX(BudgetTrack[Phase / Subproject],MATCH(EAC[[#This Row],[PA ID]],BudgetTrack[PA ID],0),0))</f>
        <v>--</v>
      </c>
      <c r="F127" s="118" t="str">
        <f ca="1">IF(EAC[[#This Row],[PA ID]]="","",INDEX(BudgetTrack[Phase / Subproject 2],MATCH(EAC[[#This Row],[PA ID]],BudgetTrack[PA ID],0),0))</f>
        <v>--</v>
      </c>
      <c r="G127" s="118" t="str">
        <f ca="1">IF(EAC[[#This Row],[PA ID]]="","",INDEX(BudgetTrack[Funding Source],MATCH(EAC[[#This Row],[PA ID]],BudgetTrack[PA ID],0),0))</f>
        <v>P-002360</v>
      </c>
      <c r="H127" s="693" t="s">
        <v>1738</v>
      </c>
      <c r="I127" s="118" t="str">
        <f ca="1">IF(EAC[[#This Row],[Vendor / Org. with Contract ID]]="","",INDEX(VendorList[Status],MATCH(EAC[[#This Row],[Vendor / Org. with Contract ID]],VendorList[Vendor / Org. with Contract ID],0),0))</f>
        <v>Open</v>
      </c>
      <c r="J127" s="694" t="s">
        <v>1739</v>
      </c>
      <c r="K127" s="1402">
        <f ca="1">IF(EAC[[#This Row],[Vendor / Org. with Contract ID]]="",0,SUMIFS(VendorList[Current Commitment],VendorList[Vendor / Org. with Contract ID],EAC[[#This Row],[Vendor / Org. with Contract ID]],VendorList[PA ID],EAC[[#This Row],[PA ID]]))</f>
        <v>-44276.34</v>
      </c>
      <c r="L127" s="1402">
        <f ca="1">IF(EAC[[#This Row],[Vendor / Org. with Contract ID]]="",0,SUMIFS(CostTrack[Value],CostTrack[Vendor - Contract],EAC[[#This Row],[Vendor / Org. with Contract ID]],CostTrack[PA ID],EAC[[#This Row],[PA ID]],CostTrack[Holdback (Y/N/R)],"&lt;&gt;Release",CostTrack[Status],"Approved"))</f>
        <v>0</v>
      </c>
      <c r="M127" s="1403">
        <f ca="1">IF(EAC[[#This Row],[Current Commitment]]="",0,EAC[[#This Row],[Current Commitment]]-EAC[[#This Row],[Expenditures to Date]])</f>
        <v>-44276.34</v>
      </c>
      <c r="N127" s="1404"/>
      <c r="O127" s="1405">
        <f ca="1">EAC[[#This Row],[Open Commit.]]+EAC[[#This Row],[Future Commit.]]+EAC[[#This Row],[Expenditures to Date]]</f>
        <v>-44276.34</v>
      </c>
      <c r="P127" s="1406">
        <f ca="1">IF(EAC[[#This Row],[Current Commitment]]="","",EAC[[#This Row],[Current Commitment]]-EAC[[#This Row],[Estimate At Completion]])</f>
        <v>0</v>
      </c>
      <c r="Q127" s="1407"/>
    </row>
    <row r="128" spans="1:17" ht="18.75" hidden="1" customHeight="1">
      <c r="A128" s="217">
        <v>123</v>
      </c>
      <c r="B128" s="692" t="s">
        <v>452</v>
      </c>
      <c r="C128" s="87" t="str">
        <f ca="1">IF(EAC[[#This Row],[PA ID]]="","",INDEX(BudgetTrack[Primary Category],MATCH(EAC[[#This Row],[PA ID]],BudgetTrack[PA ID],0),0))</f>
        <v>FE_IT</v>
      </c>
      <c r="D128" s="87" t="str">
        <f ca="1">IF(EAC[[#This Row],[PA ID]]="","",INDEX(BudgetTrack[Secondary Category],MATCH(EAC[[#This Row],[PA ID]],BudgetTrack[PA ID],0),0))</f>
        <v>Information Technology</v>
      </c>
      <c r="E128" s="118" t="str">
        <f ca="1">IF(EAC[[#This Row],[PA ID]]="","",INDEX(BudgetTrack[Phase / Subproject],MATCH(EAC[[#This Row],[PA ID]],BudgetTrack[PA ID],0),0))</f>
        <v>--</v>
      </c>
      <c r="F128" s="118" t="str">
        <f ca="1">IF(EAC[[#This Row],[PA ID]]="","",INDEX(BudgetTrack[Phase / Subproject 2],MATCH(EAC[[#This Row],[PA ID]],BudgetTrack[PA ID],0),0))</f>
        <v>--</v>
      </c>
      <c r="G128" s="118" t="str">
        <f ca="1">IF(EAC[[#This Row],[PA ID]]="","",INDEX(BudgetTrack[Funding Source],MATCH(EAC[[#This Row],[PA ID]],BudgetTrack[PA ID],0),0))</f>
        <v>P-002360</v>
      </c>
      <c r="H128" s="693" t="s">
        <v>1740</v>
      </c>
      <c r="I128" s="118" t="str">
        <f ca="1">IF(EAC[[#This Row],[Vendor / Org. with Contract ID]]="","",INDEX(VendorList[Status],MATCH(EAC[[#This Row],[Vendor / Org. with Contract ID]],VendorList[Vendor / Org. with Contract ID],0),0))</f>
        <v>Open</v>
      </c>
      <c r="J128" s="694"/>
      <c r="K128" s="1402">
        <f ca="1">IF(EAC[[#This Row],[Vendor / Org. with Contract ID]]="",0,SUMIFS(VendorList[Current Commitment],VendorList[Vendor / Org. with Contract ID],EAC[[#This Row],[Vendor / Org. with Contract ID]],VendorList[PA ID],EAC[[#This Row],[PA ID]]))</f>
        <v>500000</v>
      </c>
      <c r="L128" s="1402">
        <f ca="1">IF(EAC[[#This Row],[Vendor / Org. with Contract ID]]="",0,SUMIFS(CostTrack[Value],CostTrack[Vendor - Contract],EAC[[#This Row],[Vendor / Org. with Contract ID]],CostTrack[PA ID],EAC[[#This Row],[PA ID]],CostTrack[Holdback (Y/N/R)],"&lt;&gt;Release",CostTrack[Status],"Approved"))</f>
        <v>0</v>
      </c>
      <c r="M128" s="1403">
        <f ca="1">IF(EAC[[#This Row],[Current Commitment]]="",0,EAC[[#This Row],[Current Commitment]]-EAC[[#This Row],[Expenditures to Date]])</f>
        <v>500000</v>
      </c>
      <c r="N128" s="1404"/>
      <c r="O128" s="1405">
        <f ca="1">EAC[[#This Row],[Open Commit.]]+EAC[[#This Row],[Future Commit.]]+EAC[[#This Row],[Expenditures to Date]]</f>
        <v>500000</v>
      </c>
      <c r="P128" s="1406">
        <f ca="1">IF(EAC[[#This Row],[Current Commitment]]="","",EAC[[#This Row],[Current Commitment]]-EAC[[#This Row],[Estimate At Completion]])</f>
        <v>0</v>
      </c>
      <c r="Q128" s="1407"/>
    </row>
    <row r="129" spans="1:17" ht="18.75" hidden="1" customHeight="1">
      <c r="A129" s="217">
        <v>124</v>
      </c>
      <c r="B129" s="692" t="s">
        <v>248</v>
      </c>
      <c r="C129" s="87" t="str">
        <f ca="1">IF(EAC[[#This Row],[PA ID]]="","",INDEX(BudgetTrack[Primary Category],MATCH(EAC[[#This Row],[PA ID]],BudgetTrack[PA ID],0),0))</f>
        <v>Construction</v>
      </c>
      <c r="D129" s="87" t="str">
        <f ca="1">IF(EAC[[#This Row],[PA ID]]="","",INDEX(BudgetTrack[Secondary Category],MATCH(EAC[[#This Row],[PA ID]],BudgetTrack[PA ID],0),0))</f>
        <v>Other Contractor</v>
      </c>
      <c r="E129" s="118" t="str">
        <f ca="1">IF(EAC[[#This Row],[PA ID]]="","",INDEX(BudgetTrack[Phase / Subproject],MATCH(EAC[[#This Row],[PA ID]],BudgetTrack[PA ID],0),0))</f>
        <v>--</v>
      </c>
      <c r="F129" s="118" t="str">
        <f ca="1">IF(EAC[[#This Row],[PA ID]]="","",INDEX(BudgetTrack[Phase / Subproject 2],MATCH(EAC[[#This Row],[PA ID]],BudgetTrack[PA ID],0),0))</f>
        <v>--</v>
      </c>
      <c r="G129" s="118" t="str">
        <f ca="1">IF(EAC[[#This Row],[PA ID]]="","",INDEX(BudgetTrack[Funding Source],MATCH(EAC[[#This Row],[PA ID]],BudgetTrack[PA ID],0),0))</f>
        <v>P-002360</v>
      </c>
      <c r="H129" s="693" t="s">
        <v>1741</v>
      </c>
      <c r="I129" s="118" t="str">
        <f ca="1">IF(EAC[[#This Row],[Vendor / Org. with Contract ID]]="","",INDEX(VendorList[Status],MATCH(EAC[[#This Row],[Vendor / Org. with Contract ID]],VendorList[Vendor / Org. with Contract ID],0),0))</f>
        <v>Open</v>
      </c>
      <c r="J129" s="694"/>
      <c r="K129" s="1402">
        <f ca="1">IF(EAC[[#This Row],[Vendor / Org. with Contract ID]]="",0,SUMIFS(VendorList[Current Commitment],VendorList[Vendor / Org. with Contract ID],EAC[[#This Row],[Vendor / Org. with Contract ID]],VendorList[PA ID],EAC[[#This Row],[PA ID]]))</f>
        <v>500000</v>
      </c>
      <c r="L129" s="1402">
        <f ca="1">IF(EAC[[#This Row],[Vendor / Org. with Contract ID]]="",0,SUMIFS(CostTrack[Value],CostTrack[Vendor - Contract],EAC[[#This Row],[Vendor / Org. with Contract ID]],CostTrack[PA ID],EAC[[#This Row],[PA ID]],CostTrack[Holdback (Y/N/R)],"&lt;&gt;Release",CostTrack[Status],"Approved"))</f>
        <v>0</v>
      </c>
      <c r="M129" s="1403">
        <f ca="1">IF(EAC[[#This Row],[Current Commitment]]="",0,EAC[[#This Row],[Current Commitment]]-EAC[[#This Row],[Expenditures to Date]])</f>
        <v>500000</v>
      </c>
      <c r="N129" s="1404"/>
      <c r="O129" s="1405">
        <f ca="1">EAC[[#This Row],[Open Commit.]]+EAC[[#This Row],[Future Commit.]]+EAC[[#This Row],[Expenditures to Date]]</f>
        <v>500000</v>
      </c>
      <c r="P129" s="1406">
        <f ca="1">IF(EAC[[#This Row],[Current Commitment]]="","",EAC[[#This Row],[Current Commitment]]-EAC[[#This Row],[Estimate At Completion]])</f>
        <v>0</v>
      </c>
      <c r="Q129" s="1407"/>
    </row>
    <row r="130" spans="1:17" ht="18.75" hidden="1" customHeight="1">
      <c r="A130" s="217">
        <v>125</v>
      </c>
      <c r="B130" s="692"/>
      <c r="C130" s="87" t="str">
        <f ca="1">IF(EAC[[#This Row],[PA ID]]="","",INDEX(BudgetTrack[Primary Category],MATCH(EAC[[#This Row],[PA ID]],BudgetTrack[PA ID],0),0))</f>
        <v/>
      </c>
      <c r="D130" s="87" t="str">
        <f ca="1">IF(EAC[[#This Row],[PA ID]]="","",INDEX(BudgetTrack[Secondary Category],MATCH(EAC[[#This Row],[PA ID]],BudgetTrack[PA ID],0),0))</f>
        <v/>
      </c>
      <c r="E130" s="118" t="str">
        <f ca="1">IF(EAC[[#This Row],[PA ID]]="","",INDEX(BudgetTrack[Phase / Subproject],MATCH(EAC[[#This Row],[PA ID]],BudgetTrack[PA ID],0),0))</f>
        <v/>
      </c>
      <c r="F130" s="118" t="str">
        <f ca="1">IF(EAC[[#This Row],[PA ID]]="","",INDEX(BudgetTrack[Phase / Subproject 2],MATCH(EAC[[#This Row],[PA ID]],BudgetTrack[PA ID],0),0))</f>
        <v/>
      </c>
      <c r="G130" s="118" t="str">
        <f ca="1">IF(EAC[[#This Row],[PA ID]]="","",INDEX(BudgetTrack[Funding Source],MATCH(EAC[[#This Row],[PA ID]],BudgetTrack[PA ID],0),0))</f>
        <v/>
      </c>
      <c r="H130" s="693"/>
      <c r="I130" s="118" t="str">
        <f ca="1">IF(EAC[[#This Row],[Vendor / Org. with Contract ID]]="","",INDEX(VendorList[Status],MATCH(EAC[[#This Row],[Vendor / Org. with Contract ID]],VendorList[Vendor / Org. with Contract ID],0),0))</f>
        <v/>
      </c>
      <c r="J130" s="694"/>
      <c r="K130" s="1402">
        <f ca="1">IF(EAC[[#This Row],[Vendor / Org. with Contract ID]]="",0,SUMIFS(VendorList[Current Commitment],VendorList[Vendor / Org. with Contract ID],EAC[[#This Row],[Vendor / Org. with Contract ID]],VendorList[PA ID],EAC[[#This Row],[PA ID]]))</f>
        <v>0</v>
      </c>
      <c r="L130" s="1402">
        <f ca="1">IF(EAC[[#This Row],[Vendor / Org. with Contract ID]]="",0,SUMIFS(CostTrack[Value],CostTrack[Vendor - Contract],EAC[[#This Row],[Vendor / Org. with Contract ID]],CostTrack[PA ID],EAC[[#This Row],[PA ID]],CostTrack[Holdback (Y/N/R)],"&lt;&gt;Release",CostTrack[Status],"Approved"))</f>
        <v>0</v>
      </c>
      <c r="M130" s="1403">
        <f ca="1">IF(EAC[[#This Row],[Current Commitment]]="",0,EAC[[#This Row],[Current Commitment]]-EAC[[#This Row],[Expenditures to Date]])</f>
        <v>0</v>
      </c>
      <c r="N130" s="1404"/>
      <c r="O130" s="1405">
        <f ca="1">EAC[[#This Row],[Open Commit.]]+EAC[[#This Row],[Future Commit.]]+EAC[[#This Row],[Expenditures to Date]]</f>
        <v>0</v>
      </c>
      <c r="P130" s="1406">
        <f ca="1">IF(EAC[[#This Row],[Current Commitment]]="","",EAC[[#This Row],[Current Commitment]]-EAC[[#This Row],[Estimate At Completion]])</f>
        <v>0</v>
      </c>
      <c r="Q130" s="1407"/>
    </row>
    <row r="131" spans="1:17" ht="18.75" hidden="1" customHeight="1">
      <c r="A131" s="217">
        <v>126</v>
      </c>
      <c r="B131" s="692"/>
      <c r="C131" s="87" t="str">
        <f ca="1">IF(EAC[[#This Row],[PA ID]]="","",INDEX(BudgetTrack[Primary Category],MATCH(EAC[[#This Row],[PA ID]],BudgetTrack[PA ID],0),0))</f>
        <v/>
      </c>
      <c r="D131" s="87" t="str">
        <f ca="1">IF(EAC[[#This Row],[PA ID]]="","",INDEX(BudgetTrack[Secondary Category],MATCH(EAC[[#This Row],[PA ID]],BudgetTrack[PA ID],0),0))</f>
        <v/>
      </c>
      <c r="E131" s="118" t="str">
        <f ca="1">IF(EAC[[#This Row],[PA ID]]="","",INDEX(BudgetTrack[Phase / Subproject],MATCH(EAC[[#This Row],[PA ID]],BudgetTrack[PA ID],0),0))</f>
        <v/>
      </c>
      <c r="F131" s="118" t="str">
        <f ca="1">IF(EAC[[#This Row],[PA ID]]="","",INDEX(BudgetTrack[Phase / Subproject 2],MATCH(EAC[[#This Row],[PA ID]],BudgetTrack[PA ID],0),0))</f>
        <v/>
      </c>
      <c r="G131" s="118" t="str">
        <f ca="1">IF(EAC[[#This Row],[PA ID]]="","",INDEX(BudgetTrack[Funding Source],MATCH(EAC[[#This Row],[PA ID]],BudgetTrack[PA ID],0),0))</f>
        <v/>
      </c>
      <c r="H131" s="693"/>
      <c r="I131" s="118" t="str">
        <f ca="1">IF(EAC[[#This Row],[Vendor / Org. with Contract ID]]="","",INDEX(VendorList[Status],MATCH(EAC[[#This Row],[Vendor / Org. with Contract ID]],VendorList[Vendor / Org. with Contract ID],0),0))</f>
        <v/>
      </c>
      <c r="J131" s="694"/>
      <c r="K131" s="1402">
        <f ca="1">IF(EAC[[#This Row],[Vendor / Org. with Contract ID]]="",0,SUMIFS(VendorList[Current Commitment],VendorList[Vendor / Org. with Contract ID],EAC[[#This Row],[Vendor / Org. with Contract ID]],VendorList[PA ID],EAC[[#This Row],[PA ID]]))</f>
        <v>0</v>
      </c>
      <c r="L131" s="1402">
        <f ca="1">IF(EAC[[#This Row],[Vendor / Org. with Contract ID]]="",0,SUMIFS(CostTrack[Value],CostTrack[Vendor - Contract],EAC[[#This Row],[Vendor / Org. with Contract ID]],CostTrack[PA ID],EAC[[#This Row],[PA ID]],CostTrack[Holdback (Y/N/R)],"&lt;&gt;Release",CostTrack[Status],"Approved"))</f>
        <v>0</v>
      </c>
      <c r="M131" s="1403">
        <f ca="1">IF(EAC[[#This Row],[Current Commitment]]="",0,EAC[[#This Row],[Current Commitment]]-EAC[[#This Row],[Expenditures to Date]])</f>
        <v>0</v>
      </c>
      <c r="N131" s="1404"/>
      <c r="O131" s="1405">
        <f ca="1">EAC[[#This Row],[Open Commit.]]+EAC[[#This Row],[Future Commit.]]+EAC[[#This Row],[Expenditures to Date]]</f>
        <v>0</v>
      </c>
      <c r="P131" s="1406">
        <f ca="1">IF(EAC[[#This Row],[Current Commitment]]="","",EAC[[#This Row],[Current Commitment]]-EAC[[#This Row],[Estimate At Completion]])</f>
        <v>0</v>
      </c>
      <c r="Q131" s="1407"/>
    </row>
    <row r="132" spans="1:17" ht="18.75" hidden="1" customHeight="1">
      <c r="A132" s="217">
        <v>127</v>
      </c>
      <c r="B132" s="692"/>
      <c r="C132" s="87" t="str">
        <f ca="1">IF(EAC[[#This Row],[PA ID]]="","",INDEX(BudgetTrack[Primary Category],MATCH(EAC[[#This Row],[PA ID]],BudgetTrack[PA ID],0),0))</f>
        <v/>
      </c>
      <c r="D132" s="87" t="str">
        <f ca="1">IF(EAC[[#This Row],[PA ID]]="","",INDEX(BudgetTrack[Secondary Category],MATCH(EAC[[#This Row],[PA ID]],BudgetTrack[PA ID],0),0))</f>
        <v/>
      </c>
      <c r="E132" s="118" t="str">
        <f ca="1">IF(EAC[[#This Row],[PA ID]]="","",INDEX(BudgetTrack[Phase / Subproject],MATCH(EAC[[#This Row],[PA ID]],BudgetTrack[PA ID],0),0))</f>
        <v/>
      </c>
      <c r="F132" s="118" t="str">
        <f ca="1">IF(EAC[[#This Row],[PA ID]]="","",INDEX(BudgetTrack[Phase / Subproject 2],MATCH(EAC[[#This Row],[PA ID]],BudgetTrack[PA ID],0),0))</f>
        <v/>
      </c>
      <c r="G132" s="118" t="str">
        <f ca="1">IF(EAC[[#This Row],[PA ID]]="","",INDEX(BudgetTrack[Funding Source],MATCH(EAC[[#This Row],[PA ID]],BudgetTrack[PA ID],0),0))</f>
        <v/>
      </c>
      <c r="H132" s="693"/>
      <c r="I132" s="118" t="str">
        <f ca="1">IF(EAC[[#This Row],[Vendor / Org. with Contract ID]]="","",INDEX(VendorList[Status],MATCH(EAC[[#This Row],[Vendor / Org. with Contract ID]],VendorList[Vendor / Org. with Contract ID],0),0))</f>
        <v/>
      </c>
      <c r="J132" s="694"/>
      <c r="K132" s="1402">
        <f ca="1">IF(EAC[[#This Row],[Vendor / Org. with Contract ID]]="",0,SUMIFS(VendorList[Current Commitment],VendorList[Vendor / Org. with Contract ID],EAC[[#This Row],[Vendor / Org. with Contract ID]],VendorList[PA ID],EAC[[#This Row],[PA ID]]))</f>
        <v>0</v>
      </c>
      <c r="L132" s="1402">
        <f ca="1">IF(EAC[[#This Row],[Vendor / Org. with Contract ID]]="",0,SUMIFS(CostTrack[Value],CostTrack[Vendor - Contract],EAC[[#This Row],[Vendor / Org. with Contract ID]],CostTrack[PA ID],EAC[[#This Row],[PA ID]],CostTrack[Holdback (Y/N/R)],"&lt;&gt;Release",CostTrack[Status],"Approved"))</f>
        <v>0</v>
      </c>
      <c r="M132" s="1403">
        <f ca="1">IF(EAC[[#This Row],[Current Commitment]]="",0,EAC[[#This Row],[Current Commitment]]-EAC[[#This Row],[Expenditures to Date]])</f>
        <v>0</v>
      </c>
      <c r="N132" s="1404"/>
      <c r="O132" s="1405">
        <f ca="1">EAC[[#This Row],[Open Commit.]]+EAC[[#This Row],[Future Commit.]]+EAC[[#This Row],[Expenditures to Date]]</f>
        <v>0</v>
      </c>
      <c r="P132" s="1406">
        <f ca="1">IF(EAC[[#This Row],[Current Commitment]]="","",EAC[[#This Row],[Current Commitment]]-EAC[[#This Row],[Estimate At Completion]])</f>
        <v>0</v>
      </c>
      <c r="Q132" s="1407"/>
    </row>
    <row r="133" spans="1:17" ht="18.75" hidden="1" customHeight="1">
      <c r="A133" s="217">
        <v>128</v>
      </c>
      <c r="B133" s="692"/>
      <c r="C133" s="87" t="str">
        <f ca="1">IF(EAC[[#This Row],[PA ID]]="","",INDEX(BudgetTrack[Primary Category],MATCH(EAC[[#This Row],[PA ID]],BudgetTrack[PA ID],0),0))</f>
        <v/>
      </c>
      <c r="D133" s="87" t="str">
        <f ca="1">IF(EAC[[#This Row],[PA ID]]="","",INDEX(BudgetTrack[Secondary Category],MATCH(EAC[[#This Row],[PA ID]],BudgetTrack[PA ID],0),0))</f>
        <v/>
      </c>
      <c r="E133" s="118" t="str">
        <f ca="1">IF(EAC[[#This Row],[PA ID]]="","",INDEX(BudgetTrack[Phase / Subproject],MATCH(EAC[[#This Row],[PA ID]],BudgetTrack[PA ID],0),0))</f>
        <v/>
      </c>
      <c r="F133" s="118" t="str">
        <f ca="1">IF(EAC[[#This Row],[PA ID]]="","",INDEX(BudgetTrack[Phase / Subproject 2],MATCH(EAC[[#This Row],[PA ID]],BudgetTrack[PA ID],0),0))</f>
        <v/>
      </c>
      <c r="G133" s="118" t="str">
        <f ca="1">IF(EAC[[#This Row],[PA ID]]="","",INDEX(BudgetTrack[Funding Source],MATCH(EAC[[#This Row],[PA ID]],BudgetTrack[PA ID],0),0))</f>
        <v/>
      </c>
      <c r="H133" s="693"/>
      <c r="I133" s="118" t="str">
        <f ca="1">IF(EAC[[#This Row],[Vendor / Org. with Contract ID]]="","",INDEX(VendorList[Status],MATCH(EAC[[#This Row],[Vendor / Org. with Contract ID]],VendorList[Vendor / Org. with Contract ID],0),0))</f>
        <v/>
      </c>
      <c r="J133" s="694"/>
      <c r="K133" s="1402">
        <f ca="1">IF(EAC[[#This Row],[Vendor / Org. with Contract ID]]="",0,SUMIFS(VendorList[Current Commitment],VendorList[Vendor / Org. with Contract ID],EAC[[#This Row],[Vendor / Org. with Contract ID]],VendorList[PA ID],EAC[[#This Row],[PA ID]]))</f>
        <v>0</v>
      </c>
      <c r="L133" s="1402">
        <f ca="1">IF(EAC[[#This Row],[Vendor / Org. with Contract ID]]="",0,SUMIFS(CostTrack[Value],CostTrack[Vendor - Contract],EAC[[#This Row],[Vendor / Org. with Contract ID]],CostTrack[PA ID],EAC[[#This Row],[PA ID]],CostTrack[Holdback (Y/N/R)],"&lt;&gt;Release",CostTrack[Status],"Approved"))</f>
        <v>0</v>
      </c>
      <c r="M133" s="1403">
        <f ca="1">IF(EAC[[#This Row],[Current Commitment]]="",0,EAC[[#This Row],[Current Commitment]]-EAC[[#This Row],[Expenditures to Date]])</f>
        <v>0</v>
      </c>
      <c r="N133" s="1404"/>
      <c r="O133" s="1405">
        <f ca="1">EAC[[#This Row],[Open Commit.]]+EAC[[#This Row],[Future Commit.]]+EAC[[#This Row],[Expenditures to Date]]</f>
        <v>0</v>
      </c>
      <c r="P133" s="1406">
        <f ca="1">IF(EAC[[#This Row],[Current Commitment]]="","",EAC[[#This Row],[Current Commitment]]-EAC[[#This Row],[Estimate At Completion]])</f>
        <v>0</v>
      </c>
      <c r="Q133" s="1407"/>
    </row>
    <row r="134" spans="1:17" ht="18.75" hidden="1" customHeight="1">
      <c r="A134" s="217">
        <v>129</v>
      </c>
      <c r="B134" s="692"/>
      <c r="C134" s="87" t="str">
        <f ca="1">IF(EAC[[#This Row],[PA ID]]="","",INDEX(BudgetTrack[Primary Category],MATCH(EAC[[#This Row],[PA ID]],BudgetTrack[PA ID],0),0))</f>
        <v/>
      </c>
      <c r="D134" s="87" t="str">
        <f ca="1">IF(EAC[[#This Row],[PA ID]]="","",INDEX(BudgetTrack[Secondary Category],MATCH(EAC[[#This Row],[PA ID]],BudgetTrack[PA ID],0),0))</f>
        <v/>
      </c>
      <c r="E134" s="118" t="str">
        <f ca="1">IF(EAC[[#This Row],[PA ID]]="","",INDEX(BudgetTrack[Phase / Subproject],MATCH(EAC[[#This Row],[PA ID]],BudgetTrack[PA ID],0),0))</f>
        <v/>
      </c>
      <c r="F134" s="118" t="str">
        <f ca="1">IF(EAC[[#This Row],[PA ID]]="","",INDEX(BudgetTrack[Phase / Subproject 2],MATCH(EAC[[#This Row],[PA ID]],BudgetTrack[PA ID],0),0))</f>
        <v/>
      </c>
      <c r="G134" s="118" t="str">
        <f ca="1">IF(EAC[[#This Row],[PA ID]]="","",INDEX(BudgetTrack[Funding Source],MATCH(EAC[[#This Row],[PA ID]],BudgetTrack[PA ID],0),0))</f>
        <v/>
      </c>
      <c r="H134" s="693"/>
      <c r="I134" s="118" t="str">
        <f ca="1">IF(EAC[[#This Row],[Vendor / Org. with Contract ID]]="","",INDEX(VendorList[Status],MATCH(EAC[[#This Row],[Vendor / Org. with Contract ID]],VendorList[Vendor / Org. with Contract ID],0),0))</f>
        <v/>
      </c>
      <c r="J134" s="694"/>
      <c r="K134" s="1402">
        <f ca="1">IF(EAC[[#This Row],[Vendor / Org. with Contract ID]]="",0,SUMIFS(VendorList[Current Commitment],VendorList[Vendor / Org. with Contract ID],EAC[[#This Row],[Vendor / Org. with Contract ID]],VendorList[PA ID],EAC[[#This Row],[PA ID]]))</f>
        <v>0</v>
      </c>
      <c r="L134" s="1402">
        <f ca="1">IF(EAC[[#This Row],[Vendor / Org. with Contract ID]]="",0,SUMIFS(CostTrack[Value],CostTrack[Vendor - Contract],EAC[[#This Row],[Vendor / Org. with Contract ID]],CostTrack[PA ID],EAC[[#This Row],[PA ID]],CostTrack[Holdback (Y/N/R)],"&lt;&gt;Release",CostTrack[Status],"Approved"))</f>
        <v>0</v>
      </c>
      <c r="M134" s="1403">
        <f ca="1">IF(EAC[[#This Row],[Current Commitment]]="",0,EAC[[#This Row],[Current Commitment]]-EAC[[#This Row],[Expenditures to Date]])</f>
        <v>0</v>
      </c>
      <c r="N134" s="1404"/>
      <c r="O134" s="1405">
        <f ca="1">EAC[[#This Row],[Open Commit.]]+EAC[[#This Row],[Future Commit.]]+EAC[[#This Row],[Expenditures to Date]]</f>
        <v>0</v>
      </c>
      <c r="P134" s="1406">
        <f ca="1">IF(EAC[[#This Row],[Current Commitment]]="","",EAC[[#This Row],[Current Commitment]]-EAC[[#This Row],[Estimate At Completion]])</f>
        <v>0</v>
      </c>
      <c r="Q134" s="1407"/>
    </row>
    <row r="135" spans="1:17" ht="18.75" hidden="1" customHeight="1">
      <c r="A135" s="217">
        <v>130</v>
      </c>
      <c r="B135" s="692"/>
      <c r="C135" s="87" t="str">
        <f ca="1">IF(EAC[[#This Row],[PA ID]]="","",INDEX(BudgetTrack[Primary Category],MATCH(EAC[[#This Row],[PA ID]],BudgetTrack[PA ID],0),0))</f>
        <v/>
      </c>
      <c r="D135" s="87" t="str">
        <f ca="1">IF(EAC[[#This Row],[PA ID]]="","",INDEX(BudgetTrack[Secondary Category],MATCH(EAC[[#This Row],[PA ID]],BudgetTrack[PA ID],0),0))</f>
        <v/>
      </c>
      <c r="E135" s="118" t="str">
        <f ca="1">IF(EAC[[#This Row],[PA ID]]="","",INDEX(BudgetTrack[Phase / Subproject],MATCH(EAC[[#This Row],[PA ID]],BudgetTrack[PA ID],0),0))</f>
        <v/>
      </c>
      <c r="F135" s="118" t="str">
        <f ca="1">IF(EAC[[#This Row],[PA ID]]="","",INDEX(BudgetTrack[Phase / Subproject 2],MATCH(EAC[[#This Row],[PA ID]],BudgetTrack[PA ID],0),0))</f>
        <v/>
      </c>
      <c r="G135" s="118" t="str">
        <f ca="1">IF(EAC[[#This Row],[PA ID]]="","",INDEX(BudgetTrack[Funding Source],MATCH(EAC[[#This Row],[PA ID]],BudgetTrack[PA ID],0),0))</f>
        <v/>
      </c>
      <c r="H135" s="693"/>
      <c r="I135" s="118" t="str">
        <f ca="1">IF(EAC[[#This Row],[Vendor / Org. with Contract ID]]="","",INDEX(VendorList[Status],MATCH(EAC[[#This Row],[Vendor / Org. with Contract ID]],VendorList[Vendor / Org. with Contract ID],0),0))</f>
        <v/>
      </c>
      <c r="J135" s="694"/>
      <c r="K135" s="1402">
        <f ca="1">IF(EAC[[#This Row],[Vendor / Org. with Contract ID]]="",0,SUMIFS(VendorList[Current Commitment],VendorList[Vendor / Org. with Contract ID],EAC[[#This Row],[Vendor / Org. with Contract ID]],VendorList[PA ID],EAC[[#This Row],[PA ID]]))</f>
        <v>0</v>
      </c>
      <c r="L135" s="1402">
        <f ca="1">IF(EAC[[#This Row],[Vendor / Org. with Contract ID]]="",0,SUMIFS(CostTrack[Value],CostTrack[Vendor - Contract],EAC[[#This Row],[Vendor / Org. with Contract ID]],CostTrack[PA ID],EAC[[#This Row],[PA ID]],CostTrack[Holdback (Y/N/R)],"&lt;&gt;Release",CostTrack[Status],"Approved"))</f>
        <v>0</v>
      </c>
      <c r="M135" s="1403">
        <f ca="1">IF(EAC[[#This Row],[Current Commitment]]="",0,EAC[[#This Row],[Current Commitment]]-EAC[[#This Row],[Expenditures to Date]])</f>
        <v>0</v>
      </c>
      <c r="N135" s="1404"/>
      <c r="O135" s="1405">
        <f ca="1">EAC[[#This Row],[Open Commit.]]+EAC[[#This Row],[Future Commit.]]+EAC[[#This Row],[Expenditures to Date]]</f>
        <v>0</v>
      </c>
      <c r="P135" s="1406">
        <f ca="1">IF(EAC[[#This Row],[Current Commitment]]="","",EAC[[#This Row],[Current Commitment]]-EAC[[#This Row],[Estimate At Completion]])</f>
        <v>0</v>
      </c>
      <c r="Q135" s="1407"/>
    </row>
    <row r="136" spans="1:17" ht="18.75" hidden="1" customHeight="1">
      <c r="A136" s="217">
        <v>131</v>
      </c>
      <c r="B136" s="692"/>
      <c r="C136" s="87" t="str">
        <f ca="1">IF(EAC[[#This Row],[PA ID]]="","",INDEX(BudgetTrack[Primary Category],MATCH(EAC[[#This Row],[PA ID]],BudgetTrack[PA ID],0),0))</f>
        <v/>
      </c>
      <c r="D136" s="87" t="str">
        <f ca="1">IF(EAC[[#This Row],[PA ID]]="","",INDEX(BudgetTrack[Secondary Category],MATCH(EAC[[#This Row],[PA ID]],BudgetTrack[PA ID],0),0))</f>
        <v/>
      </c>
      <c r="E136" s="118" t="str">
        <f ca="1">IF(EAC[[#This Row],[PA ID]]="","",INDEX(BudgetTrack[Phase / Subproject],MATCH(EAC[[#This Row],[PA ID]],BudgetTrack[PA ID],0),0))</f>
        <v/>
      </c>
      <c r="F136" s="118" t="str">
        <f ca="1">IF(EAC[[#This Row],[PA ID]]="","",INDEX(BudgetTrack[Phase / Subproject 2],MATCH(EAC[[#This Row],[PA ID]],BudgetTrack[PA ID],0),0))</f>
        <v/>
      </c>
      <c r="G136" s="118" t="str">
        <f ca="1">IF(EAC[[#This Row],[PA ID]]="","",INDEX(BudgetTrack[Funding Source],MATCH(EAC[[#This Row],[PA ID]],BudgetTrack[PA ID],0),0))</f>
        <v/>
      </c>
      <c r="H136" s="693"/>
      <c r="I136" s="118" t="str">
        <f ca="1">IF(EAC[[#This Row],[Vendor / Org. with Contract ID]]="","",INDEX(VendorList[Status],MATCH(EAC[[#This Row],[Vendor / Org. with Contract ID]],VendorList[Vendor / Org. with Contract ID],0),0))</f>
        <v/>
      </c>
      <c r="J136" s="694"/>
      <c r="K136" s="1402">
        <f ca="1">IF(EAC[[#This Row],[Vendor / Org. with Contract ID]]="",0,SUMIFS(VendorList[Current Commitment],VendorList[Vendor / Org. with Contract ID],EAC[[#This Row],[Vendor / Org. with Contract ID]],VendorList[PA ID],EAC[[#This Row],[PA ID]]))</f>
        <v>0</v>
      </c>
      <c r="L136" s="1402">
        <f ca="1">IF(EAC[[#This Row],[Vendor / Org. with Contract ID]]="",0,SUMIFS(CostTrack[Value],CostTrack[Vendor - Contract],EAC[[#This Row],[Vendor / Org. with Contract ID]],CostTrack[PA ID],EAC[[#This Row],[PA ID]],CostTrack[Holdback (Y/N/R)],"&lt;&gt;Release",CostTrack[Status],"Approved"))</f>
        <v>0</v>
      </c>
      <c r="M136" s="1403">
        <f ca="1">IF(EAC[[#This Row],[Current Commitment]]="",0,EAC[[#This Row],[Current Commitment]]-EAC[[#This Row],[Expenditures to Date]])</f>
        <v>0</v>
      </c>
      <c r="N136" s="1404"/>
      <c r="O136" s="1405">
        <f ca="1">EAC[[#This Row],[Open Commit.]]+EAC[[#This Row],[Future Commit.]]+EAC[[#This Row],[Expenditures to Date]]</f>
        <v>0</v>
      </c>
      <c r="P136" s="1406">
        <f ca="1">IF(EAC[[#This Row],[Current Commitment]]="","",EAC[[#This Row],[Current Commitment]]-EAC[[#This Row],[Estimate At Completion]])</f>
        <v>0</v>
      </c>
      <c r="Q136" s="1407"/>
    </row>
    <row r="137" spans="1:17" ht="18.75" hidden="1" customHeight="1">
      <c r="A137" s="217">
        <v>132</v>
      </c>
      <c r="B137" s="692"/>
      <c r="C137" s="87" t="str">
        <f ca="1">IF(EAC[[#This Row],[PA ID]]="","",INDEX(BudgetTrack[Primary Category],MATCH(EAC[[#This Row],[PA ID]],BudgetTrack[PA ID],0),0))</f>
        <v/>
      </c>
      <c r="D137" s="87" t="str">
        <f ca="1">IF(EAC[[#This Row],[PA ID]]="","",INDEX(BudgetTrack[Secondary Category],MATCH(EAC[[#This Row],[PA ID]],BudgetTrack[PA ID],0),0))</f>
        <v/>
      </c>
      <c r="E137" s="118" t="str">
        <f ca="1">IF(EAC[[#This Row],[PA ID]]="","",INDEX(BudgetTrack[Phase / Subproject],MATCH(EAC[[#This Row],[PA ID]],BudgetTrack[PA ID],0),0))</f>
        <v/>
      </c>
      <c r="F137" s="118" t="str">
        <f ca="1">IF(EAC[[#This Row],[PA ID]]="","",INDEX(BudgetTrack[Phase / Subproject 2],MATCH(EAC[[#This Row],[PA ID]],BudgetTrack[PA ID],0),0))</f>
        <v/>
      </c>
      <c r="G137" s="118" t="str">
        <f ca="1">IF(EAC[[#This Row],[PA ID]]="","",INDEX(BudgetTrack[Funding Source],MATCH(EAC[[#This Row],[PA ID]],BudgetTrack[PA ID],0),0))</f>
        <v/>
      </c>
      <c r="H137" s="693"/>
      <c r="I137" s="118" t="str">
        <f ca="1">IF(EAC[[#This Row],[Vendor / Org. with Contract ID]]="","",INDEX(VendorList[Status],MATCH(EAC[[#This Row],[Vendor / Org. with Contract ID]],VendorList[Vendor / Org. with Contract ID],0),0))</f>
        <v/>
      </c>
      <c r="J137" s="694"/>
      <c r="K137" s="1402">
        <f ca="1">IF(EAC[[#This Row],[Vendor / Org. with Contract ID]]="",0,SUMIFS(VendorList[Current Commitment],VendorList[Vendor / Org. with Contract ID],EAC[[#This Row],[Vendor / Org. with Contract ID]],VendorList[PA ID],EAC[[#This Row],[PA ID]]))</f>
        <v>0</v>
      </c>
      <c r="L137" s="1402">
        <f ca="1">IF(EAC[[#This Row],[Vendor / Org. with Contract ID]]="",0,SUMIFS(CostTrack[Value],CostTrack[Vendor - Contract],EAC[[#This Row],[Vendor / Org. with Contract ID]],CostTrack[PA ID],EAC[[#This Row],[PA ID]],CostTrack[Holdback (Y/N/R)],"&lt;&gt;Release",CostTrack[Status],"Approved"))</f>
        <v>0</v>
      </c>
      <c r="M137" s="1403">
        <f ca="1">IF(EAC[[#This Row],[Current Commitment]]="",0,EAC[[#This Row],[Current Commitment]]-EAC[[#This Row],[Expenditures to Date]])</f>
        <v>0</v>
      </c>
      <c r="N137" s="1404"/>
      <c r="O137" s="1405">
        <f ca="1">EAC[[#This Row],[Open Commit.]]+EAC[[#This Row],[Future Commit.]]+EAC[[#This Row],[Expenditures to Date]]</f>
        <v>0</v>
      </c>
      <c r="P137" s="1406">
        <f ca="1">IF(EAC[[#This Row],[Current Commitment]]="","",EAC[[#This Row],[Current Commitment]]-EAC[[#This Row],[Estimate At Completion]])</f>
        <v>0</v>
      </c>
      <c r="Q137" s="1407"/>
    </row>
    <row r="138" spans="1:17" ht="18.75" customHeight="1">
      <c r="A138" s="217"/>
      <c r="B138" s="114"/>
      <c r="C138" s="115"/>
      <c r="D138" s="115"/>
      <c r="E138" s="115"/>
      <c r="F138" s="115"/>
      <c r="G138" s="115"/>
      <c r="H138" s="115"/>
      <c r="I138" s="115"/>
      <c r="J138" s="464" t="s">
        <v>362</v>
      </c>
      <c r="K138" s="280">
        <f ca="1">SUBTOTAL(109,EAC[Current Commitment])</f>
        <v>500000</v>
      </c>
      <c r="L138" s="280">
        <f ca="1">SUBTOTAL(109,EAC[Expenditures to Date])</f>
        <v>215424.87999999998</v>
      </c>
      <c r="M138" s="280">
        <f ca="1">SUBTOTAL(109,EAC[Open Commit.])</f>
        <v>284575.12</v>
      </c>
      <c r="N138" s="280">
        <f ca="1">SUBTOTAL(109,EAC[Future Commit.])</f>
        <v>5509098</v>
      </c>
      <c r="O138" s="280">
        <f ca="1">SUBTOTAL(109,EAC[Estimate At Completion])</f>
        <v>6009098</v>
      </c>
      <c r="P138" s="280">
        <f ca="1">SUBTOTAL(109,EAC[Commitment Variance])</f>
        <v>-5509098</v>
      </c>
      <c r="Q138" s="57"/>
    </row>
    <row r="139" spans="1:17">
      <c r="B139" s="114"/>
      <c r="C139" s="115"/>
      <c r="D139" s="115"/>
      <c r="E139" s="115"/>
      <c r="F139" s="115"/>
      <c r="G139" s="115"/>
      <c r="H139" s="115"/>
      <c r="I139" s="115"/>
      <c r="J139" s="464" t="s">
        <v>274</v>
      </c>
      <c r="K139" s="465">
        <f ca="1">ROUND(SUM(EAC[Current Commitment]),2)</f>
        <v>185590901.88</v>
      </c>
      <c r="L139" s="465">
        <f ca="1">ROUND(SUM(EAC[Expenditures to Date]),2)</f>
        <v>182727345.40000001</v>
      </c>
      <c r="M139" s="465">
        <f ca="1">ROUND(SUM(EAC[Open Commit.]),2)</f>
        <v>2863556.48</v>
      </c>
      <c r="N139" s="465">
        <f ca="1">ROUND(SUM(EAC[Future Commit.]),2)</f>
        <v>5509098</v>
      </c>
      <c r="O139" s="465">
        <f ca="1">ROUND(SUM(EAC[Estimate At Completion]),0)</f>
        <v>191100000</v>
      </c>
      <c r="P139" s="465">
        <f ca="1">ROUND(SUM(EAC[Commitment Variance]),2)</f>
        <v>-5509098</v>
      </c>
      <c r="Q139" s="57"/>
    </row>
    <row r="140" spans="1:17">
      <c r="B140" s="48"/>
      <c r="C140" s="55"/>
      <c r="D140" s="55"/>
      <c r="E140" s="54"/>
      <c r="F140" s="54"/>
      <c r="G140" s="54"/>
      <c r="H140" s="55"/>
      <c r="I140" s="54"/>
      <c r="P140" s="54"/>
      <c r="Q140" s="54"/>
    </row>
    <row r="141" spans="1:17">
      <c r="J141" s="13"/>
      <c r="M141" s="54"/>
      <c r="N141" s="13"/>
    </row>
    <row r="142" spans="1:17">
      <c r="B142" s="3"/>
      <c r="N142" s="13"/>
      <c r="O142" s="556">
        <f>'Target Tracking'!W22</f>
        <v>191099999.99999997</v>
      </c>
    </row>
    <row r="143" spans="1:17">
      <c r="N143" s="1024"/>
      <c r="O143" s="15">
        <f ca="1">O142-O139</f>
        <v>0</v>
      </c>
    </row>
    <row r="144" spans="1:17">
      <c r="B144" s="3"/>
      <c r="N144" s="7"/>
      <c r="P144" s="8"/>
    </row>
    <row r="145" spans="2:15">
      <c r="B145" s="3"/>
      <c r="O145" s="508"/>
    </row>
    <row r="146" spans="2:15">
      <c r="B146" s="3"/>
    </row>
    <row r="147" spans="2:15">
      <c r="B147" s="3"/>
    </row>
    <row r="149" spans="2:15">
      <c r="B149" s="3"/>
    </row>
  </sheetData>
  <sheetProtection autoFilter="0"/>
  <mergeCells count="1">
    <mergeCell ref="M4:N4"/>
  </mergeCells>
  <dataValidations count="2">
    <dataValidation type="list" allowBlank="1" showInputMessage="1" showErrorMessage="1" sqref="B6:B137" xr:uid="{00000000-0002-0000-0B00-000000000000}">
      <formula1>BudgetTrackPA_ID</formula1>
    </dataValidation>
    <dataValidation type="list" allowBlank="1" showInputMessage="1" showErrorMessage="1" sqref="H6:H137" xr:uid="{00000000-0002-0000-0B00-000001000000}">
      <formula1>OpenVendorList</formula1>
    </dataValidation>
  </dataValidations>
  <pageMargins left="0.23622047244094491" right="0.23622047244094491" top="0.35433070866141736" bottom="0.35433070866141736" header="0.31496062992125984" footer="0.31496062992125984"/>
  <pageSetup paperSize="17" scale="56" fitToHeight="4" orientation="landscape" r:id="rId1"/>
  <headerFooter>
    <oddFooter>&amp;L&amp;1#&amp;"Calibri"&amp;11&amp;K000000Classification: Protected A</oddFooter>
  </headerFooter>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theme="3" tint="0.59999389629810485"/>
    <pageSetUpPr fitToPage="1"/>
  </sheetPr>
  <dimension ref="B1:S48"/>
  <sheetViews>
    <sheetView showGridLines="0" zoomScale="85" zoomScaleNormal="85" zoomScalePageLayoutView="80" workbookViewId="0">
      <selection activeCell="J19" sqref="J19"/>
    </sheetView>
  </sheetViews>
  <sheetFormatPr defaultColWidth="9.42578125" defaultRowHeight="15" customHeight="1"/>
  <cols>
    <col min="1" max="1" width="1.42578125" style="1" customWidth="1"/>
    <col min="2" max="2" width="13.42578125" style="1" customWidth="1"/>
    <col min="3" max="3" width="51.7109375" style="2" customWidth="1"/>
    <col min="4" max="4" width="16.42578125" style="3" customWidth="1"/>
    <col min="5" max="5" width="77.28515625" style="2" customWidth="1"/>
    <col min="6" max="6" width="10" style="2" customWidth="1"/>
    <col min="7" max="7" width="16.42578125" style="2" customWidth="1"/>
    <col min="8" max="8" width="6" style="2" customWidth="1"/>
    <col min="9" max="9" width="1.42578125" style="2" customWidth="1"/>
    <col min="10" max="10" width="42.7109375" style="1" customWidth="1"/>
    <col min="11" max="11" width="9.28515625" style="1" customWidth="1"/>
    <col min="12" max="12" width="13.42578125" style="1" customWidth="1"/>
    <col min="13" max="13" width="2.42578125" style="1" customWidth="1"/>
    <col min="14" max="14" width="13.42578125" style="1" customWidth="1"/>
    <col min="15" max="15" width="10.7109375" style="2" customWidth="1"/>
    <col min="16" max="16" width="13.42578125" style="1" customWidth="1"/>
    <col min="17" max="17" width="2.42578125" style="1" customWidth="1"/>
    <col min="18" max="18" width="13.42578125" style="1" customWidth="1"/>
    <col min="19" max="19" width="7" style="2" customWidth="1"/>
    <col min="20" max="20" width="13.42578125" style="1" customWidth="1"/>
    <col min="21" max="21" width="2.42578125" style="1" customWidth="1"/>
    <col min="22" max="22" width="15.42578125" style="1" bestFit="1" customWidth="1"/>
    <col min="23" max="16384" width="9.42578125" style="1"/>
  </cols>
  <sheetData>
    <row r="1" spans="2:19" ht="9" customHeight="1"/>
    <row r="2" spans="2:19" ht="23.65">
      <c r="B2" s="183" t="s">
        <v>1742</v>
      </c>
      <c r="D2" s="19" t="str">
        <f>Validations!$C$6</f>
        <v>Justice Centre</v>
      </c>
      <c r="H2" s="19"/>
      <c r="I2" s="19"/>
      <c r="O2" s="19"/>
      <c r="S2" s="19"/>
    </row>
    <row r="3" spans="2:19" ht="63.75" customHeight="1">
      <c r="B3" s="1165" t="s">
        <v>1743</v>
      </c>
      <c r="C3" s="1165"/>
      <c r="D3" s="1165"/>
      <c r="E3" s="1165"/>
      <c r="F3" s="1165"/>
      <c r="G3" s="1165"/>
    </row>
    <row r="4" spans="2:19" ht="40.35">
      <c r="B4" s="1164" t="s">
        <v>1744</v>
      </c>
      <c r="C4" s="924" t="s">
        <v>1745</v>
      </c>
      <c r="D4" s="925" cm="1">
        <f t="array" aca="1" ref="D4" ca="1">ROUND(INDEX(FSrcSumm, ROWS(FSrcSumm), MATCH("Approved Value", INDEX(FSrcSumm,1,), 0)), 2)</f>
        <v>191100000</v>
      </c>
      <c r="E4" s="926" t="s">
        <v>1746</v>
      </c>
      <c r="F4" s="927" t="s">
        <v>1747</v>
      </c>
      <c r="G4" s="928" t="s">
        <v>784</v>
      </c>
      <c r="J4" s="929" t="s">
        <v>1748</v>
      </c>
    </row>
    <row r="5" spans="2:19" ht="36.75" customHeight="1">
      <c r="B5" s="1164"/>
      <c r="C5" s="930" t="s">
        <v>1749</v>
      </c>
      <c r="D5" s="925">
        <f ca="1">ROUND(SUM(BudgetTrack[Current Budget]),2)</f>
        <v>191099999.84</v>
      </c>
      <c r="E5" s="931" t="s">
        <v>1750</v>
      </c>
      <c r="F5" s="932" t="str">
        <f ca="1">IF(ABS(AuditBgtTrackTAFVar) &lt; 1, "Yes", "No")</f>
        <v>Yes</v>
      </c>
      <c r="G5" s="925">
        <f ca="1">AuditBudgetTrack-AuditTAFValue</f>
        <v>-0.15999999642372131</v>
      </c>
      <c r="J5" s="933"/>
      <c r="N5"/>
    </row>
    <row r="6" spans="2:19" ht="36.75" customHeight="1">
      <c r="B6" s="1164"/>
      <c r="C6" s="930" t="s">
        <v>1751</v>
      </c>
      <c r="D6" s="925">
        <f ca="1">ROUND(SUM(BudgetDetails[Current Budget]),2)</f>
        <v>191099999.84</v>
      </c>
      <c r="E6" s="931" t="s">
        <v>1752</v>
      </c>
      <c r="F6" s="932" t="str">
        <f ca="1">IF(ABS(AuditBgtDetBgtTrackVar) &lt; 1, "Yes", "No")</f>
        <v>Yes</v>
      </c>
      <c r="G6" s="925">
        <f ca="1">AuditBudgetDetails-AuditBudgetTrack</f>
        <v>0</v>
      </c>
      <c r="J6" s="933"/>
    </row>
    <row r="7" spans="2:19" ht="8.85" customHeight="1">
      <c r="C7" s="934"/>
      <c r="D7" s="934"/>
      <c r="E7" s="934"/>
      <c r="F7" s="935"/>
      <c r="J7" s="47"/>
    </row>
    <row r="8" spans="2:19" ht="36.75" customHeight="1">
      <c r="B8" s="1164" t="s">
        <v>1571</v>
      </c>
      <c r="C8" s="924" t="s">
        <v>1753</v>
      </c>
      <c r="D8" s="925">
        <f ca="1">ROUND(SUM(EAC[Estimate At Completion]),2)</f>
        <v>191099999.88</v>
      </c>
      <c r="E8" s="931" t="s">
        <v>1754</v>
      </c>
      <c r="F8" s="932" t="str">
        <f ca="1">IF(ABS(AuditEACTAFVar) &lt; 1, "Yes", "No")</f>
        <v>Yes</v>
      </c>
      <c r="G8" s="936">
        <f ca="1">AuditEAC-AuditTAFValue</f>
        <v>-0.12000000476837158</v>
      </c>
      <c r="H8" s="937" t="s">
        <v>1755</v>
      </c>
      <c r="I8" s="938"/>
      <c r="J8" s="933"/>
      <c r="K8" s="939"/>
      <c r="L8" s="940"/>
    </row>
    <row r="9" spans="2:19" ht="36.75" customHeight="1">
      <c r="B9" s="1164"/>
      <c r="C9" s="924" t="s">
        <v>1756</v>
      </c>
      <c r="D9" s="925">
        <f ca="1">ROUND(SUM(BudgetTrack[Estimate At Completion]),2)</f>
        <v>191099999.88</v>
      </c>
      <c r="E9" s="931" t="s">
        <v>1757</v>
      </c>
      <c r="F9" s="932" t="str">
        <f ca="1">IF(ABS(AuditBgtTrackEACVar) &lt; 1, "Yes", "No")</f>
        <v>Yes</v>
      </c>
      <c r="G9" s="925">
        <f ca="1">AuditEACBgtTrack-AuditEAC</f>
        <v>0</v>
      </c>
      <c r="J9" s="933"/>
    </row>
    <row r="10" spans="2:19" ht="36.75" customHeight="1">
      <c r="B10" s="1164"/>
      <c r="C10" s="924" t="s">
        <v>1758</v>
      </c>
      <c r="D10" s="925">
        <f ca="1">ROUND(SUM(BudgetDetails[Estimate at Completion]),2)</f>
        <v>191099999.88</v>
      </c>
      <c r="E10" s="931" t="s">
        <v>1759</v>
      </c>
      <c r="F10" s="932" t="str">
        <f ca="1">IF(ABS(AuditBgtDetEACVar) &lt; 1, "Yes", "No")</f>
        <v>Yes</v>
      </c>
      <c r="G10" s="925">
        <f ca="1">AuditEACBgtDetails-AuditEAC</f>
        <v>0</v>
      </c>
      <c r="J10" s="933"/>
    </row>
    <row r="11" spans="2:19" ht="8.85" customHeight="1">
      <c r="C11" s="941"/>
      <c r="D11" s="934"/>
      <c r="E11" s="934"/>
      <c r="F11" s="935"/>
      <c r="J11" s="47"/>
    </row>
    <row r="12" spans="2:19" ht="36.75" customHeight="1">
      <c r="B12" s="1164" t="s">
        <v>358</v>
      </c>
      <c r="C12" s="924" t="s">
        <v>1760</v>
      </c>
      <c r="D12" s="925">
        <f ca="1">ROUND(SUM(CostTrack[Value]),2)</f>
        <v>197908423.90000001</v>
      </c>
      <c r="E12" s="934"/>
      <c r="F12" s="935"/>
      <c r="J12" s="47"/>
    </row>
    <row r="13" spans="2:19" ht="36.75" customHeight="1">
      <c r="B13" s="1164"/>
      <c r="C13" s="924" t="s">
        <v>1761</v>
      </c>
      <c r="D13" s="925">
        <f ca="1">ROUND(SUMIFS(CostTrack[Value],CostTrack[Holdback (Y/N/R)],"&lt;&gt;Release"),2)</f>
        <v>182727345.40000001</v>
      </c>
      <c r="E13" s="934"/>
      <c r="F13" s="934"/>
      <c r="G13" s="934"/>
      <c r="H13" s="934"/>
      <c r="I13" s="934"/>
      <c r="J13" s="47"/>
    </row>
    <row r="14" spans="2:19" ht="36.75" customHeight="1">
      <c r="B14" s="1164"/>
      <c r="C14" s="924" t="s">
        <v>1762</v>
      </c>
      <c r="D14" s="942" cm="1">
        <f t="array" aca="1" ref="D14" ca="1">ROUND(SUM(SUMIFS(CostTrack[Value], CostTrack[Holdback (Y/N/R)], "&lt;&gt;Release", CostTrack[Status], {"Hold","Reviewing"})),2)</f>
        <v>0</v>
      </c>
      <c r="E14" s="934"/>
      <c r="F14" s="934"/>
      <c r="G14" s="934"/>
      <c r="H14" s="934"/>
      <c r="I14" s="934"/>
      <c r="J14" s="47"/>
    </row>
    <row r="15" spans="2:19" ht="36.75" customHeight="1">
      <c r="B15" s="1164"/>
      <c r="C15" s="924" t="s">
        <v>1763</v>
      </c>
      <c r="D15" s="925" cm="1">
        <f t="array" aca="1" ref="D15" ca="1">ROUND(SUMPRODUCT(CostTrack[Value]*--((CostTrack[Release Date (CMS)]="")+(CostTrack[Fiscal Period]="")&gt;0)*--(CostTrack[Holdback (Y/N/R)]&lt;&gt;"Release")),2)</f>
        <v>0</v>
      </c>
      <c r="E15" s="934"/>
      <c r="F15" s="934"/>
      <c r="G15" s="934"/>
      <c r="H15" s="934"/>
      <c r="I15" s="934"/>
      <c r="J15" s="47"/>
    </row>
    <row r="16" spans="2:19" ht="36.75" customHeight="1">
      <c r="B16" s="1164"/>
      <c r="C16" s="924" t="s">
        <v>1764</v>
      </c>
      <c r="D16" s="925">
        <f ca="1">ROUND(SUM(VendorList[Expenditures to Date]),2)</f>
        <v>182727345.40000001</v>
      </c>
      <c r="E16" s="931" t="s">
        <v>1765</v>
      </c>
      <c r="F16" s="932" t="str">
        <f ca="1">IF(ABS(AuditVendInvValVar) &lt; 1, "Yes", "No")</f>
        <v>Yes</v>
      </c>
      <c r="G16" s="925">
        <f ca="1">AuditExpVendor-AuditInvoiceValNoRelease</f>
        <v>0</v>
      </c>
      <c r="J16" s="933"/>
    </row>
    <row r="17" spans="2:12" ht="36.75" customHeight="1">
      <c r="B17" s="1164"/>
      <c r="C17" s="924" t="s">
        <v>1766</v>
      </c>
      <c r="D17" s="925">
        <f ca="1">ROUND(SUM(BudgetTrack[Expenditures]),2)</f>
        <v>182727345.40000001</v>
      </c>
      <c r="E17" s="931" t="s">
        <v>1767</v>
      </c>
      <c r="F17" s="932" t="str">
        <f ca="1">IF(ABS(AuditBgtTrackInvValVar) &lt; 1, "Yes", "No")</f>
        <v>Yes</v>
      </c>
      <c r="G17" s="925">
        <f ca="1">AuditExpBgtTrack-AuditExpVendor</f>
        <v>0</v>
      </c>
      <c r="J17" s="933"/>
    </row>
    <row r="18" spans="2:12" ht="36.75" customHeight="1">
      <c r="B18" s="1164"/>
      <c r="C18" s="924" t="s">
        <v>1768</v>
      </c>
      <c r="D18" s="925">
        <f ca="1">ROUND(SUM(EAC[Expenditures to Date]),2)</f>
        <v>182727345.40000001</v>
      </c>
      <c r="E18" s="931" t="s">
        <v>1769</v>
      </c>
      <c r="F18" s="932" t="str">
        <f ca="1">IF(ABS(AuditEACInvValVar) &lt; 1, "Yes", "No")</f>
        <v>Yes</v>
      </c>
      <c r="G18" s="925">
        <f ca="1">AuditExpEAC-AuditExpVendor</f>
        <v>0</v>
      </c>
      <c r="J18" s="933"/>
    </row>
    <row r="19" spans="2:12" ht="36.75" customHeight="1">
      <c r="B19" s="1164"/>
      <c r="C19" s="924" t="s">
        <v>1770</v>
      </c>
      <c r="D19" s="925">
        <f ca="1">ROUND(SUM(BudgetDetails[Expenditures to Date]),2)</f>
        <v>182727345.40000001</v>
      </c>
      <c r="E19" s="931" t="s">
        <v>1771</v>
      </c>
      <c r="F19" s="932" t="str">
        <f ca="1">IF(ABS(AuditBgtDetInvValVar) &lt; 1, "Yes", "No")</f>
        <v>Yes</v>
      </c>
      <c r="G19" s="925">
        <f ca="1">AuditExpBgtDetails-AuditInvoiceValNoRelease</f>
        <v>0</v>
      </c>
      <c r="J19" s="933"/>
    </row>
    <row r="20" spans="2:12" ht="8.85" customHeight="1">
      <c r="C20" s="941"/>
      <c r="D20" s="934"/>
      <c r="E20" s="934"/>
      <c r="F20" s="935"/>
      <c r="H20" s="421"/>
      <c r="I20" s="421"/>
      <c r="J20" s="349"/>
      <c r="K20"/>
    </row>
    <row r="21" spans="2:12" ht="36.75" customHeight="1">
      <c r="B21" s="1164" t="s">
        <v>1772</v>
      </c>
      <c r="C21" s="924" t="s">
        <v>1773</v>
      </c>
      <c r="D21" s="925">
        <f ca="1">IF(DeliveryMethod="Design Bid Build",ROUND(SUMIF(BudgetTrack[Secondary Category],"Prime Contractor",BudgetTrack[Approved Changes]),2),IF(DeliveryMethod="Design Build",ROUND(SUMIF(BudgetTrack[Secondary Category],"Design Builder",BudgetTrack[Approved Changes]),2),"N/A"))</f>
        <v>14745298.42</v>
      </c>
      <c r="E21" s="1166" t="s">
        <v>1774</v>
      </c>
      <c r="F21" s="943" t="str">
        <f ca="1">IF(AND(INDEX(PrimContID[Contract ID],1)&lt;&gt;"", INDEX(PrimContID[Contract ID],1)&lt;&gt;"--", AuditPrimeChgTracking&lt;&gt;"N/A", AuditPrimeCATracking&lt;&gt;"N/A"),IF(ABS(AuditPrimeChgVar) &lt; 1,"Yes", "No"),"N/A")</f>
        <v>Yes</v>
      </c>
      <c r="G21" s="925">
        <f ca="1">IF(AND(AuditPrimeChgTracking&lt;&gt;"N/A", AuditPrimeCATracking&lt;&gt;"N/A"),AuditPrimeCATracking-AuditPrimeChgTracking,0)</f>
        <v>0</v>
      </c>
      <c r="H21" s="1"/>
      <c r="I21" s="1"/>
      <c r="J21" s="933"/>
    </row>
    <row r="22" spans="2:12" ht="36.75" customHeight="1">
      <c r="B22" s="1164"/>
      <c r="C22" s="924" t="s">
        <v>1775</v>
      </c>
      <c r="D22" s="925" cm="1">
        <f t="array" ref="D22">IF(DeliveryMethod&lt;&gt;"Construction Management", ROUND(INDEX(CATrackList, ROWS(CATrackList), MATCH("Change Order Value", INDEX(CATrackList,1,), 0)),2),"N/A")</f>
        <v>14745298.42</v>
      </c>
      <c r="E22" s="1166"/>
      <c r="F22" s="1"/>
      <c r="G22" s="527"/>
    </row>
    <row r="23" spans="2:12" ht="8.85" customHeight="1">
      <c r="C23" s="941"/>
      <c r="D23" s="934"/>
      <c r="E23" s="934"/>
      <c r="F23" s="935"/>
    </row>
    <row r="24" spans="2:12" ht="36.75" customHeight="1">
      <c r="B24" s="1167" t="s">
        <v>1776</v>
      </c>
      <c r="C24" s="924" t="s">
        <v>1777</v>
      </c>
      <c r="D24" s="925">
        <f ca="1">ROUND(SUM(VendorList[Current Commitment]),2)</f>
        <v>185590901.88</v>
      </c>
      <c r="E24" s="934"/>
      <c r="F24" s="935"/>
    </row>
    <row r="25" spans="2:12" ht="36.75" customHeight="1">
      <c r="B25" s="1168"/>
      <c r="C25" s="924" t="s">
        <v>1778</v>
      </c>
      <c r="D25" s="925">
        <f ca="1">ROUND(SUM(EAC[Current Commitment]),2)</f>
        <v>185590901.88</v>
      </c>
      <c r="E25" s="931" t="s">
        <v>1779</v>
      </c>
      <c r="F25" s="932" t="str">
        <f ca="1">IF(ABS(AuditEACVendCommVar) &lt; 1, "Yes", "No")</f>
        <v>Yes</v>
      </c>
      <c r="G25" s="925">
        <f ca="1">AuditCommitEAC-AuditCommitVendListing</f>
        <v>0</v>
      </c>
      <c r="J25" s="933"/>
    </row>
    <row r="26" spans="2:12" ht="36.75" customHeight="1">
      <c r="B26" s="1169"/>
      <c r="C26" s="924" t="s">
        <v>1780</v>
      </c>
      <c r="D26" s="925">
        <f ca="1">ROUND(SUM(BudgetDetails[Commitments to Date]),2)</f>
        <v>185590901.88</v>
      </c>
      <c r="E26" s="931" t="s">
        <v>1781</v>
      </c>
      <c r="F26" s="932" t="str">
        <f ca="1">IF(ABS(AuditBgtDetVendCommVar) &lt; 1, "Yes", "No")</f>
        <v>Yes</v>
      </c>
      <c r="G26" s="925">
        <f ca="1">AuditCommitBgtDetails-AuditCommitVendListing</f>
        <v>0</v>
      </c>
      <c r="J26" s="933"/>
    </row>
    <row r="27" spans="2:12" ht="8.85" customHeight="1">
      <c r="B27"/>
      <c r="C27"/>
      <c r="D27"/>
      <c r="E27"/>
      <c r="F27"/>
      <c r="G27"/>
    </row>
    <row r="28" spans="2:12" ht="36.75" customHeight="1">
      <c r="B28" s="1170" t="s">
        <v>1559</v>
      </c>
      <c r="C28" s="924" t="s">
        <v>1782</v>
      </c>
      <c r="D28" s="936" cm="1">
        <f t="array" aca="1" ref="D28" ca="1">ROUND(INDEX(CFlowMain, MATCH("Total", INDEX(CFlowMain,,1), 0), COLUMNS(CFlowMain)),2)</f>
        <v>191099999.88</v>
      </c>
      <c r="E28" s="944" t="s">
        <v>1783</v>
      </c>
      <c r="F28" s="945" t="str">
        <f ca="1">IF(ABS(AuditCFlowEACVar) &lt; 1, "Yes", "No")</f>
        <v>Yes</v>
      </c>
      <c r="G28" s="946">
        <f ca="1">AuditTotalCashflow-AuditEAC</f>
        <v>0</v>
      </c>
      <c r="H28" s="947" t="s">
        <v>1755</v>
      </c>
      <c r="I28" s="938"/>
      <c r="J28" s="933"/>
      <c r="K28" s="767"/>
    </row>
    <row r="29" spans="2:12" ht="36.75" customHeight="1">
      <c r="B29" s="1170"/>
      <c r="C29" s="924" t="s">
        <v>1784</v>
      </c>
      <c r="D29" s="925">
        <f ca="1">ROUND(INDEX(CFlowMain, MATCH("Total", INDEX(CFlowMain,,1), 0), MATCH("Unallocated 
Cashflow", INDEX(CFlowMain,1,), 0)),2)</f>
        <v>0</v>
      </c>
      <c r="E29" s="948" t="s">
        <v>1785</v>
      </c>
      <c r="F29" s="932" t="str">
        <f ca="1">IF(AuditUnallocCashflow=0,"Yes","No")</f>
        <v>Yes</v>
      </c>
      <c r="G29"/>
      <c r="J29" s="933"/>
    </row>
    <row r="30" spans="2:12" ht="36.75" customHeight="1">
      <c r="B30" s="1171"/>
      <c r="C30" s="924" t="s">
        <v>1786</v>
      </c>
      <c r="D30" s="949">
        <f ca="1">IF(INDEX(CFlowMain, MATCH("DATE of MANUAL Copy+Paste from CF Totals Row", INDEX(CFlowMain,,15), 0), MATCH("Total Current Year Forecasts", INDEX(CFlowMain,1,), 0))="", "", INDEX(CFlowMain, MATCH("DATE of MANUAL Copy+Paste from CF Totals Row", INDEX(CFlowMain,,15), 0), MATCH("Total Current Year Forecasts", INDEX(CFlowMain,1,), 0)))</f>
        <v>45561</v>
      </c>
      <c r="E30" s="931" t="s">
        <v>1787</v>
      </c>
      <c r="F30" s="932" t="str">
        <f ca="1">IF(AND(AuditBaseDate&gt;TODAY()-365,AuditBaseDate&lt;&gt;""),"Yes","No")</f>
        <v>Yes</v>
      </c>
      <c r="G30"/>
      <c r="J30" s="933"/>
      <c r="K30" s="224"/>
      <c r="L30" s="122"/>
    </row>
    <row r="31" spans="2:12" ht="8.85" customHeight="1">
      <c r="C31" s="941"/>
      <c r="D31" s="934"/>
      <c r="E31" s="934"/>
      <c r="F31" s="935"/>
    </row>
    <row r="32" spans="2:12" ht="27" customHeight="1">
      <c r="B32" s="1167" t="s">
        <v>1788</v>
      </c>
      <c r="C32" s="924" t="s">
        <v>1789</v>
      </c>
      <c r="D32" s="925" cm="1">
        <f t="array" aca="1" ref="D32" ca="1">ROUND(SUM(SUMIF(BudgetTrack[Secondary Category],{"*Contingency*"},BudgetTrack[Estimate At Completion])),2)</f>
        <v>5329223</v>
      </c>
      <c r="E32" s="924" t="s">
        <v>1790</v>
      </c>
      <c r="F32" s="950">
        <f ca="1">IF(AuditTotalCont&lt;&gt;0,AuditTotalCont/AuditCommitVendListing,0)</f>
        <v>2.8714893596701131E-2</v>
      </c>
      <c r="G32" s="951"/>
      <c r="H32" s="419"/>
      <c r="I32" s="419"/>
      <c r="J32" s="933"/>
    </row>
    <row r="33" spans="2:11" ht="27" customHeight="1">
      <c r="B33" s="1168"/>
      <c r="C33" s="924" t="s">
        <v>1791</v>
      </c>
      <c r="D33" s="925" cm="1">
        <f t="array" aca="1" ref="D33" ca="1">ROUND(SUM(SUMIF(BudgetTrack[Secondary Category],{"*Allowance*"},BudgetTrack[Estimate At Completion])),2)</f>
        <v>0</v>
      </c>
      <c r="E33" s="924" t="s">
        <v>1792</v>
      </c>
      <c r="F33" s="950">
        <f ca="1">IF(AuditTotalAllow&lt;&gt;0,AuditTotalAllow/AuditCommitVendListing,0)</f>
        <v>0</v>
      </c>
      <c r="J33" s="933"/>
    </row>
    <row r="34" spans="2:11" ht="27" customHeight="1">
      <c r="B34" s="1168"/>
      <c r="C34" s="924" t="s">
        <v>1793</v>
      </c>
      <c r="D34" s="925" cm="1">
        <f t="array" aca="1" ref="D34" ca="1">ROUND(SUM(SUMIF(BudgetTrack[Secondary Category],{"*Management*"},BudgetTrack[Estimate At Completion])),2)</f>
        <v>0</v>
      </c>
      <c r="E34" s="924" t="s">
        <v>1794</v>
      </c>
      <c r="F34" s="950">
        <f ca="1">IF(AuditTotalMgtRsv&lt;&gt;0,AuditTotalMgtRsv/AuditCommitVendListing,0)</f>
        <v>0</v>
      </c>
      <c r="G34" s="951"/>
      <c r="J34" s="933"/>
    </row>
    <row r="35" spans="2:11" ht="27" customHeight="1">
      <c r="B35" s="1168"/>
      <c r="C35" s="924" t="s">
        <v>1795</v>
      </c>
      <c r="D35" s="925">
        <f ca="1">ROUND(SUM(AuditTotalCont, AuditTotalAllow, AuditTotalMgtRsv),2)</f>
        <v>5329223</v>
      </c>
      <c r="E35" s="924" t="s">
        <v>1796</v>
      </c>
      <c r="F35" s="952">
        <f ca="1">IF(AuditTotalSurplus&lt;&gt;0,AuditTotalSurplus/AuditCommitVendListing,0)</f>
        <v>2.8714893596701131E-2</v>
      </c>
      <c r="G35" s="951"/>
      <c r="H35" s="953"/>
      <c r="I35" s="953"/>
      <c r="J35" s="933"/>
      <c r="K35" s="419"/>
    </row>
    <row r="36" spans="2:11" ht="36.75" customHeight="1">
      <c r="B36" s="1169"/>
      <c r="C36" s="924" t="s">
        <v>1797</v>
      </c>
      <c r="D36" s="518">
        <f ca="1">IF(AuditEAC=0, "N/A", IF((AuditEAC-AuditInvoiceValNoRelease)=0,"N/A", AuditTotalSurplus/(AuditEAC-AuditTotalMgtRsv-AuditInvoiceValNoRelease)))</f>
        <v>0.63650339479911355</v>
      </c>
      <c r="E36" s="954" t="s">
        <v>1798</v>
      </c>
      <c r="F36" s="955" t="s">
        <v>1755</v>
      </c>
      <c r="G36" s="956"/>
      <c r="H36" s="54"/>
      <c r="I36" s="54"/>
      <c r="J36" s="933"/>
      <c r="K36" s="54"/>
    </row>
    <row r="37" spans="2:11" ht="8.85" customHeight="1">
      <c r="C37" s="941"/>
      <c r="D37" s="934"/>
      <c r="E37" s="934"/>
      <c r="F37"/>
    </row>
    <row r="38" spans="2:11" ht="27" customHeight="1">
      <c r="B38" s="1164" t="s">
        <v>1799</v>
      </c>
      <c r="C38" s="924" t="s">
        <v>1800</v>
      </c>
      <c r="D38" s="957">
        <f ca="1">IF(SummPrimCat[[#Totals],[Expenditures to Date]]&lt;&gt;0,SummPrimCat[[#Totals],[Expenditures to Date]]/AuditTAFValue,"")</f>
        <v>0.9561870507587652</v>
      </c>
      <c r="E38" s="934"/>
      <c r="F38" s="958"/>
      <c r="G38" s="54"/>
      <c r="H38" s="1"/>
      <c r="I38" s="1"/>
      <c r="J38" s="341"/>
      <c r="K38" s="54"/>
    </row>
    <row r="39" spans="2:11" ht="27" customHeight="1">
      <c r="B39" s="1164"/>
      <c r="C39" s="924" t="s">
        <v>1801</v>
      </c>
      <c r="D39" s="518">
        <f ca="1">IF(SummPrimCat[[#Totals],[Expenditures to Date]]&lt;&gt;0,SummPrimCat[[#Totals],[Expenditures to Date]]/SummPrimCat[[#Totals],[Estimate at Completion]],"")</f>
        <v>0.95618705135919635</v>
      </c>
      <c r="E39" s="934"/>
      <c r="F39" s="958"/>
      <c r="G39" s="54"/>
      <c r="H39" s="1"/>
      <c r="I39" s="1"/>
      <c r="J39" s="959"/>
      <c r="K39" s="54"/>
    </row>
    <row r="40" spans="2:11" ht="8.85" customHeight="1">
      <c r="C40" s="189"/>
      <c r="J40" s="960"/>
    </row>
    <row r="41" spans="2:11" ht="27" customHeight="1">
      <c r="B41" s="482" t="s">
        <v>1802</v>
      </c>
      <c r="C41" s="924" t="s">
        <v>1803</v>
      </c>
      <c r="D41" s="539">
        <f ca="1">COUNTIFS(VendorList[End],"&lt;"&amp;TODAY()+31, VendorList[Status],"Open")</f>
        <v>0</v>
      </c>
      <c r="J41" s="961"/>
    </row>
    <row r="42" spans="2:11" ht="8.25" customHeight="1">
      <c r="J42" s="960"/>
    </row>
    <row r="43" spans="2:11" ht="27" customHeight="1">
      <c r="B43" s="1167" t="s">
        <v>1804</v>
      </c>
      <c r="C43" s="924" t="s">
        <v>1805</v>
      </c>
      <c r="D43" s="539" cm="1">
        <f t="array" aca="1" ref="D43" ca="1">SUMPRODUCT(--(VendorList[Vendor / Org.]&lt;&gt;""),--(VendorList[PA ID]=""))-1</f>
        <v>0</v>
      </c>
      <c r="J43" s="960"/>
    </row>
    <row r="44" spans="2:11" ht="27" customHeight="1">
      <c r="B44" s="1168"/>
      <c r="C44" s="924" t="s">
        <v>1806</v>
      </c>
      <c r="D44" s="539" cm="1">
        <f t="array" aca="1" ref="D44" ca="1">SUMPRODUCT(--(VendorList[Vendor / Org.]=""),--(VendorList[PA ID]&lt;&gt;""))</f>
        <v>0</v>
      </c>
      <c r="J44" s="960"/>
    </row>
    <row r="45" spans="2:11" ht="27" customHeight="1">
      <c r="B45" s="1169"/>
      <c r="C45" s="924" t="s">
        <v>1807</v>
      </c>
      <c r="D45" s="539">
        <f ca="1">COUNTIF(VendorList[EAC], "Does Not Exist")</f>
        <v>0</v>
      </c>
      <c r="J45" s="960"/>
    </row>
    <row r="46" spans="2:11" ht="8.25" customHeight="1">
      <c r="C46" s="421"/>
      <c r="D46" s="419"/>
      <c r="J46" s="960"/>
    </row>
    <row r="47" spans="2:11" ht="27" customHeight="1">
      <c r="B47" s="1164" t="s">
        <v>1808</v>
      </c>
      <c r="C47" s="924" t="s">
        <v>1809</v>
      </c>
      <c r="D47" s="539" cm="1">
        <f t="array" aca="1" ref="D47" ca="1">ROUND(SUM(IF(COUNTIF(BudgetTrack[PA ID],BudgetTrack[PA ID])&gt;1, 1/COUNTIF(BudgetTrack[PA ID],BudgetTrack[PA ID]),0))-1,0)</f>
        <v>0</v>
      </c>
      <c r="J47"/>
    </row>
    <row r="48" spans="2:11" ht="36.75" customHeight="1">
      <c r="B48" s="1164"/>
      <c r="C48" s="924" t="s">
        <v>1810</v>
      </c>
      <c r="D48" s="539" t="str" cm="1">
        <f t="array" aca="1" ref="D48" ca="1" xml:space="preserve">      IF(SUM(_xlfn.ISFORMULA(INDEX(CFlowMain,1,))*
        (INDEX(CFlowMain,1,)&lt;&gt;0)*
        (INDEX(CFlowMain,1,)&lt;EOMONTH(TODAY(),-1))*
        _xlfn.ISFORMULA(INDEX(CFlowMain,,1))*
        (INDEX(CFlowMain,,1)&lt;&gt;0)*
        (ROW(INDEX(CFlowMain,,1))&lt;MATCH("Total",INDEX(CFlowMain,,1),0))*
        _xlfn.ISFORMULA(CFlowMain)) =
        SUM(_xlfn.ISFORMULA(INDEX(CFlowMain,1,))*
        (INDEX(CFlowMain,1,)&lt;&gt;0)*
        (INDEX(CFlowMain,1,)&lt;EOMONTH(TODAY(),-1))*
        _xlfn.ISFORMULA(INDEX(CFlowMain,,1))*
        (INDEX(CFlowMain,,1)&lt;&gt;0)*
        (ROW(INDEX(CFlowMain,,1))&lt;MATCH("Total",INDEX(CFlowMain,,1),0))
        ), "Yes", "No")</f>
        <v>No</v>
      </c>
    </row>
  </sheetData>
  <sheetProtection algorithmName="SHA-512" hashValue="tPZ1a03yuaRmQ4Pg+JzYbH9NtX6pG/b2qgNr3HO6qR9mwuxOh0AD7Qcfn4jRX/BTTKXZYMsKGXJPOu8kD4cB5Q==" saltValue="8kexWpB/2sh8SC/2z6zDWA==" spinCount="100000" sheet="1" objects="1" scenarios="1"/>
  <mergeCells count="12">
    <mergeCell ref="B47:B48"/>
    <mergeCell ref="B3:G3"/>
    <mergeCell ref="B4:B6"/>
    <mergeCell ref="B8:B10"/>
    <mergeCell ref="B12:B19"/>
    <mergeCell ref="B21:B22"/>
    <mergeCell ref="E21:E22"/>
    <mergeCell ref="B24:B26"/>
    <mergeCell ref="B28:B30"/>
    <mergeCell ref="B32:B36"/>
    <mergeCell ref="B38:B39"/>
    <mergeCell ref="B43:B45"/>
  </mergeCells>
  <conditionalFormatting sqref="F28 F5:F6">
    <cfRule type="cellIs" dxfId="198" priority="15" operator="equal">
      <formula>"no"</formula>
    </cfRule>
    <cfRule type="cellIs" dxfId="197" priority="16" operator="equal">
      <formula>"yes"</formula>
    </cfRule>
  </conditionalFormatting>
  <conditionalFormatting sqref="F21 F25:F26">
    <cfRule type="cellIs" dxfId="196" priority="5" operator="equal">
      <formula>"N/A"</formula>
    </cfRule>
    <cfRule type="cellIs" dxfId="195" priority="13" operator="equal">
      <formula>"no"</formula>
    </cfRule>
    <cfRule type="cellIs" dxfId="194" priority="14" operator="equal">
      <formula>"yes"</formula>
    </cfRule>
  </conditionalFormatting>
  <conditionalFormatting sqref="F8:F10">
    <cfRule type="cellIs" dxfId="193" priority="11" operator="equal">
      <formula>"no"</formula>
    </cfRule>
    <cfRule type="cellIs" dxfId="192" priority="12" operator="equal">
      <formula>"yes"</formula>
    </cfRule>
  </conditionalFormatting>
  <conditionalFormatting sqref="F29:F30">
    <cfRule type="cellIs" dxfId="191" priority="9" operator="equal">
      <formula>"no"</formula>
    </cfRule>
    <cfRule type="cellIs" dxfId="190" priority="10" operator="equal">
      <formula>"yes"</formula>
    </cfRule>
  </conditionalFormatting>
  <conditionalFormatting sqref="F16:F19">
    <cfRule type="cellIs" dxfId="189" priority="7" operator="equal">
      <formula>"no"</formula>
    </cfRule>
    <cfRule type="cellIs" dxfId="188" priority="8" operator="equal">
      <formula>"yes"</formula>
    </cfRule>
  </conditionalFormatting>
  <conditionalFormatting sqref="D41 D43:D45">
    <cfRule type="cellIs" dxfId="187" priority="6" operator="greaterThan">
      <formula>0</formula>
    </cfRule>
  </conditionalFormatting>
  <conditionalFormatting sqref="D47">
    <cfRule type="cellIs" dxfId="186" priority="4" operator="greaterThan">
      <formula>0</formula>
    </cfRule>
  </conditionalFormatting>
  <conditionalFormatting sqref="D48">
    <cfRule type="cellIs" dxfId="185" priority="3" operator="equal">
      <formula>"Yes"</formula>
    </cfRule>
  </conditionalFormatting>
  <conditionalFormatting sqref="D48">
    <cfRule type="cellIs" dxfId="184" priority="2" operator="equal">
      <formula>"No"</formula>
    </cfRule>
  </conditionalFormatting>
  <conditionalFormatting sqref="D14:D15">
    <cfRule type="cellIs" dxfId="183" priority="1" operator="notEqual">
      <formula>0</formula>
    </cfRule>
  </conditionalFormatting>
  <pageMargins left="0.23622047244094491" right="0.23622047244094491" top="0.35433070866141736" bottom="0.35433070866141736" header="0.31496062992125984" footer="0.31496062992125984"/>
  <pageSetup scale="41" fitToHeight="4" orientation="landscape" r:id="rId1"/>
  <headerFooter>
    <oddFooter>&amp;L&amp;1#&amp;"Calibri"&amp;11&amp;K000000Classification: Protected A</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4" tint="0.39997558519241921"/>
    <pageSetUpPr fitToPage="1"/>
  </sheetPr>
  <dimension ref="A1:AF307"/>
  <sheetViews>
    <sheetView zoomScale="110" zoomScaleNormal="110" zoomScaleSheetLayoutView="100" workbookViewId="0">
      <selection activeCell="H51" sqref="H51"/>
    </sheetView>
  </sheetViews>
  <sheetFormatPr defaultRowHeight="14.1" outlineLevelRow="1"/>
  <cols>
    <col min="1" max="1" width="1.42578125" style="1172" customWidth="1"/>
    <col min="2" max="2" width="10.42578125" style="799" customWidth="1"/>
    <col min="3" max="3" width="8.42578125" style="799" customWidth="1"/>
    <col min="4" max="4" width="30.42578125" style="799" customWidth="1"/>
    <col min="5" max="5" width="1.42578125" style="799" customWidth="1"/>
    <col min="6" max="8" width="20.42578125" style="799" customWidth="1"/>
    <col min="9" max="9" width="19.42578125" style="799" customWidth="1"/>
    <col min="10" max="10" width="1.42578125" style="799" customWidth="1"/>
    <col min="11" max="11" width="18.42578125" style="799" customWidth="1"/>
    <col min="12" max="12" width="2.42578125" style="799" customWidth="1"/>
    <col min="13" max="13" width="6.28515625" style="799" hidden="1" customWidth="1"/>
    <col min="14" max="14" width="15.42578125" style="799" customWidth="1"/>
    <col min="15" max="28" width="8.7109375" style="799"/>
    <col min="29" max="29" width="65.42578125" style="799" customWidth="1"/>
    <col min="30" max="257" width="8.7109375" style="799"/>
    <col min="258" max="258" width="10.42578125" style="799" customWidth="1"/>
    <col min="259" max="259" width="8.42578125" style="799" customWidth="1"/>
    <col min="260" max="260" width="23.42578125" style="799" customWidth="1"/>
    <col min="261" max="261" width="1.42578125" style="799" customWidth="1"/>
    <col min="262" max="264" width="20.42578125" style="799" customWidth="1"/>
    <col min="265" max="265" width="19.42578125" style="799" customWidth="1"/>
    <col min="266" max="266" width="1.42578125" style="799" customWidth="1"/>
    <col min="267" max="268" width="18.42578125" style="799" customWidth="1"/>
    <col min="269" max="269" width="6.42578125" style="799" customWidth="1"/>
    <col min="270" max="270" width="19.42578125" style="799" customWidth="1"/>
    <col min="271" max="284" width="8.7109375" style="799"/>
    <col min="285" max="285" width="65.42578125" style="799" customWidth="1"/>
    <col min="286" max="513" width="8.7109375" style="799"/>
    <col min="514" max="514" width="10.42578125" style="799" customWidth="1"/>
    <col min="515" max="515" width="8.42578125" style="799" customWidth="1"/>
    <col min="516" max="516" width="23.42578125" style="799" customWidth="1"/>
    <col min="517" max="517" width="1.42578125" style="799" customWidth="1"/>
    <col min="518" max="520" width="20.42578125" style="799" customWidth="1"/>
    <col min="521" max="521" width="19.42578125" style="799" customWidth="1"/>
    <col min="522" max="522" width="1.42578125" style="799" customWidth="1"/>
    <col min="523" max="524" width="18.42578125" style="799" customWidth="1"/>
    <col min="525" max="525" width="6.42578125" style="799" customWidth="1"/>
    <col min="526" max="526" width="19.42578125" style="799" customWidth="1"/>
    <col min="527" max="540" width="8.7109375" style="799"/>
    <col min="541" max="541" width="65.42578125" style="799" customWidth="1"/>
    <col min="542" max="769" width="8.7109375" style="799"/>
    <col min="770" max="770" width="10.42578125" style="799" customWidth="1"/>
    <col min="771" max="771" width="8.42578125" style="799" customWidth="1"/>
    <col min="772" max="772" width="23.42578125" style="799" customWidth="1"/>
    <col min="773" max="773" width="1.42578125" style="799" customWidth="1"/>
    <col min="774" max="776" width="20.42578125" style="799" customWidth="1"/>
    <col min="777" max="777" width="19.42578125" style="799" customWidth="1"/>
    <col min="778" max="778" width="1.42578125" style="799" customWidth="1"/>
    <col min="779" max="780" width="18.42578125" style="799" customWidth="1"/>
    <col min="781" max="781" width="6.42578125" style="799" customWidth="1"/>
    <col min="782" max="782" width="19.42578125" style="799" customWidth="1"/>
    <col min="783" max="796" width="8.7109375" style="799"/>
    <col min="797" max="797" width="65.42578125" style="799" customWidth="1"/>
    <col min="798" max="1025" width="8.7109375" style="799"/>
    <col min="1026" max="1026" width="10.42578125" style="799" customWidth="1"/>
    <col min="1027" max="1027" width="8.42578125" style="799" customWidth="1"/>
    <col min="1028" max="1028" width="23.42578125" style="799" customWidth="1"/>
    <col min="1029" max="1029" width="1.42578125" style="799" customWidth="1"/>
    <col min="1030" max="1032" width="20.42578125" style="799" customWidth="1"/>
    <col min="1033" max="1033" width="19.42578125" style="799" customWidth="1"/>
    <col min="1034" max="1034" width="1.42578125" style="799" customWidth="1"/>
    <col min="1035" max="1036" width="18.42578125" style="799" customWidth="1"/>
    <col min="1037" max="1037" width="6.42578125" style="799" customWidth="1"/>
    <col min="1038" max="1038" width="19.42578125" style="799" customWidth="1"/>
    <col min="1039" max="1052" width="8.7109375" style="799"/>
    <col min="1053" max="1053" width="65.42578125" style="799" customWidth="1"/>
    <col min="1054" max="1281" width="8.7109375" style="799"/>
    <col min="1282" max="1282" width="10.42578125" style="799" customWidth="1"/>
    <col min="1283" max="1283" width="8.42578125" style="799" customWidth="1"/>
    <col min="1284" max="1284" width="23.42578125" style="799" customWidth="1"/>
    <col min="1285" max="1285" width="1.42578125" style="799" customWidth="1"/>
    <col min="1286" max="1288" width="20.42578125" style="799" customWidth="1"/>
    <col min="1289" max="1289" width="19.42578125" style="799" customWidth="1"/>
    <col min="1290" max="1290" width="1.42578125" style="799" customWidth="1"/>
    <col min="1291" max="1292" width="18.42578125" style="799" customWidth="1"/>
    <col min="1293" max="1293" width="6.42578125" style="799" customWidth="1"/>
    <col min="1294" max="1294" width="19.42578125" style="799" customWidth="1"/>
    <col min="1295" max="1308" width="8.7109375" style="799"/>
    <col min="1309" max="1309" width="65.42578125" style="799" customWidth="1"/>
    <col min="1310" max="1537" width="8.7109375" style="799"/>
    <col min="1538" max="1538" width="10.42578125" style="799" customWidth="1"/>
    <col min="1539" max="1539" width="8.42578125" style="799" customWidth="1"/>
    <col min="1540" max="1540" width="23.42578125" style="799" customWidth="1"/>
    <col min="1541" max="1541" width="1.42578125" style="799" customWidth="1"/>
    <col min="1542" max="1544" width="20.42578125" style="799" customWidth="1"/>
    <col min="1545" max="1545" width="19.42578125" style="799" customWidth="1"/>
    <col min="1546" max="1546" width="1.42578125" style="799" customWidth="1"/>
    <col min="1547" max="1548" width="18.42578125" style="799" customWidth="1"/>
    <col min="1549" max="1549" width="6.42578125" style="799" customWidth="1"/>
    <col min="1550" max="1550" width="19.42578125" style="799" customWidth="1"/>
    <col min="1551" max="1564" width="8.7109375" style="799"/>
    <col min="1565" max="1565" width="65.42578125" style="799" customWidth="1"/>
    <col min="1566" max="1793" width="8.7109375" style="799"/>
    <col min="1794" max="1794" width="10.42578125" style="799" customWidth="1"/>
    <col min="1795" max="1795" width="8.42578125" style="799" customWidth="1"/>
    <col min="1796" max="1796" width="23.42578125" style="799" customWidth="1"/>
    <col min="1797" max="1797" width="1.42578125" style="799" customWidth="1"/>
    <col min="1798" max="1800" width="20.42578125" style="799" customWidth="1"/>
    <col min="1801" max="1801" width="19.42578125" style="799" customWidth="1"/>
    <col min="1802" max="1802" width="1.42578125" style="799" customWidth="1"/>
    <col min="1803" max="1804" width="18.42578125" style="799" customWidth="1"/>
    <col min="1805" max="1805" width="6.42578125" style="799" customWidth="1"/>
    <col min="1806" max="1806" width="19.42578125" style="799" customWidth="1"/>
    <col min="1807" max="1820" width="8.7109375" style="799"/>
    <col min="1821" max="1821" width="65.42578125" style="799" customWidth="1"/>
    <col min="1822" max="2049" width="8.7109375" style="799"/>
    <col min="2050" max="2050" width="10.42578125" style="799" customWidth="1"/>
    <col min="2051" max="2051" width="8.42578125" style="799" customWidth="1"/>
    <col min="2052" max="2052" width="23.42578125" style="799" customWidth="1"/>
    <col min="2053" max="2053" width="1.42578125" style="799" customWidth="1"/>
    <col min="2054" max="2056" width="20.42578125" style="799" customWidth="1"/>
    <col min="2057" max="2057" width="19.42578125" style="799" customWidth="1"/>
    <col min="2058" max="2058" width="1.42578125" style="799" customWidth="1"/>
    <col min="2059" max="2060" width="18.42578125" style="799" customWidth="1"/>
    <col min="2061" max="2061" width="6.42578125" style="799" customWidth="1"/>
    <col min="2062" max="2062" width="19.42578125" style="799" customWidth="1"/>
    <col min="2063" max="2076" width="8.7109375" style="799"/>
    <col min="2077" max="2077" width="65.42578125" style="799" customWidth="1"/>
    <col min="2078" max="2305" width="8.7109375" style="799"/>
    <col min="2306" max="2306" width="10.42578125" style="799" customWidth="1"/>
    <col min="2307" max="2307" width="8.42578125" style="799" customWidth="1"/>
    <col min="2308" max="2308" width="23.42578125" style="799" customWidth="1"/>
    <col min="2309" max="2309" width="1.42578125" style="799" customWidth="1"/>
    <col min="2310" max="2312" width="20.42578125" style="799" customWidth="1"/>
    <col min="2313" max="2313" width="19.42578125" style="799" customWidth="1"/>
    <col min="2314" max="2314" width="1.42578125" style="799" customWidth="1"/>
    <col min="2315" max="2316" width="18.42578125" style="799" customWidth="1"/>
    <col min="2317" max="2317" width="6.42578125" style="799" customWidth="1"/>
    <col min="2318" max="2318" width="19.42578125" style="799" customWidth="1"/>
    <col min="2319" max="2332" width="8.7109375" style="799"/>
    <col min="2333" max="2333" width="65.42578125" style="799" customWidth="1"/>
    <col min="2334" max="2561" width="8.7109375" style="799"/>
    <col min="2562" max="2562" width="10.42578125" style="799" customWidth="1"/>
    <col min="2563" max="2563" width="8.42578125" style="799" customWidth="1"/>
    <col min="2564" max="2564" width="23.42578125" style="799" customWidth="1"/>
    <col min="2565" max="2565" width="1.42578125" style="799" customWidth="1"/>
    <col min="2566" max="2568" width="20.42578125" style="799" customWidth="1"/>
    <col min="2569" max="2569" width="19.42578125" style="799" customWidth="1"/>
    <col min="2570" max="2570" width="1.42578125" style="799" customWidth="1"/>
    <col min="2571" max="2572" width="18.42578125" style="799" customWidth="1"/>
    <col min="2573" max="2573" width="6.42578125" style="799" customWidth="1"/>
    <col min="2574" max="2574" width="19.42578125" style="799" customWidth="1"/>
    <col min="2575" max="2588" width="8.7109375" style="799"/>
    <col min="2589" max="2589" width="65.42578125" style="799" customWidth="1"/>
    <col min="2590" max="2817" width="8.7109375" style="799"/>
    <col min="2818" max="2818" width="10.42578125" style="799" customWidth="1"/>
    <col min="2819" max="2819" width="8.42578125" style="799" customWidth="1"/>
    <col min="2820" max="2820" width="23.42578125" style="799" customWidth="1"/>
    <col min="2821" max="2821" width="1.42578125" style="799" customWidth="1"/>
    <col min="2822" max="2824" width="20.42578125" style="799" customWidth="1"/>
    <col min="2825" max="2825" width="19.42578125" style="799" customWidth="1"/>
    <col min="2826" max="2826" width="1.42578125" style="799" customWidth="1"/>
    <col min="2827" max="2828" width="18.42578125" style="799" customWidth="1"/>
    <col min="2829" max="2829" width="6.42578125" style="799" customWidth="1"/>
    <col min="2830" max="2830" width="19.42578125" style="799" customWidth="1"/>
    <col min="2831" max="2844" width="8.7109375" style="799"/>
    <col min="2845" max="2845" width="65.42578125" style="799" customWidth="1"/>
    <col min="2846" max="3073" width="8.7109375" style="799"/>
    <col min="3074" max="3074" width="10.42578125" style="799" customWidth="1"/>
    <col min="3075" max="3075" width="8.42578125" style="799" customWidth="1"/>
    <col min="3076" max="3076" width="23.42578125" style="799" customWidth="1"/>
    <col min="3077" max="3077" width="1.42578125" style="799" customWidth="1"/>
    <col min="3078" max="3080" width="20.42578125" style="799" customWidth="1"/>
    <col min="3081" max="3081" width="19.42578125" style="799" customWidth="1"/>
    <col min="3082" max="3082" width="1.42578125" style="799" customWidth="1"/>
    <col min="3083" max="3084" width="18.42578125" style="799" customWidth="1"/>
    <col min="3085" max="3085" width="6.42578125" style="799" customWidth="1"/>
    <col min="3086" max="3086" width="19.42578125" style="799" customWidth="1"/>
    <col min="3087" max="3100" width="8.7109375" style="799"/>
    <col min="3101" max="3101" width="65.42578125" style="799" customWidth="1"/>
    <col min="3102" max="3329" width="8.7109375" style="799"/>
    <col min="3330" max="3330" width="10.42578125" style="799" customWidth="1"/>
    <col min="3331" max="3331" width="8.42578125" style="799" customWidth="1"/>
    <col min="3332" max="3332" width="23.42578125" style="799" customWidth="1"/>
    <col min="3333" max="3333" width="1.42578125" style="799" customWidth="1"/>
    <col min="3334" max="3336" width="20.42578125" style="799" customWidth="1"/>
    <col min="3337" max="3337" width="19.42578125" style="799" customWidth="1"/>
    <col min="3338" max="3338" width="1.42578125" style="799" customWidth="1"/>
    <col min="3339" max="3340" width="18.42578125" style="799" customWidth="1"/>
    <col min="3341" max="3341" width="6.42578125" style="799" customWidth="1"/>
    <col min="3342" max="3342" width="19.42578125" style="799" customWidth="1"/>
    <col min="3343" max="3356" width="8.7109375" style="799"/>
    <col min="3357" max="3357" width="65.42578125" style="799" customWidth="1"/>
    <col min="3358" max="3585" width="8.7109375" style="799"/>
    <col min="3586" max="3586" width="10.42578125" style="799" customWidth="1"/>
    <col min="3587" max="3587" width="8.42578125" style="799" customWidth="1"/>
    <col min="3588" max="3588" width="23.42578125" style="799" customWidth="1"/>
    <col min="3589" max="3589" width="1.42578125" style="799" customWidth="1"/>
    <col min="3590" max="3592" width="20.42578125" style="799" customWidth="1"/>
    <col min="3593" max="3593" width="19.42578125" style="799" customWidth="1"/>
    <col min="3594" max="3594" width="1.42578125" style="799" customWidth="1"/>
    <col min="3595" max="3596" width="18.42578125" style="799" customWidth="1"/>
    <col min="3597" max="3597" width="6.42578125" style="799" customWidth="1"/>
    <col min="3598" max="3598" width="19.42578125" style="799" customWidth="1"/>
    <col min="3599" max="3612" width="8.7109375" style="799"/>
    <col min="3613" max="3613" width="65.42578125" style="799" customWidth="1"/>
    <col min="3614" max="3841" width="8.7109375" style="799"/>
    <col min="3842" max="3842" width="10.42578125" style="799" customWidth="1"/>
    <col min="3843" max="3843" width="8.42578125" style="799" customWidth="1"/>
    <col min="3844" max="3844" width="23.42578125" style="799" customWidth="1"/>
    <col min="3845" max="3845" width="1.42578125" style="799" customWidth="1"/>
    <col min="3846" max="3848" width="20.42578125" style="799" customWidth="1"/>
    <col min="3849" max="3849" width="19.42578125" style="799" customWidth="1"/>
    <col min="3850" max="3850" width="1.42578125" style="799" customWidth="1"/>
    <col min="3851" max="3852" width="18.42578125" style="799" customWidth="1"/>
    <col min="3853" max="3853" width="6.42578125" style="799" customWidth="1"/>
    <col min="3854" max="3854" width="19.42578125" style="799" customWidth="1"/>
    <col min="3855" max="3868" width="8.7109375" style="799"/>
    <col min="3869" max="3869" width="65.42578125" style="799" customWidth="1"/>
    <col min="3870" max="4097" width="8.7109375" style="799"/>
    <col min="4098" max="4098" width="10.42578125" style="799" customWidth="1"/>
    <col min="4099" max="4099" width="8.42578125" style="799" customWidth="1"/>
    <col min="4100" max="4100" width="23.42578125" style="799" customWidth="1"/>
    <col min="4101" max="4101" width="1.42578125" style="799" customWidth="1"/>
    <col min="4102" max="4104" width="20.42578125" style="799" customWidth="1"/>
    <col min="4105" max="4105" width="19.42578125" style="799" customWidth="1"/>
    <col min="4106" max="4106" width="1.42578125" style="799" customWidth="1"/>
    <col min="4107" max="4108" width="18.42578125" style="799" customWidth="1"/>
    <col min="4109" max="4109" width="6.42578125" style="799" customWidth="1"/>
    <col min="4110" max="4110" width="19.42578125" style="799" customWidth="1"/>
    <col min="4111" max="4124" width="8.7109375" style="799"/>
    <col min="4125" max="4125" width="65.42578125" style="799" customWidth="1"/>
    <col min="4126" max="4353" width="8.7109375" style="799"/>
    <col min="4354" max="4354" width="10.42578125" style="799" customWidth="1"/>
    <col min="4355" max="4355" width="8.42578125" style="799" customWidth="1"/>
    <col min="4356" max="4356" width="23.42578125" style="799" customWidth="1"/>
    <col min="4357" max="4357" width="1.42578125" style="799" customWidth="1"/>
    <col min="4358" max="4360" width="20.42578125" style="799" customWidth="1"/>
    <col min="4361" max="4361" width="19.42578125" style="799" customWidth="1"/>
    <col min="4362" max="4362" width="1.42578125" style="799" customWidth="1"/>
    <col min="4363" max="4364" width="18.42578125" style="799" customWidth="1"/>
    <col min="4365" max="4365" width="6.42578125" style="799" customWidth="1"/>
    <col min="4366" max="4366" width="19.42578125" style="799" customWidth="1"/>
    <col min="4367" max="4380" width="8.7109375" style="799"/>
    <col min="4381" max="4381" width="65.42578125" style="799" customWidth="1"/>
    <col min="4382" max="4609" width="8.7109375" style="799"/>
    <col min="4610" max="4610" width="10.42578125" style="799" customWidth="1"/>
    <col min="4611" max="4611" width="8.42578125" style="799" customWidth="1"/>
    <col min="4612" max="4612" width="23.42578125" style="799" customWidth="1"/>
    <col min="4613" max="4613" width="1.42578125" style="799" customWidth="1"/>
    <col min="4614" max="4616" width="20.42578125" style="799" customWidth="1"/>
    <col min="4617" max="4617" width="19.42578125" style="799" customWidth="1"/>
    <col min="4618" max="4618" width="1.42578125" style="799" customWidth="1"/>
    <col min="4619" max="4620" width="18.42578125" style="799" customWidth="1"/>
    <col min="4621" max="4621" width="6.42578125" style="799" customWidth="1"/>
    <col min="4622" max="4622" width="19.42578125" style="799" customWidth="1"/>
    <col min="4623" max="4636" width="8.7109375" style="799"/>
    <col min="4637" max="4637" width="65.42578125" style="799" customWidth="1"/>
    <col min="4638" max="4865" width="8.7109375" style="799"/>
    <col min="4866" max="4866" width="10.42578125" style="799" customWidth="1"/>
    <col min="4867" max="4867" width="8.42578125" style="799" customWidth="1"/>
    <col min="4868" max="4868" width="23.42578125" style="799" customWidth="1"/>
    <col min="4869" max="4869" width="1.42578125" style="799" customWidth="1"/>
    <col min="4870" max="4872" width="20.42578125" style="799" customWidth="1"/>
    <col min="4873" max="4873" width="19.42578125" style="799" customWidth="1"/>
    <col min="4874" max="4874" width="1.42578125" style="799" customWidth="1"/>
    <col min="4875" max="4876" width="18.42578125" style="799" customWidth="1"/>
    <col min="4877" max="4877" width="6.42578125" style="799" customWidth="1"/>
    <col min="4878" max="4878" width="19.42578125" style="799" customWidth="1"/>
    <col min="4879" max="4892" width="8.7109375" style="799"/>
    <col min="4893" max="4893" width="65.42578125" style="799" customWidth="1"/>
    <col min="4894" max="5121" width="8.7109375" style="799"/>
    <col min="5122" max="5122" width="10.42578125" style="799" customWidth="1"/>
    <col min="5123" max="5123" width="8.42578125" style="799" customWidth="1"/>
    <col min="5124" max="5124" width="23.42578125" style="799" customWidth="1"/>
    <col min="5125" max="5125" width="1.42578125" style="799" customWidth="1"/>
    <col min="5126" max="5128" width="20.42578125" style="799" customWidth="1"/>
    <col min="5129" max="5129" width="19.42578125" style="799" customWidth="1"/>
    <col min="5130" max="5130" width="1.42578125" style="799" customWidth="1"/>
    <col min="5131" max="5132" width="18.42578125" style="799" customWidth="1"/>
    <col min="5133" max="5133" width="6.42578125" style="799" customWidth="1"/>
    <col min="5134" max="5134" width="19.42578125" style="799" customWidth="1"/>
    <col min="5135" max="5148" width="8.7109375" style="799"/>
    <col min="5149" max="5149" width="65.42578125" style="799" customWidth="1"/>
    <col min="5150" max="5377" width="8.7109375" style="799"/>
    <col min="5378" max="5378" width="10.42578125" style="799" customWidth="1"/>
    <col min="5379" max="5379" width="8.42578125" style="799" customWidth="1"/>
    <col min="5380" max="5380" width="23.42578125" style="799" customWidth="1"/>
    <col min="5381" max="5381" width="1.42578125" style="799" customWidth="1"/>
    <col min="5382" max="5384" width="20.42578125" style="799" customWidth="1"/>
    <col min="5385" max="5385" width="19.42578125" style="799" customWidth="1"/>
    <col min="5386" max="5386" width="1.42578125" style="799" customWidth="1"/>
    <col min="5387" max="5388" width="18.42578125" style="799" customWidth="1"/>
    <col min="5389" max="5389" width="6.42578125" style="799" customWidth="1"/>
    <col min="5390" max="5390" width="19.42578125" style="799" customWidth="1"/>
    <col min="5391" max="5404" width="8.7109375" style="799"/>
    <col min="5405" max="5405" width="65.42578125" style="799" customWidth="1"/>
    <col min="5406" max="5633" width="8.7109375" style="799"/>
    <col min="5634" max="5634" width="10.42578125" style="799" customWidth="1"/>
    <col min="5635" max="5635" width="8.42578125" style="799" customWidth="1"/>
    <col min="5636" max="5636" width="23.42578125" style="799" customWidth="1"/>
    <col min="5637" max="5637" width="1.42578125" style="799" customWidth="1"/>
    <col min="5638" max="5640" width="20.42578125" style="799" customWidth="1"/>
    <col min="5641" max="5641" width="19.42578125" style="799" customWidth="1"/>
    <col min="5642" max="5642" width="1.42578125" style="799" customWidth="1"/>
    <col min="5643" max="5644" width="18.42578125" style="799" customWidth="1"/>
    <col min="5645" max="5645" width="6.42578125" style="799" customWidth="1"/>
    <col min="5646" max="5646" width="19.42578125" style="799" customWidth="1"/>
    <col min="5647" max="5660" width="8.7109375" style="799"/>
    <col min="5661" max="5661" width="65.42578125" style="799" customWidth="1"/>
    <col min="5662" max="5889" width="8.7109375" style="799"/>
    <col min="5890" max="5890" width="10.42578125" style="799" customWidth="1"/>
    <col min="5891" max="5891" width="8.42578125" style="799" customWidth="1"/>
    <col min="5892" max="5892" width="23.42578125" style="799" customWidth="1"/>
    <col min="5893" max="5893" width="1.42578125" style="799" customWidth="1"/>
    <col min="5894" max="5896" width="20.42578125" style="799" customWidth="1"/>
    <col min="5897" max="5897" width="19.42578125" style="799" customWidth="1"/>
    <col min="5898" max="5898" width="1.42578125" style="799" customWidth="1"/>
    <col min="5899" max="5900" width="18.42578125" style="799" customWidth="1"/>
    <col min="5901" max="5901" width="6.42578125" style="799" customWidth="1"/>
    <col min="5902" max="5902" width="19.42578125" style="799" customWidth="1"/>
    <col min="5903" max="5916" width="8.7109375" style="799"/>
    <col min="5917" max="5917" width="65.42578125" style="799" customWidth="1"/>
    <col min="5918" max="6145" width="8.7109375" style="799"/>
    <col min="6146" max="6146" width="10.42578125" style="799" customWidth="1"/>
    <col min="6147" max="6147" width="8.42578125" style="799" customWidth="1"/>
    <col min="6148" max="6148" width="23.42578125" style="799" customWidth="1"/>
    <col min="6149" max="6149" width="1.42578125" style="799" customWidth="1"/>
    <col min="6150" max="6152" width="20.42578125" style="799" customWidth="1"/>
    <col min="6153" max="6153" width="19.42578125" style="799" customWidth="1"/>
    <col min="6154" max="6154" width="1.42578125" style="799" customWidth="1"/>
    <col min="6155" max="6156" width="18.42578125" style="799" customWidth="1"/>
    <col min="6157" max="6157" width="6.42578125" style="799" customWidth="1"/>
    <col min="6158" max="6158" width="19.42578125" style="799" customWidth="1"/>
    <col min="6159" max="6172" width="8.7109375" style="799"/>
    <col min="6173" max="6173" width="65.42578125" style="799" customWidth="1"/>
    <col min="6174" max="6401" width="8.7109375" style="799"/>
    <col min="6402" max="6402" width="10.42578125" style="799" customWidth="1"/>
    <col min="6403" max="6403" width="8.42578125" style="799" customWidth="1"/>
    <col min="6404" max="6404" width="23.42578125" style="799" customWidth="1"/>
    <col min="6405" max="6405" width="1.42578125" style="799" customWidth="1"/>
    <col min="6406" max="6408" width="20.42578125" style="799" customWidth="1"/>
    <col min="6409" max="6409" width="19.42578125" style="799" customWidth="1"/>
    <col min="6410" max="6410" width="1.42578125" style="799" customWidth="1"/>
    <col min="6411" max="6412" width="18.42578125" style="799" customWidth="1"/>
    <col min="6413" max="6413" width="6.42578125" style="799" customWidth="1"/>
    <col min="6414" max="6414" width="19.42578125" style="799" customWidth="1"/>
    <col min="6415" max="6428" width="8.7109375" style="799"/>
    <col min="6429" max="6429" width="65.42578125" style="799" customWidth="1"/>
    <col min="6430" max="6657" width="8.7109375" style="799"/>
    <col min="6658" max="6658" width="10.42578125" style="799" customWidth="1"/>
    <col min="6659" max="6659" width="8.42578125" style="799" customWidth="1"/>
    <col min="6660" max="6660" width="23.42578125" style="799" customWidth="1"/>
    <col min="6661" max="6661" width="1.42578125" style="799" customWidth="1"/>
    <col min="6662" max="6664" width="20.42578125" style="799" customWidth="1"/>
    <col min="6665" max="6665" width="19.42578125" style="799" customWidth="1"/>
    <col min="6666" max="6666" width="1.42578125" style="799" customWidth="1"/>
    <col min="6667" max="6668" width="18.42578125" style="799" customWidth="1"/>
    <col min="6669" max="6669" width="6.42578125" style="799" customWidth="1"/>
    <col min="6670" max="6670" width="19.42578125" style="799" customWidth="1"/>
    <col min="6671" max="6684" width="8.7109375" style="799"/>
    <col min="6685" max="6685" width="65.42578125" style="799" customWidth="1"/>
    <col min="6686" max="6913" width="8.7109375" style="799"/>
    <col min="6914" max="6914" width="10.42578125" style="799" customWidth="1"/>
    <col min="6915" max="6915" width="8.42578125" style="799" customWidth="1"/>
    <col min="6916" max="6916" width="23.42578125" style="799" customWidth="1"/>
    <col min="6917" max="6917" width="1.42578125" style="799" customWidth="1"/>
    <col min="6918" max="6920" width="20.42578125" style="799" customWidth="1"/>
    <col min="6921" max="6921" width="19.42578125" style="799" customWidth="1"/>
    <col min="6922" max="6922" width="1.42578125" style="799" customWidth="1"/>
    <col min="6923" max="6924" width="18.42578125" style="799" customWidth="1"/>
    <col min="6925" max="6925" width="6.42578125" style="799" customWidth="1"/>
    <col min="6926" max="6926" width="19.42578125" style="799" customWidth="1"/>
    <col min="6927" max="6940" width="8.7109375" style="799"/>
    <col min="6941" max="6941" width="65.42578125" style="799" customWidth="1"/>
    <col min="6942" max="7169" width="8.7109375" style="799"/>
    <col min="7170" max="7170" width="10.42578125" style="799" customWidth="1"/>
    <col min="7171" max="7171" width="8.42578125" style="799" customWidth="1"/>
    <col min="7172" max="7172" width="23.42578125" style="799" customWidth="1"/>
    <col min="7173" max="7173" width="1.42578125" style="799" customWidth="1"/>
    <col min="7174" max="7176" width="20.42578125" style="799" customWidth="1"/>
    <col min="7177" max="7177" width="19.42578125" style="799" customWidth="1"/>
    <col min="7178" max="7178" width="1.42578125" style="799" customWidth="1"/>
    <col min="7179" max="7180" width="18.42578125" style="799" customWidth="1"/>
    <col min="7181" max="7181" width="6.42578125" style="799" customWidth="1"/>
    <col min="7182" max="7182" width="19.42578125" style="799" customWidth="1"/>
    <col min="7183" max="7196" width="8.7109375" style="799"/>
    <col min="7197" max="7197" width="65.42578125" style="799" customWidth="1"/>
    <col min="7198" max="7425" width="8.7109375" style="799"/>
    <col min="7426" max="7426" width="10.42578125" style="799" customWidth="1"/>
    <col min="7427" max="7427" width="8.42578125" style="799" customWidth="1"/>
    <col min="7428" max="7428" width="23.42578125" style="799" customWidth="1"/>
    <col min="7429" max="7429" width="1.42578125" style="799" customWidth="1"/>
    <col min="7430" max="7432" width="20.42578125" style="799" customWidth="1"/>
    <col min="7433" max="7433" width="19.42578125" style="799" customWidth="1"/>
    <col min="7434" max="7434" width="1.42578125" style="799" customWidth="1"/>
    <col min="7435" max="7436" width="18.42578125" style="799" customWidth="1"/>
    <col min="7437" max="7437" width="6.42578125" style="799" customWidth="1"/>
    <col min="7438" max="7438" width="19.42578125" style="799" customWidth="1"/>
    <col min="7439" max="7452" width="8.7109375" style="799"/>
    <col min="7453" max="7453" width="65.42578125" style="799" customWidth="1"/>
    <col min="7454" max="7681" width="8.7109375" style="799"/>
    <col min="7682" max="7682" width="10.42578125" style="799" customWidth="1"/>
    <col min="7683" max="7683" width="8.42578125" style="799" customWidth="1"/>
    <col min="7684" max="7684" width="23.42578125" style="799" customWidth="1"/>
    <col min="7685" max="7685" width="1.42578125" style="799" customWidth="1"/>
    <col min="7686" max="7688" width="20.42578125" style="799" customWidth="1"/>
    <col min="7689" max="7689" width="19.42578125" style="799" customWidth="1"/>
    <col min="7690" max="7690" width="1.42578125" style="799" customWidth="1"/>
    <col min="7691" max="7692" width="18.42578125" style="799" customWidth="1"/>
    <col min="7693" max="7693" width="6.42578125" style="799" customWidth="1"/>
    <col min="7694" max="7694" width="19.42578125" style="799" customWidth="1"/>
    <col min="7695" max="7708" width="8.7109375" style="799"/>
    <col min="7709" max="7709" width="65.42578125" style="799" customWidth="1"/>
    <col min="7710" max="7937" width="8.7109375" style="799"/>
    <col min="7938" max="7938" width="10.42578125" style="799" customWidth="1"/>
    <col min="7939" max="7939" width="8.42578125" style="799" customWidth="1"/>
    <col min="7940" max="7940" width="23.42578125" style="799" customWidth="1"/>
    <col min="7941" max="7941" width="1.42578125" style="799" customWidth="1"/>
    <col min="7942" max="7944" width="20.42578125" style="799" customWidth="1"/>
    <col min="7945" max="7945" width="19.42578125" style="799" customWidth="1"/>
    <col min="7946" max="7946" width="1.42578125" style="799" customWidth="1"/>
    <col min="7947" max="7948" width="18.42578125" style="799" customWidth="1"/>
    <col min="7949" max="7949" width="6.42578125" style="799" customWidth="1"/>
    <col min="7950" max="7950" width="19.42578125" style="799" customWidth="1"/>
    <col min="7951" max="7964" width="8.7109375" style="799"/>
    <col min="7965" max="7965" width="65.42578125" style="799" customWidth="1"/>
    <col min="7966" max="8193" width="8.7109375" style="799"/>
    <col min="8194" max="8194" width="10.42578125" style="799" customWidth="1"/>
    <col min="8195" max="8195" width="8.42578125" style="799" customWidth="1"/>
    <col min="8196" max="8196" width="23.42578125" style="799" customWidth="1"/>
    <col min="8197" max="8197" width="1.42578125" style="799" customWidth="1"/>
    <col min="8198" max="8200" width="20.42578125" style="799" customWidth="1"/>
    <col min="8201" max="8201" width="19.42578125" style="799" customWidth="1"/>
    <col min="8202" max="8202" width="1.42578125" style="799" customWidth="1"/>
    <col min="8203" max="8204" width="18.42578125" style="799" customWidth="1"/>
    <col min="8205" max="8205" width="6.42578125" style="799" customWidth="1"/>
    <col min="8206" max="8206" width="19.42578125" style="799" customWidth="1"/>
    <col min="8207" max="8220" width="8.7109375" style="799"/>
    <col min="8221" max="8221" width="65.42578125" style="799" customWidth="1"/>
    <col min="8222" max="8449" width="8.7109375" style="799"/>
    <col min="8450" max="8450" width="10.42578125" style="799" customWidth="1"/>
    <col min="8451" max="8451" width="8.42578125" style="799" customWidth="1"/>
    <col min="8452" max="8452" width="23.42578125" style="799" customWidth="1"/>
    <col min="8453" max="8453" width="1.42578125" style="799" customWidth="1"/>
    <col min="8454" max="8456" width="20.42578125" style="799" customWidth="1"/>
    <col min="8457" max="8457" width="19.42578125" style="799" customWidth="1"/>
    <col min="8458" max="8458" width="1.42578125" style="799" customWidth="1"/>
    <col min="8459" max="8460" width="18.42578125" style="799" customWidth="1"/>
    <col min="8461" max="8461" width="6.42578125" style="799" customWidth="1"/>
    <col min="8462" max="8462" width="19.42578125" style="799" customWidth="1"/>
    <col min="8463" max="8476" width="8.7109375" style="799"/>
    <col min="8477" max="8477" width="65.42578125" style="799" customWidth="1"/>
    <col min="8478" max="8705" width="8.7109375" style="799"/>
    <col min="8706" max="8706" width="10.42578125" style="799" customWidth="1"/>
    <col min="8707" max="8707" width="8.42578125" style="799" customWidth="1"/>
    <col min="8708" max="8708" width="23.42578125" style="799" customWidth="1"/>
    <col min="8709" max="8709" width="1.42578125" style="799" customWidth="1"/>
    <col min="8710" max="8712" width="20.42578125" style="799" customWidth="1"/>
    <col min="8713" max="8713" width="19.42578125" style="799" customWidth="1"/>
    <col min="8714" max="8714" width="1.42578125" style="799" customWidth="1"/>
    <col min="8715" max="8716" width="18.42578125" style="799" customWidth="1"/>
    <col min="8717" max="8717" width="6.42578125" style="799" customWidth="1"/>
    <col min="8718" max="8718" width="19.42578125" style="799" customWidth="1"/>
    <col min="8719" max="8732" width="8.7109375" style="799"/>
    <col min="8733" max="8733" width="65.42578125" style="799" customWidth="1"/>
    <col min="8734" max="8961" width="8.7109375" style="799"/>
    <col min="8962" max="8962" width="10.42578125" style="799" customWidth="1"/>
    <col min="8963" max="8963" width="8.42578125" style="799" customWidth="1"/>
    <col min="8964" max="8964" width="23.42578125" style="799" customWidth="1"/>
    <col min="8965" max="8965" width="1.42578125" style="799" customWidth="1"/>
    <col min="8966" max="8968" width="20.42578125" style="799" customWidth="1"/>
    <col min="8969" max="8969" width="19.42578125" style="799" customWidth="1"/>
    <col min="8970" max="8970" width="1.42578125" style="799" customWidth="1"/>
    <col min="8971" max="8972" width="18.42578125" style="799" customWidth="1"/>
    <col min="8973" max="8973" width="6.42578125" style="799" customWidth="1"/>
    <col min="8974" max="8974" width="19.42578125" style="799" customWidth="1"/>
    <col min="8975" max="8988" width="8.7109375" style="799"/>
    <col min="8989" max="8989" width="65.42578125" style="799" customWidth="1"/>
    <col min="8990" max="9217" width="8.7109375" style="799"/>
    <col min="9218" max="9218" width="10.42578125" style="799" customWidth="1"/>
    <col min="9219" max="9219" width="8.42578125" style="799" customWidth="1"/>
    <col min="9220" max="9220" width="23.42578125" style="799" customWidth="1"/>
    <col min="9221" max="9221" width="1.42578125" style="799" customWidth="1"/>
    <col min="9222" max="9224" width="20.42578125" style="799" customWidth="1"/>
    <col min="9225" max="9225" width="19.42578125" style="799" customWidth="1"/>
    <col min="9226" max="9226" width="1.42578125" style="799" customWidth="1"/>
    <col min="9227" max="9228" width="18.42578125" style="799" customWidth="1"/>
    <col min="9229" max="9229" width="6.42578125" style="799" customWidth="1"/>
    <col min="9230" max="9230" width="19.42578125" style="799" customWidth="1"/>
    <col min="9231" max="9244" width="8.7109375" style="799"/>
    <col min="9245" max="9245" width="65.42578125" style="799" customWidth="1"/>
    <col min="9246" max="9473" width="8.7109375" style="799"/>
    <col min="9474" max="9474" width="10.42578125" style="799" customWidth="1"/>
    <col min="9475" max="9475" width="8.42578125" style="799" customWidth="1"/>
    <col min="9476" max="9476" width="23.42578125" style="799" customWidth="1"/>
    <col min="9477" max="9477" width="1.42578125" style="799" customWidth="1"/>
    <col min="9478" max="9480" width="20.42578125" style="799" customWidth="1"/>
    <col min="9481" max="9481" width="19.42578125" style="799" customWidth="1"/>
    <col min="9482" max="9482" width="1.42578125" style="799" customWidth="1"/>
    <col min="9483" max="9484" width="18.42578125" style="799" customWidth="1"/>
    <col min="9485" max="9485" width="6.42578125" style="799" customWidth="1"/>
    <col min="9486" max="9486" width="19.42578125" style="799" customWidth="1"/>
    <col min="9487" max="9500" width="8.7109375" style="799"/>
    <col min="9501" max="9501" width="65.42578125" style="799" customWidth="1"/>
    <col min="9502" max="9729" width="8.7109375" style="799"/>
    <col min="9730" max="9730" width="10.42578125" style="799" customWidth="1"/>
    <col min="9731" max="9731" width="8.42578125" style="799" customWidth="1"/>
    <col min="9732" max="9732" width="23.42578125" style="799" customWidth="1"/>
    <col min="9733" max="9733" width="1.42578125" style="799" customWidth="1"/>
    <col min="9734" max="9736" width="20.42578125" style="799" customWidth="1"/>
    <col min="9737" max="9737" width="19.42578125" style="799" customWidth="1"/>
    <col min="9738" max="9738" width="1.42578125" style="799" customWidth="1"/>
    <col min="9739" max="9740" width="18.42578125" style="799" customWidth="1"/>
    <col min="9741" max="9741" width="6.42578125" style="799" customWidth="1"/>
    <col min="9742" max="9742" width="19.42578125" style="799" customWidth="1"/>
    <col min="9743" max="9756" width="8.7109375" style="799"/>
    <col min="9757" max="9757" width="65.42578125" style="799" customWidth="1"/>
    <col min="9758" max="9985" width="8.7109375" style="799"/>
    <col min="9986" max="9986" width="10.42578125" style="799" customWidth="1"/>
    <col min="9987" max="9987" width="8.42578125" style="799" customWidth="1"/>
    <col min="9988" max="9988" width="23.42578125" style="799" customWidth="1"/>
    <col min="9989" max="9989" width="1.42578125" style="799" customWidth="1"/>
    <col min="9990" max="9992" width="20.42578125" style="799" customWidth="1"/>
    <col min="9993" max="9993" width="19.42578125" style="799" customWidth="1"/>
    <col min="9994" max="9994" width="1.42578125" style="799" customWidth="1"/>
    <col min="9995" max="9996" width="18.42578125" style="799" customWidth="1"/>
    <col min="9997" max="9997" width="6.42578125" style="799" customWidth="1"/>
    <col min="9998" max="9998" width="19.42578125" style="799" customWidth="1"/>
    <col min="9999" max="10012" width="8.7109375" style="799"/>
    <col min="10013" max="10013" width="65.42578125" style="799" customWidth="1"/>
    <col min="10014" max="10241" width="8.7109375" style="799"/>
    <col min="10242" max="10242" width="10.42578125" style="799" customWidth="1"/>
    <col min="10243" max="10243" width="8.42578125" style="799" customWidth="1"/>
    <col min="10244" max="10244" width="23.42578125" style="799" customWidth="1"/>
    <col min="10245" max="10245" width="1.42578125" style="799" customWidth="1"/>
    <col min="10246" max="10248" width="20.42578125" style="799" customWidth="1"/>
    <col min="10249" max="10249" width="19.42578125" style="799" customWidth="1"/>
    <col min="10250" max="10250" width="1.42578125" style="799" customWidth="1"/>
    <col min="10251" max="10252" width="18.42578125" style="799" customWidth="1"/>
    <col min="10253" max="10253" width="6.42578125" style="799" customWidth="1"/>
    <col min="10254" max="10254" width="19.42578125" style="799" customWidth="1"/>
    <col min="10255" max="10268" width="8.7109375" style="799"/>
    <col min="10269" max="10269" width="65.42578125" style="799" customWidth="1"/>
    <col min="10270" max="10497" width="8.7109375" style="799"/>
    <col min="10498" max="10498" width="10.42578125" style="799" customWidth="1"/>
    <col min="10499" max="10499" width="8.42578125" style="799" customWidth="1"/>
    <col min="10500" max="10500" width="23.42578125" style="799" customWidth="1"/>
    <col min="10501" max="10501" width="1.42578125" style="799" customWidth="1"/>
    <col min="10502" max="10504" width="20.42578125" style="799" customWidth="1"/>
    <col min="10505" max="10505" width="19.42578125" style="799" customWidth="1"/>
    <col min="10506" max="10506" width="1.42578125" style="799" customWidth="1"/>
    <col min="10507" max="10508" width="18.42578125" style="799" customWidth="1"/>
    <col min="10509" max="10509" width="6.42578125" style="799" customWidth="1"/>
    <col min="10510" max="10510" width="19.42578125" style="799" customWidth="1"/>
    <col min="10511" max="10524" width="8.7109375" style="799"/>
    <col min="10525" max="10525" width="65.42578125" style="799" customWidth="1"/>
    <col min="10526" max="10753" width="8.7109375" style="799"/>
    <col min="10754" max="10754" width="10.42578125" style="799" customWidth="1"/>
    <col min="10755" max="10755" width="8.42578125" style="799" customWidth="1"/>
    <col min="10756" max="10756" width="23.42578125" style="799" customWidth="1"/>
    <col min="10757" max="10757" width="1.42578125" style="799" customWidth="1"/>
    <col min="10758" max="10760" width="20.42578125" style="799" customWidth="1"/>
    <col min="10761" max="10761" width="19.42578125" style="799" customWidth="1"/>
    <col min="10762" max="10762" width="1.42578125" style="799" customWidth="1"/>
    <col min="10763" max="10764" width="18.42578125" style="799" customWidth="1"/>
    <col min="10765" max="10765" width="6.42578125" style="799" customWidth="1"/>
    <col min="10766" max="10766" width="19.42578125" style="799" customWidth="1"/>
    <col min="10767" max="10780" width="8.7109375" style="799"/>
    <col min="10781" max="10781" width="65.42578125" style="799" customWidth="1"/>
    <col min="10782" max="11009" width="8.7109375" style="799"/>
    <col min="11010" max="11010" width="10.42578125" style="799" customWidth="1"/>
    <col min="11011" max="11011" width="8.42578125" style="799" customWidth="1"/>
    <col min="11012" max="11012" width="23.42578125" style="799" customWidth="1"/>
    <col min="11013" max="11013" width="1.42578125" style="799" customWidth="1"/>
    <col min="11014" max="11016" width="20.42578125" style="799" customWidth="1"/>
    <col min="11017" max="11017" width="19.42578125" style="799" customWidth="1"/>
    <col min="11018" max="11018" width="1.42578125" style="799" customWidth="1"/>
    <col min="11019" max="11020" width="18.42578125" style="799" customWidth="1"/>
    <col min="11021" max="11021" width="6.42578125" style="799" customWidth="1"/>
    <col min="11022" max="11022" width="19.42578125" style="799" customWidth="1"/>
    <col min="11023" max="11036" width="8.7109375" style="799"/>
    <col min="11037" max="11037" width="65.42578125" style="799" customWidth="1"/>
    <col min="11038" max="11265" width="8.7109375" style="799"/>
    <col min="11266" max="11266" width="10.42578125" style="799" customWidth="1"/>
    <col min="11267" max="11267" width="8.42578125" style="799" customWidth="1"/>
    <col min="11268" max="11268" width="23.42578125" style="799" customWidth="1"/>
    <col min="11269" max="11269" width="1.42578125" style="799" customWidth="1"/>
    <col min="11270" max="11272" width="20.42578125" style="799" customWidth="1"/>
    <col min="11273" max="11273" width="19.42578125" style="799" customWidth="1"/>
    <col min="11274" max="11274" width="1.42578125" style="799" customWidth="1"/>
    <col min="11275" max="11276" width="18.42578125" style="799" customWidth="1"/>
    <col min="11277" max="11277" width="6.42578125" style="799" customWidth="1"/>
    <col min="11278" max="11278" width="19.42578125" style="799" customWidth="1"/>
    <col min="11279" max="11292" width="8.7109375" style="799"/>
    <col min="11293" max="11293" width="65.42578125" style="799" customWidth="1"/>
    <col min="11294" max="11521" width="8.7109375" style="799"/>
    <col min="11522" max="11522" width="10.42578125" style="799" customWidth="1"/>
    <col min="11523" max="11523" width="8.42578125" style="799" customWidth="1"/>
    <col min="11524" max="11524" width="23.42578125" style="799" customWidth="1"/>
    <col min="11525" max="11525" width="1.42578125" style="799" customWidth="1"/>
    <col min="11526" max="11528" width="20.42578125" style="799" customWidth="1"/>
    <col min="11529" max="11529" width="19.42578125" style="799" customWidth="1"/>
    <col min="11530" max="11530" width="1.42578125" style="799" customWidth="1"/>
    <col min="11531" max="11532" width="18.42578125" style="799" customWidth="1"/>
    <col min="11533" max="11533" width="6.42578125" style="799" customWidth="1"/>
    <col min="11534" max="11534" width="19.42578125" style="799" customWidth="1"/>
    <col min="11535" max="11548" width="8.7109375" style="799"/>
    <col min="11549" max="11549" width="65.42578125" style="799" customWidth="1"/>
    <col min="11550" max="11777" width="8.7109375" style="799"/>
    <col min="11778" max="11778" width="10.42578125" style="799" customWidth="1"/>
    <col min="11779" max="11779" width="8.42578125" style="799" customWidth="1"/>
    <col min="11780" max="11780" width="23.42578125" style="799" customWidth="1"/>
    <col min="11781" max="11781" width="1.42578125" style="799" customWidth="1"/>
    <col min="11782" max="11784" width="20.42578125" style="799" customWidth="1"/>
    <col min="11785" max="11785" width="19.42578125" style="799" customWidth="1"/>
    <col min="11786" max="11786" width="1.42578125" style="799" customWidth="1"/>
    <col min="11787" max="11788" width="18.42578125" style="799" customWidth="1"/>
    <col min="11789" max="11789" width="6.42578125" style="799" customWidth="1"/>
    <col min="11790" max="11790" width="19.42578125" style="799" customWidth="1"/>
    <col min="11791" max="11804" width="8.7109375" style="799"/>
    <col min="11805" max="11805" width="65.42578125" style="799" customWidth="1"/>
    <col min="11806" max="12033" width="8.7109375" style="799"/>
    <col min="12034" max="12034" width="10.42578125" style="799" customWidth="1"/>
    <col min="12035" max="12035" width="8.42578125" style="799" customWidth="1"/>
    <col min="12036" max="12036" width="23.42578125" style="799" customWidth="1"/>
    <col min="12037" max="12037" width="1.42578125" style="799" customWidth="1"/>
    <col min="12038" max="12040" width="20.42578125" style="799" customWidth="1"/>
    <col min="12041" max="12041" width="19.42578125" style="799" customWidth="1"/>
    <col min="12042" max="12042" width="1.42578125" style="799" customWidth="1"/>
    <col min="12043" max="12044" width="18.42578125" style="799" customWidth="1"/>
    <col min="12045" max="12045" width="6.42578125" style="799" customWidth="1"/>
    <col min="12046" max="12046" width="19.42578125" style="799" customWidth="1"/>
    <col min="12047" max="12060" width="8.7109375" style="799"/>
    <col min="12061" max="12061" width="65.42578125" style="799" customWidth="1"/>
    <col min="12062" max="12289" width="8.7109375" style="799"/>
    <col min="12290" max="12290" width="10.42578125" style="799" customWidth="1"/>
    <col min="12291" max="12291" width="8.42578125" style="799" customWidth="1"/>
    <col min="12292" max="12292" width="23.42578125" style="799" customWidth="1"/>
    <col min="12293" max="12293" width="1.42578125" style="799" customWidth="1"/>
    <col min="12294" max="12296" width="20.42578125" style="799" customWidth="1"/>
    <col min="12297" max="12297" width="19.42578125" style="799" customWidth="1"/>
    <col min="12298" max="12298" width="1.42578125" style="799" customWidth="1"/>
    <col min="12299" max="12300" width="18.42578125" style="799" customWidth="1"/>
    <col min="12301" max="12301" width="6.42578125" style="799" customWidth="1"/>
    <col min="12302" max="12302" width="19.42578125" style="799" customWidth="1"/>
    <col min="12303" max="12316" width="8.7109375" style="799"/>
    <col min="12317" max="12317" width="65.42578125" style="799" customWidth="1"/>
    <col min="12318" max="12545" width="8.7109375" style="799"/>
    <col min="12546" max="12546" width="10.42578125" style="799" customWidth="1"/>
    <col min="12547" max="12547" width="8.42578125" style="799" customWidth="1"/>
    <col min="12548" max="12548" width="23.42578125" style="799" customWidth="1"/>
    <col min="12549" max="12549" width="1.42578125" style="799" customWidth="1"/>
    <col min="12550" max="12552" width="20.42578125" style="799" customWidth="1"/>
    <col min="12553" max="12553" width="19.42578125" style="799" customWidth="1"/>
    <col min="12554" max="12554" width="1.42578125" style="799" customWidth="1"/>
    <col min="12555" max="12556" width="18.42578125" style="799" customWidth="1"/>
    <col min="12557" max="12557" width="6.42578125" style="799" customWidth="1"/>
    <col min="12558" max="12558" width="19.42578125" style="799" customWidth="1"/>
    <col min="12559" max="12572" width="8.7109375" style="799"/>
    <col min="12573" max="12573" width="65.42578125" style="799" customWidth="1"/>
    <col min="12574" max="12801" width="8.7109375" style="799"/>
    <col min="12802" max="12802" width="10.42578125" style="799" customWidth="1"/>
    <col min="12803" max="12803" width="8.42578125" style="799" customWidth="1"/>
    <col min="12804" max="12804" width="23.42578125" style="799" customWidth="1"/>
    <col min="12805" max="12805" width="1.42578125" style="799" customWidth="1"/>
    <col min="12806" max="12808" width="20.42578125" style="799" customWidth="1"/>
    <col min="12809" max="12809" width="19.42578125" style="799" customWidth="1"/>
    <col min="12810" max="12810" width="1.42578125" style="799" customWidth="1"/>
    <col min="12811" max="12812" width="18.42578125" style="799" customWidth="1"/>
    <col min="12813" max="12813" width="6.42578125" style="799" customWidth="1"/>
    <col min="12814" max="12814" width="19.42578125" style="799" customWidth="1"/>
    <col min="12815" max="12828" width="8.7109375" style="799"/>
    <col min="12829" max="12829" width="65.42578125" style="799" customWidth="1"/>
    <col min="12830" max="13057" width="8.7109375" style="799"/>
    <col min="13058" max="13058" width="10.42578125" style="799" customWidth="1"/>
    <col min="13059" max="13059" width="8.42578125" style="799" customWidth="1"/>
    <col min="13060" max="13060" width="23.42578125" style="799" customWidth="1"/>
    <col min="13061" max="13061" width="1.42578125" style="799" customWidth="1"/>
    <col min="13062" max="13064" width="20.42578125" style="799" customWidth="1"/>
    <col min="13065" max="13065" width="19.42578125" style="799" customWidth="1"/>
    <col min="13066" max="13066" width="1.42578125" style="799" customWidth="1"/>
    <col min="13067" max="13068" width="18.42578125" style="799" customWidth="1"/>
    <col min="13069" max="13069" width="6.42578125" style="799" customWidth="1"/>
    <col min="13070" max="13070" width="19.42578125" style="799" customWidth="1"/>
    <col min="13071" max="13084" width="8.7109375" style="799"/>
    <col min="13085" max="13085" width="65.42578125" style="799" customWidth="1"/>
    <col min="13086" max="13313" width="8.7109375" style="799"/>
    <col min="13314" max="13314" width="10.42578125" style="799" customWidth="1"/>
    <col min="13315" max="13315" width="8.42578125" style="799" customWidth="1"/>
    <col min="13316" max="13316" width="23.42578125" style="799" customWidth="1"/>
    <col min="13317" max="13317" width="1.42578125" style="799" customWidth="1"/>
    <col min="13318" max="13320" width="20.42578125" style="799" customWidth="1"/>
    <col min="13321" max="13321" width="19.42578125" style="799" customWidth="1"/>
    <col min="13322" max="13322" width="1.42578125" style="799" customWidth="1"/>
    <col min="13323" max="13324" width="18.42578125" style="799" customWidth="1"/>
    <col min="13325" max="13325" width="6.42578125" style="799" customWidth="1"/>
    <col min="13326" max="13326" width="19.42578125" style="799" customWidth="1"/>
    <col min="13327" max="13340" width="8.7109375" style="799"/>
    <col min="13341" max="13341" width="65.42578125" style="799" customWidth="1"/>
    <col min="13342" max="13569" width="8.7109375" style="799"/>
    <col min="13570" max="13570" width="10.42578125" style="799" customWidth="1"/>
    <col min="13571" max="13571" width="8.42578125" style="799" customWidth="1"/>
    <col min="13572" max="13572" width="23.42578125" style="799" customWidth="1"/>
    <col min="13573" max="13573" width="1.42578125" style="799" customWidth="1"/>
    <col min="13574" max="13576" width="20.42578125" style="799" customWidth="1"/>
    <col min="13577" max="13577" width="19.42578125" style="799" customWidth="1"/>
    <col min="13578" max="13578" width="1.42578125" style="799" customWidth="1"/>
    <col min="13579" max="13580" width="18.42578125" style="799" customWidth="1"/>
    <col min="13581" max="13581" width="6.42578125" style="799" customWidth="1"/>
    <col min="13582" max="13582" width="19.42578125" style="799" customWidth="1"/>
    <col min="13583" max="13596" width="8.7109375" style="799"/>
    <col min="13597" max="13597" width="65.42578125" style="799" customWidth="1"/>
    <col min="13598" max="13825" width="8.7109375" style="799"/>
    <col min="13826" max="13826" width="10.42578125" style="799" customWidth="1"/>
    <col min="13827" max="13827" width="8.42578125" style="799" customWidth="1"/>
    <col min="13828" max="13828" width="23.42578125" style="799" customWidth="1"/>
    <col min="13829" max="13829" width="1.42578125" style="799" customWidth="1"/>
    <col min="13830" max="13832" width="20.42578125" style="799" customWidth="1"/>
    <col min="13833" max="13833" width="19.42578125" style="799" customWidth="1"/>
    <col min="13834" max="13834" width="1.42578125" style="799" customWidth="1"/>
    <col min="13835" max="13836" width="18.42578125" style="799" customWidth="1"/>
    <col min="13837" max="13837" width="6.42578125" style="799" customWidth="1"/>
    <col min="13838" max="13838" width="19.42578125" style="799" customWidth="1"/>
    <col min="13839" max="13852" width="8.7109375" style="799"/>
    <col min="13853" max="13853" width="65.42578125" style="799" customWidth="1"/>
    <col min="13854" max="14081" width="8.7109375" style="799"/>
    <col min="14082" max="14082" width="10.42578125" style="799" customWidth="1"/>
    <col min="14083" max="14083" width="8.42578125" style="799" customWidth="1"/>
    <col min="14084" max="14084" width="23.42578125" style="799" customWidth="1"/>
    <col min="14085" max="14085" width="1.42578125" style="799" customWidth="1"/>
    <col min="14086" max="14088" width="20.42578125" style="799" customWidth="1"/>
    <col min="14089" max="14089" width="19.42578125" style="799" customWidth="1"/>
    <col min="14090" max="14090" width="1.42578125" style="799" customWidth="1"/>
    <col min="14091" max="14092" width="18.42578125" style="799" customWidth="1"/>
    <col min="14093" max="14093" width="6.42578125" style="799" customWidth="1"/>
    <col min="14094" max="14094" width="19.42578125" style="799" customWidth="1"/>
    <col min="14095" max="14108" width="8.7109375" style="799"/>
    <col min="14109" max="14109" width="65.42578125" style="799" customWidth="1"/>
    <col min="14110" max="14337" width="8.7109375" style="799"/>
    <col min="14338" max="14338" width="10.42578125" style="799" customWidth="1"/>
    <col min="14339" max="14339" width="8.42578125" style="799" customWidth="1"/>
    <col min="14340" max="14340" width="23.42578125" style="799" customWidth="1"/>
    <col min="14341" max="14341" width="1.42578125" style="799" customWidth="1"/>
    <col min="14342" max="14344" width="20.42578125" style="799" customWidth="1"/>
    <col min="14345" max="14345" width="19.42578125" style="799" customWidth="1"/>
    <col min="14346" max="14346" width="1.42578125" style="799" customWidth="1"/>
    <col min="14347" max="14348" width="18.42578125" style="799" customWidth="1"/>
    <col min="14349" max="14349" width="6.42578125" style="799" customWidth="1"/>
    <col min="14350" max="14350" width="19.42578125" style="799" customWidth="1"/>
    <col min="14351" max="14364" width="8.7109375" style="799"/>
    <col min="14365" max="14365" width="65.42578125" style="799" customWidth="1"/>
    <col min="14366" max="14593" width="8.7109375" style="799"/>
    <col min="14594" max="14594" width="10.42578125" style="799" customWidth="1"/>
    <col min="14595" max="14595" width="8.42578125" style="799" customWidth="1"/>
    <col min="14596" max="14596" width="23.42578125" style="799" customWidth="1"/>
    <col min="14597" max="14597" width="1.42578125" style="799" customWidth="1"/>
    <col min="14598" max="14600" width="20.42578125" style="799" customWidth="1"/>
    <col min="14601" max="14601" width="19.42578125" style="799" customWidth="1"/>
    <col min="14602" max="14602" width="1.42578125" style="799" customWidth="1"/>
    <col min="14603" max="14604" width="18.42578125" style="799" customWidth="1"/>
    <col min="14605" max="14605" width="6.42578125" style="799" customWidth="1"/>
    <col min="14606" max="14606" width="19.42578125" style="799" customWidth="1"/>
    <col min="14607" max="14620" width="8.7109375" style="799"/>
    <col min="14621" max="14621" width="65.42578125" style="799" customWidth="1"/>
    <col min="14622" max="14849" width="8.7109375" style="799"/>
    <col min="14850" max="14850" width="10.42578125" style="799" customWidth="1"/>
    <col min="14851" max="14851" width="8.42578125" style="799" customWidth="1"/>
    <col min="14852" max="14852" width="23.42578125" style="799" customWidth="1"/>
    <col min="14853" max="14853" width="1.42578125" style="799" customWidth="1"/>
    <col min="14854" max="14856" width="20.42578125" style="799" customWidth="1"/>
    <col min="14857" max="14857" width="19.42578125" style="799" customWidth="1"/>
    <col min="14858" max="14858" width="1.42578125" style="799" customWidth="1"/>
    <col min="14859" max="14860" width="18.42578125" style="799" customWidth="1"/>
    <col min="14861" max="14861" width="6.42578125" style="799" customWidth="1"/>
    <col min="14862" max="14862" width="19.42578125" style="799" customWidth="1"/>
    <col min="14863" max="14876" width="8.7109375" style="799"/>
    <col min="14877" max="14877" width="65.42578125" style="799" customWidth="1"/>
    <col min="14878" max="15105" width="8.7109375" style="799"/>
    <col min="15106" max="15106" width="10.42578125" style="799" customWidth="1"/>
    <col min="15107" max="15107" width="8.42578125" style="799" customWidth="1"/>
    <col min="15108" max="15108" width="23.42578125" style="799" customWidth="1"/>
    <col min="15109" max="15109" width="1.42578125" style="799" customWidth="1"/>
    <col min="15110" max="15112" width="20.42578125" style="799" customWidth="1"/>
    <col min="15113" max="15113" width="19.42578125" style="799" customWidth="1"/>
    <col min="15114" max="15114" width="1.42578125" style="799" customWidth="1"/>
    <col min="15115" max="15116" width="18.42578125" style="799" customWidth="1"/>
    <col min="15117" max="15117" width="6.42578125" style="799" customWidth="1"/>
    <col min="15118" max="15118" width="19.42578125" style="799" customWidth="1"/>
    <col min="15119" max="15132" width="8.7109375" style="799"/>
    <col min="15133" max="15133" width="65.42578125" style="799" customWidth="1"/>
    <col min="15134" max="15361" width="8.7109375" style="799"/>
    <col min="15362" max="15362" width="10.42578125" style="799" customWidth="1"/>
    <col min="15363" max="15363" width="8.42578125" style="799" customWidth="1"/>
    <col min="15364" max="15364" width="23.42578125" style="799" customWidth="1"/>
    <col min="15365" max="15365" width="1.42578125" style="799" customWidth="1"/>
    <col min="15366" max="15368" width="20.42578125" style="799" customWidth="1"/>
    <col min="15369" max="15369" width="19.42578125" style="799" customWidth="1"/>
    <col min="15370" max="15370" width="1.42578125" style="799" customWidth="1"/>
    <col min="15371" max="15372" width="18.42578125" style="799" customWidth="1"/>
    <col min="15373" max="15373" width="6.42578125" style="799" customWidth="1"/>
    <col min="15374" max="15374" width="19.42578125" style="799" customWidth="1"/>
    <col min="15375" max="15388" width="8.7109375" style="799"/>
    <col min="15389" max="15389" width="65.42578125" style="799" customWidth="1"/>
    <col min="15390" max="15617" width="8.7109375" style="799"/>
    <col min="15618" max="15618" width="10.42578125" style="799" customWidth="1"/>
    <col min="15619" max="15619" width="8.42578125" style="799" customWidth="1"/>
    <col min="15620" max="15620" width="23.42578125" style="799" customWidth="1"/>
    <col min="15621" max="15621" width="1.42578125" style="799" customWidth="1"/>
    <col min="15622" max="15624" width="20.42578125" style="799" customWidth="1"/>
    <col min="15625" max="15625" width="19.42578125" style="799" customWidth="1"/>
    <col min="15626" max="15626" width="1.42578125" style="799" customWidth="1"/>
    <col min="15627" max="15628" width="18.42578125" style="799" customWidth="1"/>
    <col min="15629" max="15629" width="6.42578125" style="799" customWidth="1"/>
    <col min="15630" max="15630" width="19.42578125" style="799" customWidth="1"/>
    <col min="15631" max="15644" width="8.7109375" style="799"/>
    <col min="15645" max="15645" width="65.42578125" style="799" customWidth="1"/>
    <col min="15646" max="15873" width="8.7109375" style="799"/>
    <col min="15874" max="15874" width="10.42578125" style="799" customWidth="1"/>
    <col min="15875" max="15875" width="8.42578125" style="799" customWidth="1"/>
    <col min="15876" max="15876" width="23.42578125" style="799" customWidth="1"/>
    <col min="15877" max="15877" width="1.42578125" style="799" customWidth="1"/>
    <col min="15878" max="15880" width="20.42578125" style="799" customWidth="1"/>
    <col min="15881" max="15881" width="19.42578125" style="799" customWidth="1"/>
    <col min="15882" max="15882" width="1.42578125" style="799" customWidth="1"/>
    <col min="15883" max="15884" width="18.42578125" style="799" customWidth="1"/>
    <col min="15885" max="15885" width="6.42578125" style="799" customWidth="1"/>
    <col min="15886" max="15886" width="19.42578125" style="799" customWidth="1"/>
    <col min="15887" max="15900" width="8.7109375" style="799"/>
    <col min="15901" max="15901" width="65.42578125" style="799" customWidth="1"/>
    <col min="15902" max="16129" width="8.7109375" style="799"/>
    <col min="16130" max="16130" width="10.42578125" style="799" customWidth="1"/>
    <col min="16131" max="16131" width="8.42578125" style="799" customWidth="1"/>
    <col min="16132" max="16132" width="23.42578125" style="799" customWidth="1"/>
    <col min="16133" max="16133" width="1.42578125" style="799" customWidth="1"/>
    <col min="16134" max="16136" width="20.42578125" style="799" customWidth="1"/>
    <col min="16137" max="16137" width="19.42578125" style="799" customWidth="1"/>
    <col min="16138" max="16138" width="1.42578125" style="799" customWidth="1"/>
    <col min="16139" max="16140" width="18.42578125" style="799" customWidth="1"/>
    <col min="16141" max="16141" width="6.42578125" style="799" customWidth="1"/>
    <col min="16142" max="16142" width="19.42578125" style="799" customWidth="1"/>
    <col min="16143" max="16156" width="8.7109375" style="799"/>
    <col min="16157" max="16157" width="65.42578125" style="799" customWidth="1"/>
    <col min="16158" max="16384" width="8.7109375" style="799"/>
  </cols>
  <sheetData>
    <row r="1" spans="1:23" ht="18.399999999999999">
      <c r="A1" s="1410"/>
      <c r="B1" s="1173" t="s">
        <v>1811</v>
      </c>
      <c r="C1" s="1174"/>
      <c r="D1" s="1174"/>
      <c r="E1" s="1174"/>
      <c r="F1" s="1174"/>
      <c r="G1" s="1174"/>
      <c r="H1" s="1174"/>
      <c r="I1" s="1174"/>
      <c r="J1" s="1174"/>
      <c r="K1" s="1175"/>
      <c r="L1" s="797"/>
      <c r="M1" s="798" t="e">
        <f>IF([0]!TAFValue=0, "SFC Closeout Not Started",  IF(AND(#REF!=#REF!,#REF!=#REF!,#REF!=#REF!,#REF!=#REF!,#REF!=#REF!,#REF!=#REF!,#REF!=#REF!,#REF!=#REF!,#REF!=#REF!,#REF!=#REF!,#REF!=#REF!,#REF!=#REF!,#REF!=#REF!), "Balanced", "Inbalanced"))</f>
        <v>#REF!</v>
      </c>
      <c r="N1" s="797"/>
      <c r="O1" s="797"/>
      <c r="P1" s="797"/>
      <c r="Q1" s="797"/>
      <c r="R1" s="797"/>
      <c r="S1" s="797"/>
      <c r="T1" s="797"/>
      <c r="U1" s="797"/>
      <c r="V1" s="797"/>
      <c r="W1" s="797"/>
    </row>
    <row r="2" spans="1:23" ht="15" customHeight="1">
      <c r="A2" s="1411"/>
      <c r="B2" s="1176" t="str">
        <f>Cashflow!K2</f>
        <v>Justice Centre</v>
      </c>
      <c r="C2" s="1177"/>
      <c r="D2" s="1177"/>
      <c r="E2" s="1177"/>
      <c r="F2" s="1177"/>
      <c r="G2" s="1177"/>
      <c r="H2" s="1177"/>
      <c r="I2" s="1177"/>
      <c r="J2" s="1177"/>
      <c r="K2" s="1178"/>
      <c r="L2" s="797"/>
      <c r="M2" s="797"/>
      <c r="N2" s="797"/>
      <c r="O2" s="797"/>
      <c r="P2" s="797"/>
      <c r="Q2" s="797"/>
      <c r="R2" s="797"/>
      <c r="S2" s="797"/>
      <c r="T2" s="797"/>
      <c r="U2" s="797"/>
      <c r="V2" s="797"/>
      <c r="W2" s="797"/>
    </row>
    <row r="3" spans="1:23" s="801" customFormat="1" ht="12" hidden="1" customHeight="1">
      <c r="A3" s="1411"/>
      <c r="B3" s="1179" t="e">
        <f>IF(M1="Balanced", "All SFC Close-out Process Complete!", IF( M1="inbalanced", "SFC Close-out Process Incomplete!, Please Close out all Items", "SFC Closeout Process Not Started"))</f>
        <v>#REF!</v>
      </c>
      <c r="C3" s="1180"/>
      <c r="D3" s="1180"/>
      <c r="E3" s="1180"/>
      <c r="F3" s="1180"/>
      <c r="G3" s="1180"/>
      <c r="H3" s="1180"/>
      <c r="I3" s="1180"/>
      <c r="J3" s="1180"/>
      <c r="K3" s="1181"/>
      <c r="L3" s="800"/>
      <c r="M3" s="800"/>
      <c r="N3" s="800"/>
      <c r="O3" s="800"/>
      <c r="P3" s="800"/>
      <c r="Q3" s="800"/>
      <c r="R3" s="800"/>
      <c r="S3" s="800"/>
      <c r="T3" s="800"/>
      <c r="U3" s="800"/>
      <c r="V3" s="800"/>
      <c r="W3" s="800"/>
    </row>
    <row r="4" spans="1:23" ht="14.65" thickBot="1">
      <c r="A4" s="1411"/>
      <c r="B4" s="1182" t="s">
        <v>1812</v>
      </c>
      <c r="C4" s="1183"/>
      <c r="D4" s="1183"/>
      <c r="E4" s="1183"/>
      <c r="F4" s="1183"/>
      <c r="G4" s="1183"/>
      <c r="H4" s="1183"/>
      <c r="I4" s="1183"/>
      <c r="J4" s="1183"/>
      <c r="K4" s="1184"/>
      <c r="L4" s="797"/>
      <c r="M4" s="797"/>
      <c r="N4" s="797"/>
      <c r="O4" s="797"/>
      <c r="P4" s="797"/>
      <c r="Q4" s="797"/>
      <c r="R4" s="797"/>
      <c r="S4" s="797"/>
      <c r="T4" s="797"/>
      <c r="U4" s="797"/>
      <c r="V4" s="797"/>
      <c r="W4" s="797"/>
    </row>
    <row r="5" spans="1:23">
      <c r="A5" s="1411"/>
      <c r="B5" s="1185" t="s">
        <v>20</v>
      </c>
      <c r="C5" s="1186"/>
      <c r="D5" s="1186"/>
      <c r="E5" s="1186"/>
      <c r="F5" s="1186"/>
      <c r="G5" s="1186"/>
      <c r="H5" s="1186"/>
      <c r="I5" s="1186"/>
      <c r="J5" s="1186"/>
      <c r="K5" s="1187"/>
      <c r="L5" s="797"/>
      <c r="M5" s="797"/>
      <c r="N5" s="797"/>
      <c r="O5" s="797"/>
      <c r="P5" s="797"/>
      <c r="Q5" s="797"/>
      <c r="R5" s="797"/>
      <c r="S5" s="797"/>
      <c r="T5" s="797"/>
      <c r="U5" s="797"/>
      <c r="V5" s="797"/>
      <c r="W5" s="797"/>
    </row>
    <row r="6" spans="1:23" ht="14.1" customHeight="1">
      <c r="A6" s="1411"/>
      <c r="B6" s="1188" t="s">
        <v>534</v>
      </c>
      <c r="C6" s="1189"/>
      <c r="D6" s="1190"/>
      <c r="E6" s="802"/>
      <c r="F6" s="803" t="s">
        <v>1813</v>
      </c>
      <c r="G6" s="803" t="s">
        <v>1570</v>
      </c>
      <c r="H6" s="803" t="s">
        <v>354</v>
      </c>
      <c r="I6" s="803" t="s">
        <v>1814</v>
      </c>
      <c r="J6" s="804"/>
      <c r="K6" s="805" t="s">
        <v>1815</v>
      </c>
      <c r="L6" s="797"/>
      <c r="M6" s="797"/>
      <c r="N6" s="797"/>
      <c r="O6" s="797"/>
      <c r="P6" s="797"/>
      <c r="Q6" s="797"/>
      <c r="R6" s="797"/>
      <c r="S6" s="797"/>
      <c r="T6" s="797"/>
      <c r="U6" s="797"/>
      <c r="V6" s="797"/>
      <c r="W6" s="797"/>
    </row>
    <row r="7" spans="1:23" ht="15.75" hidden="1" customHeight="1" outlineLevel="1">
      <c r="A7" s="1411"/>
      <c r="B7" s="806" t="str">
        <f>'PA Matrix'!C5</f>
        <v>Staff Capitalization - INFRA</v>
      </c>
      <c r="C7" s="807"/>
      <c r="D7" s="808"/>
      <c r="E7" s="808"/>
      <c r="F7" s="809">
        <f ca="1">SUMIFS(BudgetDetails[Base Budget],BudgetDetails[Primary Category],$B$5,BudgetDetails[Secondary Category],SFC!B7)</f>
        <v>2975000</v>
      </c>
      <c r="G7" s="809">
        <f ca="1">SUMIFS(BudgetDetails[Budget Updates],BudgetDetails[Primary Category],$B$5,BudgetDetails[Secondary Category],SFC!B7)</f>
        <v>602739</v>
      </c>
      <c r="H7" s="809">
        <f ca="1">SUMIFS(BudgetDetails[Current Budget],BudgetDetails[Primary Category],$B$5,BudgetDetails[Secondary Category],SFC!B7)</f>
        <v>3577739</v>
      </c>
      <c r="I7" s="809">
        <f ca="1">SUMIFS(BudgetDetails[Expenditures to Date],BudgetDetails[Primary Category],$B$5,BudgetDetails[Secondary Category],B7)</f>
        <v>3303972.9300000006</v>
      </c>
      <c r="J7" s="810"/>
      <c r="K7" s="811">
        <f ca="1">SUMIFS(BudgetDetails[Budget Variance],BudgetDetails[Primary Category],$B$5,BudgetDetails[Secondary Category],B7)</f>
        <v>0</v>
      </c>
      <c r="L7" s="797"/>
      <c r="M7" s="797"/>
      <c r="N7" s="797"/>
      <c r="O7" s="797"/>
      <c r="P7" s="797"/>
      <c r="Q7" s="797"/>
      <c r="R7" s="797"/>
      <c r="S7" s="797"/>
      <c r="T7" s="797"/>
      <c r="U7" s="797"/>
      <c r="V7" s="797"/>
      <c r="W7" s="797"/>
    </row>
    <row r="8" spans="1:23" ht="15.75" hidden="1" customHeight="1" outlineLevel="1">
      <c r="A8" s="1411"/>
      <c r="B8" s="806" t="str">
        <f>'PA Matrix'!C6</f>
        <v xml:space="preserve">Staff Capitalization - Other </v>
      </c>
      <c r="C8" s="807"/>
      <c r="D8" s="808"/>
      <c r="E8" s="808"/>
      <c r="F8" s="809">
        <f ca="1">SUMIFS(BudgetDetails[Base Budget],BudgetDetails[Primary Category],$B$5,BudgetDetails[Secondary Category],SFC!B8)</f>
        <v>0</v>
      </c>
      <c r="G8" s="809">
        <f ca="1">SUMIFS(BudgetDetails[Budget Updates],BudgetDetails[Primary Category],$B$5,BudgetDetails[Secondary Category],SFC!B8)</f>
        <v>0</v>
      </c>
      <c r="H8" s="809">
        <f ca="1">SUMIFS(BudgetDetails[Current Budget],BudgetDetails[Primary Category],$B$5,BudgetDetails[Secondary Category],SFC!B8)</f>
        <v>0</v>
      </c>
      <c r="I8" s="809">
        <f ca="1">SUMIFS(BudgetDetails[Expenditures to Date],BudgetDetails[Primary Category],$B$5,BudgetDetails[Secondary Category],B8)</f>
        <v>0</v>
      </c>
      <c r="J8" s="810"/>
      <c r="K8" s="811">
        <f ca="1">SUMIFS(BudgetDetails[Budget Variance],BudgetDetails[Primary Category],$B$5,BudgetDetails[Secondary Category],B8)</f>
        <v>0</v>
      </c>
      <c r="L8" s="797"/>
      <c r="M8" s="797"/>
      <c r="N8" s="797"/>
      <c r="O8" s="797"/>
      <c r="P8" s="797"/>
      <c r="Q8" s="797"/>
      <c r="R8" s="797"/>
      <c r="S8" s="797"/>
      <c r="T8" s="797"/>
      <c r="U8" s="797"/>
      <c r="V8" s="797"/>
      <c r="W8" s="797"/>
    </row>
    <row r="9" spans="1:23" ht="15.75" hidden="1" customHeight="1" outlineLevel="1">
      <c r="A9" s="1411"/>
      <c r="B9" s="806" t="str">
        <f>'PA Matrix'!C7</f>
        <v>Insurance</v>
      </c>
      <c r="C9" s="807"/>
      <c r="D9" s="808"/>
      <c r="E9" s="808"/>
      <c r="F9" s="809">
        <f ca="1">SUMIFS(BudgetDetails[Base Budget],BudgetDetails[Primary Category],$B$5,BudgetDetails[Secondary Category],SFC!B9)</f>
        <v>0</v>
      </c>
      <c r="G9" s="809">
        <f ca="1">SUMIFS(BudgetDetails[Budget Updates],BudgetDetails[Primary Category],$B$5,BudgetDetails[Secondary Category],SFC!B9)</f>
        <v>0</v>
      </c>
      <c r="H9" s="809">
        <f ca="1">SUMIFS(BudgetDetails[Current Budget],BudgetDetails[Primary Category],$B$5,BudgetDetails[Secondary Category],SFC!B9)</f>
        <v>0</v>
      </c>
      <c r="I9" s="809">
        <f ca="1">SUMIFS(BudgetDetails[Expenditures to Date],BudgetDetails[Primary Category],$B$5,BudgetDetails[Secondary Category],B9)</f>
        <v>0</v>
      </c>
      <c r="J9" s="810"/>
      <c r="K9" s="811">
        <f ca="1">SUMIFS(BudgetDetails[Budget Variance],BudgetDetails[Primary Category],$B$5,BudgetDetails[Secondary Category],B9)</f>
        <v>0</v>
      </c>
      <c r="L9" s="797"/>
      <c r="M9" s="797"/>
      <c r="N9" s="797"/>
      <c r="O9" s="797"/>
      <c r="P9" s="797"/>
      <c r="Q9" s="797"/>
      <c r="R9" s="797"/>
      <c r="S9" s="797"/>
      <c r="T9" s="797"/>
      <c r="U9" s="797"/>
      <c r="V9" s="797"/>
      <c r="W9" s="797"/>
    </row>
    <row r="10" spans="1:23" ht="15.75" hidden="1" customHeight="1" outlineLevel="1">
      <c r="A10" s="1411"/>
      <c r="B10" s="806" t="str">
        <f>'PA Matrix'!C8</f>
        <v>Accrual Write Off</v>
      </c>
      <c r="C10" s="807"/>
      <c r="D10" s="808"/>
      <c r="E10" s="808"/>
      <c r="F10" s="809">
        <f ca="1">SUMIFS(BudgetDetails[Base Budget],BudgetDetails[Primary Category],$B$5,BudgetDetails[Secondary Category],SFC!B10)</f>
        <v>0</v>
      </c>
      <c r="G10" s="809">
        <f ca="1">SUMIFS(BudgetDetails[Budget Updates],BudgetDetails[Primary Category],$B$5,BudgetDetails[Secondary Category],SFC!B10)</f>
        <v>6488</v>
      </c>
      <c r="H10" s="809">
        <f ca="1">SUMIFS(BudgetDetails[Current Budget],BudgetDetails[Primary Category],$B$5,BudgetDetails[Secondary Category],SFC!B10)</f>
        <v>6488</v>
      </c>
      <c r="I10" s="809">
        <f ca="1">SUMIFS(BudgetDetails[Expenditures to Date],BudgetDetails[Primary Category],$B$5,BudgetDetails[Secondary Category],B10)</f>
        <v>127630.05</v>
      </c>
      <c r="J10" s="810"/>
      <c r="K10" s="811">
        <f ca="1">SUMIFS(BudgetDetails[Budget Variance],BudgetDetails[Primary Category],$B$5,BudgetDetails[Secondary Category],B10)</f>
        <v>-121142.05</v>
      </c>
      <c r="L10" s="797"/>
      <c r="M10" s="812"/>
      <c r="N10" s="797"/>
      <c r="O10" s="797"/>
      <c r="P10" s="797"/>
      <c r="Q10" s="797"/>
      <c r="R10" s="797"/>
      <c r="S10" s="797"/>
      <c r="T10" s="797"/>
      <c r="U10" s="797"/>
      <c r="V10" s="797"/>
      <c r="W10" s="797"/>
    </row>
    <row r="11" spans="1:23" ht="15" hidden="1" customHeight="1" outlineLevel="1">
      <c r="A11" s="1411"/>
      <c r="B11" s="806" t="str">
        <f>'PA Matrix'!C9</f>
        <v>Other Administration</v>
      </c>
      <c r="C11" s="807"/>
      <c r="D11" s="808"/>
      <c r="E11" s="808"/>
      <c r="F11" s="809">
        <f ca="1">SUMIFS(BudgetDetails[Base Budget],BudgetDetails[Primary Category],$B$5,BudgetDetails[Secondary Category],SFC!B11)</f>
        <v>25167</v>
      </c>
      <c r="G11" s="809">
        <f ca="1">SUMIFS(BudgetDetails[Budget Updates],BudgetDetails[Primary Category],$B$5,BudgetDetails[Secondary Category],SFC!B11)</f>
        <v>7862.739999999998</v>
      </c>
      <c r="H11" s="809">
        <f ca="1">SUMIFS(BudgetDetails[Current Budget],BudgetDetails[Primary Category],$B$5,BudgetDetails[Secondary Category],SFC!B11)</f>
        <v>33029.74</v>
      </c>
      <c r="I11" s="809">
        <f ca="1">SUMIFS(BudgetDetails[Expenditures to Date],BudgetDetails[Primary Category],$B$5,BudgetDetails[Secondary Category],B11)</f>
        <v>32959.769999999982</v>
      </c>
      <c r="J11" s="810"/>
      <c r="K11" s="811">
        <f ca="1">SUMIFS(BudgetDetails[Budget Variance],BudgetDetails[Primary Category],$B$5,BudgetDetails[Secondary Category],B11)</f>
        <v>14.009999999994761</v>
      </c>
      <c r="L11" s="797"/>
      <c r="M11" s="812"/>
      <c r="N11" s="813"/>
      <c r="O11" s="797"/>
      <c r="P11" s="797"/>
      <c r="Q11" s="797"/>
      <c r="R11" s="797"/>
      <c r="S11" s="797"/>
      <c r="T11" s="797"/>
      <c r="U11" s="797"/>
      <c r="V11" s="797"/>
      <c r="W11" s="797"/>
    </row>
    <row r="12" spans="1:23" s="821" customFormat="1" collapsed="1">
      <c r="A12" s="1411"/>
      <c r="B12" s="1191" t="s">
        <v>1816</v>
      </c>
      <c r="C12" s="1192"/>
      <c r="D12" s="1193"/>
      <c r="E12" s="814"/>
      <c r="F12" s="815">
        <f ca="1">SUM($F$7:F11)</f>
        <v>3000167</v>
      </c>
      <c r="G12" s="815">
        <f ca="1">SUM($G$7:G11)</f>
        <v>617089.74</v>
      </c>
      <c r="H12" s="815">
        <f ca="1">SUM(H7:H11)</f>
        <v>3617256.74</v>
      </c>
      <c r="I12" s="815">
        <f ca="1">SUM(I7:I11)</f>
        <v>3464562.7500000005</v>
      </c>
      <c r="J12" s="816"/>
      <c r="K12" s="817">
        <f ca="1">SUM(K7:K11)</f>
        <v>-121128.04000000001</v>
      </c>
      <c r="L12" s="818"/>
      <c r="M12" s="819"/>
      <c r="N12" s="797"/>
      <c r="O12" s="820"/>
      <c r="P12" s="820"/>
      <c r="Q12" s="820"/>
      <c r="R12" s="820"/>
      <c r="S12" s="820"/>
      <c r="T12" s="820"/>
      <c r="U12" s="820"/>
      <c r="V12" s="820"/>
      <c r="W12" s="820"/>
    </row>
    <row r="13" spans="1:23" s="821" customFormat="1" ht="3.6" customHeight="1" thickBot="1">
      <c r="A13" s="1411"/>
      <c r="B13" s="822"/>
      <c r="C13" s="823"/>
      <c r="D13" s="823"/>
      <c r="E13" s="823"/>
      <c r="F13" s="824"/>
      <c r="G13" s="824"/>
      <c r="H13" s="824"/>
      <c r="I13" s="824"/>
      <c r="J13" s="824"/>
      <c r="K13" s="825"/>
      <c r="L13" s="820"/>
      <c r="M13" s="819"/>
      <c r="N13" s="797"/>
      <c r="O13" s="820"/>
      <c r="P13" s="820"/>
      <c r="Q13" s="820"/>
      <c r="R13" s="820"/>
      <c r="S13" s="820"/>
      <c r="T13" s="820"/>
      <c r="U13" s="820"/>
      <c r="V13" s="820"/>
      <c r="W13" s="820"/>
    </row>
    <row r="14" spans="1:23" s="821" customFormat="1">
      <c r="A14" s="1411"/>
      <c r="B14" s="1185" t="s">
        <v>25</v>
      </c>
      <c r="C14" s="1186"/>
      <c r="D14" s="1186"/>
      <c r="E14" s="1186"/>
      <c r="F14" s="1186"/>
      <c r="G14" s="1186"/>
      <c r="H14" s="1186"/>
      <c r="I14" s="1186"/>
      <c r="J14" s="1186"/>
      <c r="K14" s="1187"/>
      <c r="L14" s="820"/>
      <c r="M14" s="819"/>
      <c r="N14" s="797"/>
      <c r="O14" s="820"/>
      <c r="P14" s="820"/>
      <c r="Q14" s="820"/>
      <c r="R14" s="820"/>
      <c r="S14" s="820"/>
      <c r="T14" s="820"/>
      <c r="U14" s="820"/>
      <c r="V14" s="820"/>
      <c r="W14" s="820"/>
    </row>
    <row r="15" spans="1:23" s="821" customFormat="1">
      <c r="A15" s="1411"/>
      <c r="B15" s="1188" t="s">
        <v>534</v>
      </c>
      <c r="C15" s="1189"/>
      <c r="D15" s="1190"/>
      <c r="E15" s="802"/>
      <c r="F15" s="803" t="s">
        <v>1813</v>
      </c>
      <c r="G15" s="803" t="s">
        <v>1570</v>
      </c>
      <c r="H15" s="803" t="s">
        <v>354</v>
      </c>
      <c r="I15" s="803" t="s">
        <v>1814</v>
      </c>
      <c r="J15" s="804"/>
      <c r="K15" s="805" t="s">
        <v>784</v>
      </c>
      <c r="L15" s="820"/>
      <c r="M15" s="819"/>
      <c r="N15" s="797"/>
      <c r="O15" s="820"/>
      <c r="P15" s="820"/>
      <c r="Q15" s="820"/>
      <c r="R15" s="820"/>
      <c r="S15" s="820"/>
      <c r="T15" s="820"/>
      <c r="U15" s="820"/>
      <c r="V15" s="820"/>
      <c r="W15" s="820"/>
    </row>
    <row r="16" spans="1:23" ht="15" hidden="1" customHeight="1" outlineLevel="1" collapsed="1">
      <c r="A16" s="1411"/>
      <c r="B16" s="806" t="str">
        <f>'PA Matrix'!E5</f>
        <v>Prime Consultant</v>
      </c>
      <c r="C16" s="807"/>
      <c r="D16" s="808"/>
      <c r="E16" s="808"/>
      <c r="F16" s="809">
        <f ca="1">SUMIFS(BudgetDetails[Base Budget],BudgetDetails[Primary Category],$B$14,BudgetDetails[Secondary Category],SFC!B16)</f>
        <v>11000000</v>
      </c>
      <c r="G16" s="809">
        <f ca="1">SUMIFS(BudgetDetails[Budget Updates],BudgetDetails[Primary Category],$B$14,BudgetDetails[Secondary Category],SFC!B16)</f>
        <v>-1256334.1799999997</v>
      </c>
      <c r="H16" s="809">
        <f ca="1">SUMIFS(BudgetDetails[Current Budget],BudgetDetails[Primary Category],$B$14,BudgetDetails[Secondary Category],SFC!B16)</f>
        <v>9743665.8200000003</v>
      </c>
      <c r="I16" s="809">
        <f ca="1">SUMIFS(BudgetDetails[Expenditures to Date],BudgetDetails[Primary Category],$B$14,BudgetDetails[Secondary Category],B16)</f>
        <v>9659288.0199999921</v>
      </c>
      <c r="J16" s="826"/>
      <c r="K16" s="827">
        <f ca="1">SUMIFS(BudgetDetails[Budget Variance],BudgetDetails[Primary Category],$B$14,BudgetDetails[Secondary Category],B16)</f>
        <v>0</v>
      </c>
      <c r="L16" s="797"/>
      <c r="M16" s="812"/>
      <c r="N16" s="828"/>
      <c r="O16" s="797"/>
      <c r="P16" s="797"/>
      <c r="Q16" s="797"/>
      <c r="R16" s="797"/>
      <c r="S16" s="797"/>
      <c r="T16" s="797"/>
      <c r="U16" s="797"/>
      <c r="V16" s="797"/>
      <c r="W16" s="797"/>
    </row>
    <row r="17" spans="1:28" ht="16.350000000000001" hidden="1" customHeight="1" outlineLevel="1">
      <c r="A17" s="1411"/>
      <c r="B17" s="806" t="str">
        <f>'PA Matrix'!E6</f>
        <v>Cost Consulting</v>
      </c>
      <c r="C17" s="807"/>
      <c r="D17" s="808"/>
      <c r="E17" s="808"/>
      <c r="F17" s="809">
        <f ca="1">SUMIFS(BudgetDetails[Base Budget],BudgetDetails[Primary Category],$B$14,BudgetDetails[Secondary Category],SFC!B17)</f>
        <v>0</v>
      </c>
      <c r="G17" s="809">
        <f ca="1">SUMIFS(BudgetDetails[Budget Updates],BudgetDetails[Primary Category],$B$14,BudgetDetails[Secondary Category],SFC!B17)</f>
        <v>0</v>
      </c>
      <c r="H17" s="809">
        <f ca="1">SUMIFS(BudgetDetails[Current Budget],BudgetDetails[Primary Category],$B$14,BudgetDetails[Secondary Category],SFC!B17)</f>
        <v>0</v>
      </c>
      <c r="I17" s="809">
        <f ca="1">SUMIFS(BudgetDetails[Expenditures to Date],BudgetDetails[Primary Category],$B$14,BudgetDetails[Secondary Category],B17)</f>
        <v>0</v>
      </c>
      <c r="J17" s="826"/>
      <c r="K17" s="827">
        <f ca="1">SUMIFS(BudgetDetails[Budget Variance],BudgetDetails[Primary Category],$B$14,BudgetDetails[Secondary Category],B17)</f>
        <v>0</v>
      </c>
      <c r="L17" s="797"/>
      <c r="M17" s="812"/>
      <c r="N17" s="813"/>
      <c r="O17" s="797"/>
      <c r="P17" s="797"/>
      <c r="Q17" s="797"/>
      <c r="R17" s="797"/>
      <c r="S17" s="797"/>
      <c r="T17" s="797"/>
      <c r="U17" s="797"/>
      <c r="V17" s="797"/>
      <c r="W17" s="797"/>
    </row>
    <row r="18" spans="1:28" ht="16.350000000000001" hidden="1" customHeight="1" outlineLevel="1">
      <c r="A18" s="1411"/>
      <c r="B18" s="806" t="str">
        <f>'PA Matrix'!E7</f>
        <v>QA / QC</v>
      </c>
      <c r="C18" s="807"/>
      <c r="D18" s="808"/>
      <c r="E18" s="808"/>
      <c r="F18" s="809">
        <f ca="1">SUMIFS(BudgetDetails[Base Budget],BudgetDetails[Primary Category],$B$14,BudgetDetails[Secondary Category],SFC!B18)</f>
        <v>0</v>
      </c>
      <c r="G18" s="809">
        <f ca="1">SUMIFS(BudgetDetails[Budget Updates],BudgetDetails[Primary Category],$B$14,BudgetDetails[Secondary Category],SFC!B18)</f>
        <v>0</v>
      </c>
      <c r="H18" s="809">
        <f ca="1">SUMIFS(BudgetDetails[Current Budget],BudgetDetails[Primary Category],$B$14,BudgetDetails[Secondary Category],SFC!B18)</f>
        <v>0</v>
      </c>
      <c r="I18" s="809">
        <f ca="1">SUMIFS(BudgetDetails[Expenditures to Date],BudgetDetails[Primary Category],$B$14,BudgetDetails[Secondary Category],B18)</f>
        <v>0</v>
      </c>
      <c r="J18" s="826"/>
      <c r="K18" s="827">
        <f ca="1">SUMIFS(BudgetDetails[Budget Variance],BudgetDetails[Primary Category],$B$14,BudgetDetails[Secondary Category],B18)</f>
        <v>0</v>
      </c>
      <c r="L18" s="797"/>
      <c r="M18" s="812"/>
      <c r="N18" s="797"/>
      <c r="O18" s="797"/>
      <c r="P18" s="797"/>
      <c r="Q18" s="797"/>
      <c r="R18" s="797"/>
      <c r="S18" s="797"/>
      <c r="T18" s="797"/>
      <c r="U18" s="797"/>
      <c r="V18" s="797"/>
      <c r="W18" s="797"/>
    </row>
    <row r="19" spans="1:28" ht="16.350000000000001" hidden="1" customHeight="1" outlineLevel="1">
      <c r="A19" s="1411"/>
      <c r="B19" s="806" t="str">
        <f>'PA Matrix'!E8</f>
        <v>Commissioning</v>
      </c>
      <c r="C19" s="807"/>
      <c r="D19" s="808"/>
      <c r="E19" s="808"/>
      <c r="F19" s="809">
        <f ca="1">SUMIFS(BudgetDetails[Base Budget],BudgetDetails[Primary Category],$B$14,BudgetDetails[Secondary Category],SFC!B19)</f>
        <v>360000</v>
      </c>
      <c r="G19" s="809">
        <f ca="1">SUMIFS(BudgetDetails[Budget Updates],BudgetDetails[Primary Category],$B$14,BudgetDetails[Secondary Category],SFC!B19)</f>
        <v>192455.79000000004</v>
      </c>
      <c r="H19" s="809">
        <f ca="1">SUMIFS(BudgetDetails[Current Budget],BudgetDetails[Primary Category],$B$14,BudgetDetails[Secondary Category],SFC!B19)</f>
        <v>552455.79</v>
      </c>
      <c r="I19" s="809">
        <f ca="1">SUMIFS(BudgetDetails[Expenditures to Date],BudgetDetails[Primary Category],$B$14,BudgetDetails[Secondary Category],B19)</f>
        <v>517954.04</v>
      </c>
      <c r="J19" s="826"/>
      <c r="K19" s="827">
        <f ca="1">SUMIFS(BudgetDetails[Budget Variance],BudgetDetails[Primary Category],$B$14,BudgetDetails[Secondary Category],B19)</f>
        <v>33874.000000000058</v>
      </c>
      <c r="L19" s="797"/>
      <c r="M19" s="812"/>
      <c r="N19" s="797"/>
      <c r="O19" s="797"/>
      <c r="P19" s="797"/>
      <c r="Q19" s="797"/>
      <c r="R19" s="797"/>
      <c r="S19" s="797"/>
      <c r="T19" s="797"/>
      <c r="U19" s="797"/>
      <c r="V19" s="797"/>
      <c r="W19" s="797"/>
    </row>
    <row r="20" spans="1:28" s="830" customFormat="1" ht="15" hidden="1" customHeight="1" outlineLevel="1">
      <c r="A20" s="1411"/>
      <c r="B20" s="806" t="str">
        <f>'PA Matrix'!E9</f>
        <v>Other Professional Services</v>
      </c>
      <c r="C20" s="807"/>
      <c r="D20" s="808"/>
      <c r="E20" s="808"/>
      <c r="F20" s="809">
        <f ca="1">SUMIFS(BudgetDetails[Base Budget],BudgetDetails[Primary Category],$B$14,BudgetDetails[Secondary Category],SFC!B20)</f>
        <v>850000</v>
      </c>
      <c r="G20" s="809">
        <f ca="1">SUMIFS(BudgetDetails[Budget Updates],BudgetDetails[Primary Category],$B$14,BudgetDetails[Secondary Category],SFC!B20)</f>
        <v>733594.56999999983</v>
      </c>
      <c r="H20" s="809">
        <f ca="1">SUMIFS(BudgetDetails[Current Budget],BudgetDetails[Primary Category],$B$14,BudgetDetails[Secondary Category],SFC!B20)</f>
        <v>1583594.5699999998</v>
      </c>
      <c r="I20" s="809">
        <f ca="1">SUMIFS(BudgetDetails[Expenditures to Date],BudgetDetails[Primary Category],$B$14,BudgetDetails[Secondary Category],B20)</f>
        <v>1119144.45</v>
      </c>
      <c r="J20" s="826"/>
      <c r="K20" s="827">
        <f ca="1">SUMIFS(BudgetDetails[Budget Variance],BudgetDetails[Primary Category],$B$14,BudgetDetails[Secondary Category],B20)</f>
        <v>0</v>
      </c>
      <c r="L20" s="829"/>
      <c r="M20" s="813"/>
      <c r="N20" s="813"/>
      <c r="O20" s="813"/>
      <c r="P20" s="813"/>
      <c r="Q20" s="813"/>
      <c r="R20" s="813"/>
      <c r="S20" s="813"/>
      <c r="T20" s="813"/>
      <c r="U20" s="813"/>
      <c r="V20" s="813"/>
      <c r="W20" s="813"/>
    </row>
    <row r="21" spans="1:28" ht="15" hidden="1" customHeight="1" outlineLevel="1">
      <c r="A21" s="1411"/>
      <c r="B21" s="806" t="str">
        <f>'PA Matrix'!E11</f>
        <v>Bridging Consultant</v>
      </c>
      <c r="C21" s="807"/>
      <c r="D21" s="808"/>
      <c r="E21" s="808"/>
      <c r="F21" s="809">
        <f ca="1">SUMIFS(BudgetDetails[Base Budget],BudgetDetails[Primary Category],$B$14,BudgetDetails[Secondary Category],SFC!B21)</f>
        <v>0</v>
      </c>
      <c r="G21" s="809">
        <f ca="1">SUMIFS(BudgetDetails[Budget Updates],BudgetDetails[Primary Category],$B$14,BudgetDetails[Secondary Category],SFC!B21)</f>
        <v>0</v>
      </c>
      <c r="H21" s="809">
        <f ca="1">SUMIFS(BudgetDetails[Current Budget],BudgetDetails[Primary Category],$B$14,BudgetDetails[Secondary Category],SFC!B21)</f>
        <v>0</v>
      </c>
      <c r="I21" s="809">
        <f ca="1">SUMIFS(BudgetDetails[Expenditures to Date],BudgetDetails[Primary Category],$B$14,BudgetDetails[Secondary Category],B21)</f>
        <v>0</v>
      </c>
      <c r="J21" s="826"/>
      <c r="K21" s="827">
        <f ca="1">SUMIFS(BudgetDetails[Budget Variance],BudgetDetails[Primary Category],$B$14,BudgetDetails[Secondary Category],B21)</f>
        <v>0</v>
      </c>
      <c r="L21" s="797"/>
      <c r="M21" s="813"/>
      <c r="N21" s="797"/>
      <c r="O21" s="797"/>
      <c r="P21" s="797"/>
      <c r="Q21" s="797"/>
      <c r="R21" s="797"/>
      <c r="S21" s="797"/>
      <c r="T21" s="797"/>
      <c r="U21" s="797"/>
      <c r="V21" s="797"/>
      <c r="W21" s="797"/>
      <c r="Y21" s="830"/>
      <c r="Z21" s="830"/>
      <c r="AA21" s="830"/>
      <c r="AB21" s="830"/>
    </row>
    <row r="22" spans="1:28" ht="15" hidden="1" customHeight="1" outlineLevel="1">
      <c r="A22" s="1411"/>
      <c r="B22" s="806" t="str">
        <f>'PA Matrix'!E12</f>
        <v>Geotechnical Consultant</v>
      </c>
      <c r="C22" s="807"/>
      <c r="D22" s="808"/>
      <c r="E22" s="808"/>
      <c r="F22" s="809">
        <f ca="1">SUMIFS(BudgetDetails[Base Budget],BudgetDetails[Primary Category],$B$14,BudgetDetails[Secondary Category],SFC!B22)</f>
        <v>0</v>
      </c>
      <c r="G22" s="809">
        <f ca="1">SUMIFS(BudgetDetails[Budget Updates],BudgetDetails[Primary Category],$B$14,BudgetDetails[Secondary Category],SFC!B22)</f>
        <v>0</v>
      </c>
      <c r="H22" s="809">
        <f ca="1">SUMIFS(BudgetDetails[Current Budget],BudgetDetails[Primary Category],$B$14,BudgetDetails[Secondary Category],SFC!B22)</f>
        <v>0</v>
      </c>
      <c r="I22" s="809">
        <f ca="1">SUMIFS(BudgetDetails[Expenditures to Date],BudgetDetails[Primary Category],$B$14,BudgetDetails[Secondary Category],B22)</f>
        <v>0</v>
      </c>
      <c r="J22" s="826"/>
      <c r="K22" s="827">
        <f ca="1">SUMIFS(BudgetDetails[Budget Variance],BudgetDetails[Primary Category],$B$14,BudgetDetails[Secondary Category],B22)</f>
        <v>0</v>
      </c>
      <c r="L22" s="797"/>
      <c r="M22" s="813"/>
      <c r="N22" s="797"/>
      <c r="O22" s="797"/>
      <c r="P22" s="797"/>
      <c r="Q22" s="797"/>
      <c r="R22" s="797"/>
      <c r="S22" s="797"/>
      <c r="T22" s="797"/>
      <c r="U22" s="797"/>
      <c r="V22" s="797"/>
      <c r="W22" s="797"/>
      <c r="X22" s="831"/>
      <c r="Y22" s="830"/>
      <c r="Z22" s="830"/>
      <c r="AA22" s="830"/>
      <c r="AB22" s="830"/>
    </row>
    <row r="23" spans="1:28" s="830" customFormat="1" ht="15" hidden="1" customHeight="1" outlineLevel="1">
      <c r="A23" s="1411"/>
      <c r="B23" s="806" t="str">
        <f>'PA Matrix'!E13</f>
        <v>Transaction Advisor</v>
      </c>
      <c r="C23" s="807"/>
      <c r="D23" s="808"/>
      <c r="E23" s="808"/>
      <c r="F23" s="809">
        <f ca="1">SUMIFS(BudgetDetails[Base Budget],BudgetDetails[Primary Category],$B$14,BudgetDetails[Secondary Category],SFC!B23)</f>
        <v>0</v>
      </c>
      <c r="G23" s="809">
        <f ca="1">SUMIFS(BudgetDetails[Budget Updates],BudgetDetails[Primary Category],$B$14,BudgetDetails[Secondary Category],SFC!B23)</f>
        <v>0</v>
      </c>
      <c r="H23" s="809">
        <f ca="1">SUMIFS(BudgetDetails[Current Budget],BudgetDetails[Primary Category],$B$14,BudgetDetails[Secondary Category],SFC!B23)</f>
        <v>0</v>
      </c>
      <c r="I23" s="809">
        <f ca="1">SUMIFS(BudgetDetails[Expenditures to Date],BudgetDetails[Primary Category],$B$14,BudgetDetails[Secondary Category],B23)</f>
        <v>0</v>
      </c>
      <c r="J23" s="826"/>
      <c r="K23" s="827">
        <f ca="1">SUMIFS(BudgetDetails[Budget Variance],BudgetDetails[Primary Category],$B$14,BudgetDetails[Secondary Category],B23)</f>
        <v>0</v>
      </c>
      <c r="L23" s="813"/>
      <c r="M23" s="813"/>
      <c r="N23" s="797"/>
      <c r="O23" s="797"/>
      <c r="P23" s="797"/>
      <c r="Q23" s="797"/>
      <c r="R23" s="797"/>
      <c r="S23" s="797"/>
      <c r="T23" s="797"/>
      <c r="U23" s="797"/>
      <c r="V23" s="797"/>
      <c r="W23" s="797"/>
      <c r="X23" s="831"/>
    </row>
    <row r="24" spans="1:28" s="830" customFormat="1" ht="15" hidden="1" customHeight="1" outlineLevel="1">
      <c r="A24" s="1411"/>
      <c r="B24" s="806" t="str">
        <f>'PA Matrix'!E14</f>
        <v>Financial Advisor</v>
      </c>
      <c r="C24" s="807"/>
      <c r="D24" s="808"/>
      <c r="E24" s="808"/>
      <c r="F24" s="809">
        <f ca="1">SUMIFS(BudgetDetails[Base Budget],BudgetDetails[Primary Category],$B$14,BudgetDetails[Secondary Category],SFC!B24)</f>
        <v>0</v>
      </c>
      <c r="G24" s="809">
        <f ca="1">SUMIFS(BudgetDetails[Budget Updates],BudgetDetails[Primary Category],$B$14,BudgetDetails[Secondary Category],SFC!B24)</f>
        <v>0</v>
      </c>
      <c r="H24" s="809">
        <f ca="1">SUMIFS(BudgetDetails[Current Budget],BudgetDetails[Primary Category],$B$14,BudgetDetails[Secondary Category],SFC!B24)</f>
        <v>0</v>
      </c>
      <c r="I24" s="809">
        <f ca="1">SUMIFS(BudgetDetails[Expenditures to Date],BudgetDetails[Primary Category],$B$14,BudgetDetails[Secondary Category],B24)</f>
        <v>0</v>
      </c>
      <c r="J24" s="826"/>
      <c r="K24" s="827">
        <f ca="1">SUMIFS(BudgetDetails[Budget Variance],BudgetDetails[Primary Category],$B$14,BudgetDetails[Secondary Category],B24)</f>
        <v>0</v>
      </c>
      <c r="L24" s="813"/>
      <c r="M24" s="797"/>
      <c r="N24" s="797"/>
      <c r="O24" s="797"/>
      <c r="P24" s="797"/>
      <c r="Q24" s="797"/>
      <c r="R24" s="797"/>
      <c r="S24" s="797"/>
      <c r="T24" s="797"/>
      <c r="U24" s="797"/>
      <c r="V24" s="797"/>
      <c r="W24" s="797"/>
    </row>
    <row r="25" spans="1:28" ht="15" hidden="1" customHeight="1" outlineLevel="1">
      <c r="A25" s="1411"/>
      <c r="B25" s="806" t="str">
        <f>'PA Matrix'!E15</f>
        <v>Central Markets Advisor</v>
      </c>
      <c r="C25" s="807"/>
      <c r="D25" s="808"/>
      <c r="E25" s="808"/>
      <c r="F25" s="809">
        <f ca="1">SUMIFS(BudgetDetails[Base Budget],BudgetDetails[Primary Category],$B$14,BudgetDetails[Secondary Category],SFC!B25)</f>
        <v>0</v>
      </c>
      <c r="G25" s="809">
        <f ca="1">SUMIFS(BudgetDetails[Budget Updates],BudgetDetails[Primary Category],$B$14,BudgetDetails[Secondary Category],SFC!B25)</f>
        <v>0</v>
      </c>
      <c r="H25" s="809">
        <f ca="1">SUMIFS(BudgetDetails[Current Budget],BudgetDetails[Primary Category],$B$14,BudgetDetails[Secondary Category],SFC!B25)</f>
        <v>0</v>
      </c>
      <c r="I25" s="809">
        <f ca="1">SUMIFS(BudgetDetails[Expenditures to Date],BudgetDetails[Primary Category],$B$14,BudgetDetails[Secondary Category],B25)</f>
        <v>0</v>
      </c>
      <c r="J25" s="826"/>
      <c r="K25" s="827">
        <f ca="1">SUMIFS(BudgetDetails[Budget Variance],BudgetDetails[Primary Category],$B$14,BudgetDetails[Secondary Category],B25)</f>
        <v>0</v>
      </c>
      <c r="L25" s="797"/>
      <c r="M25" s="813"/>
      <c r="N25" s="829"/>
      <c r="O25" s="797"/>
      <c r="P25" s="797"/>
      <c r="Q25" s="797"/>
      <c r="R25" s="797"/>
      <c r="S25" s="797"/>
      <c r="T25" s="797"/>
      <c r="U25" s="797"/>
      <c r="V25" s="797"/>
      <c r="W25" s="797"/>
      <c r="Y25" s="830"/>
      <c r="Z25" s="830"/>
      <c r="AA25" s="830"/>
      <c r="AB25" s="830"/>
    </row>
    <row r="26" spans="1:28" s="830" customFormat="1" ht="15" hidden="1" customHeight="1" outlineLevel="1">
      <c r="A26" s="1411"/>
      <c r="B26" s="806" t="str">
        <f>'PA Matrix'!E16</f>
        <v>Fairness Advisor</v>
      </c>
      <c r="C26" s="807"/>
      <c r="D26" s="808"/>
      <c r="E26" s="808"/>
      <c r="F26" s="809">
        <f ca="1">SUMIFS(BudgetDetails[Base Budget],BudgetDetails[Primary Category],$B$14,BudgetDetails[Secondary Category],SFC!B26)</f>
        <v>0</v>
      </c>
      <c r="G26" s="809">
        <f ca="1">SUMIFS(BudgetDetails[Budget Updates],BudgetDetails[Primary Category],$B$14,BudgetDetails[Secondary Category],SFC!B26)</f>
        <v>0</v>
      </c>
      <c r="H26" s="809">
        <f ca="1">SUMIFS(BudgetDetails[Current Budget],BudgetDetails[Primary Category],$B$14,BudgetDetails[Secondary Category],SFC!B26)</f>
        <v>0</v>
      </c>
      <c r="I26" s="809">
        <f ca="1">SUMIFS(BudgetDetails[Expenditures to Date],BudgetDetails[Primary Category],$B$14,BudgetDetails[Secondary Category],B26)</f>
        <v>0</v>
      </c>
      <c r="J26" s="826"/>
      <c r="K26" s="827">
        <f ca="1">SUMIFS(BudgetDetails[Budget Variance],BudgetDetails[Primary Category],$B$14,BudgetDetails[Secondary Category],B26)</f>
        <v>0</v>
      </c>
      <c r="L26" s="813"/>
      <c r="M26" s="797"/>
      <c r="N26" s="828"/>
      <c r="O26" s="797"/>
      <c r="P26" s="797"/>
      <c r="Q26" s="797"/>
      <c r="R26" s="797"/>
      <c r="S26" s="797"/>
      <c r="T26" s="797"/>
      <c r="U26" s="797"/>
      <c r="V26" s="797"/>
      <c r="W26" s="797"/>
    </row>
    <row r="27" spans="1:28" ht="15.6" collapsed="1">
      <c r="A27" s="1411"/>
      <c r="B27" s="1191" t="s">
        <v>1816</v>
      </c>
      <c r="C27" s="1192"/>
      <c r="D27" s="1193"/>
      <c r="E27" s="814"/>
      <c r="F27" s="815">
        <f ca="1">SUM(F16:F26)</f>
        <v>12210000</v>
      </c>
      <c r="G27" s="815">
        <f ca="1">SUM(G16:G26)</f>
        <v>-330283.81999999983</v>
      </c>
      <c r="H27" s="815">
        <f ca="1">SUM(H16:H26)</f>
        <v>11879716.18</v>
      </c>
      <c r="I27" s="815">
        <f ca="1">SUM(I16:I26)</f>
        <v>11296386.50999999</v>
      </c>
      <c r="J27" s="832"/>
      <c r="K27" s="833">
        <f ca="1">SUM(K16:K26)</f>
        <v>33874.000000000058</v>
      </c>
      <c r="L27" s="834"/>
      <c r="M27" s="797"/>
      <c r="N27" s="798"/>
      <c r="O27" s="797"/>
      <c r="P27" s="797"/>
      <c r="Q27" s="797"/>
      <c r="R27" s="797"/>
      <c r="S27" s="797"/>
      <c r="T27" s="797"/>
      <c r="U27" s="797"/>
      <c r="V27" s="797"/>
      <c r="W27" s="797"/>
    </row>
    <row r="28" spans="1:28" ht="3.6" customHeight="1" thickBot="1">
      <c r="A28" s="1411"/>
      <c r="B28" s="823"/>
      <c r="C28" s="823"/>
      <c r="D28" s="823"/>
      <c r="E28" s="823"/>
      <c r="F28" s="823"/>
      <c r="G28" s="823"/>
      <c r="H28" s="823"/>
      <c r="I28" s="823"/>
      <c r="J28" s="823"/>
      <c r="K28" s="823"/>
      <c r="L28" s="834"/>
      <c r="M28" s="797"/>
      <c r="N28" s="797"/>
      <c r="O28" s="797"/>
      <c r="P28" s="797"/>
      <c r="Q28" s="797"/>
      <c r="R28" s="797"/>
      <c r="S28" s="797"/>
      <c r="T28" s="797"/>
      <c r="U28" s="797"/>
      <c r="V28" s="797"/>
      <c r="W28" s="797"/>
    </row>
    <row r="29" spans="1:28">
      <c r="A29" s="1411"/>
      <c r="B29" s="1185" t="s">
        <v>31</v>
      </c>
      <c r="C29" s="1186"/>
      <c r="D29" s="1186"/>
      <c r="E29" s="1186"/>
      <c r="F29" s="1186"/>
      <c r="G29" s="1186"/>
      <c r="H29" s="1186"/>
      <c r="I29" s="1186"/>
      <c r="J29" s="1186"/>
      <c r="K29" s="1187"/>
      <c r="L29" s="797"/>
      <c r="M29" s="797"/>
      <c r="N29" s="797"/>
      <c r="O29" s="797"/>
      <c r="P29" s="797"/>
      <c r="Q29" s="797"/>
      <c r="R29" s="797"/>
      <c r="S29" s="797"/>
      <c r="T29" s="797"/>
      <c r="U29" s="797"/>
      <c r="V29" s="797"/>
      <c r="W29" s="797"/>
    </row>
    <row r="30" spans="1:28" ht="14.1" customHeight="1">
      <c r="A30" s="1411"/>
      <c r="B30" s="1188" t="s">
        <v>534</v>
      </c>
      <c r="C30" s="1189"/>
      <c r="D30" s="1190"/>
      <c r="E30" s="802"/>
      <c r="F30" s="803" t="s">
        <v>1813</v>
      </c>
      <c r="G30" s="803" t="s">
        <v>1570</v>
      </c>
      <c r="H30" s="803" t="s">
        <v>354</v>
      </c>
      <c r="I30" s="803" t="s">
        <v>1814</v>
      </c>
      <c r="J30" s="804"/>
      <c r="K30" s="805" t="s">
        <v>1815</v>
      </c>
      <c r="L30" s="797"/>
      <c r="M30" s="797"/>
      <c r="N30" s="797"/>
      <c r="O30" s="797"/>
      <c r="P30" s="797"/>
      <c r="Q30" s="797"/>
      <c r="R30" s="797"/>
      <c r="S30" s="797"/>
      <c r="T30" s="797"/>
      <c r="U30" s="797"/>
      <c r="V30" s="797"/>
      <c r="W30" s="797"/>
    </row>
    <row r="31" spans="1:28" ht="15" hidden="1" customHeight="1" outlineLevel="1">
      <c r="A31" s="1411"/>
      <c r="B31" s="806" t="str">
        <f>'PA Matrix'!G5</f>
        <v>Permits &amp; Fees</v>
      </c>
      <c r="C31" s="807"/>
      <c r="D31" s="808"/>
      <c r="E31" s="808"/>
      <c r="F31" s="809">
        <f ca="1">SUMIFS(BudgetDetails[Base Budget],BudgetDetails[Primary Category],$B$29,BudgetDetails[Secondary Category],SFC!B31)</f>
        <v>250000</v>
      </c>
      <c r="G31" s="809">
        <f ca="1">SUMIFS(BudgetDetails[Budget Updates],BudgetDetails[Primary Category],$B$29,BudgetDetails[Secondary Category],SFC!B31)</f>
        <v>907776.7</v>
      </c>
      <c r="H31" s="809">
        <f ca="1">SUMIFS(BudgetDetails[Current Budget],BudgetDetails[Primary Category],$B$29,BudgetDetails[Secondary Category],SFC!B31)</f>
        <v>1157776.7</v>
      </c>
      <c r="I31" s="809">
        <f ca="1">SUMIFS(BudgetDetails[Expenditures to Date],BudgetDetails[Primary Category],$B$29,BudgetDetails[Secondary Category],B31)</f>
        <v>1157776.7</v>
      </c>
      <c r="J31" s="826"/>
      <c r="K31" s="827">
        <f ca="1">SUMIFS(BudgetDetails[Budget Variance],BudgetDetails[Primary Category],$B$29,BudgetDetails[Secondary Category],B31)</f>
        <v>0</v>
      </c>
      <c r="L31" s="797"/>
      <c r="M31" s="813"/>
      <c r="N31" s="828"/>
      <c r="O31" s="797"/>
      <c r="P31" s="797"/>
      <c r="Q31" s="797"/>
      <c r="R31" s="797"/>
      <c r="S31" s="797"/>
      <c r="T31" s="797"/>
      <c r="U31" s="797"/>
      <c r="V31" s="797"/>
      <c r="W31" s="797"/>
    </row>
    <row r="32" spans="1:28" ht="15" hidden="1" customHeight="1" outlineLevel="1" collapsed="1">
      <c r="A32" s="1411"/>
      <c r="B32" s="806" t="str">
        <f>'PA Matrix'!G6</f>
        <v>Utilities</v>
      </c>
      <c r="C32" s="807"/>
      <c r="D32" s="808"/>
      <c r="E32" s="808"/>
      <c r="F32" s="809">
        <f ca="1">SUMIFS(BudgetDetails[Base Budget],BudgetDetails[Primary Category],$B$29,BudgetDetails[Secondary Category],SFC!B32)</f>
        <v>500000</v>
      </c>
      <c r="G32" s="809">
        <f ca="1">SUMIFS(BudgetDetails[Budget Updates],BudgetDetails[Primary Category],$B$29,BudgetDetails[Secondary Category],SFC!B32)</f>
        <v>-353113.68000000005</v>
      </c>
      <c r="H32" s="809">
        <f ca="1">SUMIFS(BudgetDetails[Current Budget],BudgetDetails[Primary Category],$B$29,BudgetDetails[Secondary Category],SFC!B32)</f>
        <v>146886.31999999998</v>
      </c>
      <c r="I32" s="809">
        <f ca="1">SUMIFS(BudgetDetails[Expenditures to Date],BudgetDetails[Primary Category],$B$29,BudgetDetails[Secondary Category],B32)</f>
        <v>146886.31999999998</v>
      </c>
      <c r="J32" s="826"/>
      <c r="K32" s="827">
        <f ca="1">SUMIFS(BudgetDetails[Budget Variance],BudgetDetails[Primary Category],$B$29,BudgetDetails[Secondary Category],B32)</f>
        <v>0</v>
      </c>
      <c r="L32" s="797"/>
      <c r="M32" s="797"/>
      <c r="N32" s="797"/>
      <c r="O32" s="797"/>
      <c r="P32" s="797"/>
      <c r="Q32" s="797"/>
      <c r="R32" s="797"/>
      <c r="S32" s="797"/>
      <c r="T32" s="797"/>
      <c r="U32" s="797"/>
      <c r="V32" s="797"/>
      <c r="W32" s="797"/>
    </row>
    <row r="33" spans="1:23" ht="16.350000000000001" hidden="1" customHeight="1" outlineLevel="1">
      <c r="A33" s="1411"/>
      <c r="B33" s="806" t="str">
        <f>'PA Matrix'!G7</f>
        <v>Prime Contractor</v>
      </c>
      <c r="C33" s="807"/>
      <c r="D33" s="808"/>
      <c r="E33" s="808"/>
      <c r="F33" s="809">
        <f ca="1">SUMIFS(BudgetDetails[Base Budget],BudgetDetails[Primary Category],$B$29,BudgetDetails[Secondary Category],SFC!B33)</f>
        <v>138000000</v>
      </c>
      <c r="G33" s="809">
        <f ca="1">SUMIFS(BudgetDetails[Budget Updates],BudgetDetails[Primary Category],$B$29,BudgetDetails[Secondary Category],SFC!B33)</f>
        <v>16314591.419999987</v>
      </c>
      <c r="H33" s="809">
        <f ca="1">SUMIFS(BudgetDetails[Current Budget],BudgetDetails[Primary Category],$B$29,BudgetDetails[Secondary Category],SFC!B33)</f>
        <v>154314591.41999999</v>
      </c>
      <c r="I33" s="809">
        <f ca="1">SUMIFS(BudgetDetails[Expenditures to Date],BudgetDetails[Primary Category],$B$29,BudgetDetails[Secondary Category],B33)</f>
        <v>153062832.02000001</v>
      </c>
      <c r="J33" s="826"/>
      <c r="K33" s="827">
        <f ca="1">SUMIFS(BudgetDetails[Budget Variance],BudgetDetails[Primary Category],$B$29,BudgetDetails[Secondary Category],B33)</f>
        <v>0</v>
      </c>
      <c r="L33" s="797"/>
      <c r="M33" s="797"/>
      <c r="N33" s="797"/>
      <c r="O33" s="797"/>
      <c r="P33" s="797"/>
      <c r="Q33" s="797"/>
      <c r="R33" s="797"/>
      <c r="S33" s="797"/>
      <c r="T33" s="797"/>
      <c r="U33" s="797"/>
      <c r="V33" s="797"/>
      <c r="W33" s="797"/>
    </row>
    <row r="34" spans="1:23" ht="16.350000000000001" hidden="1" customHeight="1" outlineLevel="1">
      <c r="A34" s="1411"/>
      <c r="B34" s="806" t="str">
        <f>'PA Matrix'!G8</f>
        <v>Other Contractor</v>
      </c>
      <c r="C34" s="807"/>
      <c r="D34" s="808"/>
      <c r="E34" s="808"/>
      <c r="F34" s="809">
        <f ca="1">SUMIFS(BudgetDetails[Base Budget],BudgetDetails[Primary Category],$B$29,BudgetDetails[Secondary Category],SFC!B34)</f>
        <v>3000000</v>
      </c>
      <c r="G34" s="809">
        <f ca="1">SUMIFS(BudgetDetails[Budget Updates],BudgetDetails[Primary Category],$B$29,BudgetDetails[Secondary Category],SFC!B34)</f>
        <v>-1583287.8800000004</v>
      </c>
      <c r="H34" s="809">
        <f ca="1">SUMIFS(BudgetDetails[Current Budget],BudgetDetails[Primary Category],$B$29,BudgetDetails[Secondary Category],SFC!B34)</f>
        <v>1416712.1199999996</v>
      </c>
      <c r="I34" s="809">
        <f ca="1">SUMIFS(BudgetDetails[Expenditures to Date],BudgetDetails[Primary Category],$B$29,BudgetDetails[Secondary Category],B34)</f>
        <v>916712.12000000011</v>
      </c>
      <c r="J34" s="826"/>
      <c r="K34" s="827">
        <f ca="1">SUMIFS(BudgetDetails[Budget Variance],BudgetDetails[Primary Category],$B$29,BudgetDetails[Secondary Category],B34)</f>
        <v>0</v>
      </c>
      <c r="L34" s="797"/>
      <c r="M34" s="813"/>
      <c r="N34" s="797"/>
      <c r="O34" s="797"/>
      <c r="P34" s="797"/>
      <c r="Q34" s="797"/>
      <c r="R34" s="797"/>
      <c r="S34" s="797"/>
      <c r="T34" s="797"/>
      <c r="U34" s="797"/>
      <c r="V34" s="797"/>
      <c r="W34" s="797"/>
    </row>
    <row r="35" spans="1:23" ht="15" hidden="1" customHeight="1" outlineLevel="1">
      <c r="A35" s="1411"/>
      <c r="B35" s="806" t="str">
        <f>'PA Matrix'!G11</f>
        <v>Allowance - Escalation</v>
      </c>
      <c r="C35" s="807"/>
      <c r="D35" s="808"/>
      <c r="E35" s="808"/>
      <c r="F35" s="809">
        <f ca="1">SUMIFS(BudgetDetails[Base Budget],BudgetDetails[Primary Category],$B$29,BudgetDetails[Secondary Category],SFC!B35)</f>
        <v>7000000</v>
      </c>
      <c r="G35" s="809">
        <f ca="1">SUMIFS(BudgetDetails[Budget Updates],BudgetDetails[Primary Category],$B$29,BudgetDetails[Secondary Category],SFC!B35)</f>
        <v>-7000000</v>
      </c>
      <c r="H35" s="809">
        <f ca="1">SUMIFS(BudgetDetails[Current Budget],BudgetDetails[Primary Category],$B$29,BudgetDetails[Secondary Category],SFC!B35)</f>
        <v>0</v>
      </c>
      <c r="I35" s="809">
        <f ca="1">SUMIFS(BudgetDetails[Expenditures to Date],BudgetDetails[Primary Category],$B$29,BudgetDetails[Secondary Category],B35)</f>
        <v>0</v>
      </c>
      <c r="J35" s="826"/>
      <c r="K35" s="827">
        <f ca="1">SUMIFS(BudgetDetails[Budget Variance],BudgetDetails[Primary Category],$B$29,BudgetDetails[Secondary Category],B35)</f>
        <v>0</v>
      </c>
      <c r="L35" s="797"/>
      <c r="M35" s="797"/>
      <c r="N35" s="797"/>
      <c r="O35" s="797"/>
      <c r="P35" s="797"/>
      <c r="Q35" s="797"/>
      <c r="R35" s="797"/>
      <c r="S35" s="797"/>
      <c r="T35" s="797"/>
      <c r="U35" s="797"/>
      <c r="V35" s="797"/>
      <c r="W35" s="797"/>
    </row>
    <row r="36" spans="1:23" ht="15" hidden="1" customHeight="1" outlineLevel="1">
      <c r="A36" s="1411"/>
      <c r="B36" s="806" t="str">
        <f>'PA Matrix'!G12</f>
        <v>Design Builder</v>
      </c>
      <c r="C36" s="807"/>
      <c r="D36" s="808"/>
      <c r="E36" s="808"/>
      <c r="F36" s="809">
        <f ca="1">SUMIFS(BudgetDetails[Base Budget],BudgetDetails[Primary Category],$B$29,BudgetDetails[Secondary Category],SFC!B36)</f>
        <v>0</v>
      </c>
      <c r="G36" s="809">
        <f ca="1">SUMIFS(BudgetDetails[Budget Updates],BudgetDetails[Primary Category],$B$29,BudgetDetails[Secondary Category],SFC!B36)</f>
        <v>0</v>
      </c>
      <c r="H36" s="809">
        <f ca="1">SUMIFS(BudgetDetails[Current Budget],BudgetDetails[Primary Category],$B$29,BudgetDetails[Secondary Category],SFC!B36)</f>
        <v>0</v>
      </c>
      <c r="I36" s="809">
        <f ca="1">SUMIFS(BudgetDetails[Expenditures to Date],BudgetDetails[Primary Category],$B$29,BudgetDetails[Secondary Category],B36)</f>
        <v>0</v>
      </c>
      <c r="J36" s="826"/>
      <c r="K36" s="827">
        <f ca="1">SUMIFS(BudgetDetails[Budget Variance],BudgetDetails[Primary Category],$B$29,BudgetDetails[Secondary Category],B36)</f>
        <v>0</v>
      </c>
      <c r="L36" s="797"/>
      <c r="M36" s="797"/>
      <c r="N36" s="828"/>
      <c r="O36" s="797"/>
      <c r="P36" s="797"/>
      <c r="Q36" s="797"/>
      <c r="R36" s="797"/>
      <c r="S36" s="797"/>
      <c r="T36" s="797"/>
      <c r="U36" s="797"/>
      <c r="V36" s="797"/>
      <c r="W36" s="797"/>
    </row>
    <row r="37" spans="1:23" ht="15" hidden="1" customHeight="1" outlineLevel="1">
      <c r="A37" s="1411"/>
      <c r="B37" s="806" t="str">
        <f>'PA Matrix'!G13</f>
        <v>Hazmat - Contractor</v>
      </c>
      <c r="C37" s="807"/>
      <c r="D37" s="808"/>
      <c r="E37" s="808"/>
      <c r="F37" s="809">
        <f ca="1">SUMIFS(BudgetDetails[Base Budget],BudgetDetails[Primary Category],$B$29,BudgetDetails[Secondary Category],SFC!B37)</f>
        <v>96165</v>
      </c>
      <c r="G37" s="809">
        <f ca="1">SUMIFS(BudgetDetails[Budget Updates],BudgetDetails[Primary Category],$B$29,BudgetDetails[Secondary Category],SFC!B37)</f>
        <v>0.30000000000291038</v>
      </c>
      <c r="H37" s="809">
        <f ca="1">SUMIFS(BudgetDetails[Current Budget],BudgetDetails[Primary Category],$B$29,BudgetDetails[Secondary Category],SFC!B37)</f>
        <v>96165.3</v>
      </c>
      <c r="I37" s="809">
        <f ca="1">SUMIFS(BudgetDetails[Expenditures to Date],BudgetDetails[Primary Category],$B$29,BudgetDetails[Secondary Category],B37)</f>
        <v>96165.3</v>
      </c>
      <c r="J37" s="826"/>
      <c r="K37" s="827">
        <f ca="1">SUMIFS(BudgetDetails[Budget Variance],BudgetDetails[Primary Category],$B$29,BudgetDetails[Secondary Category],B37)</f>
        <v>0</v>
      </c>
      <c r="L37" s="797"/>
      <c r="M37" s="797"/>
      <c r="N37" s="797"/>
      <c r="O37" s="797"/>
      <c r="P37" s="797"/>
      <c r="Q37" s="797"/>
      <c r="R37" s="797"/>
      <c r="S37" s="797"/>
      <c r="T37" s="797"/>
      <c r="U37" s="797"/>
      <c r="V37" s="797"/>
      <c r="W37" s="797"/>
    </row>
    <row r="38" spans="1:23" ht="15" hidden="1" customHeight="1" outlineLevel="1">
      <c r="A38" s="1411"/>
      <c r="B38" s="806" t="str">
        <f>'PA Matrix'!G14</f>
        <v>Demolition</v>
      </c>
      <c r="C38" s="807"/>
      <c r="D38" s="808"/>
      <c r="E38" s="808"/>
      <c r="F38" s="809">
        <f ca="1">SUMIFS(BudgetDetails[Base Budget],BudgetDetails[Primary Category],$B$29,BudgetDetails[Secondary Category],SFC!B38)</f>
        <v>472888.38</v>
      </c>
      <c r="G38" s="809">
        <f ca="1">SUMIFS(BudgetDetails[Budget Updates],BudgetDetails[Primary Category],$B$29,BudgetDetails[Secondary Category],SFC!B38)</f>
        <v>0</v>
      </c>
      <c r="H38" s="809">
        <f ca="1">SUMIFS(BudgetDetails[Current Budget],BudgetDetails[Primary Category],$B$29,BudgetDetails[Secondary Category],SFC!B38)</f>
        <v>472888.38</v>
      </c>
      <c r="I38" s="809">
        <f ca="1">SUMIFS(BudgetDetails[Expenditures to Date],BudgetDetails[Primary Category],$B$29,BudgetDetails[Secondary Category],B38)</f>
        <v>472888.38</v>
      </c>
      <c r="J38" s="826"/>
      <c r="K38" s="827">
        <f ca="1">SUMIFS(BudgetDetails[Budget Variance],BudgetDetails[Primary Category],$B$29,BudgetDetails[Secondary Category],B38)</f>
        <v>0</v>
      </c>
      <c r="L38" s="797"/>
      <c r="M38" s="797"/>
      <c r="N38" s="797"/>
      <c r="O38" s="797"/>
      <c r="P38" s="797"/>
      <c r="Q38" s="797"/>
      <c r="R38" s="797"/>
      <c r="S38" s="797"/>
      <c r="T38" s="797"/>
      <c r="U38" s="797"/>
      <c r="V38" s="797"/>
      <c r="W38" s="797"/>
    </row>
    <row r="39" spans="1:23" ht="15" hidden="1" customHeight="1" outlineLevel="1">
      <c r="A39" s="1411"/>
      <c r="B39" s="806" t="str">
        <f>'PA Matrix'!G15</f>
        <v>Solar Technology System</v>
      </c>
      <c r="C39" s="807"/>
      <c r="D39" s="808"/>
      <c r="E39" s="808"/>
      <c r="F39" s="809">
        <f ca="1">SUMIFS(BudgetDetails[Base Budget],BudgetDetails[Primary Category],$B$29,BudgetDetails[Secondary Category],SFC!B39)</f>
        <v>0</v>
      </c>
      <c r="G39" s="809">
        <f ca="1">SUMIFS(BudgetDetails[Budget Updates],BudgetDetails[Primary Category],$B$29,BudgetDetails[Secondary Category],SFC!B39)</f>
        <v>0</v>
      </c>
      <c r="H39" s="809">
        <f ca="1">SUMIFS(BudgetDetails[Current Budget],BudgetDetails[Primary Category],$B$29,BudgetDetails[Secondary Category],SFC!B39)</f>
        <v>0</v>
      </c>
      <c r="I39" s="809">
        <f ca="1">SUMIFS(BudgetDetails[Expenditures to Date],BudgetDetails[Primary Category],$B$29,BudgetDetails[Secondary Category],B39)</f>
        <v>0</v>
      </c>
      <c r="J39" s="826"/>
      <c r="K39" s="827">
        <f ca="1">SUMIFS(BudgetDetails[Budget Variance],BudgetDetails[Primary Category],$B$29,BudgetDetails[Secondary Category],B39)</f>
        <v>0</v>
      </c>
      <c r="L39" s="797"/>
      <c r="M39" s="813"/>
      <c r="N39" s="797"/>
      <c r="O39" s="797"/>
      <c r="P39" s="797"/>
      <c r="Q39" s="797"/>
      <c r="R39" s="797"/>
      <c r="S39" s="797"/>
      <c r="T39" s="797"/>
      <c r="U39" s="797"/>
      <c r="V39" s="797"/>
      <c r="W39" s="797"/>
    </row>
    <row r="40" spans="1:23" s="830" customFormat="1" ht="15" hidden="1" customHeight="1" outlineLevel="1">
      <c r="A40" s="1411"/>
      <c r="B40" s="806" t="str">
        <f>'PA Matrix'!G16</f>
        <v>Modular Procurement</v>
      </c>
      <c r="C40" s="807"/>
      <c r="D40" s="808"/>
      <c r="E40" s="808"/>
      <c r="F40" s="809">
        <f ca="1">SUMIFS(BudgetDetails[Base Budget],BudgetDetails[Primary Category],$B$29,BudgetDetails[Secondary Category],SFC!B40)</f>
        <v>0</v>
      </c>
      <c r="G40" s="809">
        <f ca="1">SUMIFS(BudgetDetails[Budget Updates],BudgetDetails[Primary Category],$B$29,BudgetDetails[Secondary Category],SFC!B40)</f>
        <v>0</v>
      </c>
      <c r="H40" s="809">
        <f ca="1">SUMIFS(BudgetDetails[Current Budget],BudgetDetails[Primary Category],$B$29,BudgetDetails[Secondary Category],SFC!B40)</f>
        <v>0</v>
      </c>
      <c r="I40" s="809">
        <f ca="1">SUMIFS(BudgetDetails[Expenditures to Date],BudgetDetails[Primary Category],$B$29,BudgetDetails[Secondary Category],B40)</f>
        <v>0</v>
      </c>
      <c r="J40" s="826"/>
      <c r="K40" s="827">
        <f ca="1">SUMIFS(BudgetDetails[Budget Variance],BudgetDetails[Primary Category],$B$29,BudgetDetails[Secondary Category],B40)</f>
        <v>0</v>
      </c>
      <c r="L40" s="813"/>
      <c r="M40" s="835"/>
      <c r="N40" s="797"/>
      <c r="O40" s="813"/>
      <c r="P40" s="813"/>
      <c r="Q40" s="813"/>
      <c r="R40" s="813"/>
      <c r="S40" s="813"/>
      <c r="T40" s="813"/>
      <c r="U40" s="813"/>
      <c r="V40" s="813"/>
      <c r="W40" s="813"/>
    </row>
    <row r="41" spans="1:23" ht="15.6" collapsed="1">
      <c r="A41" s="1411"/>
      <c r="B41" s="1191" t="s">
        <v>1816</v>
      </c>
      <c r="C41" s="1192"/>
      <c r="D41" s="1193"/>
      <c r="E41" s="814"/>
      <c r="F41" s="815">
        <f ca="1">SUM(F31:F40)</f>
        <v>149319053.38</v>
      </c>
      <c r="G41" s="815">
        <f ca="1">SUM(G31:G40)</f>
        <v>8285966.8599999854</v>
      </c>
      <c r="H41" s="815">
        <f ca="1">SUM(H31:H40)</f>
        <v>157605020.24000001</v>
      </c>
      <c r="I41" s="815">
        <f ca="1">SUM(I31:I40)</f>
        <v>155853260.84000003</v>
      </c>
      <c r="J41" s="832"/>
      <c r="K41" s="833">
        <f ca="1">SUM(K31:K40)</f>
        <v>0</v>
      </c>
      <c r="L41" s="797"/>
      <c r="M41" s="836"/>
      <c r="N41" s="797"/>
      <c r="O41" s="797"/>
      <c r="P41" s="797"/>
      <c r="Q41" s="797"/>
      <c r="R41" s="797"/>
      <c r="S41" s="797"/>
      <c r="T41" s="797"/>
      <c r="U41" s="797"/>
      <c r="V41" s="797"/>
      <c r="W41" s="797"/>
    </row>
    <row r="42" spans="1:23" ht="3.6" customHeight="1" thickBot="1">
      <c r="A42" s="1411"/>
      <c r="B42" s="823"/>
      <c r="C42" s="823"/>
      <c r="D42" s="823"/>
      <c r="E42" s="823"/>
      <c r="F42" s="823"/>
      <c r="G42" s="823"/>
      <c r="H42" s="823"/>
      <c r="I42" s="823"/>
      <c r="J42" s="823"/>
      <c r="K42" s="823"/>
      <c r="L42" s="797"/>
      <c r="M42" s="797"/>
      <c r="N42" s="797"/>
      <c r="O42" s="797"/>
      <c r="P42" s="797"/>
      <c r="Q42" s="797"/>
      <c r="R42" s="797"/>
      <c r="S42" s="797"/>
      <c r="T42" s="797"/>
      <c r="U42" s="797"/>
      <c r="V42" s="797"/>
      <c r="W42" s="797"/>
    </row>
    <row r="43" spans="1:23">
      <c r="A43" s="1411"/>
      <c r="B43" s="1185" t="s">
        <v>37</v>
      </c>
      <c r="C43" s="1186"/>
      <c r="D43" s="1186"/>
      <c r="E43" s="1186"/>
      <c r="F43" s="1186"/>
      <c r="G43" s="1186"/>
      <c r="H43" s="1186"/>
      <c r="I43" s="1186"/>
      <c r="J43" s="1186"/>
      <c r="K43" s="1187"/>
      <c r="L43" s="797"/>
      <c r="M43" s="797"/>
      <c r="N43" s="797"/>
      <c r="O43" s="797"/>
      <c r="P43" s="797"/>
      <c r="Q43" s="797"/>
      <c r="R43" s="797"/>
      <c r="S43" s="797"/>
      <c r="T43" s="797"/>
      <c r="U43" s="797"/>
      <c r="V43" s="797"/>
      <c r="W43" s="797"/>
    </row>
    <row r="44" spans="1:23" ht="14.1" customHeight="1">
      <c r="A44" s="1411"/>
      <c r="B44" s="1188" t="s">
        <v>534</v>
      </c>
      <c r="C44" s="1189"/>
      <c r="D44" s="1190"/>
      <c r="E44" s="802"/>
      <c r="F44" s="803" t="s">
        <v>1813</v>
      </c>
      <c r="G44" s="803" t="s">
        <v>1570</v>
      </c>
      <c r="H44" s="803" t="s">
        <v>354</v>
      </c>
      <c r="I44" s="803" t="s">
        <v>1814</v>
      </c>
      <c r="J44" s="804"/>
      <c r="K44" s="805" t="s">
        <v>1815</v>
      </c>
      <c r="L44" s="797"/>
      <c r="M44" s="797"/>
      <c r="N44" s="797"/>
      <c r="O44" s="797"/>
      <c r="P44" s="797"/>
      <c r="Q44" s="797"/>
      <c r="R44" s="797"/>
      <c r="S44" s="797"/>
      <c r="T44" s="797"/>
      <c r="U44" s="797"/>
      <c r="V44" s="797"/>
      <c r="W44" s="797"/>
    </row>
    <row r="45" spans="1:23" ht="15" hidden="1" customHeight="1" outlineLevel="1">
      <c r="A45" s="1411"/>
      <c r="B45" s="806" t="str">
        <f>'PA Matrix'!I5</f>
        <v>Furniture &amp; Equipment</v>
      </c>
      <c r="C45" s="807"/>
      <c r="D45" s="808"/>
      <c r="E45" s="808"/>
      <c r="F45" s="809">
        <f ca="1">SUMIFS(BudgetDetails[Base Budget],BudgetDetails[Primary Category],$B$43,BudgetDetails[Secondary Category],SFC!B45)</f>
        <v>13000000</v>
      </c>
      <c r="G45" s="809">
        <f ca="1">SUMIFS(BudgetDetails[Budget Updates],BudgetDetails[Primary Category],$B$43,BudgetDetails[Secondary Category],SFC!B45)</f>
        <v>-9963780.0099999998</v>
      </c>
      <c r="H45" s="809">
        <f ca="1">SUMIFS(BudgetDetails[Current Budget],BudgetDetails[Primary Category],$B$43,BudgetDetails[Secondary Category],SFC!B45)</f>
        <v>3036219.99</v>
      </c>
      <c r="I45" s="809">
        <f ca="1">SUMIFS(BudgetDetails[Expenditures to Date],BudgetDetails[Primary Category],$B$43,BudgetDetails[Secondary Category],B45)</f>
        <v>3036219.9900000012</v>
      </c>
      <c r="J45" s="826"/>
      <c r="K45" s="827">
        <f t="shared" ref="K45:K50" ca="1" si="0">H45-I45</f>
        <v>0</v>
      </c>
      <c r="L45" s="797"/>
      <c r="M45" s="835"/>
      <c r="N45" s="797"/>
      <c r="O45" s="797"/>
      <c r="P45" s="797"/>
      <c r="Q45" s="797"/>
      <c r="R45" s="797"/>
      <c r="S45" s="797"/>
      <c r="T45" s="797"/>
      <c r="U45" s="797"/>
      <c r="V45" s="797"/>
      <c r="W45" s="797"/>
    </row>
    <row r="46" spans="1:23" s="830" customFormat="1" ht="15" hidden="1" customHeight="1" outlineLevel="1" collapsed="1">
      <c r="A46" s="1411"/>
      <c r="B46" s="806" t="str">
        <f>'PA Matrix'!I6</f>
        <v>Information Technology</v>
      </c>
      <c r="C46" s="807"/>
      <c r="D46" s="808"/>
      <c r="E46" s="808"/>
      <c r="F46" s="809">
        <f ca="1">SUMIFS(BudgetDetails[Base Budget],BudgetDetails[Primary Category],$B$43,BudgetDetails[Secondary Category],SFC!B46)</f>
        <v>2000000</v>
      </c>
      <c r="G46" s="809">
        <f ca="1">SUMIFS(BudgetDetails[Budget Updates],BudgetDetails[Primary Category],$B$43,BudgetDetails[Secondary Category],SFC!B46)</f>
        <v>2680218.9500000002</v>
      </c>
      <c r="H46" s="809">
        <f ca="1">SUMIFS(BudgetDetails[Current Budget],BudgetDetails[Primary Category],$B$43,BudgetDetails[Secondary Category],SFC!B46)</f>
        <v>4680218.95</v>
      </c>
      <c r="I46" s="809">
        <f ca="1">SUMIFS(BudgetDetails[Expenditures to Date],BudgetDetails[Primary Category],$B$43,BudgetDetails[Secondary Category],B46)</f>
        <v>4211824.57</v>
      </c>
      <c r="J46" s="826"/>
      <c r="K46" s="827">
        <f t="shared" ca="1" si="0"/>
        <v>468394.37999999989</v>
      </c>
      <c r="L46" s="813"/>
      <c r="M46" s="797"/>
      <c r="N46" s="797"/>
      <c r="O46" s="813"/>
      <c r="P46" s="813"/>
      <c r="Q46" s="813"/>
      <c r="R46" s="813"/>
      <c r="S46" s="813"/>
      <c r="T46" s="813"/>
      <c r="U46" s="813"/>
      <c r="V46" s="813"/>
      <c r="W46" s="813"/>
    </row>
    <row r="47" spans="1:23" s="830" customFormat="1" ht="16.350000000000001" hidden="1" customHeight="1" outlineLevel="1">
      <c r="A47" s="1411"/>
      <c r="B47" s="806" t="str">
        <f>'PA Matrix'!I7</f>
        <v>Movers</v>
      </c>
      <c r="C47" s="807"/>
      <c r="D47" s="808"/>
      <c r="E47" s="808"/>
      <c r="F47" s="809">
        <f ca="1">SUMIFS(BudgetDetails[Base Budget],BudgetDetails[Primary Category],$B$43,BudgetDetails[Secondary Category],SFC!B47)</f>
        <v>200000</v>
      </c>
      <c r="G47" s="809">
        <f ca="1">SUMIFS(BudgetDetails[Budget Updates],BudgetDetails[Primary Category],$B$43,BudgetDetails[Secondary Category],SFC!B47)</f>
        <v>-23521.229999999981</v>
      </c>
      <c r="H47" s="809">
        <f ca="1">SUMIFS(BudgetDetails[Current Budget],BudgetDetails[Primary Category],$B$43,BudgetDetails[Secondary Category],SFC!B47)</f>
        <v>176478.77000000002</v>
      </c>
      <c r="I47" s="809">
        <f ca="1">SUMIFS(BudgetDetails[Expenditures to Date],BudgetDetails[Primary Category],$B$43,BudgetDetails[Secondary Category],B47)</f>
        <v>176478.77</v>
      </c>
      <c r="J47" s="826"/>
      <c r="K47" s="827">
        <f t="shared" ca="1" si="0"/>
        <v>0</v>
      </c>
      <c r="L47" s="813"/>
      <c r="M47" s="797"/>
      <c r="N47" s="797"/>
      <c r="O47" s="813"/>
      <c r="P47" s="813"/>
      <c r="Q47" s="813"/>
      <c r="R47" s="813"/>
      <c r="S47" s="813"/>
      <c r="T47" s="813"/>
      <c r="U47" s="813"/>
      <c r="V47" s="813"/>
      <c r="W47" s="813"/>
    </row>
    <row r="48" spans="1:23" ht="16.350000000000001" hidden="1" customHeight="1" outlineLevel="1">
      <c r="A48" s="1411"/>
      <c r="B48" s="806" t="str">
        <f>'PA Matrix'!I8</f>
        <v>SuperNet</v>
      </c>
      <c r="C48" s="807"/>
      <c r="D48" s="808"/>
      <c r="E48" s="808"/>
      <c r="F48" s="809">
        <f ca="1">SUMIFS(BudgetDetails[Base Budget],BudgetDetails[Primary Category],$B$43,BudgetDetails[Secondary Category],SFC!B48)</f>
        <v>0</v>
      </c>
      <c r="G48" s="809">
        <f ca="1">SUMIFS(BudgetDetails[Budget Updates],BudgetDetails[Primary Category],$B$43,BudgetDetails[Secondary Category],SFC!B48)</f>
        <v>0</v>
      </c>
      <c r="H48" s="809">
        <f ca="1">SUMIFS(BudgetDetails[Current Budget],BudgetDetails[Primary Category],$B$43,BudgetDetails[Secondary Category],SFC!B48)</f>
        <v>0</v>
      </c>
      <c r="I48" s="809">
        <f ca="1">SUMIFS(BudgetDetails[Expenditures to Date],BudgetDetails[Primary Category],$B$43,BudgetDetails[Secondary Category],B48)</f>
        <v>0</v>
      </c>
      <c r="J48" s="826"/>
      <c r="K48" s="827">
        <f t="shared" ca="1" si="0"/>
        <v>0</v>
      </c>
      <c r="L48" s="797"/>
      <c r="M48" s="797"/>
      <c r="N48" s="797"/>
      <c r="O48" s="797"/>
      <c r="P48" s="797"/>
      <c r="Q48" s="797"/>
      <c r="R48" s="797"/>
      <c r="S48" s="797"/>
      <c r="T48" s="797"/>
      <c r="U48" s="797"/>
      <c r="V48" s="797"/>
      <c r="W48" s="797"/>
    </row>
    <row r="49" spans="1:23" s="830" customFormat="1" ht="15" hidden="1" customHeight="1" outlineLevel="1">
      <c r="A49" s="1411"/>
      <c r="B49" s="806" t="str">
        <f>'PA Matrix'!I9</f>
        <v>Play Ground Grant</v>
      </c>
      <c r="C49" s="807"/>
      <c r="D49" s="808"/>
      <c r="E49" s="808"/>
      <c r="F49" s="809">
        <f ca="1">SUMIFS(BudgetDetails[Base Budget],BudgetDetails[Primary Category],$B$43,BudgetDetails[Secondary Category],SFC!B49)</f>
        <v>0</v>
      </c>
      <c r="G49" s="809">
        <f ca="1">SUMIFS(BudgetDetails[Budget Updates],BudgetDetails[Primary Category],$B$43,BudgetDetails[Secondary Category],SFC!B49)</f>
        <v>0</v>
      </c>
      <c r="H49" s="809">
        <f ca="1">SUMIFS(BudgetDetails[Current Budget],BudgetDetails[Primary Category],$B$43,BudgetDetails[Secondary Category],SFC!B49)</f>
        <v>0</v>
      </c>
      <c r="I49" s="809">
        <f ca="1">SUMIFS(BudgetDetails[Expenditures to Date],BudgetDetails[Primary Category],$B$43,BudgetDetails[Secondary Category],B49)</f>
        <v>0</v>
      </c>
      <c r="J49" s="826"/>
      <c r="K49" s="827"/>
      <c r="L49" s="813"/>
      <c r="M49" s="797"/>
      <c r="N49" s="797"/>
      <c r="O49" s="813"/>
      <c r="P49" s="813"/>
      <c r="Q49" s="813"/>
      <c r="R49" s="813"/>
      <c r="S49" s="813"/>
      <c r="T49" s="813"/>
      <c r="U49" s="813"/>
      <c r="V49" s="813"/>
      <c r="W49" s="813"/>
    </row>
    <row r="50" spans="1:23" ht="15" hidden="1" customHeight="1" outlineLevel="1">
      <c r="A50" s="1411"/>
      <c r="B50" s="806" t="str">
        <f>'PA Matrix'!I10</f>
        <v>CTS</v>
      </c>
      <c r="C50" s="807"/>
      <c r="D50" s="808"/>
      <c r="E50" s="808"/>
      <c r="F50" s="809">
        <f ca="1">SUMIFS(BudgetDetails[Base Budget],BudgetDetails[Primary Category],$B$43,BudgetDetails[Secondary Category],SFC!B50)</f>
        <v>0</v>
      </c>
      <c r="G50" s="809">
        <f ca="1">SUMIFS(BudgetDetails[Budget Updates],BudgetDetails[Primary Category],$B$43,BudgetDetails[Secondary Category],SFC!B50)</f>
        <v>0</v>
      </c>
      <c r="H50" s="809">
        <f ca="1">SUMIFS(BudgetDetails[Current Budget],BudgetDetails[Primary Category],$B$43,BudgetDetails[Secondary Category],SFC!B50)</f>
        <v>0</v>
      </c>
      <c r="I50" s="809">
        <f ca="1">SUMIFS(BudgetDetails[Expenditures to Date],BudgetDetails[Primary Category],$B$43,BudgetDetails[Secondary Category],B50)</f>
        <v>0</v>
      </c>
      <c r="J50" s="826"/>
      <c r="K50" s="827">
        <f t="shared" ca="1" si="0"/>
        <v>0</v>
      </c>
      <c r="L50" s="797"/>
      <c r="M50" s="835"/>
      <c r="N50" s="797"/>
      <c r="O50" s="797"/>
      <c r="P50" s="797"/>
      <c r="Q50" s="797"/>
      <c r="R50" s="797"/>
      <c r="S50" s="797"/>
      <c r="T50" s="797"/>
      <c r="U50" s="797"/>
      <c r="V50" s="797"/>
      <c r="W50" s="797"/>
    </row>
    <row r="51" spans="1:23" collapsed="1">
      <c r="A51" s="1411"/>
      <c r="B51" s="1191" t="s">
        <v>1816</v>
      </c>
      <c r="C51" s="1192"/>
      <c r="D51" s="1193"/>
      <c r="E51" s="814"/>
      <c r="F51" s="815">
        <f ca="1">SUM(F45:F50)</f>
        <v>15200000</v>
      </c>
      <c r="G51" s="815">
        <f ca="1">SUM(G45:G50)</f>
        <v>-7307082.2899999991</v>
      </c>
      <c r="H51" s="815">
        <f ca="1">SUM(H45:H50)</f>
        <v>7892917.7100000009</v>
      </c>
      <c r="I51" s="815">
        <f ca="1">SUM(I45:I50)</f>
        <v>7424523.330000001</v>
      </c>
      <c r="J51" s="832"/>
      <c r="K51" s="833">
        <f ca="1">SUM(K45:K50)</f>
        <v>468394.37999999989</v>
      </c>
      <c r="L51" s="797"/>
      <c r="M51" s="837"/>
      <c r="N51" s="797"/>
      <c r="O51" s="797"/>
      <c r="P51" s="797"/>
      <c r="Q51" s="797"/>
      <c r="R51" s="797"/>
      <c r="S51" s="797"/>
      <c r="T51" s="797"/>
      <c r="U51" s="797"/>
      <c r="V51" s="797"/>
      <c r="W51" s="797"/>
    </row>
    <row r="52" spans="1:23" ht="3.6" customHeight="1" thickBot="1">
      <c r="A52" s="1411"/>
      <c r="B52" s="823"/>
      <c r="C52" s="823"/>
      <c r="D52" s="823"/>
      <c r="E52" s="823"/>
      <c r="F52" s="823"/>
      <c r="G52" s="823"/>
      <c r="H52" s="823"/>
      <c r="I52" s="823"/>
      <c r="J52" s="823"/>
      <c r="K52" s="823"/>
      <c r="L52" s="797"/>
      <c r="M52" s="797"/>
      <c r="N52" s="797"/>
      <c r="O52" s="797"/>
      <c r="P52" s="797"/>
      <c r="Q52" s="797"/>
      <c r="R52" s="797"/>
      <c r="S52" s="797"/>
      <c r="T52" s="797"/>
      <c r="U52" s="797"/>
      <c r="V52" s="797"/>
      <c r="W52" s="797"/>
    </row>
    <row r="53" spans="1:23">
      <c r="A53" s="1411"/>
      <c r="B53" s="1185" t="s">
        <v>43</v>
      </c>
      <c r="C53" s="1186"/>
      <c r="D53" s="1186"/>
      <c r="E53" s="1186"/>
      <c r="F53" s="1186"/>
      <c r="G53" s="1186"/>
      <c r="H53" s="1186"/>
      <c r="I53" s="1186"/>
      <c r="J53" s="1186"/>
      <c r="K53" s="1187"/>
      <c r="L53" s="797"/>
      <c r="M53" s="797"/>
      <c r="N53" s="797"/>
      <c r="O53" s="797"/>
      <c r="P53" s="797"/>
      <c r="Q53" s="797"/>
      <c r="R53" s="797"/>
      <c r="S53" s="797"/>
      <c r="T53" s="797"/>
      <c r="U53" s="797"/>
      <c r="V53" s="797"/>
      <c r="W53" s="797"/>
    </row>
    <row r="54" spans="1:23" ht="14.1" customHeight="1">
      <c r="A54" s="1411"/>
      <c r="B54" s="1188" t="s">
        <v>534</v>
      </c>
      <c r="C54" s="1189"/>
      <c r="D54" s="1190"/>
      <c r="E54" s="802"/>
      <c r="F54" s="803" t="s">
        <v>1813</v>
      </c>
      <c r="G54" s="803" t="s">
        <v>1570</v>
      </c>
      <c r="H54" s="803" t="s">
        <v>354</v>
      </c>
      <c r="I54" s="803" t="s">
        <v>1814</v>
      </c>
      <c r="J54" s="804"/>
      <c r="K54" s="805" t="s">
        <v>1815</v>
      </c>
      <c r="L54" s="797"/>
      <c r="M54" s="797"/>
      <c r="N54" s="797"/>
      <c r="O54" s="797"/>
      <c r="P54" s="797"/>
      <c r="Q54" s="797"/>
      <c r="R54" s="797"/>
      <c r="S54" s="797"/>
      <c r="T54" s="797"/>
      <c r="U54" s="797"/>
      <c r="V54" s="797"/>
      <c r="W54" s="797"/>
    </row>
    <row r="55" spans="1:23" s="830" customFormat="1" ht="15" hidden="1" customHeight="1" outlineLevel="1">
      <c r="A55" s="1411"/>
      <c r="B55" s="806" t="str">
        <f>'PA Matrix'!K5</f>
        <v>Land Purchase</v>
      </c>
      <c r="C55" s="807"/>
      <c r="D55" s="808"/>
      <c r="E55" s="808"/>
      <c r="F55" s="809">
        <f ca="1">SUMIFS(BudgetDetails[Base Budget],BudgetDetails[Primary Category],$B$53,BudgetDetails[Secondary Category],SFC!B55)</f>
        <v>5000000</v>
      </c>
      <c r="G55" s="809">
        <f ca="1">SUMIFS(BudgetDetails[Budget Updates],BudgetDetails[Primary Category],$B$53,BudgetDetails[Secondary Category],SFC!B55)</f>
        <v>-311388.03000000026</v>
      </c>
      <c r="H55" s="809">
        <f ca="1">SUMIFS(BudgetDetails[Current Budget],BudgetDetails[Primary Category],$B$53,BudgetDetails[Secondary Category],SFC!B55)</f>
        <v>4688611.97</v>
      </c>
      <c r="I55" s="809">
        <f ca="1">SUMIFS(BudgetDetails[Expenditures to Date],BudgetDetails[Primary Category],$B$53,BudgetDetails[Secondary Category],B55)</f>
        <v>4688611.97</v>
      </c>
      <c r="J55" s="826"/>
      <c r="K55" s="827">
        <f ca="1">H55-I55</f>
        <v>0</v>
      </c>
      <c r="L55" s="813"/>
      <c r="M55" s="797"/>
      <c r="N55" s="797"/>
      <c r="O55" s="813"/>
      <c r="P55" s="813"/>
      <c r="Q55" s="813"/>
      <c r="R55" s="813"/>
      <c r="S55" s="813"/>
      <c r="T55" s="813"/>
      <c r="U55" s="813"/>
      <c r="V55" s="813"/>
      <c r="W55" s="813"/>
    </row>
    <row r="56" spans="1:23" collapsed="1">
      <c r="A56" s="1411"/>
      <c r="B56" s="1191" t="s">
        <v>1816</v>
      </c>
      <c r="C56" s="1192"/>
      <c r="D56" s="1193"/>
      <c r="E56" s="814"/>
      <c r="F56" s="815">
        <f ca="1">SUM(F55:F55)</f>
        <v>5000000</v>
      </c>
      <c r="G56" s="815">
        <f ca="1">SUM(G55:G55)</f>
        <v>-311388.03000000026</v>
      </c>
      <c r="H56" s="815">
        <f ca="1">SUM(H55:H55)</f>
        <v>4688611.97</v>
      </c>
      <c r="I56" s="815">
        <f ca="1">SUM(I55:I55)</f>
        <v>4688611.97</v>
      </c>
      <c r="J56" s="832"/>
      <c r="K56" s="833">
        <f ca="1">SUM(K55)</f>
        <v>0</v>
      </c>
      <c r="L56" s="797"/>
      <c r="M56" s="837"/>
      <c r="N56" s="797"/>
      <c r="O56" s="797"/>
      <c r="P56" s="797"/>
      <c r="Q56" s="797"/>
      <c r="R56" s="797"/>
      <c r="S56" s="797"/>
      <c r="T56" s="797"/>
      <c r="U56" s="797"/>
      <c r="V56" s="797"/>
      <c r="W56" s="797"/>
    </row>
    <row r="57" spans="1:23" ht="3.6" customHeight="1" thickBot="1">
      <c r="A57" s="1411"/>
      <c r="B57" s="823"/>
      <c r="C57" s="823"/>
      <c r="D57" s="823"/>
      <c r="E57" s="823"/>
      <c r="F57" s="823"/>
      <c r="G57" s="823"/>
      <c r="H57" s="823"/>
      <c r="I57" s="823"/>
      <c r="J57" s="823"/>
      <c r="K57" s="823"/>
      <c r="L57" s="797"/>
      <c r="M57" s="797"/>
      <c r="N57" s="797"/>
      <c r="O57" s="797"/>
      <c r="P57" s="797"/>
      <c r="Q57" s="797"/>
      <c r="R57" s="797"/>
      <c r="S57" s="797"/>
      <c r="T57" s="797"/>
      <c r="U57" s="797"/>
      <c r="V57" s="797"/>
      <c r="W57" s="797"/>
    </row>
    <row r="58" spans="1:23">
      <c r="A58" s="1411"/>
      <c r="B58" s="1185" t="s">
        <v>48</v>
      </c>
      <c r="C58" s="1186"/>
      <c r="D58" s="1186"/>
      <c r="E58" s="1186"/>
      <c r="F58" s="1186"/>
      <c r="G58" s="1186"/>
      <c r="H58" s="1186"/>
      <c r="I58" s="1186"/>
      <c r="J58" s="1186"/>
      <c r="K58" s="1187"/>
      <c r="L58" s="797"/>
      <c r="M58" s="837"/>
      <c r="N58" s="797"/>
      <c r="O58" s="797"/>
      <c r="P58" s="797"/>
      <c r="Q58" s="797"/>
      <c r="R58" s="797"/>
      <c r="S58" s="797"/>
      <c r="T58" s="797"/>
      <c r="U58" s="797"/>
      <c r="V58" s="797"/>
      <c r="W58" s="797"/>
    </row>
    <row r="59" spans="1:23" ht="14.1" customHeight="1">
      <c r="A59" s="1411"/>
      <c r="B59" s="1188" t="s">
        <v>534</v>
      </c>
      <c r="C59" s="1189"/>
      <c r="D59" s="1190"/>
      <c r="E59" s="802"/>
      <c r="F59" s="803" t="s">
        <v>1813</v>
      </c>
      <c r="G59" s="803" t="s">
        <v>1570</v>
      </c>
      <c r="H59" s="803" t="s">
        <v>354</v>
      </c>
      <c r="I59" s="803" t="s">
        <v>1814</v>
      </c>
      <c r="J59" s="804"/>
      <c r="K59" s="805" t="s">
        <v>1815</v>
      </c>
      <c r="L59" s="797"/>
      <c r="M59" s="797"/>
      <c r="N59" s="797"/>
      <c r="O59" s="797"/>
      <c r="P59" s="797"/>
      <c r="Q59" s="797"/>
      <c r="R59" s="797"/>
      <c r="S59" s="797"/>
      <c r="T59" s="797"/>
      <c r="U59" s="797"/>
      <c r="V59" s="797"/>
      <c r="W59" s="797"/>
    </row>
    <row r="60" spans="1:23" ht="15" hidden="1" customHeight="1" outlineLevel="1">
      <c r="A60" s="1411"/>
      <c r="B60" s="806" t="str">
        <f>'PA Matrix'!M5</f>
        <v>Management Reserve</v>
      </c>
      <c r="C60" s="807"/>
      <c r="D60" s="808"/>
      <c r="E60" s="808"/>
      <c r="F60" s="809">
        <f ca="1">SUMIFS(BudgetDetails[Base Budget],BudgetDetails[Primary Category],$B$58,BudgetDetails[Secondary Category],SFC!B60)</f>
        <v>7000000</v>
      </c>
      <c r="G60" s="809">
        <f ca="1">SUMIFS(BudgetDetails[Budget Updates],BudgetDetails[Primary Category],$B$58,BudgetDetails[Secondary Category],SFC!B60)</f>
        <v>-7000000</v>
      </c>
      <c r="H60" s="809">
        <f ca="1">SUMIFS(BudgetDetails[Current Budget],BudgetDetails[Primary Category],$B$58,BudgetDetails[Secondary Category],SFC!B60)</f>
        <v>0</v>
      </c>
      <c r="I60" s="809">
        <f ca="1">SUMIFS(BudgetDetails[Expenditures to Date],BudgetDetails[Primary Category],$B$58,BudgetDetails[Secondary Category],B60)</f>
        <v>0</v>
      </c>
      <c r="J60" s="826"/>
      <c r="K60" s="827">
        <f ca="1">H60-I60</f>
        <v>0</v>
      </c>
      <c r="L60" s="797"/>
      <c r="M60" s="797"/>
      <c r="N60" s="797"/>
      <c r="O60" s="797"/>
      <c r="P60" s="797"/>
      <c r="Q60" s="797"/>
      <c r="R60" s="797"/>
      <c r="S60" s="797"/>
      <c r="T60" s="797"/>
      <c r="U60" s="797"/>
      <c r="V60" s="797"/>
      <c r="W60" s="797"/>
    </row>
    <row r="61" spans="1:23" collapsed="1">
      <c r="A61" s="1411"/>
      <c r="B61" s="1191" t="s">
        <v>1816</v>
      </c>
      <c r="C61" s="1192"/>
      <c r="D61" s="1193"/>
      <c r="E61" s="814"/>
      <c r="F61" s="815">
        <f ca="1">SUM(F60:F60)</f>
        <v>7000000</v>
      </c>
      <c r="G61" s="815">
        <f ca="1">SUM(G60:G60)</f>
        <v>-7000000</v>
      </c>
      <c r="H61" s="815">
        <f ca="1">SUM(H60:H60)</f>
        <v>0</v>
      </c>
      <c r="I61" s="815">
        <f ca="1">SUM(I60:I60)</f>
        <v>0</v>
      </c>
      <c r="J61" s="832"/>
      <c r="K61" s="833">
        <f ca="1">SUM(K60)</f>
        <v>0</v>
      </c>
      <c r="L61" s="797"/>
      <c r="M61" s="797"/>
      <c r="N61" s="797"/>
      <c r="O61" s="797"/>
      <c r="P61" s="797"/>
      <c r="Q61" s="797"/>
      <c r="R61" s="797"/>
      <c r="S61" s="797"/>
      <c r="T61" s="797"/>
      <c r="U61" s="797"/>
      <c r="V61" s="797"/>
      <c r="W61" s="797"/>
    </row>
    <row r="62" spans="1:23" ht="3.6" customHeight="1" thickBot="1">
      <c r="A62" s="1411"/>
      <c r="B62" s="823"/>
      <c r="C62" s="823"/>
      <c r="D62" s="823"/>
      <c r="E62" s="823"/>
      <c r="F62" s="823"/>
      <c r="G62" s="823"/>
      <c r="H62" s="823"/>
      <c r="I62" s="823"/>
      <c r="J62" s="823"/>
      <c r="K62" s="823"/>
      <c r="L62" s="797"/>
      <c r="M62" s="797"/>
      <c r="N62" s="797"/>
      <c r="O62" s="797"/>
      <c r="P62" s="797"/>
      <c r="Q62" s="797"/>
      <c r="R62" s="797"/>
      <c r="S62" s="797"/>
      <c r="T62" s="797"/>
      <c r="U62" s="797"/>
      <c r="V62" s="797"/>
      <c r="W62" s="797"/>
    </row>
    <row r="63" spans="1:23">
      <c r="A63" s="1411"/>
      <c r="B63" s="1185" t="s">
        <v>1817</v>
      </c>
      <c r="C63" s="1186"/>
      <c r="D63" s="1186"/>
      <c r="E63" s="1186"/>
      <c r="F63" s="1186"/>
      <c r="G63" s="1186"/>
      <c r="H63" s="1186"/>
      <c r="I63" s="1186"/>
      <c r="J63" s="1186"/>
      <c r="K63" s="1187"/>
      <c r="L63" s="797"/>
      <c r="M63" s="797"/>
      <c r="N63" s="797"/>
      <c r="O63" s="797"/>
      <c r="P63" s="797"/>
      <c r="Q63" s="797"/>
      <c r="R63" s="797"/>
      <c r="S63" s="797"/>
      <c r="T63" s="797"/>
      <c r="U63" s="797"/>
      <c r="V63" s="797"/>
      <c r="W63" s="797"/>
    </row>
    <row r="64" spans="1:23" ht="14.1" customHeight="1">
      <c r="A64" s="1411"/>
      <c r="B64" s="1188" t="s">
        <v>534</v>
      </c>
      <c r="C64" s="1189"/>
      <c r="D64" s="1190"/>
      <c r="E64" s="802"/>
      <c r="F64" s="803" t="s">
        <v>1813</v>
      </c>
      <c r="G64" s="803" t="s">
        <v>1570</v>
      </c>
      <c r="H64" s="803" t="s">
        <v>354</v>
      </c>
      <c r="I64" s="803" t="s">
        <v>1814</v>
      </c>
      <c r="J64" s="804"/>
      <c r="K64" s="805" t="s">
        <v>1815</v>
      </c>
      <c r="L64" s="797"/>
      <c r="M64" s="797"/>
      <c r="N64" s="797"/>
      <c r="O64" s="797"/>
      <c r="P64" s="797"/>
      <c r="Q64" s="797"/>
      <c r="R64" s="797"/>
      <c r="S64" s="797"/>
      <c r="T64" s="797"/>
      <c r="U64" s="797"/>
      <c r="V64" s="797"/>
      <c r="W64" s="797"/>
    </row>
    <row r="65" spans="1:23" ht="15" hidden="1" customHeight="1" outlineLevel="1">
      <c r="A65" s="1411"/>
      <c r="B65" s="806" t="str">
        <f>'PA Matrix'!E10</f>
        <v>Contingency - Professional</v>
      </c>
      <c r="C65" s="807"/>
      <c r="D65" s="808"/>
      <c r="E65" s="808"/>
      <c r="F65" s="809">
        <f ca="1">SUMIFS(BudgetDetails[Base Budget],BudgetDetails[Primary Category],$B$14,BudgetDetails[Secondary Category],SFC!B65)</f>
        <v>1000000</v>
      </c>
      <c r="G65" s="809">
        <f ca="1">SUMIFS(BudgetDetails[Budget Updates],BudgetDetails[Primary Category],$B$14,BudgetDetails[Secondary Category],SFC!B65)</f>
        <v>1700000</v>
      </c>
      <c r="H65" s="809">
        <f ca="1">SUMIFS(BudgetDetails[Current Budget],BudgetDetails[Primary Category],$B$14,BudgetDetails[Secondary Category],SFC!B65)</f>
        <v>2700000</v>
      </c>
      <c r="I65" s="809">
        <f ca="1">SUMIFS(BudgetDetails[Expenditures to Date],BudgetDetails[Primary Category],$B$14,BudgetDetails[Secondary Category],B65)</f>
        <v>0</v>
      </c>
      <c r="J65" s="826"/>
      <c r="K65" s="827">
        <f ca="1">H65-I65</f>
        <v>2700000</v>
      </c>
      <c r="L65" s="797"/>
      <c r="M65" s="797"/>
      <c r="N65" s="797"/>
      <c r="O65" s="797"/>
      <c r="P65" s="797"/>
      <c r="Q65" s="797"/>
      <c r="R65" s="797"/>
      <c r="S65" s="797"/>
      <c r="T65" s="797"/>
      <c r="U65" s="797"/>
      <c r="V65" s="797"/>
      <c r="W65" s="797"/>
    </row>
    <row r="66" spans="1:23" ht="15" hidden="1" customHeight="1" outlineLevel="1" collapsed="1">
      <c r="A66" s="1411"/>
      <c r="B66" s="806" t="str">
        <f>'PA Matrix'!G9</f>
        <v>Contingency - Design Phase</v>
      </c>
      <c r="C66" s="807"/>
      <c r="D66" s="808"/>
      <c r="E66" s="808"/>
      <c r="F66" s="809">
        <f ca="1">SUMIFS(BudgetDetails[Base Budget],BudgetDetails[Primary Category],$B$29,BudgetDetails[Secondary Category],SFC!B66)</f>
        <v>0</v>
      </c>
      <c r="G66" s="809">
        <f ca="1">SUMIFS(BudgetDetails[Budget Updates],BudgetDetails[Primary Category],$B$29,BudgetDetails[Secondary Category],SFC!B66)</f>
        <v>0</v>
      </c>
      <c r="H66" s="809">
        <f ca="1">SUMIFS(BudgetDetails[Current Budget],BudgetDetails[Primary Category],$B$29,BudgetDetails[Secondary Category],SFC!B66)</f>
        <v>0</v>
      </c>
      <c r="I66" s="809">
        <f ca="1">SUMIFS(BudgetDetails[Expenditures to Date],BudgetDetails[Primary Category],$B$29,BudgetDetails[Secondary Category],B66)</f>
        <v>0</v>
      </c>
      <c r="J66" s="826"/>
      <c r="K66" s="827">
        <f ca="1">H66-I66</f>
        <v>0</v>
      </c>
      <c r="L66" s="797"/>
      <c r="M66" s="797"/>
      <c r="N66" s="797"/>
      <c r="O66" s="797"/>
      <c r="P66" s="797"/>
      <c r="Q66" s="797"/>
      <c r="R66" s="797"/>
      <c r="S66" s="797"/>
      <c r="T66" s="797"/>
      <c r="U66" s="797"/>
      <c r="V66" s="797"/>
      <c r="W66" s="797"/>
    </row>
    <row r="67" spans="1:23" ht="15.75" hidden="1" customHeight="1" outlineLevel="1">
      <c r="A67" s="1411"/>
      <c r="B67" s="806" t="str">
        <f>'PA Matrix'!G10</f>
        <v>Contingency - Const. Phase</v>
      </c>
      <c r="C67" s="807"/>
      <c r="D67" s="808"/>
      <c r="E67" s="808"/>
      <c r="F67" s="809">
        <f ca="1">SUMIFS(BudgetDetails[Base Budget],BudgetDetails[Primary Category],$B$29,BudgetDetails[Secondary Category],SFC!B67)</f>
        <v>13900000</v>
      </c>
      <c r="G67" s="809">
        <f ca="1">SUMIFS(BudgetDetails[Budget Updates],BudgetDetails[Primary Category],$B$29,BudgetDetails[Secondary Category],SFC!B67)</f>
        <v>-11183523</v>
      </c>
      <c r="H67" s="809">
        <f ca="1">SUMIFS(BudgetDetails[Current Budget],BudgetDetails[Primary Category],$B$29,BudgetDetails[Secondary Category],SFC!B67)</f>
        <v>2716476.9999999995</v>
      </c>
      <c r="I67" s="809">
        <f ca="1">SUMIFS(BudgetDetails[Expenditures to Date],BudgetDetails[Primary Category],$B$29,BudgetDetails[Secondary Category],B67)</f>
        <v>0</v>
      </c>
      <c r="J67" s="826"/>
      <c r="K67" s="827">
        <f ca="1">H67-I67</f>
        <v>2716476.9999999995</v>
      </c>
      <c r="L67" s="797"/>
      <c r="M67" s="797"/>
      <c r="N67" s="797"/>
      <c r="O67" s="797"/>
      <c r="P67" s="797"/>
      <c r="Q67" s="797"/>
      <c r="R67" s="797"/>
      <c r="S67" s="797"/>
      <c r="T67" s="797"/>
      <c r="U67" s="797"/>
      <c r="V67" s="797"/>
      <c r="W67" s="797"/>
    </row>
    <row r="68" spans="1:23" ht="15" hidden="1" customHeight="1" outlineLevel="1">
      <c r="A68" s="1411"/>
      <c r="B68" s="806" t="str">
        <f>'PA Matrix'!G17</f>
        <v>Radon Mitigation</v>
      </c>
      <c r="C68" s="807"/>
      <c r="D68" s="808"/>
      <c r="E68" s="808"/>
      <c r="F68" s="809">
        <f ca="1">SUMIFS(BudgetDetails[Base Budget],BudgetDetails[Primary Category],$B$29,BudgetDetails[Secondary Category],SFC!B68)</f>
        <v>0</v>
      </c>
      <c r="G68" s="809">
        <f ca="1">SUMIFS(BudgetDetails[Budget Updates],BudgetDetails[Primary Category],$B$29,BudgetDetails[Secondary Category],SFC!B68)</f>
        <v>0</v>
      </c>
      <c r="H68" s="809">
        <f ca="1">SUMIFS(BudgetDetails[Current Budget],BudgetDetails[Primary Category],$B$29,BudgetDetails[Secondary Category],SFC!B68)</f>
        <v>0</v>
      </c>
      <c r="I68" s="809">
        <f ca="1">SUMIFS(BudgetDetails[Expenditures to Date],BudgetDetails[Primary Category],$B$29,BudgetDetails[Secondary Category],B68)</f>
        <v>0</v>
      </c>
      <c r="J68" s="826"/>
      <c r="K68" s="827">
        <f ca="1">H68-I68</f>
        <v>0</v>
      </c>
      <c r="L68" s="797"/>
      <c r="M68" s="797"/>
      <c r="N68" s="797"/>
      <c r="O68" s="797"/>
      <c r="P68" s="797"/>
      <c r="Q68" s="797"/>
      <c r="R68" s="797"/>
      <c r="S68" s="797"/>
      <c r="T68" s="797"/>
      <c r="U68" s="797"/>
      <c r="V68" s="797"/>
      <c r="W68" s="797"/>
    </row>
    <row r="69" spans="1:23" collapsed="1">
      <c r="A69" s="1411"/>
      <c r="B69" s="1191" t="s">
        <v>1816</v>
      </c>
      <c r="C69" s="1192"/>
      <c r="D69" s="1193"/>
      <c r="E69" s="814"/>
      <c r="F69" s="815">
        <f ca="1">SUM(F65:F68)</f>
        <v>14900000</v>
      </c>
      <c r="G69" s="815">
        <f ca="1">SUM(G65:G68)</f>
        <v>-9483523</v>
      </c>
      <c r="H69" s="815">
        <f ca="1">SUM(H65:H68)</f>
        <v>5416477</v>
      </c>
      <c r="I69" s="815">
        <f ca="1">SUM(I65:I68)</f>
        <v>0</v>
      </c>
      <c r="J69" s="832"/>
      <c r="K69" s="833">
        <f ca="1">SUM(K65:K68)</f>
        <v>5416477</v>
      </c>
      <c r="L69" s="797"/>
      <c r="M69" s="797"/>
      <c r="N69" s="797"/>
      <c r="O69" s="797"/>
      <c r="P69" s="797"/>
      <c r="Q69" s="797"/>
      <c r="R69" s="797"/>
      <c r="S69" s="797"/>
      <c r="T69" s="797"/>
      <c r="U69" s="797"/>
      <c r="V69" s="797"/>
      <c r="W69" s="797"/>
    </row>
    <row r="70" spans="1:23" ht="3.6" customHeight="1" thickBot="1">
      <c r="A70" s="1411"/>
      <c r="B70" s="823"/>
      <c r="C70" s="823"/>
      <c r="D70" s="823"/>
      <c r="E70" s="823"/>
      <c r="F70" s="823"/>
      <c r="G70" s="823"/>
      <c r="H70" s="823"/>
      <c r="I70" s="823"/>
      <c r="J70" s="823"/>
      <c r="K70" s="823"/>
      <c r="L70" s="797"/>
      <c r="M70" s="797"/>
      <c r="N70" s="797"/>
      <c r="O70" s="797"/>
      <c r="P70" s="797"/>
      <c r="Q70" s="797"/>
      <c r="R70" s="797"/>
      <c r="S70" s="797"/>
      <c r="T70" s="797"/>
      <c r="U70" s="797"/>
      <c r="V70" s="797"/>
      <c r="W70" s="797"/>
    </row>
    <row r="71" spans="1:23" ht="14.65" thickBot="1">
      <c r="A71" s="1411"/>
      <c r="B71" s="1197" t="s">
        <v>1818</v>
      </c>
      <c r="C71" s="1198"/>
      <c r="D71" s="1199"/>
      <c r="E71" s="838"/>
      <c r="F71" s="839">
        <f ca="1">+F12+F27+F41+F51+F56+F61+F69</f>
        <v>206629220.38</v>
      </c>
      <c r="G71" s="839">
        <f ca="1">+G12+G27+G41+G51+G56+G61+G69</f>
        <v>-15529220.540000014</v>
      </c>
      <c r="H71" s="839">
        <f ca="1">+H12+H27+H41+H51+H56+H61+H69</f>
        <v>191099999.84</v>
      </c>
      <c r="I71" s="839">
        <f ca="1">+I12+I27+I41+I51+I56+I61+I69</f>
        <v>182727345.40000004</v>
      </c>
      <c r="J71" s="839"/>
      <c r="K71" s="839">
        <f ca="1">+K12+K27+K41+K51+K56+K61+K69</f>
        <v>5797617.3399999999</v>
      </c>
      <c r="L71" s="797"/>
      <c r="M71" s="797"/>
      <c r="N71" s="797"/>
      <c r="O71" s="797"/>
      <c r="P71" s="797"/>
      <c r="Q71" s="797"/>
      <c r="R71" s="797"/>
      <c r="S71" s="797"/>
      <c r="T71" s="797"/>
      <c r="U71" s="797"/>
      <c r="V71" s="797"/>
      <c r="W71" s="797"/>
    </row>
    <row r="72" spans="1:23" ht="3.6" customHeight="1">
      <c r="A72" s="1411"/>
      <c r="B72" s="823"/>
      <c r="C72" s="823"/>
      <c r="D72" s="823"/>
      <c r="E72" s="823"/>
      <c r="F72" s="840"/>
      <c r="G72" s="840"/>
      <c r="H72" s="840"/>
      <c r="I72" s="840"/>
      <c r="J72" s="840"/>
      <c r="K72" s="840"/>
      <c r="L72" s="797"/>
      <c r="M72" s="797"/>
      <c r="N72" s="797"/>
      <c r="O72" s="797"/>
      <c r="P72" s="797"/>
      <c r="Q72" s="797"/>
      <c r="R72" s="797"/>
      <c r="S72" s="797"/>
      <c r="T72" s="797"/>
      <c r="U72" s="797"/>
      <c r="V72" s="797"/>
      <c r="W72" s="797"/>
    </row>
    <row r="73" spans="1:23" ht="14.65" thickBot="1">
      <c r="A73" s="1411"/>
      <c r="B73" s="1182" t="s">
        <v>1819</v>
      </c>
      <c r="C73" s="1183"/>
      <c r="D73" s="1183"/>
      <c r="E73" s="1183"/>
      <c r="F73" s="1183"/>
      <c r="G73" s="1183"/>
      <c r="H73" s="1183"/>
      <c r="I73" s="1183"/>
      <c r="J73" s="1183"/>
      <c r="K73" s="1184"/>
      <c r="L73" s="797"/>
      <c r="M73" s="837"/>
      <c r="N73" s="797"/>
      <c r="O73" s="797"/>
      <c r="P73" s="797"/>
      <c r="Q73" s="797"/>
      <c r="R73" s="797"/>
      <c r="S73" s="797"/>
      <c r="T73" s="797"/>
      <c r="U73" s="797"/>
      <c r="V73" s="797"/>
      <c r="W73" s="797"/>
    </row>
    <row r="74" spans="1:23" ht="14.1" customHeight="1">
      <c r="A74" s="1411"/>
      <c r="B74" s="1188" t="s">
        <v>534</v>
      </c>
      <c r="C74" s="1189"/>
      <c r="D74" s="1190"/>
      <c r="E74" s="802"/>
      <c r="F74" s="803" t="s">
        <v>1813</v>
      </c>
      <c r="G74" s="803" t="s">
        <v>1570</v>
      </c>
      <c r="H74" s="803" t="s">
        <v>354</v>
      </c>
      <c r="I74" s="803" t="s">
        <v>1814</v>
      </c>
      <c r="J74" s="804"/>
      <c r="K74" s="805" t="s">
        <v>1815</v>
      </c>
      <c r="L74" s="797"/>
      <c r="M74" s="797"/>
      <c r="N74" s="797"/>
      <c r="O74" s="797"/>
      <c r="P74" s="797"/>
      <c r="Q74" s="797"/>
      <c r="R74" s="797"/>
      <c r="S74" s="797"/>
      <c r="T74" s="797"/>
      <c r="U74" s="797"/>
      <c r="V74" s="797"/>
      <c r="W74" s="797"/>
    </row>
    <row r="75" spans="1:23" ht="18" hidden="1" customHeight="1" outlineLevel="1">
      <c r="A75" s="1411"/>
      <c r="B75" s="806" t="s">
        <v>1820</v>
      </c>
      <c r="C75" s="807"/>
      <c r="D75" s="808"/>
      <c r="E75" s="841"/>
      <c r="F75" s="871">
        <f ca="1">SUMPRODUCT(BudgetDetails[Base Budget], 1-ISERROR(MATCH(BudgetDetails[Funding Source], T(1/((T(IF({1},FundingLinesTbl[Project ID]))="HFI")+(T(IF({1},FundingLinesTbl[Project ID]))="GFI")+(T(IF({1},FundingLinesTbl[Project ID]))="LFI"))) &amp; FundingLinesTbl[Description], 0)))</f>
        <v>0</v>
      </c>
      <c r="G75" s="871">
        <f ca="1">SUMPRODUCT(BudgetDetails[Budget Updates], 1-ISERROR(MATCH(BudgetDetails[Funding Source], T(1/((T(IF({1},FundingLinesTbl[Project ID]))="HFI")+(T(IF({1},FundingLinesTbl[Project ID]))="GFI")+(T(IF({1},FundingLinesTbl[Project ID]))="LFI"))) &amp; FundingLinesTbl[Description], 0)))</f>
        <v>0</v>
      </c>
      <c r="H75" s="871">
        <f ca="1">SUMPRODUCT(BudgetDetails[Current Budget], 1-ISERROR(MATCH(BudgetDetails[Funding Source], T(1/((T(IF({1},FundingLinesTbl[Project ID]))="HFI")+(T(IF({1},FundingLinesTbl[Project ID]))="GFI")+(T(IF({1},FundingLinesTbl[Project ID]))="LFI"))) &amp; FundingLinesTbl[Description], 0)))</f>
        <v>0</v>
      </c>
      <c r="I75" s="872">
        <f ca="1">SUMPRODUCT(BudgetDetails[Expenditures to Date], 1-ISERROR(MATCH(BudgetDetails[Funding Source], T(1/((T(IF({1},FundingLinesTbl[Project ID]))="HFI")+(T(IF({1},FundingLinesTbl[Project ID]))="GFI")+(T(IF({1},FundingLinesTbl[Project ID]))="LFI"))) &amp; FundingLinesTbl[Description], 0)))</f>
        <v>0</v>
      </c>
      <c r="J75" s="873"/>
      <c r="K75" s="874">
        <f ca="1">H75-I75</f>
        <v>0</v>
      </c>
      <c r="L75" s="797"/>
      <c r="M75" s="797"/>
      <c r="N75" s="797"/>
      <c r="O75" s="797"/>
      <c r="P75" s="797"/>
      <c r="Q75" s="797"/>
      <c r="R75" s="797"/>
      <c r="S75" s="797"/>
      <c r="T75" s="797"/>
      <c r="U75" s="797"/>
      <c r="V75" s="797"/>
      <c r="W75" s="797"/>
    </row>
    <row r="76" spans="1:23" ht="18" hidden="1" customHeight="1" outlineLevel="1">
      <c r="A76" s="1411"/>
      <c r="B76" s="806" t="s">
        <v>1821</v>
      </c>
      <c r="C76" s="807"/>
      <c r="D76" s="808"/>
      <c r="E76" s="841"/>
      <c r="F76" s="871">
        <f ca="1">SUMPRODUCT(BudgetDetails[Base Budget], 1-ISERROR(MATCH(BudgetDetails[Funding Source], T(1/--(T(IF({1},FundingLinesTbl[Project ID]))="IMP")) &amp; FundingLinesTbl[Description], 0)))</f>
        <v>0</v>
      </c>
      <c r="G76" s="871">
        <f ca="1">SUMPRODUCT(BudgetDetails[Budget Updates], 1-ISERROR(MATCH(BudgetDetails[Funding Source], T(1/--(T(IF({1},FundingLinesTbl[Project ID]))="IMP")) &amp; FundingLinesTbl[Description], 0)))</f>
        <v>0</v>
      </c>
      <c r="H76" s="871">
        <f ca="1">SUMPRODUCT(BudgetDetails[Current Budget], 1-ISERROR(MATCH(BudgetDetails[Funding Source], T(1/--(T(IF({1},FundingLinesTbl[Project ID]))="IMP")) &amp; FundingLinesTbl[Description], 0)))</f>
        <v>0</v>
      </c>
      <c r="I76" s="826">
        <f ca="1">SUMPRODUCT(BudgetDetails[Expenditures to Date], 1-ISERROR(MATCH(BudgetDetails[Funding Source], T(1/--(T(IF({1},FundingLinesTbl[Project ID]))="IMP")) &amp; FundingLinesTbl[Description], 0)))</f>
        <v>0</v>
      </c>
      <c r="J76" s="875"/>
      <c r="K76" s="876">
        <f ca="1">H76-I76</f>
        <v>0</v>
      </c>
      <c r="L76" s="797"/>
      <c r="M76" s="797"/>
      <c r="N76" s="797"/>
      <c r="O76" s="797"/>
      <c r="P76" s="797"/>
      <c r="Q76" s="797"/>
      <c r="R76" s="797"/>
      <c r="S76" s="797"/>
      <c r="T76" s="797"/>
      <c r="U76" s="797"/>
      <c r="V76" s="797"/>
      <c r="W76" s="797"/>
    </row>
    <row r="77" spans="1:23" ht="18" hidden="1" customHeight="1" outlineLevel="1">
      <c r="A77" s="1411"/>
      <c r="B77" s="806" t="s">
        <v>1822</v>
      </c>
      <c r="C77" s="807"/>
      <c r="D77" s="808"/>
      <c r="E77" s="841"/>
      <c r="F77" s="871">
        <f ca="1">SUMPRODUCT(BudgetDetails[Base Budget], 1-ISERROR(MATCH(BudgetDetails[Funding Source], T(1/--(T(IF({1},FundingLinesTbl[Project ID]))="GI")) &amp; FundingLinesTbl[Description], 0)))</f>
        <v>0</v>
      </c>
      <c r="G77" s="871">
        <f ca="1">SUMPRODUCT(BudgetDetails[Budget Updates], 1-ISERROR(MATCH(BudgetDetails[Funding Source], T(1/--(T(IF({1},FundingLinesTbl[Project ID]))="GI")) &amp; FundingLinesTbl[Description], 0)))</f>
        <v>0</v>
      </c>
      <c r="H77" s="871">
        <f ca="1">SUMPRODUCT(BudgetDetails[Current Budget], 1-ISERROR(MATCH(BudgetDetails[Funding Source], T(1/--(T(IF({1},FundingLinesTbl[Project ID]))="GI")) &amp; FundingLinesTbl[Description], 0)))</f>
        <v>0</v>
      </c>
      <c r="I77" s="826">
        <f ca="1">SUMPRODUCT(BudgetDetails[Expenditures to Date], 1-ISERROR(MATCH(BudgetDetails[Funding Source], T(1/--(T(IF({1},FundingLinesTbl[Project ID]))="GI")) &amp; FundingLinesTbl[Description], 0)))</f>
        <v>0</v>
      </c>
      <c r="J77" s="875"/>
      <c r="K77" s="876">
        <f ca="1">H77-I77</f>
        <v>0</v>
      </c>
      <c r="L77" s="797"/>
      <c r="M77" s="797"/>
      <c r="N77" s="797"/>
      <c r="O77" s="797"/>
      <c r="P77" s="797"/>
      <c r="Q77" s="797"/>
      <c r="R77" s="797"/>
      <c r="S77" s="797"/>
      <c r="T77" s="797"/>
      <c r="U77" s="797"/>
      <c r="V77" s="797"/>
      <c r="W77" s="797"/>
    </row>
    <row r="78" spans="1:23" collapsed="1">
      <c r="A78" s="1411"/>
      <c r="B78" s="1191" t="s">
        <v>1823</v>
      </c>
      <c r="C78" s="1192"/>
      <c r="D78" s="1193"/>
      <c r="E78" s="814"/>
      <c r="F78" s="815">
        <f ca="1">SUM(F75:F76)</f>
        <v>0</v>
      </c>
      <c r="G78" s="815">
        <f ca="1">SUM(G75:G76)</f>
        <v>0</v>
      </c>
      <c r="H78" s="815">
        <f ca="1">SUM(H75:H76)</f>
        <v>0</v>
      </c>
      <c r="I78" s="815">
        <f ca="1">SUM(I75:I76)</f>
        <v>0</v>
      </c>
      <c r="J78" s="832"/>
      <c r="K78" s="833">
        <f ca="1">SUM(K75:K77)</f>
        <v>0</v>
      </c>
      <c r="L78" s="797"/>
      <c r="M78" s="797"/>
      <c r="N78" s="797"/>
      <c r="O78" s="797"/>
      <c r="P78" s="797"/>
      <c r="Q78" s="797"/>
      <c r="R78" s="797"/>
      <c r="S78" s="797"/>
      <c r="T78" s="797"/>
      <c r="U78" s="797"/>
      <c r="V78" s="797"/>
      <c r="W78" s="797"/>
    </row>
    <row r="79" spans="1:23" ht="18" hidden="1" customHeight="1" outlineLevel="1">
      <c r="A79" s="1411"/>
      <c r="B79" s="806" t="s">
        <v>1824</v>
      </c>
      <c r="C79" s="807"/>
      <c r="D79" s="808"/>
      <c r="E79" s="842"/>
      <c r="F79" s="810">
        <f ca="1">SUMPRODUCT(BudgetDetails[Base Budget], 1-ISERROR(MATCH(BudgetDetails[Funding Source], T(1/--(T(IF({1},FundingLinesTbl[Project ID]))="FED")) &amp; FundingLinesTbl[Description], 0)))</f>
        <v>0</v>
      </c>
      <c r="G79" s="810">
        <f ca="1">SUMPRODUCT(BudgetDetails[Budget Updates], 1-ISERROR(MATCH(BudgetDetails[Funding Source], T(1/--(T(IF({1},FundingLinesTbl[Project ID]))="FED")) &amp; FundingLinesTbl[Description], 0)))</f>
        <v>0</v>
      </c>
      <c r="H79" s="843">
        <f ca="1">SUMPRODUCT(BudgetDetails[Current Budget], 1-ISERROR(MATCH(BudgetDetails[Funding Source], T(1/--(T(IF({1},FundingLinesTbl[Project ID]))="FED")) &amp; FundingLinesTbl[Description], 0)))</f>
        <v>0</v>
      </c>
      <c r="I79" s="844">
        <f ca="1">SUMPRODUCT(BudgetDetails[Estimate at Completion], 1-ISERROR(MATCH(BudgetDetails[Funding Source], T(1/--(T(IF({1},FundingLinesTbl[Project ID]))="FED")) &amp; FundingLinesTbl[Description], 0)))</f>
        <v>0</v>
      </c>
      <c r="J79" s="845"/>
      <c r="K79" s="846">
        <f ca="1">H79-I79</f>
        <v>0</v>
      </c>
      <c r="L79" s="797"/>
      <c r="M79" s="797"/>
      <c r="N79" s="797"/>
      <c r="O79" s="797"/>
      <c r="P79" s="797"/>
      <c r="Q79" s="797"/>
      <c r="R79" s="797"/>
      <c r="S79" s="797"/>
      <c r="T79" s="797"/>
      <c r="U79" s="797"/>
      <c r="V79" s="797"/>
      <c r="W79" s="797"/>
    </row>
    <row r="80" spans="1:23" ht="18" hidden="1" customHeight="1" outlineLevel="1">
      <c r="A80" s="1411"/>
      <c r="B80" s="806" t="s">
        <v>1825</v>
      </c>
      <c r="C80" s="807"/>
      <c r="D80" s="808"/>
      <c r="E80" s="842"/>
      <c r="F80" s="810">
        <f ca="1">SUMPRODUCT(BudgetDetails[Base Budget], 1-ISERROR(MATCH(BudgetDetails[Funding Source], T(1/--(T(IF({1},FundingLinesTbl[Project ID]))="FO")) &amp; FundingLinesTbl[Description], 0)))</f>
        <v>0</v>
      </c>
      <c r="G80" s="810">
        <f ca="1">SUMPRODUCT(BudgetDetails[Budget Updates], 1-ISERROR(MATCH(BudgetDetails[Funding Source], T(1/--(T(IF({1},FundingLinesTbl[Project ID]))="FO")) &amp; FundingLinesTbl[Description], 0)))</f>
        <v>0</v>
      </c>
      <c r="H80" s="843">
        <f ca="1">SUMPRODUCT(BudgetDetails[Current Budget], 1-ISERROR(MATCH(BudgetDetails[Funding Source], T(1/--(T(IF({1},FundingLinesTbl[Project ID]))="FO")) &amp; FundingLinesTbl[Description], 0)))</f>
        <v>0</v>
      </c>
      <c r="I80" s="844">
        <f ca="1">SUMPRODUCT(BudgetDetails[Estimate at Completion], 1-ISERROR(MATCH(BudgetDetails[Funding Source], T(1/--(T(IF({1},FundingLinesTbl[Project ID]))="FO")) &amp; FundingLinesTbl[Description], 0)))</f>
        <v>0</v>
      </c>
      <c r="J80" s="845"/>
      <c r="K80" s="846">
        <f ca="1">H80-I80</f>
        <v>0</v>
      </c>
      <c r="L80" s="797"/>
      <c r="M80" s="797"/>
      <c r="N80" s="797"/>
      <c r="O80" s="797"/>
      <c r="P80" s="797"/>
      <c r="Q80" s="797"/>
      <c r="R80" s="797"/>
      <c r="S80" s="797"/>
      <c r="T80" s="797"/>
      <c r="U80" s="797"/>
      <c r="V80" s="797"/>
      <c r="W80" s="797"/>
    </row>
    <row r="81" spans="1:23" ht="18" hidden="1" customHeight="1" outlineLevel="1">
      <c r="A81" s="1411"/>
      <c r="B81" s="806" t="s">
        <v>1826</v>
      </c>
      <c r="C81" s="807"/>
      <c r="D81" s="808"/>
      <c r="E81" s="842"/>
      <c r="F81" s="810">
        <f ca="1">SUMPRODUCT(BudgetDetails[Base Budget], 1-ISERROR(MATCH(BudgetDetails[Funding Source], T(1/--(T(IF({1},FundingLinesTbl[Project ID]))="OT")) &amp; FundingLinesTbl[Description], 0)))</f>
        <v>0</v>
      </c>
      <c r="G81" s="810">
        <f ca="1">SUMPRODUCT(BudgetDetails[Budget Updates], 1-ISERROR(MATCH(BudgetDetails[Funding Source], T(1/--(T(IF({1},FundingLinesTbl[Project ID]))="OT")) &amp; FundingLinesTbl[Description], 0)))</f>
        <v>0</v>
      </c>
      <c r="H81" s="847">
        <f ca="1">SUMPRODUCT(BudgetDetails[Current Budget], 1-ISERROR(MATCH(BudgetDetails[Funding Source], T(1/--(T(IF({1},FundingLinesTbl[Project ID]))="OT")) &amp; FundingLinesTbl[Description], 0)))</f>
        <v>0</v>
      </c>
      <c r="I81" s="844">
        <f ca="1">SUMPRODUCT(BudgetDetails[Estimate at Completion], 1-ISERROR(MATCH(BudgetDetails[Funding Source], T(1/--(T(IF({1},FundingLinesTbl[Project ID]))="OT")) &amp; FundingLinesTbl[Description], 0)))</f>
        <v>0</v>
      </c>
      <c r="J81" s="848"/>
      <c r="K81" s="846">
        <f ca="1">H81-I81</f>
        <v>0</v>
      </c>
      <c r="L81" s="797"/>
      <c r="M81" s="797"/>
      <c r="N81" s="797"/>
      <c r="O81" s="797"/>
      <c r="P81" s="797"/>
      <c r="Q81" s="797"/>
      <c r="R81" s="797"/>
      <c r="S81" s="797"/>
      <c r="T81" s="797"/>
      <c r="U81" s="797"/>
      <c r="V81" s="797"/>
      <c r="W81" s="797"/>
    </row>
    <row r="82" spans="1:23" ht="18" hidden="1" customHeight="1" outlineLevel="1">
      <c r="A82" s="1411"/>
      <c r="B82" s="806" t="s">
        <v>1827</v>
      </c>
      <c r="C82" s="807"/>
      <c r="D82" s="808"/>
      <c r="E82" s="841"/>
      <c r="F82" s="810">
        <f ca="1">SUMPRODUCT(BudgetDetails[Base Budget], 1-ISERROR(MATCH(BudgetDetails[Funding Source], T(1/--(T(IF({1},FundingLinesTbl[Project ID]))="TFA")) &amp; FundingLinesTbl[Description], 0)))</f>
        <v>0</v>
      </c>
      <c r="G82" s="810">
        <f ca="1">SUMPRODUCT(BudgetDetails[Budget Updates], 1-ISERROR(MATCH(BudgetDetails[Funding Source], T(1/--(T(IF({1},FundingLinesTbl[Project ID]))="TFA")) &amp; FundingLinesTbl[Description], 0)))</f>
        <v>0</v>
      </c>
      <c r="H82" s="843">
        <f ca="1">SUMPRODUCT(BudgetDetails[Current Budget], 1-ISERROR(MATCH(BudgetDetails[Funding Source], T(1/--(T(IF({1},FundingLinesTbl[Project ID]))="TFA")) &amp; FundingLinesTbl[Description], 0)))</f>
        <v>0</v>
      </c>
      <c r="I82" s="843">
        <f ca="1">SUMPRODUCT(BudgetDetails[Estimate at Completion], 1-ISERROR(MATCH(BudgetDetails[Funding Source], T(1/--(T(IF({1},FundingLinesTbl[Project ID]))="TFA")) &amp; FundingLinesTbl[Description], 0)))</f>
        <v>0</v>
      </c>
      <c r="J82" s="845"/>
      <c r="K82" s="846">
        <f ca="1">H82-I82</f>
        <v>0</v>
      </c>
      <c r="L82" s="797"/>
      <c r="M82" s="797"/>
      <c r="N82" s="797"/>
      <c r="O82" s="797"/>
      <c r="P82" s="797"/>
      <c r="Q82" s="797"/>
      <c r="R82" s="797"/>
      <c r="S82" s="797"/>
      <c r="T82" s="797"/>
      <c r="U82" s="797"/>
      <c r="V82" s="797"/>
      <c r="W82" s="797"/>
    </row>
    <row r="83" spans="1:23" collapsed="1">
      <c r="A83" s="1411"/>
      <c r="B83" s="1191" t="s">
        <v>1828</v>
      </c>
      <c r="C83" s="1192"/>
      <c r="D83" s="1193"/>
      <c r="E83" s="814"/>
      <c r="F83" s="815">
        <f ca="1">SUM(F79:F82)</f>
        <v>0</v>
      </c>
      <c r="G83" s="815">
        <f ca="1">SUM(G79:G82)</f>
        <v>0</v>
      </c>
      <c r="H83" s="815">
        <f ca="1">SUM(H79:H82)</f>
        <v>0</v>
      </c>
      <c r="I83" s="815">
        <f ca="1">SUM(I79:I82)</f>
        <v>0</v>
      </c>
      <c r="J83" s="832"/>
      <c r="K83" s="833">
        <f ca="1">SUM(K79:K82)</f>
        <v>0</v>
      </c>
      <c r="L83" s="797"/>
      <c r="M83" s="797"/>
      <c r="N83" s="797"/>
      <c r="O83" s="797"/>
      <c r="P83" s="797"/>
      <c r="Q83" s="797"/>
      <c r="R83" s="797"/>
      <c r="S83" s="797"/>
      <c r="T83" s="797"/>
      <c r="U83" s="797"/>
      <c r="V83" s="797"/>
      <c r="W83" s="797"/>
    </row>
    <row r="84" spans="1:23" ht="3.6" customHeight="1" thickBot="1">
      <c r="A84" s="1411"/>
      <c r="B84" s="823"/>
      <c r="C84" s="823"/>
      <c r="D84" s="823"/>
      <c r="E84" s="823"/>
      <c r="F84" s="823"/>
      <c r="G84" s="823"/>
      <c r="H84" s="823"/>
      <c r="I84" s="823"/>
      <c r="J84" s="823"/>
      <c r="K84" s="823"/>
      <c r="L84" s="797"/>
      <c r="M84" s="797"/>
      <c r="N84" s="797"/>
      <c r="O84" s="797"/>
      <c r="P84" s="797"/>
      <c r="Q84" s="797"/>
      <c r="R84" s="797"/>
      <c r="S84" s="797"/>
      <c r="T84" s="797"/>
      <c r="U84" s="797"/>
      <c r="V84" s="797"/>
      <c r="W84" s="797"/>
    </row>
    <row r="85" spans="1:23" ht="14.65" thickBot="1">
      <c r="A85" s="1411"/>
      <c r="B85" s="1200" t="s">
        <v>1829</v>
      </c>
      <c r="C85" s="1201"/>
      <c r="D85" s="1202"/>
      <c r="E85" s="849"/>
      <c r="F85" s="850">
        <f ca="1">F78+F83</f>
        <v>0</v>
      </c>
      <c r="G85" s="850">
        <f ca="1">G78+G83</f>
        <v>0</v>
      </c>
      <c r="H85" s="850">
        <f ca="1">H78+H83</f>
        <v>0</v>
      </c>
      <c r="I85" s="850">
        <f ca="1">I78+I83</f>
        <v>0</v>
      </c>
      <c r="J85" s="851"/>
      <c r="K85" s="850">
        <f ca="1">K78+K83</f>
        <v>0</v>
      </c>
      <c r="L85" s="797"/>
      <c r="M85" s="797"/>
      <c r="N85" s="797"/>
      <c r="O85" s="797"/>
      <c r="P85" s="797"/>
      <c r="Q85" s="797"/>
      <c r="R85" s="797"/>
      <c r="S85" s="797"/>
      <c r="T85" s="797"/>
      <c r="U85" s="797"/>
      <c r="V85" s="797"/>
      <c r="W85" s="797"/>
    </row>
    <row r="86" spans="1:23" ht="3.6" customHeight="1">
      <c r="A86" s="1411"/>
      <c r="B86" s="823"/>
      <c r="C86" s="823"/>
      <c r="D86" s="823"/>
      <c r="E86" s="823"/>
      <c r="F86" s="823"/>
      <c r="G86" s="823"/>
      <c r="H86" s="823"/>
      <c r="I86" s="823"/>
      <c r="J86" s="823"/>
      <c r="K86" s="823"/>
      <c r="L86" s="797"/>
      <c r="M86" s="797"/>
      <c r="N86" s="797"/>
      <c r="O86" s="797"/>
      <c r="P86" s="797"/>
      <c r="Q86" s="797"/>
      <c r="R86" s="797"/>
      <c r="S86" s="797"/>
      <c r="T86" s="797"/>
      <c r="U86" s="797"/>
      <c r="V86" s="797"/>
      <c r="W86" s="797"/>
    </row>
    <row r="87" spans="1:23" ht="14.65" thickBot="1">
      <c r="A87" s="1411"/>
      <c r="B87" s="1182" t="s">
        <v>1830</v>
      </c>
      <c r="C87" s="1183"/>
      <c r="D87" s="1183"/>
      <c r="E87" s="1183"/>
      <c r="F87" s="1183"/>
      <c r="G87" s="1183"/>
      <c r="H87" s="1183"/>
      <c r="I87" s="1183"/>
      <c r="J87" s="1183"/>
      <c r="K87" s="1184"/>
      <c r="L87" s="797"/>
      <c r="M87" s="837"/>
      <c r="N87" s="797"/>
      <c r="O87" s="797"/>
      <c r="P87" s="797"/>
      <c r="Q87" s="797"/>
      <c r="R87" s="797"/>
      <c r="S87" s="797"/>
      <c r="T87" s="797"/>
      <c r="U87" s="797"/>
      <c r="V87" s="797"/>
      <c r="W87" s="797"/>
    </row>
    <row r="88" spans="1:23" ht="21.75" customHeight="1" thickBot="1">
      <c r="A88" s="1411"/>
      <c r="B88" s="852" t="s">
        <v>1831</v>
      </c>
      <c r="C88" s="853"/>
      <c r="D88" s="853"/>
      <c r="E88" s="853"/>
      <c r="F88" s="853"/>
      <c r="G88" s="853"/>
      <c r="H88" s="853"/>
      <c r="I88" s="853"/>
      <c r="J88" s="853"/>
      <c r="K88" s="854"/>
      <c r="L88" s="797"/>
      <c r="M88" s="797"/>
      <c r="N88" s="797"/>
      <c r="O88" s="797"/>
      <c r="P88" s="797"/>
      <c r="Q88" s="797"/>
      <c r="R88" s="797"/>
      <c r="S88" s="797"/>
      <c r="T88" s="797"/>
      <c r="U88" s="797"/>
      <c r="V88" s="797"/>
      <c r="W88" s="797"/>
    </row>
    <row r="89" spans="1:23" ht="23.1" customHeight="1">
      <c r="A89" s="1411"/>
      <c r="B89" s="855"/>
      <c r="C89" s="856" t="s">
        <v>1832</v>
      </c>
      <c r="D89" s="856"/>
      <c r="E89" s="856"/>
      <c r="F89" s="856"/>
      <c r="G89" s="856"/>
      <c r="H89" s="856"/>
      <c r="I89" s="856"/>
      <c r="J89" s="856"/>
      <c r="K89" s="857"/>
      <c r="L89" s="797"/>
      <c r="M89" s="797"/>
      <c r="N89" s="797"/>
      <c r="O89" s="797"/>
      <c r="P89" s="797"/>
      <c r="Q89" s="797"/>
      <c r="R89" s="797"/>
      <c r="S89" s="797"/>
      <c r="T89" s="797"/>
      <c r="U89" s="797"/>
      <c r="V89" s="797"/>
      <c r="W89" s="797"/>
    </row>
    <row r="90" spans="1:23" ht="19.350000000000001" customHeight="1">
      <c r="A90" s="1411"/>
      <c r="B90" s="858"/>
      <c r="C90" s="859" t="s">
        <v>1833</v>
      </c>
      <c r="D90" s="860"/>
      <c r="E90" s="860"/>
      <c r="F90" s="860"/>
      <c r="G90" s="860"/>
      <c r="H90" s="860"/>
      <c r="I90" s="860"/>
      <c r="J90" s="860"/>
      <c r="K90" s="861"/>
      <c r="L90" s="797"/>
      <c r="M90" s="797"/>
      <c r="N90" s="797"/>
      <c r="O90" s="797"/>
      <c r="P90" s="797"/>
      <c r="Q90" s="797"/>
      <c r="R90" s="797"/>
      <c r="S90" s="797"/>
      <c r="T90" s="797"/>
      <c r="U90" s="797"/>
      <c r="V90" s="797"/>
      <c r="W90" s="797"/>
    </row>
    <row r="91" spans="1:23" ht="19.350000000000001" customHeight="1">
      <c r="A91" s="1411"/>
      <c r="B91" s="858"/>
      <c r="C91" s="859" t="s">
        <v>1834</v>
      </c>
      <c r="D91" s="860"/>
      <c r="E91" s="860"/>
      <c r="F91" s="860"/>
      <c r="G91" s="860"/>
      <c r="H91" s="860"/>
      <c r="I91" s="860"/>
      <c r="J91" s="860"/>
      <c r="K91" s="861"/>
      <c r="L91" s="797"/>
      <c r="M91" s="797"/>
      <c r="N91" s="797"/>
      <c r="O91" s="797"/>
      <c r="P91" s="797"/>
      <c r="Q91" s="797"/>
      <c r="R91" s="797"/>
      <c r="S91" s="797"/>
      <c r="T91" s="797"/>
      <c r="U91" s="797"/>
      <c r="V91" s="797"/>
      <c r="W91" s="797"/>
    </row>
    <row r="92" spans="1:23" ht="19.350000000000001" customHeight="1">
      <c r="A92" s="1411"/>
      <c r="B92" s="858"/>
      <c r="C92" s="859" t="s">
        <v>1835</v>
      </c>
      <c r="D92" s="860"/>
      <c r="E92" s="860"/>
      <c r="F92" s="860"/>
      <c r="G92" s="860"/>
      <c r="H92" s="860"/>
      <c r="I92" s="860"/>
      <c r="J92" s="860"/>
      <c r="K92" s="861"/>
      <c r="L92" s="797"/>
      <c r="M92" s="797"/>
      <c r="N92" s="797"/>
      <c r="O92" s="797"/>
      <c r="P92" s="797"/>
      <c r="Q92" s="797"/>
      <c r="R92" s="797"/>
      <c r="S92" s="797"/>
      <c r="T92" s="797"/>
      <c r="U92" s="797"/>
      <c r="V92" s="797"/>
      <c r="W92" s="797"/>
    </row>
    <row r="93" spans="1:23" ht="20.100000000000001" customHeight="1">
      <c r="A93" s="1411"/>
      <c r="B93" s="858"/>
      <c r="C93" s="859" t="s">
        <v>1836</v>
      </c>
      <c r="D93" s="860"/>
      <c r="E93" s="860"/>
      <c r="F93" s="860"/>
      <c r="G93" s="860"/>
      <c r="H93" s="860"/>
      <c r="I93" s="860"/>
      <c r="J93" s="860"/>
      <c r="K93" s="861"/>
      <c r="L93" s="797"/>
      <c r="M93" s="797"/>
      <c r="N93" s="797"/>
      <c r="O93" s="797"/>
      <c r="P93" s="797"/>
      <c r="Q93" s="797"/>
      <c r="R93" s="797"/>
      <c r="S93" s="797"/>
      <c r="T93" s="797"/>
      <c r="U93" s="797"/>
      <c r="V93" s="797"/>
      <c r="W93" s="797"/>
    </row>
    <row r="94" spans="1:23" ht="20.100000000000001" customHeight="1">
      <c r="A94" s="1411"/>
      <c r="B94" s="858" t="s">
        <v>1837</v>
      </c>
      <c r="C94" s="860"/>
      <c r="D94" s="860"/>
      <c r="E94" s="860"/>
      <c r="F94" s="860"/>
      <c r="G94" s="860"/>
      <c r="H94" s="860"/>
      <c r="I94" s="860"/>
      <c r="J94" s="860"/>
      <c r="K94" s="861"/>
      <c r="L94" s="797"/>
      <c r="M94" s="797"/>
      <c r="N94" s="797"/>
      <c r="O94" s="797"/>
      <c r="P94" s="797"/>
      <c r="Q94" s="797"/>
      <c r="R94" s="797"/>
      <c r="S94" s="797"/>
      <c r="T94" s="797"/>
      <c r="U94" s="797"/>
      <c r="V94" s="797"/>
      <c r="W94" s="797"/>
    </row>
    <row r="95" spans="1:23" ht="20.100000000000001" customHeight="1">
      <c r="A95" s="1411"/>
      <c r="B95" s="858"/>
      <c r="C95" s="859" t="s">
        <v>1838</v>
      </c>
      <c r="D95" s="860"/>
      <c r="E95" s="860"/>
      <c r="F95" s="860"/>
      <c r="G95" s="860"/>
      <c r="H95" s="860"/>
      <c r="I95" s="860"/>
      <c r="J95" s="860"/>
      <c r="K95" s="861"/>
      <c r="L95" s="797"/>
      <c r="M95" s="797"/>
      <c r="N95" s="797"/>
      <c r="O95" s="797"/>
      <c r="P95" s="797"/>
      <c r="Q95" s="797"/>
      <c r="R95" s="797"/>
      <c r="S95" s="797"/>
      <c r="T95" s="797"/>
      <c r="U95" s="797"/>
      <c r="V95" s="797"/>
      <c r="W95" s="797"/>
    </row>
    <row r="96" spans="1:23" ht="20.100000000000001" customHeight="1">
      <c r="A96" s="1411"/>
      <c r="B96" s="858"/>
      <c r="C96" s="860" t="s">
        <v>1839</v>
      </c>
      <c r="D96" s="860"/>
      <c r="E96" s="860"/>
      <c r="F96" s="860"/>
      <c r="G96" s="860"/>
      <c r="H96" s="860"/>
      <c r="I96" s="860"/>
      <c r="J96" s="860"/>
      <c r="K96" s="861"/>
      <c r="L96" s="797"/>
      <c r="M96" s="797"/>
      <c r="N96" s="797"/>
      <c r="O96" s="797"/>
      <c r="P96" s="797"/>
      <c r="Q96" s="797"/>
      <c r="R96" s="797"/>
      <c r="S96" s="797"/>
      <c r="T96" s="797"/>
      <c r="U96" s="797"/>
      <c r="V96" s="797"/>
      <c r="W96" s="797"/>
    </row>
    <row r="97" spans="1:23" ht="20.100000000000001" customHeight="1">
      <c r="A97" s="1411"/>
      <c r="B97" s="858"/>
      <c r="C97" s="859" t="s">
        <v>1840</v>
      </c>
      <c r="D97" s="860"/>
      <c r="E97" s="860"/>
      <c r="F97" s="860"/>
      <c r="G97" s="860"/>
      <c r="H97" s="860"/>
      <c r="I97" s="860"/>
      <c r="J97" s="860"/>
      <c r="K97" s="861"/>
      <c r="L97" s="797"/>
      <c r="M97" s="797"/>
      <c r="N97" s="797"/>
      <c r="O97" s="797"/>
      <c r="P97" s="797"/>
      <c r="Q97" s="797"/>
      <c r="R97" s="797"/>
      <c r="S97" s="797"/>
      <c r="T97" s="797"/>
      <c r="U97" s="797"/>
      <c r="V97" s="797"/>
      <c r="W97" s="797"/>
    </row>
    <row r="98" spans="1:23" ht="20.100000000000001" customHeight="1">
      <c r="A98" s="1411"/>
      <c r="B98" s="858"/>
      <c r="C98" s="859" t="s">
        <v>1841</v>
      </c>
      <c r="D98" s="860"/>
      <c r="E98" s="860"/>
      <c r="F98" s="860"/>
      <c r="G98" s="860"/>
      <c r="H98" s="860"/>
      <c r="I98" s="860"/>
      <c r="J98" s="860"/>
      <c r="K98" s="861"/>
      <c r="L98" s="797"/>
      <c r="M98" s="797"/>
      <c r="N98" s="797"/>
      <c r="O98" s="797"/>
      <c r="P98" s="797"/>
      <c r="Q98" s="797"/>
      <c r="R98" s="797"/>
      <c r="S98" s="797"/>
      <c r="T98" s="797"/>
      <c r="U98" s="797"/>
      <c r="V98" s="797"/>
      <c r="W98" s="797"/>
    </row>
    <row r="99" spans="1:23" ht="20.100000000000001" customHeight="1">
      <c r="A99" s="1411"/>
      <c r="B99" s="858"/>
      <c r="C99" s="860" t="s">
        <v>1842</v>
      </c>
      <c r="D99" s="860"/>
      <c r="E99" s="860"/>
      <c r="F99" s="860"/>
      <c r="G99" s="860"/>
      <c r="H99" s="860"/>
      <c r="I99" s="860"/>
      <c r="J99" s="860"/>
      <c r="K99" s="861"/>
      <c r="L99" s="797"/>
      <c r="M99" s="797"/>
      <c r="N99" s="797"/>
      <c r="O99" s="797"/>
      <c r="P99" s="797"/>
      <c r="Q99" s="797"/>
      <c r="R99" s="797"/>
      <c r="S99" s="797"/>
      <c r="T99" s="797"/>
      <c r="U99" s="797"/>
      <c r="V99" s="797"/>
      <c r="W99" s="797"/>
    </row>
    <row r="100" spans="1:23" ht="20.100000000000001" customHeight="1">
      <c r="A100" s="1411"/>
      <c r="B100" s="858"/>
      <c r="C100" s="859" t="s">
        <v>1843</v>
      </c>
      <c r="D100" s="860"/>
      <c r="E100" s="860"/>
      <c r="F100" s="860"/>
      <c r="G100" s="860"/>
      <c r="H100" s="860"/>
      <c r="I100" s="860"/>
      <c r="J100" s="860"/>
      <c r="K100" s="861"/>
      <c r="L100" s="797"/>
      <c r="M100" s="797"/>
      <c r="N100" s="797"/>
      <c r="O100" s="797"/>
      <c r="P100" s="797"/>
      <c r="Q100" s="797"/>
      <c r="R100" s="797"/>
      <c r="S100" s="797"/>
      <c r="T100" s="797"/>
      <c r="U100" s="797"/>
      <c r="V100" s="797"/>
      <c r="W100" s="797"/>
    </row>
    <row r="101" spans="1:23" s="867" customFormat="1" ht="21.75" customHeight="1" thickBot="1">
      <c r="A101" s="1411"/>
      <c r="B101" s="862" t="s">
        <v>1844</v>
      </c>
      <c r="C101" s="863"/>
      <c r="D101" s="863"/>
      <c r="E101" s="863"/>
      <c r="F101" s="863"/>
      <c r="G101" s="863"/>
      <c r="H101" s="863"/>
      <c r="I101" s="863"/>
      <c r="J101" s="863"/>
      <c r="K101" s="864"/>
      <c r="L101" s="865"/>
      <c r="M101" s="866"/>
      <c r="N101" s="866"/>
      <c r="O101" s="866"/>
      <c r="P101" s="866"/>
      <c r="Q101" s="866"/>
      <c r="R101" s="866"/>
      <c r="S101" s="866"/>
      <c r="T101" s="866"/>
      <c r="U101" s="866"/>
      <c r="V101" s="866"/>
      <c r="W101" s="866"/>
    </row>
    <row r="102" spans="1:23" ht="20.100000000000001" customHeight="1">
      <c r="A102" s="1411"/>
      <c r="B102" s="858"/>
      <c r="C102" s="860" t="s">
        <v>1845</v>
      </c>
      <c r="D102" s="860"/>
      <c r="E102" s="860"/>
      <c r="F102" s="860"/>
      <c r="G102" s="860"/>
      <c r="H102" s="860"/>
      <c r="I102" s="860"/>
      <c r="J102" s="860"/>
      <c r="K102" s="861"/>
      <c r="L102" s="797"/>
      <c r="M102" s="797"/>
      <c r="N102" s="797"/>
      <c r="O102" s="797"/>
      <c r="P102" s="797"/>
      <c r="Q102" s="797"/>
      <c r="R102" s="797"/>
      <c r="S102" s="797"/>
      <c r="T102" s="797"/>
      <c r="U102" s="797"/>
      <c r="V102" s="797"/>
      <c r="W102" s="797"/>
    </row>
    <row r="103" spans="1:23" ht="24.75" customHeight="1">
      <c r="A103" s="1411"/>
      <c r="B103" s="858"/>
      <c r="C103" s="860" t="s">
        <v>1846</v>
      </c>
      <c r="D103" s="860"/>
      <c r="E103" s="860"/>
      <c r="F103" s="860"/>
      <c r="G103" s="860"/>
      <c r="H103" s="860"/>
      <c r="I103" s="860"/>
      <c r="J103" s="860"/>
      <c r="K103" s="861"/>
      <c r="L103" s="797"/>
      <c r="M103" s="797"/>
      <c r="N103" s="797"/>
      <c r="O103" s="797"/>
      <c r="P103" s="797"/>
      <c r="Q103" s="797"/>
      <c r="R103" s="797"/>
      <c r="S103" s="797"/>
      <c r="T103" s="797"/>
      <c r="U103" s="797"/>
      <c r="V103" s="797"/>
      <c r="W103" s="797"/>
    </row>
    <row r="104" spans="1:23" ht="14.65" thickBot="1">
      <c r="A104" s="1411"/>
      <c r="B104" s="1194" t="s">
        <v>1847</v>
      </c>
      <c r="C104" s="1195"/>
      <c r="D104" s="1195"/>
      <c r="E104" s="1195"/>
      <c r="F104" s="1195"/>
      <c r="G104" s="1195"/>
      <c r="H104" s="1195"/>
      <c r="I104" s="1195"/>
      <c r="J104" s="1195"/>
      <c r="K104" s="1196"/>
      <c r="L104" s="797"/>
      <c r="M104" s="837"/>
      <c r="N104" s="797"/>
      <c r="O104" s="797"/>
      <c r="P104" s="797"/>
      <c r="Q104" s="797"/>
      <c r="R104" s="797"/>
      <c r="S104" s="797"/>
      <c r="T104" s="797"/>
      <c r="U104" s="797"/>
      <c r="V104" s="797"/>
      <c r="W104" s="797"/>
    </row>
    <row r="105" spans="1:23" ht="20.100000000000001" customHeight="1">
      <c r="A105" s="1411"/>
      <c r="B105" s="858"/>
      <c r="C105" s="859" t="s">
        <v>1848</v>
      </c>
      <c r="D105" s="860"/>
      <c r="E105" s="860"/>
      <c r="F105" s="860"/>
      <c r="G105" s="860"/>
      <c r="H105" s="860"/>
      <c r="I105" s="860"/>
      <c r="J105" s="860"/>
      <c r="K105" s="861"/>
      <c r="L105" s="797"/>
      <c r="M105" s="797"/>
      <c r="N105" s="797"/>
      <c r="O105" s="797"/>
      <c r="P105" s="797"/>
      <c r="Q105" s="797"/>
      <c r="R105" s="797"/>
      <c r="S105" s="797"/>
      <c r="T105" s="797"/>
      <c r="U105" s="797"/>
      <c r="V105" s="797"/>
      <c r="W105" s="797"/>
    </row>
    <row r="106" spans="1:23" ht="3.6" customHeight="1">
      <c r="A106" s="1411"/>
      <c r="B106" s="823"/>
      <c r="C106" s="823"/>
      <c r="D106" s="823"/>
      <c r="E106" s="823"/>
      <c r="F106" s="823"/>
      <c r="G106" s="823"/>
      <c r="H106" s="823"/>
      <c r="I106" s="823"/>
      <c r="J106" s="823"/>
      <c r="K106" s="823"/>
      <c r="L106" s="797"/>
      <c r="M106" s="797"/>
      <c r="N106" s="797"/>
      <c r="O106" s="797"/>
      <c r="P106" s="797"/>
      <c r="Q106" s="797"/>
      <c r="R106" s="797"/>
      <c r="S106" s="797"/>
      <c r="T106" s="797"/>
      <c r="U106" s="797"/>
      <c r="V106" s="797"/>
      <c r="W106" s="797"/>
    </row>
    <row r="107" spans="1:23" s="869" customFormat="1" ht="19.350000000000001" customHeight="1">
      <c r="A107" s="1411"/>
      <c r="B107" s="797"/>
      <c r="C107" s="797"/>
      <c r="D107" s="797"/>
      <c r="E107" s="797"/>
      <c r="F107" s="797"/>
      <c r="G107" s="797"/>
      <c r="H107" s="797"/>
      <c r="I107" s="797"/>
      <c r="J107" s="797"/>
      <c r="K107" s="797"/>
      <c r="L107" s="868"/>
      <c r="M107" s="799"/>
      <c r="N107" s="797"/>
      <c r="O107" s="797"/>
      <c r="P107" s="797"/>
      <c r="Q107" s="868"/>
      <c r="R107" s="868"/>
      <c r="S107" s="868"/>
      <c r="T107" s="868"/>
      <c r="U107" s="868"/>
      <c r="V107" s="868"/>
      <c r="W107" s="868"/>
    </row>
    <row r="108" spans="1:23" ht="15" customHeight="1">
      <c r="A108" s="1411"/>
      <c r="B108" s="797"/>
      <c r="C108" s="797"/>
      <c r="D108" s="797"/>
      <c r="E108" s="797"/>
      <c r="F108" s="797"/>
      <c r="G108" s="797"/>
      <c r="H108" s="797"/>
      <c r="I108" s="797"/>
      <c r="J108" s="797"/>
      <c r="K108" s="797"/>
      <c r="L108" s="870"/>
      <c r="N108" s="797"/>
      <c r="O108" s="797"/>
      <c r="P108" s="797"/>
      <c r="Q108" s="797"/>
      <c r="R108" s="797"/>
      <c r="S108" s="797"/>
      <c r="T108" s="797"/>
      <c r="U108" s="797"/>
      <c r="V108" s="797"/>
      <c r="W108" s="797"/>
    </row>
    <row r="109" spans="1:23" ht="15" customHeight="1">
      <c r="A109" s="1411"/>
      <c r="B109" s="797"/>
      <c r="C109" s="797"/>
      <c r="D109" s="797"/>
      <c r="E109" s="797"/>
      <c r="F109" s="797"/>
      <c r="G109" s="797"/>
      <c r="H109" s="797"/>
      <c r="I109" s="797"/>
      <c r="J109" s="797"/>
      <c r="K109" s="797"/>
      <c r="L109" s="870"/>
      <c r="N109" s="797"/>
      <c r="O109" s="797"/>
      <c r="P109" s="797"/>
      <c r="Q109" s="797"/>
      <c r="R109" s="797"/>
      <c r="S109" s="797"/>
      <c r="T109" s="797"/>
      <c r="U109" s="797"/>
      <c r="V109" s="797"/>
      <c r="W109" s="797"/>
    </row>
    <row r="110" spans="1:23" ht="14.1" customHeight="1">
      <c r="A110" s="1411"/>
      <c r="B110" s="797"/>
      <c r="C110" s="797"/>
      <c r="D110" s="797"/>
      <c r="E110" s="797"/>
      <c r="F110" s="797"/>
      <c r="G110" s="797"/>
      <c r="H110" s="797"/>
      <c r="I110" s="797"/>
      <c r="J110" s="797"/>
      <c r="K110" s="797"/>
      <c r="L110" s="870"/>
      <c r="N110" s="797"/>
      <c r="O110" s="797"/>
      <c r="P110" s="797"/>
      <c r="Q110" s="797"/>
      <c r="R110" s="797"/>
      <c r="S110" s="797"/>
      <c r="T110" s="797"/>
      <c r="U110" s="797"/>
      <c r="V110" s="797"/>
      <c r="W110" s="797"/>
    </row>
    <row r="111" spans="1:23" ht="21.75" customHeight="1">
      <c r="A111" s="1411"/>
      <c r="B111" s="797"/>
      <c r="C111" s="797"/>
      <c r="D111" s="797"/>
      <c r="E111" s="797"/>
      <c r="F111" s="797"/>
      <c r="G111" s="797"/>
      <c r="H111" s="797"/>
      <c r="I111" s="797"/>
      <c r="J111" s="797"/>
      <c r="K111" s="797"/>
      <c r="L111" s="870"/>
      <c r="N111" s="797"/>
      <c r="O111" s="797"/>
      <c r="P111" s="797"/>
      <c r="Q111" s="797"/>
      <c r="R111" s="797"/>
      <c r="S111" s="797"/>
      <c r="T111" s="797"/>
      <c r="U111" s="797"/>
      <c r="V111" s="797"/>
      <c r="W111" s="797"/>
    </row>
    <row r="112" spans="1:23" ht="21.75" customHeight="1">
      <c r="A112" s="1411"/>
      <c r="B112" s="797"/>
      <c r="C112" s="797"/>
      <c r="D112" s="797"/>
      <c r="E112" s="797"/>
      <c r="F112" s="797"/>
      <c r="G112" s="797"/>
      <c r="H112" s="797"/>
      <c r="I112" s="797"/>
      <c r="J112" s="797"/>
      <c r="K112" s="797"/>
      <c r="L112" s="870"/>
      <c r="N112" s="797"/>
      <c r="O112" s="797"/>
      <c r="P112" s="797"/>
      <c r="Q112" s="797"/>
      <c r="R112" s="797"/>
      <c r="S112" s="797"/>
      <c r="T112" s="797"/>
      <c r="U112" s="797"/>
      <c r="V112" s="797"/>
      <c r="W112" s="797"/>
    </row>
    <row r="113" spans="1:32" ht="21.75" customHeight="1">
      <c r="A113" s="1411"/>
      <c r="B113" s="797"/>
      <c r="C113" s="797"/>
      <c r="D113" s="797"/>
      <c r="E113" s="797"/>
      <c r="F113" s="797"/>
      <c r="G113" s="797"/>
      <c r="H113" s="797"/>
      <c r="I113" s="797"/>
      <c r="J113" s="797"/>
      <c r="K113" s="797"/>
      <c r="L113" s="870"/>
      <c r="N113" s="797"/>
      <c r="O113" s="797"/>
      <c r="P113" s="797"/>
      <c r="Q113" s="797"/>
      <c r="R113" s="797"/>
      <c r="S113" s="797"/>
      <c r="T113" s="797"/>
      <c r="U113" s="797"/>
      <c r="V113" s="797"/>
      <c r="W113" s="797"/>
      <c r="AC113" s="799" t="s">
        <v>1849</v>
      </c>
      <c r="AE113" s="799" t="s">
        <v>1850</v>
      </c>
      <c r="AF113" s="799">
        <v>13367</v>
      </c>
    </row>
    <row r="114" spans="1:32" ht="21.75" customHeight="1">
      <c r="A114" s="1411"/>
      <c r="B114" s="797"/>
      <c r="C114" s="797"/>
      <c r="D114" s="797"/>
      <c r="E114" s="797"/>
      <c r="F114" s="797"/>
      <c r="G114" s="797"/>
      <c r="H114" s="797"/>
      <c r="I114" s="797"/>
      <c r="J114" s="797"/>
      <c r="K114" s="797"/>
      <c r="L114" s="870"/>
      <c r="N114" s="797"/>
      <c r="O114" s="797"/>
      <c r="P114" s="797"/>
      <c r="Q114" s="797"/>
      <c r="R114" s="797"/>
      <c r="S114" s="797"/>
      <c r="T114" s="797"/>
      <c r="U114" s="797"/>
      <c r="V114" s="797"/>
      <c r="W114" s="797"/>
      <c r="AC114" s="799" t="s">
        <v>1851</v>
      </c>
      <c r="AE114" s="799" t="s">
        <v>1852</v>
      </c>
      <c r="AF114" s="799">
        <v>13367</v>
      </c>
    </row>
    <row r="115" spans="1:32" ht="21.75" customHeight="1">
      <c r="A115" s="1411"/>
      <c r="B115" s="797"/>
      <c r="C115" s="797"/>
      <c r="D115" s="797"/>
      <c r="E115" s="797"/>
      <c r="F115" s="797"/>
      <c r="G115" s="797"/>
      <c r="H115" s="797"/>
      <c r="I115" s="797"/>
      <c r="J115" s="797"/>
      <c r="K115" s="797"/>
      <c r="L115" s="797"/>
      <c r="N115" s="797"/>
      <c r="O115" s="797"/>
      <c r="P115" s="797"/>
      <c r="Q115" s="797"/>
      <c r="R115" s="797"/>
      <c r="S115" s="797"/>
      <c r="T115" s="797"/>
      <c r="U115" s="797"/>
      <c r="V115" s="797"/>
      <c r="W115" s="797"/>
      <c r="AC115" s="799" t="s">
        <v>1853</v>
      </c>
      <c r="AE115" s="799" t="s">
        <v>1854</v>
      </c>
      <c r="AF115" s="799">
        <v>13367</v>
      </c>
    </row>
    <row r="116" spans="1:32">
      <c r="A116" s="1411"/>
      <c r="B116" s="797"/>
      <c r="C116" s="797"/>
      <c r="D116" s="797"/>
      <c r="E116" s="797"/>
      <c r="F116" s="797"/>
      <c r="G116" s="797"/>
      <c r="H116" s="797"/>
      <c r="I116" s="797"/>
      <c r="J116" s="797"/>
      <c r="K116" s="797"/>
      <c r="L116" s="797"/>
      <c r="N116" s="797"/>
      <c r="O116" s="797"/>
      <c r="P116" s="797"/>
      <c r="Q116" s="797"/>
      <c r="R116" s="797"/>
      <c r="S116" s="797"/>
      <c r="T116" s="797"/>
      <c r="U116" s="797"/>
      <c r="V116" s="797"/>
      <c r="W116" s="797"/>
      <c r="AC116" s="799" t="s">
        <v>1855</v>
      </c>
      <c r="AE116" s="799" t="s">
        <v>1856</v>
      </c>
      <c r="AF116" s="799">
        <v>13367</v>
      </c>
    </row>
    <row r="117" spans="1:32" ht="15" customHeight="1">
      <c r="A117" s="1411"/>
      <c r="B117" s="797"/>
      <c r="C117" s="797"/>
      <c r="D117" s="797"/>
      <c r="E117" s="797"/>
      <c r="F117" s="797"/>
      <c r="G117" s="797"/>
      <c r="H117" s="797"/>
      <c r="I117" s="797"/>
      <c r="J117" s="797"/>
      <c r="K117" s="797"/>
      <c r="L117" s="797"/>
      <c r="N117" s="797"/>
      <c r="O117" s="797"/>
      <c r="P117" s="797"/>
      <c r="Q117" s="797"/>
      <c r="R117" s="797"/>
      <c r="S117" s="797"/>
      <c r="T117" s="797"/>
      <c r="U117" s="797"/>
      <c r="V117" s="797"/>
      <c r="W117" s="797"/>
      <c r="AC117" s="799" t="s">
        <v>1857</v>
      </c>
      <c r="AE117" s="799" t="s">
        <v>1858</v>
      </c>
      <c r="AF117" s="799">
        <v>13367</v>
      </c>
    </row>
    <row r="118" spans="1:32">
      <c r="A118" s="1411"/>
      <c r="B118" s="797"/>
      <c r="C118" s="797"/>
      <c r="D118" s="797"/>
      <c r="E118" s="797"/>
      <c r="F118" s="797"/>
      <c r="G118" s="797"/>
      <c r="H118" s="797"/>
      <c r="I118" s="797"/>
      <c r="J118" s="797"/>
      <c r="K118" s="797"/>
      <c r="L118" s="797"/>
      <c r="N118" s="797"/>
      <c r="O118" s="797"/>
      <c r="P118" s="797"/>
      <c r="Q118" s="797"/>
      <c r="R118" s="797"/>
      <c r="S118" s="797"/>
      <c r="T118" s="797"/>
      <c r="U118" s="797"/>
      <c r="V118" s="797"/>
      <c r="W118" s="797"/>
      <c r="AC118" s="799" t="s">
        <v>1859</v>
      </c>
      <c r="AE118" s="799" t="s">
        <v>1860</v>
      </c>
      <c r="AF118" s="799">
        <v>13367</v>
      </c>
    </row>
    <row r="119" spans="1:32">
      <c r="A119" s="1411"/>
      <c r="B119" s="797"/>
      <c r="C119" s="797"/>
      <c r="D119" s="797"/>
      <c r="E119" s="797"/>
      <c r="F119" s="797"/>
      <c r="G119" s="797"/>
      <c r="H119" s="797"/>
      <c r="I119" s="797"/>
      <c r="J119" s="797"/>
      <c r="K119" s="797"/>
      <c r="L119" s="797"/>
      <c r="N119" s="797"/>
      <c r="O119" s="797"/>
      <c r="P119" s="797"/>
      <c r="Q119" s="797"/>
      <c r="R119" s="797"/>
      <c r="S119" s="797"/>
      <c r="T119" s="797"/>
      <c r="U119" s="797"/>
      <c r="V119" s="797"/>
      <c r="W119" s="797"/>
      <c r="AC119" s="799" t="s">
        <v>1861</v>
      </c>
      <c r="AE119" s="799" t="s">
        <v>1862</v>
      </c>
      <c r="AF119" s="799">
        <v>13367</v>
      </c>
    </row>
    <row r="120" spans="1:32" ht="15.75" customHeight="1">
      <c r="A120" s="1411"/>
      <c r="B120" s="797"/>
      <c r="C120" s="797"/>
      <c r="D120" s="797"/>
      <c r="E120" s="797"/>
      <c r="F120" s="797"/>
      <c r="G120" s="797"/>
      <c r="H120" s="797"/>
      <c r="I120" s="797"/>
      <c r="J120" s="797"/>
      <c r="K120" s="797"/>
      <c r="L120" s="797"/>
      <c r="N120" s="797"/>
      <c r="O120" s="797"/>
      <c r="P120" s="797"/>
      <c r="Q120" s="797"/>
      <c r="R120" s="797"/>
      <c r="S120" s="797"/>
      <c r="T120" s="797"/>
      <c r="U120" s="797"/>
      <c r="V120" s="797"/>
      <c r="W120" s="797"/>
      <c r="AC120" s="799" t="s">
        <v>1863</v>
      </c>
      <c r="AE120" s="799" t="s">
        <v>1864</v>
      </c>
      <c r="AF120" s="799">
        <v>13367</v>
      </c>
    </row>
    <row r="121" spans="1:32">
      <c r="A121" s="1411"/>
      <c r="B121" s="797"/>
      <c r="C121" s="797"/>
      <c r="D121" s="797"/>
      <c r="E121" s="797"/>
      <c r="F121" s="797"/>
      <c r="G121" s="797"/>
      <c r="H121" s="797"/>
      <c r="I121" s="797"/>
      <c r="J121" s="797"/>
      <c r="K121" s="797"/>
      <c r="L121" s="797"/>
      <c r="N121" s="797"/>
      <c r="O121" s="797"/>
      <c r="P121" s="797"/>
      <c r="Q121" s="797"/>
      <c r="R121" s="797"/>
      <c r="S121" s="797"/>
      <c r="T121" s="797"/>
      <c r="U121" s="797"/>
      <c r="V121" s="797"/>
      <c r="W121" s="797"/>
      <c r="AC121" s="799" t="s">
        <v>1865</v>
      </c>
      <c r="AE121" s="799" t="s">
        <v>1866</v>
      </c>
      <c r="AF121" s="799">
        <v>13367</v>
      </c>
    </row>
    <row r="122" spans="1:32">
      <c r="A122" s="1411"/>
      <c r="B122" s="797"/>
      <c r="C122" s="797"/>
      <c r="D122" s="797"/>
      <c r="E122" s="797"/>
      <c r="F122" s="797"/>
      <c r="G122" s="797"/>
      <c r="H122" s="797"/>
      <c r="I122" s="797"/>
      <c r="J122" s="797"/>
      <c r="K122" s="797"/>
      <c r="L122" s="797"/>
      <c r="N122" s="797"/>
      <c r="O122" s="797"/>
      <c r="P122" s="797"/>
      <c r="Q122" s="797"/>
      <c r="R122" s="797"/>
      <c r="S122" s="797"/>
      <c r="T122" s="797"/>
      <c r="U122" s="797"/>
      <c r="V122" s="797"/>
      <c r="W122" s="797"/>
      <c r="AC122" s="799" t="s">
        <v>1867</v>
      </c>
      <c r="AE122" s="799" t="s">
        <v>1868</v>
      </c>
      <c r="AF122" s="799">
        <v>13367</v>
      </c>
    </row>
    <row r="123" spans="1:32">
      <c r="A123" s="1411"/>
      <c r="B123" s="797"/>
      <c r="C123" s="797"/>
      <c r="D123" s="797"/>
      <c r="E123" s="797"/>
      <c r="F123" s="797"/>
      <c r="G123" s="797"/>
      <c r="H123" s="797"/>
      <c r="I123" s="797"/>
      <c r="J123" s="797"/>
      <c r="K123" s="797"/>
      <c r="L123" s="797"/>
      <c r="N123" s="797"/>
      <c r="O123" s="797"/>
      <c r="P123" s="797"/>
      <c r="Q123" s="797"/>
      <c r="R123" s="797"/>
      <c r="S123" s="797"/>
      <c r="T123" s="797"/>
      <c r="U123" s="797"/>
      <c r="V123" s="797"/>
      <c r="W123" s="797"/>
      <c r="AC123" s="799" t="s">
        <v>1869</v>
      </c>
      <c r="AE123" s="799" t="s">
        <v>1870</v>
      </c>
      <c r="AF123" s="799">
        <v>13367</v>
      </c>
    </row>
    <row r="124" spans="1:32">
      <c r="A124" s="1411"/>
      <c r="B124" s="797"/>
      <c r="C124" s="797"/>
      <c r="D124" s="797"/>
      <c r="E124" s="797"/>
      <c r="F124" s="797"/>
      <c r="G124" s="797"/>
      <c r="H124" s="797"/>
      <c r="I124" s="797"/>
      <c r="J124" s="797"/>
      <c r="K124" s="797"/>
      <c r="L124" s="797"/>
      <c r="N124" s="797"/>
      <c r="O124" s="797"/>
      <c r="P124" s="797"/>
      <c r="Q124" s="797"/>
      <c r="R124" s="797"/>
      <c r="S124" s="797"/>
      <c r="T124" s="797"/>
      <c r="U124" s="797"/>
      <c r="V124" s="797"/>
      <c r="W124" s="797"/>
      <c r="AC124" s="799" t="s">
        <v>1871</v>
      </c>
      <c r="AE124" s="799" t="s">
        <v>1872</v>
      </c>
      <c r="AF124" s="799">
        <v>13367</v>
      </c>
    </row>
    <row r="125" spans="1:32">
      <c r="A125" s="1411"/>
      <c r="B125" s="797"/>
      <c r="C125" s="797"/>
      <c r="D125" s="797"/>
      <c r="E125" s="797"/>
      <c r="F125" s="797"/>
      <c r="G125" s="797"/>
      <c r="H125" s="797"/>
      <c r="I125" s="797"/>
      <c r="J125" s="797"/>
      <c r="K125" s="797"/>
      <c r="L125" s="797"/>
      <c r="N125" s="797"/>
      <c r="O125" s="797"/>
      <c r="P125" s="797"/>
      <c r="Q125" s="797"/>
      <c r="R125" s="797"/>
      <c r="S125" s="797"/>
      <c r="T125" s="797"/>
      <c r="U125" s="797"/>
      <c r="V125" s="797"/>
      <c r="W125" s="797"/>
      <c r="AC125" s="799" t="s">
        <v>1873</v>
      </c>
      <c r="AE125" s="799" t="s">
        <v>1874</v>
      </c>
      <c r="AF125" s="799">
        <v>13367</v>
      </c>
    </row>
    <row r="126" spans="1:32">
      <c r="A126" s="1411"/>
      <c r="B126" s="797"/>
      <c r="C126" s="797"/>
      <c r="D126" s="797"/>
      <c r="E126" s="797"/>
      <c r="F126" s="797"/>
      <c r="G126" s="797"/>
      <c r="H126" s="797"/>
      <c r="I126" s="797"/>
      <c r="J126" s="797"/>
      <c r="K126" s="797"/>
      <c r="L126" s="797"/>
      <c r="N126" s="797"/>
      <c r="O126" s="797"/>
      <c r="P126" s="797"/>
      <c r="Q126" s="797"/>
      <c r="R126" s="797"/>
      <c r="S126" s="797"/>
      <c r="T126" s="797"/>
      <c r="U126" s="797"/>
      <c r="V126" s="797"/>
      <c r="W126" s="797"/>
      <c r="AC126" s="799" t="s">
        <v>1875</v>
      </c>
      <c r="AE126" s="799" t="s">
        <v>1876</v>
      </c>
      <c r="AF126" s="799">
        <v>13367</v>
      </c>
    </row>
    <row r="127" spans="1:32" ht="15" customHeight="1">
      <c r="A127" s="1411"/>
      <c r="B127" s="797"/>
      <c r="C127" s="797"/>
      <c r="D127" s="797"/>
      <c r="E127" s="797"/>
      <c r="F127" s="797"/>
      <c r="G127" s="797"/>
      <c r="H127" s="797"/>
      <c r="I127" s="797"/>
      <c r="J127" s="797"/>
      <c r="K127" s="797"/>
      <c r="L127" s="797"/>
      <c r="N127" s="797"/>
      <c r="O127" s="797"/>
      <c r="P127" s="797"/>
      <c r="Q127" s="797"/>
      <c r="R127" s="797"/>
      <c r="S127" s="797"/>
      <c r="T127" s="797"/>
      <c r="U127" s="797"/>
      <c r="V127" s="797"/>
      <c r="W127" s="797"/>
      <c r="AC127" s="799" t="s">
        <v>1877</v>
      </c>
      <c r="AE127" s="799" t="s">
        <v>1878</v>
      </c>
      <c r="AF127" s="799">
        <v>13367</v>
      </c>
    </row>
    <row r="128" spans="1:32">
      <c r="A128" s="1411"/>
      <c r="B128" s="797"/>
      <c r="C128" s="797"/>
      <c r="D128" s="797"/>
      <c r="E128" s="797"/>
      <c r="F128" s="797"/>
      <c r="G128" s="797"/>
      <c r="H128" s="797"/>
      <c r="I128" s="797"/>
      <c r="J128" s="797"/>
      <c r="K128" s="797"/>
      <c r="L128" s="797"/>
      <c r="N128" s="797"/>
      <c r="O128" s="797"/>
      <c r="P128" s="797"/>
      <c r="Q128" s="797"/>
      <c r="R128" s="797"/>
      <c r="S128" s="797"/>
      <c r="T128" s="797"/>
      <c r="U128" s="797"/>
      <c r="V128" s="797"/>
      <c r="W128" s="797"/>
      <c r="AC128" s="799" t="s">
        <v>1879</v>
      </c>
      <c r="AE128" s="799" t="s">
        <v>1880</v>
      </c>
      <c r="AF128" s="799">
        <v>13367</v>
      </c>
    </row>
    <row r="129" spans="1:32" ht="15.75" customHeight="1">
      <c r="A129" s="1411"/>
      <c r="B129" s="797"/>
      <c r="C129" s="797"/>
      <c r="D129" s="797"/>
      <c r="E129" s="797"/>
      <c r="F129" s="797"/>
      <c r="G129" s="797"/>
      <c r="H129" s="797"/>
      <c r="I129" s="797"/>
      <c r="J129" s="797"/>
      <c r="K129" s="797"/>
      <c r="L129" s="797"/>
      <c r="N129" s="797"/>
      <c r="O129" s="797"/>
      <c r="P129" s="797"/>
      <c r="Q129" s="797"/>
      <c r="R129" s="797"/>
      <c r="S129" s="797"/>
      <c r="T129" s="797"/>
      <c r="U129" s="797"/>
      <c r="V129" s="797"/>
      <c r="W129" s="797"/>
      <c r="AC129" s="799" t="s">
        <v>1881</v>
      </c>
      <c r="AE129" s="799" t="s">
        <v>1882</v>
      </c>
      <c r="AF129" s="799">
        <v>13367</v>
      </c>
    </row>
    <row r="130" spans="1:32">
      <c r="A130" s="1411"/>
      <c r="B130" s="870"/>
      <c r="C130" s="870"/>
      <c r="D130" s="870"/>
      <c r="E130" s="870"/>
      <c r="F130" s="870"/>
      <c r="G130" s="870"/>
      <c r="H130" s="870"/>
      <c r="I130" s="870"/>
      <c r="J130" s="870"/>
      <c r="K130" s="870"/>
      <c r="L130" s="797"/>
      <c r="N130" s="797"/>
      <c r="O130" s="797"/>
      <c r="P130" s="797"/>
      <c r="Q130" s="797"/>
      <c r="R130" s="797"/>
      <c r="S130" s="797"/>
      <c r="T130" s="797"/>
      <c r="U130" s="797"/>
      <c r="V130" s="797"/>
      <c r="W130" s="797"/>
      <c r="AC130" s="799" t="s">
        <v>1883</v>
      </c>
      <c r="AE130" s="799" t="s">
        <v>1884</v>
      </c>
      <c r="AF130" s="799">
        <v>13367</v>
      </c>
    </row>
    <row r="131" spans="1:32" ht="15" customHeight="1">
      <c r="A131" s="1411"/>
      <c r="B131" s="797"/>
      <c r="C131" s="797"/>
      <c r="D131" s="797"/>
      <c r="E131" s="797"/>
      <c r="F131" s="797"/>
      <c r="G131" s="797"/>
      <c r="H131" s="797"/>
      <c r="I131" s="797"/>
      <c r="J131" s="797"/>
      <c r="K131" s="797"/>
      <c r="L131" s="797"/>
      <c r="N131" s="797"/>
      <c r="O131" s="797"/>
      <c r="P131" s="797"/>
      <c r="Q131" s="797"/>
      <c r="R131" s="797"/>
      <c r="S131" s="797"/>
      <c r="T131" s="797"/>
      <c r="U131" s="797"/>
      <c r="V131" s="797"/>
      <c r="W131" s="797"/>
      <c r="AC131" s="799" t="s">
        <v>1885</v>
      </c>
      <c r="AE131" s="799" t="s">
        <v>1886</v>
      </c>
      <c r="AF131" s="799">
        <v>13367</v>
      </c>
    </row>
    <row r="132" spans="1:32">
      <c r="A132" s="1411"/>
      <c r="B132" s="797"/>
      <c r="C132" s="797"/>
      <c r="D132" s="797"/>
      <c r="E132" s="797"/>
      <c r="F132" s="797"/>
      <c r="G132" s="797"/>
      <c r="H132" s="797"/>
      <c r="I132" s="797"/>
      <c r="J132" s="797"/>
      <c r="K132" s="797"/>
      <c r="L132" s="797"/>
      <c r="N132" s="797"/>
      <c r="O132" s="797"/>
      <c r="P132" s="797"/>
      <c r="Q132" s="797"/>
      <c r="R132" s="797"/>
      <c r="S132" s="797"/>
      <c r="T132" s="797"/>
      <c r="U132" s="797"/>
      <c r="V132" s="797"/>
      <c r="W132" s="797"/>
      <c r="AC132" s="799" t="s">
        <v>1887</v>
      </c>
      <c r="AE132" s="799" t="s">
        <v>1888</v>
      </c>
      <c r="AF132" s="799">
        <v>13367</v>
      </c>
    </row>
    <row r="133" spans="1:32">
      <c r="A133" s="1411"/>
      <c r="B133" s="797"/>
      <c r="C133" s="797"/>
      <c r="D133" s="797"/>
      <c r="E133" s="797"/>
      <c r="F133" s="797"/>
      <c r="G133" s="797"/>
      <c r="H133" s="797"/>
      <c r="I133" s="797"/>
      <c r="J133" s="797"/>
      <c r="K133" s="797"/>
      <c r="L133" s="797"/>
      <c r="N133" s="797"/>
      <c r="O133" s="797"/>
      <c r="P133" s="797"/>
      <c r="Q133" s="797"/>
      <c r="R133" s="797"/>
      <c r="S133" s="797"/>
      <c r="T133" s="797"/>
      <c r="U133" s="797"/>
      <c r="V133" s="797"/>
      <c r="W133" s="797"/>
      <c r="AC133" s="799" t="s">
        <v>1889</v>
      </c>
      <c r="AE133" s="799" t="s">
        <v>1890</v>
      </c>
      <c r="AF133" s="799">
        <v>13367</v>
      </c>
    </row>
    <row r="134" spans="1:32">
      <c r="A134" s="1411"/>
      <c r="B134" s="797"/>
      <c r="C134" s="797"/>
      <c r="D134" s="797"/>
      <c r="E134" s="797"/>
      <c r="F134" s="797"/>
      <c r="G134" s="797"/>
      <c r="H134" s="797"/>
      <c r="I134" s="797"/>
      <c r="J134" s="797"/>
      <c r="K134" s="797"/>
      <c r="L134" s="797"/>
      <c r="N134" s="797"/>
      <c r="O134" s="797"/>
      <c r="P134" s="797"/>
      <c r="Q134" s="797"/>
      <c r="R134" s="797"/>
      <c r="S134" s="797"/>
      <c r="T134" s="797"/>
      <c r="U134" s="797"/>
      <c r="V134" s="797"/>
      <c r="W134" s="797"/>
      <c r="AC134" s="799" t="s">
        <v>1891</v>
      </c>
      <c r="AE134" s="799" t="s">
        <v>1892</v>
      </c>
      <c r="AF134" s="799">
        <v>13367</v>
      </c>
    </row>
    <row r="135" spans="1:32">
      <c r="A135" s="1411"/>
      <c r="B135" s="797"/>
      <c r="C135" s="797"/>
      <c r="D135" s="797"/>
      <c r="E135" s="797"/>
      <c r="F135" s="797"/>
      <c r="G135" s="797"/>
      <c r="H135" s="797"/>
      <c r="I135" s="797"/>
      <c r="J135" s="797"/>
      <c r="K135" s="797"/>
      <c r="L135" s="797"/>
      <c r="N135" s="797"/>
      <c r="O135" s="797"/>
      <c r="P135" s="797"/>
      <c r="Q135" s="797"/>
      <c r="R135" s="797"/>
      <c r="S135" s="797"/>
      <c r="T135" s="797"/>
      <c r="U135" s="797"/>
      <c r="V135" s="797"/>
      <c r="W135" s="797"/>
      <c r="AC135" s="799" t="s">
        <v>1893</v>
      </c>
      <c r="AE135" s="799" t="s">
        <v>1894</v>
      </c>
      <c r="AF135" s="799">
        <v>13367</v>
      </c>
    </row>
    <row r="136" spans="1:32">
      <c r="A136" s="1411"/>
      <c r="B136" s="797"/>
      <c r="C136" s="797"/>
      <c r="D136" s="797"/>
      <c r="E136" s="797"/>
      <c r="F136" s="797"/>
      <c r="G136" s="797"/>
      <c r="H136" s="797"/>
      <c r="I136" s="797"/>
      <c r="J136" s="797"/>
      <c r="K136" s="797"/>
      <c r="L136" s="797"/>
      <c r="N136" s="797"/>
      <c r="O136" s="797"/>
      <c r="P136" s="797"/>
      <c r="Q136" s="797"/>
      <c r="R136" s="797"/>
      <c r="S136" s="797"/>
      <c r="T136" s="797"/>
      <c r="U136" s="797"/>
      <c r="V136" s="797"/>
      <c r="W136" s="797"/>
      <c r="AC136" s="799" t="s">
        <v>1895</v>
      </c>
      <c r="AE136" s="799" t="s">
        <v>1896</v>
      </c>
      <c r="AF136" s="799">
        <v>13367</v>
      </c>
    </row>
    <row r="137" spans="1:32">
      <c r="A137" s="1411"/>
      <c r="B137" s="797"/>
      <c r="C137" s="797"/>
      <c r="D137" s="797"/>
      <c r="E137" s="797"/>
      <c r="F137" s="797"/>
      <c r="G137" s="797"/>
      <c r="H137" s="797"/>
      <c r="I137" s="797"/>
      <c r="J137" s="797"/>
      <c r="K137" s="797"/>
      <c r="L137" s="797"/>
      <c r="N137" s="797"/>
      <c r="O137" s="797"/>
      <c r="P137" s="797"/>
      <c r="Q137" s="797"/>
      <c r="R137" s="797"/>
      <c r="S137" s="797"/>
      <c r="T137" s="797"/>
      <c r="U137" s="797"/>
      <c r="V137" s="797"/>
      <c r="W137" s="797"/>
      <c r="AC137" s="799" t="s">
        <v>1897</v>
      </c>
      <c r="AE137" s="799" t="s">
        <v>1898</v>
      </c>
      <c r="AF137" s="799">
        <v>13367</v>
      </c>
    </row>
    <row r="138" spans="1:32">
      <c r="A138" s="1411"/>
      <c r="B138" s="797"/>
      <c r="C138" s="797"/>
      <c r="D138" s="797"/>
      <c r="E138" s="797"/>
      <c r="F138" s="797"/>
      <c r="G138" s="797"/>
      <c r="H138" s="797"/>
      <c r="I138" s="797"/>
      <c r="J138" s="797"/>
      <c r="K138" s="797"/>
      <c r="L138" s="797"/>
      <c r="N138" s="797"/>
      <c r="O138" s="797"/>
      <c r="P138" s="797"/>
      <c r="Q138" s="797"/>
      <c r="R138" s="797"/>
      <c r="S138" s="797"/>
      <c r="T138" s="797"/>
      <c r="U138" s="797"/>
      <c r="V138" s="797"/>
      <c r="W138" s="797"/>
      <c r="AC138" s="799" t="s">
        <v>1899</v>
      </c>
      <c r="AE138" s="799" t="s">
        <v>1900</v>
      </c>
      <c r="AF138" s="799">
        <v>13367</v>
      </c>
    </row>
    <row r="139" spans="1:32">
      <c r="A139" s="1411"/>
      <c r="L139" s="797"/>
      <c r="N139" s="797"/>
      <c r="O139" s="797"/>
      <c r="P139" s="797"/>
      <c r="Q139" s="797"/>
      <c r="R139" s="797"/>
      <c r="S139" s="797"/>
      <c r="T139" s="797"/>
      <c r="U139" s="797"/>
      <c r="V139" s="797"/>
      <c r="W139" s="797"/>
      <c r="AC139" s="799" t="s">
        <v>1901</v>
      </c>
      <c r="AE139" s="799" t="s">
        <v>1902</v>
      </c>
      <c r="AF139" s="799">
        <v>13367</v>
      </c>
    </row>
    <row r="140" spans="1:32">
      <c r="A140" s="1411"/>
      <c r="L140" s="797"/>
      <c r="N140" s="797"/>
      <c r="O140" s="797"/>
      <c r="P140" s="797"/>
      <c r="Q140" s="797"/>
      <c r="R140" s="797"/>
      <c r="S140" s="797"/>
      <c r="T140" s="797"/>
      <c r="U140" s="797"/>
      <c r="V140" s="797"/>
      <c r="W140" s="797"/>
      <c r="AC140" s="799" t="s">
        <v>1903</v>
      </c>
      <c r="AE140" s="799" t="s">
        <v>1904</v>
      </c>
      <c r="AF140" s="799">
        <v>13367</v>
      </c>
    </row>
    <row r="141" spans="1:32">
      <c r="A141" s="1411"/>
      <c r="L141" s="797"/>
      <c r="N141" s="797"/>
      <c r="O141" s="797"/>
      <c r="P141" s="797"/>
      <c r="Q141" s="797"/>
      <c r="R141" s="797"/>
      <c r="S141" s="797"/>
      <c r="T141" s="797"/>
      <c r="U141" s="797"/>
      <c r="V141" s="797"/>
      <c r="W141" s="797"/>
      <c r="AC141" s="799" t="s">
        <v>1905</v>
      </c>
      <c r="AE141" s="799" t="s">
        <v>1906</v>
      </c>
      <c r="AF141" s="799">
        <v>13367</v>
      </c>
    </row>
    <row r="142" spans="1:32">
      <c r="A142" s="1411"/>
      <c r="N142" s="797"/>
      <c r="O142" s="797"/>
      <c r="P142" s="797"/>
      <c r="Q142" s="797"/>
      <c r="R142" s="797"/>
      <c r="S142" s="797"/>
      <c r="T142" s="797"/>
      <c r="U142" s="797"/>
      <c r="V142" s="797"/>
      <c r="W142" s="797"/>
      <c r="AC142" s="799" t="s">
        <v>1907</v>
      </c>
      <c r="AE142" s="799" t="s">
        <v>1908</v>
      </c>
      <c r="AF142" s="799">
        <v>13367</v>
      </c>
    </row>
    <row r="143" spans="1:32">
      <c r="A143" s="1411"/>
      <c r="N143" s="797"/>
      <c r="O143" s="797"/>
      <c r="P143" s="797"/>
      <c r="Q143" s="797"/>
      <c r="R143" s="797"/>
      <c r="S143" s="797"/>
      <c r="T143" s="797"/>
      <c r="U143" s="797"/>
      <c r="V143" s="797"/>
      <c r="W143" s="797"/>
      <c r="AC143" s="799" t="s">
        <v>1909</v>
      </c>
      <c r="AE143" s="799" t="s">
        <v>1910</v>
      </c>
      <c r="AF143" s="799">
        <v>13367</v>
      </c>
    </row>
    <row r="144" spans="1:32">
      <c r="A144" s="1411"/>
      <c r="N144" s="797"/>
      <c r="O144" s="797"/>
      <c r="P144" s="797"/>
      <c r="Q144" s="797"/>
      <c r="R144" s="797"/>
      <c r="S144" s="797"/>
      <c r="T144" s="797"/>
      <c r="U144" s="797"/>
      <c r="V144" s="797"/>
      <c r="W144" s="797"/>
      <c r="AC144" s="799" t="s">
        <v>1911</v>
      </c>
      <c r="AE144" s="799" t="s">
        <v>1912</v>
      </c>
      <c r="AF144" s="799">
        <v>13367</v>
      </c>
    </row>
    <row r="145" spans="1:32">
      <c r="A145" s="1411"/>
      <c r="N145" s="797"/>
      <c r="O145" s="797"/>
      <c r="P145" s="797"/>
      <c r="Q145" s="797"/>
      <c r="R145" s="797"/>
      <c r="S145" s="797"/>
      <c r="T145" s="797"/>
      <c r="U145" s="797"/>
      <c r="V145" s="797"/>
      <c r="W145" s="797"/>
      <c r="AC145" s="799" t="s">
        <v>1913</v>
      </c>
      <c r="AE145" s="799" t="s">
        <v>1914</v>
      </c>
      <c r="AF145" s="799">
        <v>13367</v>
      </c>
    </row>
    <row r="146" spans="1:32">
      <c r="A146" s="1411"/>
      <c r="N146" s="797"/>
      <c r="O146" s="797"/>
      <c r="P146" s="797"/>
      <c r="Q146" s="797"/>
      <c r="R146" s="797"/>
      <c r="S146" s="797"/>
      <c r="T146" s="797"/>
      <c r="U146" s="797"/>
      <c r="V146" s="797"/>
      <c r="W146" s="797"/>
      <c r="AC146" s="799" t="s">
        <v>1915</v>
      </c>
      <c r="AE146" s="799" t="s">
        <v>1916</v>
      </c>
      <c r="AF146" s="799">
        <v>13367</v>
      </c>
    </row>
    <row r="147" spans="1:32">
      <c r="A147" s="1411"/>
      <c r="AC147" s="799" t="s">
        <v>1917</v>
      </c>
      <c r="AE147" s="799" t="s">
        <v>1918</v>
      </c>
      <c r="AF147" s="799">
        <v>13367</v>
      </c>
    </row>
    <row r="148" spans="1:32">
      <c r="A148" s="1411"/>
      <c r="AC148" s="799" t="s">
        <v>1919</v>
      </c>
      <c r="AE148" s="799" t="s">
        <v>1920</v>
      </c>
      <c r="AF148" s="799">
        <v>13367</v>
      </c>
    </row>
    <row r="149" spans="1:32">
      <c r="A149" s="1411"/>
      <c r="AC149" s="799" t="s">
        <v>1921</v>
      </c>
      <c r="AE149" s="799" t="s">
        <v>1922</v>
      </c>
      <c r="AF149" s="799">
        <v>13367</v>
      </c>
    </row>
    <row r="150" spans="1:32">
      <c r="A150" s="1411"/>
      <c r="AC150" s="799" t="s">
        <v>1923</v>
      </c>
      <c r="AE150" s="799" t="s">
        <v>1924</v>
      </c>
      <c r="AF150" s="799">
        <v>13367</v>
      </c>
    </row>
    <row r="151" spans="1:32">
      <c r="A151" s="1411"/>
      <c r="AC151" s="799" t="s">
        <v>1925</v>
      </c>
      <c r="AE151" s="799" t="s">
        <v>1926</v>
      </c>
      <c r="AF151" s="799">
        <v>13367</v>
      </c>
    </row>
    <row r="152" spans="1:32">
      <c r="A152" s="1411"/>
      <c r="AC152" s="799" t="s">
        <v>1927</v>
      </c>
      <c r="AE152" s="799" t="s">
        <v>1928</v>
      </c>
      <c r="AF152" s="799">
        <v>13367</v>
      </c>
    </row>
    <row r="153" spans="1:32">
      <c r="A153" s="1411"/>
      <c r="AC153" s="799" t="s">
        <v>1929</v>
      </c>
      <c r="AE153" s="799" t="s">
        <v>1930</v>
      </c>
      <c r="AF153" s="799">
        <v>13367</v>
      </c>
    </row>
    <row r="154" spans="1:32">
      <c r="A154" s="1411"/>
      <c r="AC154" s="799" t="s">
        <v>1931</v>
      </c>
      <c r="AE154" s="799" t="s">
        <v>1932</v>
      </c>
      <c r="AF154" s="799">
        <v>13367</v>
      </c>
    </row>
    <row r="155" spans="1:32">
      <c r="A155" s="1411"/>
      <c r="AC155" s="799" t="s">
        <v>1933</v>
      </c>
      <c r="AE155" s="799" t="s">
        <v>1934</v>
      </c>
      <c r="AF155" s="799">
        <v>13367</v>
      </c>
    </row>
    <row r="156" spans="1:32">
      <c r="A156" s="1411"/>
      <c r="AC156" s="799" t="s">
        <v>1935</v>
      </c>
      <c r="AE156" s="799" t="s">
        <v>1936</v>
      </c>
      <c r="AF156" s="799">
        <v>13367</v>
      </c>
    </row>
    <row r="157" spans="1:32">
      <c r="A157" s="1411"/>
      <c r="AC157" s="799" t="s">
        <v>1937</v>
      </c>
      <c r="AE157" s="799" t="s">
        <v>1938</v>
      </c>
      <c r="AF157" s="799">
        <v>13367</v>
      </c>
    </row>
    <row r="158" spans="1:32">
      <c r="A158" s="1411"/>
      <c r="AC158" s="799" t="s">
        <v>1939</v>
      </c>
      <c r="AE158" s="799" t="s">
        <v>1940</v>
      </c>
      <c r="AF158" s="799">
        <v>13367</v>
      </c>
    </row>
    <row r="159" spans="1:32">
      <c r="A159" s="1411"/>
      <c r="AC159" s="799" t="s">
        <v>1941</v>
      </c>
      <c r="AE159" s="799" t="s">
        <v>1942</v>
      </c>
      <c r="AF159" s="799">
        <v>13367</v>
      </c>
    </row>
    <row r="160" spans="1:32">
      <c r="A160" s="1411"/>
      <c r="AC160" s="799" t="s">
        <v>1943</v>
      </c>
      <c r="AE160" s="799" t="s">
        <v>1944</v>
      </c>
      <c r="AF160" s="799">
        <v>13367</v>
      </c>
    </row>
    <row r="161" spans="1:32">
      <c r="A161" s="1411"/>
      <c r="AC161" s="799" t="s">
        <v>1945</v>
      </c>
      <c r="AE161" s="799" t="s">
        <v>1946</v>
      </c>
      <c r="AF161" s="799">
        <v>13367</v>
      </c>
    </row>
    <row r="162" spans="1:32">
      <c r="A162" s="1411"/>
      <c r="AC162" s="799" t="s">
        <v>1947</v>
      </c>
      <c r="AE162" s="799" t="s">
        <v>1948</v>
      </c>
      <c r="AF162" s="799">
        <v>13367</v>
      </c>
    </row>
    <row r="163" spans="1:32">
      <c r="A163" s="1411"/>
      <c r="AC163" s="799" t="s">
        <v>1949</v>
      </c>
      <c r="AE163" s="799" t="s">
        <v>1950</v>
      </c>
      <c r="AF163" s="799">
        <v>13367</v>
      </c>
    </row>
    <row r="164" spans="1:32">
      <c r="A164" s="1411"/>
      <c r="AC164" s="799" t="s">
        <v>1951</v>
      </c>
      <c r="AE164" s="799" t="s">
        <v>1952</v>
      </c>
      <c r="AF164" s="799">
        <v>13367</v>
      </c>
    </row>
    <row r="165" spans="1:32">
      <c r="A165" s="1411"/>
      <c r="AC165" s="799" t="s">
        <v>1953</v>
      </c>
      <c r="AE165" s="799" t="s">
        <v>1954</v>
      </c>
      <c r="AF165" s="799">
        <v>13367</v>
      </c>
    </row>
    <row r="166" spans="1:32">
      <c r="A166" s="1411"/>
      <c r="AC166" s="799" t="s">
        <v>1955</v>
      </c>
      <c r="AE166" s="799" t="s">
        <v>1956</v>
      </c>
      <c r="AF166" s="799">
        <v>13367</v>
      </c>
    </row>
    <row r="167" spans="1:32">
      <c r="A167" s="1411"/>
      <c r="AC167" s="799" t="s">
        <v>1957</v>
      </c>
      <c r="AE167" s="799" t="s">
        <v>1958</v>
      </c>
      <c r="AF167" s="799">
        <v>13367</v>
      </c>
    </row>
    <row r="168" spans="1:32">
      <c r="A168" s="1411"/>
      <c r="AC168" s="799" t="s">
        <v>1959</v>
      </c>
      <c r="AE168" s="799" t="s">
        <v>1960</v>
      </c>
      <c r="AF168" s="799">
        <v>13367</v>
      </c>
    </row>
    <row r="169" spans="1:32">
      <c r="A169" s="1411"/>
      <c r="AC169" s="799" t="s">
        <v>1961</v>
      </c>
      <c r="AE169" s="799" t="s">
        <v>1962</v>
      </c>
      <c r="AF169" s="799">
        <v>13367</v>
      </c>
    </row>
    <row r="170" spans="1:32">
      <c r="A170" s="1411"/>
      <c r="AC170" s="799" t="s">
        <v>1963</v>
      </c>
      <c r="AE170" s="799" t="s">
        <v>1964</v>
      </c>
      <c r="AF170" s="799">
        <v>13367</v>
      </c>
    </row>
    <row r="171" spans="1:32">
      <c r="A171" s="1411"/>
      <c r="AC171" s="799" t="s">
        <v>1965</v>
      </c>
      <c r="AE171" s="799" t="s">
        <v>1966</v>
      </c>
      <c r="AF171" s="799">
        <v>13367</v>
      </c>
    </row>
    <row r="172" spans="1:32">
      <c r="A172" s="1411"/>
      <c r="AC172" s="799" t="s">
        <v>1967</v>
      </c>
      <c r="AE172" s="799" t="s">
        <v>1968</v>
      </c>
      <c r="AF172" s="799">
        <v>13367</v>
      </c>
    </row>
    <row r="173" spans="1:32">
      <c r="A173" s="1411"/>
      <c r="AC173" s="799" t="s">
        <v>1969</v>
      </c>
      <c r="AE173" s="799" t="s">
        <v>1970</v>
      </c>
      <c r="AF173" s="799">
        <v>13367</v>
      </c>
    </row>
    <row r="174" spans="1:32">
      <c r="A174" s="1411"/>
      <c r="AC174" s="799" t="s">
        <v>1971</v>
      </c>
      <c r="AE174" s="799" t="s">
        <v>1972</v>
      </c>
      <c r="AF174" s="799">
        <v>13367</v>
      </c>
    </row>
    <row r="175" spans="1:32">
      <c r="A175" s="1411"/>
      <c r="AC175" s="799" t="s">
        <v>1973</v>
      </c>
      <c r="AE175" s="799" t="s">
        <v>1974</v>
      </c>
      <c r="AF175" s="799">
        <v>13367</v>
      </c>
    </row>
    <row r="176" spans="1:32">
      <c r="A176" s="1411"/>
      <c r="AC176" s="799" t="s">
        <v>1975</v>
      </c>
      <c r="AE176" s="799" t="s">
        <v>1976</v>
      </c>
      <c r="AF176" s="799">
        <v>13367</v>
      </c>
    </row>
    <row r="177" spans="1:32">
      <c r="A177" s="1411"/>
      <c r="AC177" s="799" t="s">
        <v>1977</v>
      </c>
      <c r="AE177" s="799" t="s">
        <v>1978</v>
      </c>
      <c r="AF177" s="799">
        <v>13367</v>
      </c>
    </row>
    <row r="178" spans="1:32">
      <c r="A178" s="1411"/>
      <c r="AC178" s="799" t="s">
        <v>1979</v>
      </c>
      <c r="AE178" s="799" t="s">
        <v>1980</v>
      </c>
      <c r="AF178" s="799">
        <v>13367</v>
      </c>
    </row>
    <row r="179" spans="1:32">
      <c r="A179" s="1411"/>
      <c r="AC179" s="799" t="s">
        <v>1981</v>
      </c>
      <c r="AE179" s="799" t="s">
        <v>1982</v>
      </c>
      <c r="AF179" s="799">
        <v>13367</v>
      </c>
    </row>
    <row r="180" spans="1:32">
      <c r="A180" s="1411"/>
      <c r="AC180" s="799" t="s">
        <v>1983</v>
      </c>
      <c r="AE180" s="799" t="s">
        <v>1984</v>
      </c>
      <c r="AF180" s="799">
        <v>13367</v>
      </c>
    </row>
    <row r="181" spans="1:32">
      <c r="A181" s="1411"/>
      <c r="AC181" s="799" t="s">
        <v>1985</v>
      </c>
      <c r="AE181" s="799" t="s">
        <v>1986</v>
      </c>
      <c r="AF181" s="799">
        <v>13367</v>
      </c>
    </row>
    <row r="182" spans="1:32">
      <c r="A182" s="1411"/>
      <c r="AC182" s="799" t="s">
        <v>1987</v>
      </c>
      <c r="AE182" s="799" t="s">
        <v>1988</v>
      </c>
      <c r="AF182" s="799">
        <v>13367</v>
      </c>
    </row>
    <row r="183" spans="1:32">
      <c r="A183" s="1411"/>
      <c r="AC183" s="799" t="s">
        <v>1989</v>
      </c>
      <c r="AE183" s="799" t="s">
        <v>1990</v>
      </c>
      <c r="AF183" s="799">
        <v>13367</v>
      </c>
    </row>
    <row r="184" spans="1:32">
      <c r="A184" s="1411"/>
      <c r="AC184" s="799" t="s">
        <v>1991</v>
      </c>
      <c r="AE184" s="799" t="s">
        <v>1992</v>
      </c>
      <c r="AF184" s="799">
        <v>13367</v>
      </c>
    </row>
    <row r="185" spans="1:32">
      <c r="A185" s="1411"/>
      <c r="AC185" s="799" t="s">
        <v>1993</v>
      </c>
      <c r="AE185" s="799" t="s">
        <v>1994</v>
      </c>
      <c r="AF185" s="799">
        <v>13367</v>
      </c>
    </row>
    <row r="186" spans="1:32">
      <c r="A186" s="1411"/>
      <c r="AC186" s="799" t="s">
        <v>1995</v>
      </c>
      <c r="AE186" s="799" t="s">
        <v>1996</v>
      </c>
      <c r="AF186" s="799">
        <v>13367</v>
      </c>
    </row>
    <row r="187" spans="1:32">
      <c r="A187" s="1411"/>
      <c r="AC187" s="799" t="s">
        <v>1997</v>
      </c>
      <c r="AE187" s="799" t="s">
        <v>1998</v>
      </c>
      <c r="AF187" s="799">
        <v>13367</v>
      </c>
    </row>
    <row r="188" spans="1:32">
      <c r="A188" s="1411"/>
      <c r="AC188" s="799" t="s">
        <v>1999</v>
      </c>
      <c r="AE188" s="799" t="s">
        <v>2000</v>
      </c>
      <c r="AF188" s="799">
        <v>13367</v>
      </c>
    </row>
    <row r="189" spans="1:32">
      <c r="A189" s="1411"/>
      <c r="AC189" s="799" t="s">
        <v>2001</v>
      </c>
      <c r="AE189" s="799" t="s">
        <v>2002</v>
      </c>
      <c r="AF189" s="799">
        <v>13367</v>
      </c>
    </row>
    <row r="190" spans="1:32">
      <c r="A190" s="1411"/>
      <c r="AE190" s="799" t="s">
        <v>2003</v>
      </c>
      <c r="AF190" s="799">
        <v>13367</v>
      </c>
    </row>
    <row r="191" spans="1:32">
      <c r="A191" s="1411"/>
      <c r="AE191" s="799" t="s">
        <v>2004</v>
      </c>
      <c r="AF191" s="799">
        <v>13367</v>
      </c>
    </row>
    <row r="192" spans="1:32">
      <c r="A192" s="1411"/>
      <c r="AE192" s="799" t="s">
        <v>2005</v>
      </c>
      <c r="AF192" s="799">
        <v>13367</v>
      </c>
    </row>
    <row r="193" spans="1:32">
      <c r="A193" s="1411"/>
      <c r="AE193" s="799" t="s">
        <v>2006</v>
      </c>
      <c r="AF193" s="799">
        <v>13367</v>
      </c>
    </row>
    <row r="194" spans="1:32">
      <c r="A194" s="1411"/>
      <c r="AE194" s="799" t="s">
        <v>2007</v>
      </c>
      <c r="AF194" s="799">
        <v>13367</v>
      </c>
    </row>
    <row r="195" spans="1:32">
      <c r="A195" s="1411"/>
      <c r="AE195" s="799" t="s">
        <v>2008</v>
      </c>
      <c r="AF195" s="799">
        <v>13367</v>
      </c>
    </row>
    <row r="196" spans="1:32">
      <c r="A196" s="1411"/>
      <c r="AE196" s="799" t="s">
        <v>2009</v>
      </c>
      <c r="AF196" s="799">
        <v>13367</v>
      </c>
    </row>
    <row r="197" spans="1:32">
      <c r="A197" s="1411"/>
      <c r="AE197" s="799" t="s">
        <v>2010</v>
      </c>
      <c r="AF197" s="799">
        <v>13367</v>
      </c>
    </row>
    <row r="198" spans="1:32">
      <c r="A198" s="1411"/>
      <c r="AE198" s="799" t="s">
        <v>2011</v>
      </c>
      <c r="AF198" s="799">
        <v>13367</v>
      </c>
    </row>
    <row r="199" spans="1:32">
      <c r="A199" s="1411"/>
      <c r="AE199" s="799" t="s">
        <v>2012</v>
      </c>
      <c r="AF199" s="799">
        <v>13367</v>
      </c>
    </row>
    <row r="200" spans="1:32">
      <c r="A200" s="1411"/>
      <c r="AE200" s="799" t="s">
        <v>2013</v>
      </c>
      <c r="AF200" s="799">
        <v>13367</v>
      </c>
    </row>
    <row r="201" spans="1:32">
      <c r="A201" s="1411"/>
      <c r="AE201" s="799" t="s">
        <v>2014</v>
      </c>
      <c r="AF201" s="799">
        <v>13367</v>
      </c>
    </row>
    <row r="202" spans="1:32">
      <c r="A202" s="1411"/>
      <c r="AE202" s="799" t="s">
        <v>2015</v>
      </c>
      <c r="AF202" s="799">
        <v>13367</v>
      </c>
    </row>
    <row r="203" spans="1:32">
      <c r="A203" s="1411"/>
      <c r="AE203" s="799" t="s">
        <v>2016</v>
      </c>
      <c r="AF203" s="799">
        <v>13367</v>
      </c>
    </row>
    <row r="204" spans="1:32">
      <c r="A204" s="1411"/>
      <c r="AE204" s="799" t="s">
        <v>2017</v>
      </c>
      <c r="AF204" s="799">
        <v>13367</v>
      </c>
    </row>
    <row r="205" spans="1:32">
      <c r="A205" s="1411"/>
      <c r="AE205" s="799" t="s">
        <v>2018</v>
      </c>
      <c r="AF205" s="799">
        <v>13367</v>
      </c>
    </row>
    <row r="206" spans="1:32">
      <c r="A206" s="1411"/>
      <c r="AE206" s="799" t="s">
        <v>2019</v>
      </c>
      <c r="AF206" s="799">
        <v>13367</v>
      </c>
    </row>
    <row r="207" spans="1:32">
      <c r="A207" s="1411"/>
      <c r="AE207" s="799" t="s">
        <v>2020</v>
      </c>
      <c r="AF207" s="799">
        <v>13367</v>
      </c>
    </row>
    <row r="208" spans="1:32">
      <c r="A208" s="1411"/>
      <c r="AE208" s="799" t="s">
        <v>2021</v>
      </c>
      <c r="AF208" s="799">
        <v>13367</v>
      </c>
    </row>
    <row r="209" spans="1:32">
      <c r="A209" s="1411"/>
      <c r="AE209" s="799" t="s">
        <v>2022</v>
      </c>
      <c r="AF209" s="799">
        <v>13367</v>
      </c>
    </row>
    <row r="210" spans="1:32">
      <c r="A210" s="1411"/>
      <c r="AE210" s="799" t="s">
        <v>2023</v>
      </c>
      <c r="AF210" s="799">
        <v>13367</v>
      </c>
    </row>
    <row r="211" spans="1:32">
      <c r="A211" s="1411"/>
      <c r="AE211" s="799" t="s">
        <v>2024</v>
      </c>
      <c r="AF211" s="799">
        <v>13367</v>
      </c>
    </row>
    <row r="212" spans="1:32">
      <c r="A212" s="1411"/>
      <c r="AE212" s="799" t="s">
        <v>2025</v>
      </c>
      <c r="AF212" s="799">
        <v>13367</v>
      </c>
    </row>
    <row r="213" spans="1:32">
      <c r="A213" s="1411"/>
      <c r="AE213" s="799" t="s">
        <v>2026</v>
      </c>
      <c r="AF213" s="799">
        <v>13367</v>
      </c>
    </row>
    <row r="214" spans="1:32">
      <c r="A214" s="1411"/>
      <c r="AE214" s="799" t="s">
        <v>2027</v>
      </c>
      <c r="AF214" s="799">
        <v>13367</v>
      </c>
    </row>
    <row r="215" spans="1:32">
      <c r="A215" s="1411"/>
      <c r="AE215" s="799" t="s">
        <v>2028</v>
      </c>
      <c r="AF215" s="799">
        <v>13367</v>
      </c>
    </row>
    <row r="216" spans="1:32">
      <c r="A216" s="1411"/>
      <c r="AE216" s="799" t="s">
        <v>2029</v>
      </c>
      <c r="AF216" s="799">
        <v>13367</v>
      </c>
    </row>
    <row r="217" spans="1:32">
      <c r="A217" s="1411"/>
      <c r="AE217" s="799" t="s">
        <v>2030</v>
      </c>
      <c r="AF217" s="799">
        <v>13367</v>
      </c>
    </row>
    <row r="218" spans="1:32">
      <c r="A218" s="1411"/>
      <c r="AE218" s="799" t="s">
        <v>2031</v>
      </c>
      <c r="AF218" s="799">
        <v>13367</v>
      </c>
    </row>
    <row r="219" spans="1:32">
      <c r="A219" s="1411"/>
      <c r="AE219" s="799" t="s">
        <v>2032</v>
      </c>
      <c r="AF219" s="799">
        <v>13367</v>
      </c>
    </row>
    <row r="220" spans="1:32">
      <c r="A220" s="1411"/>
      <c r="AE220" s="799" t="s">
        <v>2033</v>
      </c>
      <c r="AF220" s="799">
        <v>13367</v>
      </c>
    </row>
    <row r="221" spans="1:32">
      <c r="A221" s="1411"/>
      <c r="AE221" s="799" t="s">
        <v>2034</v>
      </c>
      <c r="AF221" s="799">
        <v>13367</v>
      </c>
    </row>
    <row r="222" spans="1:32">
      <c r="A222" s="1411"/>
      <c r="AE222" s="799" t="s">
        <v>2035</v>
      </c>
      <c r="AF222" s="799">
        <v>13367</v>
      </c>
    </row>
    <row r="223" spans="1:32">
      <c r="A223" s="1411"/>
      <c r="AE223" s="799" t="s">
        <v>2036</v>
      </c>
      <c r="AF223" s="799">
        <v>13367</v>
      </c>
    </row>
    <row r="224" spans="1:32">
      <c r="A224" s="1411"/>
      <c r="AE224" s="799" t="s">
        <v>2037</v>
      </c>
      <c r="AF224" s="799">
        <v>13367</v>
      </c>
    </row>
    <row r="225" spans="1:32">
      <c r="A225" s="1411"/>
      <c r="AE225" s="799" t="s">
        <v>2038</v>
      </c>
      <c r="AF225" s="799">
        <v>13367</v>
      </c>
    </row>
    <row r="226" spans="1:32">
      <c r="A226" s="1411"/>
      <c r="AE226" s="799" t="s">
        <v>2039</v>
      </c>
      <c r="AF226" s="799">
        <v>13367</v>
      </c>
    </row>
    <row r="227" spans="1:32">
      <c r="A227" s="1411"/>
      <c r="AE227" s="799" t="s">
        <v>2040</v>
      </c>
      <c r="AF227" s="799">
        <v>13367</v>
      </c>
    </row>
    <row r="228" spans="1:32">
      <c r="A228" s="1411"/>
      <c r="AE228" s="799" t="s">
        <v>2041</v>
      </c>
      <c r="AF228" s="799">
        <v>13367</v>
      </c>
    </row>
    <row r="229" spans="1:32">
      <c r="A229" s="1411"/>
      <c r="AE229" s="799" t="s">
        <v>2042</v>
      </c>
      <c r="AF229" s="799">
        <v>13367</v>
      </c>
    </row>
    <row r="230" spans="1:32">
      <c r="A230" s="1411"/>
      <c r="AE230" s="799" t="s">
        <v>2043</v>
      </c>
      <c r="AF230" s="799">
        <v>13367</v>
      </c>
    </row>
    <row r="231" spans="1:32">
      <c r="A231" s="1411"/>
      <c r="AE231" s="799" t="s">
        <v>2044</v>
      </c>
      <c r="AF231" s="799">
        <v>13367</v>
      </c>
    </row>
    <row r="232" spans="1:32">
      <c r="A232" s="1411"/>
      <c r="AE232" s="799" t="s">
        <v>2045</v>
      </c>
      <c r="AF232" s="799">
        <v>13367</v>
      </c>
    </row>
    <row r="233" spans="1:32">
      <c r="A233" s="1411"/>
      <c r="AE233" s="799" t="s">
        <v>2046</v>
      </c>
      <c r="AF233" s="799">
        <v>13305</v>
      </c>
    </row>
    <row r="234" spans="1:32">
      <c r="A234" s="1411"/>
      <c r="AE234" s="799" t="s">
        <v>2047</v>
      </c>
      <c r="AF234" s="799">
        <v>13305</v>
      </c>
    </row>
    <row r="235" spans="1:32">
      <c r="A235" s="1411"/>
      <c r="AE235" s="799" t="s">
        <v>2048</v>
      </c>
      <c r="AF235" s="799">
        <v>13305</v>
      </c>
    </row>
    <row r="236" spans="1:32">
      <c r="A236" s="1411"/>
      <c r="AE236" s="799" t="s">
        <v>2049</v>
      </c>
      <c r="AF236" s="799">
        <v>13305</v>
      </c>
    </row>
    <row r="237" spans="1:32">
      <c r="A237" s="1411"/>
      <c r="AE237" s="799" t="s">
        <v>2050</v>
      </c>
      <c r="AF237" s="799">
        <v>13305</v>
      </c>
    </row>
    <row r="238" spans="1:32">
      <c r="A238" s="1411"/>
      <c r="AE238" s="799" t="s">
        <v>2051</v>
      </c>
      <c r="AF238" s="799">
        <v>13305</v>
      </c>
    </row>
    <row r="239" spans="1:32">
      <c r="A239" s="1411"/>
      <c r="AE239" s="799" t="s">
        <v>2052</v>
      </c>
      <c r="AF239" s="799">
        <v>13305</v>
      </c>
    </row>
    <row r="240" spans="1:32">
      <c r="A240" s="1411"/>
      <c r="AE240" s="799" t="s">
        <v>2053</v>
      </c>
      <c r="AF240" s="799">
        <v>13305</v>
      </c>
    </row>
    <row r="241" spans="1:32">
      <c r="A241" s="1411"/>
      <c r="AE241" s="799" t="s">
        <v>2054</v>
      </c>
      <c r="AF241" s="799">
        <v>13305</v>
      </c>
    </row>
    <row r="242" spans="1:32">
      <c r="A242" s="1411"/>
      <c r="AE242" s="799" t="s">
        <v>2055</v>
      </c>
      <c r="AF242" s="799">
        <v>13305</v>
      </c>
    </row>
    <row r="243" spans="1:32">
      <c r="A243" s="1411"/>
      <c r="AE243" s="799" t="s">
        <v>2056</v>
      </c>
      <c r="AF243" s="799">
        <v>13305</v>
      </c>
    </row>
    <row r="244" spans="1:32">
      <c r="A244" s="1411"/>
      <c r="AE244" s="799" t="s">
        <v>2057</v>
      </c>
      <c r="AF244" s="799">
        <v>13305</v>
      </c>
    </row>
    <row r="245" spans="1:32">
      <c r="A245" s="1411"/>
      <c r="AE245" s="799" t="s">
        <v>2058</v>
      </c>
      <c r="AF245" s="799">
        <v>13305</v>
      </c>
    </row>
    <row r="246" spans="1:32">
      <c r="A246" s="1411"/>
      <c r="AE246" s="799" t="s">
        <v>2059</v>
      </c>
      <c r="AF246" s="799">
        <v>13305</v>
      </c>
    </row>
    <row r="247" spans="1:32">
      <c r="A247" s="1411"/>
      <c r="AE247" s="799" t="s">
        <v>2060</v>
      </c>
      <c r="AF247" s="799">
        <v>13305</v>
      </c>
    </row>
    <row r="248" spans="1:32">
      <c r="A248" s="1411"/>
      <c r="AE248" s="799" t="s">
        <v>2061</v>
      </c>
      <c r="AF248" s="799">
        <v>13305</v>
      </c>
    </row>
    <row r="249" spans="1:32">
      <c r="A249" s="1411"/>
      <c r="AE249" s="799" t="s">
        <v>2062</v>
      </c>
      <c r="AF249" s="799">
        <v>13305</v>
      </c>
    </row>
    <row r="250" spans="1:32">
      <c r="A250" s="1411"/>
      <c r="AE250" s="799" t="s">
        <v>2063</v>
      </c>
      <c r="AF250" s="799">
        <v>13305</v>
      </c>
    </row>
    <row r="251" spans="1:32">
      <c r="A251" s="1411"/>
      <c r="AE251" s="799" t="s">
        <v>2064</v>
      </c>
      <c r="AF251" s="799">
        <v>13305</v>
      </c>
    </row>
    <row r="252" spans="1:32">
      <c r="A252" s="1411"/>
      <c r="AE252" s="799" t="s">
        <v>2065</v>
      </c>
      <c r="AF252" s="799">
        <v>13305</v>
      </c>
    </row>
    <row r="253" spans="1:32">
      <c r="A253" s="1411"/>
      <c r="AE253" s="799" t="s">
        <v>2066</v>
      </c>
      <c r="AF253" s="799">
        <v>13305</v>
      </c>
    </row>
    <row r="254" spans="1:32">
      <c r="A254" s="1411"/>
      <c r="AE254" s="799" t="s">
        <v>2067</v>
      </c>
      <c r="AF254" s="799">
        <v>13305</v>
      </c>
    </row>
    <row r="255" spans="1:32">
      <c r="A255" s="1411"/>
      <c r="AE255" s="799" t="s">
        <v>2068</v>
      </c>
      <c r="AF255" s="799">
        <v>13305</v>
      </c>
    </row>
    <row r="256" spans="1:32">
      <c r="A256" s="1411"/>
      <c r="AE256" s="799" t="s">
        <v>2069</v>
      </c>
      <c r="AF256" s="799">
        <v>13305</v>
      </c>
    </row>
    <row r="257" spans="1:32">
      <c r="A257" s="1411"/>
      <c r="AE257" s="799" t="s">
        <v>2070</v>
      </c>
      <c r="AF257" s="799">
        <v>13305</v>
      </c>
    </row>
    <row r="258" spans="1:32">
      <c r="A258" s="1411"/>
      <c r="AE258" s="799" t="s">
        <v>2071</v>
      </c>
      <c r="AF258" s="799">
        <v>13305</v>
      </c>
    </row>
    <row r="259" spans="1:32">
      <c r="A259" s="1411"/>
      <c r="AE259" s="799" t="s">
        <v>2072</v>
      </c>
      <c r="AF259" s="799">
        <v>13305</v>
      </c>
    </row>
    <row r="260" spans="1:32">
      <c r="A260" s="1411"/>
      <c r="AE260" s="799" t="s">
        <v>2073</v>
      </c>
      <c r="AF260" s="799">
        <v>13305</v>
      </c>
    </row>
    <row r="261" spans="1:32">
      <c r="A261" s="1411"/>
      <c r="AE261" s="799" t="s">
        <v>2074</v>
      </c>
      <c r="AF261" s="799">
        <v>13305</v>
      </c>
    </row>
    <row r="262" spans="1:32">
      <c r="A262" s="1411"/>
      <c r="AE262" s="799" t="s">
        <v>2075</v>
      </c>
      <c r="AF262" s="799">
        <v>13305</v>
      </c>
    </row>
    <row r="263" spans="1:32">
      <c r="A263" s="1411"/>
      <c r="AE263" s="799" t="s">
        <v>2076</v>
      </c>
      <c r="AF263" s="799">
        <v>13305</v>
      </c>
    </row>
    <row r="264" spans="1:32">
      <c r="A264" s="1411"/>
      <c r="AE264" s="799" t="s">
        <v>2077</v>
      </c>
      <c r="AF264" s="799">
        <v>13305</v>
      </c>
    </row>
    <row r="265" spans="1:32">
      <c r="A265" s="1411"/>
      <c r="AE265" s="799" t="s">
        <v>2078</v>
      </c>
      <c r="AF265" s="799">
        <v>13305</v>
      </c>
    </row>
    <row r="266" spans="1:32">
      <c r="A266" s="1411"/>
      <c r="AE266" s="799" t="s">
        <v>2079</v>
      </c>
      <c r="AF266" s="799">
        <v>13305</v>
      </c>
    </row>
    <row r="267" spans="1:32">
      <c r="A267" s="1411"/>
      <c r="AE267" s="799" t="s">
        <v>2080</v>
      </c>
      <c r="AF267" s="799">
        <v>13305</v>
      </c>
    </row>
    <row r="268" spans="1:32">
      <c r="A268" s="1411"/>
      <c r="AE268" s="799" t="s">
        <v>2081</v>
      </c>
      <c r="AF268" s="799">
        <v>13305</v>
      </c>
    </row>
    <row r="269" spans="1:32">
      <c r="A269" s="1411"/>
      <c r="AE269" s="799" t="s">
        <v>2082</v>
      </c>
      <c r="AF269" s="799">
        <v>13305</v>
      </c>
    </row>
    <row r="270" spans="1:32">
      <c r="A270" s="1411"/>
      <c r="AE270" s="799" t="s">
        <v>2083</v>
      </c>
      <c r="AF270" s="799">
        <v>13305</v>
      </c>
    </row>
    <row r="271" spans="1:32">
      <c r="A271" s="1411"/>
      <c r="AE271" s="799" t="s">
        <v>2084</v>
      </c>
      <c r="AF271" s="799">
        <v>13305</v>
      </c>
    </row>
    <row r="272" spans="1:32">
      <c r="A272" s="1411"/>
      <c r="AE272" s="799" t="s">
        <v>2085</v>
      </c>
      <c r="AF272" s="799">
        <v>13305</v>
      </c>
    </row>
    <row r="273" spans="1:32">
      <c r="A273" s="1411"/>
      <c r="AE273" s="799" t="s">
        <v>2086</v>
      </c>
      <c r="AF273" s="799">
        <v>13305</v>
      </c>
    </row>
    <row r="274" spans="1:32">
      <c r="A274" s="1411"/>
      <c r="AE274" s="799" t="s">
        <v>2087</v>
      </c>
      <c r="AF274" s="799">
        <v>13305</v>
      </c>
    </row>
    <row r="275" spans="1:32">
      <c r="A275" s="1411"/>
      <c r="AE275" s="799" t="s">
        <v>2088</v>
      </c>
      <c r="AF275" s="799">
        <v>13305</v>
      </c>
    </row>
    <row r="276" spans="1:32">
      <c r="A276" s="1411"/>
      <c r="AE276" s="799" t="s">
        <v>2089</v>
      </c>
      <c r="AF276" s="799">
        <v>13305</v>
      </c>
    </row>
    <row r="277" spans="1:32">
      <c r="A277" s="1411"/>
      <c r="AE277" s="799" t="s">
        <v>2090</v>
      </c>
      <c r="AF277" s="799">
        <v>13305</v>
      </c>
    </row>
    <row r="278" spans="1:32">
      <c r="A278" s="1411"/>
      <c r="AE278" s="799" t="s">
        <v>2091</v>
      </c>
      <c r="AF278" s="799">
        <v>13305</v>
      </c>
    </row>
    <row r="279" spans="1:32">
      <c r="A279" s="1411"/>
      <c r="AE279" s="799" t="s">
        <v>2092</v>
      </c>
      <c r="AF279" s="799">
        <v>13305</v>
      </c>
    </row>
    <row r="280" spans="1:32">
      <c r="A280" s="1411"/>
      <c r="AE280" s="799" t="s">
        <v>2093</v>
      </c>
      <c r="AF280" s="799">
        <v>13305</v>
      </c>
    </row>
    <row r="281" spans="1:32">
      <c r="A281" s="1411"/>
      <c r="AE281" s="799" t="s">
        <v>2094</v>
      </c>
      <c r="AF281" s="799">
        <v>13305</v>
      </c>
    </row>
    <row r="282" spans="1:32">
      <c r="A282" s="1411"/>
      <c r="AE282" s="799" t="s">
        <v>2095</v>
      </c>
      <c r="AF282" s="799">
        <v>13305</v>
      </c>
    </row>
    <row r="283" spans="1:32">
      <c r="A283" s="1411"/>
      <c r="AE283" s="799" t="s">
        <v>2096</v>
      </c>
      <c r="AF283" s="799">
        <v>13305</v>
      </c>
    </row>
    <row r="284" spans="1:32">
      <c r="A284" s="1411"/>
      <c r="AE284" s="799" t="s">
        <v>2097</v>
      </c>
      <c r="AF284" s="799">
        <v>13305</v>
      </c>
    </row>
    <row r="285" spans="1:32">
      <c r="A285" s="1411"/>
      <c r="AE285" s="799" t="s">
        <v>2098</v>
      </c>
      <c r="AF285" s="799">
        <v>13305</v>
      </c>
    </row>
    <row r="286" spans="1:32">
      <c r="A286" s="1411"/>
      <c r="AE286" s="799" t="s">
        <v>2099</v>
      </c>
      <c r="AF286" s="799">
        <v>13305</v>
      </c>
    </row>
    <row r="287" spans="1:32">
      <c r="A287" s="1411"/>
      <c r="AE287" s="799" t="s">
        <v>2100</v>
      </c>
      <c r="AF287" s="799">
        <v>13305</v>
      </c>
    </row>
    <row r="288" spans="1:32">
      <c r="A288" s="1411"/>
      <c r="AE288" s="799" t="s">
        <v>2101</v>
      </c>
      <c r="AF288" s="799">
        <v>13305</v>
      </c>
    </row>
    <row r="289" spans="1:32">
      <c r="A289" s="1411"/>
      <c r="AE289" s="799" t="s">
        <v>2102</v>
      </c>
      <c r="AF289" s="799">
        <v>13305</v>
      </c>
    </row>
    <row r="290" spans="1:32">
      <c r="A290" s="1411"/>
      <c r="AE290" s="799" t="s">
        <v>2103</v>
      </c>
      <c r="AF290" s="799">
        <v>13305</v>
      </c>
    </row>
    <row r="291" spans="1:32">
      <c r="A291" s="1411"/>
      <c r="AE291" s="799" t="s">
        <v>2104</v>
      </c>
      <c r="AF291" s="799">
        <v>13305</v>
      </c>
    </row>
    <row r="292" spans="1:32">
      <c r="A292" s="1411"/>
      <c r="AE292" s="799" t="s">
        <v>2105</v>
      </c>
      <c r="AF292" s="799">
        <v>13305</v>
      </c>
    </row>
    <row r="293" spans="1:32">
      <c r="A293" s="1411"/>
      <c r="AE293" s="799" t="s">
        <v>2106</v>
      </c>
      <c r="AF293" s="799">
        <v>13305</v>
      </c>
    </row>
    <row r="294" spans="1:32">
      <c r="A294" s="1411"/>
      <c r="AE294" s="799" t="s">
        <v>2107</v>
      </c>
      <c r="AF294" s="799">
        <v>13305</v>
      </c>
    </row>
    <row r="295" spans="1:32">
      <c r="A295" s="1411"/>
      <c r="AE295" s="799" t="s">
        <v>2108</v>
      </c>
      <c r="AF295" s="799">
        <v>13305</v>
      </c>
    </row>
    <row r="296" spans="1:32">
      <c r="A296" s="1411"/>
      <c r="AE296" s="799" t="s">
        <v>2109</v>
      </c>
      <c r="AF296" s="799">
        <v>13305</v>
      </c>
    </row>
    <row r="297" spans="1:32">
      <c r="A297" s="1411"/>
      <c r="AE297" s="799" t="s">
        <v>2110</v>
      </c>
      <c r="AF297" s="799">
        <v>13305</v>
      </c>
    </row>
    <row r="298" spans="1:32">
      <c r="A298" s="1411"/>
      <c r="AE298" s="799" t="s">
        <v>2111</v>
      </c>
      <c r="AF298" s="799">
        <v>13305</v>
      </c>
    </row>
    <row r="299" spans="1:32">
      <c r="A299" s="1411"/>
      <c r="AE299" s="799" t="s">
        <v>2112</v>
      </c>
      <c r="AF299" s="799">
        <v>13305</v>
      </c>
    </row>
    <row r="300" spans="1:32">
      <c r="A300" s="1411"/>
      <c r="AE300" s="799" t="s">
        <v>2113</v>
      </c>
      <c r="AF300" s="799">
        <v>13305</v>
      </c>
    </row>
    <row r="301" spans="1:32">
      <c r="A301" s="1411"/>
      <c r="AE301" s="799" t="s">
        <v>2114</v>
      </c>
      <c r="AF301" s="799">
        <v>13305</v>
      </c>
    </row>
    <row r="302" spans="1:32">
      <c r="A302" s="1411"/>
      <c r="AE302" s="799" t="s">
        <v>2115</v>
      </c>
      <c r="AF302" s="799">
        <v>13305</v>
      </c>
    </row>
    <row r="303" spans="1:32">
      <c r="A303" s="1411"/>
      <c r="AE303" s="799" t="s">
        <v>2116</v>
      </c>
      <c r="AF303" s="799">
        <v>13305</v>
      </c>
    </row>
    <row r="304" spans="1:32">
      <c r="A304" s="1411"/>
      <c r="AE304" s="799" t="s">
        <v>2117</v>
      </c>
      <c r="AF304" s="799">
        <v>13305</v>
      </c>
    </row>
    <row r="305" spans="1:32">
      <c r="A305" s="1411"/>
      <c r="AE305" s="799" t="s">
        <v>2118</v>
      </c>
      <c r="AF305" s="799">
        <v>13305</v>
      </c>
    </row>
    <row r="306" spans="1:32">
      <c r="A306" s="1411"/>
      <c r="AE306" s="799" t="s">
        <v>2119</v>
      </c>
      <c r="AF306" s="799">
        <v>13305</v>
      </c>
    </row>
    <row r="307" spans="1:32">
      <c r="A307" s="1411"/>
      <c r="AE307" s="799" t="s">
        <v>2120</v>
      </c>
      <c r="AF307" s="799">
        <v>13305</v>
      </c>
    </row>
  </sheetData>
  <sheetProtection formatRows="0"/>
  <mergeCells count="34">
    <mergeCell ref="B58:K58"/>
    <mergeCell ref="B104:K104"/>
    <mergeCell ref="B61:D61"/>
    <mergeCell ref="B63:K63"/>
    <mergeCell ref="B64:D64"/>
    <mergeCell ref="B69:D69"/>
    <mergeCell ref="B71:D71"/>
    <mergeCell ref="B73:K73"/>
    <mergeCell ref="B74:D74"/>
    <mergeCell ref="B78:D78"/>
    <mergeCell ref="B83:D83"/>
    <mergeCell ref="B85:D85"/>
    <mergeCell ref="B87:K87"/>
    <mergeCell ref="B44:D44"/>
    <mergeCell ref="B51:D51"/>
    <mergeCell ref="B53:K53"/>
    <mergeCell ref="B54:D54"/>
    <mergeCell ref="B56:D56"/>
    <mergeCell ref="A1:A1048576"/>
    <mergeCell ref="B1:K1"/>
    <mergeCell ref="B2:K2"/>
    <mergeCell ref="B3:K3"/>
    <mergeCell ref="B4:K4"/>
    <mergeCell ref="B5:K5"/>
    <mergeCell ref="B6:D6"/>
    <mergeCell ref="B12:D12"/>
    <mergeCell ref="B14:K14"/>
    <mergeCell ref="B15:D15"/>
    <mergeCell ref="B59:D59"/>
    <mergeCell ref="B27:D27"/>
    <mergeCell ref="B29:K29"/>
    <mergeCell ref="B30:D30"/>
    <mergeCell ref="B41:D41"/>
    <mergeCell ref="B43:K43"/>
  </mergeCells>
  <conditionalFormatting sqref="B28:K28">
    <cfRule type="cellIs" dxfId="182" priority="45" operator="lessThan">
      <formula>0</formula>
    </cfRule>
  </conditionalFormatting>
  <conditionalFormatting sqref="B42:K42">
    <cfRule type="cellIs" dxfId="181" priority="44" operator="lessThan">
      <formula>0</formula>
    </cfRule>
  </conditionalFormatting>
  <conditionalFormatting sqref="B71:E71">
    <cfRule type="cellIs" dxfId="180" priority="43" operator="lessThan">
      <formula>0</formula>
    </cfRule>
  </conditionalFormatting>
  <conditionalFormatting sqref="F71:K71">
    <cfRule type="cellIs" dxfId="179" priority="42" operator="lessThan">
      <formula>0</formula>
    </cfRule>
  </conditionalFormatting>
  <conditionalFormatting sqref="B93:F93">
    <cfRule type="cellIs" dxfId="178" priority="41" operator="lessThan">
      <formula>0</formula>
    </cfRule>
  </conditionalFormatting>
  <conditionalFormatting sqref="G93:K93">
    <cfRule type="cellIs" dxfId="177" priority="40" operator="lessThan">
      <formula>0</formula>
    </cfRule>
  </conditionalFormatting>
  <conditionalFormatting sqref="G89:K89">
    <cfRule type="cellIs" dxfId="176" priority="39" operator="lessThan">
      <formula>0</formula>
    </cfRule>
  </conditionalFormatting>
  <conditionalFormatting sqref="B99:F99">
    <cfRule type="cellIs" dxfId="175" priority="38" operator="lessThan">
      <formula>0</formula>
    </cfRule>
  </conditionalFormatting>
  <conditionalFormatting sqref="G102:K103">
    <cfRule type="cellIs" dxfId="174" priority="35" operator="lessThan">
      <formula>0</formula>
    </cfRule>
  </conditionalFormatting>
  <conditionalFormatting sqref="B95:F95">
    <cfRule type="cellIs" dxfId="173" priority="34" operator="lessThan">
      <formula>0</formula>
    </cfRule>
  </conditionalFormatting>
  <conditionalFormatting sqref="G99:K99">
    <cfRule type="cellIs" dxfId="172" priority="37" operator="lessThan">
      <formula>0</formula>
    </cfRule>
  </conditionalFormatting>
  <conditionalFormatting sqref="B102:F103">
    <cfRule type="cellIs" dxfId="171" priority="36" operator="lessThan">
      <formula>0</formula>
    </cfRule>
  </conditionalFormatting>
  <conditionalFormatting sqref="G98:K98">
    <cfRule type="cellIs" dxfId="170" priority="31" operator="lessThan">
      <formula>0</formula>
    </cfRule>
  </conditionalFormatting>
  <conditionalFormatting sqref="G95:K95">
    <cfRule type="cellIs" dxfId="169" priority="33" operator="lessThan">
      <formula>0</formula>
    </cfRule>
  </conditionalFormatting>
  <conditionalFormatting sqref="B98:F98">
    <cfRule type="cellIs" dxfId="168" priority="32" operator="lessThan">
      <formula>0</formula>
    </cfRule>
  </conditionalFormatting>
  <conditionalFormatting sqref="B3:K3">
    <cfRule type="cellIs" dxfId="167" priority="30" operator="equal">
      <formula>"SFC Close-out Process Incomplete!, Please Close out all Items"</formula>
    </cfRule>
  </conditionalFormatting>
  <conditionalFormatting sqref="B90:F92">
    <cfRule type="cellIs" dxfId="166" priority="29" operator="lessThan">
      <formula>0</formula>
    </cfRule>
  </conditionalFormatting>
  <conditionalFormatting sqref="G90:K92">
    <cfRule type="cellIs" dxfId="165" priority="28" operator="lessThan">
      <formula>0</formula>
    </cfRule>
  </conditionalFormatting>
  <conditionalFormatting sqref="G94:K94">
    <cfRule type="cellIs" dxfId="164" priority="26" operator="lessThan">
      <formula>0</formula>
    </cfRule>
  </conditionalFormatting>
  <conditionalFormatting sqref="B94:F94">
    <cfRule type="cellIs" dxfId="163" priority="27" operator="lessThan">
      <formula>0</formula>
    </cfRule>
  </conditionalFormatting>
  <conditionalFormatting sqref="B100:F100">
    <cfRule type="cellIs" dxfId="162" priority="25" operator="lessThan">
      <formula>0</formula>
    </cfRule>
  </conditionalFormatting>
  <conditionalFormatting sqref="G100:K100">
    <cfRule type="cellIs" dxfId="161" priority="24" operator="lessThan">
      <formula>0</formula>
    </cfRule>
  </conditionalFormatting>
  <conditionalFormatting sqref="G105:K105">
    <cfRule type="cellIs" dxfId="160" priority="22" operator="lessThan">
      <formula>0</formula>
    </cfRule>
  </conditionalFormatting>
  <conditionalFormatting sqref="B105:F105">
    <cfRule type="cellIs" dxfId="159" priority="23" operator="lessThan">
      <formula>0</formula>
    </cfRule>
  </conditionalFormatting>
  <conditionalFormatting sqref="L52:M52">
    <cfRule type="cellIs" dxfId="158" priority="21" operator="lessThan">
      <formula>0</formula>
    </cfRule>
  </conditionalFormatting>
  <conditionalFormatting sqref="B52:K52">
    <cfRule type="cellIs" dxfId="157" priority="20" operator="lessThan">
      <formula>0</formula>
    </cfRule>
  </conditionalFormatting>
  <conditionalFormatting sqref="L57:M57">
    <cfRule type="cellIs" dxfId="156" priority="19" operator="lessThan">
      <formula>0</formula>
    </cfRule>
  </conditionalFormatting>
  <conditionalFormatting sqref="B57:K57">
    <cfRule type="cellIs" dxfId="155" priority="18" operator="lessThan">
      <formula>0</formula>
    </cfRule>
  </conditionalFormatting>
  <conditionalFormatting sqref="L62:M62">
    <cfRule type="cellIs" dxfId="154" priority="17" operator="lessThan">
      <formula>0</formula>
    </cfRule>
  </conditionalFormatting>
  <conditionalFormatting sqref="B62:K62">
    <cfRule type="cellIs" dxfId="153" priority="16" operator="lessThan">
      <formula>0</formula>
    </cfRule>
  </conditionalFormatting>
  <conditionalFormatting sqref="L70:M70">
    <cfRule type="cellIs" dxfId="152" priority="15" operator="lessThan">
      <formula>0</formula>
    </cfRule>
  </conditionalFormatting>
  <conditionalFormatting sqref="B70:K70">
    <cfRule type="cellIs" dxfId="151" priority="14" operator="lessThan">
      <formula>0</formula>
    </cfRule>
  </conditionalFormatting>
  <conditionalFormatting sqref="L72:M72">
    <cfRule type="cellIs" dxfId="150" priority="13" operator="lessThan">
      <formula>0</formula>
    </cfRule>
  </conditionalFormatting>
  <conditionalFormatting sqref="B72:K72">
    <cfRule type="cellIs" dxfId="149" priority="12" operator="lessThan">
      <formula>0</formula>
    </cfRule>
  </conditionalFormatting>
  <conditionalFormatting sqref="L84:M84">
    <cfRule type="cellIs" dxfId="148" priority="11" operator="lessThan">
      <formula>0</formula>
    </cfRule>
  </conditionalFormatting>
  <conditionalFormatting sqref="B84:K84">
    <cfRule type="cellIs" dxfId="147" priority="10" operator="lessThan">
      <formula>0</formula>
    </cfRule>
  </conditionalFormatting>
  <conditionalFormatting sqref="L86:M86">
    <cfRule type="cellIs" dxfId="146" priority="9" operator="lessThan">
      <formula>0</formula>
    </cfRule>
  </conditionalFormatting>
  <conditionalFormatting sqref="B86:K86">
    <cfRule type="cellIs" dxfId="145" priority="8" operator="lessThan">
      <formula>0</formula>
    </cfRule>
  </conditionalFormatting>
  <conditionalFormatting sqref="L106:M106">
    <cfRule type="cellIs" dxfId="144" priority="7" operator="lessThan">
      <formula>0</formula>
    </cfRule>
  </conditionalFormatting>
  <conditionalFormatting sqref="B106:K106">
    <cfRule type="cellIs" dxfId="143" priority="6" operator="lessThan">
      <formula>0</formula>
    </cfRule>
  </conditionalFormatting>
  <conditionalFormatting sqref="K7:K12">
    <cfRule type="cellIs" dxfId="142" priority="5" operator="notEqual">
      <formula>0</formula>
    </cfRule>
  </conditionalFormatting>
  <conditionalFormatting sqref="K16:K26">
    <cfRule type="cellIs" dxfId="141" priority="4" operator="lessThan">
      <formula>0</formula>
    </cfRule>
  </conditionalFormatting>
  <conditionalFormatting sqref="K27">
    <cfRule type="cellIs" dxfId="140" priority="3" operator="notEqual">
      <formula>0</formula>
    </cfRule>
  </conditionalFormatting>
  <conditionalFormatting sqref="K31:K40">
    <cfRule type="cellIs" dxfId="139" priority="2" operator="lessThan">
      <formula>0</formula>
    </cfRule>
  </conditionalFormatting>
  <conditionalFormatting sqref="K41 K51 K56 K61 K69 K71 K75:K83 K85">
    <cfRule type="cellIs" dxfId="138" priority="1" operator="notEqual">
      <formula>0</formula>
    </cfRule>
  </conditionalFormatting>
  <dataValidations count="1">
    <dataValidation type="list" allowBlank="1" showInputMessage="1" showErrorMessage="1" sqref="WVL983064 WLP983064 WBT983064 VRX983064 VIB983064 UYF983064 UOJ983064 UEN983064 TUR983064 TKV983064 TAZ983064 SRD983064 SHH983064 RXL983064 RNP983064 RDT983064 QTX983064 QKB983064 QAF983064 PQJ983064 PGN983064 OWR983064 OMV983064 OCZ983064 NTD983064 NJH983064 MZL983064 MPP983064 MFT983064 LVX983064 LMB983064 LCF983064 KSJ983064 KIN983064 JYR983064 JOV983064 JEZ983064 IVD983064 ILH983064 IBL983064 HRP983064 HHT983064 GXX983064 GOB983064 GEF983064 FUJ983064 FKN983064 FAR983064 EQV983064 EGZ983064 DXD983064 DNH983064 DDL983064 CTP983064 CJT983064 BZX983064 BQB983064 BGF983064 AWJ983064 AMN983064 ACR983064 SV983064 IZ983064 D983086 WVL917528 WLP917528 WBT917528 VRX917528 VIB917528 UYF917528 UOJ917528 UEN917528 TUR917528 TKV917528 TAZ917528 SRD917528 SHH917528 RXL917528 RNP917528 RDT917528 QTX917528 QKB917528 QAF917528 PQJ917528 PGN917528 OWR917528 OMV917528 OCZ917528 NTD917528 NJH917528 MZL917528 MPP917528 MFT917528 LVX917528 LMB917528 LCF917528 KSJ917528 KIN917528 JYR917528 JOV917528 JEZ917528 IVD917528 ILH917528 IBL917528 HRP917528 HHT917528 GXX917528 GOB917528 GEF917528 FUJ917528 FKN917528 FAR917528 EQV917528 EGZ917528 DXD917528 DNH917528 DDL917528 CTP917528 CJT917528 BZX917528 BQB917528 BGF917528 AWJ917528 AMN917528 ACR917528 SV917528 IZ917528 D917550 WVL851992 WLP851992 WBT851992 VRX851992 VIB851992 UYF851992 UOJ851992 UEN851992 TUR851992 TKV851992 TAZ851992 SRD851992 SHH851992 RXL851992 RNP851992 RDT851992 QTX851992 QKB851992 QAF851992 PQJ851992 PGN851992 OWR851992 OMV851992 OCZ851992 NTD851992 NJH851992 MZL851992 MPP851992 MFT851992 LVX851992 LMB851992 LCF851992 KSJ851992 KIN851992 JYR851992 JOV851992 JEZ851992 IVD851992 ILH851992 IBL851992 HRP851992 HHT851992 GXX851992 GOB851992 GEF851992 FUJ851992 FKN851992 FAR851992 EQV851992 EGZ851992 DXD851992 DNH851992 DDL851992 CTP851992 CJT851992 BZX851992 BQB851992 BGF851992 AWJ851992 AMN851992 ACR851992 SV851992 IZ851992 D852014 WVL786456 WLP786456 WBT786456 VRX786456 VIB786456 UYF786456 UOJ786456 UEN786456 TUR786456 TKV786456 TAZ786456 SRD786456 SHH786456 RXL786456 RNP786456 RDT786456 QTX786456 QKB786456 QAF786456 PQJ786456 PGN786456 OWR786456 OMV786456 OCZ786456 NTD786456 NJH786456 MZL786456 MPP786456 MFT786456 LVX786456 LMB786456 LCF786456 KSJ786456 KIN786456 JYR786456 JOV786456 JEZ786456 IVD786456 ILH786456 IBL786456 HRP786456 HHT786456 GXX786456 GOB786456 GEF786456 FUJ786456 FKN786456 FAR786456 EQV786456 EGZ786456 DXD786456 DNH786456 DDL786456 CTP786456 CJT786456 BZX786456 BQB786456 BGF786456 AWJ786456 AMN786456 ACR786456 SV786456 IZ786456 D786478 WVL720920 WLP720920 WBT720920 VRX720920 VIB720920 UYF720920 UOJ720920 UEN720920 TUR720920 TKV720920 TAZ720920 SRD720920 SHH720920 RXL720920 RNP720920 RDT720920 QTX720920 QKB720920 QAF720920 PQJ720920 PGN720920 OWR720920 OMV720920 OCZ720920 NTD720920 NJH720920 MZL720920 MPP720920 MFT720920 LVX720920 LMB720920 LCF720920 KSJ720920 KIN720920 JYR720920 JOV720920 JEZ720920 IVD720920 ILH720920 IBL720920 HRP720920 HHT720920 GXX720920 GOB720920 GEF720920 FUJ720920 FKN720920 FAR720920 EQV720920 EGZ720920 DXD720920 DNH720920 DDL720920 CTP720920 CJT720920 BZX720920 BQB720920 BGF720920 AWJ720920 AMN720920 ACR720920 SV720920 IZ720920 D720942 WVL655384 WLP655384 WBT655384 VRX655384 VIB655384 UYF655384 UOJ655384 UEN655384 TUR655384 TKV655384 TAZ655384 SRD655384 SHH655384 RXL655384 RNP655384 RDT655384 QTX655384 QKB655384 QAF655384 PQJ655384 PGN655384 OWR655384 OMV655384 OCZ655384 NTD655384 NJH655384 MZL655384 MPP655384 MFT655384 LVX655384 LMB655384 LCF655384 KSJ655384 KIN655384 JYR655384 JOV655384 JEZ655384 IVD655384 ILH655384 IBL655384 HRP655384 HHT655384 GXX655384 GOB655384 GEF655384 FUJ655384 FKN655384 FAR655384 EQV655384 EGZ655384 DXD655384 DNH655384 DDL655384 CTP655384 CJT655384 BZX655384 BQB655384 BGF655384 AWJ655384 AMN655384 ACR655384 SV655384 IZ655384 D655406 WVL589848 WLP589848 WBT589848 VRX589848 VIB589848 UYF589848 UOJ589848 UEN589848 TUR589848 TKV589848 TAZ589848 SRD589848 SHH589848 RXL589848 RNP589848 RDT589848 QTX589848 QKB589848 QAF589848 PQJ589848 PGN589848 OWR589848 OMV589848 OCZ589848 NTD589848 NJH589848 MZL589848 MPP589848 MFT589848 LVX589848 LMB589848 LCF589848 KSJ589848 KIN589848 JYR589848 JOV589848 JEZ589848 IVD589848 ILH589848 IBL589848 HRP589848 HHT589848 GXX589848 GOB589848 GEF589848 FUJ589848 FKN589848 FAR589848 EQV589848 EGZ589848 DXD589848 DNH589848 DDL589848 CTP589848 CJT589848 BZX589848 BQB589848 BGF589848 AWJ589848 AMN589848 ACR589848 SV589848 IZ589848 D589870 WVL524312 WLP524312 WBT524312 VRX524312 VIB524312 UYF524312 UOJ524312 UEN524312 TUR524312 TKV524312 TAZ524312 SRD524312 SHH524312 RXL524312 RNP524312 RDT524312 QTX524312 QKB524312 QAF524312 PQJ524312 PGN524312 OWR524312 OMV524312 OCZ524312 NTD524312 NJH524312 MZL524312 MPP524312 MFT524312 LVX524312 LMB524312 LCF524312 KSJ524312 KIN524312 JYR524312 JOV524312 JEZ524312 IVD524312 ILH524312 IBL524312 HRP524312 HHT524312 GXX524312 GOB524312 GEF524312 FUJ524312 FKN524312 FAR524312 EQV524312 EGZ524312 DXD524312 DNH524312 DDL524312 CTP524312 CJT524312 BZX524312 BQB524312 BGF524312 AWJ524312 AMN524312 ACR524312 SV524312 IZ524312 D524334 WVL458776 WLP458776 WBT458776 VRX458776 VIB458776 UYF458776 UOJ458776 UEN458776 TUR458776 TKV458776 TAZ458776 SRD458776 SHH458776 RXL458776 RNP458776 RDT458776 QTX458776 QKB458776 QAF458776 PQJ458776 PGN458776 OWR458776 OMV458776 OCZ458776 NTD458776 NJH458776 MZL458776 MPP458776 MFT458776 LVX458776 LMB458776 LCF458776 KSJ458776 KIN458776 JYR458776 JOV458776 JEZ458776 IVD458776 ILH458776 IBL458776 HRP458776 HHT458776 GXX458776 GOB458776 GEF458776 FUJ458776 FKN458776 FAR458776 EQV458776 EGZ458776 DXD458776 DNH458776 DDL458776 CTP458776 CJT458776 BZX458776 BQB458776 BGF458776 AWJ458776 AMN458776 ACR458776 SV458776 IZ458776 D458798 WVL393240 WLP393240 WBT393240 VRX393240 VIB393240 UYF393240 UOJ393240 UEN393240 TUR393240 TKV393240 TAZ393240 SRD393240 SHH393240 RXL393240 RNP393240 RDT393240 QTX393240 QKB393240 QAF393240 PQJ393240 PGN393240 OWR393240 OMV393240 OCZ393240 NTD393240 NJH393240 MZL393240 MPP393240 MFT393240 LVX393240 LMB393240 LCF393240 KSJ393240 KIN393240 JYR393240 JOV393240 JEZ393240 IVD393240 ILH393240 IBL393240 HRP393240 HHT393240 GXX393240 GOB393240 GEF393240 FUJ393240 FKN393240 FAR393240 EQV393240 EGZ393240 DXD393240 DNH393240 DDL393240 CTP393240 CJT393240 BZX393240 BQB393240 BGF393240 AWJ393240 AMN393240 ACR393240 SV393240 IZ393240 D393262 WVL327704 WLP327704 WBT327704 VRX327704 VIB327704 UYF327704 UOJ327704 UEN327704 TUR327704 TKV327704 TAZ327704 SRD327704 SHH327704 RXL327704 RNP327704 RDT327704 QTX327704 QKB327704 QAF327704 PQJ327704 PGN327704 OWR327704 OMV327704 OCZ327704 NTD327704 NJH327704 MZL327704 MPP327704 MFT327704 LVX327704 LMB327704 LCF327704 KSJ327704 KIN327704 JYR327704 JOV327704 JEZ327704 IVD327704 ILH327704 IBL327704 HRP327704 HHT327704 GXX327704 GOB327704 GEF327704 FUJ327704 FKN327704 FAR327704 EQV327704 EGZ327704 DXD327704 DNH327704 DDL327704 CTP327704 CJT327704 BZX327704 BQB327704 BGF327704 AWJ327704 AMN327704 ACR327704 SV327704 IZ327704 D327726 WVL262168 WLP262168 WBT262168 VRX262168 VIB262168 UYF262168 UOJ262168 UEN262168 TUR262168 TKV262168 TAZ262168 SRD262168 SHH262168 RXL262168 RNP262168 RDT262168 QTX262168 QKB262168 QAF262168 PQJ262168 PGN262168 OWR262168 OMV262168 OCZ262168 NTD262168 NJH262168 MZL262168 MPP262168 MFT262168 LVX262168 LMB262168 LCF262168 KSJ262168 KIN262168 JYR262168 JOV262168 JEZ262168 IVD262168 ILH262168 IBL262168 HRP262168 HHT262168 GXX262168 GOB262168 GEF262168 FUJ262168 FKN262168 FAR262168 EQV262168 EGZ262168 DXD262168 DNH262168 DDL262168 CTP262168 CJT262168 BZX262168 BQB262168 BGF262168 AWJ262168 AMN262168 ACR262168 SV262168 IZ262168 D262190 WVL196632 WLP196632 WBT196632 VRX196632 VIB196632 UYF196632 UOJ196632 UEN196632 TUR196632 TKV196632 TAZ196632 SRD196632 SHH196632 RXL196632 RNP196632 RDT196632 QTX196632 QKB196632 QAF196632 PQJ196632 PGN196632 OWR196632 OMV196632 OCZ196632 NTD196632 NJH196632 MZL196632 MPP196632 MFT196632 LVX196632 LMB196632 LCF196632 KSJ196632 KIN196632 JYR196632 JOV196632 JEZ196632 IVD196632 ILH196632 IBL196632 HRP196632 HHT196632 GXX196632 GOB196632 GEF196632 FUJ196632 FKN196632 FAR196632 EQV196632 EGZ196632 DXD196632 DNH196632 DDL196632 CTP196632 CJT196632 BZX196632 BQB196632 BGF196632 AWJ196632 AMN196632 ACR196632 SV196632 IZ196632 D196654 WVL131096 WLP131096 WBT131096 VRX131096 VIB131096 UYF131096 UOJ131096 UEN131096 TUR131096 TKV131096 TAZ131096 SRD131096 SHH131096 RXL131096 RNP131096 RDT131096 QTX131096 QKB131096 QAF131096 PQJ131096 PGN131096 OWR131096 OMV131096 OCZ131096 NTD131096 NJH131096 MZL131096 MPP131096 MFT131096 LVX131096 LMB131096 LCF131096 KSJ131096 KIN131096 JYR131096 JOV131096 JEZ131096 IVD131096 ILH131096 IBL131096 HRP131096 HHT131096 GXX131096 GOB131096 GEF131096 FUJ131096 FKN131096 FAR131096 EQV131096 EGZ131096 DXD131096 DNH131096 DDL131096 CTP131096 CJT131096 BZX131096 BQB131096 BGF131096 AWJ131096 AMN131096 ACR131096 SV131096 IZ131096 D131118 WVL65560 WLP65560 WBT65560 VRX65560 VIB65560 UYF65560 UOJ65560 UEN65560 TUR65560 TKV65560 TAZ65560 SRD65560 SHH65560 RXL65560 RNP65560 RDT65560 QTX65560 QKB65560 QAF65560 PQJ65560 PGN65560 OWR65560 OMV65560 OCZ65560 NTD65560 NJH65560 MZL65560 MPP65560 MFT65560 LVX65560 LMB65560 LCF65560 KSJ65560 KIN65560 JYR65560 JOV65560 JEZ65560 IVD65560 ILH65560 IBL65560 HRP65560 HHT65560 GXX65560 GOB65560 GEF65560 FUJ65560 FKN65560 FAR65560 EQV65560 EGZ65560 DXD65560 DNH65560 DDL65560 CTP65560 CJT65560 BZX65560 BQB65560 BGF65560 AWJ65560 AMN65560 ACR65560 SV65560 IZ65560 D65582 WVL7 WLP7 WBT7 VRX7 VIB7 UYF7 UOJ7 UEN7 TUR7 TKV7 TAZ7 SRD7 SHH7 RXL7 RNP7 RDT7 QTX7 QKB7 QAF7 PQJ7 PGN7 OWR7 OMV7 OCZ7 NTD7 NJH7 MZL7 MPP7 MFT7 LVX7 LMB7 LCF7 KSJ7 KIN7 JYR7 JOV7 JEZ7 IVD7 ILH7 IBL7 HRP7 HHT7 GXX7 GOB7 GEF7 FUJ7 FKN7 FAR7 EQV7 EGZ7 DXD7 DNH7 DDL7 CTP7 CJT7 BZX7 BQB7 BGF7 AWJ7 AMN7 ACR7 SV7 IZ7" xr:uid="{00000000-0002-0000-0D00-000000000000}">
      <formula1>$AC$113:$AC$189</formula1>
    </dataValidation>
  </dataValidations>
  <pageMargins left="0.1" right="0.15" top="0.5" bottom="0.25" header="0.3" footer="0.3"/>
  <pageSetup paperSize="5" scale="72" fitToHeight="0" orientation="portrait" r:id="rId1"/>
  <headerFooter differentFirst="1">
    <oddHeader xml:space="preserve">&amp;C&amp;"-,Bold"&amp;12STATEMENT OF FINAL COSTS - (continued)&amp;"-,Regular"&amp;11
</oddHeader>
    <oddFooter>&amp;R&amp;9
&amp;P&amp;L&amp;"Calibri"&amp;11&amp;K000000&amp;9&amp;F - &amp;A_x000D_&amp;1#&amp;"Calibri"&amp;11&amp;K000000Classification: Protected A</oddFooter>
    <firstFooter>&amp;L&amp;1#&amp;"Calibri"&amp;11&amp;K000000Classification: Protected A</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Check Box 1">
              <controlPr defaultSize="0" autoFill="0" autoLine="0" autoPict="0">
                <anchor moveWithCells="1">
                  <from>
                    <xdr:col>1</xdr:col>
                    <xdr:colOff>409433</xdr:colOff>
                    <xdr:row>88</xdr:row>
                    <xdr:rowOff>68239</xdr:rowOff>
                  </from>
                  <to>
                    <xdr:col>1</xdr:col>
                    <xdr:colOff>641445</xdr:colOff>
                    <xdr:row>89</xdr:row>
                    <xdr:rowOff>40943</xdr:rowOff>
                  </to>
                </anchor>
              </controlPr>
            </control>
          </mc:Choice>
        </mc:AlternateContent>
        <mc:AlternateContent xmlns:mc="http://schemas.openxmlformats.org/markup-compatibility/2006">
          <mc:Choice Requires="x14">
            <control shapeId="133122" r:id="rId5" name="Check Box 2">
              <controlPr defaultSize="0" autoFill="0" autoLine="0" autoPict="0">
                <anchor moveWithCells="1">
                  <from>
                    <xdr:col>1</xdr:col>
                    <xdr:colOff>409433</xdr:colOff>
                    <xdr:row>94</xdr:row>
                    <xdr:rowOff>40943</xdr:rowOff>
                  </from>
                  <to>
                    <xdr:col>1</xdr:col>
                    <xdr:colOff>641445</xdr:colOff>
                    <xdr:row>95</xdr:row>
                    <xdr:rowOff>54591</xdr:rowOff>
                  </to>
                </anchor>
              </controlPr>
            </control>
          </mc:Choice>
        </mc:AlternateContent>
        <mc:AlternateContent xmlns:mc="http://schemas.openxmlformats.org/markup-compatibility/2006">
          <mc:Choice Requires="x14">
            <control shapeId="133123" r:id="rId6" name="Check Box 3">
              <controlPr defaultSize="0" autoFill="0" autoLine="0" autoPict="0">
                <anchor moveWithCells="1">
                  <from>
                    <xdr:col>1</xdr:col>
                    <xdr:colOff>409433</xdr:colOff>
                    <xdr:row>92</xdr:row>
                    <xdr:rowOff>40943</xdr:rowOff>
                  </from>
                  <to>
                    <xdr:col>1</xdr:col>
                    <xdr:colOff>641445</xdr:colOff>
                    <xdr:row>93</xdr:row>
                    <xdr:rowOff>54591</xdr:rowOff>
                  </to>
                </anchor>
              </controlPr>
            </control>
          </mc:Choice>
        </mc:AlternateContent>
        <mc:AlternateContent xmlns:mc="http://schemas.openxmlformats.org/markup-compatibility/2006">
          <mc:Choice Requires="x14">
            <control shapeId="133124" r:id="rId7" name="Check Box 4">
              <controlPr defaultSize="0" autoFill="0" autoLine="0" autoPict="0">
                <anchor moveWithCells="1">
                  <from>
                    <xdr:col>1</xdr:col>
                    <xdr:colOff>409433</xdr:colOff>
                    <xdr:row>98</xdr:row>
                    <xdr:rowOff>40943</xdr:rowOff>
                  </from>
                  <to>
                    <xdr:col>1</xdr:col>
                    <xdr:colOff>641445</xdr:colOff>
                    <xdr:row>99</xdr:row>
                    <xdr:rowOff>54591</xdr:rowOff>
                  </to>
                </anchor>
              </controlPr>
            </control>
          </mc:Choice>
        </mc:AlternateContent>
        <mc:AlternateContent xmlns:mc="http://schemas.openxmlformats.org/markup-compatibility/2006">
          <mc:Choice Requires="x14">
            <control shapeId="133125" r:id="rId8" name="Check Box 5">
              <controlPr defaultSize="0" autoFill="0" autoLine="0" autoPict="0">
                <anchor moveWithCells="1">
                  <from>
                    <xdr:col>1</xdr:col>
                    <xdr:colOff>409433</xdr:colOff>
                    <xdr:row>96</xdr:row>
                    <xdr:rowOff>40943</xdr:rowOff>
                  </from>
                  <to>
                    <xdr:col>1</xdr:col>
                    <xdr:colOff>641445</xdr:colOff>
                    <xdr:row>97</xdr:row>
                    <xdr:rowOff>54591</xdr:rowOff>
                  </to>
                </anchor>
              </controlPr>
            </control>
          </mc:Choice>
        </mc:AlternateContent>
        <mc:AlternateContent xmlns:mc="http://schemas.openxmlformats.org/markup-compatibility/2006">
          <mc:Choice Requires="x14">
            <control shapeId="133126" r:id="rId9" name="Check Box 6">
              <controlPr defaultSize="0" autoFill="0" autoLine="0" autoPict="0">
                <anchor moveWithCells="1">
                  <from>
                    <xdr:col>1</xdr:col>
                    <xdr:colOff>409433</xdr:colOff>
                    <xdr:row>94</xdr:row>
                    <xdr:rowOff>40943</xdr:rowOff>
                  </from>
                  <to>
                    <xdr:col>1</xdr:col>
                    <xdr:colOff>641445</xdr:colOff>
                    <xdr:row>95</xdr:row>
                    <xdr:rowOff>54591</xdr:rowOff>
                  </to>
                </anchor>
              </controlPr>
            </control>
          </mc:Choice>
        </mc:AlternateContent>
        <mc:AlternateContent xmlns:mc="http://schemas.openxmlformats.org/markup-compatibility/2006">
          <mc:Choice Requires="x14">
            <control shapeId="133127" r:id="rId10" name="Check Box 7">
              <controlPr defaultSize="0" autoFill="0" autoLine="0" autoPict="0">
                <anchor moveWithCells="1">
                  <from>
                    <xdr:col>1</xdr:col>
                    <xdr:colOff>409433</xdr:colOff>
                    <xdr:row>95</xdr:row>
                    <xdr:rowOff>40943</xdr:rowOff>
                  </from>
                  <to>
                    <xdr:col>1</xdr:col>
                    <xdr:colOff>641445</xdr:colOff>
                    <xdr:row>96</xdr:row>
                    <xdr:rowOff>54591</xdr:rowOff>
                  </to>
                </anchor>
              </controlPr>
            </control>
          </mc:Choice>
        </mc:AlternateContent>
        <mc:AlternateContent xmlns:mc="http://schemas.openxmlformats.org/markup-compatibility/2006">
          <mc:Choice Requires="x14">
            <control shapeId="133128" r:id="rId11" name="Check Box 8">
              <controlPr defaultSize="0" autoFill="0" autoLine="0" autoPict="0">
                <anchor moveWithCells="1">
                  <from>
                    <xdr:col>1</xdr:col>
                    <xdr:colOff>409433</xdr:colOff>
                    <xdr:row>102</xdr:row>
                    <xdr:rowOff>40943</xdr:rowOff>
                  </from>
                  <to>
                    <xdr:col>1</xdr:col>
                    <xdr:colOff>641445</xdr:colOff>
                    <xdr:row>102</xdr:row>
                    <xdr:rowOff>307075</xdr:rowOff>
                  </to>
                </anchor>
              </controlPr>
            </control>
          </mc:Choice>
        </mc:AlternateContent>
        <mc:AlternateContent xmlns:mc="http://schemas.openxmlformats.org/markup-compatibility/2006">
          <mc:Choice Requires="x14">
            <control shapeId="133129" r:id="rId12" name="Check Box 9">
              <controlPr defaultSize="0" autoFill="0" autoLine="0" autoPict="0">
                <anchor moveWithCells="1">
                  <from>
                    <xdr:col>1</xdr:col>
                    <xdr:colOff>409433</xdr:colOff>
                    <xdr:row>101</xdr:row>
                    <xdr:rowOff>40943</xdr:rowOff>
                  </from>
                  <to>
                    <xdr:col>1</xdr:col>
                    <xdr:colOff>641445</xdr:colOff>
                    <xdr:row>102</xdr:row>
                    <xdr:rowOff>54591</xdr:rowOff>
                  </to>
                </anchor>
              </controlPr>
            </control>
          </mc:Choice>
        </mc:AlternateContent>
        <mc:AlternateContent xmlns:mc="http://schemas.openxmlformats.org/markup-compatibility/2006">
          <mc:Choice Requires="x14">
            <control shapeId="133130" r:id="rId13" name="Check Box 10">
              <controlPr defaultSize="0" autoFill="0" autoLine="0" autoPict="0">
                <anchor moveWithCells="1">
                  <from>
                    <xdr:col>1</xdr:col>
                    <xdr:colOff>409433</xdr:colOff>
                    <xdr:row>97</xdr:row>
                    <xdr:rowOff>40943</xdr:rowOff>
                  </from>
                  <to>
                    <xdr:col>1</xdr:col>
                    <xdr:colOff>641445</xdr:colOff>
                    <xdr:row>98</xdr:row>
                    <xdr:rowOff>54591</xdr:rowOff>
                  </to>
                </anchor>
              </controlPr>
            </control>
          </mc:Choice>
        </mc:AlternateContent>
        <mc:AlternateContent xmlns:mc="http://schemas.openxmlformats.org/markup-compatibility/2006">
          <mc:Choice Requires="x14">
            <control shapeId="133131" r:id="rId14" name="Check Box 11">
              <controlPr defaultSize="0" autoFill="0" autoLine="0" autoPict="0">
                <anchor moveWithCells="1">
                  <from>
                    <xdr:col>1</xdr:col>
                    <xdr:colOff>409433</xdr:colOff>
                    <xdr:row>89</xdr:row>
                    <xdr:rowOff>40943</xdr:rowOff>
                  </from>
                  <to>
                    <xdr:col>1</xdr:col>
                    <xdr:colOff>641445</xdr:colOff>
                    <xdr:row>90</xdr:row>
                    <xdr:rowOff>54591</xdr:rowOff>
                  </to>
                </anchor>
              </controlPr>
            </control>
          </mc:Choice>
        </mc:AlternateContent>
        <mc:AlternateContent xmlns:mc="http://schemas.openxmlformats.org/markup-compatibility/2006">
          <mc:Choice Requires="x14">
            <control shapeId="133132" r:id="rId15" name="Check Box 12">
              <controlPr defaultSize="0" autoFill="0" autoLine="0" autoPict="0">
                <anchor moveWithCells="1">
                  <from>
                    <xdr:col>1</xdr:col>
                    <xdr:colOff>409433</xdr:colOff>
                    <xdr:row>90</xdr:row>
                    <xdr:rowOff>40943</xdr:rowOff>
                  </from>
                  <to>
                    <xdr:col>1</xdr:col>
                    <xdr:colOff>641445</xdr:colOff>
                    <xdr:row>91</xdr:row>
                    <xdr:rowOff>54591</xdr:rowOff>
                  </to>
                </anchor>
              </controlPr>
            </control>
          </mc:Choice>
        </mc:AlternateContent>
        <mc:AlternateContent xmlns:mc="http://schemas.openxmlformats.org/markup-compatibility/2006">
          <mc:Choice Requires="x14">
            <control shapeId="133133" r:id="rId16" name="Check Box 13">
              <controlPr defaultSize="0" autoFill="0" autoLine="0" autoPict="0">
                <anchor moveWithCells="1">
                  <from>
                    <xdr:col>1</xdr:col>
                    <xdr:colOff>409433</xdr:colOff>
                    <xdr:row>91</xdr:row>
                    <xdr:rowOff>40943</xdr:rowOff>
                  </from>
                  <to>
                    <xdr:col>1</xdr:col>
                    <xdr:colOff>641445</xdr:colOff>
                    <xdr:row>92</xdr:row>
                    <xdr:rowOff>54591</xdr:rowOff>
                  </to>
                </anchor>
              </controlPr>
            </control>
          </mc:Choice>
        </mc:AlternateContent>
        <mc:AlternateContent xmlns:mc="http://schemas.openxmlformats.org/markup-compatibility/2006">
          <mc:Choice Requires="x14">
            <control shapeId="133134" r:id="rId17" name="Check Box 14">
              <controlPr defaultSize="0" autoFill="0" autoLine="0" autoPict="0">
                <anchor moveWithCells="1">
                  <from>
                    <xdr:col>1</xdr:col>
                    <xdr:colOff>409433</xdr:colOff>
                    <xdr:row>99</xdr:row>
                    <xdr:rowOff>40943</xdr:rowOff>
                  </from>
                  <to>
                    <xdr:col>1</xdr:col>
                    <xdr:colOff>641445</xdr:colOff>
                    <xdr:row>100</xdr:row>
                    <xdr:rowOff>54591</xdr:rowOff>
                  </to>
                </anchor>
              </controlPr>
            </control>
          </mc:Choice>
        </mc:AlternateContent>
        <mc:AlternateContent xmlns:mc="http://schemas.openxmlformats.org/markup-compatibility/2006">
          <mc:Choice Requires="x14">
            <control shapeId="133135" r:id="rId18" name="Check Box 15">
              <controlPr defaultSize="0" autoFill="0" autoLine="0" autoPict="0">
                <anchor moveWithCells="1">
                  <from>
                    <xdr:col>1</xdr:col>
                    <xdr:colOff>409433</xdr:colOff>
                    <xdr:row>98</xdr:row>
                    <xdr:rowOff>40943</xdr:rowOff>
                  </from>
                  <to>
                    <xdr:col>1</xdr:col>
                    <xdr:colOff>641445</xdr:colOff>
                    <xdr:row>99</xdr:row>
                    <xdr:rowOff>54591</xdr:rowOff>
                  </to>
                </anchor>
              </controlPr>
            </control>
          </mc:Choice>
        </mc:AlternateContent>
        <mc:AlternateContent xmlns:mc="http://schemas.openxmlformats.org/markup-compatibility/2006">
          <mc:Choice Requires="x14">
            <control shapeId="133136" r:id="rId19" name="Check Box 16">
              <controlPr defaultSize="0" autoFill="0" autoLine="0" autoPict="0">
                <anchor moveWithCells="1">
                  <from>
                    <xdr:col>1</xdr:col>
                    <xdr:colOff>409433</xdr:colOff>
                    <xdr:row>104</xdr:row>
                    <xdr:rowOff>40943</xdr:rowOff>
                  </from>
                  <to>
                    <xdr:col>1</xdr:col>
                    <xdr:colOff>641445</xdr:colOff>
                    <xdr:row>106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6" tint="0.39997558519241921"/>
    <pageSetUpPr fitToPage="1"/>
  </sheetPr>
  <dimension ref="B2:X44"/>
  <sheetViews>
    <sheetView showGridLines="0" zoomScale="80" zoomScaleNormal="80" workbookViewId="0">
      <selection activeCell="C10" sqref="C10"/>
    </sheetView>
  </sheetViews>
  <sheetFormatPr defaultColWidth="9.42578125" defaultRowHeight="14.1" outlineLevelRow="1"/>
  <cols>
    <col min="1" max="1" width="2.42578125" style="1" customWidth="1"/>
    <col min="2" max="2" width="19.42578125" style="1" customWidth="1"/>
    <col min="3" max="3" width="26.42578125" style="1" customWidth="1"/>
    <col min="4" max="4" width="3.7109375" style="1" customWidth="1"/>
    <col min="5" max="5" width="16.42578125" style="1" bestFit="1" customWidth="1"/>
    <col min="6" max="6" width="16.42578125" style="1" customWidth="1"/>
    <col min="7" max="7" width="16.42578125" style="1" bestFit="1" customWidth="1"/>
    <col min="8" max="8" width="2.42578125" style="1" customWidth="1"/>
    <col min="9" max="9" width="16.42578125" style="1" bestFit="1" customWidth="1"/>
    <col min="10" max="10" width="15" style="1" customWidth="1"/>
    <col min="11" max="11" width="20.7109375" style="1" customWidth="1"/>
    <col min="12" max="12" width="13.42578125" style="1" customWidth="1"/>
    <col min="13" max="13" width="17.7109375" style="1" customWidth="1"/>
    <col min="14" max="14" width="18.42578125" style="1" bestFit="1" customWidth="1"/>
    <col min="15" max="15" width="2.42578125" style="1" customWidth="1"/>
    <col min="16" max="19" width="16.42578125" style="1" customWidth="1"/>
    <col min="20" max="20" width="2.42578125" style="1" customWidth="1"/>
    <col min="21" max="21" width="13.42578125" style="1" bestFit="1" customWidth="1"/>
    <col min="22" max="22" width="14.42578125" style="1" customWidth="1"/>
    <col min="23" max="23" width="16.42578125" style="1" bestFit="1" customWidth="1"/>
    <col min="24" max="24" width="14.42578125" style="1" customWidth="1"/>
    <col min="25" max="25" width="2.42578125" style="1" customWidth="1"/>
    <col min="26" max="16384" width="9.42578125" style="1"/>
  </cols>
  <sheetData>
    <row r="2" spans="2:24" ht="23.65">
      <c r="B2" s="16" t="s">
        <v>2121</v>
      </c>
      <c r="C2" s="16"/>
      <c r="D2" s="16"/>
      <c r="F2" s="19" t="str">
        <f>Validations!$C$6</f>
        <v>Justice Centre</v>
      </c>
    </row>
    <row r="3" spans="2:24" ht="15.6">
      <c r="B3" s="302" t="s">
        <v>2122</v>
      </c>
      <c r="C3" s="341" t="str">
        <f>Validations!$L$17</f>
        <v>Design Bid Build</v>
      </c>
      <c r="D3" s="148"/>
    </row>
    <row r="4" spans="2:24" s="41" customFormat="1" ht="10.7"/>
    <row r="5" spans="2:24" s="41" customFormat="1">
      <c r="B5" s="548" t="str">
        <f ca="1">IF(PrimContID[Contract ID]="","If you wish to use the green tabs, start by selecting the Contract ID for your Prime Contractor below.","")</f>
        <v/>
      </c>
      <c r="I5" s="6" t="s">
        <v>321</v>
      </c>
      <c r="J5" s="6" t="s">
        <v>377</v>
      </c>
      <c r="K5" s="6" t="s">
        <v>378</v>
      </c>
      <c r="P5" s="6" t="s">
        <v>333</v>
      </c>
      <c r="Q5" s="6" t="s">
        <v>2123</v>
      </c>
      <c r="R5" s="6" t="s">
        <v>2124</v>
      </c>
    </row>
    <row r="6" spans="2:24" ht="27.95">
      <c r="B6" s="483" t="s">
        <v>384</v>
      </c>
      <c r="C6" s="484" t="s">
        <v>383</v>
      </c>
      <c r="D6" s="190"/>
      <c r="I6" s="441" t="s">
        <v>2125</v>
      </c>
      <c r="J6" s="380" t="s">
        <v>2126</v>
      </c>
      <c r="K6" s="380" t="s">
        <v>2127</v>
      </c>
      <c r="L6" s="380" t="s">
        <v>2128</v>
      </c>
      <c r="M6" s="378" t="s">
        <v>2129</v>
      </c>
      <c r="N6" s="380" t="s">
        <v>2130</v>
      </c>
      <c r="P6" s="441" t="s">
        <v>2131</v>
      </c>
      <c r="Q6" s="380" t="s">
        <v>2132</v>
      </c>
      <c r="R6" s="378" t="s">
        <v>2133</v>
      </c>
    </row>
    <row r="7" spans="2:24" s="4" customFormat="1" ht="15" customHeight="1" thickBot="1">
      <c r="B7" s="547">
        <v>37987</v>
      </c>
      <c r="C7" s="485" t="str">
        <f ca="1">IFERROR(INDEX(VendorList[Vendor / Org.],MATCH(PrimContID[[#This Row],[Contract ID]],VendorList[Contract ID],0)),"")</f>
        <v>Clark Builders</v>
      </c>
      <c r="D7" s="70"/>
      <c r="I7" s="486">
        <f ca="1">SUMIF(VendorList[Contract ID],'Prime Cont. Summary'!B7,VendorList[Original Contract Value])</f>
        <v>139569293</v>
      </c>
      <c r="J7" s="487">
        <f ca="1">SUMIF(VendorList[Contract ID],'Prime Cont. Summary'!B7,VendorList[Amendment(s)])</f>
        <v>14745298.420000009</v>
      </c>
      <c r="K7" s="487">
        <f ca="1">PrimContVal[Original 
Contract Value]+PrimContVal[Change
Orders]</f>
        <v>154314591.42000002</v>
      </c>
      <c r="L7" s="670">
        <f ca="1">(PrimContVal[Change
Orders]/PrimContVal[Original 
Contract Value])</f>
        <v>0.10564858575302813</v>
      </c>
      <c r="M7" s="671">
        <f ca="1">IF(C3&lt;&gt;"Construction Management",$N$28/PrimContVal[Original 
Contract Value],$N$40/PrimContVal[Original 
Contract Value])</f>
        <v>0.10557693675499244</v>
      </c>
      <c r="N7" s="487">
        <f ca="1">PrimContVal[Original 
Contract Value]+(PrimContVal[Original 
Contract Value]*PrimContVal[Forecasted % Increase])</f>
        <v>154304591.42000002</v>
      </c>
      <c r="P7" s="514">
        <v>45044</v>
      </c>
      <c r="Q7" s="515">
        <f ca="1">INDEX(VendorList[End],MATCH($B$7,VendorList[Contract ID],0))</f>
        <v>46081</v>
      </c>
      <c r="R7" s="243">
        <f ca="1">MROUND((Q7-P7)/365*12,1)</f>
        <v>34</v>
      </c>
    </row>
    <row r="8" spans="2:24" s="158" customFormat="1" ht="14.65" thickBot="1">
      <c r="I8" s="1203" t="s">
        <v>2134</v>
      </c>
      <c r="J8" s="1204"/>
      <c r="K8" s="785">
        <f ca="1">PrimContVal[Original 
Contract Value]+ (0.1*PrimContVal[Original 
Contract Value])</f>
        <v>153526222.30000001</v>
      </c>
      <c r="L8" s="786" t="s">
        <v>2135</v>
      </c>
      <c r="M8" s="787">
        <f ca="1">+K8-K7</f>
        <v>-788369.12000000477</v>
      </c>
      <c r="N8" s="788">
        <f ca="1">1-(K7/K8)</f>
        <v>-5.1350779572982841E-3</v>
      </c>
    </row>
    <row r="9" spans="2:24" ht="5.25" customHeight="1"/>
    <row r="10" spans="2:24">
      <c r="B10" s="18" t="s">
        <v>2136</v>
      </c>
    </row>
    <row r="11" spans="2:24" ht="30" customHeight="1">
      <c r="B11" s="144" t="s">
        <v>9</v>
      </c>
      <c r="C11" s="1205" t="s">
        <v>2137</v>
      </c>
      <c r="D11" s="1206"/>
      <c r="E11" s="1206"/>
      <c r="F11" s="1206" t="s">
        <v>533</v>
      </c>
      <c r="G11" s="1118" t="s">
        <v>281</v>
      </c>
      <c r="H11" s="1118"/>
      <c r="I11" s="568" t="s">
        <v>2138</v>
      </c>
      <c r="J11" s="1127" t="s">
        <v>534</v>
      </c>
      <c r="K11" s="1149"/>
      <c r="L11" s="1149"/>
      <c r="M11" s="1149"/>
      <c r="N11" s="1149"/>
      <c r="O11" s="1149"/>
      <c r="P11" s="1149"/>
      <c r="Q11" s="1149"/>
      <c r="R11" s="1149"/>
      <c r="S11" s="1149"/>
      <c r="T11" s="1149"/>
      <c r="U11" s="1149"/>
      <c r="V11" s="1149"/>
      <c r="W11" s="1149"/>
      <c r="X11" s="1128"/>
    </row>
    <row r="12" spans="2:24" s="4" customFormat="1" ht="15" customHeight="1">
      <c r="B12" s="79"/>
      <c r="C12" s="1207" t="str">
        <f t="shared" ref="C12:C17" si="0">IF($B12="","",INDEX($C$27:$C$39,MATCH($B12,$B$27:$B$39,0),0))</f>
        <v/>
      </c>
      <c r="D12" s="1207"/>
      <c r="E12" s="1207"/>
      <c r="F12" s="1208" t="s">
        <v>2139</v>
      </c>
      <c r="G12" s="1212"/>
      <c r="H12" s="1212"/>
      <c r="I12" s="569"/>
      <c r="J12" s="1209"/>
      <c r="K12" s="1210"/>
      <c r="L12" s="1210"/>
      <c r="M12" s="1210"/>
      <c r="N12" s="1210"/>
      <c r="O12" s="1210"/>
      <c r="P12" s="1210"/>
      <c r="Q12" s="1210"/>
      <c r="R12" s="1210"/>
      <c r="S12" s="1210"/>
      <c r="T12" s="1210"/>
      <c r="U12" s="1210"/>
      <c r="V12" s="1210"/>
      <c r="W12" s="1210"/>
      <c r="X12" s="1211"/>
    </row>
    <row r="13" spans="2:24" s="4" customFormat="1" ht="15" customHeight="1">
      <c r="B13" s="79"/>
      <c r="C13" s="1207" t="str">
        <f t="shared" si="0"/>
        <v/>
      </c>
      <c r="D13" s="1207"/>
      <c r="E13" s="1207"/>
      <c r="F13" s="1208" t="s">
        <v>2140</v>
      </c>
      <c r="G13" s="1212"/>
      <c r="H13" s="1212"/>
      <c r="I13" s="569"/>
      <c r="J13" s="1209"/>
      <c r="K13" s="1210"/>
      <c r="L13" s="1210"/>
      <c r="M13" s="1210"/>
      <c r="N13" s="1210"/>
      <c r="O13" s="1210"/>
      <c r="P13" s="1210"/>
      <c r="Q13" s="1210"/>
      <c r="R13" s="1210"/>
      <c r="S13" s="1210"/>
      <c r="T13" s="1210"/>
      <c r="U13" s="1210"/>
      <c r="V13" s="1210"/>
      <c r="W13" s="1210"/>
      <c r="X13" s="1211"/>
    </row>
    <row r="14" spans="2:24" s="4" customFormat="1" ht="15" customHeight="1">
      <c r="B14" s="79"/>
      <c r="C14" s="1207" t="str">
        <f t="shared" si="0"/>
        <v/>
      </c>
      <c r="D14" s="1207"/>
      <c r="E14" s="1207"/>
      <c r="F14" s="1208" t="s">
        <v>2141</v>
      </c>
      <c r="G14" s="1212"/>
      <c r="H14" s="1212"/>
      <c r="I14" s="569"/>
      <c r="J14" s="1209"/>
      <c r="K14" s="1210"/>
      <c r="L14" s="1210"/>
      <c r="M14" s="1210"/>
      <c r="N14" s="1210"/>
      <c r="O14" s="1210"/>
      <c r="P14" s="1210"/>
      <c r="Q14" s="1210"/>
      <c r="R14" s="1210"/>
      <c r="S14" s="1210"/>
      <c r="T14" s="1210"/>
      <c r="U14" s="1210"/>
      <c r="V14" s="1210"/>
      <c r="W14" s="1210"/>
      <c r="X14" s="1211"/>
    </row>
    <row r="15" spans="2:24" s="4" customFormat="1" ht="15" customHeight="1">
      <c r="B15" s="79"/>
      <c r="C15" s="1207" t="str">
        <f t="shared" si="0"/>
        <v/>
      </c>
      <c r="D15" s="1207"/>
      <c r="E15" s="1207"/>
      <c r="F15" s="1208" t="s">
        <v>2141</v>
      </c>
      <c r="G15" s="1212"/>
      <c r="H15" s="1212"/>
      <c r="I15" s="569"/>
      <c r="J15" s="1209"/>
      <c r="K15" s="1210"/>
      <c r="L15" s="1210"/>
      <c r="M15" s="1210"/>
      <c r="N15" s="1210"/>
      <c r="O15" s="1210"/>
      <c r="P15" s="1210"/>
      <c r="Q15" s="1210"/>
      <c r="R15" s="1210"/>
      <c r="S15" s="1210"/>
      <c r="T15" s="1210"/>
      <c r="U15" s="1210"/>
      <c r="V15" s="1210"/>
      <c r="W15" s="1210"/>
      <c r="X15" s="1211"/>
    </row>
    <row r="16" spans="2:24" s="4" customFormat="1" ht="15" customHeight="1">
      <c r="B16" s="79"/>
      <c r="C16" s="1207" t="str">
        <f t="shared" si="0"/>
        <v/>
      </c>
      <c r="D16" s="1207"/>
      <c r="E16" s="1207"/>
      <c r="F16" s="1208" t="s">
        <v>2141</v>
      </c>
      <c r="G16" s="1212"/>
      <c r="H16" s="1212"/>
      <c r="I16" s="569"/>
      <c r="J16" s="1209"/>
      <c r="K16" s="1210"/>
      <c r="L16" s="1210"/>
      <c r="M16" s="1210"/>
      <c r="N16" s="1210"/>
      <c r="O16" s="1210"/>
      <c r="P16" s="1210"/>
      <c r="Q16" s="1210"/>
      <c r="R16" s="1210"/>
      <c r="S16" s="1210"/>
      <c r="T16" s="1210"/>
      <c r="U16" s="1210"/>
      <c r="V16" s="1210"/>
      <c r="W16" s="1210"/>
      <c r="X16" s="1211"/>
    </row>
    <row r="17" spans="2:24" s="4" customFormat="1" ht="7.5" customHeight="1">
      <c r="B17" s="85"/>
      <c r="C17" s="1207" t="str">
        <f t="shared" si="0"/>
        <v/>
      </c>
      <c r="D17" s="1207"/>
      <c r="E17" s="1207"/>
      <c r="F17" s="1208" t="s">
        <v>2142</v>
      </c>
      <c r="G17" s="1212"/>
      <c r="H17" s="1212"/>
      <c r="I17" s="569"/>
      <c r="J17" s="1209"/>
      <c r="K17" s="1210"/>
      <c r="L17" s="1210"/>
      <c r="M17" s="1210"/>
      <c r="N17" s="1210"/>
      <c r="O17" s="1210"/>
      <c r="P17" s="1210"/>
      <c r="Q17" s="1210"/>
      <c r="R17" s="1210"/>
      <c r="S17" s="1210"/>
      <c r="T17" s="1210"/>
      <c r="U17" s="1210"/>
      <c r="V17" s="1210"/>
      <c r="W17" s="1210"/>
      <c r="X17" s="1211"/>
    </row>
    <row r="18" spans="2:24">
      <c r="B18" s="114"/>
      <c r="C18" s="115"/>
      <c r="D18" s="115"/>
      <c r="E18" s="115"/>
      <c r="F18" s="115"/>
      <c r="G18" s="1118" t="s">
        <v>274</v>
      </c>
      <c r="H18" s="1118"/>
      <c r="I18" s="571">
        <f>SUM(H11:I17)</f>
        <v>0</v>
      </c>
      <c r="J18" s="114"/>
      <c r="K18" s="115"/>
      <c r="L18" s="115"/>
      <c r="M18" s="115"/>
      <c r="N18" s="115"/>
      <c r="O18" s="115"/>
      <c r="P18" s="115"/>
      <c r="Q18" s="115"/>
      <c r="R18" s="115"/>
      <c r="S18" s="115"/>
      <c r="T18" s="115"/>
      <c r="U18" s="115"/>
      <c r="V18" s="115"/>
      <c r="W18" s="115"/>
      <c r="X18" s="168"/>
    </row>
    <row r="20" spans="2:24" ht="18" customHeight="1">
      <c r="H20" s="41"/>
      <c r="I20" s="303" t="str">
        <f>Validations!$D$26</f>
        <v>Pre-Authorized</v>
      </c>
      <c r="J20" s="303" t="str">
        <f>Validations!$D$27</f>
        <v>Pending - Quote</v>
      </c>
      <c r="K20" s="303" t="str">
        <f>Validations!$D$28</f>
        <v>Pending - Approve</v>
      </c>
      <c r="L20" s="358" t="s">
        <v>2143</v>
      </c>
      <c r="M20" s="358" t="str">
        <f>Validations!$D$29</f>
        <v>Approved</v>
      </c>
      <c r="N20" s="304"/>
    </row>
    <row r="21" spans="2:24" ht="21.6" hidden="1" outlineLevel="1">
      <c r="H21" s="305" t="s">
        <v>132</v>
      </c>
      <c r="I21" s="306" t="s">
        <v>2144</v>
      </c>
      <c r="J21" s="306" t="s">
        <v>2145</v>
      </c>
      <c r="K21" s="306" t="s">
        <v>2146</v>
      </c>
      <c r="L21" s="541" t="s">
        <v>2147</v>
      </c>
      <c r="M21" s="541" t="s">
        <v>2148</v>
      </c>
    </row>
    <row r="22" spans="2:24" ht="21.6" hidden="1" outlineLevel="1">
      <c r="H22" s="305" t="s">
        <v>135</v>
      </c>
      <c r="I22" s="306" t="s">
        <v>139</v>
      </c>
      <c r="J22" s="306" t="s">
        <v>2149</v>
      </c>
      <c r="K22" s="306" t="s">
        <v>2146</v>
      </c>
      <c r="L22" s="541" t="s">
        <v>2150</v>
      </c>
      <c r="M22" s="541" t="s">
        <v>2151</v>
      </c>
    </row>
    <row r="23" spans="2:24" ht="21.6" hidden="1" outlineLevel="1">
      <c r="H23" s="305" t="s">
        <v>56</v>
      </c>
      <c r="I23" s="306" t="s">
        <v>139</v>
      </c>
      <c r="J23" s="306" t="s">
        <v>2149</v>
      </c>
      <c r="K23" s="306" t="s">
        <v>2146</v>
      </c>
      <c r="L23" s="541" t="s">
        <v>2150</v>
      </c>
      <c r="M23" s="541" t="s">
        <v>2151</v>
      </c>
    </row>
    <row r="24" spans="2:24" collapsed="1">
      <c r="B24" s="18"/>
      <c r="E24" s="6" t="s">
        <v>321</v>
      </c>
      <c r="F24" s="6" t="s">
        <v>377</v>
      </c>
      <c r="G24" s="6" t="s">
        <v>378</v>
      </c>
      <c r="H24" s="6"/>
      <c r="I24" s="6" t="s">
        <v>2152</v>
      </c>
      <c r="J24" s="6" t="s">
        <v>2153</v>
      </c>
      <c r="K24" s="6" t="s">
        <v>2154</v>
      </c>
      <c r="L24" s="6" t="s">
        <v>2155</v>
      </c>
      <c r="M24" s="6" t="s">
        <v>335</v>
      </c>
      <c r="N24" s="6" t="s">
        <v>2156</v>
      </c>
      <c r="O24" s="6"/>
      <c r="P24" s="6" t="s">
        <v>1567</v>
      </c>
      <c r="Q24" s="6" t="s">
        <v>2157</v>
      </c>
      <c r="R24" s="6" t="s">
        <v>2158</v>
      </c>
      <c r="S24" s="6" t="s">
        <v>2159</v>
      </c>
      <c r="T24" s="6"/>
      <c r="U24" s="6"/>
      <c r="V24" s="6" t="s">
        <v>2160</v>
      </c>
      <c r="W24" s="6" t="s">
        <v>2161</v>
      </c>
      <c r="X24" s="6"/>
    </row>
    <row r="25" spans="2:24" ht="15" customHeight="1">
      <c r="B25" s="1213" t="s">
        <v>2162</v>
      </c>
      <c r="C25" s="1214"/>
      <c r="D25" s="1214"/>
      <c r="E25" s="1214"/>
      <c r="F25" s="1214"/>
      <c r="G25" s="1215"/>
      <c r="H25" s="3"/>
      <c r="I25" s="1216" t="s">
        <v>2163</v>
      </c>
      <c r="J25" s="1216"/>
      <c r="K25" s="1217"/>
      <c r="L25" s="164"/>
      <c r="M25" s="164"/>
      <c r="N25" s="108"/>
      <c r="O25" s="3"/>
      <c r="P25" s="1213" t="s">
        <v>84</v>
      </c>
      <c r="Q25" s="1214"/>
      <c r="R25" s="1214"/>
      <c r="S25" s="1215"/>
      <c r="T25" s="3"/>
      <c r="U25" s="164"/>
      <c r="V25" s="164"/>
      <c r="W25" s="164"/>
      <c r="X25" s="164"/>
    </row>
    <row r="26" spans="2:24" ht="27.95">
      <c r="B26" s="481" t="s">
        <v>2164</v>
      </c>
      <c r="C26" s="115" t="s">
        <v>2165</v>
      </c>
      <c r="D26" s="168" t="s">
        <v>2166</v>
      </c>
      <c r="E26" s="223" t="s">
        <v>2167</v>
      </c>
      <c r="F26" s="223" t="s">
        <v>2168</v>
      </c>
      <c r="G26" s="223" t="s">
        <v>2169</v>
      </c>
      <c r="H26" s="3"/>
      <c r="I26" s="20" t="str">
        <f>VLOOKUP($C$3,$H$20:$M$23,2,FALSE)</f>
        <v>FO</v>
      </c>
      <c r="J26" s="20" t="str">
        <f>VLOOKUP($C$3,$H$20:$M$23,3,FALSE)</f>
        <v>COW</v>
      </c>
      <c r="K26" s="20" t="str">
        <f>VLOOKUP($C$3,$H$20:$M$23,4,FALSE)</f>
        <v>CP</v>
      </c>
      <c r="L26" s="380" t="str">
        <f>VLOOKUP($C$3,$H$20:$M$23,5,FALSE)</f>
        <v>Subtotal Forecasted CO</v>
      </c>
      <c r="M26" s="380" t="str">
        <f>VLOOKUP($C$3,$H$20:$M$23,6,FALSE)</f>
        <v>Approved CO</v>
      </c>
      <c r="N26" s="223" t="s">
        <v>274</v>
      </c>
      <c r="O26" s="3"/>
      <c r="P26" s="191" t="s">
        <v>2170</v>
      </c>
      <c r="Q26" s="223" t="s">
        <v>2171</v>
      </c>
      <c r="R26" s="223" t="s">
        <v>2172</v>
      </c>
      <c r="S26" s="223" t="s">
        <v>2173</v>
      </c>
      <c r="T26" s="3"/>
      <c r="U26" s="380" t="s">
        <v>2174</v>
      </c>
      <c r="V26" s="380" t="s">
        <v>779</v>
      </c>
      <c r="W26" s="380" t="s">
        <v>2175</v>
      </c>
      <c r="X26" s="380" t="s">
        <v>88</v>
      </c>
    </row>
    <row r="27" spans="2:24" s="4" customFormat="1">
      <c r="B27" s="124" t="s">
        <v>27</v>
      </c>
      <c r="C27" s="62" t="s">
        <v>2176</v>
      </c>
      <c r="D27" s="195"/>
      <c r="E27" s="135"/>
      <c r="F27" s="135"/>
      <c r="G27" s="63">
        <f>E27+F27</f>
        <v>0</v>
      </c>
      <c r="H27" s="11"/>
      <c r="I27" s="142"/>
      <c r="J27" s="142"/>
      <c r="K27" s="142"/>
      <c r="L27" s="143"/>
      <c r="M27" s="142"/>
      <c r="N27" s="143"/>
      <c r="O27" s="11"/>
      <c r="P27" s="143"/>
      <c r="Q27" s="143"/>
      <c r="R27" s="143"/>
      <c r="S27" s="143"/>
      <c r="T27" s="3"/>
      <c r="U27" s="103" t="s">
        <v>268</v>
      </c>
      <c r="V27" s="65">
        <f ca="1">SUMIFS(CostTrack[Value],CostTrack[Auth. Ref.],$B27,CostTrack[Holdback (Y/N/R)],"&lt;&gt;Release")</f>
        <v>0</v>
      </c>
      <c r="W27" s="65">
        <f t="shared" ref="W27:W38" ca="1" si="1">G27-V27</f>
        <v>0</v>
      </c>
      <c r="X27" s="65">
        <f ca="1">SUMIF(CostTrack[Auth. Ref.],$B27,CostTrack[Holdback Value])*-1</f>
        <v>0</v>
      </c>
    </row>
    <row r="28" spans="2:24" s="4" customFormat="1">
      <c r="B28" s="124" t="s">
        <v>33</v>
      </c>
      <c r="C28" s="62" t="s">
        <v>2177</v>
      </c>
      <c r="D28" s="195"/>
      <c r="E28" s="135">
        <v>13569293</v>
      </c>
      <c r="F28" s="135"/>
      <c r="G28" s="63">
        <f t="shared" ref="G28:G39" si="2">E28+F28</f>
        <v>13569293</v>
      </c>
      <c r="H28" s="197" t="str">
        <f ca="1">IF(M28&gt;G28,"X","")</f>
        <v>X</v>
      </c>
      <c r="I28" s="73">
        <f ca="1">SUMIFS(CAPreAuthVal,CAStatus,$I$20,CAAuthRef,$B28)</f>
        <v>0</v>
      </c>
      <c r="J28" s="73">
        <f ca="1">SUMIFS(CADefChgVal,CAStatus,$J$20,CAAuthRef,$B28)</f>
        <v>-10000</v>
      </c>
      <c r="K28" s="73">
        <f ca="1">SUMIFS(CAQuoWrkVal,CAStatus,$K$20,CAAuthRef,$B28)</f>
        <v>0</v>
      </c>
      <c r="L28" s="74">
        <f t="shared" ref="L28:L38" ca="1" si="3">SUM(I28:K28)</f>
        <v>-10000</v>
      </c>
      <c r="M28" s="73">
        <f ca="1">SUMIFS(CAApprVal,CAStatus,$M$20,CAAuthRef,$B28)</f>
        <v>14745298.420000009</v>
      </c>
      <c r="N28" s="74">
        <f ca="1">L28+M28</f>
        <v>14735298.420000009</v>
      </c>
      <c r="O28" s="11"/>
      <c r="P28" s="143"/>
      <c r="Q28" s="143"/>
      <c r="R28" s="143"/>
      <c r="S28" s="143"/>
      <c r="T28" s="3"/>
      <c r="U28" s="64" t="e">
        <f ca="1">IF(B28&lt;&gt;"",SUMPRODUCT(MAX(--(CostTrack[Auth. Ref.]=B28)*CostTrack[Invoice Date])),"")</f>
        <v>#VALUE!</v>
      </c>
      <c r="V28" s="65">
        <f ca="1">SUMIFS(CostTrack[Value],CostTrack[Auth. Ref.],$B28,CostTrack[Holdback (Y/N/R)],"&lt;&gt;Release")</f>
        <v>0</v>
      </c>
      <c r="W28" s="65">
        <f t="shared" ca="1" si="1"/>
        <v>13569293</v>
      </c>
      <c r="X28" s="65">
        <f ca="1">SUMIF(CostTrack[Auth. Ref.],$B28,CostTrack[Holdback Value])*-1</f>
        <v>0</v>
      </c>
    </row>
    <row r="29" spans="2:24" s="4" customFormat="1">
      <c r="B29" s="79" t="s">
        <v>2178</v>
      </c>
      <c r="C29" s="194" t="s">
        <v>2179</v>
      </c>
      <c r="D29" s="195"/>
      <c r="E29" s="211">
        <v>10000000</v>
      </c>
      <c r="F29" s="63">
        <f t="shared" ref="F29:F39" ca="1" si="4">SUMIF($B$11:$B$17,B29,$H$11:$I$17)+M29</f>
        <v>0</v>
      </c>
      <c r="G29" s="63">
        <f t="shared" ca="1" si="2"/>
        <v>10000000</v>
      </c>
      <c r="H29" s="11"/>
      <c r="I29" s="73">
        <f ca="1">SUMIFS(CAPreAuthVal,CAStatus,$I$20,CAAuthRef,$B29)</f>
        <v>0</v>
      </c>
      <c r="J29" s="73">
        <f ca="1">SUMIFS(CADefChgVal,CAStatus,$J$20,CAAuthRef,$B29)</f>
        <v>0</v>
      </c>
      <c r="K29" s="73">
        <f ca="1">SUMIFS(CAQuoWrkVal,CAStatus,$K$20,CAAuthRef,$B29)</f>
        <v>0</v>
      </c>
      <c r="L29" s="74">
        <f t="shared" ca="1" si="3"/>
        <v>0</v>
      </c>
      <c r="M29" s="73">
        <f ca="1">SUMIFS(CAApprVal,CAStatus,$M$20,CAAuthRef,$B29)</f>
        <v>0</v>
      </c>
      <c r="N29" s="74">
        <f ca="1">SUM(L29:M29)</f>
        <v>0</v>
      </c>
      <c r="O29" s="11"/>
      <c r="P29" s="214"/>
      <c r="Q29" s="66">
        <f ca="1">SUMIFS(CAllowApprVal,CAllowNum,B29,CAllowStatus,"Approved")</f>
        <v>10019784.16</v>
      </c>
      <c r="R29" s="66">
        <f ca="1">SUMIFS(CAllowPreAuth,CAllowSummNum,$B29)+SUMIFS(CAllowPendQuo,CAllowSummNum,$B29)+SUMIFS(CAllowPendApp,CAllowSummNum,$B29)</f>
        <v>0</v>
      </c>
      <c r="S29" s="67">
        <f ca="1">P29-Q29-R29</f>
        <v>-10019784.16</v>
      </c>
      <c r="T29" s="3"/>
      <c r="U29" s="64" t="e">
        <f ca="1">IF(B29&lt;&gt;"",SUMPRODUCT(MAX(--(CostTrack[Auth. Ref.]=B29)*CostTrack[Invoice Date])),"")</f>
        <v>#VALUE!</v>
      </c>
      <c r="V29" s="65">
        <f ca="1">SUMIFS(CostTrack[Value],CostTrack[Auth. Ref.],$B29,CostTrack[Holdback (Y/N/R)],"&lt;&gt;Release")</f>
        <v>0</v>
      </c>
      <c r="W29" s="65">
        <f t="shared" ca="1" si="1"/>
        <v>10000000</v>
      </c>
      <c r="X29" s="65">
        <f ca="1">SUMIF(CostTrack[Auth. Ref.],$B29,CostTrack[Holdback Value])*-1</f>
        <v>0</v>
      </c>
    </row>
    <row r="30" spans="2:24" s="4" customFormat="1">
      <c r="B30" s="79">
        <v>2</v>
      </c>
      <c r="C30" s="194" t="s">
        <v>2180</v>
      </c>
      <c r="D30" s="195"/>
      <c r="E30" s="211">
        <v>1000000</v>
      </c>
      <c r="F30" s="63">
        <f t="shared" ca="1" si="4"/>
        <v>0</v>
      </c>
      <c r="G30" s="63">
        <f t="shared" ca="1" si="2"/>
        <v>1000000</v>
      </c>
      <c r="H30" s="11"/>
      <c r="I30" s="73">
        <f ca="1">SUMIFS(CAPreAuthVal,CAStatus,$I$20,CAAuthRef,$B30)</f>
        <v>0</v>
      </c>
      <c r="J30" s="73">
        <f ca="1">SUMIFS(CADefChgVal,CAStatus,$J$20,CAAuthRef,$B30)</f>
        <v>0</v>
      </c>
      <c r="K30" s="73">
        <f ca="1">SUMIFS(CAQuoWrkVal,CAStatus,$K$20,CAAuthRef,$B30)</f>
        <v>0</v>
      </c>
      <c r="L30" s="74">
        <f t="shared" ca="1" si="3"/>
        <v>0</v>
      </c>
      <c r="M30" s="73">
        <f ca="1">SUMIFS(CAApprVal,CAStatus,$M$20,CAAuthRef,$B30)</f>
        <v>0</v>
      </c>
      <c r="N30" s="74">
        <f t="shared" ref="N30:N38" ca="1" si="5">SUM(L30:M30)</f>
        <v>0</v>
      </c>
      <c r="O30" s="11"/>
      <c r="P30" s="214"/>
      <c r="Q30" s="66">
        <f ca="1">SUMIFS(CAllowApprVal,CAllowNum,B30,CAllowStatus,"Approved")</f>
        <v>1000000</v>
      </c>
      <c r="R30" s="66">
        <f ca="1">SUMIFS(CAllowPreAuth,CAllowSummNum,$B30)+SUMIFS(CAllowPendQuo,CAllowSummNum,$B30)+SUMIFS(CAllowPendApp,CAllowSummNum,$B30)</f>
        <v>0</v>
      </c>
      <c r="S30" s="67">
        <f t="shared" ref="S30:S38" ca="1" si="6">P30-Q30-R30</f>
        <v>-1000000</v>
      </c>
      <c r="T30" s="3"/>
      <c r="U30" s="64" t="e">
        <f ca="1">IF(B30&lt;&gt;"",SUMPRODUCT(MAX(--(CostTrack[Auth. Ref.]=B30)*CostTrack[Invoice Date])),"")</f>
        <v>#VALUE!</v>
      </c>
      <c r="V30" s="65">
        <f ca="1">SUMIFS(CostTrack[Value],CostTrack[Auth. Ref.],$B30,CostTrack[Holdback (Y/N/R)],"&lt;&gt;Release")</f>
        <v>0</v>
      </c>
      <c r="W30" s="65">
        <f t="shared" ca="1" si="1"/>
        <v>1000000</v>
      </c>
      <c r="X30" s="65">
        <f ca="1">SUMIF(CostTrack[Auth. Ref.],$B30,CostTrack[Holdback Value])*-1</f>
        <v>0</v>
      </c>
    </row>
    <row r="31" spans="2:24" s="4" customFormat="1">
      <c r="B31" s="79">
        <v>3</v>
      </c>
      <c r="C31" s="194" t="s">
        <v>2181</v>
      </c>
      <c r="D31" s="195"/>
      <c r="E31" s="211">
        <v>350000</v>
      </c>
      <c r="F31" s="63">
        <f t="shared" ca="1" si="4"/>
        <v>0</v>
      </c>
      <c r="G31" s="63">
        <f t="shared" ca="1" si="2"/>
        <v>350000</v>
      </c>
      <c r="H31" s="11"/>
      <c r="I31" s="73">
        <f ca="1">SUMIFS(CAPreAuthVal,CAStatus,$I$20,CAAuthRef,$B31)</f>
        <v>0</v>
      </c>
      <c r="J31" s="73">
        <f ca="1">SUMIFS(CADefChgVal,CAStatus,$J$20,CAAuthRef,$B31)</f>
        <v>0</v>
      </c>
      <c r="K31" s="73">
        <f ca="1">SUMIFS(CAQuoWrkVal,CAStatus,$K$20,CAAuthRef,$B31)</f>
        <v>0</v>
      </c>
      <c r="L31" s="74">
        <f t="shared" ca="1" si="3"/>
        <v>0</v>
      </c>
      <c r="M31" s="73">
        <f ca="1">SUMIFS(CAApprVal,CAStatus,$M$20,CAAuthRef,$B31)</f>
        <v>0</v>
      </c>
      <c r="N31" s="74">
        <f t="shared" ca="1" si="5"/>
        <v>0</v>
      </c>
      <c r="O31" s="11"/>
      <c r="P31" s="214"/>
      <c r="Q31" s="66">
        <f ca="1">SUMIFS(CAllowApprVal,CAllowNum,B31,CAllowStatus,"Approved")</f>
        <v>350000</v>
      </c>
      <c r="R31" s="66">
        <f ca="1">SUMIFS(CAllowPreAuth,CAllowSummNum,$B31)+SUMIFS(CAllowPendQuo,CAllowSummNum,$B31)+SUMIFS(CAllowPendApp,CAllowSummNum,$B31)</f>
        <v>0</v>
      </c>
      <c r="S31" s="67">
        <f t="shared" ca="1" si="6"/>
        <v>-350000</v>
      </c>
      <c r="T31" s="3"/>
      <c r="U31" s="64" t="e">
        <f ca="1">IF(B31&lt;&gt;"",SUMPRODUCT(MAX(--(CostTrack[Auth. Ref.]=B31)*CostTrack[Invoice Date])),"")</f>
        <v>#VALUE!</v>
      </c>
      <c r="V31" s="65">
        <f ca="1">SUMIFS(CostTrack[Value],CostTrack[Auth. Ref.],$B31,CostTrack[Holdback (Y/N/R)],"&lt;&gt;Release")</f>
        <v>0</v>
      </c>
      <c r="W31" s="65">
        <f t="shared" ca="1" si="1"/>
        <v>350000</v>
      </c>
      <c r="X31" s="65">
        <f ca="1">SUMIF(CostTrack[Auth. Ref.],$B31,CostTrack[Holdback Value])*-1</f>
        <v>0</v>
      </c>
    </row>
    <row r="32" spans="2:24" s="4" customFormat="1">
      <c r="B32" s="79">
        <v>4</v>
      </c>
      <c r="C32" s="194" t="s">
        <v>2182</v>
      </c>
      <c r="D32" s="195"/>
      <c r="E32" s="211">
        <v>2500000</v>
      </c>
      <c r="F32" s="63">
        <f t="shared" ca="1" si="4"/>
        <v>0</v>
      </c>
      <c r="G32" s="63">
        <f t="shared" ca="1" si="2"/>
        <v>2500000</v>
      </c>
      <c r="H32" s="11"/>
      <c r="I32" s="73">
        <f ca="1">SUMIFS(CAPreAuthVal,CAStatus,$I$20,CAAuthRef,$B32)</f>
        <v>0</v>
      </c>
      <c r="J32" s="73">
        <f ca="1">SUMIFS(CADefChgVal,CAStatus,$J$20,CAAuthRef,$B32)</f>
        <v>0</v>
      </c>
      <c r="K32" s="73">
        <f ca="1">SUMIFS(CAQuoWrkVal,CAStatus,$K$20,CAAuthRef,$B32)</f>
        <v>0</v>
      </c>
      <c r="L32" s="74">
        <f t="shared" ca="1" si="3"/>
        <v>0</v>
      </c>
      <c r="M32" s="73">
        <f ca="1">SUMIFS(CAApprVal,CAStatus,$M$20,CAAuthRef,$B32)</f>
        <v>0</v>
      </c>
      <c r="N32" s="74">
        <f t="shared" ca="1" si="5"/>
        <v>0</v>
      </c>
      <c r="O32" s="11"/>
      <c r="P32" s="214"/>
      <c r="Q32" s="66">
        <f ca="1">SUMIFS(CAllowApprVal,CAllowNum,B32,CAllowStatus,"Approved")</f>
        <v>2500000</v>
      </c>
      <c r="R32" s="66">
        <f ca="1">SUMIFS(CAllowPreAuth,CAllowSummNum,$B32)+SUMIFS(CAllowPendQuo,CAllowSummNum,$B32)+SUMIFS(CAllowPendApp,CAllowSummNum,$B32)</f>
        <v>0</v>
      </c>
      <c r="S32" s="67">
        <f t="shared" ca="1" si="6"/>
        <v>-2500000</v>
      </c>
      <c r="T32" s="3"/>
      <c r="U32" s="64" t="e">
        <f ca="1">IF(B32&lt;&gt;"",SUMPRODUCT(MAX(--(CostTrack[Auth. Ref.]=B32)*CostTrack[Invoice Date])),"")</f>
        <v>#VALUE!</v>
      </c>
      <c r="V32" s="65">
        <f ca="1">SUMIFS(CostTrack[Value],CostTrack[Auth. Ref.],$B32,CostTrack[Holdback (Y/N/R)],"&lt;&gt;Release")</f>
        <v>0</v>
      </c>
      <c r="W32" s="65">
        <f t="shared" ca="1" si="1"/>
        <v>2500000</v>
      </c>
      <c r="X32" s="65">
        <f ca="1">SUMIF(CostTrack[Auth. Ref.],$B32,CostTrack[Holdback Value])*-1</f>
        <v>0</v>
      </c>
    </row>
    <row r="33" spans="2:24" s="4" customFormat="1">
      <c r="B33" s="79">
        <v>5</v>
      </c>
      <c r="C33" s="194" t="s">
        <v>2183</v>
      </c>
      <c r="D33" s="195"/>
      <c r="E33" s="211">
        <v>350000</v>
      </c>
      <c r="F33" s="63">
        <f t="shared" ca="1" si="4"/>
        <v>0</v>
      </c>
      <c r="G33" s="63">
        <f t="shared" ca="1" si="2"/>
        <v>350000</v>
      </c>
      <c r="H33" s="11"/>
      <c r="I33" s="73">
        <f ca="1">SUMIFS(CAPreAuthVal,CAStatus,$I$20,CAAuthRef,$B33)</f>
        <v>0</v>
      </c>
      <c r="J33" s="73">
        <f ca="1">SUMIFS(CADefChgVal,CAStatus,$J$20,CAAuthRef,$B33)</f>
        <v>0</v>
      </c>
      <c r="K33" s="73">
        <f ca="1">SUMIFS(CAQuoWrkVal,CAStatus,$K$20,CAAuthRef,$B33)</f>
        <v>0</v>
      </c>
      <c r="L33" s="74">
        <f t="shared" ca="1" si="3"/>
        <v>0</v>
      </c>
      <c r="M33" s="73">
        <f ca="1">SUMIFS(CAApprVal,CAStatus,$M$20,CAAuthRef,$B33)</f>
        <v>0</v>
      </c>
      <c r="N33" s="74">
        <f t="shared" ca="1" si="5"/>
        <v>0</v>
      </c>
      <c r="O33" s="11"/>
      <c r="P33" s="214"/>
      <c r="Q33" s="66">
        <f ca="1">SUMIFS(CAllowApprVal,CAllowNum,B33,CAllowStatus,"Approved")</f>
        <v>350000</v>
      </c>
      <c r="R33" s="66">
        <f ca="1">SUMIFS(CAllowPreAuth,CAllowSummNum,$B33)+SUMIFS(CAllowPendQuo,CAllowSummNum,$B33)+SUMIFS(CAllowPendApp,CAllowSummNum,$B33)</f>
        <v>0</v>
      </c>
      <c r="S33" s="67">
        <f t="shared" ca="1" si="6"/>
        <v>-350000</v>
      </c>
      <c r="T33" s="3"/>
      <c r="U33" s="64" t="e">
        <f ca="1">IF(B33&lt;&gt;"",SUMPRODUCT(MAX(--(CostTrack[Auth. Ref.]=B33)*CostTrack[Invoice Date])),"")</f>
        <v>#VALUE!</v>
      </c>
      <c r="V33" s="65">
        <f ca="1">SUMIFS(CostTrack[Value],CostTrack[Auth. Ref.],$B33,CostTrack[Holdback (Y/N/R)],"&lt;&gt;Release")</f>
        <v>0</v>
      </c>
      <c r="W33" s="65">
        <f t="shared" ca="1" si="1"/>
        <v>350000</v>
      </c>
      <c r="X33" s="65">
        <f ca="1">SUMIF(CostTrack[Auth. Ref.],$B33,CostTrack[Holdback Value])*-1</f>
        <v>0</v>
      </c>
    </row>
    <row r="34" spans="2:24" s="4" customFormat="1">
      <c r="B34" s="79">
        <v>6</v>
      </c>
      <c r="C34" s="194" t="s">
        <v>2184</v>
      </c>
      <c r="D34" s="195"/>
      <c r="E34" s="211">
        <v>5000</v>
      </c>
      <c r="F34" s="63">
        <f t="shared" ca="1" si="4"/>
        <v>0</v>
      </c>
      <c r="G34" s="63">
        <f t="shared" ca="1" si="2"/>
        <v>5000</v>
      </c>
      <c r="H34" s="11"/>
      <c r="I34" s="73">
        <f ca="1">SUMIFS(CAPreAuthVal,CAStatus,$I$20,CAAuthRef,$B34)</f>
        <v>0</v>
      </c>
      <c r="J34" s="73">
        <f ca="1">SUMIFS(CADefChgVal,CAStatus,$J$20,CAAuthRef,$B34)</f>
        <v>0</v>
      </c>
      <c r="K34" s="73">
        <f ca="1">SUMIFS(CAQuoWrkVal,CAStatus,$K$20,CAAuthRef,$B34)</f>
        <v>0</v>
      </c>
      <c r="L34" s="74">
        <f t="shared" ca="1" si="3"/>
        <v>0</v>
      </c>
      <c r="M34" s="73">
        <f ca="1">SUMIFS(CAApprVal,CAStatus,$M$20,CAAuthRef,$B34)</f>
        <v>0</v>
      </c>
      <c r="N34" s="74">
        <f t="shared" ca="1" si="5"/>
        <v>0</v>
      </c>
      <c r="O34" s="11"/>
      <c r="P34" s="214"/>
      <c r="Q34" s="66">
        <f ca="1">SUMIFS(CAllowApprVal,CAllowNum,B34,CAllowStatus,"Approved")</f>
        <v>5000</v>
      </c>
      <c r="R34" s="66">
        <f ca="1">SUMIFS(CAllowPreAuth,CAllowSummNum,$B34)+SUMIFS(CAllowPendQuo,CAllowSummNum,$B34)+SUMIFS(CAllowPendApp,CAllowSummNum,$B34)</f>
        <v>0</v>
      </c>
      <c r="S34" s="67">
        <f t="shared" ca="1" si="6"/>
        <v>-5000</v>
      </c>
      <c r="T34" s="3"/>
      <c r="U34" s="64" t="e">
        <f ca="1">IF(B34&lt;&gt;"",SUMPRODUCT(MAX(--(CostTrack[Auth. Ref.]=B34)*CostTrack[Invoice Date])),"")</f>
        <v>#VALUE!</v>
      </c>
      <c r="V34" s="65">
        <f ca="1">SUMIFS(CostTrack[Value],CostTrack[Auth. Ref.],$B34,CostTrack[Holdback (Y/N/R)],"&lt;&gt;Release")</f>
        <v>0</v>
      </c>
      <c r="W34" s="65">
        <f t="shared" ca="1" si="1"/>
        <v>5000</v>
      </c>
      <c r="X34" s="65">
        <f ca="1">SUMIF(CostTrack[Auth. Ref.],$B34,CostTrack[Holdback Value])*-1</f>
        <v>0</v>
      </c>
    </row>
    <row r="35" spans="2:24" s="4" customFormat="1">
      <c r="B35" s="79">
        <v>7</v>
      </c>
      <c r="C35" s="194" t="s">
        <v>2185</v>
      </c>
      <c r="D35" s="195"/>
      <c r="E35" s="211">
        <v>500000</v>
      </c>
      <c r="F35" s="63">
        <f t="shared" ca="1" si="4"/>
        <v>0</v>
      </c>
      <c r="G35" s="63">
        <f t="shared" ca="1" si="2"/>
        <v>500000</v>
      </c>
      <c r="H35" s="11"/>
      <c r="I35" s="73">
        <f ca="1">SUMIFS(CAPreAuthVal,CAStatus,$I$20,CAAuthRef,$B35)</f>
        <v>0</v>
      </c>
      <c r="J35" s="73">
        <f ca="1">SUMIFS(CADefChgVal,CAStatus,$J$20,CAAuthRef,$B35)</f>
        <v>0</v>
      </c>
      <c r="K35" s="73">
        <f ca="1">SUMIFS(CAQuoWrkVal,CAStatus,$K$20,CAAuthRef,$B35)</f>
        <v>0</v>
      </c>
      <c r="L35" s="74">
        <f t="shared" ca="1" si="3"/>
        <v>0</v>
      </c>
      <c r="M35" s="73">
        <f ca="1">SUMIFS(CAApprVal,CAStatus,$M$20,CAAuthRef,$B35)</f>
        <v>0</v>
      </c>
      <c r="N35" s="74">
        <f t="shared" ca="1" si="5"/>
        <v>0</v>
      </c>
      <c r="O35" s="11"/>
      <c r="P35" s="214"/>
      <c r="Q35" s="66">
        <f ca="1">SUMIFS(CAllowApprVal,CAllowNum,B35,CAllowStatus,"Approved")</f>
        <v>499999.99999999994</v>
      </c>
      <c r="R35" s="66">
        <f ca="1">SUMIFS(CAllowPreAuth,CAllowSummNum,$B35)+SUMIFS(CAllowPendQuo,CAllowSummNum,$B35)+SUMIFS(CAllowPendApp,CAllowSummNum,$B35)</f>
        <v>0</v>
      </c>
      <c r="S35" s="67">
        <f t="shared" ca="1" si="6"/>
        <v>-499999.99999999994</v>
      </c>
      <c r="T35" s="3"/>
      <c r="U35" s="64" t="e">
        <f ca="1">IF(B35&lt;&gt;"",SUMPRODUCT(MAX(--(CostTrack[Auth. Ref.]=B35)*CostTrack[Invoice Date])),"")</f>
        <v>#VALUE!</v>
      </c>
      <c r="V35" s="65">
        <f ca="1">SUMIFS(CostTrack[Value],CostTrack[Auth. Ref.],$B35,CostTrack[Holdback (Y/N/R)],"&lt;&gt;Release")</f>
        <v>0</v>
      </c>
      <c r="W35" s="65">
        <f t="shared" ca="1" si="1"/>
        <v>500000</v>
      </c>
      <c r="X35" s="65">
        <f ca="1">SUMIF(CostTrack[Auth. Ref.],$B35,CostTrack[Holdback Value])*-1</f>
        <v>0</v>
      </c>
    </row>
    <row r="36" spans="2:24" s="4" customFormat="1">
      <c r="B36" s="79">
        <v>8</v>
      </c>
      <c r="C36" s="194" t="s">
        <v>2186</v>
      </c>
      <c r="D36" s="195"/>
      <c r="E36" s="211">
        <v>10000</v>
      </c>
      <c r="F36" s="63">
        <f t="shared" ca="1" si="4"/>
        <v>0</v>
      </c>
      <c r="G36" s="63">
        <f t="shared" ca="1" si="2"/>
        <v>10000</v>
      </c>
      <c r="H36" s="11"/>
      <c r="I36" s="73">
        <f ca="1">SUMIFS(CAPreAuthVal,CAStatus,$I$20,CAAuthRef,$B36)</f>
        <v>0</v>
      </c>
      <c r="J36" s="73">
        <f ca="1">SUMIFS(CADefChgVal,CAStatus,$J$20,CAAuthRef,$B36)</f>
        <v>0</v>
      </c>
      <c r="K36" s="73">
        <f ca="1">SUMIFS(CAQuoWrkVal,CAStatus,$K$20,CAAuthRef,$B36)</f>
        <v>0</v>
      </c>
      <c r="L36" s="74">
        <f t="shared" ca="1" si="3"/>
        <v>0</v>
      </c>
      <c r="M36" s="73">
        <f ca="1">SUMIFS(CAApprVal,CAStatus,$M$20,CAAuthRef,$B36)</f>
        <v>0</v>
      </c>
      <c r="N36" s="74">
        <f t="shared" ca="1" si="5"/>
        <v>0</v>
      </c>
      <c r="O36" s="11"/>
      <c r="P36" s="214"/>
      <c r="Q36" s="66">
        <f ca="1">SUMIFS(CAllowApprVal,CAllowNum,B36,CAllowStatus,"Approved")</f>
        <v>10000</v>
      </c>
      <c r="R36" s="66">
        <f ca="1">SUMIFS(CAllowPreAuth,CAllowSummNum,$B36)+SUMIFS(CAllowPendQuo,CAllowSummNum,$B36)+SUMIFS(CAllowPendApp,CAllowSummNum,$B36)</f>
        <v>0</v>
      </c>
      <c r="S36" s="67">
        <f t="shared" ca="1" si="6"/>
        <v>-10000</v>
      </c>
      <c r="T36" s="3"/>
      <c r="U36" s="64" t="e">
        <f ca="1">IF(B36&lt;&gt;"",SUMPRODUCT(MAX(--(CostTrack[Auth. Ref.]=B36)*CostTrack[Invoice Date])),"")</f>
        <v>#VALUE!</v>
      </c>
      <c r="V36" s="65">
        <f ca="1">SUMIFS(CostTrack[Value],CostTrack[Auth. Ref.],$B36,CostTrack[Holdback (Y/N/R)],"&lt;&gt;Release")</f>
        <v>0</v>
      </c>
      <c r="W36" s="65">
        <f t="shared" ca="1" si="1"/>
        <v>10000</v>
      </c>
      <c r="X36" s="65">
        <f ca="1">SUMIF(CostTrack[Auth. Ref.],$B36,CostTrack[Holdback Value])*-1</f>
        <v>0</v>
      </c>
    </row>
    <row r="37" spans="2:24" s="4" customFormat="1">
      <c r="B37" s="79">
        <v>9</v>
      </c>
      <c r="C37" s="194" t="s">
        <v>2187</v>
      </c>
      <c r="D37" s="195"/>
      <c r="E37" s="211">
        <v>25000</v>
      </c>
      <c r="F37" s="63">
        <f t="shared" ca="1" si="4"/>
        <v>0</v>
      </c>
      <c r="G37" s="63">
        <f t="shared" ca="1" si="2"/>
        <v>25000</v>
      </c>
      <c r="H37" s="11"/>
      <c r="I37" s="73">
        <f ca="1">SUMIFS(CAPreAuthVal,CAStatus,$I$20,CAAuthRef,$B37)</f>
        <v>0</v>
      </c>
      <c r="J37" s="73">
        <f ca="1">SUMIFS(CADefChgVal,CAStatus,$J$20,CAAuthRef,$B37)</f>
        <v>0</v>
      </c>
      <c r="K37" s="73">
        <f ca="1">SUMIFS(CAQuoWrkVal,CAStatus,$K$20,CAAuthRef,$B37)</f>
        <v>0</v>
      </c>
      <c r="L37" s="74">
        <f t="shared" ca="1" si="3"/>
        <v>0</v>
      </c>
      <c r="M37" s="73">
        <f ca="1">SUMIFS(CAApprVal,CAStatus,$M$20,CAAuthRef,$B37)</f>
        <v>0</v>
      </c>
      <c r="N37" s="74">
        <f t="shared" ca="1" si="5"/>
        <v>0</v>
      </c>
      <c r="O37" s="11"/>
      <c r="P37" s="214"/>
      <c r="Q37" s="66">
        <f ca="1">SUMIFS(CAllowApprVal,CAllowNum,B37,CAllowStatus,"Approved")</f>
        <v>25000</v>
      </c>
      <c r="R37" s="66">
        <f ca="1">SUMIFS(CAllowPreAuth,CAllowSummNum,$B37)+SUMIFS(CAllowPendQuo,CAllowSummNum,$B37)+SUMIFS(CAllowPendApp,CAllowSummNum,$B37)</f>
        <v>0</v>
      </c>
      <c r="S37" s="67">
        <f t="shared" ca="1" si="6"/>
        <v>-25000</v>
      </c>
      <c r="T37" s="3"/>
      <c r="U37" s="64" t="e">
        <f ca="1">IF(B37&lt;&gt;"",SUMPRODUCT(MAX(--(CostTrack[Auth. Ref.]=B37)*CostTrack[Invoice Date])),"")</f>
        <v>#VALUE!</v>
      </c>
      <c r="V37" s="65">
        <f ca="1">SUMIFS(CostTrack[Value],CostTrack[Auth. Ref.],$B37,CostTrack[Holdback (Y/N/R)],"&lt;&gt;Release")</f>
        <v>0</v>
      </c>
      <c r="W37" s="65">
        <f t="shared" ca="1" si="1"/>
        <v>25000</v>
      </c>
      <c r="X37" s="65">
        <f ca="1">SUMIF(CostTrack[Auth. Ref.],$B37,CostTrack[Holdback Value])*-1</f>
        <v>0</v>
      </c>
    </row>
    <row r="38" spans="2:24" s="4" customFormat="1">
      <c r="B38" s="79">
        <v>10</v>
      </c>
      <c r="C38" s="194" t="s">
        <v>2188</v>
      </c>
      <c r="D38" s="195"/>
      <c r="E38" s="211">
        <v>377000</v>
      </c>
      <c r="F38" s="63">
        <f t="shared" ca="1" si="4"/>
        <v>0</v>
      </c>
      <c r="G38" s="63">
        <f t="shared" ca="1" si="2"/>
        <v>377000</v>
      </c>
      <c r="H38" s="11"/>
      <c r="I38" s="73">
        <f ca="1">SUMIFS(CAPreAuthVal,CAStatus,$I$20,CAAuthRef,$B38)</f>
        <v>0</v>
      </c>
      <c r="J38" s="73">
        <f ca="1">SUMIFS(CADefChgVal,CAStatus,$J$20,CAAuthRef,$B38)</f>
        <v>0</v>
      </c>
      <c r="K38" s="73">
        <f ca="1">SUMIFS(CAQuoWrkVal,CAStatus,$K$20,CAAuthRef,$B38)</f>
        <v>0</v>
      </c>
      <c r="L38" s="74">
        <f t="shared" ca="1" si="3"/>
        <v>0</v>
      </c>
      <c r="M38" s="73">
        <f ca="1">SUMIFS(CAApprVal,CAStatus,$M$20,CAAuthRef,$B38)</f>
        <v>0</v>
      </c>
      <c r="N38" s="74">
        <f t="shared" ca="1" si="5"/>
        <v>0</v>
      </c>
      <c r="O38" s="11"/>
      <c r="P38" s="214"/>
      <c r="Q38" s="66">
        <f ca="1">SUMIFS(CAllowApprVal,CAllowNum,B38,CAllowStatus,"Approved")</f>
        <v>377000.00500000006</v>
      </c>
      <c r="R38" s="66">
        <f ca="1">SUMIFS(CAllowPreAuth,CAllowSummNum,$B38)+SUMIFS(CAllowPendQuo,CAllowSummNum,$B38)+SUMIFS(CAllowPendApp,CAllowSummNum,$B38)</f>
        <v>0</v>
      </c>
      <c r="S38" s="67">
        <f t="shared" ca="1" si="6"/>
        <v>-377000.00500000006</v>
      </c>
      <c r="T38" s="3"/>
      <c r="U38" s="64" t="e">
        <f ca="1">IF(B38&lt;&gt;"",SUMPRODUCT(MAX(--(CostTrack[Auth. Ref.]=B38)*CostTrack[Invoice Date])),"")</f>
        <v>#VALUE!</v>
      </c>
      <c r="V38" s="65">
        <f ca="1">SUMIFS(CostTrack[Value],CostTrack[Auth. Ref.],$B38,CostTrack[Holdback (Y/N/R)],"&lt;&gt;Release")</f>
        <v>0</v>
      </c>
      <c r="W38" s="65">
        <f t="shared" ca="1" si="1"/>
        <v>377000</v>
      </c>
      <c r="X38" s="65">
        <f ca="1">SUMIF(CostTrack[Auth. Ref.],$B38,CostTrack[Holdback Value])*-1</f>
        <v>0</v>
      </c>
    </row>
    <row r="39" spans="2:24" s="4" customFormat="1" ht="4.9000000000000004" customHeight="1">
      <c r="B39" s="85"/>
      <c r="C39" s="194"/>
      <c r="D39" s="196"/>
      <c r="E39" s="135"/>
      <c r="F39" s="63">
        <f t="shared" ca="1" si="4"/>
        <v>0</v>
      </c>
      <c r="G39" s="63">
        <f t="shared" ca="1" si="2"/>
        <v>0</v>
      </c>
      <c r="H39" s="11"/>
      <c r="I39" s="73">
        <f ca="1">SUMIFS('CA Tracking'!$J$22:$J$1503,'CA Tracking'!$B$22:$B$1503,$I$20,'CA Tracking'!$C$22:$C$1503,'Prime Cont. Summary'!$B39)</f>
        <v>0</v>
      </c>
      <c r="J39" s="73">
        <f ca="1">SUMIFS(CADefChgVal,CAStatus,$J$20,CAAuthRef,$B39)</f>
        <v>0</v>
      </c>
      <c r="K39" s="73">
        <f ca="1">SUMIFS(CAQuoWrkVal,CAStatus,$K$20,CAAuthRef,$B39)</f>
        <v>0</v>
      </c>
      <c r="L39" s="69"/>
      <c r="M39" s="73">
        <f ca="1">SUMIFS(CAApprVal,CAStatus,$M$20,CAAuthRef,$B39)</f>
        <v>0</v>
      </c>
      <c r="N39" s="69"/>
      <c r="O39" s="11"/>
      <c r="P39" s="215"/>
      <c r="Q39" s="68"/>
      <c r="R39" s="66"/>
      <c r="S39" s="68"/>
      <c r="T39" s="3"/>
      <c r="U39" s="63"/>
      <c r="V39" s="65"/>
      <c r="W39" s="65"/>
      <c r="X39" s="63"/>
    </row>
    <row r="40" spans="2:24">
      <c r="B40" s="1150" t="s">
        <v>274</v>
      </c>
      <c r="C40" s="1151"/>
      <c r="D40" s="1152"/>
      <c r="E40" s="192">
        <f>SUM(E27:E39)</f>
        <v>28686293</v>
      </c>
      <c r="F40" s="192">
        <f ca="1">SUM(F27:F39)</f>
        <v>0</v>
      </c>
      <c r="G40" s="192">
        <f ca="1">SUM(G27:G39)</f>
        <v>28686293</v>
      </c>
      <c r="H40" s="11"/>
      <c r="I40" s="193">
        <f ca="1">SUM(I29:I39)</f>
        <v>0</v>
      </c>
      <c r="J40" s="193">
        <f t="shared" ref="J40:N40" ca="1" si="7">SUM(J29:J39)</f>
        <v>0</v>
      </c>
      <c r="K40" s="193">
        <f t="shared" ca="1" si="7"/>
        <v>0</v>
      </c>
      <c r="L40" s="193">
        <f t="shared" ca="1" si="7"/>
        <v>0</v>
      </c>
      <c r="M40" s="193">
        <f t="shared" ca="1" si="7"/>
        <v>0</v>
      </c>
      <c r="N40" s="193">
        <f t="shared" ca="1" si="7"/>
        <v>0</v>
      </c>
      <c r="O40" s="11"/>
      <c r="P40" s="193">
        <f>SUM(P27:P39)</f>
        <v>0</v>
      </c>
      <c r="Q40" s="192">
        <f ca="1">SUM(Q27:Q39)</f>
        <v>15136784.165000001</v>
      </c>
      <c r="R40" s="192">
        <f ca="1">SUM(R27:R39)</f>
        <v>0</v>
      </c>
      <c r="S40" s="192">
        <f ca="1">SUM(S27:S39)</f>
        <v>-15136784.165000001</v>
      </c>
      <c r="T40" s="3"/>
      <c r="U40" s="192"/>
      <c r="V40" s="192">
        <f ca="1">SUM(V27:V39)</f>
        <v>0</v>
      </c>
      <c r="W40" s="192">
        <f t="shared" ref="W40:X40" ca="1" si="8">SUM(W27:W39)</f>
        <v>28686293</v>
      </c>
      <c r="X40" s="192">
        <f t="shared" ca="1" si="8"/>
        <v>0</v>
      </c>
    </row>
    <row r="41" spans="2:24" s="4" customFormat="1" ht="24.75">
      <c r="F41" s="198"/>
      <c r="G41" s="352" t="s">
        <v>2189</v>
      </c>
      <c r="M41" s="198"/>
      <c r="N41" s="199"/>
    </row>
    <row r="42" spans="2:24" s="4" customFormat="1" ht="16.5" customHeight="1">
      <c r="F42" s="199"/>
      <c r="G42" s="351" t="str">
        <f ca="1">IF(G40&gt;K7,"No","Yes")</f>
        <v>Yes</v>
      </c>
      <c r="M42" s="198"/>
      <c r="N42" s="199"/>
    </row>
    <row r="43" spans="2:24" s="4" customFormat="1" ht="16.5" customHeight="1">
      <c r="F43" s="198"/>
      <c r="G43" s="199"/>
      <c r="M43" s="198"/>
      <c r="N43" s="199"/>
    </row>
    <row r="44" spans="2:24">
      <c r="B44" s="200" t="s">
        <v>2190</v>
      </c>
      <c r="F44" s="13"/>
      <c r="G44" s="14"/>
    </row>
  </sheetData>
  <mergeCells count="27">
    <mergeCell ref="B40:D40"/>
    <mergeCell ref="P25:S25"/>
    <mergeCell ref="C17:F17"/>
    <mergeCell ref="J17:X17"/>
    <mergeCell ref="B25:G25"/>
    <mergeCell ref="I25:K25"/>
    <mergeCell ref="G17:H17"/>
    <mergeCell ref="G18:H18"/>
    <mergeCell ref="C13:F13"/>
    <mergeCell ref="J13:X13"/>
    <mergeCell ref="C16:F16"/>
    <mergeCell ref="J16:X16"/>
    <mergeCell ref="C15:F15"/>
    <mergeCell ref="J15:X15"/>
    <mergeCell ref="C14:F14"/>
    <mergeCell ref="J14:X14"/>
    <mergeCell ref="G13:H13"/>
    <mergeCell ref="G14:H14"/>
    <mergeCell ref="G15:H15"/>
    <mergeCell ref="G16:H16"/>
    <mergeCell ref="I8:J8"/>
    <mergeCell ref="C11:F11"/>
    <mergeCell ref="J11:X11"/>
    <mergeCell ref="C12:F12"/>
    <mergeCell ref="J12:X12"/>
    <mergeCell ref="G11:H11"/>
    <mergeCell ref="G12:H12"/>
  </mergeCells>
  <conditionalFormatting sqref="B39 B17">
    <cfRule type="duplicateValues" dxfId="137" priority="10"/>
  </conditionalFormatting>
  <conditionalFormatting sqref="B39">
    <cfRule type="duplicateValues" dxfId="136" priority="9"/>
  </conditionalFormatting>
  <conditionalFormatting sqref="H28">
    <cfRule type="containsText" dxfId="135" priority="7" operator="containsText" text="X">
      <formula>NOT(ISERROR(SEARCH("X",H28)))</formula>
    </cfRule>
    <cfRule type="cellIs" dxfId="134" priority="8" operator="equal">
      <formula>"""X"""</formula>
    </cfRule>
  </conditionalFormatting>
  <conditionalFormatting sqref="G43 F42">
    <cfRule type="cellIs" dxfId="133" priority="6" operator="equal">
      <formula>"No"</formula>
    </cfRule>
  </conditionalFormatting>
  <conditionalFormatting sqref="L7:M7">
    <cfRule type="cellIs" dxfId="132" priority="5" operator="greaterThan">
      <formula>0.099</formula>
    </cfRule>
  </conditionalFormatting>
  <conditionalFormatting sqref="G42">
    <cfRule type="cellIs" dxfId="131" priority="3" operator="equal">
      <formula>"no"</formula>
    </cfRule>
    <cfRule type="cellIs" dxfId="130" priority="4" operator="equal">
      <formula>"yes"</formula>
    </cfRule>
  </conditionalFormatting>
  <conditionalFormatting sqref="N8">
    <cfRule type="cellIs" dxfId="129" priority="1" operator="lessThan">
      <formula>10</formula>
    </cfRule>
    <cfRule type="cellIs" dxfId="128" priority="2" operator="lessThan">
      <formula>0.05</formula>
    </cfRule>
  </conditionalFormatting>
  <dataValidations count="2">
    <dataValidation type="list" allowBlank="1" showInputMessage="1" showErrorMessage="1" sqref="B7" xr:uid="{00000000-0002-0000-0E00-000000000000}">
      <formula1>VendorListContractID</formula1>
    </dataValidation>
    <dataValidation type="date" operator="greaterThanOrEqual" allowBlank="1" showInputMessage="1" showErrorMessage="1" error="Please enter a valid date." sqref="P7 G12:H17" xr:uid="{00000000-0002-0000-0E00-000001000000}">
      <formula1>1</formula1>
    </dataValidation>
  </dataValidations>
  <pageMargins left="0.23622047244094491" right="0.23622047244094491" top="0.35433070866141736" bottom="0.35433070866141736" header="0.31496062992125984" footer="0.31496062992125984"/>
  <pageSetup paperSize="17" scale="65" fitToHeight="4" orientation="landscape" r:id="rId1"/>
  <headerFooter>
    <oddFooter>&amp;L&amp;1#&amp;"Calibri"&amp;11&amp;K000000Classification: Protected A</oddFooter>
  </headerFooter>
  <drawing r:id="rId2"/>
  <legacyDrawing r:id="rId3"/>
  <tableParts count="3">
    <tablePart r:id="rId4"/>
    <tablePart r:id="rId5"/>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E00-000002000000}">
          <x14:formula1>
            <xm:f>Validations!$F$11:$F$33</xm:f>
          </x14:formula1>
          <xm:sqref>B12:B17 B27:B39</xm:sqref>
        </x14:dataValidation>
        <x14:dataValidation type="list" allowBlank="1" showInputMessage="1" showErrorMessage="1" xr:uid="{00000000-0002-0000-0E00-000003000000}">
          <x14:formula1>
            <xm:f>Validations!$B$37:$B$38</xm:f>
          </x14:formula1>
          <xm:sqref>D27:D39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theme="6" tint="0.39997558519241921"/>
    <pageSetUpPr fitToPage="1"/>
  </sheetPr>
  <dimension ref="A1:AH1506"/>
  <sheetViews>
    <sheetView topLeftCell="A1351" zoomScale="85" zoomScaleNormal="85" workbookViewId="0">
      <selection activeCell="D1417" sqref="D1417"/>
    </sheetView>
  </sheetViews>
  <sheetFormatPr defaultColWidth="9.42578125" defaultRowHeight="14.1" outlineLevelRow="1"/>
  <cols>
    <col min="1" max="1" width="2.42578125" style="1" customWidth="1"/>
    <col min="2" max="2" width="22.28515625" style="1" customWidth="1"/>
    <col min="3" max="3" width="13.28515625" style="1" customWidth="1"/>
    <col min="4" max="4" width="33.7109375" style="1" customWidth="1"/>
    <col min="5" max="5" width="16" style="1" customWidth="1"/>
    <col min="6" max="6" width="15" style="1" bestFit="1" customWidth="1"/>
    <col min="7" max="7" width="18.28515625" style="1" bestFit="1" customWidth="1"/>
    <col min="8" max="8" width="19.7109375" style="1" customWidth="1"/>
    <col min="9" max="9" width="13.7109375" style="1" customWidth="1"/>
    <col min="10" max="10" width="20.7109375" style="1" bestFit="1" customWidth="1"/>
    <col min="11" max="11" width="20.7109375" style="1" customWidth="1"/>
    <col min="12" max="12" width="20.28515625" style="1" customWidth="1"/>
    <col min="13" max="13" width="20.7109375" style="1" customWidth="1"/>
    <col min="14" max="14" width="26.28515625" style="1" customWidth="1"/>
    <col min="15" max="15" width="21.28515625" style="1" customWidth="1"/>
    <col min="16" max="16" width="17.42578125" style="1" customWidth="1"/>
    <col min="17" max="17" width="19.42578125" style="1" customWidth="1"/>
    <col min="18" max="18" width="15.42578125" style="1" bestFit="1" customWidth="1"/>
    <col min="19" max="19" width="15.42578125" style="25" customWidth="1"/>
    <col min="20" max="20" width="18.42578125" style="1076" customWidth="1"/>
    <col min="21" max="21" width="16.7109375" style="1" bestFit="1" customWidth="1"/>
    <col min="22" max="22" width="14.42578125" style="1" bestFit="1" customWidth="1"/>
    <col min="23" max="23" width="26" style="3" bestFit="1" customWidth="1"/>
    <col min="24" max="24" width="16.7109375" style="5" bestFit="1" customWidth="1"/>
    <col min="25" max="25" width="17.7109375" style="5" customWidth="1"/>
    <col min="26" max="26" width="13.7109375" style="734" bestFit="1" customWidth="1"/>
    <col min="27" max="27" width="19.42578125" style="734" bestFit="1" customWidth="1"/>
    <col min="28" max="28" width="27.7109375" style="734" bestFit="1" customWidth="1"/>
    <col min="29" max="29" width="135.7109375" style="998" bestFit="1" customWidth="1"/>
    <col min="30" max="30" width="155" style="3" bestFit="1" customWidth="1"/>
    <col min="31" max="31" width="17.42578125" style="1" bestFit="1" customWidth="1"/>
    <col min="32" max="32" width="15.7109375" style="1" bestFit="1" customWidth="1"/>
    <col min="33" max="33" width="12.42578125" style="1" bestFit="1" customWidth="1"/>
    <col min="34" max="34" width="15.42578125" style="1" bestFit="1" customWidth="1"/>
    <col min="35" max="16384" width="9.42578125" style="1"/>
  </cols>
  <sheetData>
    <row r="1" spans="2:34">
      <c r="T1" s="1069"/>
      <c r="X1" s="201"/>
      <c r="Y1" s="201"/>
      <c r="Z1" s="727"/>
      <c r="AA1" s="727"/>
      <c r="AB1" s="727"/>
    </row>
    <row r="2" spans="2:34" ht="23.65">
      <c r="B2" s="16" t="str">
        <f>IF(Validations!L17="Construction Management","Change Authorization Tracking Worksheet","Change Order Tracking Worksheet")</f>
        <v>Change Order Tracking Worksheet</v>
      </c>
      <c r="M2" s="19" t="str">
        <f>Validations!$C$6</f>
        <v>Justice Centre</v>
      </c>
      <c r="N2" s="19"/>
      <c r="O2" s="19"/>
      <c r="T2" s="1069"/>
      <c r="X2" s="201"/>
      <c r="Y2" s="201"/>
      <c r="Z2" s="727"/>
      <c r="AA2" s="727"/>
      <c r="AB2" s="727"/>
    </row>
    <row r="3" spans="2:34" ht="15.6">
      <c r="B3" s="126" t="s">
        <v>2122</v>
      </c>
      <c r="C3" s="341" t="str">
        <f>Validations!$L$17</f>
        <v>Design Bid Build</v>
      </c>
      <c r="E3" s="567" t="str">
        <f>IF(C3&lt;&gt;"Construction Management","For DB/DBB projects, you may use CA Tracking to capture all changes related to the Prime Contractor here, do not duplicate those changes in Change Tracking","")</f>
        <v>For DB/DBB projects, you may use CA Tracking to capture all changes related to the Prime Contractor here, do not duplicate those changes in Change Tracking</v>
      </c>
      <c r="T3" s="1069"/>
      <c r="X3" s="201"/>
      <c r="Y3" s="201"/>
      <c r="Z3" s="727"/>
      <c r="AA3" s="727"/>
      <c r="AB3" s="727"/>
    </row>
    <row r="4" spans="2:34" s="41" customFormat="1" ht="15.6">
      <c r="B4" s="1023" t="s">
        <v>2191</v>
      </c>
      <c r="S4" s="988"/>
      <c r="T4" s="1070"/>
      <c r="U4" s="1"/>
      <c r="V4" s="1"/>
      <c r="W4" s="3"/>
      <c r="X4" s="202"/>
      <c r="Y4" s="202"/>
      <c r="Z4" s="728"/>
      <c r="AA4" s="728"/>
      <c r="AB4" s="728"/>
      <c r="AC4" s="1002"/>
      <c r="AD4" s="50"/>
    </row>
    <row r="5" spans="2:34" s="41" customFormat="1">
      <c r="C5" s="18" t="s">
        <v>2192</v>
      </c>
      <c r="D5" s="18"/>
      <c r="E5" s="18"/>
      <c r="S5" s="988"/>
      <c r="T5" s="1070"/>
      <c r="U5" s="1"/>
      <c r="V5" s="1"/>
      <c r="W5" s="3"/>
      <c r="X5" s="202"/>
      <c r="Y5" s="202"/>
      <c r="Z5" s="728"/>
      <c r="AA5" s="728"/>
      <c r="AB5" s="728"/>
      <c r="AC5" s="1002"/>
      <c r="AD5" s="50"/>
    </row>
    <row r="6" spans="2:34" s="41" customFormat="1" ht="27.95">
      <c r="B6" s="20" t="s">
        <v>9</v>
      </c>
      <c r="C6" s="20" t="str">
        <f>Validations!C20</f>
        <v>Contract Reconciliation</v>
      </c>
      <c r="D6" s="20" t="str">
        <f>Validations!C21</f>
        <v>Schedule Change</v>
      </c>
      <c r="E6" s="20" t="str">
        <f>Validations!C22</f>
        <v>Contract T&amp;C Change</v>
      </c>
      <c r="F6" s="20" t="str">
        <f>Validations!C23</f>
        <v>Major Scope Change</v>
      </c>
      <c r="G6" s="20" t="str">
        <f>Validations!C24</f>
        <v>Cash Allowance</v>
      </c>
      <c r="H6" s="20" t="str">
        <f>Validations!C25</f>
        <v>Design Errors &amp; Omissions</v>
      </c>
      <c r="I6" s="20" t="str">
        <f>Validations!C26</f>
        <v>Regulatory Change</v>
      </c>
      <c r="J6" s="20" t="str">
        <f>Validations!C27</f>
        <v>Site Condition</v>
      </c>
      <c r="K6" s="20" t="str">
        <f>Validations!C28</f>
        <v>Cost Savings</v>
      </c>
      <c r="L6" s="20" t="str">
        <f>Validations!C29</f>
        <v>Design Improvement</v>
      </c>
      <c r="M6" s="20" t="str">
        <f>Validations!C30</f>
        <v>User Change</v>
      </c>
      <c r="N6" s="20" t="str">
        <f>Validations!C31</f>
        <v>F&amp;E / IT Change</v>
      </c>
      <c r="O6" s="20" t="str">
        <f>Validations!C32</f>
        <v>CM Error</v>
      </c>
      <c r="P6" s="20" t="s">
        <v>2193</v>
      </c>
      <c r="S6" s="988"/>
      <c r="T6" s="1071"/>
      <c r="U6" s="1"/>
      <c r="V6" s="1"/>
      <c r="W6" s="3"/>
      <c r="X6" s="50"/>
      <c r="Y6" s="50"/>
      <c r="Z6" s="729"/>
      <c r="AA6" s="729"/>
      <c r="AB6" s="729"/>
      <c r="AC6" s="1003"/>
    </row>
    <row r="7" spans="2:34" s="759" customFormat="1">
      <c r="B7" s="760" t="s">
        <v>2194</v>
      </c>
      <c r="C7" s="760"/>
      <c r="D7" s="760"/>
      <c r="E7" s="764">
        <f ca="1">E8/P8</f>
        <v>-3.2903369343948482E-4</v>
      </c>
      <c r="F7" s="764">
        <f ca="1">F8/P$8</f>
        <v>2.518683511323604E-3</v>
      </c>
      <c r="G7" s="764">
        <f ca="1">G8/P8</f>
        <v>-0.3552496769339713</v>
      </c>
      <c r="H7" s="764">
        <f ca="1">H8/P8</f>
        <v>0.5770984572586223</v>
      </c>
      <c r="I7" s="764">
        <f ca="1">I8/P8</f>
        <v>3.6423250632319167E-3</v>
      </c>
      <c r="J7" s="764">
        <f ca="1">J8/P8</f>
        <v>0.39127301839985401</v>
      </c>
      <c r="K7" s="764">
        <f ca="1">K8/P8</f>
        <v>-7.4239535126342975E-3</v>
      </c>
      <c r="L7" s="764">
        <f ca="1">L8/P8</f>
        <v>3.158618474403177E-2</v>
      </c>
      <c r="M7" s="764">
        <f ca="1">M8/P8</f>
        <v>6.8094577091644889E-2</v>
      </c>
      <c r="N7" s="764">
        <f ca="1">N8/P8</f>
        <v>0</v>
      </c>
      <c r="O7" s="764">
        <f ca="1">O8/P8</f>
        <v>-8.2433055295194201E-4</v>
      </c>
      <c r="P7" s="764"/>
      <c r="S7" s="988"/>
      <c r="T7" s="1071"/>
      <c r="U7" s="761"/>
      <c r="V7" s="761"/>
      <c r="W7" s="762"/>
      <c r="X7" s="763"/>
      <c r="Y7" s="763"/>
      <c r="Z7" s="763"/>
      <c r="AA7" s="763"/>
      <c r="AB7" s="763"/>
      <c r="AC7" s="1004"/>
    </row>
    <row r="8" spans="2:34" s="41" customFormat="1">
      <c r="B8" s="234" t="s">
        <v>33</v>
      </c>
      <c r="C8" s="203">
        <f ca="1">SUMIFS(CAApprVal,CAAuthRef,$B8,CAApprRsn,C$6)</f>
        <v>0</v>
      </c>
      <c r="D8" s="203">
        <f ca="1">SUMIFS(CAApprVal,CAAuthRef,$B8,CAApprRsn,D$6)</f>
        <v>4270441.1500000004</v>
      </c>
      <c r="E8" s="203">
        <f ca="1">SUMIFS(CAApprVal,CAAuthRef,$B8,CAApprRsn,E$6)</f>
        <v>-4851.7000000000007</v>
      </c>
      <c r="F8" s="203">
        <f ca="1">SUMIFS(CAApprVal,CAAuthRef,$B8,CAApprRsn,F$6)</f>
        <v>37138.74</v>
      </c>
      <c r="G8" s="203">
        <f ca="1">SUMIFS(CAApprVal,CAAuthRef,$B8,CAApprRsn,G$6)</f>
        <v>-5238262.4999999991</v>
      </c>
      <c r="H8" s="203">
        <f ca="1">SUMIFS(CAApprVal,CAAuthRef,$B8,CAApprRsn,H$6)</f>
        <v>8509488.9700000025</v>
      </c>
      <c r="I8" s="203">
        <f ca="1">SUMIFS(CAApprVal,CAAuthRef,$B8,CAApprRsn,I$6)</f>
        <v>53707.17</v>
      </c>
      <c r="J8" s="203">
        <f ca="1">SUMIFS(CAApprVal,CAAuthRef,$B8,CAApprRsn,J$6)</f>
        <v>5769437.4199999999</v>
      </c>
      <c r="K8" s="203">
        <f ca="1">SUMIFS(CAApprVal,CAAuthRef,$B8,CAApprRsn,K$6)</f>
        <v>-109468.40999999999</v>
      </c>
      <c r="L8" s="203">
        <f ca="1">SUMIFS(CAApprVal,CAAuthRef,$B8,CAApprRsn,L$6)</f>
        <v>465747.71999999991</v>
      </c>
      <c r="M8" s="203">
        <f ca="1">SUMIFS(CAApprVal,CAAuthRef,$B8,CAApprRsn,M$6)</f>
        <v>1004074.8599999999</v>
      </c>
      <c r="N8" s="203">
        <f ca="1">SUMIFS(CAApprVal,CAAuthRef,$B8,CAApprRsn,N$6)</f>
        <v>0</v>
      </c>
      <c r="O8" s="203">
        <f ca="1">SUMIFS(CAApprVal,CAAuthRef,$B8,CAApprRsn,O$6)</f>
        <v>-12155</v>
      </c>
      <c r="P8" s="204">
        <f ca="1">SUM(C8:O8)</f>
        <v>14745298.420000004</v>
      </c>
      <c r="S8" s="988"/>
      <c r="T8" s="1072"/>
      <c r="U8" s="767"/>
      <c r="V8" s="1"/>
      <c r="W8" s="3"/>
      <c r="X8" s="50"/>
      <c r="Y8" s="50"/>
      <c r="Z8" s="729"/>
      <c r="AA8" s="729"/>
      <c r="AB8" s="729"/>
      <c r="AC8" s="1003"/>
    </row>
    <row r="9" spans="2:34" s="41" customFormat="1">
      <c r="B9" s="234" t="s">
        <v>27</v>
      </c>
      <c r="C9" s="203">
        <f ca="1">SUMIFS(CAApprVal,CAAuthRef,$B9,CAApprRsn,C$6)</f>
        <v>0</v>
      </c>
      <c r="D9" s="203">
        <f ca="1">SUMIFS(CAApprVal,CAAuthRef,$B9,CAApprRsn,D$6)</f>
        <v>0</v>
      </c>
      <c r="E9" s="203">
        <f ca="1">SUMIFS(CAApprVal,CAAuthRef,$B9,CAApprRsn,E$6)</f>
        <v>0</v>
      </c>
      <c r="F9" s="203">
        <f ca="1">SUMIFS(CAApprVal,CAAuthRef,$B9,CAApprRsn,F$6)</f>
        <v>0</v>
      </c>
      <c r="G9" s="203">
        <f ca="1">SUMIFS(CAApprVal,CAAuthRef,$B9,CAApprRsn,G$6)</f>
        <v>0</v>
      </c>
      <c r="H9" s="203">
        <f ca="1">SUMIFS(CAApprVal,CAAuthRef,$B9,CAApprRsn,H$6)</f>
        <v>0</v>
      </c>
      <c r="I9" s="203">
        <f ca="1">SUMIFS(CAApprVal,CAAuthRef,$B9,CAApprRsn,I$6)</f>
        <v>0</v>
      </c>
      <c r="J9" s="203">
        <f ca="1">SUMIFS(CAApprVal,CAAuthRef,$B9,CAApprRsn,J$6)</f>
        <v>0</v>
      </c>
      <c r="K9" s="203">
        <f ca="1">SUMIFS(CAApprVal,CAAuthRef,$B9,CAApprRsn,K$6)</f>
        <v>0</v>
      </c>
      <c r="L9" s="203">
        <f ca="1">SUMIFS(CAApprVal,CAAuthRef,$B9,CAApprRsn,L$6)</f>
        <v>0</v>
      </c>
      <c r="M9" s="203">
        <f ca="1">SUMIFS(CAApprVal,CAAuthRef,$B9,CAApprRsn,M$6)</f>
        <v>0</v>
      </c>
      <c r="N9" s="203">
        <f ca="1">SUMIFS(CAApprVal,CAAuthRef,$B9,CAApprRsn,N$6)</f>
        <v>0</v>
      </c>
      <c r="O9" s="203">
        <f ca="1">SUMIFS(CAApprVal,CAAuthRef,$B9,CAApprRsn,O$6)</f>
        <v>0</v>
      </c>
      <c r="P9" s="204">
        <f t="shared" ref="P9:P13" ca="1" si="0">SUM(C9:O9)</f>
        <v>0</v>
      </c>
      <c r="S9" s="988"/>
      <c r="T9" s="1072"/>
      <c r="U9" s="1"/>
      <c r="V9" s="1"/>
      <c r="W9" s="3"/>
      <c r="X9" s="50"/>
      <c r="Y9" s="50"/>
      <c r="Z9" s="729"/>
      <c r="AA9" s="729"/>
      <c r="AB9" s="729"/>
      <c r="AC9" s="1003"/>
    </row>
    <row r="10" spans="2:34" s="41" customFormat="1">
      <c r="B10" s="234" t="s">
        <v>22</v>
      </c>
      <c r="C10" s="203">
        <f ca="1">SUMIFS(CAApprVal,CAAuthRef,$B10,CAApprRsn,C$6)</f>
        <v>0</v>
      </c>
      <c r="D10" s="203">
        <f ca="1">SUMIFS(CAApprVal,CAAuthRef,$B10,CAApprRsn,D$6)</f>
        <v>0</v>
      </c>
      <c r="E10" s="203">
        <f ca="1">SUMIFS(CAApprVal,CAAuthRef,$B10,CAApprRsn,E$6)</f>
        <v>0</v>
      </c>
      <c r="F10" s="203">
        <f ca="1">SUMIFS(CAApprVal,CAAuthRef,$B10,CAApprRsn,F$6)</f>
        <v>0</v>
      </c>
      <c r="G10" s="203">
        <f ca="1">SUMIFS(CAApprVal,CAAuthRef,$B10,CAApprRsn,G$6)</f>
        <v>0</v>
      </c>
      <c r="H10" s="203">
        <f ca="1">SUMIFS(CAApprVal,CAAuthRef,$B10,CAApprRsn,H$6)</f>
        <v>0</v>
      </c>
      <c r="I10" s="203">
        <f ca="1">SUMIFS(CAApprVal,CAAuthRef,$B10,CAApprRsn,I$6)</f>
        <v>0</v>
      </c>
      <c r="J10" s="203">
        <f ca="1">SUMIFS(CAApprVal,CAAuthRef,$B10,CAApprRsn,J$6)</f>
        <v>0</v>
      </c>
      <c r="K10" s="203">
        <f ca="1">SUMIFS(CAApprVal,CAAuthRef,$B10,CAApprRsn,K$6)</f>
        <v>0</v>
      </c>
      <c r="L10" s="203">
        <f ca="1">SUMIFS(CAApprVal,CAAuthRef,$B10,CAApprRsn,L$6)</f>
        <v>0</v>
      </c>
      <c r="M10" s="203">
        <f ca="1">SUMIFS(CAApprVal,CAAuthRef,$B10,CAApprRsn,M$6)</f>
        <v>0</v>
      </c>
      <c r="N10" s="203">
        <f ca="1">SUMIFS(CAApprVal,CAAuthRef,$B10,CAApprRsn,N$6)</f>
        <v>0</v>
      </c>
      <c r="O10" s="203">
        <f ca="1">SUMIFS(CAApprVal,CAAuthRef,$B10,CAApprRsn,O$6)</f>
        <v>0</v>
      </c>
      <c r="P10" s="204">
        <f t="shared" ca="1" si="0"/>
        <v>0</v>
      </c>
      <c r="S10" s="988"/>
      <c r="T10" s="1072"/>
      <c r="U10" s="1"/>
      <c r="V10" s="1"/>
      <c r="W10" s="3"/>
      <c r="X10" s="50"/>
      <c r="Y10" s="50"/>
      <c r="Z10" s="729"/>
      <c r="AA10" s="729"/>
      <c r="AB10" s="729"/>
      <c r="AC10" s="1003"/>
    </row>
    <row r="11" spans="2:34" s="41" customFormat="1">
      <c r="B11" s="234"/>
      <c r="C11" s="203">
        <f ca="1">SUMIFS(CAApprVal,CAAuthRef,$B11,CAApprRsn,C$6)</f>
        <v>0</v>
      </c>
      <c r="D11" s="203">
        <f ca="1">SUMIFS(CAApprVal,CAAuthRef,$B11,CAApprRsn,D$6)</f>
        <v>0</v>
      </c>
      <c r="E11" s="203">
        <f ca="1">SUMIFS(CAApprVal,CAAuthRef,$B11,CAApprRsn,E$6)</f>
        <v>0</v>
      </c>
      <c r="F11" s="203">
        <f ca="1">SUMIFS(CAApprVal,CAAuthRef,$B11,CAApprRsn,F$6)</f>
        <v>0</v>
      </c>
      <c r="G11" s="203">
        <f ca="1">SUMIFS(CAApprVal,CAAuthRef,$B11,CAApprRsn,G$6)</f>
        <v>0</v>
      </c>
      <c r="H11" s="203">
        <f ca="1">SUMIFS(CAApprVal,CAAuthRef,$B11,CAApprRsn,H$6)</f>
        <v>0</v>
      </c>
      <c r="I11" s="203">
        <f ca="1">SUMIFS(CAApprVal,CAAuthRef,$B11,CAApprRsn,I$6)</f>
        <v>0</v>
      </c>
      <c r="J11" s="203">
        <f ca="1">SUMIFS(CAApprVal,CAAuthRef,$B11,CAApprRsn,J$6)</f>
        <v>0</v>
      </c>
      <c r="K11" s="203">
        <f ca="1">SUMIFS(CAApprVal,CAAuthRef,$B11,CAApprRsn,K$6)</f>
        <v>0</v>
      </c>
      <c r="L11" s="203">
        <f ca="1">SUMIFS(CAApprVal,CAAuthRef,$B11,CAApprRsn,L$6)</f>
        <v>0</v>
      </c>
      <c r="M11" s="203">
        <f ca="1">SUMIFS(CAApprVal,CAAuthRef,$B11,CAApprRsn,M$6)</f>
        <v>0</v>
      </c>
      <c r="N11" s="203">
        <f ca="1">SUMIFS(CAApprVal,CAAuthRef,$B11,CAApprRsn,N$6)</f>
        <v>0</v>
      </c>
      <c r="O11" s="203">
        <f ca="1">SUMIFS(CAApprVal,CAAuthRef,$B11,CAApprRsn,O$6)</f>
        <v>0</v>
      </c>
      <c r="P11" s="204">
        <f t="shared" ca="1" si="0"/>
        <v>0</v>
      </c>
      <c r="S11" s="988"/>
      <c r="T11" s="1072"/>
      <c r="U11" s="1"/>
      <c r="V11" s="1"/>
      <c r="W11" s="3"/>
      <c r="X11" s="50"/>
      <c r="Y11" s="50"/>
      <c r="Z11" s="729"/>
      <c r="AA11" s="729"/>
      <c r="AB11" s="729"/>
      <c r="AC11" s="1003"/>
    </row>
    <row r="12" spans="2:34" s="41" customFormat="1">
      <c r="B12" s="234"/>
      <c r="C12" s="203">
        <f ca="1">SUMIFS(CAApprVal,CAAuthRef,$B12,CAApprRsn,C$6)</f>
        <v>0</v>
      </c>
      <c r="D12" s="203">
        <f ca="1">SUMIFS(CAApprVal,CAAuthRef,$B12,CAApprRsn,D$6)</f>
        <v>0</v>
      </c>
      <c r="E12" s="203">
        <f ca="1">SUMIFS(CAApprVal,CAAuthRef,$B12,CAApprRsn,E$6)</f>
        <v>0</v>
      </c>
      <c r="F12" s="203">
        <f ca="1">SUMIFS(CAApprVal,CAAuthRef,$B12,CAApprRsn,F$6)</f>
        <v>0</v>
      </c>
      <c r="G12" s="203">
        <f ca="1">SUMIFS(CAApprVal,CAAuthRef,$B12,CAApprRsn,G$6)</f>
        <v>0</v>
      </c>
      <c r="H12" s="203">
        <f ca="1">SUMIFS(CAApprVal,CAAuthRef,$B12,CAApprRsn,H$6)</f>
        <v>0</v>
      </c>
      <c r="I12" s="203">
        <f ca="1">SUMIFS(CAApprVal,CAAuthRef,$B12,CAApprRsn,I$6)</f>
        <v>0</v>
      </c>
      <c r="J12" s="203">
        <f ca="1">SUMIFS(CAApprVal,CAAuthRef,$B12,CAApprRsn,J$6)</f>
        <v>0</v>
      </c>
      <c r="K12" s="203">
        <f ca="1">SUMIFS(CAApprVal,CAAuthRef,$B12,CAApprRsn,K$6)</f>
        <v>0</v>
      </c>
      <c r="L12" s="203">
        <f ca="1">SUMIFS(CAApprVal,CAAuthRef,$B12,CAApprRsn,L$6)</f>
        <v>0</v>
      </c>
      <c r="M12" s="203">
        <f ca="1">SUMIFS(CAApprVal,CAAuthRef,$B12,CAApprRsn,M$6)</f>
        <v>0</v>
      </c>
      <c r="N12" s="203">
        <f ca="1">SUMIFS(CAApprVal,CAAuthRef,$B12,CAApprRsn,N$6)</f>
        <v>0</v>
      </c>
      <c r="O12" s="203">
        <f ca="1">SUMIFS(CAApprVal,CAAuthRef,$B12,CAApprRsn,O$6)</f>
        <v>0</v>
      </c>
      <c r="P12" s="204">
        <f t="shared" ca="1" si="0"/>
        <v>0</v>
      </c>
      <c r="S12" s="988"/>
      <c r="T12" s="1072"/>
      <c r="U12" s="1"/>
      <c r="V12" s="1"/>
      <c r="W12" s="3"/>
      <c r="X12" s="50"/>
      <c r="Y12" s="50"/>
      <c r="Z12" s="729"/>
      <c r="AA12" s="729"/>
      <c r="AB12" s="729"/>
      <c r="AC12" s="1003"/>
    </row>
    <row r="13" spans="2:34" s="41" customFormat="1">
      <c r="B13" s="234"/>
      <c r="C13" s="203">
        <f ca="1">SUMIFS(CAApprVal,CAAuthRef,$B13,CAApprRsn,C$6)</f>
        <v>0</v>
      </c>
      <c r="D13" s="203">
        <f ca="1">SUMIFS(CAApprVal,CAAuthRef,$B13,CAApprRsn,D$6)</f>
        <v>0</v>
      </c>
      <c r="E13" s="203">
        <f ca="1">SUMIFS(CAApprVal,CAAuthRef,$B13,CAApprRsn,E$6)</f>
        <v>0</v>
      </c>
      <c r="F13" s="203">
        <f ca="1">SUMIFS(CAApprVal,CAAuthRef,$B13,CAApprRsn,F$6)</f>
        <v>0</v>
      </c>
      <c r="G13" s="203">
        <f ca="1">SUMIFS(CAApprVal,CAAuthRef,$B13,CAApprRsn,G$6)</f>
        <v>0</v>
      </c>
      <c r="H13" s="203">
        <f ca="1">SUMIFS(CAApprVal,CAAuthRef,$B13,CAApprRsn,H$6)</f>
        <v>0</v>
      </c>
      <c r="I13" s="203">
        <f ca="1">SUMIFS(CAApprVal,CAAuthRef,$B13,CAApprRsn,I$6)</f>
        <v>0</v>
      </c>
      <c r="J13" s="203">
        <f ca="1">SUMIFS(CAApprVal,CAAuthRef,$B13,CAApprRsn,J$6)</f>
        <v>0</v>
      </c>
      <c r="K13" s="203">
        <f ca="1">SUMIFS(CAApprVal,CAAuthRef,$B13,CAApprRsn,K$6)</f>
        <v>0</v>
      </c>
      <c r="L13" s="203">
        <f ca="1">SUMIFS(CAApprVal,CAAuthRef,$B13,CAApprRsn,L$6)</f>
        <v>0</v>
      </c>
      <c r="M13" s="203">
        <f ca="1">SUMIFS(CAApprVal,CAAuthRef,$B13,CAApprRsn,M$6)</f>
        <v>0</v>
      </c>
      <c r="N13" s="203">
        <f ca="1">SUMIFS(CAApprVal,CAAuthRef,$B13,CAApprRsn,N$6)</f>
        <v>0</v>
      </c>
      <c r="O13" s="203">
        <f ca="1">SUMIFS(CAApprVal,CAAuthRef,$B13,CAApprRsn,O$6)</f>
        <v>0</v>
      </c>
      <c r="P13" s="204">
        <f t="shared" ca="1" si="0"/>
        <v>0</v>
      </c>
      <c r="S13" s="988"/>
      <c r="T13" s="1072"/>
      <c r="U13" s="1"/>
      <c r="V13" s="1"/>
      <c r="W13" s="3"/>
      <c r="X13" s="50"/>
      <c r="Y13" s="50"/>
      <c r="Z13" s="729"/>
      <c r="AA13" s="729"/>
      <c r="AB13" s="729"/>
      <c r="AC13" s="1003"/>
    </row>
    <row r="14" spans="2:34" s="41" customFormat="1">
      <c r="S14" s="988"/>
      <c r="T14" s="1070"/>
      <c r="U14" s="1"/>
      <c r="V14" s="1"/>
      <c r="W14" s="3"/>
      <c r="X14" s="202"/>
      <c r="Y14" s="202"/>
      <c r="Z14" s="728"/>
      <c r="AA14" s="728"/>
      <c r="AB14" s="728"/>
      <c r="AC14" s="1002"/>
      <c r="AD14" s="50"/>
      <c r="AE14" s="682"/>
    </row>
    <row r="15" spans="2:34" s="41" customFormat="1">
      <c r="K15" s="307" t="s">
        <v>2195</v>
      </c>
      <c r="S15" s="988"/>
      <c r="T15" s="1070"/>
      <c r="U15" s="307" t="s">
        <v>2195</v>
      </c>
      <c r="V15" s="1"/>
      <c r="W15" s="3"/>
      <c r="X15" s="202"/>
      <c r="Y15" s="202" t="s">
        <v>2196</v>
      </c>
      <c r="Z15" s="728"/>
      <c r="AA15" s="728"/>
      <c r="AB15" s="728"/>
      <c r="AC15" s="1002"/>
      <c r="AD15" s="50"/>
    </row>
    <row r="16" spans="2:34" s="41" customFormat="1">
      <c r="B16" s="18" t="s">
        <v>2197</v>
      </c>
      <c r="F16" s="1241" t="s">
        <v>2198</v>
      </c>
      <c r="G16" s="1243"/>
      <c r="H16" s="1241" t="s">
        <v>2199</v>
      </c>
      <c r="I16" s="1242"/>
      <c r="J16" s="1243"/>
      <c r="K16" s="1241" t="s">
        <v>2200</v>
      </c>
      <c r="L16" s="1242"/>
      <c r="M16" s="1243"/>
      <c r="N16" s="1241" t="s">
        <v>2201</v>
      </c>
      <c r="O16" s="1243"/>
      <c r="P16" s="1241" t="s">
        <v>2202</v>
      </c>
      <c r="Q16" s="1242"/>
      <c r="R16" s="1242"/>
      <c r="S16" s="1249"/>
      <c r="T16" s="1250"/>
      <c r="U16" s="1241" t="s">
        <v>2203</v>
      </c>
      <c r="V16" s="1242"/>
      <c r="W16" s="1242"/>
      <c r="X16" s="1242"/>
      <c r="Y16" s="1243"/>
      <c r="Z16" s="730"/>
      <c r="AA16" s="730"/>
      <c r="AB16" s="1010"/>
      <c r="AC16" s="1002"/>
      <c r="AD16" s="50"/>
      <c r="AE16" s="1241" t="s">
        <v>164</v>
      </c>
      <c r="AF16" s="1242"/>
      <c r="AG16" s="1242"/>
      <c r="AH16" s="1243"/>
    </row>
    <row r="17" spans="1:34" s="41" customFormat="1" outlineLevel="1">
      <c r="B17" s="18"/>
      <c r="D17" s="305"/>
      <c r="E17" s="305" t="s">
        <v>132</v>
      </c>
      <c r="F17" s="1244" t="s">
        <v>2204</v>
      </c>
      <c r="G17" s="1245"/>
      <c r="H17" s="1244" t="s">
        <v>2205</v>
      </c>
      <c r="I17" s="1246"/>
      <c r="J17" s="1245"/>
      <c r="K17" s="1244" t="s">
        <v>2206</v>
      </c>
      <c r="L17" s="1246"/>
      <c r="M17" s="1245"/>
      <c r="N17" s="1244" t="s">
        <v>2207</v>
      </c>
      <c r="O17" s="1245"/>
      <c r="P17" s="1244" t="s">
        <v>2208</v>
      </c>
      <c r="Q17" s="1246"/>
      <c r="R17" s="1246"/>
      <c r="S17" s="1247"/>
      <c r="T17" s="1248"/>
      <c r="U17" s="1244" t="s">
        <v>2209</v>
      </c>
      <c r="V17" s="1246"/>
      <c r="W17" s="1246"/>
      <c r="X17" s="1246"/>
      <c r="Y17" s="1245"/>
      <c r="Z17" s="724"/>
      <c r="AA17" s="724"/>
      <c r="AB17" s="1011"/>
      <c r="AC17" s="1002"/>
      <c r="AD17" s="50"/>
      <c r="AE17" s="1244"/>
      <c r="AF17" s="1246"/>
      <c r="AG17" s="1246"/>
      <c r="AH17" s="1245"/>
    </row>
    <row r="18" spans="1:34" s="41" customFormat="1" outlineLevel="1">
      <c r="B18" s="18"/>
      <c r="D18" s="305"/>
      <c r="E18" s="305" t="s">
        <v>135</v>
      </c>
      <c r="F18" s="1244" t="s">
        <v>2204</v>
      </c>
      <c r="G18" s="1245"/>
      <c r="H18" s="1244" t="s">
        <v>2205</v>
      </c>
      <c r="I18" s="1246"/>
      <c r="J18" s="1245"/>
      <c r="K18" s="1244" t="s">
        <v>2210</v>
      </c>
      <c r="L18" s="1246"/>
      <c r="M18" s="1245"/>
      <c r="N18" s="1244" t="s">
        <v>2207</v>
      </c>
      <c r="O18" s="1245"/>
      <c r="P18" s="1244" t="s">
        <v>2208</v>
      </c>
      <c r="Q18" s="1246"/>
      <c r="R18" s="1246"/>
      <c r="S18" s="1247"/>
      <c r="T18" s="1248"/>
      <c r="U18" s="1244" t="s">
        <v>2211</v>
      </c>
      <c r="V18" s="1246"/>
      <c r="W18" s="1246"/>
      <c r="X18" s="1246"/>
      <c r="Y18" s="1245"/>
      <c r="Z18" s="724"/>
      <c r="AA18" s="724"/>
      <c r="AB18" s="724"/>
      <c r="AC18" s="1002"/>
      <c r="AD18" s="50"/>
      <c r="AE18" s="1244"/>
      <c r="AF18" s="1246"/>
      <c r="AG18" s="1246"/>
      <c r="AH18" s="1245"/>
    </row>
    <row r="19" spans="1:34" s="41" customFormat="1" ht="14.65" outlineLevel="1" thickBot="1">
      <c r="B19" s="18"/>
      <c r="D19" s="305"/>
      <c r="E19" s="305" t="s">
        <v>56</v>
      </c>
      <c r="F19" s="1251" t="s">
        <v>2204</v>
      </c>
      <c r="G19" s="1252"/>
      <c r="H19" s="1251" t="s">
        <v>2212</v>
      </c>
      <c r="I19" s="1253"/>
      <c r="J19" s="1252"/>
      <c r="K19" s="1251" t="s">
        <v>2210</v>
      </c>
      <c r="L19" s="1253"/>
      <c r="M19" s="1252"/>
      <c r="N19" s="1251" t="s">
        <v>2213</v>
      </c>
      <c r="O19" s="1252"/>
      <c r="P19" s="1251" t="s">
        <v>2208</v>
      </c>
      <c r="Q19" s="1253"/>
      <c r="R19" s="1253"/>
      <c r="S19" s="1254"/>
      <c r="T19" s="1255"/>
      <c r="U19" s="1251" t="s">
        <v>2211</v>
      </c>
      <c r="V19" s="1253"/>
      <c r="W19" s="1253"/>
      <c r="X19" s="1253"/>
      <c r="Y19" s="1252"/>
      <c r="Z19" s="724"/>
      <c r="AA19" s="724"/>
      <c r="AB19" s="724"/>
      <c r="AC19" s="1002"/>
      <c r="AD19" s="50"/>
      <c r="AE19" s="1244"/>
      <c r="AF19" s="1246"/>
      <c r="AG19" s="1246"/>
      <c r="AH19" s="1245"/>
    </row>
    <row r="20" spans="1:34" s="2" customFormat="1">
      <c r="B20" s="489"/>
      <c r="C20" s="490"/>
      <c r="D20" s="491"/>
      <c r="E20" s="492"/>
      <c r="F20" s="1233" t="str">
        <f>VLOOKUP($C$3,$E$16:$AH$19,2,FALSE)</f>
        <v>RFI | SI | UCR</v>
      </c>
      <c r="G20" s="1235"/>
      <c r="H20" s="1233" t="str">
        <f>VLOOKUP($C$3,$E$16:$AH$19,4,FALSE)</f>
        <v>Field Order</v>
      </c>
      <c r="I20" s="1234"/>
      <c r="J20" s="1235"/>
      <c r="K20" s="1233" t="str">
        <f>VLOOKUP($C$3,$E$16:$AH$19,7,FALSE)</f>
        <v>Change Order Worksheet</v>
      </c>
      <c r="L20" s="1234"/>
      <c r="M20" s="1235"/>
      <c r="N20" s="1233" t="str">
        <f>VLOOKUP($C$3,$E$16:$AH$19,10,FALSE)</f>
        <v>Proposed Change Order</v>
      </c>
      <c r="O20" s="1235"/>
      <c r="P20" s="1233" t="str">
        <f>VLOOKUP($C$3,$E$16:$AH$19,12,FALSE)</f>
        <v>Contractor Proposal</v>
      </c>
      <c r="Q20" s="1234"/>
      <c r="R20" s="1234"/>
      <c r="S20" s="1256"/>
      <c r="T20" s="1257"/>
      <c r="U20" s="1233" t="s">
        <v>2211</v>
      </c>
      <c r="V20" s="1234"/>
      <c r="W20" s="1234"/>
      <c r="X20" s="1234"/>
      <c r="Y20" s="1235"/>
      <c r="Z20" s="731"/>
      <c r="AA20" s="731"/>
      <c r="AB20" s="1053"/>
      <c r="AC20" s="1007"/>
      <c r="AD20" s="493"/>
      <c r="AE20" s="1238"/>
      <c r="AF20" s="1239"/>
      <c r="AG20" s="1239"/>
      <c r="AH20" s="1240"/>
    </row>
    <row r="21" spans="1:34" s="918" customFormat="1" ht="42">
      <c r="B21" s="356" t="s">
        <v>282</v>
      </c>
      <c r="C21" s="357" t="s">
        <v>9</v>
      </c>
      <c r="D21" s="1236" t="s">
        <v>2214</v>
      </c>
      <c r="E21" s="1237"/>
      <c r="F21" s="356" t="str">
        <f>F20 &amp; " Ref #"</f>
        <v>RFI | SI | UCR Ref #</v>
      </c>
      <c r="G21" s="357" t="str">
        <f>F20 &amp; " Date"</f>
        <v>RFI | SI | UCR Date</v>
      </c>
      <c r="H21" s="356" t="str">
        <f>H20 &amp; " Ref #"</f>
        <v>Field Order Ref #</v>
      </c>
      <c r="I21" s="380" t="str">
        <f>H20 &amp; " Date"</f>
        <v>Field Order Date</v>
      </c>
      <c r="J21" s="357" t="str">
        <f>H20 &amp; " Value"</f>
        <v>Field Order Value</v>
      </c>
      <c r="K21" s="356" t="str">
        <f>K20 &amp; " Ref #"</f>
        <v>Change Order Worksheet Ref #</v>
      </c>
      <c r="L21" s="380" t="str">
        <f>K20 &amp; " Date"</f>
        <v>Change Order Worksheet Date</v>
      </c>
      <c r="M21" s="357" t="str">
        <f>K20 &amp; " Value"</f>
        <v>Change Order Worksheet Value</v>
      </c>
      <c r="N21" s="356" t="str">
        <f>N20 &amp; " Ref #"</f>
        <v>Proposed Change Order Ref #</v>
      </c>
      <c r="O21" s="357" t="str">
        <f>N20 &amp; " Date"</f>
        <v>Proposed Change Order Date</v>
      </c>
      <c r="P21" s="356" t="str">
        <f>P20 &amp; " Ref #"</f>
        <v>Contractor Proposal Ref #</v>
      </c>
      <c r="Q21" s="380" t="str">
        <f>P20 &amp; " Date"</f>
        <v>Contractor Proposal Date</v>
      </c>
      <c r="R21" s="378" t="s">
        <v>2215</v>
      </c>
      <c r="S21" s="989" t="s">
        <v>2216</v>
      </c>
      <c r="T21" s="1073" t="str">
        <f>P20 &amp; " Value"</f>
        <v>Contractor Proposal Value</v>
      </c>
      <c r="U21" s="356" t="str">
        <f>U20 &amp; " Ref #"</f>
        <v>Change Order Ref #</v>
      </c>
      <c r="V21" s="380" t="str">
        <f>U20 &amp; " Date"</f>
        <v>Change Order Date</v>
      </c>
      <c r="W21" s="380" t="str">
        <f>U20 &amp; " Reason Code"</f>
        <v>Change Order Reason Code</v>
      </c>
      <c r="X21" s="357" t="str">
        <f>U20 &amp; " Value"</f>
        <v>Change Order Value</v>
      </c>
      <c r="Y21" s="488" t="str">
        <f>U20 &amp; " Billed to Date"</f>
        <v>Change Order Billed to Date</v>
      </c>
      <c r="Z21" s="732" t="s">
        <v>2217</v>
      </c>
      <c r="AA21" s="732" t="s">
        <v>2218</v>
      </c>
      <c r="AB21" s="1054" t="s">
        <v>2219</v>
      </c>
      <c r="AC21" s="166" t="s">
        <v>2220</v>
      </c>
      <c r="AD21" s="357" t="s">
        <v>267</v>
      </c>
      <c r="AE21" s="356" t="s">
        <v>2221</v>
      </c>
      <c r="AF21" s="356" t="s">
        <v>2222</v>
      </c>
      <c r="AG21" s="380" t="s">
        <v>537</v>
      </c>
      <c r="AH21" s="357" t="s">
        <v>2223</v>
      </c>
    </row>
    <row r="22" spans="1:34" s="4" customFormat="1">
      <c r="A22" s="2"/>
      <c r="B22" s="310" t="s">
        <v>115</v>
      </c>
      <c r="C22" s="311" t="s">
        <v>27</v>
      </c>
      <c r="D22" s="1222"/>
      <c r="E22" s="1224"/>
      <c r="F22" s="312" t="s">
        <v>2224</v>
      </c>
      <c r="G22" s="313">
        <v>44076</v>
      </c>
      <c r="H22" s="624"/>
      <c r="I22" s="625"/>
      <c r="J22" s="626"/>
      <c r="K22" s="627"/>
      <c r="L22" s="628"/>
      <c r="M22" s="629"/>
      <c r="N22" s="627"/>
      <c r="O22" s="628"/>
      <c r="P22" s="630"/>
      <c r="Q22" s="631"/>
      <c r="R22" s="715"/>
      <c r="S22" s="715"/>
      <c r="T22" s="632"/>
      <c r="U22" s="633"/>
      <c r="V22" s="634"/>
      <c r="W22" s="635"/>
      <c r="X22" s="636"/>
      <c r="Y22" s="637"/>
      <c r="Z22" s="921"/>
      <c r="AA22" s="636"/>
      <c r="AB22" s="1056"/>
      <c r="AC22" s="1020" t="s">
        <v>2225</v>
      </c>
      <c r="AD22" s="315"/>
      <c r="AE22" s="316"/>
      <c r="AF22" s="718"/>
      <c r="AG22" s="211"/>
      <c r="AH22" s="210"/>
    </row>
    <row r="23" spans="1:34" s="4" customFormat="1">
      <c r="A23" s="2"/>
      <c r="B23" s="310" t="s">
        <v>106</v>
      </c>
      <c r="C23" s="311" t="s">
        <v>33</v>
      </c>
      <c r="D23" s="1222" t="s">
        <v>2226</v>
      </c>
      <c r="E23" s="1224"/>
      <c r="F23" s="312" t="s">
        <v>2227</v>
      </c>
      <c r="G23" s="313">
        <v>44078</v>
      </c>
      <c r="H23" s="624" t="s">
        <v>2228</v>
      </c>
      <c r="I23" s="625">
        <v>44085</v>
      </c>
      <c r="J23" s="626">
        <v>8000</v>
      </c>
      <c r="K23" s="627" t="s">
        <v>2229</v>
      </c>
      <c r="L23" s="628">
        <v>44084</v>
      </c>
      <c r="M23" s="629">
        <v>8000</v>
      </c>
      <c r="N23" s="627" t="s">
        <v>2230</v>
      </c>
      <c r="O23" s="628">
        <v>44083</v>
      </c>
      <c r="P23" s="630" t="s">
        <v>2231</v>
      </c>
      <c r="Q23" s="631">
        <v>44155</v>
      </c>
      <c r="R23" s="715"/>
      <c r="S23" s="1068"/>
      <c r="T23" s="632">
        <v>9451.42</v>
      </c>
      <c r="U23" s="633" t="s">
        <v>2232</v>
      </c>
      <c r="V23" s="634">
        <v>44179</v>
      </c>
      <c r="W23" s="635" t="s">
        <v>96</v>
      </c>
      <c r="X23" s="656">
        <f>T23+T29</f>
        <v>32163.93</v>
      </c>
      <c r="Y23" s="637">
        <f>9451.42+22712.51</f>
        <v>32163.93</v>
      </c>
      <c r="Z23" s="987">
        <f>Y23/X23</f>
        <v>1</v>
      </c>
      <c r="AA23" s="919"/>
      <c r="AB23" s="1055">
        <v>0</v>
      </c>
      <c r="AC23" s="1016" t="s">
        <v>2233</v>
      </c>
      <c r="AD23" s="913"/>
      <c r="AE23" s="316"/>
      <c r="AF23" s="704"/>
      <c r="AG23" s="211"/>
      <c r="AH23" s="210"/>
    </row>
    <row r="24" spans="1:34" s="4" customFormat="1">
      <c r="A24" s="2"/>
      <c r="B24" s="310" t="s">
        <v>119</v>
      </c>
      <c r="C24" s="311" t="s">
        <v>27</v>
      </c>
      <c r="D24" s="1222"/>
      <c r="E24" s="1224"/>
      <c r="F24" s="312" t="s">
        <v>2234</v>
      </c>
      <c r="G24" s="313">
        <v>44078</v>
      </c>
      <c r="H24" s="624"/>
      <c r="I24" s="625"/>
      <c r="J24" s="626"/>
      <c r="K24" s="627"/>
      <c r="L24" s="628"/>
      <c r="M24" s="629"/>
      <c r="N24" s="627"/>
      <c r="O24" s="628"/>
      <c r="P24" s="630"/>
      <c r="Q24" s="631"/>
      <c r="R24" s="715"/>
      <c r="S24" s="715"/>
      <c r="T24" s="632"/>
      <c r="U24" s="633"/>
      <c r="V24" s="634"/>
      <c r="W24" s="635"/>
      <c r="X24" s="636"/>
      <c r="Y24" s="637"/>
      <c r="Z24" s="921"/>
      <c r="AA24" s="636"/>
      <c r="AB24" s="1056"/>
      <c r="AC24" s="1020" t="s">
        <v>2235</v>
      </c>
      <c r="AD24" s="317"/>
      <c r="AE24" s="316"/>
      <c r="AF24" s="704"/>
      <c r="AG24" s="211"/>
      <c r="AH24" s="210"/>
    </row>
    <row r="25" spans="1:34" s="4" customFormat="1">
      <c r="A25" s="2"/>
      <c r="B25" s="310" t="s">
        <v>115</v>
      </c>
      <c r="C25" s="311" t="s">
        <v>27</v>
      </c>
      <c r="D25" s="1222"/>
      <c r="E25" s="1224"/>
      <c r="F25" s="312" t="s">
        <v>2236</v>
      </c>
      <c r="G25" s="313">
        <v>44088</v>
      </c>
      <c r="H25" s="624"/>
      <c r="I25" s="625"/>
      <c r="J25" s="626"/>
      <c r="K25" s="627"/>
      <c r="L25" s="628"/>
      <c r="M25" s="629"/>
      <c r="N25" s="627"/>
      <c r="O25" s="628"/>
      <c r="P25" s="630"/>
      <c r="Q25" s="631"/>
      <c r="R25" s="715"/>
      <c r="S25" s="715"/>
      <c r="T25" s="632"/>
      <c r="U25" s="633"/>
      <c r="V25" s="634"/>
      <c r="W25" s="635"/>
      <c r="X25" s="636"/>
      <c r="Y25" s="637"/>
      <c r="Z25" s="921"/>
      <c r="AA25" s="636"/>
      <c r="AB25" s="1056"/>
      <c r="AC25" s="1020" t="s">
        <v>2237</v>
      </c>
      <c r="AD25" s="317"/>
      <c r="AE25" s="316"/>
      <c r="AF25" s="718"/>
      <c r="AG25" s="211"/>
      <c r="AH25" s="210"/>
    </row>
    <row r="26" spans="1:34" s="4" customFormat="1">
      <c r="A26" s="2"/>
      <c r="B26" s="310" t="s">
        <v>115</v>
      </c>
      <c r="C26" s="311" t="s">
        <v>27</v>
      </c>
      <c r="D26" s="1222"/>
      <c r="E26" s="1224"/>
      <c r="F26" s="312" t="s">
        <v>2238</v>
      </c>
      <c r="G26" s="313">
        <v>44090</v>
      </c>
      <c r="H26" s="624"/>
      <c r="I26" s="625"/>
      <c r="J26" s="626"/>
      <c r="K26" s="627"/>
      <c r="L26" s="628"/>
      <c r="M26" s="629"/>
      <c r="N26" s="627"/>
      <c r="O26" s="628"/>
      <c r="P26" s="630"/>
      <c r="Q26" s="631"/>
      <c r="R26" s="715"/>
      <c r="S26" s="715"/>
      <c r="T26" s="632"/>
      <c r="U26" s="633"/>
      <c r="V26" s="634"/>
      <c r="W26" s="635"/>
      <c r="X26" s="636"/>
      <c r="Y26" s="637"/>
      <c r="Z26" s="921"/>
      <c r="AA26" s="636"/>
      <c r="AB26" s="1056"/>
      <c r="AC26" s="1020" t="s">
        <v>2239</v>
      </c>
      <c r="AD26" s="317"/>
      <c r="AE26" s="316"/>
      <c r="AF26" s="718"/>
      <c r="AG26" s="211"/>
      <c r="AH26" s="210"/>
    </row>
    <row r="27" spans="1:34" s="4" customFormat="1">
      <c r="A27" s="2"/>
      <c r="B27" s="310" t="s">
        <v>110</v>
      </c>
      <c r="C27" s="311" t="s">
        <v>27</v>
      </c>
      <c r="D27" s="1222" t="s">
        <v>2240</v>
      </c>
      <c r="E27" s="1224"/>
      <c r="F27" s="312"/>
      <c r="G27" s="313"/>
      <c r="H27" s="624"/>
      <c r="I27" s="625"/>
      <c r="J27" s="626"/>
      <c r="K27" s="627" t="s">
        <v>2241</v>
      </c>
      <c r="L27" s="628">
        <v>44083</v>
      </c>
      <c r="M27" s="629">
        <v>35000</v>
      </c>
      <c r="N27" s="627" t="s">
        <v>2242</v>
      </c>
      <c r="O27" s="628">
        <v>44090</v>
      </c>
      <c r="P27" s="630"/>
      <c r="Q27" s="631">
        <v>44167</v>
      </c>
      <c r="R27" s="715"/>
      <c r="S27" s="715"/>
      <c r="T27" s="632">
        <v>46517.22</v>
      </c>
      <c r="U27" s="633"/>
      <c r="V27" s="634"/>
      <c r="W27" s="635" t="s">
        <v>109</v>
      </c>
      <c r="X27" s="636"/>
      <c r="Y27" s="637"/>
      <c r="Z27" s="921"/>
      <c r="AA27" s="636"/>
      <c r="AB27" s="1056"/>
      <c r="AC27" s="1020" t="s">
        <v>2243</v>
      </c>
      <c r="AD27" s="317"/>
      <c r="AE27" s="316"/>
      <c r="AF27" s="704"/>
      <c r="AG27" s="211"/>
      <c r="AH27" s="210"/>
    </row>
    <row r="28" spans="1:34" s="4" customFormat="1">
      <c r="A28" s="2"/>
      <c r="B28" s="310" t="s">
        <v>106</v>
      </c>
      <c r="C28" s="311" t="s">
        <v>33</v>
      </c>
      <c r="D28" s="1222" t="s">
        <v>2244</v>
      </c>
      <c r="E28" s="1224"/>
      <c r="F28" s="312"/>
      <c r="G28" s="313"/>
      <c r="H28" s="624"/>
      <c r="I28" s="625"/>
      <c r="J28" s="626"/>
      <c r="K28" s="627" t="s">
        <v>2245</v>
      </c>
      <c r="L28" s="628">
        <v>44166</v>
      </c>
      <c r="M28" s="629">
        <v>600</v>
      </c>
      <c r="N28" s="627" t="s">
        <v>2246</v>
      </c>
      <c r="O28" s="628">
        <v>44167</v>
      </c>
      <c r="P28" s="630" t="s">
        <v>2247</v>
      </c>
      <c r="Q28" s="631">
        <v>44167</v>
      </c>
      <c r="R28" s="715"/>
      <c r="S28" s="1068"/>
      <c r="T28" s="632">
        <v>478.81</v>
      </c>
      <c r="U28" s="633" t="s">
        <v>2248</v>
      </c>
      <c r="V28" s="634">
        <v>44180</v>
      </c>
      <c r="W28" s="635" t="s">
        <v>109</v>
      </c>
      <c r="X28" s="636">
        <v>478.81</v>
      </c>
      <c r="Y28" s="637">
        <v>478.81</v>
      </c>
      <c r="Z28" s="987">
        <f t="shared" ref="Z28" si="1">Y28/X28</f>
        <v>1</v>
      </c>
      <c r="AA28" s="919"/>
      <c r="AB28" s="1055">
        <v>0</v>
      </c>
      <c r="AC28" s="1017" t="s">
        <v>2249</v>
      </c>
      <c r="AD28" s="913"/>
      <c r="AE28" s="316"/>
      <c r="AF28" s="704"/>
      <c r="AG28" s="211"/>
      <c r="AH28" s="210"/>
    </row>
    <row r="29" spans="1:34" s="4" customFormat="1">
      <c r="A29" s="2"/>
      <c r="B29" s="310" t="s">
        <v>106</v>
      </c>
      <c r="C29" s="311" t="s">
        <v>33</v>
      </c>
      <c r="D29" s="1222" t="s">
        <v>2250</v>
      </c>
      <c r="E29" s="1224"/>
      <c r="F29" s="312" t="s">
        <v>2227</v>
      </c>
      <c r="G29" s="313">
        <v>44078</v>
      </c>
      <c r="H29" s="624" t="s">
        <v>2251</v>
      </c>
      <c r="I29" s="625">
        <v>44132</v>
      </c>
      <c r="J29" s="626">
        <v>25000</v>
      </c>
      <c r="K29" s="627" t="s">
        <v>2252</v>
      </c>
      <c r="L29" s="628">
        <v>44090</v>
      </c>
      <c r="M29" s="629">
        <v>10000</v>
      </c>
      <c r="N29" s="627" t="s">
        <v>2253</v>
      </c>
      <c r="O29" s="628">
        <v>44090</v>
      </c>
      <c r="P29" s="630" t="s">
        <v>2254</v>
      </c>
      <c r="Q29" s="631">
        <v>44168</v>
      </c>
      <c r="R29" s="715"/>
      <c r="S29" s="1068"/>
      <c r="T29" s="632">
        <v>22712.51</v>
      </c>
      <c r="U29" s="633" t="s">
        <v>2255</v>
      </c>
      <c r="V29" s="634">
        <v>44179</v>
      </c>
      <c r="W29" s="635" t="s">
        <v>96</v>
      </c>
      <c r="X29" s="636">
        <v>0</v>
      </c>
      <c r="Y29" s="637" t="s">
        <v>2256</v>
      </c>
      <c r="Z29" s="987" t="s">
        <v>268</v>
      </c>
      <c r="AA29" s="919"/>
      <c r="AB29" s="1055">
        <v>0</v>
      </c>
      <c r="AC29" s="1016" t="s">
        <v>2257</v>
      </c>
      <c r="AD29" s="913"/>
      <c r="AE29" s="316"/>
      <c r="AF29" s="704"/>
      <c r="AG29" s="211"/>
      <c r="AH29" s="210"/>
    </row>
    <row r="30" spans="1:34" s="4" customFormat="1">
      <c r="A30" s="2"/>
      <c r="B30" s="310" t="s">
        <v>115</v>
      </c>
      <c r="C30" s="311" t="s">
        <v>27</v>
      </c>
      <c r="D30" s="1222"/>
      <c r="E30" s="1224"/>
      <c r="F30" s="312" t="s">
        <v>2258</v>
      </c>
      <c r="G30" s="313">
        <v>44091</v>
      </c>
      <c r="H30" s="624"/>
      <c r="I30" s="625"/>
      <c r="J30" s="626"/>
      <c r="K30" s="627"/>
      <c r="L30" s="628"/>
      <c r="M30" s="629"/>
      <c r="N30" s="627"/>
      <c r="O30" s="628"/>
      <c r="P30" s="630"/>
      <c r="Q30" s="631"/>
      <c r="R30" s="715"/>
      <c r="S30" s="715"/>
      <c r="T30" s="632"/>
      <c r="U30" s="633"/>
      <c r="V30" s="634"/>
      <c r="W30" s="635"/>
      <c r="X30" s="636"/>
      <c r="Y30" s="637"/>
      <c r="Z30" s="921"/>
      <c r="AA30" s="636"/>
      <c r="AB30" s="1056"/>
      <c r="AC30" s="1020" t="s">
        <v>2259</v>
      </c>
      <c r="AD30" s="317"/>
      <c r="AE30" s="316"/>
      <c r="AF30" s="718"/>
      <c r="AG30" s="211"/>
      <c r="AH30" s="210"/>
    </row>
    <row r="31" spans="1:34" s="4" customFormat="1">
      <c r="A31" s="2"/>
      <c r="B31" s="310" t="s">
        <v>115</v>
      </c>
      <c r="C31" s="311" t="s">
        <v>27</v>
      </c>
      <c r="D31" s="1222"/>
      <c r="E31" s="1224"/>
      <c r="F31" s="312" t="s">
        <v>2260</v>
      </c>
      <c r="G31" s="313">
        <v>44091</v>
      </c>
      <c r="H31" s="624"/>
      <c r="I31" s="625"/>
      <c r="J31" s="626"/>
      <c r="K31" s="627"/>
      <c r="L31" s="628"/>
      <c r="M31" s="629"/>
      <c r="N31" s="627"/>
      <c r="O31" s="628"/>
      <c r="P31" s="630"/>
      <c r="Q31" s="631"/>
      <c r="R31" s="715"/>
      <c r="S31" s="715"/>
      <c r="T31" s="632"/>
      <c r="U31" s="633"/>
      <c r="V31" s="634"/>
      <c r="W31" s="635"/>
      <c r="X31" s="636"/>
      <c r="Y31" s="637"/>
      <c r="Z31" s="921"/>
      <c r="AA31" s="636"/>
      <c r="AB31" s="1056"/>
      <c r="AC31" s="1020" t="s">
        <v>2261</v>
      </c>
      <c r="AD31" s="317"/>
      <c r="AE31" s="316"/>
      <c r="AF31" s="718"/>
      <c r="AG31" s="211"/>
      <c r="AH31" s="210"/>
    </row>
    <row r="32" spans="1:34" s="4" customFormat="1">
      <c r="A32" s="2"/>
      <c r="B32" s="310" t="s">
        <v>119</v>
      </c>
      <c r="C32" s="311" t="s">
        <v>27</v>
      </c>
      <c r="D32" s="1222"/>
      <c r="E32" s="1224"/>
      <c r="F32" s="312" t="s">
        <v>2262</v>
      </c>
      <c r="G32" s="313">
        <v>44088</v>
      </c>
      <c r="H32" s="624"/>
      <c r="I32" s="625"/>
      <c r="J32" s="626"/>
      <c r="K32" s="627"/>
      <c r="L32" s="628"/>
      <c r="M32" s="629"/>
      <c r="N32" s="627"/>
      <c r="O32" s="628"/>
      <c r="P32" s="630"/>
      <c r="Q32" s="631"/>
      <c r="R32" s="715"/>
      <c r="S32" s="715"/>
      <c r="T32" s="632"/>
      <c r="U32" s="633"/>
      <c r="V32" s="634"/>
      <c r="W32" s="635"/>
      <c r="X32" s="636"/>
      <c r="Y32" s="637"/>
      <c r="Z32" s="921"/>
      <c r="AA32" s="636"/>
      <c r="AB32" s="1056"/>
      <c r="AC32" s="1020" t="s">
        <v>2263</v>
      </c>
      <c r="AD32" s="317"/>
      <c r="AE32" s="316"/>
      <c r="AF32" s="704"/>
      <c r="AG32" s="211"/>
      <c r="AH32" s="210"/>
    </row>
    <row r="33" spans="1:34" s="4" customFormat="1">
      <c r="A33" s="2"/>
      <c r="B33" s="310" t="s">
        <v>119</v>
      </c>
      <c r="C33" s="311" t="s">
        <v>27</v>
      </c>
      <c r="D33" s="1222"/>
      <c r="E33" s="1224"/>
      <c r="F33" s="312" t="s">
        <v>2264</v>
      </c>
      <c r="G33" s="313">
        <v>44092</v>
      </c>
      <c r="H33" s="624"/>
      <c r="I33" s="625"/>
      <c r="J33" s="626"/>
      <c r="K33" s="627"/>
      <c r="L33" s="628"/>
      <c r="M33" s="629"/>
      <c r="N33" s="627"/>
      <c r="O33" s="628"/>
      <c r="P33" s="630"/>
      <c r="Q33" s="631"/>
      <c r="R33" s="715"/>
      <c r="S33" s="715"/>
      <c r="T33" s="632"/>
      <c r="U33" s="633"/>
      <c r="V33" s="634"/>
      <c r="W33" s="635"/>
      <c r="X33" s="636"/>
      <c r="Y33" s="637"/>
      <c r="Z33" s="921"/>
      <c r="AA33" s="636"/>
      <c r="AB33" s="1056"/>
      <c r="AC33" s="1020" t="s">
        <v>2265</v>
      </c>
      <c r="AD33" s="317"/>
      <c r="AE33" s="316"/>
      <c r="AF33" s="704"/>
      <c r="AG33" s="211"/>
      <c r="AH33" s="210"/>
    </row>
    <row r="34" spans="1:34" s="4" customFormat="1">
      <c r="A34" s="2"/>
      <c r="B34" s="310" t="s">
        <v>115</v>
      </c>
      <c r="C34" s="311" t="s">
        <v>27</v>
      </c>
      <c r="D34" s="1222"/>
      <c r="E34" s="1224"/>
      <c r="F34" s="312" t="s">
        <v>2266</v>
      </c>
      <c r="G34" s="313">
        <v>44097</v>
      </c>
      <c r="H34" s="624"/>
      <c r="I34" s="625"/>
      <c r="J34" s="626"/>
      <c r="K34" s="627"/>
      <c r="L34" s="628"/>
      <c r="M34" s="629"/>
      <c r="N34" s="627"/>
      <c r="O34" s="628"/>
      <c r="P34" s="630"/>
      <c r="Q34" s="631"/>
      <c r="R34" s="715"/>
      <c r="S34" s="715"/>
      <c r="T34" s="632"/>
      <c r="U34" s="633"/>
      <c r="V34" s="634"/>
      <c r="W34" s="635"/>
      <c r="X34" s="636"/>
      <c r="Y34" s="637"/>
      <c r="Z34" s="921"/>
      <c r="AA34" s="636"/>
      <c r="AB34" s="1056"/>
      <c r="AC34" s="736" t="s">
        <v>2267</v>
      </c>
      <c r="AD34" s="317" t="s">
        <v>2268</v>
      </c>
      <c r="AE34" s="316"/>
      <c r="AF34" s="718"/>
      <c r="AG34" s="211"/>
      <c r="AH34" s="210"/>
    </row>
    <row r="35" spans="1:34" s="4" customFormat="1">
      <c r="A35" s="2"/>
      <c r="B35" s="310" t="s">
        <v>115</v>
      </c>
      <c r="C35" s="311" t="s">
        <v>27</v>
      </c>
      <c r="D35" s="1222"/>
      <c r="E35" s="1224"/>
      <c r="F35" s="312" t="s">
        <v>2269</v>
      </c>
      <c r="G35" s="313">
        <v>44106</v>
      </c>
      <c r="H35" s="624"/>
      <c r="I35" s="625"/>
      <c r="J35" s="626"/>
      <c r="K35" s="627"/>
      <c r="L35" s="628"/>
      <c r="M35" s="629"/>
      <c r="N35" s="627"/>
      <c r="O35" s="628"/>
      <c r="P35" s="630"/>
      <c r="Q35" s="631"/>
      <c r="R35" s="715"/>
      <c r="S35" s="715"/>
      <c r="T35" s="632"/>
      <c r="U35" s="633"/>
      <c r="V35" s="634"/>
      <c r="W35" s="635"/>
      <c r="X35" s="636"/>
      <c r="Y35" s="637"/>
      <c r="Z35" s="921"/>
      <c r="AA35" s="636"/>
      <c r="AB35" s="1056"/>
      <c r="AC35" s="736" t="s">
        <v>2270</v>
      </c>
      <c r="AD35" s="317" t="s">
        <v>2271</v>
      </c>
      <c r="AE35" s="316"/>
      <c r="AF35" s="718"/>
      <c r="AG35" s="211"/>
      <c r="AH35" s="210"/>
    </row>
    <row r="36" spans="1:34" s="4" customFormat="1">
      <c r="A36" s="2"/>
      <c r="B36" s="310" t="s">
        <v>115</v>
      </c>
      <c r="C36" s="311" t="s">
        <v>27</v>
      </c>
      <c r="D36" s="1222"/>
      <c r="E36" s="1224"/>
      <c r="F36" s="312" t="s">
        <v>2272</v>
      </c>
      <c r="G36" s="313">
        <v>44106</v>
      </c>
      <c r="H36" s="624"/>
      <c r="I36" s="625"/>
      <c r="J36" s="626"/>
      <c r="K36" s="627"/>
      <c r="L36" s="628"/>
      <c r="M36" s="629"/>
      <c r="N36" s="627"/>
      <c r="O36" s="628"/>
      <c r="P36" s="630"/>
      <c r="Q36" s="631"/>
      <c r="R36" s="715"/>
      <c r="S36" s="715"/>
      <c r="T36" s="632"/>
      <c r="U36" s="633"/>
      <c r="V36" s="634"/>
      <c r="W36" s="635"/>
      <c r="X36" s="636"/>
      <c r="Y36" s="637"/>
      <c r="Z36" s="921"/>
      <c r="AA36" s="636"/>
      <c r="AB36" s="1056"/>
      <c r="AC36" s="736" t="s">
        <v>2273</v>
      </c>
      <c r="AD36" s="317" t="s">
        <v>2274</v>
      </c>
      <c r="AE36" s="316"/>
      <c r="AF36" s="718"/>
      <c r="AG36" s="211"/>
      <c r="AH36" s="210"/>
    </row>
    <row r="37" spans="1:34" s="4" customFormat="1">
      <c r="A37" s="2"/>
      <c r="B37" s="310" t="s">
        <v>115</v>
      </c>
      <c r="C37" s="311" t="s">
        <v>27</v>
      </c>
      <c r="D37" s="1222"/>
      <c r="E37" s="1224"/>
      <c r="F37" s="312" t="s">
        <v>2275</v>
      </c>
      <c r="G37" s="313">
        <v>44106</v>
      </c>
      <c r="H37" s="624"/>
      <c r="I37" s="625"/>
      <c r="J37" s="626"/>
      <c r="K37" s="627"/>
      <c r="L37" s="628"/>
      <c r="M37" s="629"/>
      <c r="N37" s="627"/>
      <c r="O37" s="628"/>
      <c r="P37" s="630"/>
      <c r="Q37" s="631"/>
      <c r="R37" s="715"/>
      <c r="S37" s="715"/>
      <c r="T37" s="632"/>
      <c r="U37" s="633"/>
      <c r="V37" s="634"/>
      <c r="W37" s="635"/>
      <c r="X37" s="636"/>
      <c r="Y37" s="637"/>
      <c r="Z37" s="921"/>
      <c r="AA37" s="636"/>
      <c r="AB37" s="1056"/>
      <c r="AC37" s="736" t="s">
        <v>2276</v>
      </c>
      <c r="AD37" s="317" t="s">
        <v>2277</v>
      </c>
      <c r="AE37" s="316"/>
      <c r="AF37" s="718"/>
      <c r="AG37" s="211"/>
      <c r="AH37" s="210"/>
    </row>
    <row r="38" spans="1:34" s="4" customFormat="1">
      <c r="A38" s="2"/>
      <c r="B38" s="310" t="s">
        <v>115</v>
      </c>
      <c r="C38" s="311" t="s">
        <v>27</v>
      </c>
      <c r="D38" s="1222"/>
      <c r="E38" s="1224"/>
      <c r="F38" s="312" t="s">
        <v>2278</v>
      </c>
      <c r="G38" s="313">
        <v>44106</v>
      </c>
      <c r="H38" s="624"/>
      <c r="I38" s="625"/>
      <c r="J38" s="626"/>
      <c r="K38" s="627"/>
      <c r="L38" s="628"/>
      <c r="M38" s="629"/>
      <c r="N38" s="627"/>
      <c r="O38" s="628"/>
      <c r="P38" s="630"/>
      <c r="Q38" s="631"/>
      <c r="R38" s="715"/>
      <c r="S38" s="715"/>
      <c r="T38" s="632"/>
      <c r="U38" s="633"/>
      <c r="V38" s="634"/>
      <c r="W38" s="635"/>
      <c r="X38" s="636"/>
      <c r="Y38" s="637"/>
      <c r="Z38" s="921"/>
      <c r="AA38" s="636"/>
      <c r="AB38" s="1056"/>
      <c r="AC38" s="736" t="s">
        <v>2279</v>
      </c>
      <c r="AD38" s="317"/>
      <c r="AE38" s="316"/>
      <c r="AF38" s="718"/>
      <c r="AG38" s="211"/>
      <c r="AH38" s="210"/>
    </row>
    <row r="39" spans="1:34" s="4" customFormat="1">
      <c r="A39" s="2"/>
      <c r="B39" s="310" t="s">
        <v>115</v>
      </c>
      <c r="C39" s="311" t="s">
        <v>27</v>
      </c>
      <c r="D39" s="1222"/>
      <c r="E39" s="1224"/>
      <c r="F39" s="312" t="s">
        <v>2280</v>
      </c>
      <c r="G39" s="313">
        <v>44106</v>
      </c>
      <c r="H39" s="624"/>
      <c r="I39" s="625"/>
      <c r="J39" s="626"/>
      <c r="K39" s="627"/>
      <c r="L39" s="628"/>
      <c r="M39" s="629"/>
      <c r="N39" s="627"/>
      <c r="O39" s="628"/>
      <c r="P39" s="630"/>
      <c r="Q39" s="631"/>
      <c r="R39" s="715"/>
      <c r="S39" s="715"/>
      <c r="T39" s="632"/>
      <c r="U39" s="633"/>
      <c r="V39" s="634"/>
      <c r="W39" s="635"/>
      <c r="X39" s="636"/>
      <c r="Y39" s="637"/>
      <c r="Z39" s="921"/>
      <c r="AA39" s="636"/>
      <c r="AB39" s="1056"/>
      <c r="AC39" s="736" t="s">
        <v>2281</v>
      </c>
      <c r="AD39" s="317"/>
      <c r="AE39" s="316"/>
      <c r="AF39" s="718"/>
      <c r="AG39" s="211"/>
      <c r="AH39" s="210"/>
    </row>
    <row r="40" spans="1:34" s="4" customFormat="1">
      <c r="A40" s="2"/>
      <c r="B40" s="310" t="s">
        <v>110</v>
      </c>
      <c r="C40" s="311" t="s">
        <v>27</v>
      </c>
      <c r="D40" s="1222" t="s">
        <v>2282</v>
      </c>
      <c r="E40" s="1224"/>
      <c r="F40" s="312"/>
      <c r="G40" s="313"/>
      <c r="H40" s="624"/>
      <c r="I40" s="625"/>
      <c r="J40" s="626"/>
      <c r="K40" s="627" t="s">
        <v>2283</v>
      </c>
      <c r="L40" s="628">
        <v>44104</v>
      </c>
      <c r="M40" s="629">
        <v>-10000</v>
      </c>
      <c r="N40" s="627" t="s">
        <v>2284</v>
      </c>
      <c r="O40" s="628">
        <v>44104</v>
      </c>
      <c r="P40" s="630"/>
      <c r="Q40" s="631"/>
      <c r="R40" s="715"/>
      <c r="S40" s="715"/>
      <c r="T40" s="632"/>
      <c r="U40" s="633"/>
      <c r="V40" s="634"/>
      <c r="W40" s="635" t="s">
        <v>101</v>
      </c>
      <c r="X40" s="636"/>
      <c r="Y40" s="637"/>
      <c r="Z40" s="921"/>
      <c r="AA40" s="636"/>
      <c r="AB40" s="1056"/>
      <c r="AC40" s="736"/>
      <c r="AD40" s="317" t="s">
        <v>2285</v>
      </c>
      <c r="AE40" s="316"/>
      <c r="AF40" s="704"/>
      <c r="AG40" s="211"/>
      <c r="AH40" s="210"/>
    </row>
    <row r="41" spans="1:34" s="4" customFormat="1">
      <c r="A41" s="2"/>
      <c r="B41" s="310" t="s">
        <v>106</v>
      </c>
      <c r="C41" s="311" t="s">
        <v>33</v>
      </c>
      <c r="D41" s="1222" t="s">
        <v>2286</v>
      </c>
      <c r="E41" s="1224"/>
      <c r="F41" s="312"/>
      <c r="G41" s="313"/>
      <c r="H41" s="624"/>
      <c r="I41" s="625"/>
      <c r="J41" s="626"/>
      <c r="K41" s="627" t="s">
        <v>2287</v>
      </c>
      <c r="L41" s="628">
        <v>44104</v>
      </c>
      <c r="M41" s="629">
        <v>-5000</v>
      </c>
      <c r="N41" s="627" t="s">
        <v>2288</v>
      </c>
      <c r="O41" s="628">
        <v>44104</v>
      </c>
      <c r="P41" s="630" t="s">
        <v>2289</v>
      </c>
      <c r="Q41" s="631">
        <v>44167</v>
      </c>
      <c r="R41" s="715"/>
      <c r="S41" s="1068"/>
      <c r="T41" s="632">
        <v>-1450.98</v>
      </c>
      <c r="U41" s="633" t="s">
        <v>2290</v>
      </c>
      <c r="V41" s="634">
        <v>44250</v>
      </c>
      <c r="W41" s="635" t="s">
        <v>101</v>
      </c>
      <c r="X41" s="636">
        <v>-1450.98</v>
      </c>
      <c r="Y41" s="637">
        <v>-1450.98</v>
      </c>
      <c r="Z41" s="987">
        <f>Y41/X41</f>
        <v>1</v>
      </c>
      <c r="AA41" s="919"/>
      <c r="AB41" s="1055">
        <v>0</v>
      </c>
      <c r="AC41" s="912"/>
      <c r="AD41" s="913"/>
      <c r="AE41" s="316"/>
      <c r="AF41" s="704"/>
      <c r="AG41" s="211"/>
      <c r="AH41" s="210"/>
    </row>
    <row r="42" spans="1:34" s="4" customFormat="1">
      <c r="A42" s="2"/>
      <c r="B42" s="310" t="s">
        <v>115</v>
      </c>
      <c r="C42" s="311" t="s">
        <v>27</v>
      </c>
      <c r="D42" s="1222"/>
      <c r="E42" s="1224"/>
      <c r="F42" s="312" t="s">
        <v>2291</v>
      </c>
      <c r="G42" s="313">
        <v>44109</v>
      </c>
      <c r="H42" s="624"/>
      <c r="I42" s="625"/>
      <c r="J42" s="626"/>
      <c r="K42" s="627"/>
      <c r="L42" s="628"/>
      <c r="M42" s="629"/>
      <c r="N42" s="627"/>
      <c r="O42" s="628"/>
      <c r="P42" s="630"/>
      <c r="Q42" s="631"/>
      <c r="R42" s="715"/>
      <c r="S42" s="715"/>
      <c r="T42" s="632"/>
      <c r="U42" s="633"/>
      <c r="V42" s="634"/>
      <c r="W42" s="635"/>
      <c r="X42" s="636"/>
      <c r="Y42" s="637"/>
      <c r="Z42" s="921"/>
      <c r="AA42" s="636"/>
      <c r="AB42" s="1056"/>
      <c r="AC42" s="736" t="s">
        <v>2292</v>
      </c>
      <c r="AD42" s="317"/>
      <c r="AE42" s="316"/>
      <c r="AF42" s="718"/>
      <c r="AG42" s="211"/>
      <c r="AH42" s="210"/>
    </row>
    <row r="43" spans="1:34" s="4" customFormat="1">
      <c r="A43" s="2"/>
      <c r="B43" s="310" t="s">
        <v>115</v>
      </c>
      <c r="C43" s="311" t="s">
        <v>27</v>
      </c>
      <c r="D43" s="1222"/>
      <c r="E43" s="1224"/>
      <c r="F43" s="312" t="s">
        <v>2293</v>
      </c>
      <c r="G43" s="313">
        <v>44111</v>
      </c>
      <c r="H43" s="624"/>
      <c r="I43" s="625"/>
      <c r="J43" s="626"/>
      <c r="K43" s="627"/>
      <c r="L43" s="628"/>
      <c r="M43" s="629"/>
      <c r="N43" s="627"/>
      <c r="O43" s="628"/>
      <c r="P43" s="630"/>
      <c r="Q43" s="631"/>
      <c r="R43" s="715"/>
      <c r="S43" s="715"/>
      <c r="T43" s="632"/>
      <c r="U43" s="633"/>
      <c r="V43" s="634"/>
      <c r="W43" s="635"/>
      <c r="X43" s="636"/>
      <c r="Y43" s="637"/>
      <c r="Z43" s="921"/>
      <c r="AA43" s="636"/>
      <c r="AB43" s="1056"/>
      <c r="AC43" s="736" t="s">
        <v>2294</v>
      </c>
      <c r="AD43" s="317" t="s">
        <v>2295</v>
      </c>
      <c r="AE43" s="316"/>
      <c r="AF43" s="718"/>
      <c r="AG43" s="211"/>
      <c r="AH43" s="210"/>
    </row>
    <row r="44" spans="1:34" s="4" customFormat="1">
      <c r="A44" s="2"/>
      <c r="B44" s="310" t="s">
        <v>106</v>
      </c>
      <c r="C44" s="311" t="s">
        <v>33</v>
      </c>
      <c r="D44" s="1222" t="s">
        <v>2296</v>
      </c>
      <c r="E44" s="1224"/>
      <c r="F44" s="312" t="s">
        <v>2297</v>
      </c>
      <c r="G44" s="313">
        <v>44112</v>
      </c>
      <c r="H44" s="624"/>
      <c r="I44" s="625"/>
      <c r="J44" s="626"/>
      <c r="K44" s="627" t="s">
        <v>2298</v>
      </c>
      <c r="L44" s="628">
        <v>44214</v>
      </c>
      <c r="M44" s="629">
        <v>15000</v>
      </c>
      <c r="N44" s="627" t="s">
        <v>2299</v>
      </c>
      <c r="O44" s="628">
        <v>44216</v>
      </c>
      <c r="P44" s="630" t="s">
        <v>2300</v>
      </c>
      <c r="Q44" s="631">
        <v>44249</v>
      </c>
      <c r="R44" s="715"/>
      <c r="S44" s="1068"/>
      <c r="T44" s="632">
        <v>121816.03</v>
      </c>
      <c r="U44" s="633" t="s">
        <v>2301</v>
      </c>
      <c r="V44" s="634"/>
      <c r="W44" s="635" t="s">
        <v>2302</v>
      </c>
      <c r="X44" s="636">
        <v>166860.79</v>
      </c>
      <c r="Y44" s="637">
        <v>166860.79</v>
      </c>
      <c r="Z44" s="987">
        <f t="shared" ref="Z44:Z45" si="2">Y44/X44</f>
        <v>1</v>
      </c>
      <c r="AA44" s="919"/>
      <c r="AB44" s="1055">
        <v>0</v>
      </c>
      <c r="AC44" s="912" t="s">
        <v>2303</v>
      </c>
      <c r="AD44" s="913"/>
      <c r="AE44" s="316"/>
      <c r="AF44" s="704"/>
      <c r="AG44" s="211"/>
      <c r="AH44" s="210"/>
    </row>
    <row r="45" spans="1:34" s="4" customFormat="1">
      <c r="A45" s="2"/>
      <c r="B45" s="310" t="s">
        <v>106</v>
      </c>
      <c r="C45" s="311" t="s">
        <v>33</v>
      </c>
      <c r="D45" s="662" t="s">
        <v>2304</v>
      </c>
      <c r="E45" s="663"/>
      <c r="F45" s="312"/>
      <c r="G45" s="313"/>
      <c r="H45" s="624"/>
      <c r="I45" s="625"/>
      <c r="J45" s="626"/>
      <c r="K45" s="627" t="s">
        <v>2305</v>
      </c>
      <c r="L45" s="628">
        <v>44337</v>
      </c>
      <c r="M45" s="629">
        <v>19000</v>
      </c>
      <c r="N45" s="627" t="s">
        <v>2306</v>
      </c>
      <c r="O45" s="628">
        <v>44337</v>
      </c>
      <c r="P45" s="630" t="s">
        <v>2307</v>
      </c>
      <c r="Q45" s="631">
        <v>44281</v>
      </c>
      <c r="R45" s="715"/>
      <c r="S45" s="1068"/>
      <c r="T45" s="632">
        <v>83251.7</v>
      </c>
      <c r="U45" s="633" t="s">
        <v>2308</v>
      </c>
      <c r="V45" s="634">
        <v>44384</v>
      </c>
      <c r="W45" s="635" t="s">
        <v>2302</v>
      </c>
      <c r="X45" s="636">
        <v>83251.7</v>
      </c>
      <c r="Y45" s="637">
        <v>83251.7</v>
      </c>
      <c r="Z45" s="987">
        <f t="shared" si="2"/>
        <v>1</v>
      </c>
      <c r="AA45" s="919"/>
      <c r="AB45" s="1055">
        <v>0</v>
      </c>
      <c r="AC45" s="912"/>
      <c r="AD45" s="913"/>
      <c r="AE45" s="316"/>
      <c r="AF45" s="704"/>
      <c r="AG45" s="211"/>
      <c r="AH45" s="210"/>
    </row>
    <row r="46" spans="1:34" s="4" customFormat="1">
      <c r="A46" s="2"/>
      <c r="B46" s="310" t="s">
        <v>115</v>
      </c>
      <c r="C46" s="311" t="s">
        <v>27</v>
      </c>
      <c r="D46" s="1222"/>
      <c r="E46" s="1224"/>
      <c r="F46" s="312" t="s">
        <v>2309</v>
      </c>
      <c r="G46" s="313">
        <v>44113</v>
      </c>
      <c r="H46" s="624"/>
      <c r="I46" s="625"/>
      <c r="J46" s="626"/>
      <c r="K46" s="627"/>
      <c r="L46" s="628"/>
      <c r="M46" s="629"/>
      <c r="N46" s="627"/>
      <c r="O46" s="628"/>
      <c r="P46" s="630"/>
      <c r="Q46" s="631"/>
      <c r="R46" s="715"/>
      <c r="S46" s="715"/>
      <c r="T46" s="632"/>
      <c r="U46" s="633"/>
      <c r="V46" s="634"/>
      <c r="W46" s="635"/>
      <c r="X46" s="636"/>
      <c r="Y46" s="637"/>
      <c r="Z46" s="921"/>
      <c r="AA46" s="636"/>
      <c r="AB46" s="1056"/>
      <c r="AC46" s="736" t="s">
        <v>2310</v>
      </c>
      <c r="AD46" s="317"/>
      <c r="AE46" s="316"/>
      <c r="AF46" s="718"/>
      <c r="AG46" s="211"/>
      <c r="AH46" s="210"/>
    </row>
    <row r="47" spans="1:34" s="4" customFormat="1">
      <c r="A47" s="2"/>
      <c r="B47" s="310" t="s">
        <v>115</v>
      </c>
      <c r="C47" s="311" t="s">
        <v>27</v>
      </c>
      <c r="D47" s="1222"/>
      <c r="E47" s="1224"/>
      <c r="F47" s="312" t="s">
        <v>2311</v>
      </c>
      <c r="G47" s="313">
        <v>44118</v>
      </c>
      <c r="H47" s="624"/>
      <c r="I47" s="625"/>
      <c r="J47" s="626"/>
      <c r="K47" s="627"/>
      <c r="L47" s="628"/>
      <c r="M47" s="629"/>
      <c r="N47" s="627"/>
      <c r="O47" s="628"/>
      <c r="P47" s="630"/>
      <c r="Q47" s="631"/>
      <c r="R47" s="715"/>
      <c r="S47" s="715"/>
      <c r="T47" s="632"/>
      <c r="U47" s="633"/>
      <c r="V47" s="634"/>
      <c r="W47" s="635"/>
      <c r="X47" s="636"/>
      <c r="Y47" s="637"/>
      <c r="Z47" s="921"/>
      <c r="AA47" s="636"/>
      <c r="AB47" s="1056"/>
      <c r="AC47" s="736" t="s">
        <v>2312</v>
      </c>
      <c r="AD47" s="317"/>
      <c r="AE47" s="316"/>
      <c r="AF47" s="718"/>
      <c r="AG47" s="211"/>
      <c r="AH47" s="210"/>
    </row>
    <row r="48" spans="1:34" s="4" customFormat="1">
      <c r="A48" s="2"/>
      <c r="B48" s="310" t="s">
        <v>115</v>
      </c>
      <c r="C48" s="311" t="s">
        <v>27</v>
      </c>
      <c r="D48" s="1222"/>
      <c r="E48" s="1224"/>
      <c r="F48" s="312" t="s">
        <v>2313</v>
      </c>
      <c r="G48" s="313">
        <v>44118</v>
      </c>
      <c r="H48" s="624"/>
      <c r="I48" s="625"/>
      <c r="J48" s="626"/>
      <c r="K48" s="627"/>
      <c r="L48" s="628"/>
      <c r="M48" s="629"/>
      <c r="N48" s="627"/>
      <c r="O48" s="628"/>
      <c r="P48" s="630"/>
      <c r="Q48" s="631"/>
      <c r="R48" s="715"/>
      <c r="S48" s="715"/>
      <c r="T48" s="632"/>
      <c r="U48" s="633"/>
      <c r="V48" s="634"/>
      <c r="W48" s="635"/>
      <c r="X48" s="636"/>
      <c r="Y48" s="637"/>
      <c r="Z48" s="921"/>
      <c r="AA48" s="636"/>
      <c r="AB48" s="1056"/>
      <c r="AC48" s="736" t="s">
        <v>2314</v>
      </c>
      <c r="AD48" s="317"/>
      <c r="AE48" s="316"/>
      <c r="AF48" s="718"/>
      <c r="AG48" s="211"/>
      <c r="AH48" s="210"/>
    </row>
    <row r="49" spans="1:34" s="4" customFormat="1">
      <c r="A49" s="2"/>
      <c r="B49" s="310" t="s">
        <v>115</v>
      </c>
      <c r="C49" s="311" t="s">
        <v>27</v>
      </c>
      <c r="D49" s="1222"/>
      <c r="E49" s="1224"/>
      <c r="F49" s="312" t="s">
        <v>2315</v>
      </c>
      <c r="G49" s="313">
        <v>44123</v>
      </c>
      <c r="H49" s="624"/>
      <c r="I49" s="625"/>
      <c r="J49" s="626"/>
      <c r="K49" s="627"/>
      <c r="L49" s="628"/>
      <c r="M49" s="629"/>
      <c r="N49" s="627"/>
      <c r="O49" s="628"/>
      <c r="P49" s="630"/>
      <c r="Q49" s="631"/>
      <c r="R49" s="715"/>
      <c r="S49" s="715"/>
      <c r="T49" s="632"/>
      <c r="U49" s="633"/>
      <c r="V49" s="634"/>
      <c r="W49" s="635"/>
      <c r="X49" s="636"/>
      <c r="Y49" s="637"/>
      <c r="Z49" s="921"/>
      <c r="AA49" s="636"/>
      <c r="AB49" s="1056"/>
      <c r="AC49" s="736" t="s">
        <v>2316</v>
      </c>
      <c r="AD49" s="317"/>
      <c r="AE49" s="316"/>
      <c r="AF49" s="718"/>
      <c r="AG49" s="211"/>
      <c r="AH49" s="210"/>
    </row>
    <row r="50" spans="1:34" s="4" customFormat="1">
      <c r="A50" s="2"/>
      <c r="B50" s="310" t="s">
        <v>106</v>
      </c>
      <c r="C50" s="311" t="s">
        <v>33</v>
      </c>
      <c r="D50" s="1222" t="s">
        <v>2317</v>
      </c>
      <c r="E50" s="1224"/>
      <c r="F50" s="312" t="s">
        <v>2318</v>
      </c>
      <c r="G50" s="313">
        <v>44124</v>
      </c>
      <c r="H50" s="624"/>
      <c r="I50" s="625"/>
      <c r="J50" s="626"/>
      <c r="K50" s="627" t="s">
        <v>2319</v>
      </c>
      <c r="L50" s="628"/>
      <c r="M50" s="629">
        <v>-1785</v>
      </c>
      <c r="N50" s="627" t="s">
        <v>268</v>
      </c>
      <c r="O50" s="628"/>
      <c r="P50" s="630" t="s">
        <v>167</v>
      </c>
      <c r="Q50" s="631"/>
      <c r="R50" s="715"/>
      <c r="S50" s="1068"/>
      <c r="T50" s="632">
        <v>-1785</v>
      </c>
      <c r="U50" s="633" t="s">
        <v>2320</v>
      </c>
      <c r="V50" s="634"/>
      <c r="W50" s="635" t="s">
        <v>101</v>
      </c>
      <c r="X50" s="636">
        <v>0</v>
      </c>
      <c r="Y50" s="637" t="s">
        <v>2256</v>
      </c>
      <c r="Z50" s="987" t="s">
        <v>268</v>
      </c>
      <c r="AA50" s="919"/>
      <c r="AB50" s="1055">
        <v>0</v>
      </c>
      <c r="AC50" s="912" t="s">
        <v>2321</v>
      </c>
      <c r="AD50" s="913" t="s">
        <v>2322</v>
      </c>
      <c r="AE50" s="316"/>
      <c r="AF50" s="704"/>
      <c r="AG50" s="211"/>
      <c r="AH50" s="210"/>
    </row>
    <row r="51" spans="1:34" s="4" customFormat="1">
      <c r="A51" s="2"/>
      <c r="B51" s="310" t="s">
        <v>115</v>
      </c>
      <c r="C51" s="311" t="s">
        <v>27</v>
      </c>
      <c r="D51" s="1222"/>
      <c r="E51" s="1224"/>
      <c r="F51" s="312" t="s">
        <v>2323</v>
      </c>
      <c r="G51" s="313">
        <v>44125</v>
      </c>
      <c r="H51" s="624"/>
      <c r="I51" s="625"/>
      <c r="J51" s="626"/>
      <c r="K51" s="627"/>
      <c r="L51" s="628"/>
      <c r="M51" s="629"/>
      <c r="N51" s="627"/>
      <c r="O51" s="628"/>
      <c r="P51" s="630"/>
      <c r="Q51" s="631"/>
      <c r="R51" s="715"/>
      <c r="S51" s="715"/>
      <c r="T51" s="632"/>
      <c r="U51" s="633"/>
      <c r="V51" s="634"/>
      <c r="W51" s="635"/>
      <c r="X51" s="636"/>
      <c r="Y51" s="637"/>
      <c r="Z51" s="921"/>
      <c r="AA51" s="636"/>
      <c r="AB51" s="1056"/>
      <c r="AC51" s="736" t="s">
        <v>2324</v>
      </c>
      <c r="AD51" s="317" t="s">
        <v>2325</v>
      </c>
      <c r="AE51" s="316"/>
      <c r="AF51" s="718"/>
      <c r="AG51" s="211"/>
      <c r="AH51" s="210"/>
    </row>
    <row r="52" spans="1:34" s="4" customFormat="1">
      <c r="A52" s="2"/>
      <c r="B52" s="310" t="s">
        <v>115</v>
      </c>
      <c r="C52" s="311" t="s">
        <v>27</v>
      </c>
      <c r="D52" s="1222"/>
      <c r="E52" s="1224"/>
      <c r="F52" s="312" t="s">
        <v>2326</v>
      </c>
      <c r="G52" s="313">
        <v>44125</v>
      </c>
      <c r="H52" s="624"/>
      <c r="I52" s="625"/>
      <c r="J52" s="626"/>
      <c r="K52" s="627"/>
      <c r="L52" s="628"/>
      <c r="M52" s="629"/>
      <c r="N52" s="627"/>
      <c r="O52" s="628"/>
      <c r="P52" s="630"/>
      <c r="Q52" s="631"/>
      <c r="R52" s="715"/>
      <c r="S52" s="715"/>
      <c r="T52" s="632"/>
      <c r="U52" s="633"/>
      <c r="V52" s="634"/>
      <c r="W52" s="635"/>
      <c r="X52" s="636"/>
      <c r="Y52" s="637"/>
      <c r="Z52" s="921"/>
      <c r="AA52" s="636"/>
      <c r="AB52" s="1056"/>
      <c r="AC52" s="736" t="s">
        <v>2327</v>
      </c>
      <c r="AD52" s="317" t="s">
        <v>2328</v>
      </c>
      <c r="AE52" s="316"/>
      <c r="AF52" s="718"/>
      <c r="AG52" s="211"/>
      <c r="AH52" s="210"/>
    </row>
    <row r="53" spans="1:34" s="4" customFormat="1">
      <c r="A53" s="2"/>
      <c r="B53" s="310" t="s">
        <v>106</v>
      </c>
      <c r="C53" s="311" t="s">
        <v>33</v>
      </c>
      <c r="D53" s="1222" t="s">
        <v>2329</v>
      </c>
      <c r="E53" s="1224"/>
      <c r="F53" s="312" t="s">
        <v>2330</v>
      </c>
      <c r="G53" s="313">
        <v>44125</v>
      </c>
      <c r="H53" s="624"/>
      <c r="I53" s="625"/>
      <c r="J53" s="626"/>
      <c r="K53" s="627" t="s">
        <v>2331</v>
      </c>
      <c r="L53" s="628">
        <v>44140</v>
      </c>
      <c r="M53" s="629">
        <v>-2200</v>
      </c>
      <c r="N53" s="627" t="s">
        <v>2332</v>
      </c>
      <c r="O53" s="628">
        <v>44147</v>
      </c>
      <c r="P53" s="630" t="s">
        <v>2333</v>
      </c>
      <c r="Q53" s="631">
        <v>44215</v>
      </c>
      <c r="R53" s="715"/>
      <c r="S53" s="1068"/>
      <c r="T53" s="632">
        <v>-2975.78</v>
      </c>
      <c r="U53" s="633" t="s">
        <v>2334</v>
      </c>
      <c r="V53" s="634">
        <v>44238</v>
      </c>
      <c r="W53" s="635" t="s">
        <v>105</v>
      </c>
      <c r="X53" s="636">
        <v>-2975.78</v>
      </c>
      <c r="Y53" s="637">
        <v>-2975.78</v>
      </c>
      <c r="Z53" s="987">
        <f>Y53/X53</f>
        <v>1</v>
      </c>
      <c r="AA53" s="919"/>
      <c r="AB53" s="1055">
        <v>0</v>
      </c>
      <c r="AC53" s="912" t="s">
        <v>2335</v>
      </c>
      <c r="AD53" s="913"/>
      <c r="AE53" s="316"/>
      <c r="AF53" s="704"/>
      <c r="AG53" s="211"/>
      <c r="AH53" s="210"/>
    </row>
    <row r="54" spans="1:34" s="4" customFormat="1">
      <c r="A54" s="2"/>
      <c r="B54" s="310" t="s">
        <v>110</v>
      </c>
      <c r="C54" s="311" t="s">
        <v>27</v>
      </c>
      <c r="D54" s="1222" t="s">
        <v>2336</v>
      </c>
      <c r="E54" s="1224"/>
      <c r="F54" s="312"/>
      <c r="G54" s="313"/>
      <c r="H54" s="624"/>
      <c r="I54" s="625"/>
      <c r="J54" s="626"/>
      <c r="K54" s="627" t="s">
        <v>2337</v>
      </c>
      <c r="L54" s="628">
        <v>44127</v>
      </c>
      <c r="M54" s="629">
        <v>2500</v>
      </c>
      <c r="N54" s="627" t="s">
        <v>2338</v>
      </c>
      <c r="O54" s="628">
        <v>44127</v>
      </c>
      <c r="P54" s="630" t="s">
        <v>2339</v>
      </c>
      <c r="Q54" s="631">
        <v>44237</v>
      </c>
      <c r="R54" s="715"/>
      <c r="S54" s="715"/>
      <c r="T54" s="632">
        <v>32710.13</v>
      </c>
      <c r="U54" s="633"/>
      <c r="V54" s="634"/>
      <c r="W54" s="635" t="s">
        <v>96</v>
      </c>
      <c r="X54" s="636"/>
      <c r="Y54" s="637"/>
      <c r="Z54" s="921"/>
      <c r="AA54" s="636"/>
      <c r="AB54" s="1056"/>
      <c r="AC54" s="736" t="s">
        <v>2340</v>
      </c>
      <c r="AD54" s="317"/>
      <c r="AE54" s="316"/>
      <c r="AF54" s="704"/>
      <c r="AG54" s="211"/>
      <c r="AH54" s="210"/>
    </row>
    <row r="55" spans="1:34" s="4" customFormat="1">
      <c r="A55" s="2"/>
      <c r="B55" s="310" t="s">
        <v>115</v>
      </c>
      <c r="C55" s="311" t="s">
        <v>27</v>
      </c>
      <c r="D55" s="1222"/>
      <c r="E55" s="1224"/>
      <c r="F55" s="312" t="s">
        <v>2341</v>
      </c>
      <c r="G55" s="313">
        <v>44126</v>
      </c>
      <c r="H55" s="624"/>
      <c r="I55" s="625"/>
      <c r="J55" s="626"/>
      <c r="K55" s="627"/>
      <c r="L55" s="628"/>
      <c r="M55" s="629"/>
      <c r="N55" s="627"/>
      <c r="O55" s="628"/>
      <c r="P55" s="630"/>
      <c r="Q55" s="631"/>
      <c r="R55" s="715"/>
      <c r="S55" s="715"/>
      <c r="T55" s="632"/>
      <c r="U55" s="633"/>
      <c r="V55" s="634"/>
      <c r="W55" s="635"/>
      <c r="X55" s="636"/>
      <c r="Y55" s="637"/>
      <c r="Z55" s="921"/>
      <c r="AA55" s="636"/>
      <c r="AB55" s="1056"/>
      <c r="AC55" s="736" t="s">
        <v>2342</v>
      </c>
      <c r="AD55" s="317" t="s">
        <v>2343</v>
      </c>
      <c r="AE55" s="316"/>
      <c r="AF55" s="718"/>
      <c r="AG55" s="211"/>
      <c r="AH55" s="210"/>
    </row>
    <row r="56" spans="1:34" s="4" customFormat="1">
      <c r="A56" s="2"/>
      <c r="B56" s="310" t="s">
        <v>115</v>
      </c>
      <c r="C56" s="311" t="s">
        <v>27</v>
      </c>
      <c r="D56" s="1222"/>
      <c r="E56" s="1224"/>
      <c r="F56" s="312" t="s">
        <v>2344</v>
      </c>
      <c r="G56" s="313">
        <v>44127</v>
      </c>
      <c r="H56" s="624"/>
      <c r="I56" s="625"/>
      <c r="J56" s="626"/>
      <c r="K56" s="627"/>
      <c r="L56" s="628"/>
      <c r="M56" s="629"/>
      <c r="N56" s="627"/>
      <c r="O56" s="628"/>
      <c r="P56" s="630"/>
      <c r="Q56" s="631"/>
      <c r="R56" s="715"/>
      <c r="S56" s="715"/>
      <c r="T56" s="632"/>
      <c r="U56" s="633"/>
      <c r="V56" s="634"/>
      <c r="W56" s="635"/>
      <c r="X56" s="636"/>
      <c r="Y56" s="637"/>
      <c r="Z56" s="921"/>
      <c r="AA56" s="636"/>
      <c r="AB56" s="1056"/>
      <c r="AC56" s="736" t="s">
        <v>2345</v>
      </c>
      <c r="AD56" s="317" t="s">
        <v>2346</v>
      </c>
      <c r="AE56" s="316"/>
      <c r="AF56" s="718"/>
      <c r="AG56" s="211"/>
      <c r="AH56" s="210"/>
    </row>
    <row r="57" spans="1:34" s="4" customFormat="1">
      <c r="A57" s="2"/>
      <c r="B57" s="310" t="s">
        <v>119</v>
      </c>
      <c r="C57" s="311" t="s">
        <v>27</v>
      </c>
      <c r="D57" s="1222"/>
      <c r="E57" s="1224"/>
      <c r="F57" s="312" t="s">
        <v>2347</v>
      </c>
      <c r="G57" s="313">
        <v>44120</v>
      </c>
      <c r="H57" s="624"/>
      <c r="I57" s="625"/>
      <c r="J57" s="626"/>
      <c r="K57" s="627"/>
      <c r="L57" s="628"/>
      <c r="M57" s="629"/>
      <c r="N57" s="627"/>
      <c r="O57" s="628"/>
      <c r="P57" s="630" t="s">
        <v>2300</v>
      </c>
      <c r="Q57" s="631"/>
      <c r="R57" s="715"/>
      <c r="S57" s="715"/>
      <c r="T57" s="632"/>
      <c r="U57" s="633"/>
      <c r="V57" s="634"/>
      <c r="W57" s="635"/>
      <c r="X57" s="636"/>
      <c r="Y57" s="637"/>
      <c r="Z57" s="921"/>
      <c r="AA57" s="636"/>
      <c r="AB57" s="1056"/>
      <c r="AC57" s="736" t="s">
        <v>2348</v>
      </c>
      <c r="AD57" s="317"/>
      <c r="AE57" s="316"/>
      <c r="AF57" s="704"/>
      <c r="AG57" s="211"/>
      <c r="AH57" s="210"/>
    </row>
    <row r="58" spans="1:34" s="4" customFormat="1">
      <c r="A58" s="2"/>
      <c r="B58" s="310" t="s">
        <v>119</v>
      </c>
      <c r="C58" s="311" t="s">
        <v>27</v>
      </c>
      <c r="D58" s="1222"/>
      <c r="E58" s="1224"/>
      <c r="F58" s="312" t="s">
        <v>2349</v>
      </c>
      <c r="G58" s="313">
        <v>44120</v>
      </c>
      <c r="H58" s="624"/>
      <c r="I58" s="625"/>
      <c r="J58" s="626"/>
      <c r="K58" s="627"/>
      <c r="L58" s="628"/>
      <c r="M58" s="629"/>
      <c r="N58" s="627"/>
      <c r="O58" s="628"/>
      <c r="P58" s="630"/>
      <c r="Q58" s="631"/>
      <c r="R58" s="715"/>
      <c r="S58" s="715"/>
      <c r="T58" s="632"/>
      <c r="U58" s="633"/>
      <c r="V58" s="634"/>
      <c r="W58" s="635"/>
      <c r="X58" s="636"/>
      <c r="Y58" s="637"/>
      <c r="Z58" s="921"/>
      <c r="AA58" s="636"/>
      <c r="AB58" s="1056"/>
      <c r="AC58" s="736" t="s">
        <v>2350</v>
      </c>
      <c r="AD58" s="317"/>
      <c r="AE58" s="316"/>
      <c r="AF58" s="704"/>
      <c r="AG58" s="211"/>
      <c r="AH58" s="210"/>
    </row>
    <row r="59" spans="1:34" s="4" customFormat="1">
      <c r="A59" s="2"/>
      <c r="B59" s="310" t="s">
        <v>106</v>
      </c>
      <c r="C59" s="311" t="s">
        <v>33</v>
      </c>
      <c r="D59" s="1222" t="s">
        <v>2351</v>
      </c>
      <c r="E59" s="1224"/>
      <c r="F59" s="312"/>
      <c r="G59" s="313"/>
      <c r="H59" s="624" t="s">
        <v>2352</v>
      </c>
      <c r="I59" s="625">
        <v>44134</v>
      </c>
      <c r="J59" s="626">
        <v>5000</v>
      </c>
      <c r="K59" s="627" t="s">
        <v>2353</v>
      </c>
      <c r="L59" s="628">
        <v>44134</v>
      </c>
      <c r="M59" s="629">
        <v>5000</v>
      </c>
      <c r="N59" s="627" t="s">
        <v>2354</v>
      </c>
      <c r="O59" s="628">
        <v>44134</v>
      </c>
      <c r="P59" s="630" t="s">
        <v>2355</v>
      </c>
      <c r="Q59" s="631">
        <v>44224</v>
      </c>
      <c r="R59" s="715"/>
      <c r="S59" s="1068"/>
      <c r="T59" s="632">
        <v>7475.73</v>
      </c>
      <c r="U59" s="633" t="s">
        <v>2356</v>
      </c>
      <c r="V59" s="634">
        <v>44250</v>
      </c>
      <c r="W59" s="635" t="s">
        <v>96</v>
      </c>
      <c r="X59" s="636">
        <v>7475.73</v>
      </c>
      <c r="Y59" s="637">
        <v>7475.73</v>
      </c>
      <c r="Z59" s="987">
        <f>Y59/X59</f>
        <v>1</v>
      </c>
      <c r="AA59" s="919"/>
      <c r="AB59" s="1055">
        <v>0</v>
      </c>
      <c r="AC59" s="912" t="s">
        <v>2357</v>
      </c>
      <c r="AD59" s="913"/>
      <c r="AE59" s="316"/>
      <c r="AF59" s="704"/>
      <c r="AG59" s="211"/>
      <c r="AH59" s="210"/>
    </row>
    <row r="60" spans="1:34" s="4" customFormat="1">
      <c r="A60" s="2"/>
      <c r="B60" s="310" t="s">
        <v>119</v>
      </c>
      <c r="C60" s="311" t="s">
        <v>27</v>
      </c>
      <c r="D60" s="1222"/>
      <c r="E60" s="1224"/>
      <c r="F60" s="312" t="s">
        <v>2358</v>
      </c>
      <c r="G60" s="313">
        <v>44131</v>
      </c>
      <c r="H60" s="624"/>
      <c r="I60" s="625"/>
      <c r="J60" s="626"/>
      <c r="K60" s="627"/>
      <c r="L60" s="628"/>
      <c r="M60" s="629"/>
      <c r="N60" s="627"/>
      <c r="O60" s="628"/>
      <c r="P60" s="630"/>
      <c r="Q60" s="631"/>
      <c r="R60" s="715"/>
      <c r="S60" s="715"/>
      <c r="T60" s="632"/>
      <c r="U60" s="633"/>
      <c r="V60" s="634"/>
      <c r="W60" s="635"/>
      <c r="X60" s="636"/>
      <c r="Y60" s="637"/>
      <c r="Z60" s="921"/>
      <c r="AA60" s="636"/>
      <c r="AB60" s="1056"/>
      <c r="AC60" s="736" t="s">
        <v>2359</v>
      </c>
      <c r="AD60" s="317"/>
      <c r="AE60" s="316"/>
      <c r="AF60" s="704"/>
      <c r="AG60" s="211"/>
      <c r="AH60" s="210"/>
    </row>
    <row r="61" spans="1:34" s="4" customFormat="1">
      <c r="A61" s="2"/>
      <c r="B61" s="310" t="s">
        <v>106</v>
      </c>
      <c r="C61" s="311" t="s">
        <v>33</v>
      </c>
      <c r="D61" s="1230" t="s">
        <v>2360</v>
      </c>
      <c r="E61" s="1258"/>
      <c r="F61" s="312"/>
      <c r="G61" s="313"/>
      <c r="H61" s="624"/>
      <c r="I61" s="625"/>
      <c r="J61" s="626"/>
      <c r="K61" s="627" t="s">
        <v>2361</v>
      </c>
      <c r="L61" s="628">
        <v>44145</v>
      </c>
      <c r="M61" s="629">
        <v>-12339</v>
      </c>
      <c r="N61" s="627" t="s">
        <v>268</v>
      </c>
      <c r="O61" s="628"/>
      <c r="P61" s="630" t="s">
        <v>167</v>
      </c>
      <c r="Q61" s="631"/>
      <c r="R61" s="715"/>
      <c r="S61" s="1068"/>
      <c r="T61" s="632">
        <v>-12339</v>
      </c>
      <c r="U61" s="633" t="s">
        <v>2362</v>
      </c>
      <c r="V61" s="634">
        <v>44155</v>
      </c>
      <c r="W61" s="635" t="s">
        <v>101</v>
      </c>
      <c r="X61" s="636">
        <f>T50+T61</f>
        <v>-14124</v>
      </c>
      <c r="Y61" s="637">
        <v>-14124</v>
      </c>
      <c r="Z61" s="987">
        <f>Y61/X61</f>
        <v>1</v>
      </c>
      <c r="AA61" s="919"/>
      <c r="AB61" s="1055">
        <v>0</v>
      </c>
      <c r="AC61" s="912" t="s">
        <v>2363</v>
      </c>
      <c r="AD61" s="913" t="s">
        <v>2364</v>
      </c>
      <c r="AE61" s="316"/>
      <c r="AF61" s="704"/>
      <c r="AG61" s="211"/>
      <c r="AH61" s="210"/>
    </row>
    <row r="62" spans="1:34" s="4" customFormat="1">
      <c r="A62" s="2"/>
      <c r="B62" s="310" t="s">
        <v>115</v>
      </c>
      <c r="C62" s="311" t="s">
        <v>27</v>
      </c>
      <c r="D62" s="1222"/>
      <c r="E62" s="1224"/>
      <c r="F62" s="312" t="s">
        <v>2365</v>
      </c>
      <c r="G62" s="313">
        <v>44137</v>
      </c>
      <c r="H62" s="624"/>
      <c r="I62" s="625"/>
      <c r="J62" s="626"/>
      <c r="K62" s="627"/>
      <c r="L62" s="628"/>
      <c r="M62" s="629"/>
      <c r="N62" s="627"/>
      <c r="O62" s="628"/>
      <c r="P62" s="630"/>
      <c r="Q62" s="631"/>
      <c r="R62" s="715"/>
      <c r="S62" s="715"/>
      <c r="T62" s="632"/>
      <c r="U62" s="633"/>
      <c r="V62" s="634"/>
      <c r="W62" s="635"/>
      <c r="X62" s="636"/>
      <c r="Y62" s="637"/>
      <c r="Z62" s="921"/>
      <c r="AA62" s="636"/>
      <c r="AB62" s="1056"/>
      <c r="AC62" s="736" t="s">
        <v>2366</v>
      </c>
      <c r="AD62" s="317"/>
      <c r="AE62" s="316"/>
      <c r="AF62" s="718"/>
      <c r="AG62" s="211"/>
      <c r="AH62" s="210"/>
    </row>
    <row r="63" spans="1:34" s="4" customFormat="1">
      <c r="A63" s="2"/>
      <c r="B63" s="310" t="s">
        <v>106</v>
      </c>
      <c r="C63" s="311" t="s">
        <v>33</v>
      </c>
      <c r="D63" s="1222" t="s">
        <v>2367</v>
      </c>
      <c r="E63" s="1224"/>
      <c r="F63" s="312" t="s">
        <v>2368</v>
      </c>
      <c r="G63" s="313">
        <v>44140</v>
      </c>
      <c r="H63" s="624"/>
      <c r="I63" s="625"/>
      <c r="J63" s="626"/>
      <c r="K63" s="627" t="s">
        <v>2369</v>
      </c>
      <c r="L63" s="628">
        <v>44175</v>
      </c>
      <c r="M63" s="629">
        <v>15000</v>
      </c>
      <c r="N63" s="627" t="s">
        <v>2370</v>
      </c>
      <c r="O63" s="628">
        <v>44175</v>
      </c>
      <c r="P63" s="630" t="s">
        <v>2371</v>
      </c>
      <c r="Q63" s="631">
        <v>44361</v>
      </c>
      <c r="R63" s="715"/>
      <c r="S63" s="715"/>
      <c r="T63" s="632"/>
      <c r="U63" s="633" t="s">
        <v>2372</v>
      </c>
      <c r="V63" s="634"/>
      <c r="W63" s="635" t="s">
        <v>2302</v>
      </c>
      <c r="X63" s="636"/>
      <c r="Y63" s="637"/>
      <c r="Z63" s="921" t="s">
        <v>268</v>
      </c>
      <c r="AA63" s="636"/>
      <c r="AB63" s="1055">
        <v>0</v>
      </c>
      <c r="AC63" s="912" t="s">
        <v>2373</v>
      </c>
      <c r="AD63" s="913" t="s">
        <v>2374</v>
      </c>
      <c r="AE63" s="316"/>
      <c r="AF63" s="704"/>
      <c r="AG63" s="211"/>
      <c r="AH63" s="210"/>
    </row>
    <row r="64" spans="1:34" s="4" customFormat="1">
      <c r="A64" s="2"/>
      <c r="B64" s="310" t="s">
        <v>106</v>
      </c>
      <c r="C64" s="311" t="s">
        <v>33</v>
      </c>
      <c r="D64" s="1222" t="s">
        <v>2375</v>
      </c>
      <c r="E64" s="1224"/>
      <c r="F64" s="312" t="s">
        <v>2368</v>
      </c>
      <c r="G64" s="313">
        <v>44140</v>
      </c>
      <c r="H64" s="624" t="s">
        <v>2376</v>
      </c>
      <c r="I64" s="625">
        <v>44182</v>
      </c>
      <c r="J64" s="626">
        <v>350000</v>
      </c>
      <c r="K64" s="627" t="s">
        <v>2377</v>
      </c>
      <c r="L64" s="628">
        <v>44182</v>
      </c>
      <c r="M64" s="629">
        <v>350000</v>
      </c>
      <c r="N64" s="627" t="s">
        <v>2378</v>
      </c>
      <c r="O64" s="628">
        <v>44182</v>
      </c>
      <c r="P64" s="630" t="s">
        <v>2371</v>
      </c>
      <c r="Q64" s="631"/>
      <c r="R64" s="715"/>
      <c r="S64" s="1068"/>
      <c r="T64" s="632">
        <v>68520.479999999996</v>
      </c>
      <c r="U64" s="633" t="s">
        <v>2379</v>
      </c>
      <c r="V64" s="634">
        <v>44274</v>
      </c>
      <c r="W64" s="635" t="s">
        <v>2302</v>
      </c>
      <c r="X64" s="636">
        <v>68520.479999999996</v>
      </c>
      <c r="Y64" s="637">
        <v>68520.479999999996</v>
      </c>
      <c r="Z64" s="987">
        <f t="shared" ref="Z64:Z67" si="3">Y64/X64</f>
        <v>1</v>
      </c>
      <c r="AA64" s="919"/>
      <c r="AB64" s="1055">
        <v>0</v>
      </c>
      <c r="AC64" s="912"/>
      <c r="AD64" s="913"/>
      <c r="AE64" s="316"/>
      <c r="AF64" s="704"/>
      <c r="AG64" s="211"/>
      <c r="AH64" s="210"/>
    </row>
    <row r="65" spans="1:34" s="4" customFormat="1">
      <c r="A65" s="2"/>
      <c r="B65" s="310" t="s">
        <v>106</v>
      </c>
      <c r="C65" s="311" t="s">
        <v>33</v>
      </c>
      <c r="D65" s="1222" t="s">
        <v>2380</v>
      </c>
      <c r="E65" s="1224"/>
      <c r="F65" s="312" t="s">
        <v>2381</v>
      </c>
      <c r="G65" s="313">
        <v>44145</v>
      </c>
      <c r="H65" s="624"/>
      <c r="I65" s="625"/>
      <c r="J65" s="626"/>
      <c r="K65" s="627" t="s">
        <v>2382</v>
      </c>
      <c r="L65" s="628">
        <v>44287</v>
      </c>
      <c r="M65" s="629">
        <v>10000</v>
      </c>
      <c r="N65" s="627" t="s">
        <v>2383</v>
      </c>
      <c r="O65" s="628">
        <v>44295</v>
      </c>
      <c r="P65" s="630" t="s">
        <v>2384</v>
      </c>
      <c r="Q65" s="631">
        <v>44354</v>
      </c>
      <c r="R65" s="715"/>
      <c r="S65" s="1068"/>
      <c r="T65" s="632">
        <v>20723.22</v>
      </c>
      <c r="U65" s="633" t="s">
        <v>2385</v>
      </c>
      <c r="V65" s="634">
        <v>44372</v>
      </c>
      <c r="W65" s="635" t="s">
        <v>2302</v>
      </c>
      <c r="X65" s="636">
        <v>20630.740000000002</v>
      </c>
      <c r="Y65" s="637">
        <v>20630.740000000002</v>
      </c>
      <c r="Z65" s="987">
        <f t="shared" si="3"/>
        <v>1</v>
      </c>
      <c r="AA65" s="919"/>
      <c r="AB65" s="1055">
        <v>0</v>
      </c>
      <c r="AC65" s="912" t="s">
        <v>2386</v>
      </c>
      <c r="AD65" s="913"/>
      <c r="AE65" s="316"/>
      <c r="AF65" s="704"/>
      <c r="AG65" s="211"/>
      <c r="AH65" s="210"/>
    </row>
    <row r="66" spans="1:34" s="4" customFormat="1">
      <c r="A66" s="2"/>
      <c r="B66" s="310" t="s">
        <v>106</v>
      </c>
      <c r="C66" s="311" t="s">
        <v>33</v>
      </c>
      <c r="D66" s="1222" t="s">
        <v>2387</v>
      </c>
      <c r="E66" s="1224"/>
      <c r="F66" s="312"/>
      <c r="G66" s="313"/>
      <c r="H66" s="624" t="s">
        <v>2388</v>
      </c>
      <c r="I66" s="625">
        <v>44145</v>
      </c>
      <c r="J66" s="626">
        <v>3500</v>
      </c>
      <c r="K66" s="627" t="s">
        <v>2389</v>
      </c>
      <c r="L66" s="628">
        <v>44145</v>
      </c>
      <c r="M66" s="629">
        <v>3500</v>
      </c>
      <c r="N66" s="627" t="s">
        <v>2390</v>
      </c>
      <c r="O66" s="628"/>
      <c r="P66" s="630" t="s">
        <v>2391</v>
      </c>
      <c r="Q66" s="631">
        <v>44224</v>
      </c>
      <c r="R66" s="715"/>
      <c r="S66" s="1068"/>
      <c r="T66" s="632">
        <v>3317.3</v>
      </c>
      <c r="U66" s="633" t="s">
        <v>2392</v>
      </c>
      <c r="V66" s="634">
        <v>44279</v>
      </c>
      <c r="W66" s="635" t="s">
        <v>96</v>
      </c>
      <c r="X66" s="636">
        <v>2928.49</v>
      </c>
      <c r="Y66" s="637">
        <v>2928.49</v>
      </c>
      <c r="Z66" s="987">
        <f t="shared" si="3"/>
        <v>1</v>
      </c>
      <c r="AA66" s="919"/>
      <c r="AB66" s="1055">
        <v>0</v>
      </c>
      <c r="AC66" s="912" t="s">
        <v>2393</v>
      </c>
      <c r="AD66" s="913" t="s">
        <v>2394</v>
      </c>
      <c r="AE66" s="316"/>
      <c r="AF66" s="704"/>
      <c r="AG66" s="211"/>
      <c r="AH66" s="210"/>
    </row>
    <row r="67" spans="1:34" s="4" customFormat="1">
      <c r="A67" s="2"/>
      <c r="B67" s="310" t="s">
        <v>106</v>
      </c>
      <c r="C67" s="311" t="s">
        <v>33</v>
      </c>
      <c r="D67" s="1222" t="s">
        <v>2395</v>
      </c>
      <c r="E67" s="1224"/>
      <c r="F67" s="312"/>
      <c r="G67" s="313"/>
      <c r="H67" s="624"/>
      <c r="I67" s="625"/>
      <c r="J67" s="626"/>
      <c r="K67" s="627" t="s">
        <v>2396</v>
      </c>
      <c r="L67" s="628">
        <v>44147</v>
      </c>
      <c r="M67" s="629">
        <v>23000</v>
      </c>
      <c r="N67" s="627" t="s">
        <v>2397</v>
      </c>
      <c r="O67" s="628">
        <v>44147</v>
      </c>
      <c r="P67" s="630" t="s">
        <v>2398</v>
      </c>
      <c r="Q67" s="631">
        <v>44215</v>
      </c>
      <c r="R67" s="715"/>
      <c r="S67" s="1068"/>
      <c r="T67" s="632">
        <v>41521.17</v>
      </c>
      <c r="U67" s="633" t="s">
        <v>2399</v>
      </c>
      <c r="V67" s="634">
        <v>44246</v>
      </c>
      <c r="W67" s="635" t="s">
        <v>2302</v>
      </c>
      <c r="X67" s="636">
        <v>41521.17</v>
      </c>
      <c r="Y67" s="637">
        <v>41521.17</v>
      </c>
      <c r="Z67" s="987">
        <f t="shared" si="3"/>
        <v>1</v>
      </c>
      <c r="AA67" s="919"/>
      <c r="AB67" s="1055">
        <v>0</v>
      </c>
      <c r="AC67" s="912" t="s">
        <v>2400</v>
      </c>
      <c r="AD67" s="913"/>
      <c r="AE67" s="316"/>
      <c r="AF67" s="704"/>
      <c r="AG67" s="211"/>
      <c r="AH67" s="210"/>
    </row>
    <row r="68" spans="1:34" s="4" customFormat="1">
      <c r="A68" s="2"/>
      <c r="B68" s="310" t="s">
        <v>115</v>
      </c>
      <c r="C68" s="311" t="s">
        <v>27</v>
      </c>
      <c r="D68" s="1222"/>
      <c r="E68" s="1224"/>
      <c r="F68" s="312" t="s">
        <v>2401</v>
      </c>
      <c r="G68" s="313">
        <v>44173</v>
      </c>
      <c r="H68" s="624"/>
      <c r="I68" s="625"/>
      <c r="J68" s="626"/>
      <c r="K68" s="627"/>
      <c r="L68" s="628"/>
      <c r="M68" s="629"/>
      <c r="N68" s="627"/>
      <c r="O68" s="628"/>
      <c r="P68" s="630"/>
      <c r="Q68" s="631"/>
      <c r="R68" s="715"/>
      <c r="S68" s="715"/>
      <c r="T68" s="632"/>
      <c r="U68" s="633"/>
      <c r="V68" s="634"/>
      <c r="W68" s="635"/>
      <c r="X68" s="636"/>
      <c r="Y68" s="637"/>
      <c r="Z68" s="921"/>
      <c r="AA68" s="636"/>
      <c r="AB68" s="1056"/>
      <c r="AC68" s="736" t="s">
        <v>2402</v>
      </c>
      <c r="AD68" s="317"/>
      <c r="AE68" s="316"/>
      <c r="AF68" s="718"/>
      <c r="AG68" s="211"/>
      <c r="AH68" s="210"/>
    </row>
    <row r="69" spans="1:34" s="4" customFormat="1">
      <c r="A69" s="2"/>
      <c r="B69" s="310" t="s">
        <v>115</v>
      </c>
      <c r="C69" s="311" t="s">
        <v>27</v>
      </c>
      <c r="D69" s="1222"/>
      <c r="E69" s="1224"/>
      <c r="F69" s="312" t="s">
        <v>2403</v>
      </c>
      <c r="G69" s="313">
        <v>44166</v>
      </c>
      <c r="H69" s="624"/>
      <c r="I69" s="625"/>
      <c r="J69" s="626"/>
      <c r="K69" s="627"/>
      <c r="L69" s="628"/>
      <c r="M69" s="629"/>
      <c r="N69" s="627"/>
      <c r="O69" s="628"/>
      <c r="P69" s="630"/>
      <c r="Q69" s="631"/>
      <c r="R69" s="715"/>
      <c r="S69" s="715"/>
      <c r="T69" s="632"/>
      <c r="U69" s="633"/>
      <c r="V69" s="634"/>
      <c r="W69" s="635"/>
      <c r="X69" s="636"/>
      <c r="Y69" s="637"/>
      <c r="Z69" s="921"/>
      <c r="AA69" s="636"/>
      <c r="AB69" s="1056"/>
      <c r="AC69" s="736" t="s">
        <v>2404</v>
      </c>
      <c r="AD69" s="317"/>
      <c r="AE69" s="316"/>
      <c r="AF69" s="718"/>
      <c r="AG69" s="211"/>
      <c r="AH69" s="210"/>
    </row>
    <row r="70" spans="1:34" s="4" customFormat="1">
      <c r="A70" s="2"/>
      <c r="B70" s="310" t="s">
        <v>106</v>
      </c>
      <c r="C70" s="311" t="s">
        <v>33</v>
      </c>
      <c r="D70" s="1222" t="s">
        <v>2405</v>
      </c>
      <c r="E70" s="1224"/>
      <c r="F70" s="312" t="s">
        <v>2406</v>
      </c>
      <c r="G70" s="313">
        <v>44166</v>
      </c>
      <c r="H70" s="624"/>
      <c r="I70" s="625"/>
      <c r="J70" s="626"/>
      <c r="K70" s="627" t="s">
        <v>2407</v>
      </c>
      <c r="L70" s="628">
        <v>44175</v>
      </c>
      <c r="M70" s="629">
        <v>10000</v>
      </c>
      <c r="N70" s="627" t="s">
        <v>2408</v>
      </c>
      <c r="O70" s="628">
        <v>44175</v>
      </c>
      <c r="P70" s="630" t="s">
        <v>2409</v>
      </c>
      <c r="Q70" s="631">
        <v>44470</v>
      </c>
      <c r="R70" s="715"/>
      <c r="S70" s="1068"/>
      <c r="T70" s="1074">
        <v>59925.760000000002</v>
      </c>
      <c r="U70" s="633" t="s">
        <v>2410</v>
      </c>
      <c r="V70" s="634">
        <v>44487</v>
      </c>
      <c r="W70" s="635" t="s">
        <v>2302</v>
      </c>
      <c r="X70" s="636">
        <v>59925.760000000002</v>
      </c>
      <c r="Y70" s="637">
        <v>59925.760000000002</v>
      </c>
      <c r="Z70" s="987">
        <f>Y70/X70</f>
        <v>1</v>
      </c>
      <c r="AA70" s="919"/>
      <c r="AB70" s="1055">
        <v>0</v>
      </c>
      <c r="AC70" s="912" t="s">
        <v>2411</v>
      </c>
      <c r="AD70" s="913" t="s">
        <v>2412</v>
      </c>
      <c r="AE70" s="316"/>
      <c r="AF70" s="704"/>
      <c r="AG70" s="211"/>
      <c r="AH70" s="210"/>
    </row>
    <row r="71" spans="1:34" s="4" customFormat="1">
      <c r="A71" s="2"/>
      <c r="B71" s="310" t="s">
        <v>115</v>
      </c>
      <c r="C71" s="311" t="s">
        <v>27</v>
      </c>
      <c r="D71" s="1222"/>
      <c r="E71" s="1224"/>
      <c r="F71" s="312" t="s">
        <v>2413</v>
      </c>
      <c r="G71" s="313">
        <v>44167</v>
      </c>
      <c r="H71" s="624"/>
      <c r="I71" s="625"/>
      <c r="J71" s="626"/>
      <c r="K71" s="627"/>
      <c r="L71" s="628"/>
      <c r="M71" s="629"/>
      <c r="N71" s="627"/>
      <c r="O71" s="628"/>
      <c r="P71" s="630"/>
      <c r="Q71" s="631"/>
      <c r="R71" s="715"/>
      <c r="S71" s="715"/>
      <c r="T71" s="632"/>
      <c r="U71" s="633"/>
      <c r="V71" s="634"/>
      <c r="W71" s="635"/>
      <c r="X71" s="636"/>
      <c r="Y71" s="637"/>
      <c r="Z71" s="921"/>
      <c r="AA71" s="636"/>
      <c r="AB71" s="1056"/>
      <c r="AC71" s="736" t="s">
        <v>2414</v>
      </c>
      <c r="AD71" s="317"/>
      <c r="AE71" s="316"/>
      <c r="AF71" s="718"/>
      <c r="AG71" s="211"/>
      <c r="AH71" s="210"/>
    </row>
    <row r="72" spans="1:34" s="4" customFormat="1">
      <c r="A72" s="2"/>
      <c r="B72" s="310" t="s">
        <v>106</v>
      </c>
      <c r="C72" s="311" t="s">
        <v>33</v>
      </c>
      <c r="D72" s="1222" t="s">
        <v>2415</v>
      </c>
      <c r="E72" s="1224"/>
      <c r="F72" s="312" t="s">
        <v>2416</v>
      </c>
      <c r="G72" s="313">
        <v>44151</v>
      </c>
      <c r="H72" s="624"/>
      <c r="I72" s="625"/>
      <c r="J72" s="626"/>
      <c r="K72" s="627" t="s">
        <v>2417</v>
      </c>
      <c r="L72" s="628">
        <v>44183</v>
      </c>
      <c r="M72" s="629">
        <v>-1000</v>
      </c>
      <c r="N72" s="627" t="s">
        <v>2418</v>
      </c>
      <c r="O72" s="628">
        <v>44183</v>
      </c>
      <c r="P72" s="630" t="s">
        <v>2419</v>
      </c>
      <c r="Q72" s="631">
        <v>44222</v>
      </c>
      <c r="R72" s="715"/>
      <c r="S72" s="1068"/>
      <c r="T72" s="632">
        <v>3319.29</v>
      </c>
      <c r="U72" s="633" t="s">
        <v>2420</v>
      </c>
      <c r="V72" s="634">
        <v>44250</v>
      </c>
      <c r="W72" s="635" t="s">
        <v>2302</v>
      </c>
      <c r="X72" s="636">
        <v>3319.29</v>
      </c>
      <c r="Y72" s="637">
        <v>3319.29</v>
      </c>
      <c r="Z72" s="987">
        <f>Y72/X72</f>
        <v>1</v>
      </c>
      <c r="AA72" s="919"/>
      <c r="AB72" s="1055">
        <v>0</v>
      </c>
      <c r="AC72" s="912" t="s">
        <v>2421</v>
      </c>
      <c r="AD72" s="913" t="s">
        <v>2422</v>
      </c>
      <c r="AE72" s="316"/>
      <c r="AF72" s="704"/>
      <c r="AG72" s="211"/>
      <c r="AH72" s="210"/>
    </row>
    <row r="73" spans="1:34" s="4" customFormat="1">
      <c r="A73" s="2"/>
      <c r="B73" s="310" t="s">
        <v>115</v>
      </c>
      <c r="C73" s="311" t="s">
        <v>27</v>
      </c>
      <c r="D73" s="1222"/>
      <c r="E73" s="1224"/>
      <c r="F73" s="312" t="s">
        <v>2423</v>
      </c>
      <c r="G73" s="313">
        <v>44167</v>
      </c>
      <c r="H73" s="624"/>
      <c r="I73" s="625"/>
      <c r="J73" s="626"/>
      <c r="K73" s="627"/>
      <c r="L73" s="628"/>
      <c r="M73" s="629"/>
      <c r="N73" s="627"/>
      <c r="O73" s="628"/>
      <c r="P73" s="630"/>
      <c r="Q73" s="631"/>
      <c r="R73" s="715"/>
      <c r="S73" s="715"/>
      <c r="T73" s="632"/>
      <c r="U73" s="633"/>
      <c r="V73" s="634"/>
      <c r="W73" s="635"/>
      <c r="X73" s="636"/>
      <c r="Y73" s="637"/>
      <c r="Z73" s="921"/>
      <c r="AA73" s="636"/>
      <c r="AB73" s="1056"/>
      <c r="AC73" s="736" t="s">
        <v>2424</v>
      </c>
      <c r="AD73" s="317" t="s">
        <v>2425</v>
      </c>
      <c r="AE73" s="316"/>
      <c r="AF73" s="718"/>
      <c r="AG73" s="211"/>
      <c r="AH73" s="210"/>
    </row>
    <row r="74" spans="1:34" s="4" customFormat="1">
      <c r="A74" s="2"/>
      <c r="B74" s="310" t="s">
        <v>115</v>
      </c>
      <c r="C74" s="311" t="s">
        <v>27</v>
      </c>
      <c r="D74" s="1222"/>
      <c r="E74" s="1224"/>
      <c r="F74" s="312" t="s">
        <v>2426</v>
      </c>
      <c r="G74" s="313">
        <v>44167</v>
      </c>
      <c r="H74" s="624"/>
      <c r="I74" s="625"/>
      <c r="J74" s="626"/>
      <c r="K74" s="627"/>
      <c r="L74" s="628"/>
      <c r="M74" s="629"/>
      <c r="N74" s="627"/>
      <c r="O74" s="628"/>
      <c r="P74" s="630"/>
      <c r="Q74" s="631"/>
      <c r="R74" s="715"/>
      <c r="S74" s="715"/>
      <c r="T74" s="632"/>
      <c r="U74" s="633"/>
      <c r="V74" s="634"/>
      <c r="W74" s="635"/>
      <c r="X74" s="636"/>
      <c r="Y74" s="637"/>
      <c r="Z74" s="921"/>
      <c r="AA74" s="636"/>
      <c r="AB74" s="1056"/>
      <c r="AC74" s="736" t="s">
        <v>2427</v>
      </c>
      <c r="AD74" s="317"/>
      <c r="AE74" s="316"/>
      <c r="AF74" s="718"/>
      <c r="AG74" s="211"/>
      <c r="AH74" s="210"/>
    </row>
    <row r="75" spans="1:34" s="4" customFormat="1">
      <c r="A75" s="2"/>
      <c r="B75" s="310" t="s">
        <v>106</v>
      </c>
      <c r="C75" s="311" t="s">
        <v>33</v>
      </c>
      <c r="D75" s="1222" t="s">
        <v>2428</v>
      </c>
      <c r="E75" s="1224"/>
      <c r="F75" s="312" t="s">
        <v>2429</v>
      </c>
      <c r="G75" s="313">
        <v>44174</v>
      </c>
      <c r="H75" s="624"/>
      <c r="I75" s="625"/>
      <c r="J75" s="626"/>
      <c r="K75" s="627" t="s">
        <v>2430</v>
      </c>
      <c r="L75" s="628">
        <v>44362</v>
      </c>
      <c r="M75" s="629">
        <v>12000</v>
      </c>
      <c r="N75" s="627" t="s">
        <v>2431</v>
      </c>
      <c r="O75" s="628">
        <v>44363</v>
      </c>
      <c r="P75" s="630" t="s">
        <v>2432</v>
      </c>
      <c r="Q75" s="631">
        <v>44419</v>
      </c>
      <c r="R75" s="715"/>
      <c r="S75" s="1068"/>
      <c r="T75" s="632">
        <v>20704.29</v>
      </c>
      <c r="U75" s="633" t="s">
        <v>2433</v>
      </c>
      <c r="V75" s="634">
        <v>44420</v>
      </c>
      <c r="W75" s="635" t="s">
        <v>2302</v>
      </c>
      <c r="X75" s="636">
        <v>20704.29</v>
      </c>
      <c r="Y75" s="636">
        <v>20704.29</v>
      </c>
      <c r="Z75" s="987">
        <f>Y75/X75</f>
        <v>1</v>
      </c>
      <c r="AA75" s="919"/>
      <c r="AB75" s="1055">
        <v>0</v>
      </c>
      <c r="AC75" s="912" t="s">
        <v>2434</v>
      </c>
      <c r="AD75" s="913"/>
      <c r="AE75" s="316"/>
      <c r="AF75" s="704"/>
      <c r="AG75" s="211"/>
      <c r="AH75" s="210"/>
    </row>
    <row r="76" spans="1:34" s="4" customFormat="1">
      <c r="A76" s="2"/>
      <c r="B76" s="310" t="s">
        <v>115</v>
      </c>
      <c r="C76" s="311" t="s">
        <v>27</v>
      </c>
      <c r="D76" s="1222"/>
      <c r="E76" s="1224"/>
      <c r="F76" s="312" t="s">
        <v>2435</v>
      </c>
      <c r="G76" s="313">
        <v>44167</v>
      </c>
      <c r="H76" s="624"/>
      <c r="I76" s="625"/>
      <c r="J76" s="626"/>
      <c r="K76" s="627"/>
      <c r="L76" s="628"/>
      <c r="M76" s="629"/>
      <c r="N76" s="627"/>
      <c r="O76" s="628"/>
      <c r="P76" s="630"/>
      <c r="Q76" s="631"/>
      <c r="R76" s="715"/>
      <c r="S76" s="715"/>
      <c r="T76" s="632"/>
      <c r="U76" s="633"/>
      <c r="V76" s="634"/>
      <c r="W76" s="635"/>
      <c r="X76" s="636"/>
      <c r="Y76" s="637"/>
      <c r="Z76" s="921"/>
      <c r="AA76" s="636"/>
      <c r="AB76" s="1056"/>
      <c r="AC76" s="736" t="s">
        <v>2436</v>
      </c>
      <c r="AD76" s="317" t="s">
        <v>2437</v>
      </c>
      <c r="AE76" s="669">
        <v>44147</v>
      </c>
      <c r="AF76" s="718"/>
      <c r="AG76" s="211"/>
      <c r="AH76" s="210"/>
    </row>
    <row r="77" spans="1:34" s="4" customFormat="1">
      <c r="A77" s="2"/>
      <c r="B77" s="310" t="s">
        <v>106</v>
      </c>
      <c r="C77" s="311" t="s">
        <v>33</v>
      </c>
      <c r="D77" s="1222" t="s">
        <v>2438</v>
      </c>
      <c r="E77" s="1224"/>
      <c r="F77" s="657" t="s">
        <v>2439</v>
      </c>
      <c r="G77" s="313">
        <v>44167</v>
      </c>
      <c r="H77" s="624"/>
      <c r="I77" s="625"/>
      <c r="J77" s="626"/>
      <c r="K77" s="627" t="s">
        <v>2440</v>
      </c>
      <c r="L77" s="628">
        <v>44246</v>
      </c>
      <c r="M77" s="629">
        <v>1000</v>
      </c>
      <c r="N77" s="627" t="s">
        <v>2441</v>
      </c>
      <c r="O77" s="628">
        <v>44252</v>
      </c>
      <c r="P77" s="630" t="s">
        <v>2442</v>
      </c>
      <c r="Q77" s="631">
        <v>44263</v>
      </c>
      <c r="R77" s="715"/>
      <c r="S77" s="1068"/>
      <c r="T77" s="632">
        <v>1923.42</v>
      </c>
      <c r="U77" s="633" t="s">
        <v>2443</v>
      </c>
      <c r="V77" s="634">
        <v>44279</v>
      </c>
      <c r="W77" s="635" t="s">
        <v>2302</v>
      </c>
      <c r="X77" s="636">
        <v>1923.42</v>
      </c>
      <c r="Y77" s="636">
        <v>1923.42</v>
      </c>
      <c r="Z77" s="987">
        <f t="shared" ref="Z77:Z78" si="4">Y77/X77</f>
        <v>1</v>
      </c>
      <c r="AA77" s="919"/>
      <c r="AB77" s="1055">
        <v>0</v>
      </c>
      <c r="AC77" s="912" t="s">
        <v>2444</v>
      </c>
      <c r="AD77" s="913" t="s">
        <v>2445</v>
      </c>
      <c r="AE77" s="669">
        <v>44147</v>
      </c>
      <c r="AF77" s="704"/>
      <c r="AG77" s="211"/>
      <c r="AH77" s="210"/>
    </row>
    <row r="78" spans="1:34" s="4" customFormat="1">
      <c r="A78" s="2"/>
      <c r="B78" s="310" t="s">
        <v>106</v>
      </c>
      <c r="C78" s="311" t="s">
        <v>33</v>
      </c>
      <c r="D78" s="1222" t="s">
        <v>2446</v>
      </c>
      <c r="E78" s="1224"/>
      <c r="F78" s="657" t="s">
        <v>2447</v>
      </c>
      <c r="G78" s="313">
        <v>44167</v>
      </c>
      <c r="H78" s="624"/>
      <c r="I78" s="625"/>
      <c r="J78" s="626"/>
      <c r="K78" s="627" t="s">
        <v>2448</v>
      </c>
      <c r="L78" s="628">
        <v>44319</v>
      </c>
      <c r="M78" s="629">
        <v>23000</v>
      </c>
      <c r="N78" s="627" t="s">
        <v>2449</v>
      </c>
      <c r="O78" s="628">
        <v>44320</v>
      </c>
      <c r="P78" s="630" t="s">
        <v>2450</v>
      </c>
      <c r="Q78" s="631">
        <v>44351</v>
      </c>
      <c r="R78" s="715"/>
      <c r="S78" s="1068"/>
      <c r="T78" s="632">
        <v>31734.29</v>
      </c>
      <c r="U78" s="633" t="s">
        <v>2451</v>
      </c>
      <c r="V78" s="634">
        <v>44372</v>
      </c>
      <c r="W78" s="635" t="s">
        <v>2302</v>
      </c>
      <c r="X78" s="636">
        <v>31734.29</v>
      </c>
      <c r="Y78" s="636">
        <v>31734.29</v>
      </c>
      <c r="Z78" s="987">
        <f t="shared" si="4"/>
        <v>1</v>
      </c>
      <c r="AA78" s="919"/>
      <c r="AB78" s="1055">
        <v>0</v>
      </c>
      <c r="AC78" s="912" t="s">
        <v>2452</v>
      </c>
      <c r="AD78" s="913"/>
      <c r="AE78" s="669">
        <v>44147</v>
      </c>
      <c r="AF78" s="704"/>
      <c r="AG78" s="211"/>
      <c r="AH78" s="210"/>
    </row>
    <row r="79" spans="1:34" s="4" customFormat="1">
      <c r="A79" s="2"/>
      <c r="B79" s="310" t="s">
        <v>115</v>
      </c>
      <c r="C79" s="311" t="s">
        <v>27</v>
      </c>
      <c r="D79" s="1222"/>
      <c r="E79" s="1224"/>
      <c r="F79" s="312" t="s">
        <v>2453</v>
      </c>
      <c r="G79" s="313">
        <v>44169</v>
      </c>
      <c r="H79" s="624"/>
      <c r="I79" s="625"/>
      <c r="J79" s="626"/>
      <c r="K79" s="627"/>
      <c r="L79" s="628"/>
      <c r="M79" s="629"/>
      <c r="N79" s="627"/>
      <c r="O79" s="628"/>
      <c r="P79" s="630"/>
      <c r="Q79" s="631"/>
      <c r="R79" s="715"/>
      <c r="S79" s="715"/>
      <c r="T79" s="632"/>
      <c r="U79" s="633"/>
      <c r="V79" s="634"/>
      <c r="W79" s="635"/>
      <c r="X79" s="636"/>
      <c r="Y79" s="637"/>
      <c r="Z79" s="921"/>
      <c r="AA79" s="636"/>
      <c r="AB79" s="1056"/>
      <c r="AC79" s="736" t="s">
        <v>2454</v>
      </c>
      <c r="AD79" s="317"/>
      <c r="AE79" s="316"/>
      <c r="AF79" s="718"/>
      <c r="AG79" s="211"/>
      <c r="AH79" s="210"/>
    </row>
    <row r="80" spans="1:34" s="4" customFormat="1">
      <c r="A80" s="2"/>
      <c r="B80" s="310" t="s">
        <v>115</v>
      </c>
      <c r="C80" s="311" t="s">
        <v>27</v>
      </c>
      <c r="D80" s="1222"/>
      <c r="E80" s="1224"/>
      <c r="F80" s="312" t="s">
        <v>2455</v>
      </c>
      <c r="G80" s="313">
        <v>44166</v>
      </c>
      <c r="H80" s="624"/>
      <c r="I80" s="625"/>
      <c r="J80" s="626"/>
      <c r="K80" s="627"/>
      <c r="L80" s="628"/>
      <c r="M80" s="629"/>
      <c r="N80" s="627"/>
      <c r="O80" s="628"/>
      <c r="P80" s="630"/>
      <c r="Q80" s="631"/>
      <c r="R80" s="715"/>
      <c r="S80" s="715"/>
      <c r="T80" s="632"/>
      <c r="U80" s="633"/>
      <c r="V80" s="634"/>
      <c r="W80" s="635"/>
      <c r="X80" s="636"/>
      <c r="Y80" s="637"/>
      <c r="Z80" s="921"/>
      <c r="AA80" s="636"/>
      <c r="AB80" s="1056"/>
      <c r="AC80" s="736" t="s">
        <v>2456</v>
      </c>
      <c r="AD80" s="317" t="s">
        <v>2457</v>
      </c>
      <c r="AE80" s="316"/>
      <c r="AF80" s="718"/>
      <c r="AG80" s="211"/>
      <c r="AH80" s="210"/>
    </row>
    <row r="81" spans="1:34" s="4" customFormat="1">
      <c r="A81" s="2"/>
      <c r="B81" s="310" t="s">
        <v>119</v>
      </c>
      <c r="C81" s="311" t="s">
        <v>27</v>
      </c>
      <c r="D81" s="1222"/>
      <c r="E81" s="1224"/>
      <c r="F81" s="312" t="s">
        <v>2458</v>
      </c>
      <c r="G81" s="313">
        <v>44158</v>
      </c>
      <c r="H81" s="624"/>
      <c r="I81" s="625"/>
      <c r="J81" s="626"/>
      <c r="K81" s="627"/>
      <c r="L81" s="628"/>
      <c r="M81" s="629"/>
      <c r="N81" s="627"/>
      <c r="O81" s="628"/>
      <c r="P81" s="630"/>
      <c r="Q81" s="631"/>
      <c r="R81" s="715"/>
      <c r="S81" s="715"/>
      <c r="T81" s="632"/>
      <c r="U81" s="633"/>
      <c r="V81" s="634"/>
      <c r="W81" s="635"/>
      <c r="X81" s="636"/>
      <c r="Y81" s="637"/>
      <c r="Z81" s="725"/>
      <c r="AA81" s="636"/>
      <c r="AB81" s="1056"/>
      <c r="AC81" s="736" t="s">
        <v>2459</v>
      </c>
      <c r="AD81" s="317"/>
      <c r="AE81" s="316"/>
      <c r="AF81" s="704"/>
      <c r="AG81" s="211"/>
      <c r="AH81" s="210"/>
    </row>
    <row r="82" spans="1:34" s="4" customFormat="1">
      <c r="A82" s="2"/>
      <c r="B82" s="310" t="s">
        <v>115</v>
      </c>
      <c r="C82" s="311" t="s">
        <v>27</v>
      </c>
      <c r="D82" s="1222"/>
      <c r="E82" s="1224"/>
      <c r="F82" s="312" t="s">
        <v>2460</v>
      </c>
      <c r="G82" s="313">
        <v>44175</v>
      </c>
      <c r="H82" s="624"/>
      <c r="I82" s="625"/>
      <c r="J82" s="626"/>
      <c r="K82" s="627"/>
      <c r="L82" s="628"/>
      <c r="M82" s="629"/>
      <c r="N82" s="627"/>
      <c r="O82" s="628"/>
      <c r="P82" s="630"/>
      <c r="Q82" s="631"/>
      <c r="R82" s="715"/>
      <c r="S82" s="715"/>
      <c r="T82" s="632"/>
      <c r="U82" s="633"/>
      <c r="V82" s="634"/>
      <c r="W82" s="635"/>
      <c r="X82" s="636"/>
      <c r="Y82" s="637"/>
      <c r="Z82" s="725"/>
      <c r="AA82" s="636"/>
      <c r="AB82" s="1056"/>
      <c r="AC82" s="736" t="s">
        <v>2461</v>
      </c>
      <c r="AD82" s="317" t="s">
        <v>2462</v>
      </c>
      <c r="AE82" s="316"/>
      <c r="AF82" s="718"/>
      <c r="AG82" s="211"/>
      <c r="AH82" s="210"/>
    </row>
    <row r="83" spans="1:34" s="4" customFormat="1">
      <c r="A83" s="2"/>
      <c r="B83" s="310" t="s">
        <v>115</v>
      </c>
      <c r="C83" s="311" t="s">
        <v>27</v>
      </c>
      <c r="D83" s="1222"/>
      <c r="E83" s="1224"/>
      <c r="F83" s="312" t="s">
        <v>2463</v>
      </c>
      <c r="G83" s="313">
        <v>44176</v>
      </c>
      <c r="H83" s="624"/>
      <c r="I83" s="625"/>
      <c r="J83" s="626"/>
      <c r="K83" s="627"/>
      <c r="L83" s="628"/>
      <c r="M83" s="629"/>
      <c r="N83" s="627"/>
      <c r="O83" s="628"/>
      <c r="P83" s="630"/>
      <c r="Q83" s="631"/>
      <c r="R83" s="715"/>
      <c r="S83" s="715"/>
      <c r="T83" s="632"/>
      <c r="U83" s="633"/>
      <c r="V83" s="634"/>
      <c r="W83" s="635"/>
      <c r="X83" s="636"/>
      <c r="Y83" s="637"/>
      <c r="Z83" s="725"/>
      <c r="AA83" s="636"/>
      <c r="AB83" s="1056"/>
      <c r="AC83" s="736" t="s">
        <v>2464</v>
      </c>
      <c r="AD83" s="317" t="s">
        <v>2465</v>
      </c>
      <c r="AE83" s="316"/>
      <c r="AF83" s="718"/>
      <c r="AG83" s="211"/>
      <c r="AH83" s="210"/>
    </row>
    <row r="84" spans="1:34" s="4" customFormat="1">
      <c r="A84" s="2"/>
      <c r="B84" s="310" t="s">
        <v>115</v>
      </c>
      <c r="C84" s="311" t="s">
        <v>27</v>
      </c>
      <c r="D84" s="1222"/>
      <c r="E84" s="1224"/>
      <c r="F84" s="312" t="s">
        <v>2466</v>
      </c>
      <c r="G84" s="313">
        <v>44179</v>
      </c>
      <c r="H84" s="624"/>
      <c r="I84" s="625"/>
      <c r="J84" s="626"/>
      <c r="K84" s="627"/>
      <c r="L84" s="628"/>
      <c r="M84" s="629"/>
      <c r="N84" s="627"/>
      <c r="O84" s="628"/>
      <c r="P84" s="630"/>
      <c r="Q84" s="631"/>
      <c r="R84" s="715"/>
      <c r="S84" s="715"/>
      <c r="T84" s="632"/>
      <c r="U84" s="633"/>
      <c r="V84" s="634"/>
      <c r="W84" s="635"/>
      <c r="X84" s="636"/>
      <c r="Y84" s="637"/>
      <c r="Z84" s="725"/>
      <c r="AA84" s="636"/>
      <c r="AB84" s="1056"/>
      <c r="AC84" s="736" t="s">
        <v>2467</v>
      </c>
      <c r="AD84" s="317" t="s">
        <v>2468</v>
      </c>
      <c r="AE84" s="316"/>
      <c r="AF84" s="718"/>
      <c r="AG84" s="211"/>
      <c r="AH84" s="210"/>
    </row>
    <row r="85" spans="1:34" s="4" customFormat="1">
      <c r="A85" s="2"/>
      <c r="B85" s="310" t="s">
        <v>115</v>
      </c>
      <c r="C85" s="311" t="s">
        <v>27</v>
      </c>
      <c r="D85" s="1222"/>
      <c r="E85" s="1224"/>
      <c r="F85" s="312" t="s">
        <v>2469</v>
      </c>
      <c r="G85" s="313">
        <v>44180</v>
      </c>
      <c r="H85" s="624"/>
      <c r="I85" s="625"/>
      <c r="J85" s="626"/>
      <c r="K85" s="627"/>
      <c r="L85" s="628"/>
      <c r="M85" s="629"/>
      <c r="N85" s="627"/>
      <c r="O85" s="628"/>
      <c r="P85" s="630"/>
      <c r="Q85" s="631"/>
      <c r="R85" s="715"/>
      <c r="S85" s="715"/>
      <c r="T85" s="632"/>
      <c r="U85" s="633"/>
      <c r="V85" s="634"/>
      <c r="W85" s="635"/>
      <c r="X85" s="636"/>
      <c r="Y85" s="637"/>
      <c r="Z85" s="725"/>
      <c r="AA85" s="636"/>
      <c r="AB85" s="1056"/>
      <c r="AC85" s="736" t="s">
        <v>2470</v>
      </c>
      <c r="AD85" s="317" t="s">
        <v>2471</v>
      </c>
      <c r="AE85" s="316"/>
      <c r="AF85" s="718"/>
      <c r="AG85" s="211"/>
      <c r="AH85" s="210"/>
    </row>
    <row r="86" spans="1:34" s="4" customFormat="1">
      <c r="A86" s="2"/>
      <c r="B86" s="310" t="s">
        <v>115</v>
      </c>
      <c r="C86" s="311" t="s">
        <v>27</v>
      </c>
      <c r="D86" s="1222"/>
      <c r="E86" s="1224"/>
      <c r="F86" s="312" t="s">
        <v>2472</v>
      </c>
      <c r="G86" s="313">
        <v>44180</v>
      </c>
      <c r="H86" s="624"/>
      <c r="I86" s="625"/>
      <c r="J86" s="626"/>
      <c r="K86" s="627"/>
      <c r="L86" s="628"/>
      <c r="M86" s="629"/>
      <c r="N86" s="627"/>
      <c r="O86" s="628"/>
      <c r="P86" s="630"/>
      <c r="Q86" s="631"/>
      <c r="R86" s="715"/>
      <c r="S86" s="715"/>
      <c r="T86" s="632"/>
      <c r="U86" s="633"/>
      <c r="V86" s="634"/>
      <c r="W86" s="635"/>
      <c r="X86" s="636"/>
      <c r="Y86" s="637"/>
      <c r="Z86" s="725"/>
      <c r="AA86" s="636"/>
      <c r="AB86" s="1056"/>
      <c r="AC86" s="736" t="s">
        <v>2473</v>
      </c>
      <c r="AD86" s="317" t="s">
        <v>2474</v>
      </c>
      <c r="AE86" s="316"/>
      <c r="AF86" s="718"/>
      <c r="AG86" s="211"/>
      <c r="AH86" s="210"/>
    </row>
    <row r="87" spans="1:34" s="4" customFormat="1">
      <c r="A87" s="2"/>
      <c r="B87" s="310" t="s">
        <v>115</v>
      </c>
      <c r="C87" s="311" t="s">
        <v>27</v>
      </c>
      <c r="D87" s="1222"/>
      <c r="E87" s="1224"/>
      <c r="F87" s="312" t="s">
        <v>2475</v>
      </c>
      <c r="G87" s="313">
        <v>44181</v>
      </c>
      <c r="H87" s="624"/>
      <c r="I87" s="625"/>
      <c r="J87" s="626"/>
      <c r="K87" s="627"/>
      <c r="L87" s="628"/>
      <c r="M87" s="629"/>
      <c r="N87" s="627"/>
      <c r="O87" s="628"/>
      <c r="P87" s="630"/>
      <c r="Q87" s="631"/>
      <c r="R87" s="715"/>
      <c r="S87" s="715"/>
      <c r="T87" s="632"/>
      <c r="U87" s="633"/>
      <c r="V87" s="634"/>
      <c r="W87" s="635"/>
      <c r="X87" s="636"/>
      <c r="Y87" s="637"/>
      <c r="Z87" s="725"/>
      <c r="AA87" s="636"/>
      <c r="AB87" s="1056"/>
      <c r="AC87" s="736" t="s">
        <v>2476</v>
      </c>
      <c r="AD87" s="317" t="s">
        <v>2477</v>
      </c>
      <c r="AE87" s="316"/>
      <c r="AF87" s="718"/>
      <c r="AG87" s="211"/>
      <c r="AH87" s="210"/>
    </row>
    <row r="88" spans="1:34" s="4" customFormat="1">
      <c r="A88" s="2"/>
      <c r="B88" s="310" t="s">
        <v>106</v>
      </c>
      <c r="C88" s="311" t="s">
        <v>33</v>
      </c>
      <c r="D88" s="1222" t="s">
        <v>2478</v>
      </c>
      <c r="E88" s="1224"/>
      <c r="F88" s="312"/>
      <c r="G88" s="313"/>
      <c r="H88" s="624"/>
      <c r="I88" s="625"/>
      <c r="J88" s="626"/>
      <c r="K88" s="627" t="s">
        <v>2479</v>
      </c>
      <c r="L88" s="628">
        <v>44182</v>
      </c>
      <c r="M88" s="629">
        <v>250</v>
      </c>
      <c r="N88" s="627" t="s">
        <v>2480</v>
      </c>
      <c r="O88" s="628">
        <v>44182</v>
      </c>
      <c r="P88" s="630" t="s">
        <v>2481</v>
      </c>
      <c r="Q88" s="631">
        <v>44201</v>
      </c>
      <c r="R88" s="715"/>
      <c r="S88" s="1068"/>
      <c r="T88" s="632">
        <v>1243.57</v>
      </c>
      <c r="U88" s="633" t="s">
        <v>2482</v>
      </c>
      <c r="V88" s="634">
        <v>44239</v>
      </c>
      <c r="W88" s="635" t="s">
        <v>2302</v>
      </c>
      <c r="X88" s="636">
        <v>1243.57</v>
      </c>
      <c r="Y88" s="637">
        <v>1243.57</v>
      </c>
      <c r="Z88" s="733">
        <f t="shared" ref="Z88:Z90" si="5">Y88/X88</f>
        <v>1</v>
      </c>
      <c r="AA88" s="919"/>
      <c r="AB88" s="1055">
        <v>0</v>
      </c>
      <c r="AC88" s="912"/>
      <c r="AD88" s="913"/>
      <c r="AE88" s="316"/>
      <c r="AF88" s="704"/>
      <c r="AG88" s="211"/>
      <c r="AH88" s="210"/>
    </row>
    <row r="89" spans="1:34" s="4" customFormat="1">
      <c r="A89" s="2"/>
      <c r="B89" s="310" t="s">
        <v>106</v>
      </c>
      <c r="C89" s="311" t="s">
        <v>33</v>
      </c>
      <c r="D89" s="1222" t="s">
        <v>2483</v>
      </c>
      <c r="E89" s="1224"/>
      <c r="F89" s="312" t="s">
        <v>2484</v>
      </c>
      <c r="G89" s="313">
        <v>44182</v>
      </c>
      <c r="H89" s="624" t="s">
        <v>2485</v>
      </c>
      <c r="I89" s="625">
        <v>44219</v>
      </c>
      <c r="J89" s="626">
        <v>5000</v>
      </c>
      <c r="K89" s="627" t="s">
        <v>2486</v>
      </c>
      <c r="L89" s="628">
        <v>44218</v>
      </c>
      <c r="M89" s="629">
        <v>5000</v>
      </c>
      <c r="N89" s="627" t="s">
        <v>2487</v>
      </c>
      <c r="O89" s="628">
        <v>44219</v>
      </c>
      <c r="P89" s="630" t="s">
        <v>2488</v>
      </c>
      <c r="Q89" s="631">
        <v>44263</v>
      </c>
      <c r="R89" s="715"/>
      <c r="S89" s="1068"/>
      <c r="T89" s="1074">
        <v>23969.89</v>
      </c>
      <c r="U89" s="633" t="s">
        <v>2489</v>
      </c>
      <c r="V89" s="634">
        <v>44330</v>
      </c>
      <c r="W89" s="635" t="s">
        <v>96</v>
      </c>
      <c r="X89" s="636">
        <v>23969.89</v>
      </c>
      <c r="Y89" s="637">
        <v>23969.89</v>
      </c>
      <c r="Z89" s="733">
        <f t="shared" si="5"/>
        <v>1</v>
      </c>
      <c r="AA89" s="919"/>
      <c r="AB89" s="1055">
        <v>0</v>
      </c>
      <c r="AC89" s="912" t="s">
        <v>2490</v>
      </c>
      <c r="AD89" s="914"/>
      <c r="AE89" s="667"/>
      <c r="AF89" s="704"/>
      <c r="AG89" s="211"/>
      <c r="AH89" s="210"/>
    </row>
    <row r="90" spans="1:34" s="4" customFormat="1">
      <c r="A90" s="2"/>
      <c r="B90" s="310" t="s">
        <v>106</v>
      </c>
      <c r="C90" s="311" t="s">
        <v>33</v>
      </c>
      <c r="D90" s="1222" t="s">
        <v>2491</v>
      </c>
      <c r="E90" s="1224"/>
      <c r="F90" s="312" t="s">
        <v>2484</v>
      </c>
      <c r="G90" s="313"/>
      <c r="H90" s="624"/>
      <c r="I90" s="625"/>
      <c r="J90" s="626"/>
      <c r="K90" s="627" t="s">
        <v>2492</v>
      </c>
      <c r="L90" s="628">
        <v>44236</v>
      </c>
      <c r="M90" s="629">
        <v>45000</v>
      </c>
      <c r="N90" s="627" t="s">
        <v>2493</v>
      </c>
      <c r="O90" s="628">
        <v>44236</v>
      </c>
      <c r="P90" s="630" t="s">
        <v>2494</v>
      </c>
      <c r="Q90" s="631">
        <v>44252</v>
      </c>
      <c r="R90" s="715"/>
      <c r="S90" s="1068"/>
      <c r="T90" s="1074">
        <v>43875.4</v>
      </c>
      <c r="U90" s="633" t="s">
        <v>2495</v>
      </c>
      <c r="V90" s="634">
        <v>44316</v>
      </c>
      <c r="W90" s="635" t="s">
        <v>96</v>
      </c>
      <c r="X90" s="636">
        <v>43875.4</v>
      </c>
      <c r="Y90" s="637">
        <v>43875.4</v>
      </c>
      <c r="Z90" s="733">
        <f t="shared" si="5"/>
        <v>1</v>
      </c>
      <c r="AA90" s="919"/>
      <c r="AB90" s="1055">
        <v>0</v>
      </c>
      <c r="AC90" s="912"/>
      <c r="AD90" s="915"/>
      <c r="AE90" s="316"/>
      <c r="AF90" s="704"/>
      <c r="AG90" s="211"/>
      <c r="AH90" s="210"/>
    </row>
    <row r="91" spans="1:34" s="4" customFormat="1">
      <c r="A91" s="2"/>
      <c r="B91" s="310" t="s">
        <v>115</v>
      </c>
      <c r="C91" s="311" t="s">
        <v>27</v>
      </c>
      <c r="D91" s="1222"/>
      <c r="E91" s="1224"/>
      <c r="F91" s="312" t="s">
        <v>2496</v>
      </c>
      <c r="G91" s="313">
        <v>44182</v>
      </c>
      <c r="H91" s="624"/>
      <c r="I91" s="625"/>
      <c r="J91" s="626"/>
      <c r="K91" s="627"/>
      <c r="L91" s="628"/>
      <c r="M91" s="629"/>
      <c r="N91" s="627"/>
      <c r="O91" s="628"/>
      <c r="P91" s="630"/>
      <c r="Q91" s="631"/>
      <c r="R91" s="715"/>
      <c r="S91" s="715"/>
      <c r="T91" s="632"/>
      <c r="U91" s="633"/>
      <c r="V91" s="634"/>
      <c r="W91" s="635"/>
      <c r="X91" s="636"/>
      <c r="Y91" s="637"/>
      <c r="Z91" s="725"/>
      <c r="AA91" s="636"/>
      <c r="AB91" s="1056"/>
      <c r="AC91" s="736" t="s">
        <v>2497</v>
      </c>
      <c r="AD91" s="317" t="s">
        <v>2498</v>
      </c>
      <c r="AE91" s="316"/>
      <c r="AF91" s="718"/>
      <c r="AG91" s="211"/>
      <c r="AH91" s="210"/>
    </row>
    <row r="92" spans="1:34" s="4" customFormat="1">
      <c r="A92" s="2"/>
      <c r="B92" s="310" t="s">
        <v>115</v>
      </c>
      <c r="C92" s="311" t="s">
        <v>27</v>
      </c>
      <c r="D92" s="1222"/>
      <c r="E92" s="1224"/>
      <c r="F92" s="312" t="s">
        <v>2499</v>
      </c>
      <c r="G92" s="313">
        <v>44183</v>
      </c>
      <c r="H92" s="624"/>
      <c r="I92" s="625"/>
      <c r="J92" s="626"/>
      <c r="K92" s="627"/>
      <c r="L92" s="628"/>
      <c r="M92" s="629"/>
      <c r="N92" s="627"/>
      <c r="O92" s="628"/>
      <c r="P92" s="630"/>
      <c r="Q92" s="631"/>
      <c r="R92" s="715"/>
      <c r="S92" s="715"/>
      <c r="T92" s="632"/>
      <c r="U92" s="633"/>
      <c r="V92" s="634"/>
      <c r="W92" s="635"/>
      <c r="X92" s="636"/>
      <c r="Y92" s="637"/>
      <c r="Z92" s="725"/>
      <c r="AA92" s="636"/>
      <c r="AB92" s="1056"/>
      <c r="AC92" s="736" t="s">
        <v>2500</v>
      </c>
      <c r="AD92" s="317" t="s">
        <v>2501</v>
      </c>
      <c r="AE92" s="316"/>
      <c r="AF92" s="718"/>
      <c r="AG92" s="211"/>
      <c r="AH92" s="210"/>
    </row>
    <row r="93" spans="1:34" s="4" customFormat="1">
      <c r="A93" s="2"/>
      <c r="B93" s="310" t="s">
        <v>115</v>
      </c>
      <c r="C93" s="311" t="s">
        <v>27</v>
      </c>
      <c r="D93" s="1222"/>
      <c r="E93" s="1224"/>
      <c r="F93" s="312" t="s">
        <v>2502</v>
      </c>
      <c r="G93" s="313">
        <v>44186</v>
      </c>
      <c r="H93" s="624"/>
      <c r="I93" s="625"/>
      <c r="J93" s="626"/>
      <c r="K93" s="627"/>
      <c r="L93" s="628"/>
      <c r="M93" s="629"/>
      <c r="N93" s="627"/>
      <c r="O93" s="628"/>
      <c r="P93" s="630"/>
      <c r="Q93" s="631"/>
      <c r="R93" s="715"/>
      <c r="S93" s="715"/>
      <c r="T93" s="632"/>
      <c r="U93" s="633"/>
      <c r="V93" s="634"/>
      <c r="W93" s="635"/>
      <c r="X93" s="636"/>
      <c r="Y93" s="637"/>
      <c r="Z93" s="725"/>
      <c r="AA93" s="636"/>
      <c r="AB93" s="1056"/>
      <c r="AC93" s="736" t="s">
        <v>2503</v>
      </c>
      <c r="AD93" s="317" t="s">
        <v>2504</v>
      </c>
      <c r="AE93" s="316"/>
      <c r="AF93" s="718"/>
      <c r="AG93" s="211"/>
      <c r="AH93" s="210"/>
    </row>
    <row r="94" spans="1:34" s="4" customFormat="1">
      <c r="A94" s="2"/>
      <c r="B94" s="310" t="s">
        <v>115</v>
      </c>
      <c r="C94" s="311" t="s">
        <v>27</v>
      </c>
      <c r="D94" s="1222"/>
      <c r="E94" s="1224"/>
      <c r="F94" s="312" t="s">
        <v>2505</v>
      </c>
      <c r="G94" s="313">
        <v>44186</v>
      </c>
      <c r="H94" s="624"/>
      <c r="I94" s="625"/>
      <c r="J94" s="626"/>
      <c r="K94" s="627"/>
      <c r="L94" s="628"/>
      <c r="M94" s="629"/>
      <c r="N94" s="627"/>
      <c r="O94" s="628"/>
      <c r="P94" s="630"/>
      <c r="Q94" s="631"/>
      <c r="R94" s="715"/>
      <c r="S94" s="715"/>
      <c r="T94" s="632"/>
      <c r="U94" s="633"/>
      <c r="V94" s="634"/>
      <c r="W94" s="635"/>
      <c r="X94" s="636"/>
      <c r="Y94" s="637"/>
      <c r="Z94" s="725"/>
      <c r="AA94" s="636"/>
      <c r="AB94" s="1056"/>
      <c r="AC94" s="736" t="s">
        <v>2506</v>
      </c>
      <c r="AD94" s="317" t="s">
        <v>2507</v>
      </c>
      <c r="AE94" s="669">
        <v>44232</v>
      </c>
      <c r="AF94" s="718"/>
      <c r="AG94" s="211"/>
      <c r="AH94" s="210"/>
    </row>
    <row r="95" spans="1:34" s="4" customFormat="1">
      <c r="A95" s="2"/>
      <c r="B95" s="310" t="s">
        <v>115</v>
      </c>
      <c r="C95" s="311" t="s">
        <v>27</v>
      </c>
      <c r="D95" s="1222"/>
      <c r="E95" s="1224"/>
      <c r="F95" s="312" t="s">
        <v>2508</v>
      </c>
      <c r="G95" s="313">
        <v>44189</v>
      </c>
      <c r="H95" s="624"/>
      <c r="I95" s="625"/>
      <c r="J95" s="626"/>
      <c r="K95" s="627"/>
      <c r="L95" s="628"/>
      <c r="M95" s="629"/>
      <c r="N95" s="627"/>
      <c r="O95" s="628"/>
      <c r="P95" s="630"/>
      <c r="Q95" s="631"/>
      <c r="R95" s="715"/>
      <c r="S95" s="715"/>
      <c r="T95" s="632"/>
      <c r="U95" s="633"/>
      <c r="V95" s="634"/>
      <c r="W95" s="635"/>
      <c r="X95" s="636"/>
      <c r="Y95" s="637"/>
      <c r="Z95" s="725"/>
      <c r="AA95" s="636"/>
      <c r="AB95" s="1056"/>
      <c r="AC95" s="736" t="s">
        <v>2509</v>
      </c>
      <c r="AD95" s="317"/>
      <c r="AE95" s="316"/>
      <c r="AF95" s="718"/>
      <c r="AG95" s="211"/>
      <c r="AH95" s="210"/>
    </row>
    <row r="96" spans="1:34" s="4" customFormat="1">
      <c r="A96" s="2"/>
      <c r="B96" s="310" t="s">
        <v>106</v>
      </c>
      <c r="C96" s="311" t="s">
        <v>33</v>
      </c>
      <c r="D96" s="1222" t="s">
        <v>2510</v>
      </c>
      <c r="E96" s="1224"/>
      <c r="F96" s="312" t="s">
        <v>2511</v>
      </c>
      <c r="G96" s="313">
        <v>44196</v>
      </c>
      <c r="H96" s="624"/>
      <c r="I96" s="625"/>
      <c r="J96" s="626"/>
      <c r="K96" s="627" t="s">
        <v>2512</v>
      </c>
      <c r="L96" s="628">
        <v>44236</v>
      </c>
      <c r="M96" s="629">
        <v>-2000</v>
      </c>
      <c r="N96" s="627" t="s">
        <v>2513</v>
      </c>
      <c r="O96" s="628">
        <v>44236</v>
      </c>
      <c r="P96" s="630" t="s">
        <v>2514</v>
      </c>
      <c r="Q96" s="631">
        <v>44252</v>
      </c>
      <c r="R96" s="715"/>
      <c r="S96" s="1068"/>
      <c r="T96" s="632">
        <v>-161.43</v>
      </c>
      <c r="U96" s="633" t="s">
        <v>2515</v>
      </c>
      <c r="V96" s="634">
        <v>44279</v>
      </c>
      <c r="W96" s="635" t="s">
        <v>2302</v>
      </c>
      <c r="X96" s="636">
        <v>-161.43</v>
      </c>
      <c r="Y96" s="637">
        <v>-161.43</v>
      </c>
      <c r="Z96" s="733">
        <f>Y96/X96</f>
        <v>1</v>
      </c>
      <c r="AA96" s="919"/>
      <c r="AB96" s="1055">
        <v>0</v>
      </c>
      <c r="AC96" s="912" t="s">
        <v>2516</v>
      </c>
      <c r="AD96" s="913"/>
      <c r="AE96" s="316"/>
      <c r="AF96" s="704"/>
      <c r="AG96" s="211"/>
      <c r="AH96" s="210"/>
    </row>
    <row r="97" spans="1:34" s="4" customFormat="1">
      <c r="A97" s="2"/>
      <c r="B97" s="310" t="s">
        <v>115</v>
      </c>
      <c r="C97" s="311" t="s">
        <v>27</v>
      </c>
      <c r="D97" s="1222"/>
      <c r="E97" s="1224"/>
      <c r="F97" s="657" t="s">
        <v>2517</v>
      </c>
      <c r="G97" s="313">
        <v>44200</v>
      </c>
      <c r="H97" s="624"/>
      <c r="I97" s="625"/>
      <c r="J97" s="626"/>
      <c r="K97" s="627"/>
      <c r="L97" s="628"/>
      <c r="M97" s="629"/>
      <c r="N97" s="627"/>
      <c r="O97" s="628"/>
      <c r="P97" s="630"/>
      <c r="Q97" s="631"/>
      <c r="R97" s="715"/>
      <c r="S97" s="715"/>
      <c r="T97" s="632"/>
      <c r="U97" s="633"/>
      <c r="V97" s="634"/>
      <c r="W97" s="635"/>
      <c r="X97" s="636"/>
      <c r="Y97" s="637"/>
      <c r="Z97" s="921"/>
      <c r="AA97" s="636"/>
      <c r="AB97" s="1056"/>
      <c r="AC97" s="736" t="s">
        <v>2518</v>
      </c>
      <c r="AD97" s="317" t="s">
        <v>2519</v>
      </c>
      <c r="AE97" s="316"/>
      <c r="AF97" s="718"/>
      <c r="AG97" s="211"/>
      <c r="AH97" s="210"/>
    </row>
    <row r="98" spans="1:34" s="4" customFormat="1">
      <c r="A98" s="2"/>
      <c r="B98" s="310" t="s">
        <v>115</v>
      </c>
      <c r="C98" s="311" t="s">
        <v>27</v>
      </c>
      <c r="D98" s="1222"/>
      <c r="E98" s="1224"/>
      <c r="F98" s="312" t="s">
        <v>2520</v>
      </c>
      <c r="G98" s="313">
        <v>44200</v>
      </c>
      <c r="H98" s="624"/>
      <c r="I98" s="625"/>
      <c r="J98" s="626"/>
      <c r="K98" s="627"/>
      <c r="L98" s="628"/>
      <c r="M98" s="629"/>
      <c r="N98" s="627"/>
      <c r="O98" s="628"/>
      <c r="P98" s="630"/>
      <c r="Q98" s="631"/>
      <c r="R98" s="715"/>
      <c r="S98" s="715"/>
      <c r="T98" s="632"/>
      <c r="U98" s="633"/>
      <c r="V98" s="634"/>
      <c r="W98" s="635"/>
      <c r="X98" s="636"/>
      <c r="Y98" s="637"/>
      <c r="Z98" s="921"/>
      <c r="AA98" s="636"/>
      <c r="AB98" s="1056"/>
      <c r="AC98" s="736" t="s">
        <v>2521</v>
      </c>
      <c r="AD98" s="317" t="s">
        <v>2522</v>
      </c>
      <c r="AE98" s="316"/>
      <c r="AF98" s="718"/>
      <c r="AG98" s="211"/>
      <c r="AH98" s="210"/>
    </row>
    <row r="99" spans="1:34" s="4" customFormat="1">
      <c r="A99" s="2"/>
      <c r="B99" s="310" t="s">
        <v>115</v>
      </c>
      <c r="C99" s="311" t="s">
        <v>27</v>
      </c>
      <c r="D99" s="1222"/>
      <c r="E99" s="1224"/>
      <c r="F99" s="312" t="s">
        <v>2523</v>
      </c>
      <c r="G99" s="313">
        <v>44200</v>
      </c>
      <c r="H99" s="624"/>
      <c r="I99" s="625"/>
      <c r="J99" s="626"/>
      <c r="K99" s="627"/>
      <c r="L99" s="628"/>
      <c r="M99" s="629"/>
      <c r="N99" s="627"/>
      <c r="O99" s="628"/>
      <c r="P99" s="630"/>
      <c r="Q99" s="631"/>
      <c r="R99" s="715"/>
      <c r="S99" s="715"/>
      <c r="T99" s="632"/>
      <c r="U99" s="633"/>
      <c r="V99" s="634"/>
      <c r="W99" s="635"/>
      <c r="X99" s="636"/>
      <c r="Y99" s="637"/>
      <c r="Z99" s="921"/>
      <c r="AA99" s="636"/>
      <c r="AB99" s="1056"/>
      <c r="AC99" s="736" t="s">
        <v>2524</v>
      </c>
      <c r="AD99" s="317"/>
      <c r="AE99" s="316"/>
      <c r="AF99" s="718"/>
      <c r="AG99" s="211"/>
      <c r="AH99" s="210"/>
    </row>
    <row r="100" spans="1:34" s="4" customFormat="1">
      <c r="A100" s="2"/>
      <c r="B100" s="310" t="s">
        <v>106</v>
      </c>
      <c r="C100" s="311" t="s">
        <v>33</v>
      </c>
      <c r="D100" s="1222" t="s">
        <v>2525</v>
      </c>
      <c r="E100" s="1224"/>
      <c r="F100" s="312" t="s">
        <v>2526</v>
      </c>
      <c r="G100" s="313">
        <v>44201</v>
      </c>
      <c r="H100" s="624"/>
      <c r="I100" s="625"/>
      <c r="J100" s="626"/>
      <c r="K100" s="627" t="s">
        <v>2527</v>
      </c>
      <c r="L100" s="628">
        <v>44370</v>
      </c>
      <c r="M100" s="629">
        <v>17000</v>
      </c>
      <c r="N100" s="627" t="s">
        <v>2528</v>
      </c>
      <c r="O100" s="628">
        <v>44371</v>
      </c>
      <c r="P100" s="630" t="s">
        <v>2529</v>
      </c>
      <c r="Q100" s="631">
        <v>44414</v>
      </c>
      <c r="R100" s="715"/>
      <c r="S100" s="1068"/>
      <c r="T100" s="632">
        <v>47870.8</v>
      </c>
      <c r="U100" s="633" t="s">
        <v>2530</v>
      </c>
      <c r="V100" s="634">
        <v>44419</v>
      </c>
      <c r="W100" s="635" t="s">
        <v>2302</v>
      </c>
      <c r="X100" s="636">
        <v>47870.8</v>
      </c>
      <c r="Y100" s="637">
        <v>47870.8</v>
      </c>
      <c r="Z100" s="987">
        <f>Y100/X100</f>
        <v>1</v>
      </c>
      <c r="AA100" s="919"/>
      <c r="AB100" s="1055">
        <v>0</v>
      </c>
      <c r="AC100" s="912" t="s">
        <v>2525</v>
      </c>
      <c r="AD100" s="913" t="s">
        <v>2531</v>
      </c>
      <c r="AE100" s="316"/>
      <c r="AF100" s="704"/>
      <c r="AG100" s="211"/>
      <c r="AH100" s="210"/>
    </row>
    <row r="101" spans="1:34" s="4" customFormat="1">
      <c r="A101" s="2"/>
      <c r="B101" s="310" t="s">
        <v>119</v>
      </c>
      <c r="C101" s="311" t="s">
        <v>27</v>
      </c>
      <c r="D101" s="1222"/>
      <c r="E101" s="1224"/>
      <c r="F101" s="312" t="s">
        <v>2532</v>
      </c>
      <c r="G101" s="313">
        <v>44238</v>
      </c>
      <c r="H101" s="624"/>
      <c r="I101" s="625"/>
      <c r="J101" s="626"/>
      <c r="K101" s="627"/>
      <c r="L101" s="628"/>
      <c r="M101" s="629"/>
      <c r="N101" s="627"/>
      <c r="O101" s="628"/>
      <c r="P101" s="630"/>
      <c r="Q101" s="631"/>
      <c r="R101" s="715"/>
      <c r="S101" s="715"/>
      <c r="T101" s="632"/>
      <c r="U101" s="633"/>
      <c r="V101" s="634"/>
      <c r="W101" s="635"/>
      <c r="X101" s="636"/>
      <c r="Y101" s="637"/>
      <c r="Z101" s="921"/>
      <c r="AA101" s="636"/>
      <c r="AB101" s="1056"/>
      <c r="AC101" s="736" t="s">
        <v>2533</v>
      </c>
      <c r="AD101" s="317"/>
      <c r="AE101" s="316"/>
      <c r="AF101" s="704"/>
      <c r="AG101" s="211"/>
      <c r="AH101" s="210"/>
    </row>
    <row r="102" spans="1:34" s="4" customFormat="1">
      <c r="A102" s="2"/>
      <c r="B102" s="310" t="s">
        <v>115</v>
      </c>
      <c r="C102" s="311" t="s">
        <v>27</v>
      </c>
      <c r="D102" s="1222"/>
      <c r="E102" s="1224"/>
      <c r="F102" s="312" t="s">
        <v>2534</v>
      </c>
      <c r="G102" s="313">
        <v>44201</v>
      </c>
      <c r="H102" s="624"/>
      <c r="I102" s="625"/>
      <c r="J102" s="626"/>
      <c r="K102" s="627"/>
      <c r="L102" s="628"/>
      <c r="M102" s="629"/>
      <c r="N102" s="627"/>
      <c r="O102" s="628"/>
      <c r="P102" s="630"/>
      <c r="Q102" s="631"/>
      <c r="R102" s="715"/>
      <c r="S102" s="715"/>
      <c r="T102" s="632"/>
      <c r="U102" s="633"/>
      <c r="V102" s="634"/>
      <c r="W102" s="635"/>
      <c r="X102" s="636"/>
      <c r="Y102" s="637"/>
      <c r="Z102" s="921"/>
      <c r="AA102" s="636"/>
      <c r="AB102" s="1056"/>
      <c r="AC102" s="736" t="s">
        <v>2535</v>
      </c>
      <c r="AD102" s="317"/>
      <c r="AE102" s="316"/>
      <c r="AF102" s="718"/>
      <c r="AG102" s="211"/>
      <c r="AH102" s="210"/>
    </row>
    <row r="103" spans="1:34" s="4" customFormat="1">
      <c r="A103" s="2"/>
      <c r="B103" s="310" t="s">
        <v>115</v>
      </c>
      <c r="C103" s="311" t="s">
        <v>27</v>
      </c>
      <c r="D103" s="1222"/>
      <c r="E103" s="1224"/>
      <c r="F103" s="312" t="s">
        <v>2536</v>
      </c>
      <c r="G103" s="313">
        <v>44201</v>
      </c>
      <c r="H103" s="624"/>
      <c r="I103" s="625"/>
      <c r="J103" s="626"/>
      <c r="K103" s="627"/>
      <c r="L103" s="628"/>
      <c r="M103" s="629"/>
      <c r="N103" s="627"/>
      <c r="O103" s="628"/>
      <c r="P103" s="630"/>
      <c r="Q103" s="631"/>
      <c r="R103" s="715"/>
      <c r="S103" s="715"/>
      <c r="T103" s="632"/>
      <c r="U103" s="633"/>
      <c r="V103" s="634"/>
      <c r="W103" s="635"/>
      <c r="X103" s="636"/>
      <c r="Y103" s="637"/>
      <c r="Z103" s="921"/>
      <c r="AA103" s="636"/>
      <c r="AB103" s="1056"/>
      <c r="AC103" s="736" t="s">
        <v>2537</v>
      </c>
      <c r="AD103" s="317" t="s">
        <v>2538</v>
      </c>
      <c r="AE103" s="316"/>
      <c r="AF103" s="718"/>
      <c r="AG103" s="211"/>
      <c r="AH103" s="210"/>
    </row>
    <row r="104" spans="1:34" s="4" customFormat="1">
      <c r="A104" s="2"/>
      <c r="B104" s="310" t="s">
        <v>115</v>
      </c>
      <c r="C104" s="311" t="s">
        <v>27</v>
      </c>
      <c r="D104" s="1222"/>
      <c r="E104" s="1224"/>
      <c r="F104" s="312" t="s">
        <v>2539</v>
      </c>
      <c r="G104" s="313">
        <v>44202</v>
      </c>
      <c r="H104" s="624"/>
      <c r="I104" s="625"/>
      <c r="J104" s="626"/>
      <c r="K104" s="627"/>
      <c r="L104" s="628"/>
      <c r="M104" s="629"/>
      <c r="N104" s="627"/>
      <c r="O104" s="628"/>
      <c r="P104" s="630"/>
      <c r="Q104" s="631"/>
      <c r="R104" s="715"/>
      <c r="S104" s="715"/>
      <c r="T104" s="632"/>
      <c r="U104" s="633"/>
      <c r="V104" s="634"/>
      <c r="W104" s="635"/>
      <c r="X104" s="636"/>
      <c r="Y104" s="637"/>
      <c r="Z104" s="921"/>
      <c r="AA104" s="636"/>
      <c r="AB104" s="1056"/>
      <c r="AC104" s="736" t="s">
        <v>2540</v>
      </c>
      <c r="AD104" s="317"/>
      <c r="AE104" s="316"/>
      <c r="AF104" s="718"/>
      <c r="AG104" s="211"/>
      <c r="AH104" s="210"/>
    </row>
    <row r="105" spans="1:34" s="4" customFormat="1">
      <c r="A105" s="2"/>
      <c r="B105" s="310" t="s">
        <v>106</v>
      </c>
      <c r="C105" s="311" t="s">
        <v>33</v>
      </c>
      <c r="D105" s="1230" t="s">
        <v>2541</v>
      </c>
      <c r="E105" s="1258"/>
      <c r="F105" s="657" t="s">
        <v>2542</v>
      </c>
      <c r="G105" s="313">
        <v>44202</v>
      </c>
      <c r="H105" s="624"/>
      <c r="I105" s="625"/>
      <c r="J105" s="626"/>
      <c r="K105" s="627" t="s">
        <v>2543</v>
      </c>
      <c r="L105" s="628">
        <v>44245</v>
      </c>
      <c r="M105" s="629">
        <v>5000</v>
      </c>
      <c r="N105" s="627" t="s">
        <v>2544</v>
      </c>
      <c r="O105" s="628">
        <v>44252</v>
      </c>
      <c r="P105" s="630" t="s">
        <v>2545</v>
      </c>
      <c r="Q105" s="631">
        <v>44294</v>
      </c>
      <c r="R105" s="715"/>
      <c r="S105" s="1068"/>
      <c r="T105" s="632">
        <v>-4623.17</v>
      </c>
      <c r="U105" s="633" t="s">
        <v>2546</v>
      </c>
      <c r="V105" s="634">
        <v>44323</v>
      </c>
      <c r="W105" s="635" t="s">
        <v>105</v>
      </c>
      <c r="X105" s="636">
        <v>-4623.17</v>
      </c>
      <c r="Y105" s="637">
        <v>-4623.17</v>
      </c>
      <c r="Z105" s="987">
        <f>Y105/X105</f>
        <v>1</v>
      </c>
      <c r="AA105" s="919"/>
      <c r="AB105" s="1055">
        <v>0</v>
      </c>
      <c r="AC105" s="912" t="s">
        <v>2547</v>
      </c>
      <c r="AD105" s="913" t="s">
        <v>2548</v>
      </c>
      <c r="AE105" s="316"/>
      <c r="AF105" s="704"/>
      <c r="AG105" s="211"/>
      <c r="AH105" s="210"/>
    </row>
    <row r="106" spans="1:34" s="4" customFormat="1">
      <c r="A106" s="2"/>
      <c r="B106" s="310" t="s">
        <v>115</v>
      </c>
      <c r="C106" s="311" t="s">
        <v>27</v>
      </c>
      <c r="D106" s="1222"/>
      <c r="E106" s="1224"/>
      <c r="F106" s="312" t="s">
        <v>2549</v>
      </c>
      <c r="G106" s="313">
        <v>44204</v>
      </c>
      <c r="H106" s="624"/>
      <c r="I106" s="625"/>
      <c r="J106" s="626"/>
      <c r="K106" s="627"/>
      <c r="L106" s="628"/>
      <c r="M106" s="629"/>
      <c r="N106" s="627"/>
      <c r="O106" s="628"/>
      <c r="P106" s="630"/>
      <c r="Q106" s="631"/>
      <c r="R106" s="715"/>
      <c r="S106" s="715"/>
      <c r="T106" s="632"/>
      <c r="U106" s="633"/>
      <c r="V106" s="634"/>
      <c r="W106" s="635"/>
      <c r="X106" s="636"/>
      <c r="Y106" s="637"/>
      <c r="Z106" s="921"/>
      <c r="AA106" s="636"/>
      <c r="AB106" s="1056"/>
      <c r="AC106" s="736" t="s">
        <v>2550</v>
      </c>
      <c r="AD106" s="317" t="s">
        <v>2551</v>
      </c>
      <c r="AE106" s="669">
        <v>44209</v>
      </c>
      <c r="AF106" s="718"/>
      <c r="AG106" s="211"/>
      <c r="AH106" s="210"/>
    </row>
    <row r="107" spans="1:34" s="4" customFormat="1">
      <c r="A107" s="2"/>
      <c r="B107" s="310" t="s">
        <v>110</v>
      </c>
      <c r="C107" s="311" t="s">
        <v>27</v>
      </c>
      <c r="D107" s="662" t="s">
        <v>2552</v>
      </c>
      <c r="E107" s="672"/>
      <c r="F107" s="657" t="s">
        <v>2553</v>
      </c>
      <c r="G107" s="313">
        <v>44204</v>
      </c>
      <c r="H107" s="624" t="s">
        <v>2554</v>
      </c>
      <c r="I107" s="625">
        <v>44280</v>
      </c>
      <c r="J107" s="626">
        <v>3000</v>
      </c>
      <c r="K107" s="627" t="s">
        <v>2555</v>
      </c>
      <c r="L107" s="628">
        <v>44280</v>
      </c>
      <c r="M107" s="629">
        <v>3000</v>
      </c>
      <c r="N107" s="627" t="s">
        <v>2556</v>
      </c>
      <c r="O107" s="628">
        <v>44280</v>
      </c>
      <c r="P107" s="630" t="s">
        <v>2557</v>
      </c>
      <c r="Q107" s="631">
        <v>44364</v>
      </c>
      <c r="R107" s="715"/>
      <c r="S107" s="715"/>
      <c r="T107" s="632">
        <v>9162.67</v>
      </c>
      <c r="U107" s="633"/>
      <c r="V107" s="634"/>
      <c r="W107" s="635" t="s">
        <v>2302</v>
      </c>
      <c r="X107" s="636"/>
      <c r="Y107" s="637"/>
      <c r="Z107" s="921"/>
      <c r="AA107" s="636"/>
      <c r="AB107" s="1056"/>
      <c r="AC107" s="736" t="s">
        <v>2558</v>
      </c>
      <c r="AD107" s="317" t="s">
        <v>2559</v>
      </c>
      <c r="AE107" s="669">
        <v>44211</v>
      </c>
      <c r="AF107" s="704"/>
      <c r="AG107" s="211"/>
      <c r="AH107" s="210"/>
    </row>
    <row r="108" spans="1:34" s="4" customFormat="1">
      <c r="A108" s="2"/>
      <c r="B108" s="310" t="s">
        <v>115</v>
      </c>
      <c r="C108" s="311" t="s">
        <v>27</v>
      </c>
      <c r="D108" s="1222"/>
      <c r="E108" s="1224"/>
      <c r="F108" s="312" t="s">
        <v>2560</v>
      </c>
      <c r="G108" s="313">
        <v>44208</v>
      </c>
      <c r="H108" s="624"/>
      <c r="I108" s="625"/>
      <c r="J108" s="626"/>
      <c r="K108" s="627"/>
      <c r="L108" s="628"/>
      <c r="M108" s="629"/>
      <c r="N108" s="627"/>
      <c r="O108" s="628"/>
      <c r="P108" s="630"/>
      <c r="Q108" s="631"/>
      <c r="R108" s="715"/>
      <c r="S108" s="715"/>
      <c r="T108" s="632"/>
      <c r="U108" s="633"/>
      <c r="V108" s="634"/>
      <c r="W108" s="635"/>
      <c r="X108" s="636"/>
      <c r="Y108" s="637"/>
      <c r="Z108" s="921"/>
      <c r="AA108" s="636"/>
      <c r="AB108" s="1056"/>
      <c r="AC108" s="736" t="s">
        <v>2561</v>
      </c>
      <c r="AD108" s="317"/>
      <c r="AE108" s="316"/>
      <c r="AF108" s="718"/>
      <c r="AG108" s="211"/>
      <c r="AH108" s="210"/>
    </row>
    <row r="109" spans="1:34" s="4" customFormat="1">
      <c r="A109" s="2"/>
      <c r="B109" s="310" t="s">
        <v>115</v>
      </c>
      <c r="C109" s="311" t="s">
        <v>27</v>
      </c>
      <c r="D109" s="1222"/>
      <c r="E109" s="1224"/>
      <c r="F109" s="312" t="s">
        <v>2562</v>
      </c>
      <c r="G109" s="313">
        <v>44208</v>
      </c>
      <c r="H109" s="624"/>
      <c r="I109" s="625"/>
      <c r="J109" s="626"/>
      <c r="K109" s="627"/>
      <c r="L109" s="628"/>
      <c r="M109" s="629"/>
      <c r="N109" s="627"/>
      <c r="O109" s="628"/>
      <c r="P109" s="630"/>
      <c r="Q109" s="631"/>
      <c r="R109" s="715"/>
      <c r="S109" s="715"/>
      <c r="T109" s="632"/>
      <c r="U109" s="633"/>
      <c r="V109" s="634"/>
      <c r="W109" s="635"/>
      <c r="X109" s="636"/>
      <c r="Y109" s="637"/>
      <c r="Z109" s="921"/>
      <c r="AA109" s="636"/>
      <c r="AB109" s="1056"/>
      <c r="AC109" s="736" t="s">
        <v>2563</v>
      </c>
      <c r="AD109" s="317"/>
      <c r="AE109" s="316"/>
      <c r="AF109" s="718"/>
      <c r="AG109" s="211"/>
      <c r="AH109" s="210"/>
    </row>
    <row r="110" spans="1:34" s="4" customFormat="1">
      <c r="A110" s="2"/>
      <c r="B110" s="310" t="s">
        <v>115</v>
      </c>
      <c r="C110" s="311" t="s">
        <v>27</v>
      </c>
      <c r="D110" s="1222"/>
      <c r="E110" s="1224"/>
      <c r="F110" s="312" t="s">
        <v>2564</v>
      </c>
      <c r="G110" s="313">
        <v>44210</v>
      </c>
      <c r="H110" s="624"/>
      <c r="I110" s="625"/>
      <c r="J110" s="626"/>
      <c r="K110" s="627"/>
      <c r="L110" s="628"/>
      <c r="M110" s="629"/>
      <c r="N110" s="627"/>
      <c r="O110" s="628"/>
      <c r="P110" s="630"/>
      <c r="Q110" s="631"/>
      <c r="R110" s="715"/>
      <c r="S110" s="715"/>
      <c r="T110" s="632"/>
      <c r="U110" s="633"/>
      <c r="V110" s="634"/>
      <c r="W110" s="635"/>
      <c r="X110" s="636"/>
      <c r="Y110" s="637"/>
      <c r="Z110" s="921"/>
      <c r="AA110" s="636"/>
      <c r="AB110" s="1056"/>
      <c r="AC110" s="736" t="s">
        <v>2565</v>
      </c>
      <c r="AD110" s="317"/>
      <c r="AE110" s="316"/>
      <c r="AF110" s="718"/>
      <c r="AG110" s="211"/>
      <c r="AH110" s="210"/>
    </row>
    <row r="111" spans="1:34" s="4" customFormat="1">
      <c r="A111" s="2"/>
      <c r="B111" s="310" t="s">
        <v>115</v>
      </c>
      <c r="C111" s="311" t="s">
        <v>27</v>
      </c>
      <c r="D111" s="1222"/>
      <c r="E111" s="1224"/>
      <c r="F111" s="312" t="s">
        <v>2566</v>
      </c>
      <c r="G111" s="313">
        <v>44211</v>
      </c>
      <c r="H111" s="624"/>
      <c r="I111" s="625"/>
      <c r="J111" s="626"/>
      <c r="K111" s="627"/>
      <c r="L111" s="628"/>
      <c r="M111" s="629"/>
      <c r="N111" s="627"/>
      <c r="O111" s="628"/>
      <c r="P111" s="630"/>
      <c r="Q111" s="631"/>
      <c r="R111" s="715"/>
      <c r="S111" s="715"/>
      <c r="T111" s="632"/>
      <c r="U111" s="633"/>
      <c r="V111" s="634"/>
      <c r="W111" s="635"/>
      <c r="X111" s="636"/>
      <c r="Y111" s="637"/>
      <c r="Z111" s="921"/>
      <c r="AA111" s="636"/>
      <c r="AB111" s="1056"/>
      <c r="AC111" s="736" t="s">
        <v>2567</v>
      </c>
      <c r="AD111" s="317"/>
      <c r="AE111" s="316"/>
      <c r="AF111" s="718"/>
      <c r="AG111" s="211"/>
      <c r="AH111" s="210"/>
    </row>
    <row r="112" spans="1:34" s="4" customFormat="1">
      <c r="A112" s="2"/>
      <c r="B112" s="310" t="s">
        <v>106</v>
      </c>
      <c r="C112" s="311" t="s">
        <v>33</v>
      </c>
      <c r="D112" s="1222" t="s">
        <v>2568</v>
      </c>
      <c r="E112" s="1224"/>
      <c r="F112" s="312" t="s">
        <v>2569</v>
      </c>
      <c r="G112" s="313">
        <v>44214</v>
      </c>
      <c r="H112" s="624"/>
      <c r="I112" s="625"/>
      <c r="J112" s="626"/>
      <c r="K112" s="627" t="s">
        <v>2570</v>
      </c>
      <c r="L112" s="628">
        <v>44236</v>
      </c>
      <c r="M112" s="629">
        <v>20000</v>
      </c>
      <c r="N112" s="627" t="s">
        <v>2571</v>
      </c>
      <c r="O112" s="628">
        <v>44236</v>
      </c>
      <c r="P112" s="630" t="s">
        <v>2572</v>
      </c>
      <c r="Q112" s="631">
        <v>44279</v>
      </c>
      <c r="R112" s="715"/>
      <c r="S112" s="1068"/>
      <c r="T112" s="632">
        <v>90295.02</v>
      </c>
      <c r="U112" s="633" t="s">
        <v>2573</v>
      </c>
      <c r="V112" s="634">
        <v>44323</v>
      </c>
      <c r="W112" s="635" t="s">
        <v>2302</v>
      </c>
      <c r="X112" s="636">
        <v>90295.02</v>
      </c>
      <c r="Y112" s="636">
        <v>90295.02</v>
      </c>
      <c r="Z112" s="987">
        <f>Y112/X112</f>
        <v>1</v>
      </c>
      <c r="AA112" s="919"/>
      <c r="AB112" s="1055">
        <v>0</v>
      </c>
      <c r="AC112" s="912" t="s">
        <v>2574</v>
      </c>
      <c r="AD112" s="913" t="s">
        <v>2575</v>
      </c>
      <c r="AE112" s="316"/>
      <c r="AF112" s="704"/>
      <c r="AG112" s="211"/>
      <c r="AH112" s="210"/>
    </row>
    <row r="113" spans="1:34" s="4" customFormat="1">
      <c r="A113" s="2"/>
      <c r="B113" s="310" t="s">
        <v>115</v>
      </c>
      <c r="C113" s="311" t="s">
        <v>27</v>
      </c>
      <c r="D113" s="1222"/>
      <c r="E113" s="1224"/>
      <c r="F113" s="312" t="s">
        <v>2576</v>
      </c>
      <c r="G113" s="313">
        <v>44214</v>
      </c>
      <c r="H113" s="624"/>
      <c r="I113" s="625"/>
      <c r="J113" s="626"/>
      <c r="K113" s="627"/>
      <c r="L113" s="628"/>
      <c r="M113" s="629"/>
      <c r="N113" s="627"/>
      <c r="O113" s="628"/>
      <c r="P113" s="630"/>
      <c r="Q113" s="631"/>
      <c r="R113" s="715"/>
      <c r="S113" s="715"/>
      <c r="T113" s="632"/>
      <c r="U113" s="633"/>
      <c r="V113" s="634"/>
      <c r="W113" s="635"/>
      <c r="X113" s="636"/>
      <c r="Y113" s="637"/>
      <c r="Z113" s="921"/>
      <c r="AA113" s="636"/>
      <c r="AB113" s="1056"/>
      <c r="AC113" s="736" t="s">
        <v>2577</v>
      </c>
      <c r="AD113" s="317" t="s">
        <v>2578</v>
      </c>
      <c r="AE113" s="316"/>
      <c r="AF113" s="718"/>
      <c r="AG113" s="211"/>
      <c r="AH113" s="210"/>
    </row>
    <row r="114" spans="1:34" s="4" customFormat="1">
      <c r="A114" s="2"/>
      <c r="B114" s="310" t="s">
        <v>115</v>
      </c>
      <c r="C114" s="311" t="s">
        <v>27</v>
      </c>
      <c r="D114" s="1222"/>
      <c r="E114" s="1224"/>
      <c r="F114" s="312" t="s">
        <v>2579</v>
      </c>
      <c r="G114" s="313">
        <v>44215</v>
      </c>
      <c r="H114" s="624"/>
      <c r="I114" s="625"/>
      <c r="J114" s="626"/>
      <c r="K114" s="627"/>
      <c r="L114" s="628"/>
      <c r="M114" s="629"/>
      <c r="N114" s="627"/>
      <c r="O114" s="628"/>
      <c r="P114" s="630"/>
      <c r="Q114" s="631"/>
      <c r="R114" s="715"/>
      <c r="S114" s="715"/>
      <c r="T114" s="632"/>
      <c r="U114" s="633"/>
      <c r="V114" s="634"/>
      <c r="W114" s="635"/>
      <c r="X114" s="636"/>
      <c r="Y114" s="637"/>
      <c r="Z114" s="921"/>
      <c r="AA114" s="636"/>
      <c r="AB114" s="1056"/>
      <c r="AC114" s="736" t="s">
        <v>2580</v>
      </c>
      <c r="AD114" s="317"/>
      <c r="AE114" s="316"/>
      <c r="AF114" s="718"/>
      <c r="AG114" s="211"/>
      <c r="AH114" s="210"/>
    </row>
    <row r="115" spans="1:34" s="4" customFormat="1">
      <c r="A115" s="2"/>
      <c r="B115" s="310" t="s">
        <v>115</v>
      </c>
      <c r="C115" s="311" t="s">
        <v>27</v>
      </c>
      <c r="D115" s="1222"/>
      <c r="E115" s="1224"/>
      <c r="F115" s="312" t="s">
        <v>2581</v>
      </c>
      <c r="G115" s="313">
        <v>44216</v>
      </c>
      <c r="H115" s="624"/>
      <c r="I115" s="625"/>
      <c r="J115" s="626"/>
      <c r="K115" s="627"/>
      <c r="L115" s="628"/>
      <c r="M115" s="629"/>
      <c r="N115" s="627"/>
      <c r="O115" s="628"/>
      <c r="P115" s="630"/>
      <c r="Q115" s="631"/>
      <c r="R115" s="715"/>
      <c r="S115" s="715"/>
      <c r="T115" s="632"/>
      <c r="U115" s="633"/>
      <c r="V115" s="634"/>
      <c r="W115" s="635"/>
      <c r="X115" s="636"/>
      <c r="Y115" s="637"/>
      <c r="Z115" s="1000"/>
      <c r="AA115" s="920"/>
      <c r="AB115" s="1056"/>
      <c r="AC115" s="4" t="s">
        <v>2582</v>
      </c>
      <c r="AD115" s="317"/>
      <c r="AE115" s="316"/>
      <c r="AF115" s="718"/>
      <c r="AG115" s="211"/>
      <c r="AH115" s="210"/>
    </row>
    <row r="116" spans="1:34" s="4" customFormat="1">
      <c r="A116" s="2"/>
      <c r="B116" s="310" t="s">
        <v>115</v>
      </c>
      <c r="C116" s="311" t="s">
        <v>27</v>
      </c>
      <c r="D116" s="1222"/>
      <c r="E116" s="1224"/>
      <c r="F116" s="312" t="s">
        <v>2583</v>
      </c>
      <c r="G116" s="313">
        <v>44216</v>
      </c>
      <c r="H116" s="624"/>
      <c r="I116" s="625"/>
      <c r="J116" s="626"/>
      <c r="K116" s="627"/>
      <c r="L116" s="628"/>
      <c r="M116" s="629"/>
      <c r="N116" s="627"/>
      <c r="O116" s="628"/>
      <c r="P116" s="630"/>
      <c r="Q116" s="631"/>
      <c r="R116" s="715"/>
      <c r="S116" s="715"/>
      <c r="T116" s="632"/>
      <c r="U116" s="633"/>
      <c r="V116" s="634"/>
      <c r="W116" s="635"/>
      <c r="X116" s="636"/>
      <c r="Y116" s="637"/>
      <c r="Z116" s="921"/>
      <c r="AA116" s="636"/>
      <c r="AB116" s="1056"/>
      <c r="AC116" s="736" t="s">
        <v>2584</v>
      </c>
      <c r="AD116" s="317"/>
      <c r="AE116" s="316"/>
      <c r="AF116" s="718"/>
      <c r="AG116" s="211"/>
      <c r="AH116" s="210"/>
    </row>
    <row r="117" spans="1:34" s="4" customFormat="1">
      <c r="A117" s="2"/>
      <c r="B117" s="310" t="s">
        <v>115</v>
      </c>
      <c r="C117" s="311" t="s">
        <v>27</v>
      </c>
      <c r="D117" s="1222"/>
      <c r="E117" s="1224"/>
      <c r="F117" s="312" t="s">
        <v>2585</v>
      </c>
      <c r="G117" s="313">
        <v>44216</v>
      </c>
      <c r="H117" s="624"/>
      <c r="I117" s="625"/>
      <c r="J117" s="626"/>
      <c r="K117" s="627"/>
      <c r="L117" s="628"/>
      <c r="M117" s="629"/>
      <c r="N117" s="627"/>
      <c r="O117" s="628"/>
      <c r="P117" s="630"/>
      <c r="Q117" s="631"/>
      <c r="R117" s="715"/>
      <c r="S117" s="715"/>
      <c r="T117" s="632"/>
      <c r="U117" s="633"/>
      <c r="V117" s="634"/>
      <c r="W117" s="635"/>
      <c r="X117" s="636"/>
      <c r="Y117" s="637"/>
      <c r="Z117" s="921"/>
      <c r="AA117" s="636"/>
      <c r="AB117" s="1056"/>
      <c r="AC117" s="736" t="s">
        <v>2586</v>
      </c>
      <c r="AD117" s="317"/>
      <c r="AE117" s="316"/>
      <c r="AF117" s="718"/>
      <c r="AG117" s="211"/>
      <c r="AH117" s="210"/>
    </row>
    <row r="118" spans="1:34" s="4" customFormat="1">
      <c r="A118" s="2"/>
      <c r="B118" s="310" t="s">
        <v>115</v>
      </c>
      <c r="C118" s="311" t="s">
        <v>27</v>
      </c>
      <c r="D118" s="1222"/>
      <c r="E118" s="1224"/>
      <c r="F118" s="312" t="s">
        <v>2587</v>
      </c>
      <c r="G118" s="313">
        <v>44218</v>
      </c>
      <c r="H118" s="624"/>
      <c r="I118" s="625"/>
      <c r="J118" s="626"/>
      <c r="K118" s="627"/>
      <c r="L118" s="628"/>
      <c r="M118" s="629"/>
      <c r="N118" s="627"/>
      <c r="O118" s="628"/>
      <c r="P118" s="630"/>
      <c r="Q118" s="631"/>
      <c r="R118" s="715"/>
      <c r="S118" s="715"/>
      <c r="T118" s="632"/>
      <c r="U118" s="633"/>
      <c r="V118" s="634"/>
      <c r="W118" s="635"/>
      <c r="X118" s="636"/>
      <c r="Y118" s="637"/>
      <c r="Z118" s="921"/>
      <c r="AA118" s="636"/>
      <c r="AB118" s="1056"/>
      <c r="AC118" s="736" t="s">
        <v>2588</v>
      </c>
      <c r="AD118" s="317"/>
      <c r="AE118" s="316"/>
      <c r="AF118" s="718"/>
      <c r="AG118" s="211"/>
      <c r="AH118" s="210"/>
    </row>
    <row r="119" spans="1:34" s="4" customFormat="1">
      <c r="A119" s="2"/>
      <c r="B119" s="310" t="s">
        <v>106</v>
      </c>
      <c r="C119" s="311" t="s">
        <v>33</v>
      </c>
      <c r="D119" s="1222" t="s">
        <v>2589</v>
      </c>
      <c r="E119" s="1224"/>
      <c r="F119" s="312" t="s">
        <v>2590</v>
      </c>
      <c r="G119" s="313">
        <v>44218</v>
      </c>
      <c r="H119" s="624"/>
      <c r="I119" s="625"/>
      <c r="J119" s="626"/>
      <c r="K119" s="627"/>
      <c r="L119" s="628"/>
      <c r="M119" s="629"/>
      <c r="N119" s="627"/>
      <c r="O119" s="628"/>
      <c r="P119" s="630"/>
      <c r="Q119" s="631"/>
      <c r="R119" s="715"/>
      <c r="S119" s="715"/>
      <c r="T119" s="632"/>
      <c r="U119" s="633" t="s">
        <v>2591</v>
      </c>
      <c r="V119" s="634"/>
      <c r="W119" s="635" t="s">
        <v>2302</v>
      </c>
      <c r="X119" s="636"/>
      <c r="Y119" s="637"/>
      <c r="Z119" s="987" t="s">
        <v>268</v>
      </c>
      <c r="AA119" s="919"/>
      <c r="AB119" s="1055">
        <v>0</v>
      </c>
      <c r="AC119" s="912" t="s">
        <v>2592</v>
      </c>
      <c r="AD119" s="913" t="s">
        <v>2593</v>
      </c>
      <c r="AE119" s="316"/>
      <c r="AF119" s="704"/>
      <c r="AG119" s="211"/>
      <c r="AH119" s="210"/>
    </row>
    <row r="120" spans="1:34" s="4" customFormat="1">
      <c r="A120" s="2"/>
      <c r="B120" s="310" t="s">
        <v>106</v>
      </c>
      <c r="C120" s="311" t="s">
        <v>33</v>
      </c>
      <c r="D120" s="1222" t="s">
        <v>2589</v>
      </c>
      <c r="E120" s="1224"/>
      <c r="F120" s="312" t="s">
        <v>2594</v>
      </c>
      <c r="G120" s="313">
        <v>44218</v>
      </c>
      <c r="H120" s="624"/>
      <c r="I120" s="625"/>
      <c r="J120" s="626" t="s">
        <v>2595</v>
      </c>
      <c r="K120" s="627" t="s">
        <v>2596</v>
      </c>
      <c r="L120" s="628">
        <v>44385</v>
      </c>
      <c r="M120" s="629">
        <v>2500</v>
      </c>
      <c r="N120" s="627" t="s">
        <v>2597</v>
      </c>
      <c r="O120" s="628">
        <v>44385</v>
      </c>
      <c r="P120" s="630" t="s">
        <v>2598</v>
      </c>
      <c r="Q120" s="631">
        <v>44406</v>
      </c>
      <c r="R120" s="715"/>
      <c r="S120" s="1068"/>
      <c r="T120" s="632">
        <v>7762.32</v>
      </c>
      <c r="U120" s="633" t="s">
        <v>2599</v>
      </c>
      <c r="V120" s="634">
        <v>44433</v>
      </c>
      <c r="W120" s="635" t="s">
        <v>2302</v>
      </c>
      <c r="X120" s="636">
        <v>7762.32</v>
      </c>
      <c r="Y120" s="636">
        <v>7762.32</v>
      </c>
      <c r="Z120" s="987">
        <f t="shared" ref="Z120" si="6">Y120/X120</f>
        <v>1</v>
      </c>
      <c r="AA120" s="919"/>
      <c r="AB120" s="1055">
        <v>0</v>
      </c>
      <c r="AC120" s="912" t="s">
        <v>2600</v>
      </c>
      <c r="AD120" s="913" t="s">
        <v>2601</v>
      </c>
      <c r="AE120" s="316"/>
      <c r="AF120" s="704"/>
      <c r="AG120" s="211"/>
      <c r="AH120" s="210"/>
    </row>
    <row r="121" spans="1:34" s="4" customFormat="1">
      <c r="A121" s="2"/>
      <c r="B121" s="310" t="s">
        <v>115</v>
      </c>
      <c r="C121" s="311" t="s">
        <v>27</v>
      </c>
      <c r="D121" s="1222"/>
      <c r="E121" s="1224"/>
      <c r="F121" s="312" t="s">
        <v>2602</v>
      </c>
      <c r="G121" s="313">
        <v>44218</v>
      </c>
      <c r="H121" s="624"/>
      <c r="I121" s="625"/>
      <c r="J121" s="626"/>
      <c r="K121" s="627"/>
      <c r="L121" s="628"/>
      <c r="M121" s="629"/>
      <c r="N121" s="627"/>
      <c r="O121" s="628"/>
      <c r="P121" s="630"/>
      <c r="Q121" s="631"/>
      <c r="R121" s="715"/>
      <c r="S121" s="715"/>
      <c r="T121" s="632"/>
      <c r="U121" s="633"/>
      <c r="V121" s="634"/>
      <c r="W121" s="635"/>
      <c r="X121" s="636"/>
      <c r="Y121" s="637"/>
      <c r="Z121" s="921"/>
      <c r="AA121" s="636"/>
      <c r="AB121" s="1056"/>
      <c r="AC121" s="736" t="s">
        <v>2603</v>
      </c>
      <c r="AD121" s="317" t="s">
        <v>2604</v>
      </c>
      <c r="AE121" s="316"/>
      <c r="AF121" s="718"/>
      <c r="AG121" s="211"/>
      <c r="AH121" s="210"/>
    </row>
    <row r="122" spans="1:34" s="4" customFormat="1">
      <c r="A122" s="2"/>
      <c r="B122" s="310" t="s">
        <v>115</v>
      </c>
      <c r="C122" s="311" t="s">
        <v>27</v>
      </c>
      <c r="D122" s="1222"/>
      <c r="E122" s="1224"/>
      <c r="F122" s="312" t="s">
        <v>2605</v>
      </c>
      <c r="G122" s="313">
        <v>44221</v>
      </c>
      <c r="H122" s="624"/>
      <c r="I122" s="625"/>
      <c r="J122" s="626"/>
      <c r="K122" s="627"/>
      <c r="L122" s="628"/>
      <c r="M122" s="629"/>
      <c r="N122" s="627"/>
      <c r="O122" s="628"/>
      <c r="P122" s="630"/>
      <c r="Q122" s="631"/>
      <c r="R122" s="715"/>
      <c r="S122" s="715"/>
      <c r="T122" s="632"/>
      <c r="U122" s="633"/>
      <c r="V122" s="634"/>
      <c r="W122" s="635"/>
      <c r="X122" s="636"/>
      <c r="Y122" s="637"/>
      <c r="Z122" s="921"/>
      <c r="AA122" s="636"/>
      <c r="AB122" s="1056"/>
      <c r="AC122" s="736" t="s">
        <v>2606</v>
      </c>
      <c r="AD122" s="317" t="s">
        <v>2607</v>
      </c>
      <c r="AE122" s="316"/>
      <c r="AF122" s="718"/>
      <c r="AG122" s="211"/>
      <c r="AH122" s="210"/>
    </row>
    <row r="123" spans="1:34" s="4" customFormat="1">
      <c r="A123" s="2"/>
      <c r="B123" s="310" t="s">
        <v>115</v>
      </c>
      <c r="C123" s="311" t="s">
        <v>27</v>
      </c>
      <c r="D123" s="1222"/>
      <c r="E123" s="1224"/>
      <c r="F123" s="312" t="s">
        <v>2608</v>
      </c>
      <c r="G123" s="313">
        <v>44221</v>
      </c>
      <c r="H123" s="624"/>
      <c r="I123" s="625"/>
      <c r="J123" s="626"/>
      <c r="K123" s="627"/>
      <c r="L123" s="628"/>
      <c r="M123" s="629"/>
      <c r="N123" s="627"/>
      <c r="O123" s="628"/>
      <c r="P123" s="630"/>
      <c r="Q123" s="631"/>
      <c r="R123" s="715"/>
      <c r="S123" s="715"/>
      <c r="T123" s="632"/>
      <c r="U123" s="633"/>
      <c r="V123" s="634"/>
      <c r="W123" s="635"/>
      <c r="X123" s="636"/>
      <c r="Y123" s="637"/>
      <c r="Z123" s="921"/>
      <c r="AA123" s="636"/>
      <c r="AB123" s="1056"/>
      <c r="AC123" s="736" t="s">
        <v>2609</v>
      </c>
      <c r="AD123" s="317" t="s">
        <v>2610</v>
      </c>
      <c r="AE123" s="316"/>
      <c r="AF123" s="718"/>
      <c r="AG123" s="211"/>
      <c r="AH123" s="210"/>
    </row>
    <row r="124" spans="1:34" s="4" customFormat="1">
      <c r="A124" s="2"/>
      <c r="B124" s="310" t="s">
        <v>115</v>
      </c>
      <c r="C124" s="311" t="s">
        <v>27</v>
      </c>
      <c r="D124" s="1222"/>
      <c r="E124" s="1224"/>
      <c r="F124" s="312" t="s">
        <v>2611</v>
      </c>
      <c r="G124" s="313">
        <v>44221</v>
      </c>
      <c r="H124" s="624"/>
      <c r="I124" s="625"/>
      <c r="J124" s="626"/>
      <c r="K124" s="627"/>
      <c r="L124" s="628"/>
      <c r="M124" s="629"/>
      <c r="N124" s="627"/>
      <c r="O124" s="628"/>
      <c r="P124" s="630"/>
      <c r="Q124" s="631"/>
      <c r="R124" s="715"/>
      <c r="S124" s="715"/>
      <c r="T124" s="632"/>
      <c r="U124" s="633"/>
      <c r="V124" s="634"/>
      <c r="W124" s="635"/>
      <c r="X124" s="636"/>
      <c r="Y124" s="637"/>
      <c r="Z124" s="921"/>
      <c r="AA124" s="636"/>
      <c r="AB124" s="1056"/>
      <c r="AC124" s="736" t="s">
        <v>2612</v>
      </c>
      <c r="AD124" s="317" t="s">
        <v>2613</v>
      </c>
      <c r="AE124" s="316"/>
      <c r="AF124" s="718"/>
      <c r="AG124" s="211"/>
      <c r="AH124" s="210"/>
    </row>
    <row r="125" spans="1:34" s="4" customFormat="1" ht="14.1" customHeight="1">
      <c r="A125" s="2"/>
      <c r="B125" s="310" t="s">
        <v>115</v>
      </c>
      <c r="C125" s="311" t="s">
        <v>27</v>
      </c>
      <c r="D125" s="1222"/>
      <c r="E125" s="1224"/>
      <c r="F125" s="312" t="s">
        <v>2614</v>
      </c>
      <c r="G125" s="313">
        <v>44221</v>
      </c>
      <c r="H125" s="624"/>
      <c r="I125" s="625"/>
      <c r="J125" s="626"/>
      <c r="K125" s="627"/>
      <c r="L125" s="628"/>
      <c r="M125" s="629"/>
      <c r="N125" s="627"/>
      <c r="O125" s="628"/>
      <c r="P125" s="630"/>
      <c r="Q125" s="631"/>
      <c r="R125" s="715"/>
      <c r="S125" s="715"/>
      <c r="T125" s="632"/>
      <c r="U125" s="633"/>
      <c r="V125" s="634"/>
      <c r="W125" s="635"/>
      <c r="X125" s="636"/>
      <c r="Y125" s="637"/>
      <c r="Z125" s="1000"/>
      <c r="AA125" s="920"/>
      <c r="AB125" s="1056"/>
      <c r="AC125" s="661" t="s">
        <v>2615</v>
      </c>
      <c r="AD125" s="317"/>
      <c r="AE125" s="316"/>
      <c r="AF125" s="718"/>
      <c r="AG125" s="211"/>
      <c r="AH125" s="210"/>
    </row>
    <row r="126" spans="1:34" s="4" customFormat="1">
      <c r="A126" s="2"/>
      <c r="B126" s="310" t="s">
        <v>115</v>
      </c>
      <c r="C126" s="311" t="s">
        <v>27</v>
      </c>
      <c r="D126" s="1222"/>
      <c r="E126" s="1224"/>
      <c r="F126" s="312" t="s">
        <v>2616</v>
      </c>
      <c r="G126" s="313">
        <v>44221</v>
      </c>
      <c r="H126" s="624"/>
      <c r="I126" s="625"/>
      <c r="J126" s="626"/>
      <c r="K126" s="627"/>
      <c r="L126" s="628"/>
      <c r="M126" s="629"/>
      <c r="N126" s="627"/>
      <c r="O126" s="628"/>
      <c r="P126" s="630"/>
      <c r="Q126" s="631"/>
      <c r="R126" s="715"/>
      <c r="S126" s="715"/>
      <c r="T126" s="632"/>
      <c r="U126" s="633"/>
      <c r="V126" s="634"/>
      <c r="W126" s="635"/>
      <c r="X126" s="636"/>
      <c r="Y126" s="637"/>
      <c r="Z126" s="921"/>
      <c r="AA126" s="636"/>
      <c r="AB126" s="1056"/>
      <c r="AC126" s="736" t="s">
        <v>2617</v>
      </c>
      <c r="AD126" s="317" t="s">
        <v>2618</v>
      </c>
      <c r="AE126" s="316"/>
      <c r="AF126" s="718"/>
      <c r="AG126" s="211"/>
      <c r="AH126" s="210"/>
    </row>
    <row r="127" spans="1:34" s="4" customFormat="1">
      <c r="A127" s="2"/>
      <c r="B127" s="310" t="s">
        <v>115</v>
      </c>
      <c r="C127" s="311" t="s">
        <v>27</v>
      </c>
      <c r="D127" s="1222"/>
      <c r="E127" s="1224"/>
      <c r="F127" s="312" t="s">
        <v>2619</v>
      </c>
      <c r="G127" s="313">
        <v>44221</v>
      </c>
      <c r="H127" s="624"/>
      <c r="I127" s="625"/>
      <c r="J127" s="626"/>
      <c r="K127" s="627"/>
      <c r="L127" s="628"/>
      <c r="M127" s="629"/>
      <c r="N127" s="627"/>
      <c r="O127" s="628"/>
      <c r="P127" s="630"/>
      <c r="Q127" s="631"/>
      <c r="R127" s="715"/>
      <c r="S127" s="715"/>
      <c r="T127" s="632"/>
      <c r="U127" s="633"/>
      <c r="V127" s="634"/>
      <c r="W127" s="635"/>
      <c r="X127" s="636"/>
      <c r="Y127" s="637"/>
      <c r="Z127" s="921"/>
      <c r="AA127" s="636"/>
      <c r="AB127" s="1056"/>
      <c r="AC127" s="736" t="s">
        <v>2620</v>
      </c>
      <c r="AD127" s="317" t="s">
        <v>2621</v>
      </c>
      <c r="AE127" s="316"/>
      <c r="AF127" s="718"/>
      <c r="AG127" s="211"/>
      <c r="AH127" s="210"/>
    </row>
    <row r="128" spans="1:34" s="4" customFormat="1">
      <c r="A128" s="2"/>
      <c r="B128" s="310" t="s">
        <v>106</v>
      </c>
      <c r="C128" s="311" t="s">
        <v>33</v>
      </c>
      <c r="D128" s="1222" t="s">
        <v>2622</v>
      </c>
      <c r="E128" s="1224"/>
      <c r="F128" s="312" t="s">
        <v>2623</v>
      </c>
      <c r="G128" s="313">
        <v>44222</v>
      </c>
      <c r="H128" s="624"/>
      <c r="I128" s="625"/>
      <c r="J128" s="626"/>
      <c r="K128" s="627" t="s">
        <v>2624</v>
      </c>
      <c r="L128" s="628">
        <v>44239</v>
      </c>
      <c r="M128" s="629">
        <v>7000</v>
      </c>
      <c r="N128" s="627" t="s">
        <v>2625</v>
      </c>
      <c r="O128" s="628">
        <v>44239</v>
      </c>
      <c r="P128" s="630" t="s">
        <v>2626</v>
      </c>
      <c r="Q128" s="631">
        <v>44250</v>
      </c>
      <c r="R128" s="715"/>
      <c r="S128" s="1068"/>
      <c r="T128" s="632">
        <v>15328.87</v>
      </c>
      <c r="U128" s="633" t="s">
        <v>2627</v>
      </c>
      <c r="V128" s="634">
        <v>44343</v>
      </c>
      <c r="W128" s="635" t="s">
        <v>2302</v>
      </c>
      <c r="X128" s="636">
        <v>14924.32</v>
      </c>
      <c r="Y128" s="636">
        <v>14924.32</v>
      </c>
      <c r="Z128" s="987">
        <f>Y128/X128</f>
        <v>1</v>
      </c>
      <c r="AA128" s="919"/>
      <c r="AB128" s="1055">
        <v>0</v>
      </c>
      <c r="AC128" s="912" t="s">
        <v>2628</v>
      </c>
      <c r="AD128" s="913" t="s">
        <v>2629</v>
      </c>
      <c r="AE128" s="669">
        <v>44236</v>
      </c>
      <c r="AF128" s="704"/>
      <c r="AG128" s="211"/>
      <c r="AH128" s="210"/>
    </row>
    <row r="129" spans="1:34" s="4" customFormat="1">
      <c r="A129" s="2"/>
      <c r="B129" s="310" t="s">
        <v>115</v>
      </c>
      <c r="C129" s="311" t="s">
        <v>27</v>
      </c>
      <c r="D129" s="1222"/>
      <c r="E129" s="1224"/>
      <c r="F129" s="657" t="s">
        <v>2630</v>
      </c>
      <c r="G129" s="313">
        <v>44222</v>
      </c>
      <c r="H129" s="624"/>
      <c r="I129" s="625"/>
      <c r="J129" s="626"/>
      <c r="K129" s="627"/>
      <c r="L129" s="628"/>
      <c r="M129" s="629"/>
      <c r="N129" s="627"/>
      <c r="O129" s="628"/>
      <c r="P129" s="630"/>
      <c r="Q129" s="631"/>
      <c r="R129" s="715"/>
      <c r="S129" s="715"/>
      <c r="T129" s="632"/>
      <c r="U129" s="633"/>
      <c r="V129" s="634"/>
      <c r="W129" s="635"/>
      <c r="X129" s="636"/>
      <c r="Y129" s="637"/>
      <c r="Z129" s="921"/>
      <c r="AA129" s="636"/>
      <c r="AB129" s="1056"/>
      <c r="AC129" s="736" t="s">
        <v>2631</v>
      </c>
      <c r="AD129" s="317"/>
      <c r="AE129" s="669">
        <v>44229</v>
      </c>
      <c r="AF129" s="718"/>
      <c r="AG129" s="211"/>
      <c r="AH129" s="210"/>
    </row>
    <row r="130" spans="1:34" s="4" customFormat="1">
      <c r="A130" s="2"/>
      <c r="B130" s="310" t="s">
        <v>119</v>
      </c>
      <c r="C130" s="311" t="s">
        <v>27</v>
      </c>
      <c r="D130" s="1222"/>
      <c r="E130" s="1224"/>
      <c r="F130" s="312" t="s">
        <v>2632</v>
      </c>
      <c r="G130" s="313">
        <v>44176</v>
      </c>
      <c r="H130" s="624"/>
      <c r="I130" s="625"/>
      <c r="J130" s="626"/>
      <c r="K130" s="627"/>
      <c r="L130" s="628"/>
      <c r="M130" s="629"/>
      <c r="N130" s="627"/>
      <c r="O130" s="628"/>
      <c r="P130" s="630"/>
      <c r="Q130" s="631"/>
      <c r="R130" s="715"/>
      <c r="S130" s="715"/>
      <c r="T130" s="632"/>
      <c r="U130" s="633"/>
      <c r="V130" s="634"/>
      <c r="W130" s="635"/>
      <c r="X130" s="636"/>
      <c r="Y130" s="637"/>
      <c r="Z130" s="1000"/>
      <c r="AA130" s="920"/>
      <c r="AB130" s="1056"/>
      <c r="AC130" s="4" t="s">
        <v>2633</v>
      </c>
      <c r="AD130" s="317"/>
      <c r="AE130" s="316"/>
      <c r="AF130" s="704"/>
      <c r="AG130" s="211"/>
      <c r="AH130" s="210"/>
    </row>
    <row r="131" spans="1:34" s="4" customFormat="1">
      <c r="A131" s="2"/>
      <c r="B131" s="310" t="s">
        <v>119</v>
      </c>
      <c r="C131" s="311" t="s">
        <v>27</v>
      </c>
      <c r="D131" s="1222"/>
      <c r="E131" s="1224"/>
      <c r="F131" s="312" t="s">
        <v>2634</v>
      </c>
      <c r="G131" s="313">
        <v>44180</v>
      </c>
      <c r="H131" s="624"/>
      <c r="I131" s="625"/>
      <c r="J131" s="626"/>
      <c r="K131" s="627"/>
      <c r="L131" s="628"/>
      <c r="M131" s="629"/>
      <c r="N131" s="627"/>
      <c r="O131" s="628"/>
      <c r="P131" s="630"/>
      <c r="Q131" s="631"/>
      <c r="R131" s="715"/>
      <c r="S131" s="715"/>
      <c r="T131" s="632"/>
      <c r="U131" s="633"/>
      <c r="V131" s="634"/>
      <c r="W131" s="635"/>
      <c r="X131" s="636"/>
      <c r="Y131" s="637"/>
      <c r="Z131" s="921"/>
      <c r="AA131" s="636"/>
      <c r="AB131" s="1056"/>
      <c r="AC131" s="736" t="s">
        <v>2635</v>
      </c>
      <c r="AD131" s="317"/>
      <c r="AE131" s="316"/>
      <c r="AF131" s="704"/>
      <c r="AG131" s="211"/>
      <c r="AH131" s="210"/>
    </row>
    <row r="132" spans="1:34" s="4" customFormat="1">
      <c r="A132" s="2"/>
      <c r="B132" s="310" t="s">
        <v>119</v>
      </c>
      <c r="C132" s="311" t="s">
        <v>27</v>
      </c>
      <c r="D132" s="1222"/>
      <c r="E132" s="1224"/>
      <c r="F132" s="312" t="s">
        <v>2636</v>
      </c>
      <c r="G132" s="313">
        <v>44229</v>
      </c>
      <c r="H132" s="624"/>
      <c r="I132" s="625"/>
      <c r="J132" s="626"/>
      <c r="K132" s="627"/>
      <c r="L132" s="628"/>
      <c r="M132" s="629"/>
      <c r="N132" s="627"/>
      <c r="O132" s="628"/>
      <c r="P132" s="630"/>
      <c r="Q132" s="631"/>
      <c r="R132" s="715"/>
      <c r="S132" s="715"/>
      <c r="T132" s="632"/>
      <c r="U132" s="633"/>
      <c r="V132" s="634"/>
      <c r="W132" s="635"/>
      <c r="X132" s="636"/>
      <c r="Y132" s="637"/>
      <c r="Z132" s="921"/>
      <c r="AA132" s="636"/>
      <c r="AB132" s="1056"/>
      <c r="AC132" s="736" t="s">
        <v>2637</v>
      </c>
      <c r="AD132" s="317"/>
      <c r="AE132" s="316"/>
      <c r="AF132" s="704"/>
      <c r="AG132" s="211"/>
      <c r="AH132" s="210"/>
    </row>
    <row r="133" spans="1:34" s="4" customFormat="1">
      <c r="A133" s="2"/>
      <c r="B133" s="310" t="s">
        <v>106</v>
      </c>
      <c r="C133" s="311" t="s">
        <v>33</v>
      </c>
      <c r="D133" s="1230" t="s">
        <v>2638</v>
      </c>
      <c r="E133" s="1226"/>
      <c r="F133" s="312" t="s">
        <v>2639</v>
      </c>
      <c r="G133" s="313">
        <v>44225</v>
      </c>
      <c r="H133" s="624"/>
      <c r="I133" s="625"/>
      <c r="J133" s="626"/>
      <c r="K133" s="627" t="s">
        <v>2640</v>
      </c>
      <c r="L133" s="628">
        <v>44235</v>
      </c>
      <c r="M133" s="629">
        <v>1000</v>
      </c>
      <c r="N133" s="627" t="s">
        <v>2641</v>
      </c>
      <c r="O133" s="628">
        <v>44236</v>
      </c>
      <c r="P133" s="630" t="s">
        <v>2642</v>
      </c>
      <c r="Q133" s="631">
        <v>44252</v>
      </c>
      <c r="R133" s="715"/>
      <c r="S133" s="1068"/>
      <c r="T133" s="632">
        <v>4066.22</v>
      </c>
      <c r="U133" s="634" t="s">
        <v>2643</v>
      </c>
      <c r="V133" s="634">
        <v>44315</v>
      </c>
      <c r="W133" s="635" t="s">
        <v>2302</v>
      </c>
      <c r="X133" s="636">
        <v>4066.22</v>
      </c>
      <c r="Y133" s="637">
        <v>4066.22</v>
      </c>
      <c r="Z133" s="987">
        <f>Y133/X133</f>
        <v>1</v>
      </c>
      <c r="AA133" s="919"/>
      <c r="AB133" s="1055">
        <v>0</v>
      </c>
      <c r="AC133" s="912" t="s">
        <v>2644</v>
      </c>
      <c r="AD133" s="913"/>
      <c r="AE133" s="316"/>
      <c r="AF133" s="704"/>
      <c r="AG133" s="211"/>
      <c r="AH133" s="210"/>
    </row>
    <row r="134" spans="1:34" s="4" customFormat="1">
      <c r="A134" s="2"/>
      <c r="B134" s="310" t="s">
        <v>115</v>
      </c>
      <c r="C134" s="311" t="s">
        <v>27</v>
      </c>
      <c r="D134" s="662"/>
      <c r="F134" s="312" t="s">
        <v>2645</v>
      </c>
      <c r="G134" s="313">
        <v>44225</v>
      </c>
      <c r="H134" s="624"/>
      <c r="I134" s="625"/>
      <c r="J134" s="626"/>
      <c r="K134" s="627"/>
      <c r="L134" s="628"/>
      <c r="M134" s="629"/>
      <c r="N134" s="627"/>
      <c r="O134" s="628"/>
      <c r="P134" s="630"/>
      <c r="Q134" s="631"/>
      <c r="R134" s="715"/>
      <c r="S134" s="715"/>
      <c r="T134" s="632"/>
      <c r="U134" s="633"/>
      <c r="V134" s="634"/>
      <c r="W134" s="635"/>
      <c r="X134" s="636"/>
      <c r="Y134" s="637"/>
      <c r="Z134" s="921"/>
      <c r="AA134" s="636"/>
      <c r="AB134" s="1056"/>
      <c r="AC134" s="736" t="s">
        <v>2646</v>
      </c>
      <c r="AD134" s="317" t="s">
        <v>2647</v>
      </c>
      <c r="AE134" s="316"/>
      <c r="AF134" s="718"/>
      <c r="AG134" s="211"/>
      <c r="AH134" s="210"/>
    </row>
    <row r="135" spans="1:34" s="4" customFormat="1">
      <c r="A135" s="2"/>
      <c r="B135" s="310" t="s">
        <v>106</v>
      </c>
      <c r="C135" s="311" t="s">
        <v>33</v>
      </c>
      <c r="D135" s="1222" t="s">
        <v>2648</v>
      </c>
      <c r="E135" s="1223"/>
      <c r="F135" s="312" t="s">
        <v>2649</v>
      </c>
      <c r="G135" s="313">
        <v>44225</v>
      </c>
      <c r="H135" s="624"/>
      <c r="I135" s="625"/>
      <c r="J135" s="626"/>
      <c r="K135" s="627" t="s">
        <v>2650</v>
      </c>
      <c r="L135" s="628">
        <v>44272</v>
      </c>
      <c r="M135" s="629">
        <v>10000</v>
      </c>
      <c r="N135" s="627" t="s">
        <v>2651</v>
      </c>
      <c r="O135" s="628"/>
      <c r="P135" s="630" t="s">
        <v>2652</v>
      </c>
      <c r="Q135" s="631">
        <v>44425</v>
      </c>
      <c r="R135" s="715"/>
      <c r="S135" s="1068"/>
      <c r="T135" s="632">
        <v>4970.24</v>
      </c>
      <c r="U135" s="633" t="s">
        <v>2653</v>
      </c>
      <c r="V135" s="634">
        <v>44414</v>
      </c>
      <c r="W135" s="635" t="s">
        <v>2302</v>
      </c>
      <c r="X135" s="636">
        <v>4970.24</v>
      </c>
      <c r="Y135" s="637">
        <v>4970.24</v>
      </c>
      <c r="Z135" s="987">
        <f t="shared" ref="Z135:Z136" si="7">Y135/X135</f>
        <v>1</v>
      </c>
      <c r="AA135" s="919"/>
      <c r="AB135" s="1055">
        <v>0</v>
      </c>
      <c r="AC135" s="912" t="s">
        <v>2654</v>
      </c>
      <c r="AD135" s="913"/>
      <c r="AE135" s="669">
        <v>44232</v>
      </c>
      <c r="AF135" s="704"/>
      <c r="AG135" s="211"/>
      <c r="AH135" s="210"/>
    </row>
    <row r="136" spans="1:34" s="4" customFormat="1">
      <c r="A136" s="2"/>
      <c r="B136" s="310" t="s">
        <v>106</v>
      </c>
      <c r="C136" s="311" t="s">
        <v>33</v>
      </c>
      <c r="D136" s="1222" t="s">
        <v>2655</v>
      </c>
      <c r="E136" s="1223"/>
      <c r="F136" s="312" t="s">
        <v>2656</v>
      </c>
      <c r="G136" s="313">
        <v>44225</v>
      </c>
      <c r="H136" s="624"/>
      <c r="I136" s="625"/>
      <c r="J136" s="626"/>
      <c r="K136" s="627" t="s">
        <v>2657</v>
      </c>
      <c r="L136" s="628">
        <v>44413</v>
      </c>
      <c r="M136" s="629">
        <v>12000</v>
      </c>
      <c r="N136" s="627" t="s">
        <v>2658</v>
      </c>
      <c r="O136" s="628">
        <v>44414</v>
      </c>
      <c r="P136" s="630" t="s">
        <v>2659</v>
      </c>
      <c r="Q136" s="631">
        <v>44452</v>
      </c>
      <c r="R136" s="715"/>
      <c r="S136" s="1068"/>
      <c r="T136" s="632">
        <v>54269.37</v>
      </c>
      <c r="U136" s="633" t="s">
        <v>2660</v>
      </c>
      <c r="V136" s="634">
        <v>44467</v>
      </c>
      <c r="W136" s="635" t="s">
        <v>2302</v>
      </c>
      <c r="X136" s="636">
        <v>54269.37</v>
      </c>
      <c r="Y136" s="636">
        <v>54269.37</v>
      </c>
      <c r="Z136" s="987">
        <f t="shared" si="7"/>
        <v>1</v>
      </c>
      <c r="AA136" s="919"/>
      <c r="AB136" s="1055">
        <v>0</v>
      </c>
      <c r="AC136" s="912" t="s">
        <v>2661</v>
      </c>
      <c r="AD136" s="913" t="s">
        <v>2662</v>
      </c>
      <c r="AE136" s="316"/>
      <c r="AF136" s="704"/>
      <c r="AG136" s="211"/>
      <c r="AH136" s="210"/>
    </row>
    <row r="137" spans="1:34" s="4" customFormat="1">
      <c r="A137" s="2"/>
      <c r="B137" s="310" t="s">
        <v>115</v>
      </c>
      <c r="C137" s="311" t="s">
        <v>27</v>
      </c>
      <c r="D137" s="662"/>
      <c r="E137" s="663"/>
      <c r="F137" s="312" t="s">
        <v>2663</v>
      </c>
      <c r="G137" s="313">
        <v>44225</v>
      </c>
      <c r="H137" s="624"/>
      <c r="I137" s="625"/>
      <c r="J137" s="626"/>
      <c r="K137" s="627"/>
      <c r="L137" s="628"/>
      <c r="M137" s="629"/>
      <c r="N137" s="627"/>
      <c r="O137" s="628"/>
      <c r="P137" s="630"/>
      <c r="Q137" s="631"/>
      <c r="R137" s="715"/>
      <c r="S137" s="715"/>
      <c r="T137" s="632"/>
      <c r="U137" s="633"/>
      <c r="V137" s="634"/>
      <c r="W137" s="635"/>
      <c r="X137" s="636"/>
      <c r="Y137" s="637"/>
      <c r="Z137" s="921"/>
      <c r="AA137" s="636"/>
      <c r="AB137" s="1056"/>
      <c r="AC137" s="736" t="s">
        <v>2664</v>
      </c>
      <c r="AD137" s="317" t="s">
        <v>2665</v>
      </c>
      <c r="AE137" s="316"/>
      <c r="AF137" s="718"/>
      <c r="AG137" s="211"/>
      <c r="AH137" s="210"/>
    </row>
    <row r="138" spans="1:34" s="4" customFormat="1">
      <c r="A138" s="2"/>
      <c r="B138" s="310" t="s">
        <v>115</v>
      </c>
      <c r="C138" s="311" t="s">
        <v>27</v>
      </c>
      <c r="D138" s="662"/>
      <c r="E138" s="663"/>
      <c r="F138" s="312" t="s">
        <v>2666</v>
      </c>
      <c r="G138" s="313">
        <v>40576</v>
      </c>
      <c r="H138" s="624"/>
      <c r="I138" s="625"/>
      <c r="J138" s="626"/>
      <c r="K138" s="627"/>
      <c r="L138" s="628"/>
      <c r="M138" s="629"/>
      <c r="N138" s="627"/>
      <c r="O138" s="628"/>
      <c r="P138" s="630"/>
      <c r="Q138" s="631"/>
      <c r="R138" s="715"/>
      <c r="S138" s="715"/>
      <c r="T138" s="632"/>
      <c r="U138" s="633"/>
      <c r="V138" s="634"/>
      <c r="W138" s="635"/>
      <c r="X138" s="636"/>
      <c r="Y138" s="637"/>
      <c r="Z138" s="921"/>
      <c r="AA138" s="636"/>
      <c r="AB138" s="1056"/>
      <c r="AC138" s="736" t="s">
        <v>2667</v>
      </c>
      <c r="AD138" s="317" t="s">
        <v>2668</v>
      </c>
      <c r="AE138" s="316"/>
      <c r="AF138" s="718"/>
      <c r="AG138" s="211"/>
      <c r="AH138" s="210"/>
    </row>
    <row r="139" spans="1:34" s="4" customFormat="1">
      <c r="A139" s="2"/>
      <c r="B139" s="310" t="s">
        <v>106</v>
      </c>
      <c r="C139" s="311" t="s">
        <v>33</v>
      </c>
      <c r="D139" s="1222" t="s">
        <v>2669</v>
      </c>
      <c r="E139" s="1224"/>
      <c r="F139" s="312" t="s">
        <v>2670</v>
      </c>
      <c r="G139" s="313">
        <v>40576</v>
      </c>
      <c r="H139" s="624"/>
      <c r="I139" s="625"/>
      <c r="J139" s="626"/>
      <c r="K139" s="627" t="s">
        <v>2671</v>
      </c>
      <c r="L139" s="628">
        <v>44245</v>
      </c>
      <c r="M139" s="629">
        <v>20000</v>
      </c>
      <c r="N139" s="627" t="s">
        <v>2672</v>
      </c>
      <c r="O139" s="628">
        <v>44239</v>
      </c>
      <c r="P139" s="630" t="s">
        <v>2673</v>
      </c>
      <c r="Q139" s="631">
        <v>44273</v>
      </c>
      <c r="R139" s="715"/>
      <c r="S139" s="1068"/>
      <c r="T139" s="632">
        <v>56461.15</v>
      </c>
      <c r="U139" s="633" t="s">
        <v>2674</v>
      </c>
      <c r="V139" s="634">
        <v>44319</v>
      </c>
      <c r="W139" s="635" t="s">
        <v>2302</v>
      </c>
      <c r="X139" s="636">
        <v>56461.15</v>
      </c>
      <c r="Y139" s="636">
        <v>56461.15</v>
      </c>
      <c r="Z139" s="987">
        <f>Y139/X139</f>
        <v>1</v>
      </c>
      <c r="AA139" s="919"/>
      <c r="AB139" s="1055">
        <v>0</v>
      </c>
      <c r="AC139" s="912" t="s">
        <v>2675</v>
      </c>
      <c r="AD139" s="913"/>
      <c r="AE139" s="669">
        <v>44235</v>
      </c>
      <c r="AF139" s="704"/>
      <c r="AG139" s="211"/>
      <c r="AH139" s="210"/>
    </row>
    <row r="140" spans="1:34" s="4" customFormat="1">
      <c r="A140" s="2"/>
      <c r="B140" s="310" t="s">
        <v>115</v>
      </c>
      <c r="C140" s="311" t="s">
        <v>27</v>
      </c>
      <c r="D140" s="1222"/>
      <c r="E140" s="1224"/>
      <c r="F140" s="312" t="s">
        <v>2676</v>
      </c>
      <c r="G140" s="313">
        <v>40576</v>
      </c>
      <c r="H140" s="624"/>
      <c r="I140" s="625"/>
      <c r="J140" s="626"/>
      <c r="K140" s="627"/>
      <c r="L140" s="628"/>
      <c r="M140" s="629"/>
      <c r="N140" s="627"/>
      <c r="O140" s="628"/>
      <c r="P140" s="630"/>
      <c r="Q140" s="631"/>
      <c r="R140" s="715"/>
      <c r="S140" s="715"/>
      <c r="T140" s="632"/>
      <c r="U140" s="633"/>
      <c r="V140" s="634"/>
      <c r="W140" s="635"/>
      <c r="X140" s="636"/>
      <c r="Y140" s="637"/>
      <c r="Z140" s="921"/>
      <c r="AA140" s="636"/>
      <c r="AB140" s="1056"/>
      <c r="AC140" s="736" t="s">
        <v>2677</v>
      </c>
      <c r="AD140" s="317" t="s">
        <v>2678</v>
      </c>
      <c r="AE140" s="669">
        <v>44235</v>
      </c>
      <c r="AF140" s="718"/>
      <c r="AG140" s="211"/>
      <c r="AH140" s="210"/>
    </row>
    <row r="141" spans="1:34" s="4" customFormat="1">
      <c r="A141" s="2"/>
      <c r="B141" s="310" t="s">
        <v>115</v>
      </c>
      <c r="C141" s="311" t="s">
        <v>27</v>
      </c>
      <c r="D141" s="1222"/>
      <c r="E141" s="1223"/>
      <c r="F141" s="312" t="s">
        <v>2679</v>
      </c>
      <c r="G141" s="313">
        <v>44228</v>
      </c>
      <c r="H141" s="624"/>
      <c r="I141" s="625"/>
      <c r="J141" s="626"/>
      <c r="K141" s="627"/>
      <c r="L141" s="628"/>
      <c r="M141" s="629"/>
      <c r="N141" s="627"/>
      <c r="O141" s="628"/>
      <c r="P141" s="630"/>
      <c r="Q141" s="631"/>
      <c r="R141" s="715"/>
      <c r="S141" s="715"/>
      <c r="T141" s="632"/>
      <c r="U141" s="633"/>
      <c r="V141" s="634"/>
      <c r="W141" s="635"/>
      <c r="X141" s="636"/>
      <c r="Y141" s="637"/>
      <c r="Z141" s="921"/>
      <c r="AA141" s="636"/>
      <c r="AB141" s="1056"/>
      <c r="AC141" s="736" t="s">
        <v>2680</v>
      </c>
      <c r="AD141" s="317" t="s">
        <v>2681</v>
      </c>
      <c r="AE141" s="669">
        <v>44235</v>
      </c>
      <c r="AF141" s="718"/>
      <c r="AG141" s="211"/>
      <c r="AH141" s="210"/>
    </row>
    <row r="142" spans="1:34" s="4" customFormat="1">
      <c r="A142" s="2"/>
      <c r="B142" s="310" t="s">
        <v>115</v>
      </c>
      <c r="C142" s="311" t="s">
        <v>27</v>
      </c>
      <c r="D142" s="1222"/>
      <c r="E142" s="1223"/>
      <c r="F142" s="312" t="s">
        <v>2682</v>
      </c>
      <c r="G142" s="313">
        <v>44229</v>
      </c>
      <c r="H142" s="624"/>
      <c r="I142" s="625"/>
      <c r="J142" s="626"/>
      <c r="K142" s="627"/>
      <c r="L142" s="628"/>
      <c r="M142" s="629"/>
      <c r="N142" s="627"/>
      <c r="O142" s="628"/>
      <c r="P142" s="630"/>
      <c r="Q142" s="631"/>
      <c r="R142" s="715"/>
      <c r="S142" s="715"/>
      <c r="T142" s="632"/>
      <c r="U142" s="633"/>
      <c r="V142" s="634"/>
      <c r="W142" s="635"/>
      <c r="X142" s="636"/>
      <c r="Y142" s="637"/>
      <c r="Z142" s="921"/>
      <c r="AA142" s="636"/>
      <c r="AB142" s="1056"/>
      <c r="AC142" s="736" t="s">
        <v>2683</v>
      </c>
      <c r="AD142" s="317"/>
      <c r="AE142" s="669">
        <v>44236</v>
      </c>
      <c r="AF142" s="718"/>
      <c r="AG142" s="211"/>
      <c r="AH142" s="210"/>
    </row>
    <row r="143" spans="1:34" s="4" customFormat="1">
      <c r="A143" s="2"/>
      <c r="B143" s="310" t="s">
        <v>119</v>
      </c>
      <c r="C143" s="311" t="s">
        <v>27</v>
      </c>
      <c r="D143" s="1222"/>
      <c r="E143" s="1223"/>
      <c r="F143" s="312" t="s">
        <v>2684</v>
      </c>
      <c r="G143" s="313">
        <v>44232</v>
      </c>
      <c r="H143" s="624"/>
      <c r="I143" s="625"/>
      <c r="J143" s="626"/>
      <c r="K143" s="627"/>
      <c r="L143" s="628"/>
      <c r="M143" s="629"/>
      <c r="N143" s="627"/>
      <c r="O143" s="628"/>
      <c r="P143" s="630"/>
      <c r="Q143" s="631"/>
      <c r="R143" s="715"/>
      <c r="S143" s="715"/>
      <c r="T143" s="632"/>
      <c r="U143" s="633"/>
      <c r="V143" s="634"/>
      <c r="W143" s="635"/>
      <c r="X143" s="636"/>
      <c r="Y143" s="637"/>
      <c r="Z143" s="921"/>
      <c r="AA143" s="636"/>
      <c r="AB143" s="1056"/>
      <c r="AC143" s="736" t="s">
        <v>2685</v>
      </c>
      <c r="AD143" s="317"/>
      <c r="AE143" s="316"/>
      <c r="AF143" s="704"/>
      <c r="AG143" s="211"/>
      <c r="AH143" s="210"/>
    </row>
    <row r="144" spans="1:34" s="4" customFormat="1">
      <c r="A144" s="2"/>
      <c r="B144" s="310" t="s">
        <v>115</v>
      </c>
      <c r="C144" s="311" t="s">
        <v>27</v>
      </c>
      <c r="D144" s="1222"/>
      <c r="E144" s="1223"/>
      <c r="F144" s="312" t="s">
        <v>2686</v>
      </c>
      <c r="G144" s="313">
        <v>44230</v>
      </c>
      <c r="H144" s="624"/>
      <c r="I144" s="625"/>
      <c r="J144" s="626"/>
      <c r="K144" s="627"/>
      <c r="L144" s="628"/>
      <c r="M144" s="629"/>
      <c r="N144" s="627"/>
      <c r="O144" s="628"/>
      <c r="P144" s="630"/>
      <c r="Q144" s="631"/>
      <c r="R144" s="715"/>
      <c r="S144" s="715"/>
      <c r="T144" s="632"/>
      <c r="U144" s="633"/>
      <c r="V144" s="634"/>
      <c r="W144" s="635"/>
      <c r="X144" s="636"/>
      <c r="Y144" s="637"/>
      <c r="Z144" s="921"/>
      <c r="AA144" s="636"/>
      <c r="AB144" s="1056"/>
      <c r="AC144" s="736" t="s">
        <v>2687</v>
      </c>
      <c r="AD144" s="317"/>
      <c r="AE144" s="669">
        <v>44237</v>
      </c>
      <c r="AF144" s="718"/>
      <c r="AG144" s="211"/>
      <c r="AH144" s="210"/>
    </row>
    <row r="145" spans="1:34" s="4" customFormat="1">
      <c r="A145" s="2"/>
      <c r="B145" s="310" t="s">
        <v>115</v>
      </c>
      <c r="C145" s="311" t="s">
        <v>27</v>
      </c>
      <c r="D145" s="1222"/>
      <c r="E145" s="1223"/>
      <c r="F145" s="312" t="s">
        <v>2688</v>
      </c>
      <c r="G145" s="313">
        <v>44230</v>
      </c>
      <c r="H145" s="624"/>
      <c r="I145" s="625"/>
      <c r="J145" s="626"/>
      <c r="K145" s="627"/>
      <c r="L145" s="628"/>
      <c r="M145" s="629"/>
      <c r="N145" s="627"/>
      <c r="O145" s="628"/>
      <c r="P145" s="630"/>
      <c r="Q145" s="631"/>
      <c r="R145" s="715"/>
      <c r="S145" s="715"/>
      <c r="T145" s="632"/>
      <c r="U145" s="633"/>
      <c r="V145" s="634"/>
      <c r="W145" s="635"/>
      <c r="X145" s="636"/>
      <c r="Y145" s="637"/>
      <c r="Z145" s="921"/>
      <c r="AA145" s="636"/>
      <c r="AB145" s="1056"/>
      <c r="AC145" s="736" t="s">
        <v>2689</v>
      </c>
      <c r="AD145" s="317"/>
      <c r="AE145" s="669">
        <v>44237</v>
      </c>
      <c r="AF145" s="718"/>
      <c r="AG145" s="211"/>
      <c r="AH145" s="210"/>
    </row>
    <row r="146" spans="1:34" s="4" customFormat="1">
      <c r="A146" s="2"/>
      <c r="B146" s="310" t="s">
        <v>115</v>
      </c>
      <c r="C146" s="311" t="s">
        <v>27</v>
      </c>
      <c r="D146" s="1222"/>
      <c r="E146" s="1223"/>
      <c r="F146" s="312" t="s">
        <v>2690</v>
      </c>
      <c r="G146" s="313">
        <v>44231</v>
      </c>
      <c r="H146" s="624"/>
      <c r="I146" s="625"/>
      <c r="J146" s="626"/>
      <c r="K146" s="627"/>
      <c r="L146" s="628"/>
      <c r="M146" s="629"/>
      <c r="N146" s="627"/>
      <c r="O146" s="628"/>
      <c r="P146" s="630"/>
      <c r="Q146" s="631"/>
      <c r="R146" s="715"/>
      <c r="S146" s="715"/>
      <c r="T146" s="632"/>
      <c r="U146" s="633"/>
      <c r="V146" s="634"/>
      <c r="W146" s="635"/>
      <c r="X146" s="636"/>
      <c r="Y146" s="637"/>
      <c r="Z146" s="921"/>
      <c r="AA146" s="636"/>
      <c r="AB146" s="1056"/>
      <c r="AC146" s="736" t="s">
        <v>2691</v>
      </c>
      <c r="AD146" s="317" t="s">
        <v>2692</v>
      </c>
      <c r="AE146" s="669">
        <v>44238</v>
      </c>
      <c r="AF146" s="718"/>
      <c r="AG146" s="211"/>
      <c r="AH146" s="210"/>
    </row>
    <row r="147" spans="1:34" s="4" customFormat="1">
      <c r="A147" s="2"/>
      <c r="B147" s="310" t="s">
        <v>115</v>
      </c>
      <c r="C147" s="311" t="s">
        <v>27</v>
      </c>
      <c r="D147" s="1222"/>
      <c r="E147" s="1223"/>
      <c r="F147" s="312" t="s">
        <v>2693</v>
      </c>
      <c r="G147" s="313">
        <v>44231</v>
      </c>
      <c r="H147" s="624"/>
      <c r="I147" s="625"/>
      <c r="J147" s="626"/>
      <c r="K147" s="627"/>
      <c r="L147" s="628"/>
      <c r="M147" s="629"/>
      <c r="N147" s="627"/>
      <c r="O147" s="628"/>
      <c r="P147" s="630"/>
      <c r="Q147" s="631"/>
      <c r="R147" s="715"/>
      <c r="S147" s="715"/>
      <c r="T147" s="632"/>
      <c r="U147" s="633"/>
      <c r="V147" s="634"/>
      <c r="W147" s="635"/>
      <c r="X147" s="636"/>
      <c r="Y147" s="637"/>
      <c r="Z147" s="921"/>
      <c r="AA147" s="636"/>
      <c r="AB147" s="1056"/>
      <c r="AC147" s="736" t="s">
        <v>2694</v>
      </c>
      <c r="AD147" s="317"/>
      <c r="AE147" s="669">
        <v>44238</v>
      </c>
      <c r="AF147" s="718"/>
      <c r="AG147" s="211"/>
      <c r="AH147" s="210"/>
    </row>
    <row r="148" spans="1:34" s="4" customFormat="1">
      <c r="A148" s="2"/>
      <c r="B148" s="310" t="s">
        <v>115</v>
      </c>
      <c r="C148" s="311" t="s">
        <v>27</v>
      </c>
      <c r="D148" s="1222"/>
      <c r="E148" s="1223"/>
      <c r="F148" s="312" t="s">
        <v>2695</v>
      </c>
      <c r="G148" s="313">
        <v>44231</v>
      </c>
      <c r="H148" s="624"/>
      <c r="I148" s="625"/>
      <c r="J148" s="626"/>
      <c r="K148" s="627"/>
      <c r="L148" s="628"/>
      <c r="M148" s="629"/>
      <c r="N148" s="627"/>
      <c r="O148" s="628"/>
      <c r="P148" s="630"/>
      <c r="Q148" s="631"/>
      <c r="R148" s="715"/>
      <c r="S148" s="715"/>
      <c r="T148" s="632"/>
      <c r="U148" s="633"/>
      <c r="V148" s="634"/>
      <c r="W148" s="635"/>
      <c r="X148" s="636"/>
      <c r="Y148" s="637"/>
      <c r="Z148" s="921"/>
      <c r="AA148" s="636"/>
      <c r="AB148" s="1056"/>
      <c r="AC148" s="736" t="s">
        <v>2696</v>
      </c>
      <c r="AD148" s="317"/>
      <c r="AE148" s="669">
        <v>44235</v>
      </c>
      <c r="AF148" s="718"/>
      <c r="AG148" s="211"/>
      <c r="AH148" s="210"/>
    </row>
    <row r="149" spans="1:34" s="4" customFormat="1">
      <c r="A149" s="2"/>
      <c r="B149" s="310" t="s">
        <v>115</v>
      </c>
      <c r="C149" s="311" t="s">
        <v>27</v>
      </c>
      <c r="D149" s="1222"/>
      <c r="E149" s="1223"/>
      <c r="F149" s="312" t="s">
        <v>2697</v>
      </c>
      <c r="G149" s="313">
        <v>44231</v>
      </c>
      <c r="H149" s="624"/>
      <c r="I149" s="625"/>
      <c r="J149" s="626"/>
      <c r="K149" s="627"/>
      <c r="L149" s="628"/>
      <c r="M149" s="629"/>
      <c r="N149" s="627"/>
      <c r="O149" s="628"/>
      <c r="P149" s="630"/>
      <c r="Q149" s="631"/>
      <c r="R149" s="715"/>
      <c r="S149" s="715"/>
      <c r="T149" s="632"/>
      <c r="U149" s="633"/>
      <c r="V149" s="634"/>
      <c r="W149" s="635"/>
      <c r="X149" s="636"/>
      <c r="Y149" s="637"/>
      <c r="Z149" s="921"/>
      <c r="AA149" s="636"/>
      <c r="AB149" s="1056"/>
      <c r="AC149" s="736" t="s">
        <v>2698</v>
      </c>
      <c r="AD149" s="317"/>
      <c r="AE149" s="669">
        <v>44238</v>
      </c>
      <c r="AF149" s="718"/>
      <c r="AG149" s="211"/>
      <c r="AH149" s="210"/>
    </row>
    <row r="150" spans="1:34" s="4" customFormat="1">
      <c r="A150" s="2"/>
      <c r="B150" s="310" t="s">
        <v>115</v>
      </c>
      <c r="C150" s="311" t="s">
        <v>27</v>
      </c>
      <c r="D150" s="1222"/>
      <c r="E150" s="1223"/>
      <c r="F150" s="312" t="s">
        <v>2699</v>
      </c>
      <c r="G150" s="313">
        <v>44232</v>
      </c>
      <c r="H150" s="624"/>
      <c r="I150" s="625"/>
      <c r="J150" s="626"/>
      <c r="K150" s="627"/>
      <c r="L150" s="628"/>
      <c r="M150" s="629"/>
      <c r="N150" s="627"/>
      <c r="O150" s="628"/>
      <c r="P150" s="630"/>
      <c r="Q150" s="631"/>
      <c r="R150" s="715"/>
      <c r="S150" s="715"/>
      <c r="T150" s="632"/>
      <c r="U150" s="633"/>
      <c r="V150" s="634"/>
      <c r="W150" s="635"/>
      <c r="X150" s="636"/>
      <c r="Y150" s="637"/>
      <c r="Z150" s="921"/>
      <c r="AA150" s="636"/>
      <c r="AB150" s="1056"/>
      <c r="AC150" s="736" t="s">
        <v>2700</v>
      </c>
      <c r="AD150" s="317" t="s">
        <v>2701</v>
      </c>
      <c r="AE150" s="669">
        <v>44243</v>
      </c>
      <c r="AF150" s="718"/>
      <c r="AG150" s="211"/>
      <c r="AH150" s="210"/>
    </row>
    <row r="151" spans="1:34" s="4" customFormat="1">
      <c r="A151" s="2"/>
      <c r="B151" s="310" t="s">
        <v>106</v>
      </c>
      <c r="C151" s="311" t="s">
        <v>33</v>
      </c>
      <c r="D151" s="1222" t="s">
        <v>2702</v>
      </c>
      <c r="E151" s="1223"/>
      <c r="F151" s="312"/>
      <c r="G151" s="313"/>
      <c r="H151" s="624"/>
      <c r="I151" s="625"/>
      <c r="J151" s="626"/>
      <c r="K151" s="627" t="s">
        <v>2703</v>
      </c>
      <c r="L151" s="628">
        <v>44232</v>
      </c>
      <c r="M151" s="629">
        <v>3000</v>
      </c>
      <c r="N151" s="627" t="s">
        <v>2704</v>
      </c>
      <c r="O151" s="628">
        <v>44232</v>
      </c>
      <c r="P151" s="630" t="s">
        <v>2705</v>
      </c>
      <c r="Q151" s="631">
        <v>44342</v>
      </c>
      <c r="R151" s="715"/>
      <c r="S151" s="1068"/>
      <c r="T151" s="632">
        <v>9076</v>
      </c>
      <c r="U151" s="633" t="s">
        <v>2706</v>
      </c>
      <c r="V151" s="634">
        <v>44365</v>
      </c>
      <c r="W151" s="635" t="s">
        <v>2302</v>
      </c>
      <c r="X151" s="636">
        <v>9076</v>
      </c>
      <c r="Y151" s="636">
        <v>9076</v>
      </c>
      <c r="Z151" s="987">
        <f t="shared" ref="Z151:Z152" si="8">Y151/X151</f>
        <v>1</v>
      </c>
      <c r="AA151" s="919"/>
      <c r="AB151" s="1055">
        <v>0</v>
      </c>
      <c r="AC151" s="912"/>
      <c r="AD151" s="913"/>
      <c r="AE151" s="316"/>
      <c r="AF151" s="704"/>
      <c r="AG151" s="211"/>
      <c r="AH151" s="210"/>
    </row>
    <row r="152" spans="1:34" s="4" customFormat="1">
      <c r="A152" s="2"/>
      <c r="B152" s="310" t="s">
        <v>106</v>
      </c>
      <c r="C152" s="311" t="s">
        <v>33</v>
      </c>
      <c r="D152" s="1222" t="s">
        <v>2707</v>
      </c>
      <c r="E152" s="1223"/>
      <c r="F152" s="312"/>
      <c r="G152" s="313"/>
      <c r="H152" s="624"/>
      <c r="I152" s="625"/>
      <c r="J152" s="626"/>
      <c r="K152" s="627" t="s">
        <v>2708</v>
      </c>
      <c r="L152" s="628">
        <v>44236</v>
      </c>
      <c r="M152" s="629">
        <v>10000</v>
      </c>
      <c r="N152" s="627" t="s">
        <v>2709</v>
      </c>
      <c r="O152" s="628">
        <v>44236</v>
      </c>
      <c r="P152" s="630" t="s">
        <v>2710</v>
      </c>
      <c r="Q152" s="631">
        <v>44246</v>
      </c>
      <c r="R152" s="715"/>
      <c r="S152" s="1068"/>
      <c r="T152" s="632">
        <v>19427.78</v>
      </c>
      <c r="U152" s="633" t="s">
        <v>2711</v>
      </c>
      <c r="V152" s="634">
        <v>44279</v>
      </c>
      <c r="W152" s="635" t="s">
        <v>105</v>
      </c>
      <c r="X152" s="636">
        <v>19427.78</v>
      </c>
      <c r="Y152" s="636">
        <v>19427.78</v>
      </c>
      <c r="Z152" s="987">
        <f t="shared" si="8"/>
        <v>1</v>
      </c>
      <c r="AA152" s="919"/>
      <c r="AB152" s="1055">
        <v>0</v>
      </c>
      <c r="AC152" s="912"/>
      <c r="AD152" s="913"/>
      <c r="AE152" s="316"/>
      <c r="AF152" s="704"/>
      <c r="AG152" s="211"/>
      <c r="AH152" s="210"/>
    </row>
    <row r="153" spans="1:34" s="4" customFormat="1">
      <c r="A153" s="2"/>
      <c r="B153" s="310" t="s">
        <v>115</v>
      </c>
      <c r="C153" s="311" t="s">
        <v>27</v>
      </c>
      <c r="D153" s="1222"/>
      <c r="E153" s="1223"/>
      <c r="F153" s="312" t="s">
        <v>2712</v>
      </c>
      <c r="G153" s="313">
        <v>44236</v>
      </c>
      <c r="H153" s="624"/>
      <c r="I153" s="625"/>
      <c r="J153" s="626"/>
      <c r="K153" s="627"/>
      <c r="L153" s="628"/>
      <c r="M153" s="629"/>
      <c r="N153" s="627"/>
      <c r="O153" s="628"/>
      <c r="P153" s="630"/>
      <c r="Q153" s="631"/>
      <c r="R153" s="715"/>
      <c r="S153" s="715"/>
      <c r="T153" s="632"/>
      <c r="U153" s="633"/>
      <c r="V153" s="634"/>
      <c r="W153" s="635"/>
      <c r="X153" s="636"/>
      <c r="Y153" s="637"/>
      <c r="Z153" s="921"/>
      <c r="AA153" s="636"/>
      <c r="AB153" s="1056"/>
      <c r="AC153" s="736" t="s">
        <v>2713</v>
      </c>
      <c r="AD153" s="317" t="s">
        <v>2714</v>
      </c>
      <c r="AE153" s="669">
        <v>44243</v>
      </c>
      <c r="AF153" s="718"/>
      <c r="AG153" s="211"/>
      <c r="AH153" s="210"/>
    </row>
    <row r="154" spans="1:34" s="4" customFormat="1">
      <c r="A154" s="2"/>
      <c r="B154" s="310" t="s">
        <v>106</v>
      </c>
      <c r="C154" s="311" t="s">
        <v>33</v>
      </c>
      <c r="D154" s="1222" t="s">
        <v>2715</v>
      </c>
      <c r="E154" s="1223"/>
      <c r="F154" s="312"/>
      <c r="G154" s="313"/>
      <c r="H154" s="624"/>
      <c r="I154" s="625"/>
      <c r="J154" s="626"/>
      <c r="K154" s="627" t="s">
        <v>2716</v>
      </c>
      <c r="L154" s="628">
        <v>44238</v>
      </c>
      <c r="M154" s="629">
        <v>30000</v>
      </c>
      <c r="N154" s="627" t="s">
        <v>2717</v>
      </c>
      <c r="O154" s="628">
        <v>44238</v>
      </c>
      <c r="P154" s="630" t="s">
        <v>2718</v>
      </c>
      <c r="Q154" s="631">
        <v>44369</v>
      </c>
      <c r="R154" s="715"/>
      <c r="S154" s="1068"/>
      <c r="T154" s="632">
        <v>17150.95</v>
      </c>
      <c r="U154" s="633" t="s">
        <v>2719</v>
      </c>
      <c r="V154" s="634">
        <v>44386</v>
      </c>
      <c r="W154" s="635" t="s">
        <v>2302</v>
      </c>
      <c r="X154" s="636">
        <v>17150.95</v>
      </c>
      <c r="Y154" s="637">
        <v>17150.95</v>
      </c>
      <c r="Z154" s="987">
        <f>Y154/X154</f>
        <v>1</v>
      </c>
      <c r="AA154" s="919"/>
      <c r="AB154" s="1055">
        <v>0</v>
      </c>
      <c r="AC154" s="912"/>
      <c r="AD154" s="913"/>
      <c r="AE154" s="669">
        <v>44243</v>
      </c>
      <c r="AF154" s="704"/>
      <c r="AG154" s="211"/>
      <c r="AH154" s="210"/>
    </row>
    <row r="155" spans="1:34" s="4" customFormat="1">
      <c r="A155" s="2"/>
      <c r="B155" s="310" t="s">
        <v>115</v>
      </c>
      <c r="C155" s="311" t="s">
        <v>27</v>
      </c>
      <c r="D155" s="1222"/>
      <c r="E155" s="1223"/>
      <c r="F155" s="312" t="s">
        <v>2720</v>
      </c>
      <c r="G155" s="313">
        <v>44237</v>
      </c>
      <c r="H155" s="624"/>
      <c r="I155" s="625"/>
      <c r="J155" s="626"/>
      <c r="K155" s="627"/>
      <c r="L155" s="628"/>
      <c r="M155" s="629"/>
      <c r="N155" s="627"/>
      <c r="O155" s="628"/>
      <c r="P155" s="630"/>
      <c r="Q155" s="631"/>
      <c r="R155" s="715"/>
      <c r="S155" s="715"/>
      <c r="T155" s="632"/>
      <c r="U155" s="633"/>
      <c r="V155" s="634"/>
      <c r="W155" s="635"/>
      <c r="X155" s="636"/>
      <c r="Y155" s="637"/>
      <c r="Z155" s="921"/>
      <c r="AA155" s="636"/>
      <c r="AB155" s="1056"/>
      <c r="AC155" s="736" t="s">
        <v>2721</v>
      </c>
      <c r="AD155" s="317"/>
      <c r="AE155" s="669">
        <v>44244</v>
      </c>
      <c r="AF155" s="718"/>
      <c r="AG155" s="211"/>
      <c r="AH155" s="210"/>
    </row>
    <row r="156" spans="1:34" s="4" customFormat="1">
      <c r="A156" s="2"/>
      <c r="B156" s="310" t="s">
        <v>115</v>
      </c>
      <c r="C156" s="311" t="s">
        <v>27</v>
      </c>
      <c r="D156" s="1222"/>
      <c r="E156" s="1223"/>
      <c r="F156" s="312" t="s">
        <v>2722</v>
      </c>
      <c r="G156" s="313">
        <v>44237</v>
      </c>
      <c r="H156" s="624"/>
      <c r="I156" s="625"/>
      <c r="J156" s="626"/>
      <c r="K156" s="627"/>
      <c r="L156" s="628"/>
      <c r="M156" s="629"/>
      <c r="N156" s="627"/>
      <c r="O156" s="628"/>
      <c r="P156" s="630"/>
      <c r="Q156" s="631"/>
      <c r="R156" s="715"/>
      <c r="S156" s="715"/>
      <c r="T156" s="632"/>
      <c r="U156" s="633"/>
      <c r="V156" s="634"/>
      <c r="W156" s="635"/>
      <c r="X156" s="636"/>
      <c r="Y156" s="637"/>
      <c r="Z156" s="921"/>
      <c r="AA156" s="636"/>
      <c r="AB156" s="1056"/>
      <c r="AC156" s="736" t="s">
        <v>2723</v>
      </c>
      <c r="AD156" s="317"/>
      <c r="AE156" s="669">
        <v>44244</v>
      </c>
      <c r="AF156" s="718"/>
      <c r="AG156" s="211"/>
      <c r="AH156" s="210"/>
    </row>
    <row r="157" spans="1:34" s="4" customFormat="1">
      <c r="A157" s="2"/>
      <c r="B157" s="310" t="s">
        <v>115</v>
      </c>
      <c r="C157" s="311" t="s">
        <v>27</v>
      </c>
      <c r="D157" s="1222"/>
      <c r="E157" s="1223"/>
      <c r="F157" s="312" t="s">
        <v>2724</v>
      </c>
      <c r="G157" s="313">
        <v>44237</v>
      </c>
      <c r="H157" s="624"/>
      <c r="I157" s="625"/>
      <c r="J157" s="626"/>
      <c r="K157" s="627"/>
      <c r="L157" s="628"/>
      <c r="M157" s="629"/>
      <c r="N157" s="627"/>
      <c r="O157" s="628"/>
      <c r="P157" s="630"/>
      <c r="Q157" s="631"/>
      <c r="R157" s="715"/>
      <c r="S157" s="715"/>
      <c r="T157" s="632"/>
      <c r="U157" s="633"/>
      <c r="V157" s="634"/>
      <c r="W157" s="635"/>
      <c r="X157" s="636"/>
      <c r="Y157" s="637"/>
      <c r="Z157" s="921"/>
      <c r="AA157" s="636"/>
      <c r="AB157" s="1056"/>
      <c r="AC157" s="736" t="s">
        <v>2725</v>
      </c>
      <c r="AD157" s="317"/>
      <c r="AE157" s="669">
        <v>44244</v>
      </c>
      <c r="AF157" s="718"/>
      <c r="AG157" s="211"/>
      <c r="AH157" s="210"/>
    </row>
    <row r="158" spans="1:34" s="4" customFormat="1">
      <c r="A158" s="2"/>
      <c r="B158" s="310" t="s">
        <v>115</v>
      </c>
      <c r="C158" s="311" t="s">
        <v>27</v>
      </c>
      <c r="D158" s="1222"/>
      <c r="E158" s="1223"/>
      <c r="F158" s="312" t="s">
        <v>2726</v>
      </c>
      <c r="G158" s="313">
        <v>44238</v>
      </c>
      <c r="H158" s="624"/>
      <c r="I158" s="625"/>
      <c r="J158" s="626"/>
      <c r="K158" s="627"/>
      <c r="L158" s="628"/>
      <c r="M158" s="629"/>
      <c r="N158" s="627"/>
      <c r="O158" s="628"/>
      <c r="P158" s="630"/>
      <c r="Q158" s="631"/>
      <c r="R158" s="715"/>
      <c r="S158" s="715"/>
      <c r="T158" s="632"/>
      <c r="U158" s="633"/>
      <c r="V158" s="634"/>
      <c r="W158" s="635"/>
      <c r="X158" s="636"/>
      <c r="Y158" s="637"/>
      <c r="Z158" s="921"/>
      <c r="AA158" s="636"/>
      <c r="AB158" s="1056"/>
      <c r="AC158" s="736" t="s">
        <v>2727</v>
      </c>
      <c r="AD158" s="317"/>
      <c r="AE158" s="669">
        <v>44245</v>
      </c>
      <c r="AF158" s="718"/>
      <c r="AG158" s="211"/>
      <c r="AH158" s="210"/>
    </row>
    <row r="159" spans="1:34" s="4" customFormat="1">
      <c r="A159" s="2"/>
      <c r="B159" s="310" t="s">
        <v>115</v>
      </c>
      <c r="C159" s="311" t="s">
        <v>27</v>
      </c>
      <c r="D159" s="1222"/>
      <c r="E159" s="1223"/>
      <c r="F159" s="312" t="s">
        <v>2728</v>
      </c>
      <c r="G159" s="313">
        <v>44238</v>
      </c>
      <c r="H159" s="624"/>
      <c r="I159" s="625"/>
      <c r="J159" s="626"/>
      <c r="K159" s="627"/>
      <c r="L159" s="628"/>
      <c r="M159" s="629"/>
      <c r="N159" s="627"/>
      <c r="O159" s="628"/>
      <c r="P159" s="630"/>
      <c r="Q159" s="631"/>
      <c r="R159" s="715"/>
      <c r="S159" s="715"/>
      <c r="T159" s="632"/>
      <c r="U159" s="633"/>
      <c r="V159" s="634"/>
      <c r="W159" s="635"/>
      <c r="X159" s="636"/>
      <c r="Y159" s="637"/>
      <c r="Z159" s="921"/>
      <c r="AA159" s="636"/>
      <c r="AB159" s="1056"/>
      <c r="AC159" s="736" t="s">
        <v>2729</v>
      </c>
      <c r="AD159" s="317"/>
      <c r="AE159" s="669">
        <v>44245</v>
      </c>
      <c r="AF159" s="718"/>
      <c r="AG159" s="211"/>
      <c r="AH159" s="210"/>
    </row>
    <row r="160" spans="1:34" s="4" customFormat="1" ht="27.95">
      <c r="A160" s="2"/>
      <c r="B160" s="310" t="s">
        <v>106</v>
      </c>
      <c r="C160" s="311" t="s">
        <v>33</v>
      </c>
      <c r="D160" s="1222" t="s">
        <v>2730</v>
      </c>
      <c r="E160" s="1223"/>
      <c r="F160" s="312" t="s">
        <v>2731</v>
      </c>
      <c r="G160" s="313">
        <v>44238</v>
      </c>
      <c r="H160" s="624"/>
      <c r="I160" s="625"/>
      <c r="J160" s="626"/>
      <c r="K160" s="627" t="s">
        <v>2732</v>
      </c>
      <c r="L160" s="628">
        <v>44257</v>
      </c>
      <c r="M160" s="629">
        <v>11000</v>
      </c>
      <c r="N160" s="627" t="s">
        <v>2733</v>
      </c>
      <c r="O160" s="628">
        <v>44258</v>
      </c>
      <c r="P160" s="630" t="s">
        <v>2734</v>
      </c>
      <c r="Q160" s="631">
        <v>44267</v>
      </c>
      <c r="R160" s="715"/>
      <c r="S160" s="1068"/>
      <c r="T160" s="632">
        <v>8068.32</v>
      </c>
      <c r="U160" s="633" t="s">
        <v>2735</v>
      </c>
      <c r="V160" s="634">
        <v>44315</v>
      </c>
      <c r="W160" s="635" t="s">
        <v>2302</v>
      </c>
      <c r="X160" s="636">
        <v>8068.32</v>
      </c>
      <c r="Y160" s="636">
        <v>8068.32</v>
      </c>
      <c r="Z160" s="987">
        <f>Y160/X160</f>
        <v>1</v>
      </c>
      <c r="AA160" s="919"/>
      <c r="AB160" s="1055">
        <v>0</v>
      </c>
      <c r="AC160" s="912" t="s">
        <v>2736</v>
      </c>
      <c r="AD160" s="913" t="s">
        <v>2737</v>
      </c>
      <c r="AE160" s="669">
        <v>44252</v>
      </c>
      <c r="AF160" s="704"/>
      <c r="AG160" s="211"/>
      <c r="AH160" s="210"/>
    </row>
    <row r="161" spans="1:34" s="4" customFormat="1">
      <c r="A161" s="2"/>
      <c r="B161" s="310" t="s">
        <v>106</v>
      </c>
      <c r="C161" s="311" t="s">
        <v>33</v>
      </c>
      <c r="D161" s="1222" t="s">
        <v>2738</v>
      </c>
      <c r="E161" s="1223"/>
      <c r="F161" s="312" t="s">
        <v>2739</v>
      </c>
      <c r="G161" s="313">
        <v>44238</v>
      </c>
      <c r="H161" s="624"/>
      <c r="I161" s="625"/>
      <c r="J161" s="626"/>
      <c r="K161" s="627" t="s">
        <v>2740</v>
      </c>
      <c r="L161" s="628">
        <v>44699</v>
      </c>
      <c r="M161" s="629">
        <v>18000</v>
      </c>
      <c r="N161" s="627" t="s">
        <v>2741</v>
      </c>
      <c r="O161" s="628">
        <v>44699</v>
      </c>
      <c r="P161" s="630" t="s">
        <v>2742</v>
      </c>
      <c r="Q161" s="631">
        <v>44729</v>
      </c>
      <c r="R161" s="715">
        <v>44813</v>
      </c>
      <c r="S161" s="1068"/>
      <c r="T161" s="632">
        <v>49387.66</v>
      </c>
      <c r="U161" s="633" t="s">
        <v>2743</v>
      </c>
      <c r="V161" s="634">
        <v>44810</v>
      </c>
      <c r="W161" s="635" t="s">
        <v>2302</v>
      </c>
      <c r="X161" s="636">
        <v>49387.66</v>
      </c>
      <c r="Y161" s="636">
        <v>49387.66</v>
      </c>
      <c r="Z161" s="987">
        <f>Y161/X161</f>
        <v>1</v>
      </c>
      <c r="AA161" s="636"/>
      <c r="AB161" s="1055">
        <v>0</v>
      </c>
      <c r="AC161" s="912" t="s">
        <v>2744</v>
      </c>
      <c r="AD161" s="913"/>
      <c r="AE161" s="669">
        <v>44245</v>
      </c>
      <c r="AF161" s="718"/>
      <c r="AG161" s="211"/>
      <c r="AH161" s="210"/>
    </row>
    <row r="162" spans="1:34" s="4" customFormat="1">
      <c r="A162" s="2"/>
      <c r="B162" s="310" t="s">
        <v>106</v>
      </c>
      <c r="C162" s="311" t="s">
        <v>33</v>
      </c>
      <c r="D162" s="1222" t="s">
        <v>2745</v>
      </c>
      <c r="E162" s="1223"/>
      <c r="F162" s="312" t="s">
        <v>2746</v>
      </c>
      <c r="G162" s="313">
        <v>44239</v>
      </c>
      <c r="H162" s="624"/>
      <c r="I162" s="625"/>
      <c r="J162" s="626"/>
      <c r="K162" s="627" t="s">
        <v>2747</v>
      </c>
      <c r="L162" s="628">
        <v>44412</v>
      </c>
      <c r="M162" s="629">
        <v>100000</v>
      </c>
      <c r="N162" s="627" t="s">
        <v>2748</v>
      </c>
      <c r="O162" s="628">
        <v>44413</v>
      </c>
      <c r="P162" s="630" t="s">
        <v>2749</v>
      </c>
      <c r="Q162" s="631">
        <v>44478</v>
      </c>
      <c r="R162" s="715"/>
      <c r="S162" s="1068"/>
      <c r="T162" s="632">
        <v>260534.25</v>
      </c>
      <c r="U162" s="633" t="s">
        <v>2750</v>
      </c>
      <c r="V162" s="634">
        <v>44531</v>
      </c>
      <c r="W162" s="635" t="s">
        <v>2302</v>
      </c>
      <c r="X162" s="636">
        <v>139377.72</v>
      </c>
      <c r="Y162" s="636">
        <v>139377.72</v>
      </c>
      <c r="Z162" s="987">
        <f>Y162/X162</f>
        <v>1</v>
      </c>
      <c r="AA162" s="919"/>
      <c r="AB162" s="1055">
        <v>1</v>
      </c>
      <c r="AC162" s="912" t="s">
        <v>2751</v>
      </c>
      <c r="AD162" s="913" t="s">
        <v>2752</v>
      </c>
      <c r="AE162" s="669">
        <v>44246</v>
      </c>
      <c r="AF162" s="704"/>
      <c r="AG162" s="211"/>
      <c r="AH162" s="210"/>
    </row>
    <row r="163" spans="1:34" s="4" customFormat="1">
      <c r="A163" s="2"/>
      <c r="B163" s="310" t="s">
        <v>115</v>
      </c>
      <c r="C163" s="311" t="s">
        <v>27</v>
      </c>
      <c r="D163" s="1222"/>
      <c r="E163" s="1223"/>
      <c r="F163" s="312" t="s">
        <v>2753</v>
      </c>
      <c r="G163" s="313">
        <v>44243</v>
      </c>
      <c r="H163" s="624"/>
      <c r="I163" s="625"/>
      <c r="J163" s="626"/>
      <c r="K163" s="627"/>
      <c r="L163" s="628"/>
      <c r="M163" s="629"/>
      <c r="N163" s="627"/>
      <c r="O163" s="628"/>
      <c r="P163" s="630"/>
      <c r="Q163" s="631"/>
      <c r="R163" s="715"/>
      <c r="S163" s="715"/>
      <c r="T163" s="632"/>
      <c r="U163" s="633"/>
      <c r="V163" s="634"/>
      <c r="W163" s="635"/>
      <c r="X163" s="636"/>
      <c r="Y163" s="637"/>
      <c r="Z163" s="921"/>
      <c r="AA163" s="636"/>
      <c r="AB163" s="1056"/>
      <c r="AC163" s="736" t="s">
        <v>2754</v>
      </c>
      <c r="AD163" s="317" t="s">
        <v>2755</v>
      </c>
      <c r="AE163" s="669">
        <v>44250</v>
      </c>
      <c r="AF163" s="718"/>
      <c r="AG163" s="211"/>
      <c r="AH163" s="210"/>
    </row>
    <row r="164" spans="1:34" s="4" customFormat="1">
      <c r="A164" s="2"/>
      <c r="B164" s="310" t="s">
        <v>106</v>
      </c>
      <c r="C164" s="311" t="s">
        <v>33</v>
      </c>
      <c r="D164" s="1222" t="s">
        <v>2756</v>
      </c>
      <c r="E164" s="1223"/>
      <c r="F164" s="312"/>
      <c r="G164" s="313"/>
      <c r="H164" s="624"/>
      <c r="I164" s="625"/>
      <c r="J164" s="626"/>
      <c r="K164" s="627" t="s">
        <v>2757</v>
      </c>
      <c r="L164" s="628">
        <v>44249</v>
      </c>
      <c r="M164" s="629">
        <v>5000</v>
      </c>
      <c r="N164" s="627" t="s">
        <v>2758</v>
      </c>
      <c r="O164" s="628">
        <v>44252</v>
      </c>
      <c r="P164" s="630" t="s">
        <v>2759</v>
      </c>
      <c r="Q164" s="631">
        <v>44267</v>
      </c>
      <c r="R164" s="715"/>
      <c r="S164" s="1068"/>
      <c r="T164" s="632">
        <v>640.38</v>
      </c>
      <c r="U164" s="633" t="s">
        <v>2760</v>
      </c>
      <c r="V164" s="634">
        <v>44315</v>
      </c>
      <c r="W164" s="635" t="s">
        <v>93</v>
      </c>
      <c r="X164" s="636">
        <v>640.38</v>
      </c>
      <c r="Y164" s="637">
        <v>640.38</v>
      </c>
      <c r="Z164" s="987">
        <f>Y164/X164</f>
        <v>1</v>
      </c>
      <c r="AA164" s="919"/>
      <c r="AB164" s="1055">
        <v>0</v>
      </c>
      <c r="AC164" s="912"/>
      <c r="AD164" s="913"/>
      <c r="AE164" s="316"/>
      <c r="AF164" s="704"/>
      <c r="AG164" s="211"/>
      <c r="AH164" s="210"/>
    </row>
    <row r="165" spans="1:34" s="4" customFormat="1">
      <c r="A165" s="2"/>
      <c r="B165" s="310" t="s">
        <v>115</v>
      </c>
      <c r="C165" s="311" t="s">
        <v>27</v>
      </c>
      <c r="D165" s="1222"/>
      <c r="E165" s="1223"/>
      <c r="F165" s="312" t="s">
        <v>2761</v>
      </c>
      <c r="G165" s="313">
        <v>44246</v>
      </c>
      <c r="H165" s="624"/>
      <c r="I165" s="625"/>
      <c r="J165" s="626"/>
      <c r="K165" s="627"/>
      <c r="L165" s="628"/>
      <c r="M165" s="629"/>
      <c r="N165" s="627"/>
      <c r="O165" s="628"/>
      <c r="P165" s="630"/>
      <c r="Q165" s="631"/>
      <c r="R165" s="715"/>
      <c r="S165" s="715"/>
      <c r="T165" s="632"/>
      <c r="U165" s="633"/>
      <c r="V165" s="634"/>
      <c r="W165" s="635"/>
      <c r="X165" s="636"/>
      <c r="Y165" s="637"/>
      <c r="Z165" s="1001"/>
      <c r="AA165" s="920"/>
      <c r="AB165" s="1056"/>
      <c r="AC165" s="4" t="s">
        <v>2762</v>
      </c>
      <c r="AD165" s="317"/>
      <c r="AE165" s="669">
        <v>44260</v>
      </c>
      <c r="AF165" s="718"/>
      <c r="AG165" s="211"/>
      <c r="AH165" s="210"/>
    </row>
    <row r="166" spans="1:34" s="4" customFormat="1">
      <c r="A166" s="2"/>
      <c r="B166" s="310" t="s">
        <v>115</v>
      </c>
      <c r="C166" s="311" t="s">
        <v>27</v>
      </c>
      <c r="D166" s="1222"/>
      <c r="E166" s="1223"/>
      <c r="F166" s="312" t="s">
        <v>2763</v>
      </c>
      <c r="G166" s="313">
        <v>44246</v>
      </c>
      <c r="H166" s="624"/>
      <c r="I166" s="625"/>
      <c r="J166" s="626"/>
      <c r="K166" s="627"/>
      <c r="L166" s="628"/>
      <c r="M166" s="629"/>
      <c r="N166" s="627"/>
      <c r="O166" s="628"/>
      <c r="P166" s="630"/>
      <c r="Q166" s="631"/>
      <c r="R166" s="715"/>
      <c r="S166" s="715"/>
      <c r="T166" s="632"/>
      <c r="U166" s="633"/>
      <c r="V166" s="634"/>
      <c r="W166" s="635"/>
      <c r="X166" s="636"/>
      <c r="Y166" s="637"/>
      <c r="Z166" s="725"/>
      <c r="AA166" s="636"/>
      <c r="AB166" s="1056"/>
      <c r="AC166" s="736" t="s">
        <v>2764</v>
      </c>
      <c r="AD166" s="317"/>
      <c r="AE166" s="669">
        <v>44251</v>
      </c>
      <c r="AF166" s="718"/>
      <c r="AG166" s="211"/>
      <c r="AH166" s="210"/>
    </row>
    <row r="167" spans="1:34" s="4" customFormat="1">
      <c r="A167" s="2"/>
      <c r="B167" s="310" t="s">
        <v>119</v>
      </c>
      <c r="C167" s="311" t="s">
        <v>27</v>
      </c>
      <c r="D167" s="1222"/>
      <c r="E167" s="1223"/>
      <c r="F167" s="312" t="s">
        <v>2765</v>
      </c>
      <c r="G167" s="313">
        <v>44263</v>
      </c>
      <c r="H167" s="624"/>
      <c r="I167" s="625"/>
      <c r="J167" s="626"/>
      <c r="K167" s="627"/>
      <c r="L167" s="628"/>
      <c r="M167" s="629"/>
      <c r="N167" s="627"/>
      <c r="O167" s="628"/>
      <c r="P167" s="630"/>
      <c r="Q167" s="631"/>
      <c r="R167" s="715"/>
      <c r="S167" s="715"/>
      <c r="T167" s="632"/>
      <c r="U167" s="633"/>
      <c r="V167" s="634"/>
      <c r="W167" s="635"/>
      <c r="X167" s="636"/>
      <c r="Y167" s="637"/>
      <c r="Z167" s="725"/>
      <c r="AA167" s="636"/>
      <c r="AB167" s="1056"/>
      <c r="AC167" s="736" t="s">
        <v>2766</v>
      </c>
      <c r="AD167" s="317" t="s">
        <v>2767</v>
      </c>
      <c r="AF167" s="704"/>
      <c r="AG167" s="211"/>
      <c r="AH167" s="210"/>
    </row>
    <row r="168" spans="1:34" s="4" customFormat="1">
      <c r="A168" s="2"/>
      <c r="B168" s="310" t="s">
        <v>115</v>
      </c>
      <c r="C168" s="311" t="s">
        <v>27</v>
      </c>
      <c r="D168" s="1222"/>
      <c r="E168" s="1223"/>
      <c r="F168" s="312" t="s">
        <v>2768</v>
      </c>
      <c r="G168" s="313">
        <v>44249</v>
      </c>
      <c r="H168" s="624"/>
      <c r="I168" s="625"/>
      <c r="J168" s="626"/>
      <c r="K168" s="627"/>
      <c r="L168" s="628"/>
      <c r="M168" s="629"/>
      <c r="N168" s="627"/>
      <c r="O168" s="628"/>
      <c r="P168" s="630"/>
      <c r="Q168" s="631"/>
      <c r="R168" s="715"/>
      <c r="S168" s="715"/>
      <c r="T168" s="632"/>
      <c r="U168" s="633"/>
      <c r="V168" s="634"/>
      <c r="W168" s="635"/>
      <c r="X168" s="636"/>
      <c r="Y168" s="637"/>
      <c r="Z168" s="725"/>
      <c r="AA168" s="636"/>
      <c r="AB168" s="1056"/>
      <c r="AC168" s="736" t="s">
        <v>2769</v>
      </c>
      <c r="AD168" s="317"/>
      <c r="AE168" s="669">
        <v>44256</v>
      </c>
      <c r="AF168" s="718"/>
      <c r="AG168" s="211"/>
      <c r="AH168" s="210"/>
    </row>
    <row r="169" spans="1:34" s="4" customFormat="1">
      <c r="A169" s="2"/>
      <c r="B169" s="310" t="s">
        <v>115</v>
      </c>
      <c r="C169" s="311" t="s">
        <v>27</v>
      </c>
      <c r="D169" s="1222"/>
      <c r="E169" s="1223"/>
      <c r="F169" s="312" t="s">
        <v>2770</v>
      </c>
      <c r="G169" s="313">
        <v>44249</v>
      </c>
      <c r="H169" s="624"/>
      <c r="I169" s="625"/>
      <c r="J169" s="626"/>
      <c r="K169" s="627"/>
      <c r="L169" s="628"/>
      <c r="M169" s="629"/>
      <c r="N169" s="627"/>
      <c r="O169" s="628"/>
      <c r="P169" s="630"/>
      <c r="Q169" s="631"/>
      <c r="R169" s="715"/>
      <c r="S169" s="715"/>
      <c r="T169" s="632"/>
      <c r="U169" s="633"/>
      <c r="V169" s="634"/>
      <c r="W169" s="635"/>
      <c r="X169" s="636"/>
      <c r="Y169" s="637"/>
      <c r="Z169" s="725"/>
      <c r="AA169" s="636"/>
      <c r="AB169" s="1056"/>
      <c r="AC169" s="736" t="s">
        <v>2771</v>
      </c>
      <c r="AD169" s="317"/>
      <c r="AE169" s="669">
        <v>44256</v>
      </c>
      <c r="AF169" s="718"/>
      <c r="AG169" s="211"/>
      <c r="AH169" s="210"/>
    </row>
    <row r="170" spans="1:34" s="4" customFormat="1">
      <c r="A170" s="2"/>
      <c r="B170" s="310" t="s">
        <v>115</v>
      </c>
      <c r="C170" s="311" t="s">
        <v>27</v>
      </c>
      <c r="D170" s="1222"/>
      <c r="E170" s="1223"/>
      <c r="F170" s="312" t="s">
        <v>2772</v>
      </c>
      <c r="G170" s="313">
        <v>44250</v>
      </c>
      <c r="H170" s="624"/>
      <c r="I170" s="625"/>
      <c r="J170" s="626"/>
      <c r="K170" s="627"/>
      <c r="L170" s="628"/>
      <c r="M170" s="629"/>
      <c r="N170" s="627"/>
      <c r="O170" s="628"/>
      <c r="P170" s="630"/>
      <c r="Q170" s="631"/>
      <c r="R170" s="715"/>
      <c r="S170" s="715"/>
      <c r="T170" s="632"/>
      <c r="U170" s="633"/>
      <c r="V170" s="634"/>
      <c r="W170" s="635"/>
      <c r="X170" s="636"/>
      <c r="Y170" s="637"/>
      <c r="Z170" s="725"/>
      <c r="AA170" s="636"/>
      <c r="AB170" s="1056"/>
      <c r="AC170" s="736" t="s">
        <v>2773</v>
      </c>
      <c r="AD170" s="317"/>
      <c r="AE170" s="669">
        <v>44257</v>
      </c>
      <c r="AF170" s="718"/>
      <c r="AG170" s="211"/>
      <c r="AH170" s="210"/>
    </row>
    <row r="171" spans="1:34" s="4" customFormat="1">
      <c r="A171" s="2"/>
      <c r="B171" s="310" t="s">
        <v>115</v>
      </c>
      <c r="C171" s="311" t="s">
        <v>27</v>
      </c>
      <c r="D171" s="1222"/>
      <c r="E171" s="1223"/>
      <c r="F171" s="312" t="s">
        <v>2774</v>
      </c>
      <c r="G171" s="313">
        <v>44250</v>
      </c>
      <c r="H171" s="624"/>
      <c r="I171" s="625"/>
      <c r="J171" s="626"/>
      <c r="K171" s="627"/>
      <c r="L171" s="628"/>
      <c r="M171" s="629"/>
      <c r="N171" s="627"/>
      <c r="O171" s="628"/>
      <c r="P171" s="630"/>
      <c r="Q171" s="631"/>
      <c r="R171" s="715"/>
      <c r="S171" s="715"/>
      <c r="T171" s="632"/>
      <c r="U171" s="633"/>
      <c r="V171" s="634"/>
      <c r="W171" s="635"/>
      <c r="X171" s="636"/>
      <c r="Y171" s="637"/>
      <c r="Z171" s="725"/>
      <c r="AA171" s="636"/>
      <c r="AB171" s="1056"/>
      <c r="AC171" s="736" t="s">
        <v>2775</v>
      </c>
      <c r="AD171" s="317" t="s">
        <v>2776</v>
      </c>
      <c r="AE171" s="669">
        <v>44257</v>
      </c>
      <c r="AF171" s="718"/>
      <c r="AG171" s="211"/>
      <c r="AH171" s="210"/>
    </row>
    <row r="172" spans="1:34" s="4" customFormat="1">
      <c r="A172" s="2"/>
      <c r="B172" s="310" t="s">
        <v>115</v>
      </c>
      <c r="C172" s="311" t="s">
        <v>27</v>
      </c>
      <c r="D172" s="1222"/>
      <c r="E172" s="1223"/>
      <c r="F172" s="312" t="s">
        <v>2777</v>
      </c>
      <c r="G172" s="313">
        <v>44251</v>
      </c>
      <c r="H172" s="624"/>
      <c r="I172" s="625"/>
      <c r="J172" s="626"/>
      <c r="K172" s="627"/>
      <c r="L172" s="628"/>
      <c r="M172" s="629"/>
      <c r="N172" s="627"/>
      <c r="O172" s="628"/>
      <c r="P172" s="630"/>
      <c r="Q172" s="631"/>
      <c r="R172" s="715"/>
      <c r="S172" s="715"/>
      <c r="T172" s="632"/>
      <c r="U172" s="633"/>
      <c r="V172" s="634"/>
      <c r="W172" s="635"/>
      <c r="X172" s="636"/>
      <c r="Y172" s="637"/>
      <c r="Z172" s="725"/>
      <c r="AA172" s="636"/>
      <c r="AB172" s="1056"/>
      <c r="AC172" s="736" t="s">
        <v>2778</v>
      </c>
      <c r="AD172" s="317"/>
      <c r="AE172" s="669">
        <v>44260</v>
      </c>
      <c r="AF172" s="718"/>
      <c r="AG172" s="211"/>
      <c r="AH172" s="210"/>
    </row>
    <row r="173" spans="1:34" s="4" customFormat="1">
      <c r="A173" s="2"/>
      <c r="B173" s="310" t="s">
        <v>115</v>
      </c>
      <c r="C173" s="311" t="s">
        <v>27</v>
      </c>
      <c r="D173" s="1222"/>
      <c r="E173" s="1223"/>
      <c r="F173" s="312" t="s">
        <v>2779</v>
      </c>
      <c r="G173" s="313">
        <v>44251</v>
      </c>
      <c r="H173" s="624"/>
      <c r="I173" s="625"/>
      <c r="J173" s="626"/>
      <c r="K173" s="627"/>
      <c r="L173" s="628"/>
      <c r="M173" s="629"/>
      <c r="N173" s="627"/>
      <c r="O173" s="628"/>
      <c r="P173" s="630"/>
      <c r="Q173" s="631"/>
      <c r="R173" s="715"/>
      <c r="S173" s="715"/>
      <c r="T173" s="632"/>
      <c r="U173" s="633"/>
      <c r="V173" s="634"/>
      <c r="W173" s="635"/>
      <c r="X173" s="636"/>
      <c r="Y173" s="637"/>
      <c r="Z173" s="725"/>
      <c r="AA173" s="636"/>
      <c r="AB173" s="1056"/>
      <c r="AC173" s="736" t="s">
        <v>2780</v>
      </c>
      <c r="AD173" s="317"/>
      <c r="AE173" s="669">
        <v>44258</v>
      </c>
      <c r="AF173" s="718"/>
      <c r="AG173" s="211"/>
      <c r="AH173" s="210"/>
    </row>
    <row r="174" spans="1:34" s="4" customFormat="1">
      <c r="A174" s="2"/>
      <c r="B174" s="310" t="s">
        <v>106</v>
      </c>
      <c r="C174" s="311" t="s">
        <v>33</v>
      </c>
      <c r="D174" s="1222" t="s">
        <v>2781</v>
      </c>
      <c r="E174" s="1223"/>
      <c r="F174" s="312" t="s">
        <v>2782</v>
      </c>
      <c r="G174" s="313">
        <v>44253</v>
      </c>
      <c r="H174" s="624"/>
      <c r="I174" s="625"/>
      <c r="J174" s="626"/>
      <c r="K174" s="627" t="s">
        <v>2783</v>
      </c>
      <c r="L174" s="628">
        <v>44260</v>
      </c>
      <c r="M174" s="629">
        <v>12000</v>
      </c>
      <c r="N174" s="627" t="s">
        <v>2784</v>
      </c>
      <c r="O174" s="628">
        <v>44260</v>
      </c>
      <c r="P174" s="630" t="s">
        <v>2785</v>
      </c>
      <c r="Q174" s="631">
        <v>44267</v>
      </c>
      <c r="R174" s="715"/>
      <c r="S174" s="1068"/>
      <c r="T174" s="632">
        <v>9581.0400000000009</v>
      </c>
      <c r="U174" s="633" t="s">
        <v>2786</v>
      </c>
      <c r="V174" s="634">
        <v>44279</v>
      </c>
      <c r="W174" s="635" t="s">
        <v>2302</v>
      </c>
      <c r="X174" s="636">
        <v>9581.0400000000009</v>
      </c>
      <c r="Y174" s="637">
        <v>9581.0400000000009</v>
      </c>
      <c r="Z174" s="733">
        <f>Y174/X174</f>
        <v>1</v>
      </c>
      <c r="AA174" s="919"/>
      <c r="AB174" s="1055">
        <v>0</v>
      </c>
      <c r="AC174" s="912" t="s">
        <v>2787</v>
      </c>
      <c r="AD174" s="913"/>
      <c r="AE174" s="669">
        <v>44267</v>
      </c>
      <c r="AF174" s="704"/>
      <c r="AG174" s="211"/>
      <c r="AH174" s="210"/>
    </row>
    <row r="175" spans="1:34" s="4" customFormat="1">
      <c r="A175" s="2"/>
      <c r="B175" s="310" t="s">
        <v>115</v>
      </c>
      <c r="C175" s="311" t="s">
        <v>27</v>
      </c>
      <c r="D175" s="1222"/>
      <c r="E175" s="1223"/>
      <c r="F175" s="312" t="s">
        <v>2788</v>
      </c>
      <c r="G175" s="313">
        <v>44256</v>
      </c>
      <c r="H175" s="624"/>
      <c r="I175" s="625"/>
      <c r="J175" s="626"/>
      <c r="K175" s="627"/>
      <c r="L175" s="628"/>
      <c r="M175" s="629"/>
      <c r="N175" s="627"/>
      <c r="O175" s="628"/>
      <c r="P175" s="630"/>
      <c r="Q175" s="631"/>
      <c r="R175" s="715"/>
      <c r="S175" s="715"/>
      <c r="T175" s="632"/>
      <c r="U175" s="633"/>
      <c r="V175" s="634"/>
      <c r="W175" s="635"/>
      <c r="X175" s="636"/>
      <c r="Y175" s="637"/>
      <c r="Z175" s="725"/>
      <c r="AA175" s="636"/>
      <c r="AB175" s="1056"/>
      <c r="AC175" s="736" t="s">
        <v>2789</v>
      </c>
      <c r="AD175" s="317"/>
      <c r="AE175" s="669">
        <v>44258</v>
      </c>
      <c r="AF175" s="718"/>
      <c r="AG175" s="211"/>
      <c r="AH175" s="210"/>
    </row>
    <row r="176" spans="1:34" s="4" customFormat="1">
      <c r="A176" s="2"/>
      <c r="B176" s="310" t="s">
        <v>115</v>
      </c>
      <c r="C176" s="311" t="s">
        <v>27</v>
      </c>
      <c r="D176" s="1222"/>
      <c r="E176" s="1223"/>
      <c r="F176" s="312" t="s">
        <v>2790</v>
      </c>
      <c r="G176" s="313">
        <v>44256</v>
      </c>
      <c r="H176" s="624"/>
      <c r="I176" s="625"/>
      <c r="J176" s="626"/>
      <c r="K176" s="627"/>
      <c r="L176" s="628"/>
      <c r="M176" s="629"/>
      <c r="N176" s="627"/>
      <c r="O176" s="628"/>
      <c r="P176" s="630"/>
      <c r="Q176" s="631"/>
      <c r="R176" s="715"/>
      <c r="S176" s="715"/>
      <c r="T176" s="632"/>
      <c r="U176" s="633"/>
      <c r="V176" s="634"/>
      <c r="W176" s="635"/>
      <c r="X176" s="636"/>
      <c r="Y176" s="637"/>
      <c r="Z176" s="725"/>
      <c r="AA176" s="636"/>
      <c r="AB176" s="1056"/>
      <c r="AC176" s="736" t="s">
        <v>2791</v>
      </c>
      <c r="AD176" s="317" t="s">
        <v>2792</v>
      </c>
      <c r="AE176" s="669">
        <v>44263</v>
      </c>
      <c r="AF176" s="718"/>
      <c r="AG176" s="211"/>
      <c r="AH176" s="210"/>
    </row>
    <row r="177" spans="1:34" s="4" customFormat="1" ht="26.45">
      <c r="A177" s="2"/>
      <c r="B177" s="310" t="s">
        <v>115</v>
      </c>
      <c r="C177" s="311" t="s">
        <v>27</v>
      </c>
      <c r="D177" s="1222"/>
      <c r="E177" s="1223"/>
      <c r="F177" s="312" t="s">
        <v>2793</v>
      </c>
      <c r="G177" s="313">
        <v>44256</v>
      </c>
      <c r="H177" s="624"/>
      <c r="I177" s="625"/>
      <c r="J177" s="626"/>
      <c r="K177" s="627"/>
      <c r="L177" s="628"/>
      <c r="M177" s="629"/>
      <c r="N177" s="627" t="s">
        <v>167</v>
      </c>
      <c r="O177" s="628"/>
      <c r="P177" s="630"/>
      <c r="Q177" s="631"/>
      <c r="R177" s="715"/>
      <c r="S177" s="715"/>
      <c r="T177" s="632"/>
      <c r="U177" s="633"/>
      <c r="V177" s="634"/>
      <c r="W177" s="635"/>
      <c r="X177" s="636"/>
      <c r="Y177" s="673"/>
      <c r="Z177" s="673"/>
      <c r="AA177" s="636"/>
      <c r="AB177" s="1056"/>
      <c r="AC177" s="1021" t="s">
        <v>2794</v>
      </c>
      <c r="AD177" s="317" t="s">
        <v>2795</v>
      </c>
      <c r="AE177" s="669">
        <v>44260</v>
      </c>
      <c r="AF177" s="718"/>
      <c r="AG177" s="211"/>
      <c r="AH177" s="210"/>
    </row>
    <row r="178" spans="1:34" s="4" customFormat="1">
      <c r="A178" s="2"/>
      <c r="B178" s="310" t="s">
        <v>115</v>
      </c>
      <c r="C178" s="311" t="s">
        <v>27</v>
      </c>
      <c r="D178" s="1222"/>
      <c r="E178" s="1223"/>
      <c r="F178" s="312" t="s">
        <v>2796</v>
      </c>
      <c r="G178" s="313">
        <v>44256</v>
      </c>
      <c r="H178" s="624"/>
      <c r="I178" s="625"/>
      <c r="J178" s="626"/>
      <c r="K178" s="627"/>
      <c r="L178" s="628"/>
      <c r="M178" s="629"/>
      <c r="N178" s="627"/>
      <c r="O178" s="628"/>
      <c r="P178" s="630"/>
      <c r="Q178" s="631"/>
      <c r="R178" s="715"/>
      <c r="S178" s="715"/>
      <c r="T178" s="632"/>
      <c r="U178" s="633"/>
      <c r="V178" s="634"/>
      <c r="W178" s="635"/>
      <c r="X178" s="636"/>
      <c r="Y178" s="673"/>
      <c r="Z178" s="673"/>
      <c r="AA178" s="636"/>
      <c r="AB178" s="1056"/>
      <c r="AC178" s="1021" t="s">
        <v>2797</v>
      </c>
      <c r="AD178" s="317"/>
      <c r="AE178" s="669">
        <v>44265</v>
      </c>
      <c r="AF178" s="718"/>
      <c r="AG178" s="211"/>
      <c r="AH178" s="210"/>
    </row>
    <row r="179" spans="1:34" s="4" customFormat="1">
      <c r="A179" s="2"/>
      <c r="B179" s="310" t="s">
        <v>115</v>
      </c>
      <c r="C179" s="311" t="s">
        <v>27</v>
      </c>
      <c r="D179" s="1222"/>
      <c r="E179" s="1223"/>
      <c r="F179" s="312" t="s">
        <v>2798</v>
      </c>
      <c r="G179" s="313">
        <v>44257</v>
      </c>
      <c r="H179" s="624"/>
      <c r="I179" s="625"/>
      <c r="J179" s="626"/>
      <c r="K179" s="627"/>
      <c r="L179" s="628"/>
      <c r="M179" s="629"/>
      <c r="N179" s="627"/>
      <c r="O179" s="628"/>
      <c r="P179" s="630"/>
      <c r="Q179" s="631"/>
      <c r="R179" s="715"/>
      <c r="S179" s="715"/>
      <c r="T179" s="632"/>
      <c r="U179" s="633"/>
      <c r="V179" s="634"/>
      <c r="W179" s="635"/>
      <c r="X179" s="636"/>
      <c r="Y179" s="637"/>
      <c r="Z179" s="725"/>
      <c r="AA179" s="636"/>
      <c r="AB179" s="1056"/>
      <c r="AC179" s="736" t="s">
        <v>2799</v>
      </c>
      <c r="AD179" s="317" t="s">
        <v>2800</v>
      </c>
      <c r="AE179" s="669">
        <v>44264</v>
      </c>
      <c r="AF179" s="718"/>
      <c r="AG179" s="211"/>
      <c r="AH179" s="210"/>
    </row>
    <row r="180" spans="1:34" s="4" customFormat="1">
      <c r="A180" s="2"/>
      <c r="B180" s="310" t="s">
        <v>115</v>
      </c>
      <c r="C180" s="311" t="s">
        <v>27</v>
      </c>
      <c r="D180" s="1222"/>
      <c r="E180" s="1223"/>
      <c r="F180" s="312" t="s">
        <v>2801</v>
      </c>
      <c r="G180" s="313">
        <v>44258</v>
      </c>
      <c r="H180" s="624"/>
      <c r="I180" s="625"/>
      <c r="J180" s="626"/>
      <c r="K180" s="627"/>
      <c r="L180" s="628"/>
      <c r="M180" s="629"/>
      <c r="N180" s="627"/>
      <c r="O180" s="628"/>
      <c r="P180" s="630"/>
      <c r="Q180" s="631"/>
      <c r="R180" s="715"/>
      <c r="S180" s="715"/>
      <c r="T180" s="632"/>
      <c r="U180" s="633"/>
      <c r="V180" s="634"/>
      <c r="W180" s="635"/>
      <c r="X180" s="636"/>
      <c r="Y180" s="637"/>
      <c r="Z180" s="725"/>
      <c r="AA180" s="636"/>
      <c r="AB180" s="1056"/>
      <c r="AC180" s="736" t="s">
        <v>2802</v>
      </c>
      <c r="AD180" s="317"/>
      <c r="AE180" s="669">
        <v>44265</v>
      </c>
      <c r="AF180" s="718"/>
      <c r="AG180" s="211"/>
      <c r="AH180" s="210"/>
    </row>
    <row r="181" spans="1:34" s="4" customFormat="1">
      <c r="A181" s="2"/>
      <c r="B181" s="310" t="s">
        <v>119</v>
      </c>
      <c r="C181" s="311" t="s">
        <v>27</v>
      </c>
      <c r="D181" s="1222"/>
      <c r="E181" s="1223"/>
      <c r="F181" s="312" t="s">
        <v>2803</v>
      </c>
      <c r="G181" s="313">
        <v>44258</v>
      </c>
      <c r="H181" s="624"/>
      <c r="I181" s="625"/>
      <c r="J181" s="626"/>
      <c r="K181" s="627"/>
      <c r="L181" s="628"/>
      <c r="M181" s="629"/>
      <c r="N181" s="627"/>
      <c r="O181" s="628"/>
      <c r="P181" s="630"/>
      <c r="Q181" s="631"/>
      <c r="R181" s="715"/>
      <c r="S181" s="715"/>
      <c r="T181" s="632"/>
      <c r="U181" s="633"/>
      <c r="V181" s="634"/>
      <c r="W181" s="635"/>
      <c r="X181" s="636"/>
      <c r="Y181" s="637"/>
      <c r="Z181" s="725"/>
      <c r="AA181" s="636"/>
      <c r="AB181" s="1056"/>
      <c r="AC181" s="736" t="s">
        <v>2804</v>
      </c>
      <c r="AD181" s="317"/>
      <c r="AE181" s="669"/>
      <c r="AF181" s="704"/>
      <c r="AG181" s="211"/>
      <c r="AH181" s="210"/>
    </row>
    <row r="182" spans="1:34" s="4" customFormat="1">
      <c r="A182" s="2"/>
      <c r="B182" s="310" t="s">
        <v>119</v>
      </c>
      <c r="C182" s="311" t="s">
        <v>27</v>
      </c>
      <c r="D182" s="662"/>
      <c r="E182" s="672"/>
      <c r="F182" s="312" t="s">
        <v>2805</v>
      </c>
      <c r="G182" s="313">
        <v>44258</v>
      </c>
      <c r="H182" s="624"/>
      <c r="I182" s="625"/>
      <c r="J182" s="626"/>
      <c r="K182" s="627"/>
      <c r="L182" s="628"/>
      <c r="M182" s="629"/>
      <c r="N182" s="627"/>
      <c r="O182" s="628"/>
      <c r="P182" s="630"/>
      <c r="Q182" s="631"/>
      <c r="R182" s="715"/>
      <c r="S182" s="715"/>
      <c r="T182" s="632"/>
      <c r="U182" s="633"/>
      <c r="V182" s="634"/>
      <c r="W182" s="635"/>
      <c r="X182" s="636"/>
      <c r="Y182" s="637"/>
      <c r="Z182" s="725"/>
      <c r="AA182" s="636"/>
      <c r="AB182" s="1056"/>
      <c r="AC182" s="736" t="s">
        <v>2806</v>
      </c>
      <c r="AD182" s="317"/>
      <c r="AE182" s="669"/>
      <c r="AF182" s="704"/>
      <c r="AG182" s="211"/>
      <c r="AH182" s="210"/>
    </row>
    <row r="183" spans="1:34" s="4" customFormat="1">
      <c r="A183" s="2"/>
      <c r="B183" s="310" t="s">
        <v>119</v>
      </c>
      <c r="C183" s="311" t="s">
        <v>27</v>
      </c>
      <c r="D183" s="1222"/>
      <c r="E183" s="1223"/>
      <c r="F183" s="312" t="s">
        <v>2807</v>
      </c>
      <c r="G183" s="313">
        <v>44263</v>
      </c>
      <c r="H183" s="624"/>
      <c r="I183" s="625"/>
      <c r="J183" s="626"/>
      <c r="K183" s="627"/>
      <c r="L183" s="628"/>
      <c r="M183" s="629"/>
      <c r="N183" s="627"/>
      <c r="O183" s="628"/>
      <c r="P183" s="630"/>
      <c r="Q183" s="631"/>
      <c r="R183" s="715"/>
      <c r="S183" s="715"/>
      <c r="T183" s="632"/>
      <c r="U183" s="633"/>
      <c r="V183" s="634"/>
      <c r="W183" s="635"/>
      <c r="X183" s="636"/>
      <c r="Y183" s="637"/>
      <c r="Z183" s="725"/>
      <c r="AA183" s="636"/>
      <c r="AB183" s="1056"/>
      <c r="AC183" s="736" t="s">
        <v>2808</v>
      </c>
      <c r="AD183" s="317"/>
      <c r="AE183" s="316"/>
      <c r="AF183" s="704"/>
      <c r="AG183" s="211"/>
      <c r="AH183" s="210"/>
    </row>
    <row r="184" spans="1:34" s="4" customFormat="1">
      <c r="A184" s="2"/>
      <c r="B184" s="310" t="s">
        <v>106</v>
      </c>
      <c r="C184" s="311" t="s">
        <v>33</v>
      </c>
      <c r="D184" s="662" t="s">
        <v>2809</v>
      </c>
      <c r="E184" s="672"/>
      <c r="F184" s="312" t="s">
        <v>2810</v>
      </c>
      <c r="G184" s="313">
        <v>44258</v>
      </c>
      <c r="H184" s="624"/>
      <c r="I184" s="625"/>
      <c r="J184" s="626"/>
      <c r="K184" s="627" t="s">
        <v>2811</v>
      </c>
      <c r="L184" s="628">
        <v>44280</v>
      </c>
      <c r="M184" s="629">
        <v>-15000</v>
      </c>
      <c r="N184" s="627" t="s">
        <v>2812</v>
      </c>
      <c r="O184" s="628">
        <v>44280</v>
      </c>
      <c r="P184" s="630" t="s">
        <v>2813</v>
      </c>
      <c r="Q184" s="631">
        <v>44308</v>
      </c>
      <c r="R184" s="715"/>
      <c r="S184" s="1068"/>
      <c r="T184" s="632">
        <v>-28326.59</v>
      </c>
      <c r="U184" s="633" t="s">
        <v>2814</v>
      </c>
      <c r="V184" s="634">
        <v>44351</v>
      </c>
      <c r="W184" s="635" t="s">
        <v>101</v>
      </c>
      <c r="X184" s="636">
        <v>-28326.59</v>
      </c>
      <c r="Y184" s="636">
        <v>-28326.59</v>
      </c>
      <c r="Z184" s="733">
        <f>Y184/X184</f>
        <v>1</v>
      </c>
      <c r="AA184" s="919"/>
      <c r="AB184" s="1055">
        <v>0</v>
      </c>
      <c r="AC184" s="912" t="s">
        <v>2815</v>
      </c>
      <c r="AD184" s="913"/>
      <c r="AE184" s="669">
        <v>44265</v>
      </c>
      <c r="AF184" s="704"/>
      <c r="AG184" s="211"/>
      <c r="AH184" s="210"/>
    </row>
    <row r="185" spans="1:34" s="4" customFormat="1">
      <c r="A185" s="2"/>
      <c r="B185" s="310" t="s">
        <v>115</v>
      </c>
      <c r="C185" s="311" t="s">
        <v>27</v>
      </c>
      <c r="D185" s="662"/>
      <c r="E185" s="672"/>
      <c r="F185" s="312" t="s">
        <v>2816</v>
      </c>
      <c r="G185" s="313">
        <v>44258</v>
      </c>
      <c r="H185" s="624"/>
      <c r="I185" s="625"/>
      <c r="J185" s="626"/>
      <c r="K185" s="627"/>
      <c r="L185" s="628"/>
      <c r="M185" s="629"/>
      <c r="N185" s="627"/>
      <c r="O185" s="628"/>
      <c r="P185" s="630"/>
      <c r="Q185" s="631"/>
      <c r="R185" s="715"/>
      <c r="S185" s="715"/>
      <c r="T185" s="632"/>
      <c r="U185" s="633"/>
      <c r="V185" s="634"/>
      <c r="W185" s="635"/>
      <c r="X185" s="636"/>
      <c r="Y185" s="637"/>
      <c r="Z185" s="725"/>
      <c r="AA185" s="636"/>
      <c r="AB185" s="1056"/>
      <c r="AC185" s="736" t="s">
        <v>2817</v>
      </c>
      <c r="AD185" s="317" t="s">
        <v>2818</v>
      </c>
      <c r="AE185" s="669">
        <v>44260</v>
      </c>
      <c r="AF185" s="718"/>
      <c r="AG185" s="211"/>
      <c r="AH185" s="210"/>
    </row>
    <row r="186" spans="1:34" s="4" customFormat="1">
      <c r="A186" s="2"/>
      <c r="B186" s="310" t="s">
        <v>106</v>
      </c>
      <c r="C186" s="311" t="s">
        <v>33</v>
      </c>
      <c r="D186" s="1230" t="s">
        <v>2819</v>
      </c>
      <c r="E186" s="1226"/>
      <c r="F186" s="312" t="s">
        <v>2820</v>
      </c>
      <c r="G186" s="313">
        <v>44258</v>
      </c>
      <c r="H186" s="624"/>
      <c r="I186" s="625"/>
      <c r="J186" s="626"/>
      <c r="K186" s="627" t="s">
        <v>2821</v>
      </c>
      <c r="L186" s="628">
        <v>44348</v>
      </c>
      <c r="M186" s="629">
        <v>2500</v>
      </c>
      <c r="N186" s="627" t="s">
        <v>2822</v>
      </c>
      <c r="O186" s="628">
        <v>44350</v>
      </c>
      <c r="P186" s="630" t="s">
        <v>2823</v>
      </c>
      <c r="Q186" s="631">
        <v>44368</v>
      </c>
      <c r="R186" s="715"/>
      <c r="S186" s="1068"/>
      <c r="T186" s="632">
        <v>9528.99</v>
      </c>
      <c r="U186" s="633" t="s">
        <v>2824</v>
      </c>
      <c r="V186" s="634">
        <v>44372</v>
      </c>
      <c r="W186" s="635" t="s">
        <v>2302</v>
      </c>
      <c r="X186" s="636">
        <v>9528.99</v>
      </c>
      <c r="Y186" s="636">
        <v>9528.99</v>
      </c>
      <c r="Z186" s="733">
        <f>Y186/X186</f>
        <v>1</v>
      </c>
      <c r="AA186" s="919"/>
      <c r="AB186" s="1055">
        <v>0</v>
      </c>
      <c r="AC186" s="912" t="s">
        <v>2825</v>
      </c>
      <c r="AD186" s="913"/>
      <c r="AE186" s="669">
        <v>44267</v>
      </c>
      <c r="AF186" s="704"/>
      <c r="AG186" s="211"/>
      <c r="AH186" s="210"/>
    </row>
    <row r="187" spans="1:34" s="4" customFormat="1">
      <c r="A187" s="2"/>
      <c r="B187" s="310" t="s">
        <v>115</v>
      </c>
      <c r="C187" s="311" t="s">
        <v>27</v>
      </c>
      <c r="D187" s="662"/>
      <c r="E187" s="672"/>
      <c r="F187" s="312" t="s">
        <v>2826</v>
      </c>
      <c r="G187" s="313">
        <v>44264</v>
      </c>
      <c r="H187" s="624"/>
      <c r="I187" s="625"/>
      <c r="J187" s="626"/>
      <c r="K187" s="627"/>
      <c r="L187" s="628"/>
      <c r="M187" s="629"/>
      <c r="N187" s="627"/>
      <c r="O187" s="628"/>
      <c r="P187" s="630"/>
      <c r="Q187" s="631"/>
      <c r="R187" s="715"/>
      <c r="S187" s="715"/>
      <c r="T187" s="632"/>
      <c r="U187" s="633"/>
      <c r="V187" s="634"/>
      <c r="W187" s="635"/>
      <c r="X187" s="636"/>
      <c r="Y187" s="637"/>
      <c r="Z187" s="725"/>
      <c r="AA187" s="636"/>
      <c r="AB187" s="1056"/>
      <c r="AC187" s="736" t="s">
        <v>2827</v>
      </c>
      <c r="AD187" s="317" t="s">
        <v>2828</v>
      </c>
      <c r="AE187" s="669">
        <v>44271</v>
      </c>
      <c r="AF187" s="718"/>
      <c r="AG187" s="211"/>
      <c r="AH187" s="210"/>
    </row>
    <row r="188" spans="1:34" s="4" customFormat="1">
      <c r="A188" s="2"/>
      <c r="B188" s="310" t="s">
        <v>115</v>
      </c>
      <c r="C188" s="311" t="s">
        <v>27</v>
      </c>
      <c r="D188" s="662"/>
      <c r="E188" s="672"/>
      <c r="F188" s="312" t="s">
        <v>2829</v>
      </c>
      <c r="G188" s="313">
        <v>44264</v>
      </c>
      <c r="H188" s="624"/>
      <c r="I188" s="625"/>
      <c r="J188" s="626"/>
      <c r="K188" s="627"/>
      <c r="L188" s="628"/>
      <c r="M188" s="629"/>
      <c r="N188" s="627"/>
      <c r="O188" s="628"/>
      <c r="P188" s="630"/>
      <c r="Q188" s="631"/>
      <c r="R188" s="715"/>
      <c r="S188" s="715"/>
      <c r="T188" s="632"/>
      <c r="U188" s="633"/>
      <c r="V188" s="634"/>
      <c r="W188" s="635"/>
      <c r="X188" s="636"/>
      <c r="Y188" s="637"/>
      <c r="Z188" s="725"/>
      <c r="AA188" s="636"/>
      <c r="AB188" s="1056"/>
      <c r="AC188" s="736" t="s">
        <v>2830</v>
      </c>
      <c r="AD188" s="317"/>
      <c r="AE188" s="669">
        <v>44271</v>
      </c>
      <c r="AF188" s="718"/>
      <c r="AG188" s="211"/>
      <c r="AH188" s="210"/>
    </row>
    <row r="189" spans="1:34" s="4" customFormat="1">
      <c r="A189" s="2"/>
      <c r="B189" s="310" t="s">
        <v>115</v>
      </c>
      <c r="C189" s="311" t="s">
        <v>27</v>
      </c>
      <c r="D189" s="662"/>
      <c r="E189" s="672"/>
      <c r="F189" s="312" t="s">
        <v>2831</v>
      </c>
      <c r="G189" s="313">
        <v>44264</v>
      </c>
      <c r="H189" s="624"/>
      <c r="I189" s="625"/>
      <c r="J189" s="626"/>
      <c r="K189" s="627"/>
      <c r="L189" s="628"/>
      <c r="M189" s="629"/>
      <c r="N189" s="627"/>
      <c r="O189" s="628"/>
      <c r="P189" s="630"/>
      <c r="Q189" s="631"/>
      <c r="R189" s="715"/>
      <c r="S189" s="715"/>
      <c r="T189" s="632"/>
      <c r="U189" s="633"/>
      <c r="V189" s="634"/>
      <c r="W189" s="635"/>
      <c r="X189" s="636"/>
      <c r="Y189" s="637"/>
      <c r="Z189" s="725"/>
      <c r="AA189" s="636"/>
      <c r="AB189" s="1056"/>
      <c r="AC189" s="736" t="s">
        <v>2832</v>
      </c>
      <c r="AD189" s="317"/>
      <c r="AE189" s="669">
        <v>44271</v>
      </c>
      <c r="AF189" s="718"/>
      <c r="AG189" s="211"/>
      <c r="AH189" s="210"/>
    </row>
    <row r="190" spans="1:34" s="4" customFormat="1">
      <c r="A190" s="2"/>
      <c r="B190" s="310" t="s">
        <v>115</v>
      </c>
      <c r="C190" s="311" t="s">
        <v>27</v>
      </c>
      <c r="D190" s="662"/>
      <c r="E190" s="672"/>
      <c r="F190" s="312" t="s">
        <v>2833</v>
      </c>
      <c r="G190" s="313">
        <v>44266</v>
      </c>
      <c r="H190" s="624"/>
      <c r="I190" s="625"/>
      <c r="J190" s="626"/>
      <c r="K190" s="627"/>
      <c r="L190" s="628"/>
      <c r="M190" s="629"/>
      <c r="N190" s="627"/>
      <c r="O190" s="628"/>
      <c r="P190" s="630"/>
      <c r="Q190" s="631"/>
      <c r="R190" s="715"/>
      <c r="S190" s="715"/>
      <c r="T190" s="632"/>
      <c r="U190" s="633"/>
      <c r="V190" s="634"/>
      <c r="W190" s="635"/>
      <c r="X190" s="636"/>
      <c r="Y190" s="637"/>
      <c r="Z190" s="725"/>
      <c r="AA190" s="636"/>
      <c r="AB190" s="1056"/>
      <c r="AC190" s="736" t="s">
        <v>2834</v>
      </c>
      <c r="AD190" s="317" t="s">
        <v>2835</v>
      </c>
      <c r="AE190" s="669">
        <v>44267</v>
      </c>
      <c r="AF190" s="718"/>
      <c r="AG190" s="211"/>
      <c r="AH190" s="210"/>
    </row>
    <row r="191" spans="1:34" s="4" customFormat="1">
      <c r="A191" s="2"/>
      <c r="B191" s="310" t="s">
        <v>115</v>
      </c>
      <c r="C191" s="311" t="s">
        <v>27</v>
      </c>
      <c r="D191" s="662"/>
      <c r="E191" s="672"/>
      <c r="F191" s="312" t="s">
        <v>2836</v>
      </c>
      <c r="G191" s="313">
        <v>44267</v>
      </c>
      <c r="H191" s="624"/>
      <c r="I191" s="625"/>
      <c r="J191" s="626"/>
      <c r="K191" s="627"/>
      <c r="L191" s="628"/>
      <c r="M191" s="629"/>
      <c r="N191" s="627"/>
      <c r="O191" s="628"/>
      <c r="P191" s="630"/>
      <c r="Q191" s="631"/>
      <c r="R191" s="715"/>
      <c r="S191" s="715"/>
      <c r="T191" s="632"/>
      <c r="U191" s="633"/>
      <c r="V191" s="634"/>
      <c r="W191" s="635"/>
      <c r="X191" s="636"/>
      <c r="Y191" s="637"/>
      <c r="Z191" s="921"/>
      <c r="AA191" s="636"/>
      <c r="AB191" s="1056"/>
      <c r="AC191" s="736" t="s">
        <v>2837</v>
      </c>
      <c r="AD191" s="317"/>
      <c r="AE191" s="669">
        <v>44274</v>
      </c>
      <c r="AF191" s="718"/>
      <c r="AG191" s="211"/>
      <c r="AH191" s="210"/>
    </row>
    <row r="192" spans="1:34" s="4" customFormat="1">
      <c r="A192" s="2"/>
      <c r="B192" s="310" t="s">
        <v>106</v>
      </c>
      <c r="C192" s="311" t="s">
        <v>33</v>
      </c>
      <c r="D192" s="662" t="s">
        <v>2838</v>
      </c>
      <c r="E192" s="672"/>
      <c r="F192" s="312" t="s">
        <v>2839</v>
      </c>
      <c r="G192" s="313">
        <v>44267</v>
      </c>
      <c r="H192" s="624"/>
      <c r="I192" s="625"/>
      <c r="J192" s="626"/>
      <c r="K192" s="627" t="s">
        <v>2840</v>
      </c>
      <c r="L192" s="628">
        <v>44301</v>
      </c>
      <c r="M192" s="629">
        <v>-1000</v>
      </c>
      <c r="N192" s="627" t="s">
        <v>2841</v>
      </c>
      <c r="O192" s="628">
        <v>44306</v>
      </c>
      <c r="P192" s="630" t="s">
        <v>2842</v>
      </c>
      <c r="Q192" s="631">
        <v>44368</v>
      </c>
      <c r="R192" s="715"/>
      <c r="S192" s="1068"/>
      <c r="T192" s="632">
        <v>209.82</v>
      </c>
      <c r="U192" s="633" t="s">
        <v>2843</v>
      </c>
      <c r="V192" s="634">
        <v>44391</v>
      </c>
      <c r="W192" s="635" t="s">
        <v>2302</v>
      </c>
      <c r="X192" s="636">
        <v>209.82</v>
      </c>
      <c r="Y192" s="637">
        <v>209.82</v>
      </c>
      <c r="Z192" s="987">
        <f>Y192/X192</f>
        <v>1</v>
      </c>
      <c r="AA192" s="919"/>
      <c r="AB192" s="1055">
        <v>0</v>
      </c>
      <c r="AC192" s="912" t="s">
        <v>2844</v>
      </c>
      <c r="AD192" s="913" t="s">
        <v>2845</v>
      </c>
      <c r="AE192" s="669">
        <v>44274</v>
      </c>
      <c r="AF192" s="704"/>
      <c r="AG192" s="211"/>
      <c r="AH192" s="210"/>
    </row>
    <row r="193" spans="1:34" s="4" customFormat="1">
      <c r="A193" s="2"/>
      <c r="B193" s="310" t="s">
        <v>115</v>
      </c>
      <c r="C193" s="311" t="s">
        <v>27</v>
      </c>
      <c r="D193" s="662"/>
      <c r="E193" s="672"/>
      <c r="F193" s="312" t="s">
        <v>2846</v>
      </c>
      <c r="G193" s="313">
        <v>44267</v>
      </c>
      <c r="H193" s="624"/>
      <c r="I193" s="625"/>
      <c r="J193" s="626"/>
      <c r="K193" s="627"/>
      <c r="L193" s="628"/>
      <c r="M193" s="629"/>
      <c r="N193" s="627" t="s">
        <v>2847</v>
      </c>
      <c r="O193" s="628"/>
      <c r="P193" s="630"/>
      <c r="Q193" s="631"/>
      <c r="R193" s="715"/>
      <c r="S193" s="715"/>
      <c r="T193" s="632"/>
      <c r="U193" s="633"/>
      <c r="V193" s="634"/>
      <c r="W193" s="635"/>
      <c r="X193" s="636"/>
      <c r="Y193" s="637"/>
      <c r="Z193" s="921"/>
      <c r="AA193" s="636"/>
      <c r="AB193" s="1056"/>
      <c r="AC193" s="736" t="s">
        <v>2848</v>
      </c>
      <c r="AD193" s="317" t="s">
        <v>2849</v>
      </c>
      <c r="AE193" s="669">
        <v>44274</v>
      </c>
      <c r="AF193" s="704"/>
      <c r="AG193" s="211"/>
      <c r="AH193" s="210"/>
    </row>
    <row r="194" spans="1:34" s="4" customFormat="1">
      <c r="A194" s="2"/>
      <c r="B194" s="310" t="s">
        <v>115</v>
      </c>
      <c r="C194" s="311" t="s">
        <v>27</v>
      </c>
      <c r="D194" s="662"/>
      <c r="E194" s="672"/>
      <c r="F194" s="312" t="s">
        <v>2850</v>
      </c>
      <c r="G194" s="313">
        <v>44267</v>
      </c>
      <c r="H194" s="624"/>
      <c r="I194" s="625"/>
      <c r="J194" s="626"/>
      <c r="K194" s="627"/>
      <c r="L194" s="628"/>
      <c r="M194" s="629"/>
      <c r="N194" s="627"/>
      <c r="O194" s="628"/>
      <c r="P194" s="630"/>
      <c r="Q194" s="631"/>
      <c r="R194" s="715"/>
      <c r="S194" s="715"/>
      <c r="T194" s="632"/>
      <c r="U194" s="633"/>
      <c r="V194" s="634"/>
      <c r="W194" s="635"/>
      <c r="X194" s="636"/>
      <c r="Y194" s="637"/>
      <c r="Z194" s="921"/>
      <c r="AA194" s="636"/>
      <c r="AB194" s="1056"/>
      <c r="AC194" s="736" t="s">
        <v>2851</v>
      </c>
      <c r="AD194" s="317"/>
      <c r="AE194" s="669">
        <v>44274</v>
      </c>
      <c r="AF194" s="718"/>
      <c r="AG194" s="211"/>
      <c r="AH194" s="210"/>
    </row>
    <row r="195" spans="1:34" s="4" customFormat="1">
      <c r="A195" s="2"/>
      <c r="B195" s="310" t="s">
        <v>115</v>
      </c>
      <c r="C195" s="311" t="s">
        <v>27</v>
      </c>
      <c r="D195" s="662"/>
      <c r="E195" s="672"/>
      <c r="F195" s="312" t="s">
        <v>2852</v>
      </c>
      <c r="G195" s="313">
        <v>44267</v>
      </c>
      <c r="H195" s="624"/>
      <c r="I195" s="625"/>
      <c r="J195" s="626"/>
      <c r="K195" s="627"/>
      <c r="L195" s="628"/>
      <c r="M195" s="629"/>
      <c r="N195" s="627"/>
      <c r="O195" s="628"/>
      <c r="P195" s="630"/>
      <c r="Q195" s="631"/>
      <c r="R195" s="715"/>
      <c r="S195" s="715"/>
      <c r="T195" s="632"/>
      <c r="U195" s="633"/>
      <c r="V195" s="634"/>
      <c r="W195" s="635"/>
      <c r="X195" s="636"/>
      <c r="Y195" s="637"/>
      <c r="Z195" s="921"/>
      <c r="AA195" s="636"/>
      <c r="AB195" s="1056"/>
      <c r="AC195" s="736" t="s">
        <v>2853</v>
      </c>
      <c r="AD195" s="317"/>
      <c r="AE195" s="669">
        <v>44274</v>
      </c>
      <c r="AF195" s="718"/>
      <c r="AG195" s="211"/>
      <c r="AH195" s="210"/>
    </row>
    <row r="196" spans="1:34" s="4" customFormat="1">
      <c r="A196" s="2"/>
      <c r="B196" s="310" t="s">
        <v>106</v>
      </c>
      <c r="C196" s="311" t="s">
        <v>33</v>
      </c>
      <c r="D196" s="662" t="s">
        <v>2854</v>
      </c>
      <c r="E196" s="672"/>
      <c r="F196" s="312" t="s">
        <v>2855</v>
      </c>
      <c r="G196" s="313">
        <v>44267</v>
      </c>
      <c r="H196" s="624"/>
      <c r="I196" s="625"/>
      <c r="J196" s="626"/>
      <c r="K196" s="627" t="s">
        <v>2856</v>
      </c>
      <c r="L196" s="628">
        <v>44287</v>
      </c>
      <c r="M196" s="629">
        <v>-5000</v>
      </c>
      <c r="N196" s="627" t="s">
        <v>2857</v>
      </c>
      <c r="O196" s="628">
        <v>44295</v>
      </c>
      <c r="P196" s="630" t="s">
        <v>2858</v>
      </c>
      <c r="Q196" s="631">
        <v>44308</v>
      </c>
      <c r="R196" s="715"/>
      <c r="S196" s="1068"/>
      <c r="T196" s="632">
        <v>-4653.63</v>
      </c>
      <c r="U196" s="633" t="s">
        <v>2859</v>
      </c>
      <c r="V196" s="634">
        <v>44343</v>
      </c>
      <c r="W196" s="635" t="s">
        <v>101</v>
      </c>
      <c r="X196" s="636">
        <v>-4653.63</v>
      </c>
      <c r="Y196" s="637">
        <v>-4653.63</v>
      </c>
      <c r="Z196" s="987">
        <f t="shared" ref="Z196:Z198" si="9">Y196/X196</f>
        <v>1</v>
      </c>
      <c r="AA196" s="919"/>
      <c r="AB196" s="1055">
        <v>0</v>
      </c>
      <c r="AC196" s="912" t="s">
        <v>2860</v>
      </c>
      <c r="AD196" s="913"/>
      <c r="AE196" s="669">
        <v>44274</v>
      </c>
      <c r="AF196" s="704"/>
      <c r="AG196" s="211"/>
      <c r="AH196" s="210"/>
    </row>
    <row r="197" spans="1:34" s="4" customFormat="1">
      <c r="A197" s="2"/>
      <c r="B197" s="310" t="s">
        <v>106</v>
      </c>
      <c r="C197" s="311" t="s">
        <v>33</v>
      </c>
      <c r="D197" s="662" t="s">
        <v>2861</v>
      </c>
      <c r="E197" s="672"/>
      <c r="F197" s="312"/>
      <c r="G197" s="313"/>
      <c r="H197" s="624"/>
      <c r="I197" s="625"/>
      <c r="J197" s="626"/>
      <c r="K197" s="627" t="s">
        <v>2862</v>
      </c>
      <c r="L197" s="628">
        <v>44271</v>
      </c>
      <c r="M197" s="629">
        <v>2000</v>
      </c>
      <c r="N197" s="627" t="s">
        <v>2863</v>
      </c>
      <c r="O197" s="628">
        <v>44272</v>
      </c>
      <c r="P197" s="630" t="s">
        <v>2864</v>
      </c>
      <c r="Q197" s="631">
        <v>44273</v>
      </c>
      <c r="R197" s="715"/>
      <c r="S197" s="1068"/>
      <c r="T197" s="632">
        <v>4586.33</v>
      </c>
      <c r="U197" s="633" t="s">
        <v>2865</v>
      </c>
      <c r="V197" s="634">
        <v>44279</v>
      </c>
      <c r="W197" s="635" t="s">
        <v>105</v>
      </c>
      <c r="X197" s="636">
        <v>4586.33</v>
      </c>
      <c r="Y197" s="636">
        <v>4586.33</v>
      </c>
      <c r="Z197" s="987">
        <f t="shared" si="9"/>
        <v>1</v>
      </c>
      <c r="AA197" s="919"/>
      <c r="AB197" s="1055">
        <v>0</v>
      </c>
      <c r="AC197" s="912" t="s">
        <v>2866</v>
      </c>
      <c r="AD197" s="913"/>
      <c r="AE197" s="669"/>
      <c r="AF197" s="704"/>
      <c r="AG197" s="211"/>
      <c r="AH197" s="210"/>
    </row>
    <row r="198" spans="1:34" s="4" customFormat="1">
      <c r="A198" s="2"/>
      <c r="B198" s="310" t="s">
        <v>106</v>
      </c>
      <c r="C198" s="311" t="s">
        <v>33</v>
      </c>
      <c r="D198" s="662" t="s">
        <v>2867</v>
      </c>
      <c r="E198" s="672"/>
      <c r="F198" s="312"/>
      <c r="G198" s="313"/>
      <c r="H198" s="624"/>
      <c r="I198" s="625"/>
      <c r="J198" s="626"/>
      <c r="K198" s="627" t="s">
        <v>2868</v>
      </c>
      <c r="L198" s="628">
        <v>44271</v>
      </c>
      <c r="M198" s="629">
        <v>2000</v>
      </c>
      <c r="N198" s="627" t="s">
        <v>2869</v>
      </c>
      <c r="O198" s="628">
        <v>44272</v>
      </c>
      <c r="P198" s="630" t="s">
        <v>2870</v>
      </c>
      <c r="Q198" s="631">
        <v>44295</v>
      </c>
      <c r="R198" s="715"/>
      <c r="S198" s="1068"/>
      <c r="T198" s="632">
        <v>14174.36</v>
      </c>
      <c r="U198" s="633" t="s">
        <v>2871</v>
      </c>
      <c r="V198" s="634">
        <v>44328</v>
      </c>
      <c r="W198" s="635" t="s">
        <v>2302</v>
      </c>
      <c r="X198" s="636">
        <v>14174.36</v>
      </c>
      <c r="Y198" s="637">
        <v>14174.36</v>
      </c>
      <c r="Z198" s="987">
        <f t="shared" si="9"/>
        <v>1</v>
      </c>
      <c r="AA198" s="919"/>
      <c r="AB198" s="1055">
        <v>0</v>
      </c>
      <c r="AC198" s="912" t="s">
        <v>2872</v>
      </c>
      <c r="AD198" s="913"/>
      <c r="AE198" s="316"/>
      <c r="AF198" s="704"/>
      <c r="AG198" s="211"/>
      <c r="AH198" s="210"/>
    </row>
    <row r="199" spans="1:34" s="4" customFormat="1">
      <c r="A199" s="2"/>
      <c r="B199" s="310" t="s">
        <v>106</v>
      </c>
      <c r="C199" s="311" t="s">
        <v>33</v>
      </c>
      <c r="D199" s="1222" t="s">
        <v>2873</v>
      </c>
      <c r="E199" s="1223"/>
      <c r="F199" s="312"/>
      <c r="G199" s="313"/>
      <c r="H199" s="624"/>
      <c r="I199" s="625"/>
      <c r="J199" s="626"/>
      <c r="K199" s="627" t="s">
        <v>2874</v>
      </c>
      <c r="L199" s="628">
        <v>44271</v>
      </c>
      <c r="M199" s="629">
        <v>2600</v>
      </c>
      <c r="N199" s="627" t="s">
        <v>2869</v>
      </c>
      <c r="O199" s="628">
        <v>44272</v>
      </c>
      <c r="P199" s="630" t="s">
        <v>2870</v>
      </c>
      <c r="Q199" s="631"/>
      <c r="R199" s="715"/>
      <c r="S199" s="715"/>
      <c r="T199" s="632"/>
      <c r="U199" s="633" t="s">
        <v>2875</v>
      </c>
      <c r="V199" s="634">
        <v>44328</v>
      </c>
      <c r="W199" s="635" t="s">
        <v>2302</v>
      </c>
      <c r="X199" s="636"/>
      <c r="Y199" s="637"/>
      <c r="Z199" s="987" t="s">
        <v>268</v>
      </c>
      <c r="AA199" s="919"/>
      <c r="AB199" s="1055">
        <v>0</v>
      </c>
      <c r="AC199" s="912" t="s">
        <v>2876</v>
      </c>
      <c r="AD199" s="913"/>
      <c r="AE199" s="316"/>
      <c r="AF199" s="704"/>
      <c r="AG199" s="211"/>
      <c r="AH199" s="210"/>
    </row>
    <row r="200" spans="1:34" s="4" customFormat="1">
      <c r="A200" s="2"/>
      <c r="B200" s="310" t="s">
        <v>106</v>
      </c>
      <c r="C200" s="311" t="s">
        <v>33</v>
      </c>
      <c r="D200" s="1222" t="s">
        <v>2877</v>
      </c>
      <c r="E200" s="1223"/>
      <c r="F200" s="312"/>
      <c r="G200" s="313"/>
      <c r="H200" s="624"/>
      <c r="I200" s="625"/>
      <c r="J200" s="626"/>
      <c r="K200" s="627" t="s">
        <v>2878</v>
      </c>
      <c r="L200" s="628">
        <v>44271</v>
      </c>
      <c r="M200" s="629">
        <v>1200</v>
      </c>
      <c r="N200" s="627" t="s">
        <v>2869</v>
      </c>
      <c r="O200" s="628">
        <v>44272</v>
      </c>
      <c r="P200" s="630" t="s">
        <v>2870</v>
      </c>
      <c r="Q200" s="631"/>
      <c r="R200" s="715"/>
      <c r="S200" s="715"/>
      <c r="T200" s="632"/>
      <c r="U200" s="633" t="s">
        <v>2879</v>
      </c>
      <c r="V200" s="634">
        <v>44328</v>
      </c>
      <c r="W200" s="635" t="s">
        <v>2302</v>
      </c>
      <c r="X200" s="636"/>
      <c r="Y200" s="637"/>
      <c r="Z200" s="987" t="s">
        <v>268</v>
      </c>
      <c r="AA200" s="919"/>
      <c r="AB200" s="1055">
        <v>0</v>
      </c>
      <c r="AC200" s="912" t="s">
        <v>2880</v>
      </c>
      <c r="AD200" s="913"/>
      <c r="AE200" s="316"/>
      <c r="AF200" s="704"/>
      <c r="AG200" s="211"/>
      <c r="AH200" s="210"/>
    </row>
    <row r="201" spans="1:34" s="4" customFormat="1">
      <c r="A201" s="2"/>
      <c r="B201" s="310" t="s">
        <v>119</v>
      </c>
      <c r="C201" s="311" t="s">
        <v>27</v>
      </c>
      <c r="D201" s="1222"/>
      <c r="E201" s="1223"/>
      <c r="F201" s="312" t="s">
        <v>2765</v>
      </c>
      <c r="G201" s="313">
        <v>44263</v>
      </c>
      <c r="H201" s="624"/>
      <c r="I201" s="625"/>
      <c r="J201" s="626"/>
      <c r="K201" s="627"/>
      <c r="L201" s="628"/>
      <c r="M201" s="629"/>
      <c r="N201" s="627"/>
      <c r="O201" s="628"/>
      <c r="P201" s="630"/>
      <c r="Q201" s="631"/>
      <c r="R201" s="715"/>
      <c r="S201" s="715"/>
      <c r="T201" s="632"/>
      <c r="U201" s="633"/>
      <c r="V201" s="634"/>
      <c r="W201" s="635"/>
      <c r="X201" s="636"/>
      <c r="Y201" s="637"/>
      <c r="Z201" s="921"/>
      <c r="AA201" s="636"/>
      <c r="AB201" s="1056"/>
      <c r="AC201" s="736" t="s">
        <v>2881</v>
      </c>
      <c r="AD201" s="317"/>
      <c r="AE201" s="316"/>
      <c r="AF201" s="704"/>
      <c r="AG201" s="211"/>
      <c r="AH201" s="210"/>
    </row>
    <row r="202" spans="1:34" s="4" customFormat="1">
      <c r="A202" s="2"/>
      <c r="B202" s="310" t="s">
        <v>106</v>
      </c>
      <c r="C202" s="311" t="s">
        <v>33</v>
      </c>
      <c r="D202" s="1222" t="s">
        <v>2882</v>
      </c>
      <c r="E202" s="1223"/>
      <c r="F202" s="312" t="s">
        <v>2883</v>
      </c>
      <c r="G202" s="313">
        <v>44265</v>
      </c>
      <c r="H202" s="624"/>
      <c r="I202" s="625"/>
      <c r="J202" s="626"/>
      <c r="K202" s="627" t="s">
        <v>2884</v>
      </c>
      <c r="L202" s="628">
        <v>44497</v>
      </c>
      <c r="M202" s="629">
        <v>9000</v>
      </c>
      <c r="N202" s="627" t="s">
        <v>2885</v>
      </c>
      <c r="O202" s="628">
        <v>44497</v>
      </c>
      <c r="P202" s="630" t="s">
        <v>2886</v>
      </c>
      <c r="Q202" s="631">
        <v>44538</v>
      </c>
      <c r="R202" s="715"/>
      <c r="S202" s="1068"/>
      <c r="T202" s="632">
        <v>12133.8</v>
      </c>
      <c r="U202" s="633" t="s">
        <v>2887</v>
      </c>
      <c r="V202" s="634">
        <v>44546</v>
      </c>
      <c r="W202" s="635" t="s">
        <v>2302</v>
      </c>
      <c r="X202" s="636">
        <v>12133.8</v>
      </c>
      <c r="Y202" s="636">
        <v>12133.8</v>
      </c>
      <c r="Z202" s="987">
        <f>Y202/X202</f>
        <v>1</v>
      </c>
      <c r="AA202" s="919"/>
      <c r="AB202" s="1055">
        <v>0</v>
      </c>
      <c r="AC202" s="912" t="s">
        <v>2888</v>
      </c>
      <c r="AD202" s="913"/>
      <c r="AE202" s="316"/>
      <c r="AF202" s="704"/>
      <c r="AG202" s="211"/>
      <c r="AH202" s="210"/>
    </row>
    <row r="203" spans="1:34" s="4" customFormat="1">
      <c r="A203" s="2"/>
      <c r="B203" s="310" t="s">
        <v>119</v>
      </c>
      <c r="C203" s="311" t="s">
        <v>27</v>
      </c>
      <c r="D203" s="1222"/>
      <c r="E203" s="1223"/>
      <c r="F203" s="312" t="s">
        <v>2889</v>
      </c>
      <c r="G203" s="313">
        <v>44273</v>
      </c>
      <c r="H203" s="624"/>
      <c r="I203" s="625"/>
      <c r="J203" s="626"/>
      <c r="K203" s="627"/>
      <c r="L203" s="628"/>
      <c r="M203" s="629"/>
      <c r="N203" s="627"/>
      <c r="O203" s="628"/>
      <c r="P203" s="630"/>
      <c r="Q203" s="631"/>
      <c r="R203" s="715"/>
      <c r="S203" s="715"/>
      <c r="T203" s="632"/>
      <c r="U203" s="633"/>
      <c r="V203" s="634"/>
      <c r="W203" s="635"/>
      <c r="X203" s="636"/>
      <c r="Y203" s="637"/>
      <c r="Z203" s="921"/>
      <c r="AA203" s="636"/>
      <c r="AB203" s="1056"/>
      <c r="AC203" s="736" t="s">
        <v>2890</v>
      </c>
      <c r="AD203" s="317"/>
      <c r="AE203" s="316"/>
      <c r="AF203" s="704"/>
      <c r="AG203" s="211"/>
      <c r="AH203" s="210"/>
    </row>
    <row r="204" spans="1:34" s="4" customFormat="1">
      <c r="A204" s="2"/>
      <c r="B204" s="310" t="s">
        <v>119</v>
      </c>
      <c r="C204" s="311" t="s">
        <v>27</v>
      </c>
      <c r="D204" s="1222"/>
      <c r="E204" s="1223"/>
      <c r="F204" s="312" t="s">
        <v>2891</v>
      </c>
      <c r="G204" s="313">
        <v>44277</v>
      </c>
      <c r="H204" s="624"/>
      <c r="I204" s="625"/>
      <c r="J204" s="626"/>
      <c r="K204" s="627"/>
      <c r="L204" s="628"/>
      <c r="M204" s="629"/>
      <c r="N204" s="627"/>
      <c r="O204" s="628"/>
      <c r="P204" s="630"/>
      <c r="Q204" s="631"/>
      <c r="R204" s="715"/>
      <c r="S204" s="715"/>
      <c r="T204" s="632"/>
      <c r="U204" s="633"/>
      <c r="V204" s="634"/>
      <c r="W204" s="635"/>
      <c r="X204" s="636"/>
      <c r="Y204" s="637"/>
      <c r="Z204" s="921"/>
      <c r="AA204" s="636"/>
      <c r="AB204" s="1056"/>
      <c r="AC204" s="736" t="s">
        <v>2892</v>
      </c>
      <c r="AD204" s="317"/>
      <c r="AE204" s="316"/>
      <c r="AF204" s="704"/>
      <c r="AG204" s="211"/>
      <c r="AH204" s="210"/>
    </row>
    <row r="205" spans="1:34" s="4" customFormat="1">
      <c r="A205" s="2"/>
      <c r="B205" s="310" t="s">
        <v>119</v>
      </c>
      <c r="C205" s="311" t="s">
        <v>27</v>
      </c>
      <c r="D205" s="1222"/>
      <c r="E205" s="1223"/>
      <c r="F205" s="312" t="s">
        <v>2893</v>
      </c>
      <c r="G205" s="313">
        <v>44277</v>
      </c>
      <c r="H205" s="624"/>
      <c r="I205" s="625"/>
      <c r="J205" s="626"/>
      <c r="K205" s="627"/>
      <c r="L205" s="628"/>
      <c r="M205" s="629"/>
      <c r="N205" s="627"/>
      <c r="O205" s="628"/>
      <c r="P205" s="630"/>
      <c r="Q205" s="631"/>
      <c r="R205" s="715"/>
      <c r="S205" s="715"/>
      <c r="T205" s="632"/>
      <c r="U205" s="633"/>
      <c r="V205" s="634"/>
      <c r="W205" s="635"/>
      <c r="X205" s="636"/>
      <c r="Y205" s="637"/>
      <c r="Z205" s="921"/>
      <c r="AA205" s="636"/>
      <c r="AB205" s="1056"/>
      <c r="AC205" s="736" t="s">
        <v>2894</v>
      </c>
      <c r="AD205" s="317"/>
      <c r="AE205" s="316"/>
      <c r="AF205" s="704"/>
      <c r="AG205" s="211"/>
      <c r="AH205" s="210"/>
    </row>
    <row r="206" spans="1:34" s="4" customFormat="1">
      <c r="A206" s="2"/>
      <c r="B206" s="310" t="s">
        <v>119</v>
      </c>
      <c r="C206" s="311" t="s">
        <v>27</v>
      </c>
      <c r="D206" s="1222"/>
      <c r="E206" s="1223"/>
      <c r="F206" s="312" t="s">
        <v>2895</v>
      </c>
      <c r="G206" s="313">
        <v>44277</v>
      </c>
      <c r="H206" s="624"/>
      <c r="I206" s="625"/>
      <c r="J206" s="626"/>
      <c r="K206" s="627"/>
      <c r="L206" s="628"/>
      <c r="M206" s="629"/>
      <c r="N206" s="627"/>
      <c r="O206" s="628"/>
      <c r="P206" s="630"/>
      <c r="Q206" s="631"/>
      <c r="R206" s="715"/>
      <c r="S206" s="715"/>
      <c r="T206" s="632"/>
      <c r="U206" s="633"/>
      <c r="V206" s="634"/>
      <c r="W206" s="635"/>
      <c r="X206" s="636"/>
      <c r="Y206" s="637"/>
      <c r="Z206" s="921"/>
      <c r="AA206" s="636"/>
      <c r="AB206" s="1056"/>
      <c r="AC206" s="736" t="s">
        <v>2896</v>
      </c>
      <c r="AD206" s="317"/>
      <c r="AE206" s="316"/>
      <c r="AF206" s="704"/>
      <c r="AG206" s="211"/>
      <c r="AH206" s="210"/>
    </row>
    <row r="207" spans="1:34" s="4" customFormat="1">
      <c r="A207" s="2"/>
      <c r="B207" s="310" t="s">
        <v>115</v>
      </c>
      <c r="C207" s="311" t="s">
        <v>27</v>
      </c>
      <c r="D207" s="1222"/>
      <c r="E207" s="1223"/>
      <c r="F207" s="312" t="s">
        <v>2897</v>
      </c>
      <c r="G207" s="313">
        <v>44274</v>
      </c>
      <c r="H207" s="624"/>
      <c r="I207" s="625"/>
      <c r="J207" s="626"/>
      <c r="K207" s="627"/>
      <c r="L207" s="628"/>
      <c r="M207" s="629"/>
      <c r="N207" s="627"/>
      <c r="O207" s="628"/>
      <c r="P207" s="630"/>
      <c r="Q207" s="631"/>
      <c r="R207" s="715"/>
      <c r="S207" s="715"/>
      <c r="T207" s="632"/>
      <c r="U207" s="633"/>
      <c r="V207" s="634"/>
      <c r="W207" s="635"/>
      <c r="X207" s="636"/>
      <c r="Y207" s="637"/>
      <c r="Z207" s="921"/>
      <c r="AA207" s="636"/>
      <c r="AB207" s="1056"/>
      <c r="AC207" s="736" t="s">
        <v>2898</v>
      </c>
      <c r="AD207" s="317"/>
      <c r="AE207" s="669">
        <v>44281</v>
      </c>
      <c r="AF207" s="718"/>
      <c r="AG207" s="211"/>
      <c r="AH207" s="210"/>
    </row>
    <row r="208" spans="1:34" s="4" customFormat="1">
      <c r="A208" s="2"/>
      <c r="B208" s="310" t="s">
        <v>115</v>
      </c>
      <c r="C208" s="311" t="s">
        <v>27</v>
      </c>
      <c r="D208" s="662"/>
      <c r="E208" s="672"/>
      <c r="F208" s="312" t="s">
        <v>2899</v>
      </c>
      <c r="G208" s="313">
        <v>44274</v>
      </c>
      <c r="H208" s="624"/>
      <c r="I208" s="625"/>
      <c r="J208" s="626"/>
      <c r="K208" s="627"/>
      <c r="L208" s="628"/>
      <c r="M208" s="629"/>
      <c r="N208" s="627"/>
      <c r="O208" s="628"/>
      <c r="P208" s="630"/>
      <c r="Q208" s="631"/>
      <c r="R208" s="715"/>
      <c r="S208" s="715"/>
      <c r="T208" s="632"/>
      <c r="U208" s="633"/>
      <c r="V208" s="634"/>
      <c r="W208" s="635"/>
      <c r="X208" s="636"/>
      <c r="Y208" s="637"/>
      <c r="Z208" s="921"/>
      <c r="AA208" s="636"/>
      <c r="AB208" s="1056"/>
      <c r="AC208" s="736" t="s">
        <v>2900</v>
      </c>
      <c r="AD208" s="317"/>
      <c r="AE208" s="669">
        <v>44278</v>
      </c>
      <c r="AF208" s="718"/>
      <c r="AG208" s="211"/>
      <c r="AH208" s="210"/>
    </row>
    <row r="209" spans="1:34" s="4" customFormat="1">
      <c r="A209" s="2"/>
      <c r="B209" s="310" t="s">
        <v>115</v>
      </c>
      <c r="C209" s="311" t="s">
        <v>27</v>
      </c>
      <c r="D209" s="685"/>
      <c r="E209" s="686"/>
      <c r="F209" s="312" t="s">
        <v>2901</v>
      </c>
      <c r="G209" s="313">
        <v>44277</v>
      </c>
      <c r="H209" s="624"/>
      <c r="I209" s="625"/>
      <c r="J209" s="626"/>
      <c r="K209" s="627"/>
      <c r="L209" s="628"/>
      <c r="M209" s="629"/>
      <c r="N209" s="627"/>
      <c r="O209" s="628"/>
      <c r="P209" s="630"/>
      <c r="Q209" s="631"/>
      <c r="R209" s="715"/>
      <c r="S209" s="715"/>
      <c r="T209" s="632"/>
      <c r="U209" s="633"/>
      <c r="V209" s="634"/>
      <c r="W209" s="635"/>
      <c r="X209" s="636"/>
      <c r="Y209" s="637"/>
      <c r="Z209" s="921"/>
      <c r="AA209" s="636"/>
      <c r="AB209" s="1056"/>
      <c r="AC209" s="736" t="s">
        <v>2902</v>
      </c>
      <c r="AD209" s="317"/>
      <c r="AE209" s="669">
        <v>44284</v>
      </c>
      <c r="AF209" s="718"/>
      <c r="AG209" s="211"/>
      <c r="AH209" s="210"/>
    </row>
    <row r="210" spans="1:34" s="4" customFormat="1">
      <c r="A210" s="2"/>
      <c r="B210" s="310" t="s">
        <v>115</v>
      </c>
      <c r="C210" s="311" t="s">
        <v>27</v>
      </c>
      <c r="D210" s="685"/>
      <c r="E210" s="686"/>
      <c r="F210" s="312" t="s">
        <v>2903</v>
      </c>
      <c r="G210" s="313">
        <v>44277</v>
      </c>
      <c r="H210" s="624"/>
      <c r="I210" s="625"/>
      <c r="J210" s="626"/>
      <c r="K210" s="627"/>
      <c r="L210" s="628"/>
      <c r="M210" s="629"/>
      <c r="N210" s="627"/>
      <c r="O210" s="628"/>
      <c r="P210" s="630"/>
      <c r="Q210" s="631"/>
      <c r="R210" s="715"/>
      <c r="S210" s="715"/>
      <c r="T210" s="632"/>
      <c r="U210" s="633"/>
      <c r="V210" s="634"/>
      <c r="W210" s="635"/>
      <c r="X210" s="636"/>
      <c r="Y210" s="637"/>
      <c r="Z210" s="921"/>
      <c r="AA210" s="636"/>
      <c r="AB210" s="1056"/>
      <c r="AC210" s="736" t="s">
        <v>2904</v>
      </c>
      <c r="AD210" s="317"/>
      <c r="AE210" s="669">
        <v>44284</v>
      </c>
      <c r="AF210" s="718"/>
      <c r="AG210" s="211"/>
      <c r="AH210" s="210"/>
    </row>
    <row r="211" spans="1:34" s="4" customFormat="1">
      <c r="A211" s="2"/>
      <c r="B211" s="310" t="s">
        <v>115</v>
      </c>
      <c r="C211" s="311" t="s">
        <v>27</v>
      </c>
      <c r="D211" s="685"/>
      <c r="E211" s="686"/>
      <c r="F211" s="312" t="s">
        <v>2905</v>
      </c>
      <c r="G211" s="313">
        <v>44279</v>
      </c>
      <c r="H211" s="624"/>
      <c r="I211" s="625"/>
      <c r="J211" s="626"/>
      <c r="K211" s="627"/>
      <c r="L211" s="628"/>
      <c r="M211" s="629"/>
      <c r="N211" s="627" t="s">
        <v>2906</v>
      </c>
      <c r="O211" s="628"/>
      <c r="P211" s="630"/>
      <c r="Q211" s="631"/>
      <c r="R211" s="715"/>
      <c r="S211" s="715"/>
      <c r="T211" s="632"/>
      <c r="U211" s="633"/>
      <c r="V211" s="634"/>
      <c r="W211" s="635"/>
      <c r="X211" s="636"/>
      <c r="Y211" s="637"/>
      <c r="Z211" s="921"/>
      <c r="AA211" s="636"/>
      <c r="AB211" s="1056"/>
      <c r="AC211" s="736" t="s">
        <v>2907</v>
      </c>
      <c r="AD211" s="317"/>
      <c r="AE211" s="669">
        <v>44293</v>
      </c>
      <c r="AF211" s="718"/>
      <c r="AG211" s="211"/>
      <c r="AH211" s="210"/>
    </row>
    <row r="212" spans="1:34" s="4" customFormat="1">
      <c r="A212" s="2"/>
      <c r="B212" s="310" t="s">
        <v>106</v>
      </c>
      <c r="C212" s="311" t="s">
        <v>33</v>
      </c>
      <c r="D212" s="1225" t="s">
        <v>2908</v>
      </c>
      <c r="E212" s="1226"/>
      <c r="F212" s="312"/>
      <c r="G212" s="313"/>
      <c r="H212" s="624" t="s">
        <v>2909</v>
      </c>
      <c r="I212" s="625">
        <v>44280</v>
      </c>
      <c r="J212" s="626">
        <v>220000</v>
      </c>
      <c r="K212" s="627" t="s">
        <v>2910</v>
      </c>
      <c r="L212" s="628">
        <v>44280</v>
      </c>
      <c r="M212" s="629">
        <v>215000</v>
      </c>
      <c r="N212" s="627" t="s">
        <v>2911</v>
      </c>
      <c r="O212" s="628">
        <v>44280</v>
      </c>
      <c r="P212" s="630" t="s">
        <v>2912</v>
      </c>
      <c r="Q212" s="631">
        <v>44284</v>
      </c>
      <c r="R212" s="715"/>
      <c r="S212" s="1068"/>
      <c r="T212" s="632">
        <v>345760.77</v>
      </c>
      <c r="U212" s="633" t="s">
        <v>2913</v>
      </c>
      <c r="V212" s="634">
        <v>44537</v>
      </c>
      <c r="W212" s="635" t="s">
        <v>96</v>
      </c>
      <c r="X212" s="636">
        <v>346760.77</v>
      </c>
      <c r="Y212" s="637">
        <v>346760.77</v>
      </c>
      <c r="Z212" s="987">
        <f t="shared" ref="Z212:Z213" si="10">Y212/X212</f>
        <v>1</v>
      </c>
      <c r="AA212" s="919"/>
      <c r="AB212" s="1055">
        <v>0</v>
      </c>
      <c r="AC212" s="912" t="s">
        <v>2914</v>
      </c>
      <c r="AD212" s="913"/>
      <c r="AE212" s="316"/>
      <c r="AF212" s="704"/>
      <c r="AG212" s="211"/>
      <c r="AH212" s="210"/>
    </row>
    <row r="213" spans="1:34" s="4" customFormat="1">
      <c r="A213" s="2"/>
      <c r="B213" s="310" t="s">
        <v>106</v>
      </c>
      <c r="C213" s="311" t="s">
        <v>33</v>
      </c>
      <c r="D213" s="1225" t="s">
        <v>2915</v>
      </c>
      <c r="E213" s="1226"/>
      <c r="F213" s="312" t="s">
        <v>2916</v>
      </c>
      <c r="G213" s="313">
        <v>44279</v>
      </c>
      <c r="H213" s="624"/>
      <c r="I213" s="625"/>
      <c r="J213" s="626"/>
      <c r="K213" s="627" t="s">
        <v>2917</v>
      </c>
      <c r="L213" s="628">
        <v>44337</v>
      </c>
      <c r="M213" s="629">
        <v>-2250</v>
      </c>
      <c r="N213" s="627" t="s">
        <v>2918</v>
      </c>
      <c r="O213" s="628">
        <v>44337</v>
      </c>
      <c r="P213" s="630" t="s">
        <v>2919</v>
      </c>
      <c r="Q213" s="631">
        <v>44364</v>
      </c>
      <c r="R213" s="715"/>
      <c r="S213" s="1068"/>
      <c r="T213" s="632">
        <v>-4035</v>
      </c>
      <c r="U213" s="633" t="s">
        <v>2920</v>
      </c>
      <c r="V213" s="634">
        <v>44365</v>
      </c>
      <c r="W213" s="635" t="s">
        <v>118</v>
      </c>
      <c r="X213" s="636">
        <v>-4035</v>
      </c>
      <c r="Y213" s="637">
        <v>-4035</v>
      </c>
      <c r="Z213" s="987">
        <f t="shared" si="10"/>
        <v>1</v>
      </c>
      <c r="AA213" s="919"/>
      <c r="AB213" s="1055">
        <v>0</v>
      </c>
      <c r="AC213" s="912" t="s">
        <v>2921</v>
      </c>
      <c r="AD213" s="913"/>
      <c r="AE213" s="316"/>
      <c r="AF213" s="704"/>
      <c r="AG213" s="211"/>
      <c r="AH213" s="210"/>
    </row>
    <row r="214" spans="1:34" s="4" customFormat="1">
      <c r="A214" s="2"/>
      <c r="B214" s="310" t="s">
        <v>119</v>
      </c>
      <c r="C214" s="311" t="s">
        <v>27</v>
      </c>
      <c r="D214" s="1225" t="s">
        <v>2922</v>
      </c>
      <c r="E214" s="1226"/>
      <c r="F214" s="312" t="s">
        <v>2923</v>
      </c>
      <c r="G214" s="313">
        <v>44302</v>
      </c>
      <c r="H214" s="624"/>
      <c r="I214" s="625"/>
      <c r="J214" s="626"/>
      <c r="K214" s="627"/>
      <c r="L214" s="628"/>
      <c r="M214" s="629"/>
      <c r="N214" s="627"/>
      <c r="O214" s="628"/>
      <c r="P214" s="630"/>
      <c r="Q214" s="631"/>
      <c r="R214" s="715"/>
      <c r="S214" s="715"/>
      <c r="T214" s="632"/>
      <c r="U214" s="633"/>
      <c r="V214" s="634"/>
      <c r="W214" s="635"/>
      <c r="X214" s="636"/>
      <c r="Y214" s="637"/>
      <c r="Z214" s="921"/>
      <c r="AA214" s="636"/>
      <c r="AB214" s="908"/>
      <c r="AC214" s="314"/>
      <c r="AD214" s="317"/>
      <c r="AE214" s="316"/>
      <c r="AF214" s="704"/>
      <c r="AG214" s="211"/>
      <c r="AH214" s="210"/>
    </row>
    <row r="215" spans="1:34" s="4" customFormat="1">
      <c r="A215" s="2"/>
      <c r="B215" s="310" t="s">
        <v>115</v>
      </c>
      <c r="C215" s="311" t="s">
        <v>27</v>
      </c>
      <c r="D215" s="1225"/>
      <c r="E215" s="1226"/>
      <c r="F215" s="312" t="s">
        <v>2924</v>
      </c>
      <c r="G215" s="313">
        <v>44280</v>
      </c>
      <c r="H215" s="624"/>
      <c r="I215" s="625"/>
      <c r="J215" s="626"/>
      <c r="K215" s="627"/>
      <c r="L215" s="628"/>
      <c r="M215" s="629"/>
      <c r="N215" s="627"/>
      <c r="O215" s="628"/>
      <c r="P215" s="630"/>
      <c r="Q215" s="631"/>
      <c r="R215" s="715"/>
      <c r="S215" s="715"/>
      <c r="T215" s="632"/>
      <c r="U215" s="633"/>
      <c r="V215" s="634"/>
      <c r="W215" s="635"/>
      <c r="X215" s="636"/>
      <c r="Y215" s="637"/>
      <c r="Z215" s="921"/>
      <c r="AA215" s="636"/>
      <c r="AB215" s="1056"/>
      <c r="AC215" s="736" t="s">
        <v>2925</v>
      </c>
      <c r="AD215" s="317"/>
      <c r="AE215" s="316"/>
      <c r="AF215" s="718"/>
      <c r="AG215" s="211"/>
      <c r="AH215" s="210"/>
    </row>
    <row r="216" spans="1:34" s="4" customFormat="1">
      <c r="A216" s="2"/>
      <c r="B216" s="310" t="s">
        <v>115</v>
      </c>
      <c r="C216" s="311" t="s">
        <v>27</v>
      </c>
      <c r="D216" s="1225"/>
      <c r="E216" s="1226"/>
      <c r="F216" s="312" t="s">
        <v>2926</v>
      </c>
      <c r="G216" s="313">
        <v>44281</v>
      </c>
      <c r="H216" s="624"/>
      <c r="I216" s="625"/>
      <c r="J216" s="626"/>
      <c r="K216" s="627"/>
      <c r="L216" s="628"/>
      <c r="M216" s="629"/>
      <c r="N216" s="627"/>
      <c r="O216" s="628"/>
      <c r="P216" s="630"/>
      <c r="Q216" s="631"/>
      <c r="R216" s="715"/>
      <c r="S216" s="715"/>
      <c r="T216" s="632"/>
      <c r="U216" s="633"/>
      <c r="V216" s="634"/>
      <c r="W216" s="635"/>
      <c r="X216" s="636"/>
      <c r="Y216" s="637"/>
      <c r="Z216" s="921"/>
      <c r="AA216" s="636"/>
      <c r="AB216" s="1056"/>
      <c r="AC216" s="736" t="s">
        <v>2927</v>
      </c>
      <c r="AD216" s="317"/>
      <c r="AE216" s="316"/>
      <c r="AF216" s="718"/>
      <c r="AG216" s="211"/>
      <c r="AH216" s="210"/>
    </row>
    <row r="217" spans="1:34" s="4" customFormat="1">
      <c r="A217" s="2"/>
      <c r="B217" s="310" t="s">
        <v>115</v>
      </c>
      <c r="C217" s="311" t="s">
        <v>27</v>
      </c>
      <c r="D217" s="1225"/>
      <c r="E217" s="1226"/>
      <c r="F217" s="312" t="s">
        <v>2928</v>
      </c>
      <c r="G217" s="313">
        <v>44281</v>
      </c>
      <c r="H217" s="624"/>
      <c r="I217" s="625"/>
      <c r="J217" s="626"/>
      <c r="K217" s="627"/>
      <c r="L217" s="628"/>
      <c r="M217" s="629"/>
      <c r="N217" s="627"/>
      <c r="O217" s="628"/>
      <c r="P217" s="630"/>
      <c r="Q217" s="631"/>
      <c r="R217" s="715"/>
      <c r="S217" s="715"/>
      <c r="T217" s="632"/>
      <c r="U217" s="633"/>
      <c r="V217" s="634"/>
      <c r="W217" s="635"/>
      <c r="X217" s="636"/>
      <c r="Y217" s="637"/>
      <c r="Z217" s="921"/>
      <c r="AA217" s="636"/>
      <c r="AB217" s="1056"/>
      <c r="AC217" s="736" t="s">
        <v>2929</v>
      </c>
      <c r="AD217" s="317"/>
      <c r="AE217" s="316"/>
      <c r="AF217" s="718"/>
      <c r="AG217" s="211"/>
      <c r="AH217" s="210"/>
    </row>
    <row r="218" spans="1:34" s="4" customFormat="1">
      <c r="A218" s="2"/>
      <c r="B218" s="310" t="s">
        <v>115</v>
      </c>
      <c r="C218" s="311" t="s">
        <v>27</v>
      </c>
      <c r="D218" s="1225"/>
      <c r="E218" s="1226"/>
      <c r="F218" s="312" t="s">
        <v>2930</v>
      </c>
      <c r="G218" s="313">
        <v>44281</v>
      </c>
      <c r="H218" s="624"/>
      <c r="I218" s="625"/>
      <c r="J218" s="626"/>
      <c r="K218" s="627"/>
      <c r="L218" s="628"/>
      <c r="M218" s="629"/>
      <c r="N218" s="627"/>
      <c r="O218" s="628"/>
      <c r="P218" s="630"/>
      <c r="Q218" s="631"/>
      <c r="R218" s="715"/>
      <c r="S218" s="715"/>
      <c r="T218" s="632"/>
      <c r="U218" s="633"/>
      <c r="V218" s="634"/>
      <c r="W218" s="635"/>
      <c r="X218" s="636"/>
      <c r="Y218" s="637"/>
      <c r="Z218" s="921"/>
      <c r="AA218" s="636"/>
      <c r="AB218" s="1056"/>
      <c r="AC218" s="736" t="s">
        <v>2931</v>
      </c>
      <c r="AD218" s="317"/>
      <c r="AE218" s="316"/>
      <c r="AF218" s="718"/>
      <c r="AG218" s="211"/>
      <c r="AH218" s="210"/>
    </row>
    <row r="219" spans="1:34" s="4" customFormat="1">
      <c r="A219" s="2"/>
      <c r="B219" s="310" t="s">
        <v>115</v>
      </c>
      <c r="C219" s="311" t="s">
        <v>27</v>
      </c>
      <c r="D219" s="1225"/>
      <c r="E219" s="1226"/>
      <c r="F219" s="312" t="s">
        <v>2932</v>
      </c>
      <c r="G219" s="313">
        <v>44281</v>
      </c>
      <c r="H219" s="624"/>
      <c r="I219" s="625"/>
      <c r="J219" s="626"/>
      <c r="K219" s="627"/>
      <c r="L219" s="628"/>
      <c r="M219" s="629"/>
      <c r="N219" s="627"/>
      <c r="O219" s="628"/>
      <c r="P219" s="630"/>
      <c r="Q219" s="631"/>
      <c r="R219" s="715"/>
      <c r="S219" s="715"/>
      <c r="T219" s="632"/>
      <c r="U219" s="633"/>
      <c r="V219" s="634"/>
      <c r="W219" s="635"/>
      <c r="X219" s="636"/>
      <c r="Y219" s="637"/>
      <c r="Z219" s="921"/>
      <c r="AA219" s="636"/>
      <c r="AB219" s="1056"/>
      <c r="AC219" s="736" t="s">
        <v>2933</v>
      </c>
      <c r="AD219" s="317"/>
      <c r="AE219" s="316"/>
      <c r="AF219" s="718"/>
      <c r="AG219" s="211"/>
      <c r="AH219" s="210"/>
    </row>
    <row r="220" spans="1:34" s="4" customFormat="1">
      <c r="A220" s="2"/>
      <c r="B220" s="310" t="s">
        <v>115</v>
      </c>
      <c r="C220" s="311" t="s">
        <v>27</v>
      </c>
      <c r="D220" s="1225"/>
      <c r="E220" s="1226"/>
      <c r="F220" s="312" t="s">
        <v>2934</v>
      </c>
      <c r="G220" s="313">
        <v>44281</v>
      </c>
      <c r="H220" s="624"/>
      <c r="I220" s="625"/>
      <c r="J220" s="626"/>
      <c r="K220" s="627"/>
      <c r="L220" s="628"/>
      <c r="M220" s="629"/>
      <c r="N220" s="627"/>
      <c r="O220" s="628"/>
      <c r="P220" s="630"/>
      <c r="Q220" s="631"/>
      <c r="R220" s="715"/>
      <c r="S220" s="715"/>
      <c r="T220" s="632"/>
      <c r="U220" s="633"/>
      <c r="V220" s="634"/>
      <c r="W220" s="635"/>
      <c r="X220" s="636"/>
      <c r="Y220" s="637"/>
      <c r="Z220" s="921"/>
      <c r="AA220" s="636"/>
      <c r="AB220" s="1056"/>
      <c r="AC220" s="736" t="s">
        <v>2935</v>
      </c>
      <c r="AD220" s="317"/>
      <c r="AE220" s="316"/>
      <c r="AF220" s="718"/>
      <c r="AG220" s="211"/>
      <c r="AH220" s="210"/>
    </row>
    <row r="221" spans="1:34" s="4" customFormat="1">
      <c r="A221" s="2"/>
      <c r="B221" s="310" t="s">
        <v>119</v>
      </c>
      <c r="C221" s="311" t="s">
        <v>27</v>
      </c>
      <c r="D221" s="1225"/>
      <c r="E221" s="1226"/>
      <c r="F221" s="312" t="s">
        <v>2936</v>
      </c>
      <c r="G221" s="313">
        <v>44281</v>
      </c>
      <c r="H221" s="624"/>
      <c r="I221" s="625"/>
      <c r="J221" s="626"/>
      <c r="K221" s="627"/>
      <c r="L221" s="628"/>
      <c r="M221" s="629"/>
      <c r="N221" s="627"/>
      <c r="O221" s="628"/>
      <c r="P221" s="630"/>
      <c r="Q221" s="631"/>
      <c r="R221" s="715"/>
      <c r="S221" s="715"/>
      <c r="T221" s="632"/>
      <c r="U221" s="633"/>
      <c r="V221" s="634"/>
      <c r="W221" s="635"/>
      <c r="X221" s="636"/>
      <c r="Y221" s="637"/>
      <c r="Z221" s="921"/>
      <c r="AA221" s="636"/>
      <c r="AB221" s="1056"/>
      <c r="AC221" s="736" t="s">
        <v>2937</v>
      </c>
      <c r="AD221" s="317"/>
      <c r="AE221" s="316"/>
      <c r="AF221" s="704"/>
      <c r="AG221" s="211"/>
      <c r="AH221" s="210"/>
    </row>
    <row r="222" spans="1:34" s="4" customFormat="1">
      <c r="A222" s="2"/>
      <c r="B222" s="310" t="s">
        <v>106</v>
      </c>
      <c r="C222" s="311" t="s">
        <v>33</v>
      </c>
      <c r="D222" s="1225" t="s">
        <v>2938</v>
      </c>
      <c r="E222" s="1226"/>
      <c r="F222" s="312" t="s">
        <v>2939</v>
      </c>
      <c r="G222" s="313">
        <v>44286</v>
      </c>
      <c r="H222" s="624"/>
      <c r="I222" s="625"/>
      <c r="J222" s="626"/>
      <c r="K222" s="627" t="s">
        <v>2940</v>
      </c>
      <c r="L222" s="628">
        <v>44343</v>
      </c>
      <c r="M222" s="629">
        <v>2500</v>
      </c>
      <c r="N222" s="627" t="s">
        <v>2941</v>
      </c>
      <c r="O222" s="628">
        <v>44343</v>
      </c>
      <c r="P222" s="630" t="s">
        <v>2942</v>
      </c>
      <c r="Q222" s="631">
        <v>44351</v>
      </c>
      <c r="R222" s="715"/>
      <c r="S222" s="1068"/>
      <c r="T222" s="632">
        <v>3120.36</v>
      </c>
      <c r="U222" s="633" t="s">
        <v>2943</v>
      </c>
      <c r="V222" s="634">
        <v>44372</v>
      </c>
      <c r="W222" s="635" t="s">
        <v>2302</v>
      </c>
      <c r="X222" s="636">
        <v>3120.36</v>
      </c>
      <c r="Y222" s="636">
        <v>3120.36</v>
      </c>
      <c r="Z222" s="733">
        <f t="shared" ref="Z222:Z223" si="11">Y222/X222</f>
        <v>1</v>
      </c>
      <c r="AA222" s="919"/>
      <c r="AB222" s="1055">
        <v>0</v>
      </c>
      <c r="AC222" s="912" t="s">
        <v>2944</v>
      </c>
      <c r="AD222" s="913"/>
      <c r="AE222" s="316"/>
      <c r="AF222" s="704"/>
      <c r="AG222" s="211"/>
      <c r="AH222" s="210"/>
    </row>
    <row r="223" spans="1:34" s="4" customFormat="1">
      <c r="A223" s="2"/>
      <c r="B223" s="310" t="s">
        <v>106</v>
      </c>
      <c r="C223" s="311" t="s">
        <v>33</v>
      </c>
      <c r="D223" s="1225" t="s">
        <v>2945</v>
      </c>
      <c r="E223" s="1226"/>
      <c r="F223" s="312" t="s">
        <v>2946</v>
      </c>
      <c r="G223" s="313">
        <v>44286</v>
      </c>
      <c r="H223" s="624"/>
      <c r="I223" s="625"/>
      <c r="J223" s="626"/>
      <c r="K223" s="627" t="s">
        <v>2947</v>
      </c>
      <c r="L223" s="628">
        <v>44350</v>
      </c>
      <c r="M223" s="629">
        <v>7000</v>
      </c>
      <c r="N223" s="627" t="s">
        <v>2948</v>
      </c>
      <c r="O223" s="628">
        <v>44350</v>
      </c>
      <c r="P223" s="630" t="s">
        <v>2949</v>
      </c>
      <c r="Q223" s="631">
        <v>44446</v>
      </c>
      <c r="R223" s="715"/>
      <c r="S223" s="1068"/>
      <c r="T223" s="632">
        <v>41459.78</v>
      </c>
      <c r="U223" s="633" t="s">
        <v>2950</v>
      </c>
      <c r="V223" s="634">
        <v>44481</v>
      </c>
      <c r="W223" s="635" t="s">
        <v>2302</v>
      </c>
      <c r="X223" s="636">
        <v>41459.78</v>
      </c>
      <c r="Y223" s="636">
        <v>41459.78</v>
      </c>
      <c r="Z223" s="733">
        <f t="shared" si="11"/>
        <v>1</v>
      </c>
      <c r="AA223" s="919"/>
      <c r="AB223" s="1055">
        <v>0</v>
      </c>
      <c r="AC223" s="912" t="s">
        <v>2951</v>
      </c>
      <c r="AD223" s="913" t="s">
        <v>2952</v>
      </c>
      <c r="AE223" s="316"/>
      <c r="AF223" s="704"/>
      <c r="AG223" s="211"/>
      <c r="AH223" s="210"/>
    </row>
    <row r="224" spans="1:34" s="4" customFormat="1">
      <c r="A224" s="2"/>
      <c r="B224" s="310" t="s">
        <v>115</v>
      </c>
      <c r="C224" s="311" t="s">
        <v>27</v>
      </c>
      <c r="D224" s="1225"/>
      <c r="E224" s="1226"/>
      <c r="F224" s="312" t="s">
        <v>2953</v>
      </c>
      <c r="G224" s="313">
        <v>44286</v>
      </c>
      <c r="H224" s="624"/>
      <c r="I224" s="625"/>
      <c r="J224" s="626"/>
      <c r="K224" s="627"/>
      <c r="L224" s="628"/>
      <c r="M224" s="629"/>
      <c r="N224" s="627"/>
      <c r="O224" s="628"/>
      <c r="P224" s="630"/>
      <c r="Q224" s="631"/>
      <c r="R224" s="715"/>
      <c r="S224" s="715"/>
      <c r="T224" s="632"/>
      <c r="U224" s="633"/>
      <c r="V224" s="634"/>
      <c r="W224" s="635"/>
      <c r="X224" s="636"/>
      <c r="Y224" s="637"/>
      <c r="Z224" s="921"/>
      <c r="AA224" s="636"/>
      <c r="AB224" s="1056"/>
      <c r="AC224" s="736" t="s">
        <v>2954</v>
      </c>
      <c r="AD224" s="317"/>
      <c r="AE224" s="669">
        <v>44293</v>
      </c>
      <c r="AF224" s="718"/>
      <c r="AG224" s="211"/>
      <c r="AH224" s="210"/>
    </row>
    <row r="225" spans="1:34" s="4" customFormat="1">
      <c r="A225" s="2"/>
      <c r="B225" s="310" t="s">
        <v>115</v>
      </c>
      <c r="C225" s="311" t="s">
        <v>27</v>
      </c>
      <c r="D225" s="1225"/>
      <c r="E225" s="1226"/>
      <c r="F225" s="312" t="s">
        <v>2955</v>
      </c>
      <c r="G225" s="313">
        <v>44286</v>
      </c>
      <c r="H225" s="624"/>
      <c r="I225" s="625"/>
      <c r="J225" s="626"/>
      <c r="K225" s="627"/>
      <c r="L225" s="628"/>
      <c r="M225" s="629"/>
      <c r="N225" s="627"/>
      <c r="O225" s="628"/>
      <c r="P225" s="630"/>
      <c r="Q225" s="631"/>
      <c r="R225" s="715"/>
      <c r="S225" s="715"/>
      <c r="T225" s="632"/>
      <c r="U225" s="633"/>
      <c r="V225" s="634"/>
      <c r="W225" s="635"/>
      <c r="X225" s="636"/>
      <c r="Y225" s="637"/>
      <c r="Z225" s="921"/>
      <c r="AA225" s="636"/>
      <c r="AB225" s="1056"/>
      <c r="AC225" s="736" t="s">
        <v>2956</v>
      </c>
      <c r="AD225" s="317"/>
      <c r="AE225" s="669">
        <v>44287</v>
      </c>
      <c r="AF225" s="718"/>
      <c r="AG225" s="211"/>
      <c r="AH225" s="210"/>
    </row>
    <row r="226" spans="1:34" s="4" customFormat="1">
      <c r="A226" s="2"/>
      <c r="B226" s="310" t="s">
        <v>115</v>
      </c>
      <c r="C226" s="311" t="s">
        <v>27</v>
      </c>
      <c r="D226" s="1225"/>
      <c r="E226" s="1226"/>
      <c r="F226" s="312" t="s">
        <v>2957</v>
      </c>
      <c r="G226" s="313">
        <v>44287</v>
      </c>
      <c r="H226" s="624"/>
      <c r="I226" s="625"/>
      <c r="J226" s="626"/>
      <c r="K226" s="627"/>
      <c r="L226" s="628"/>
      <c r="M226" s="629"/>
      <c r="N226" s="627"/>
      <c r="O226" s="628"/>
      <c r="P226" s="630"/>
      <c r="Q226" s="631"/>
      <c r="R226" s="715"/>
      <c r="S226" s="715"/>
      <c r="T226" s="632"/>
      <c r="U226" s="633"/>
      <c r="V226" s="634"/>
      <c r="W226" s="635"/>
      <c r="X226" s="636"/>
      <c r="Y226" s="637"/>
      <c r="Z226" s="921"/>
      <c r="AA226" s="636"/>
      <c r="AB226" s="1056"/>
      <c r="AC226" s="736" t="s">
        <v>2958</v>
      </c>
      <c r="AD226" s="317"/>
      <c r="AE226" s="669">
        <v>44288</v>
      </c>
      <c r="AF226" s="718"/>
      <c r="AG226" s="211"/>
      <c r="AH226" s="210"/>
    </row>
    <row r="227" spans="1:34" s="4" customFormat="1">
      <c r="A227" s="2"/>
      <c r="B227" s="310" t="s">
        <v>115</v>
      </c>
      <c r="C227" s="311" t="s">
        <v>27</v>
      </c>
      <c r="D227" s="1225"/>
      <c r="E227" s="1226"/>
      <c r="F227" s="312" t="s">
        <v>2959</v>
      </c>
      <c r="G227" s="313">
        <v>44287</v>
      </c>
      <c r="H227" s="624"/>
      <c r="I227" s="625"/>
      <c r="J227" s="626"/>
      <c r="K227" s="627"/>
      <c r="L227" s="628"/>
      <c r="M227" s="629"/>
      <c r="N227" s="627"/>
      <c r="O227" s="628"/>
      <c r="P227" s="630"/>
      <c r="Q227" s="631"/>
      <c r="R227" s="715"/>
      <c r="S227" s="715"/>
      <c r="T227" s="632"/>
      <c r="U227" s="633"/>
      <c r="V227" s="634"/>
      <c r="W227" s="635"/>
      <c r="X227" s="636"/>
      <c r="Y227" s="637"/>
      <c r="Z227" s="921"/>
      <c r="AA227" s="636"/>
      <c r="AB227" s="1056"/>
      <c r="AC227" s="736" t="s">
        <v>2960</v>
      </c>
      <c r="AD227" s="317"/>
      <c r="AE227" s="669">
        <v>44293</v>
      </c>
      <c r="AF227" s="718"/>
      <c r="AG227" s="211"/>
      <c r="AH227" s="210"/>
    </row>
    <row r="228" spans="1:34" s="4" customFormat="1">
      <c r="A228" s="2"/>
      <c r="B228" s="310" t="s">
        <v>115</v>
      </c>
      <c r="C228" s="311" t="s">
        <v>27</v>
      </c>
      <c r="D228" s="1225"/>
      <c r="E228" s="1226"/>
      <c r="F228" s="312" t="s">
        <v>2961</v>
      </c>
      <c r="G228" s="313">
        <v>44291</v>
      </c>
      <c r="H228" s="624"/>
      <c r="I228" s="625"/>
      <c r="J228" s="626"/>
      <c r="K228" s="627"/>
      <c r="L228" s="628"/>
      <c r="M228" s="629"/>
      <c r="N228" s="627"/>
      <c r="O228" s="628"/>
      <c r="P228" s="630"/>
      <c r="Q228" s="631"/>
      <c r="R228" s="715"/>
      <c r="S228" s="715"/>
      <c r="T228" s="632"/>
      <c r="U228" s="633"/>
      <c r="V228" s="634"/>
      <c r="W228" s="635"/>
      <c r="X228" s="636"/>
      <c r="Y228" s="637"/>
      <c r="Z228" s="921"/>
      <c r="AA228" s="636"/>
      <c r="AB228" s="1056"/>
      <c r="AC228" s="736" t="s">
        <v>2962</v>
      </c>
      <c r="AD228" s="317"/>
      <c r="AE228" s="669">
        <v>44298</v>
      </c>
      <c r="AF228" s="718"/>
      <c r="AG228" s="211"/>
      <c r="AH228" s="210"/>
    </row>
    <row r="229" spans="1:34" s="4" customFormat="1">
      <c r="A229" s="2"/>
      <c r="B229" s="310" t="s">
        <v>115</v>
      </c>
      <c r="C229" s="311" t="s">
        <v>27</v>
      </c>
      <c r="D229" s="1225"/>
      <c r="E229" s="1226"/>
      <c r="F229" s="312" t="s">
        <v>2963</v>
      </c>
      <c r="G229" s="313">
        <v>44292</v>
      </c>
      <c r="H229" s="624"/>
      <c r="I229" s="625"/>
      <c r="J229" s="626"/>
      <c r="K229" s="627"/>
      <c r="L229" s="628"/>
      <c r="M229" s="629"/>
      <c r="N229" s="627"/>
      <c r="O229" s="628"/>
      <c r="P229" s="630"/>
      <c r="Q229" s="631"/>
      <c r="R229" s="715"/>
      <c r="S229" s="715"/>
      <c r="T229" s="632"/>
      <c r="U229" s="633"/>
      <c r="V229" s="634"/>
      <c r="W229" s="635"/>
      <c r="X229" s="636"/>
      <c r="Y229" s="637"/>
      <c r="Z229" s="921"/>
      <c r="AA229" s="636"/>
      <c r="AB229" s="1056"/>
      <c r="AC229" s="736" t="s">
        <v>2964</v>
      </c>
      <c r="AD229" s="317"/>
      <c r="AE229" s="669">
        <v>44294</v>
      </c>
      <c r="AF229" s="718"/>
      <c r="AG229" s="211"/>
      <c r="AH229" s="210"/>
    </row>
    <row r="230" spans="1:34" s="4" customFormat="1">
      <c r="A230" s="2"/>
      <c r="B230" s="310" t="s">
        <v>115</v>
      </c>
      <c r="C230" s="311" t="s">
        <v>27</v>
      </c>
      <c r="D230" s="1225"/>
      <c r="E230" s="1226"/>
      <c r="F230" s="312" t="s">
        <v>2965</v>
      </c>
      <c r="G230" s="313">
        <v>44294</v>
      </c>
      <c r="H230" s="624"/>
      <c r="I230" s="625"/>
      <c r="J230" s="626"/>
      <c r="K230" s="627"/>
      <c r="L230" s="628"/>
      <c r="M230" s="629"/>
      <c r="N230" s="627"/>
      <c r="O230" s="628"/>
      <c r="P230" s="630"/>
      <c r="Q230" s="631"/>
      <c r="R230" s="715"/>
      <c r="S230" s="715"/>
      <c r="T230" s="632"/>
      <c r="U230" s="633"/>
      <c r="V230" s="634"/>
      <c r="W230" s="635"/>
      <c r="X230" s="636"/>
      <c r="Y230" s="637"/>
      <c r="Z230" s="921"/>
      <c r="AA230" s="636"/>
      <c r="AB230" s="1056"/>
      <c r="AC230" s="736" t="s">
        <v>2966</v>
      </c>
      <c r="AD230" s="317"/>
      <c r="AE230" s="669">
        <v>44301</v>
      </c>
      <c r="AF230" s="718"/>
      <c r="AG230" s="211"/>
      <c r="AH230" s="210"/>
    </row>
    <row r="231" spans="1:34" s="4" customFormat="1">
      <c r="A231" s="2"/>
      <c r="B231" s="310" t="s">
        <v>106</v>
      </c>
      <c r="C231" s="311" t="s">
        <v>33</v>
      </c>
      <c r="D231" s="1225" t="s">
        <v>2967</v>
      </c>
      <c r="E231" s="1226"/>
      <c r="F231" s="312"/>
      <c r="G231" s="313"/>
      <c r="H231" s="624"/>
      <c r="I231" s="625"/>
      <c r="J231" s="626"/>
      <c r="K231" s="627" t="s">
        <v>2968</v>
      </c>
      <c r="L231" s="628">
        <v>44350</v>
      </c>
      <c r="M231" s="629">
        <v>7000</v>
      </c>
      <c r="N231" s="627" t="s">
        <v>2969</v>
      </c>
      <c r="O231" s="628">
        <v>44350</v>
      </c>
      <c r="P231" s="630" t="s">
        <v>2970</v>
      </c>
      <c r="Q231" s="631">
        <v>44368</v>
      </c>
      <c r="R231" s="715"/>
      <c r="S231" s="1068"/>
      <c r="T231" s="632">
        <v>11908.75</v>
      </c>
      <c r="U231" s="633" t="s">
        <v>2971</v>
      </c>
      <c r="V231" s="634">
        <v>44372</v>
      </c>
      <c r="W231" s="635" t="s">
        <v>2302</v>
      </c>
      <c r="X231" s="636">
        <v>11908.75</v>
      </c>
      <c r="Y231" s="636">
        <v>11908.75</v>
      </c>
      <c r="Z231" s="987">
        <f>Y231/X231</f>
        <v>1</v>
      </c>
      <c r="AA231" s="919"/>
      <c r="AB231" s="1055">
        <v>0</v>
      </c>
      <c r="AC231" s="1218" t="s">
        <v>2967</v>
      </c>
      <c r="AD231" s="1219"/>
      <c r="AE231" s="669"/>
      <c r="AF231" s="704"/>
      <c r="AG231" s="211"/>
      <c r="AH231" s="210"/>
    </row>
    <row r="232" spans="1:34" s="4" customFormat="1">
      <c r="A232" s="2"/>
      <c r="B232" s="310" t="s">
        <v>106</v>
      </c>
      <c r="C232" s="311" t="s">
        <v>33</v>
      </c>
      <c r="D232" s="1225" t="s">
        <v>2967</v>
      </c>
      <c r="E232" s="1226"/>
      <c r="F232" s="312"/>
      <c r="G232" s="313"/>
      <c r="H232" s="624"/>
      <c r="I232" s="625"/>
      <c r="J232" s="626"/>
      <c r="K232" s="627" t="s">
        <v>2968</v>
      </c>
      <c r="L232" s="628">
        <v>44350</v>
      </c>
      <c r="M232" s="629">
        <v>7000</v>
      </c>
      <c r="N232" s="627" t="s">
        <v>2969</v>
      </c>
      <c r="O232" s="628">
        <v>44350</v>
      </c>
      <c r="P232" s="630" t="s">
        <v>2972</v>
      </c>
      <c r="Q232" s="631">
        <v>45147</v>
      </c>
      <c r="R232" s="715">
        <v>45191</v>
      </c>
      <c r="S232" s="1068"/>
      <c r="T232" s="632">
        <v>9035.9599999999991</v>
      </c>
      <c r="U232" s="633" t="s">
        <v>2973</v>
      </c>
      <c r="V232" s="634">
        <v>45188</v>
      </c>
      <c r="W232" s="635" t="s">
        <v>2302</v>
      </c>
      <c r="X232" s="636">
        <v>9035.98</v>
      </c>
      <c r="Y232" s="636">
        <v>9035.98</v>
      </c>
      <c r="Z232" s="987">
        <f>Y232/X232</f>
        <v>1</v>
      </c>
      <c r="AA232" s="919"/>
      <c r="AB232" s="1055">
        <v>0</v>
      </c>
      <c r="AC232" s="1218" t="s">
        <v>2967</v>
      </c>
      <c r="AD232" s="1219"/>
      <c r="AE232" s="669"/>
      <c r="AF232" s="704"/>
      <c r="AG232" s="211"/>
      <c r="AH232" s="210"/>
    </row>
    <row r="233" spans="1:34" s="4" customFormat="1">
      <c r="A233" s="2"/>
      <c r="B233" s="310" t="s">
        <v>115</v>
      </c>
      <c r="C233" s="311" t="s">
        <v>27</v>
      </c>
      <c r="D233" s="1225"/>
      <c r="E233" s="1226"/>
      <c r="F233" s="312" t="s">
        <v>2974</v>
      </c>
      <c r="G233" s="313">
        <v>44298</v>
      </c>
      <c r="H233" s="624"/>
      <c r="I233" s="625"/>
      <c r="J233" s="626"/>
      <c r="K233" s="627"/>
      <c r="L233" s="628"/>
      <c r="M233" s="629"/>
      <c r="N233" s="627"/>
      <c r="O233" s="628"/>
      <c r="P233" s="630"/>
      <c r="Q233" s="631"/>
      <c r="R233" s="715"/>
      <c r="S233" s="715"/>
      <c r="T233" s="632"/>
      <c r="U233" s="633"/>
      <c r="V233" s="634"/>
      <c r="W233" s="635"/>
      <c r="X233" s="636"/>
      <c r="Y233" s="637"/>
      <c r="Z233" s="921"/>
      <c r="AA233" s="636"/>
      <c r="AB233" s="1056"/>
      <c r="AC233" s="736" t="s">
        <v>2975</v>
      </c>
      <c r="AD233" s="317"/>
      <c r="AE233" s="669">
        <v>44305</v>
      </c>
      <c r="AF233" s="718"/>
      <c r="AG233" s="211"/>
      <c r="AH233" s="210"/>
    </row>
    <row r="234" spans="1:34" s="4" customFormat="1">
      <c r="A234" s="2"/>
      <c r="B234" s="310" t="s">
        <v>115</v>
      </c>
      <c r="C234" s="311" t="s">
        <v>27</v>
      </c>
      <c r="D234" s="1225"/>
      <c r="E234" s="1226"/>
      <c r="F234" s="312" t="s">
        <v>2976</v>
      </c>
      <c r="G234" s="313">
        <v>44298</v>
      </c>
      <c r="H234" s="624"/>
      <c r="I234" s="625"/>
      <c r="J234" s="626"/>
      <c r="K234" s="627"/>
      <c r="L234" s="628"/>
      <c r="M234" s="629"/>
      <c r="N234" s="627"/>
      <c r="O234" s="628"/>
      <c r="P234" s="630"/>
      <c r="Q234" s="631"/>
      <c r="R234" s="715"/>
      <c r="S234" s="715"/>
      <c r="T234" s="632"/>
      <c r="U234" s="633"/>
      <c r="V234" s="634"/>
      <c r="W234" s="635"/>
      <c r="X234" s="636"/>
      <c r="Y234" s="637"/>
      <c r="Z234" s="921"/>
      <c r="AA234" s="636"/>
      <c r="AB234" s="1056"/>
      <c r="AC234" s="736" t="s">
        <v>2977</v>
      </c>
      <c r="AD234" s="317"/>
      <c r="AE234" s="669">
        <v>44306</v>
      </c>
      <c r="AF234" s="718"/>
      <c r="AG234" s="211"/>
      <c r="AH234" s="210"/>
    </row>
    <row r="235" spans="1:34" s="4" customFormat="1">
      <c r="A235" s="2"/>
      <c r="B235" s="310" t="s">
        <v>110</v>
      </c>
      <c r="C235" s="311" t="s">
        <v>27</v>
      </c>
      <c r="D235" s="1225" t="s">
        <v>2978</v>
      </c>
      <c r="E235" s="1226"/>
      <c r="F235" s="312" t="s">
        <v>2979</v>
      </c>
      <c r="G235" s="313">
        <v>44300</v>
      </c>
      <c r="H235" s="624" t="s">
        <v>2980</v>
      </c>
      <c r="I235" s="625">
        <v>44678</v>
      </c>
      <c r="J235" s="626">
        <v>0</v>
      </c>
      <c r="K235" s="627" t="s">
        <v>2981</v>
      </c>
      <c r="L235" s="628">
        <v>44312</v>
      </c>
      <c r="M235" s="629">
        <v>0</v>
      </c>
      <c r="N235" s="627" t="s">
        <v>2982</v>
      </c>
      <c r="O235" s="628">
        <v>44313</v>
      </c>
      <c r="P235" s="630"/>
      <c r="Q235" s="631"/>
      <c r="R235" s="715"/>
      <c r="S235" s="715"/>
      <c r="T235" s="632"/>
      <c r="U235" s="633"/>
      <c r="V235" s="634"/>
      <c r="W235" s="635" t="s">
        <v>2302</v>
      </c>
      <c r="X235" s="636"/>
      <c r="Y235" s="637"/>
      <c r="Z235" s="921"/>
      <c r="AA235" s="636"/>
      <c r="AB235" s="1056"/>
      <c r="AC235" s="736" t="s">
        <v>2983</v>
      </c>
      <c r="AD235" s="317" t="s">
        <v>2984</v>
      </c>
      <c r="AE235" s="669">
        <v>44307</v>
      </c>
      <c r="AF235" s="704"/>
      <c r="AG235" s="211"/>
      <c r="AH235" s="210"/>
    </row>
    <row r="236" spans="1:34" s="4" customFormat="1">
      <c r="A236" s="2"/>
      <c r="B236" s="310" t="s">
        <v>119</v>
      </c>
      <c r="C236" s="311" t="s">
        <v>27</v>
      </c>
      <c r="D236" s="1225" t="s">
        <v>2978</v>
      </c>
      <c r="E236" s="1226"/>
      <c r="F236" s="312" t="s">
        <v>2984</v>
      </c>
      <c r="G236" s="313">
        <v>44406</v>
      </c>
      <c r="H236" s="624"/>
      <c r="I236" s="625"/>
      <c r="J236" s="626"/>
      <c r="K236" s="627"/>
      <c r="L236" s="628"/>
      <c r="M236" s="629"/>
      <c r="N236" s="627"/>
      <c r="O236" s="628"/>
      <c r="P236" s="630"/>
      <c r="Q236" s="631"/>
      <c r="R236" s="715"/>
      <c r="S236" s="715"/>
      <c r="T236" s="632"/>
      <c r="U236" s="633"/>
      <c r="V236" s="634"/>
      <c r="W236" s="635" t="s">
        <v>2302</v>
      </c>
      <c r="X236" s="636"/>
      <c r="Y236" s="637"/>
      <c r="Z236" s="921"/>
      <c r="AA236" s="636"/>
      <c r="AB236" s="1056"/>
      <c r="AC236" s="736" t="s">
        <v>2983</v>
      </c>
      <c r="AD236" s="317"/>
      <c r="AE236" s="669">
        <v>44307</v>
      </c>
      <c r="AF236" s="704"/>
      <c r="AG236" s="211"/>
      <c r="AH236" s="210"/>
    </row>
    <row r="237" spans="1:34" s="4" customFormat="1">
      <c r="A237" s="2"/>
      <c r="B237" s="310" t="s">
        <v>115</v>
      </c>
      <c r="C237" s="311" t="s">
        <v>27</v>
      </c>
      <c r="D237" s="1225"/>
      <c r="E237" s="1226"/>
      <c r="F237" s="312" t="s">
        <v>2985</v>
      </c>
      <c r="G237" s="313">
        <v>44301</v>
      </c>
      <c r="H237" s="624"/>
      <c r="I237" s="625"/>
      <c r="J237" s="626"/>
      <c r="K237" s="627"/>
      <c r="L237" s="628"/>
      <c r="M237" s="629"/>
      <c r="N237" s="627"/>
      <c r="O237" s="628"/>
      <c r="P237" s="630"/>
      <c r="Q237" s="631"/>
      <c r="R237" s="715"/>
      <c r="S237" s="715"/>
      <c r="T237" s="632"/>
      <c r="U237" s="633"/>
      <c r="V237" s="634"/>
      <c r="W237" s="635"/>
      <c r="X237" s="636"/>
      <c r="Y237" s="637"/>
      <c r="Z237" s="921"/>
      <c r="AA237" s="636"/>
      <c r="AB237" s="1056"/>
      <c r="AC237" s="736" t="s">
        <v>2986</v>
      </c>
      <c r="AD237" s="317"/>
      <c r="AE237" s="669">
        <v>44302</v>
      </c>
      <c r="AF237" s="718"/>
      <c r="AG237" s="211"/>
      <c r="AH237" s="210"/>
    </row>
    <row r="238" spans="1:34" s="4" customFormat="1">
      <c r="A238" s="2"/>
      <c r="B238" s="310" t="s">
        <v>115</v>
      </c>
      <c r="C238" s="311" t="s">
        <v>27</v>
      </c>
      <c r="D238" s="1225"/>
      <c r="E238" s="1226"/>
      <c r="F238" s="312" t="s">
        <v>2987</v>
      </c>
      <c r="G238" s="313">
        <v>44301</v>
      </c>
      <c r="H238" s="624"/>
      <c r="I238" s="625"/>
      <c r="J238" s="626"/>
      <c r="K238" s="627"/>
      <c r="L238" s="628"/>
      <c r="M238" s="629"/>
      <c r="N238" s="627"/>
      <c r="O238" s="628"/>
      <c r="P238" s="630"/>
      <c r="Q238" s="631"/>
      <c r="R238" s="715"/>
      <c r="S238" s="715"/>
      <c r="T238" s="632"/>
      <c r="U238" s="633"/>
      <c r="V238" s="634"/>
      <c r="W238" s="635"/>
      <c r="X238" s="636"/>
      <c r="Y238" s="637"/>
      <c r="Z238" s="921"/>
      <c r="AA238" s="636"/>
      <c r="AB238" s="1056"/>
      <c r="AC238" s="736" t="s">
        <v>2988</v>
      </c>
      <c r="AD238" s="317"/>
      <c r="AE238" s="669">
        <v>44308</v>
      </c>
      <c r="AF238" s="718"/>
      <c r="AG238" s="211"/>
      <c r="AH238" s="210"/>
    </row>
    <row r="239" spans="1:34" s="4" customFormat="1">
      <c r="A239" s="2"/>
      <c r="B239" s="310" t="s">
        <v>115</v>
      </c>
      <c r="C239" s="311" t="s">
        <v>27</v>
      </c>
      <c r="D239" s="1225"/>
      <c r="E239" s="1226"/>
      <c r="F239" s="312" t="s">
        <v>2989</v>
      </c>
      <c r="G239" s="313">
        <v>44302</v>
      </c>
      <c r="H239" s="624"/>
      <c r="I239" s="625"/>
      <c r="J239" s="626"/>
      <c r="K239" s="627"/>
      <c r="L239" s="628"/>
      <c r="M239" s="629"/>
      <c r="N239" s="627"/>
      <c r="O239" s="628"/>
      <c r="P239" s="630"/>
      <c r="Q239" s="631"/>
      <c r="R239" s="715"/>
      <c r="S239" s="715"/>
      <c r="T239" s="632"/>
      <c r="U239" s="633"/>
      <c r="V239" s="634"/>
      <c r="W239" s="635"/>
      <c r="X239" s="636"/>
      <c r="Y239" s="637"/>
      <c r="Z239" s="921"/>
      <c r="AA239" s="636"/>
      <c r="AB239" s="1056"/>
      <c r="AC239" s="736" t="s">
        <v>2990</v>
      </c>
      <c r="AD239" s="317"/>
      <c r="AE239" s="669">
        <v>44316</v>
      </c>
      <c r="AF239" s="718"/>
      <c r="AG239" s="211"/>
      <c r="AH239" s="210"/>
    </row>
    <row r="240" spans="1:34" s="4" customFormat="1">
      <c r="A240" s="2"/>
      <c r="B240" s="310" t="s">
        <v>115</v>
      </c>
      <c r="C240" s="311" t="s">
        <v>27</v>
      </c>
      <c r="D240" s="1225"/>
      <c r="E240" s="1226"/>
      <c r="F240" s="312" t="s">
        <v>2991</v>
      </c>
      <c r="G240" s="313">
        <v>44302</v>
      </c>
      <c r="H240" s="624"/>
      <c r="I240" s="625"/>
      <c r="J240" s="626"/>
      <c r="K240" s="627"/>
      <c r="L240" s="628"/>
      <c r="M240" s="629"/>
      <c r="N240" s="627"/>
      <c r="O240" s="628"/>
      <c r="P240" s="630"/>
      <c r="Q240" s="631"/>
      <c r="R240" s="715"/>
      <c r="S240" s="715"/>
      <c r="T240" s="632"/>
      <c r="U240" s="633"/>
      <c r="V240" s="634"/>
      <c r="W240" s="635"/>
      <c r="X240" s="636"/>
      <c r="Y240" s="637"/>
      <c r="Z240" s="921"/>
      <c r="AA240" s="636"/>
      <c r="AB240" s="1056"/>
      <c r="AC240" s="736" t="s">
        <v>2992</v>
      </c>
      <c r="AD240" s="317"/>
      <c r="AE240" s="669">
        <v>44309</v>
      </c>
      <c r="AF240" s="718"/>
      <c r="AG240" s="211"/>
      <c r="AH240" s="210"/>
    </row>
    <row r="241" spans="1:34" s="4" customFormat="1">
      <c r="A241" s="2"/>
      <c r="B241" s="310" t="s">
        <v>106</v>
      </c>
      <c r="C241" s="311" t="s">
        <v>33</v>
      </c>
      <c r="D241" s="1225" t="s">
        <v>2993</v>
      </c>
      <c r="E241" s="1226"/>
      <c r="F241" s="312" t="s">
        <v>2994</v>
      </c>
      <c r="G241" s="313">
        <v>44302</v>
      </c>
      <c r="H241" s="624" t="s">
        <v>2995</v>
      </c>
      <c r="I241" s="625">
        <v>44327</v>
      </c>
      <c r="J241" s="626">
        <v>15000</v>
      </c>
      <c r="K241" s="627" t="s">
        <v>2996</v>
      </c>
      <c r="L241" s="628">
        <v>44316</v>
      </c>
      <c r="M241" s="629">
        <v>12000</v>
      </c>
      <c r="N241" s="627" t="s">
        <v>2997</v>
      </c>
      <c r="O241" s="628">
        <v>44316</v>
      </c>
      <c r="P241" s="630" t="s">
        <v>2998</v>
      </c>
      <c r="Q241" s="631">
        <v>44432</v>
      </c>
      <c r="R241" s="715"/>
      <c r="S241" s="1068"/>
      <c r="T241" s="632">
        <v>43623.48</v>
      </c>
      <c r="U241" s="633" t="s">
        <v>2999</v>
      </c>
      <c r="V241" s="634">
        <v>44460</v>
      </c>
      <c r="W241" s="635" t="s">
        <v>2302</v>
      </c>
      <c r="X241" s="636">
        <v>43623.48</v>
      </c>
      <c r="Y241" s="637">
        <v>43623.48</v>
      </c>
      <c r="Z241" s="987">
        <f>Y241/X241</f>
        <v>1</v>
      </c>
      <c r="AA241" s="919"/>
      <c r="AB241" s="1055">
        <v>0</v>
      </c>
      <c r="AC241" s="912" t="s">
        <v>3000</v>
      </c>
      <c r="AD241" s="913"/>
      <c r="AE241" s="669">
        <v>44307</v>
      </c>
      <c r="AF241" s="704"/>
      <c r="AG241" s="211"/>
      <c r="AH241" s="210"/>
    </row>
    <row r="242" spans="1:34" s="4" customFormat="1">
      <c r="A242" s="2"/>
      <c r="B242" s="310" t="s">
        <v>115</v>
      </c>
      <c r="C242" s="311" t="s">
        <v>27</v>
      </c>
      <c r="D242" s="1225"/>
      <c r="E242" s="1226"/>
      <c r="F242" s="312" t="s">
        <v>3001</v>
      </c>
      <c r="G242" s="313">
        <v>44302</v>
      </c>
      <c r="H242" s="624"/>
      <c r="I242" s="625"/>
      <c r="J242" s="626"/>
      <c r="K242" s="627"/>
      <c r="L242" s="628"/>
      <c r="M242" s="629"/>
      <c r="N242" s="627" t="s">
        <v>3002</v>
      </c>
      <c r="O242" s="628"/>
      <c r="P242" s="630"/>
      <c r="Q242" s="631"/>
      <c r="R242" s="715"/>
      <c r="S242" s="715"/>
      <c r="T242" s="632"/>
      <c r="U242" s="633"/>
      <c r="V242" s="634"/>
      <c r="W242" s="635"/>
      <c r="X242" s="636"/>
      <c r="Y242" s="637"/>
      <c r="Z242" s="921"/>
      <c r="AA242" s="636"/>
      <c r="AB242" s="1056"/>
      <c r="AC242" s="736" t="s">
        <v>3003</v>
      </c>
      <c r="AD242" s="317"/>
      <c r="AE242" s="669">
        <v>44309</v>
      </c>
      <c r="AF242" s="718"/>
      <c r="AG242" s="211"/>
      <c r="AH242" s="210"/>
    </row>
    <row r="243" spans="1:34" s="4" customFormat="1">
      <c r="A243" s="2"/>
      <c r="B243" s="310" t="s">
        <v>110</v>
      </c>
      <c r="C243" s="311" t="s">
        <v>27</v>
      </c>
      <c r="D243" s="1225" t="s">
        <v>3004</v>
      </c>
      <c r="E243" s="1226"/>
      <c r="F243" s="312"/>
      <c r="G243" s="313"/>
      <c r="H243" s="624"/>
      <c r="I243" s="625"/>
      <c r="J243" s="626"/>
      <c r="K243" s="627" t="s">
        <v>3005</v>
      </c>
      <c r="L243" s="628">
        <v>44295</v>
      </c>
      <c r="M243" s="629">
        <v>-250</v>
      </c>
      <c r="N243" s="627" t="s">
        <v>3006</v>
      </c>
      <c r="O243" s="628">
        <v>44295</v>
      </c>
      <c r="P243" s="630"/>
      <c r="Q243" s="631"/>
      <c r="R243" s="715"/>
      <c r="S243" s="715"/>
      <c r="T243" s="632">
        <v>0</v>
      </c>
      <c r="U243" s="633"/>
      <c r="V243" s="634"/>
      <c r="W243" s="635" t="s">
        <v>2302</v>
      </c>
      <c r="X243" s="636"/>
      <c r="Y243" s="637"/>
      <c r="Z243" s="921"/>
      <c r="AA243" s="636"/>
      <c r="AB243" s="1056"/>
      <c r="AC243" s="736"/>
      <c r="AD243" s="317"/>
      <c r="AE243" s="316"/>
      <c r="AF243" s="704"/>
      <c r="AG243" s="211"/>
      <c r="AH243" s="210"/>
    </row>
    <row r="244" spans="1:34" s="4" customFormat="1">
      <c r="A244" s="2"/>
      <c r="B244" s="310" t="s">
        <v>119</v>
      </c>
      <c r="C244" s="311" t="s">
        <v>27</v>
      </c>
      <c r="D244" s="1225" t="s">
        <v>3004</v>
      </c>
      <c r="E244" s="1226"/>
      <c r="F244" s="312" t="s">
        <v>3007</v>
      </c>
      <c r="G244" s="313">
        <v>44389</v>
      </c>
      <c r="H244" s="624"/>
      <c r="I244" s="625"/>
      <c r="J244" s="626"/>
      <c r="K244" s="627"/>
      <c r="L244" s="628"/>
      <c r="M244" s="629"/>
      <c r="N244" s="627"/>
      <c r="O244" s="628"/>
      <c r="P244" s="630"/>
      <c r="Q244" s="631"/>
      <c r="R244" s="715"/>
      <c r="S244" s="715"/>
      <c r="T244" s="632"/>
      <c r="U244" s="633"/>
      <c r="V244" s="634"/>
      <c r="W244" s="635"/>
      <c r="X244" s="636"/>
      <c r="Y244" s="637"/>
      <c r="Z244" s="921"/>
      <c r="AA244" s="636"/>
      <c r="AB244" s="1056"/>
      <c r="AC244" s="736"/>
      <c r="AD244" s="317"/>
      <c r="AE244" s="316"/>
      <c r="AF244" s="704"/>
      <c r="AG244" s="211"/>
      <c r="AH244" s="210"/>
    </row>
    <row r="245" spans="1:34" s="4" customFormat="1">
      <c r="A245" s="2"/>
      <c r="B245" s="310" t="s">
        <v>106</v>
      </c>
      <c r="C245" s="311" t="s">
        <v>33</v>
      </c>
      <c r="D245" s="1225" t="s">
        <v>3008</v>
      </c>
      <c r="E245" s="1226"/>
      <c r="F245" s="312" t="s">
        <v>3009</v>
      </c>
      <c r="G245" s="313">
        <v>44307</v>
      </c>
      <c r="H245" s="624"/>
      <c r="I245" s="625"/>
      <c r="J245" s="626"/>
      <c r="K245" s="627" t="s">
        <v>3010</v>
      </c>
      <c r="L245" s="628">
        <v>44372</v>
      </c>
      <c r="M245" s="629">
        <v>3000</v>
      </c>
      <c r="N245" s="627" t="s">
        <v>3011</v>
      </c>
      <c r="O245" s="628">
        <v>44376</v>
      </c>
      <c r="P245" s="630" t="s">
        <v>3012</v>
      </c>
      <c r="Q245" s="631">
        <v>44419</v>
      </c>
      <c r="R245" s="715"/>
      <c r="S245" s="1068"/>
      <c r="T245" s="632">
        <v>6397.9</v>
      </c>
      <c r="U245" s="633" t="s">
        <v>3013</v>
      </c>
      <c r="V245" s="634">
        <v>44421</v>
      </c>
      <c r="W245" s="635" t="s">
        <v>2302</v>
      </c>
      <c r="X245" s="636">
        <v>6397.9</v>
      </c>
      <c r="Y245" s="637">
        <v>6397.9</v>
      </c>
      <c r="Z245" s="987">
        <f>Y245/X245</f>
        <v>1</v>
      </c>
      <c r="AA245" s="919"/>
      <c r="AB245" s="1055">
        <v>0</v>
      </c>
      <c r="AC245" s="912" t="s">
        <v>3014</v>
      </c>
      <c r="AD245" s="913"/>
      <c r="AE245" s="669">
        <v>44312</v>
      </c>
      <c r="AF245" s="704"/>
      <c r="AG245" s="211"/>
      <c r="AH245" s="210"/>
    </row>
    <row r="246" spans="1:34" s="4" customFormat="1">
      <c r="A246" s="2"/>
      <c r="B246" s="310" t="s">
        <v>115</v>
      </c>
      <c r="C246" s="311" t="s">
        <v>27</v>
      </c>
      <c r="D246" s="1225"/>
      <c r="E246" s="1226"/>
      <c r="F246" s="312" t="s">
        <v>3015</v>
      </c>
      <c r="G246" s="313">
        <v>44308</v>
      </c>
      <c r="H246" s="624"/>
      <c r="I246" s="625"/>
      <c r="J246" s="626"/>
      <c r="K246" s="627"/>
      <c r="L246" s="628"/>
      <c r="M246" s="629"/>
      <c r="N246" s="627"/>
      <c r="O246" s="628"/>
      <c r="P246" s="630"/>
      <c r="Q246" s="631"/>
      <c r="R246" s="715"/>
      <c r="S246" s="715"/>
      <c r="T246" s="632"/>
      <c r="U246" s="633"/>
      <c r="V246" s="634"/>
      <c r="W246" s="635"/>
      <c r="X246" s="636"/>
      <c r="Y246" s="637"/>
      <c r="Z246" s="921"/>
      <c r="AA246" s="636"/>
      <c r="AB246" s="1056"/>
      <c r="AC246" s="736" t="s">
        <v>3016</v>
      </c>
      <c r="AD246" s="317"/>
      <c r="AE246" s="669">
        <v>44322</v>
      </c>
      <c r="AF246" s="704"/>
      <c r="AG246" s="211"/>
      <c r="AH246" s="210"/>
    </row>
    <row r="247" spans="1:34" s="4" customFormat="1">
      <c r="A247" s="2"/>
      <c r="B247" s="310" t="s">
        <v>115</v>
      </c>
      <c r="C247" s="311" t="s">
        <v>27</v>
      </c>
      <c r="D247" s="1225"/>
      <c r="E247" s="1226"/>
      <c r="F247" s="312" t="s">
        <v>3017</v>
      </c>
      <c r="G247" s="313">
        <v>44308</v>
      </c>
      <c r="H247" s="624"/>
      <c r="I247" s="625"/>
      <c r="J247" s="626"/>
      <c r="K247" s="627"/>
      <c r="L247" s="628"/>
      <c r="M247" s="629"/>
      <c r="N247" s="627"/>
      <c r="O247" s="628"/>
      <c r="P247" s="630"/>
      <c r="Q247" s="631"/>
      <c r="R247" s="715"/>
      <c r="S247" s="715"/>
      <c r="T247" s="632"/>
      <c r="U247" s="633"/>
      <c r="V247" s="634"/>
      <c r="W247" s="635"/>
      <c r="X247" s="636"/>
      <c r="Y247" s="637"/>
      <c r="Z247" s="921"/>
      <c r="AA247" s="636"/>
      <c r="AB247" s="1056"/>
      <c r="AC247" s="736" t="s">
        <v>3018</v>
      </c>
      <c r="AD247" s="317" t="s">
        <v>3019</v>
      </c>
      <c r="AE247" s="669">
        <v>44336</v>
      </c>
      <c r="AF247" s="704"/>
      <c r="AG247" s="211"/>
      <c r="AH247" s="210"/>
    </row>
    <row r="248" spans="1:34" s="4" customFormat="1">
      <c r="A248" s="2"/>
      <c r="B248" s="310" t="s">
        <v>115</v>
      </c>
      <c r="C248" s="311" t="s">
        <v>27</v>
      </c>
      <c r="D248" s="1225"/>
      <c r="E248" s="1226"/>
      <c r="F248" s="312" t="s">
        <v>3020</v>
      </c>
      <c r="G248" s="313">
        <v>44312</v>
      </c>
      <c r="H248" s="624"/>
      <c r="I248" s="625"/>
      <c r="J248" s="626"/>
      <c r="K248" s="627"/>
      <c r="L248" s="628"/>
      <c r="M248" s="629"/>
      <c r="N248" s="627"/>
      <c r="O248" s="628"/>
      <c r="P248" s="630"/>
      <c r="Q248" s="631"/>
      <c r="R248" s="715"/>
      <c r="S248" s="715"/>
      <c r="T248" s="632"/>
      <c r="U248" s="633"/>
      <c r="V248" s="634"/>
      <c r="W248" s="635"/>
      <c r="X248" s="636"/>
      <c r="Y248" s="637"/>
      <c r="Z248" s="921"/>
      <c r="AA248" s="636"/>
      <c r="AB248" s="1056"/>
      <c r="AC248" s="736" t="s">
        <v>3021</v>
      </c>
      <c r="AD248" s="317"/>
      <c r="AE248" s="669">
        <v>44319</v>
      </c>
      <c r="AF248" s="718"/>
      <c r="AG248" s="211"/>
      <c r="AH248" s="210"/>
    </row>
    <row r="249" spans="1:34" s="4" customFormat="1">
      <c r="A249" s="2"/>
      <c r="B249" s="310" t="s">
        <v>115</v>
      </c>
      <c r="C249" s="311" t="s">
        <v>27</v>
      </c>
      <c r="D249" s="1225"/>
      <c r="E249" s="1226"/>
      <c r="F249" s="312" t="s">
        <v>3022</v>
      </c>
      <c r="G249" s="313">
        <v>44312</v>
      </c>
      <c r="H249" s="624"/>
      <c r="I249" s="625"/>
      <c r="J249" s="626"/>
      <c r="K249" s="627"/>
      <c r="L249" s="628"/>
      <c r="M249" s="629"/>
      <c r="N249" s="627"/>
      <c r="O249" s="628"/>
      <c r="P249" s="630"/>
      <c r="Q249" s="631"/>
      <c r="R249" s="715"/>
      <c r="S249" s="715"/>
      <c r="T249" s="632"/>
      <c r="U249" s="633"/>
      <c r="V249" s="634"/>
      <c r="W249" s="635"/>
      <c r="X249" s="636"/>
      <c r="Y249" s="637"/>
      <c r="Z249" s="921"/>
      <c r="AA249" s="636"/>
      <c r="AB249" s="1056"/>
      <c r="AC249" s="736" t="s">
        <v>3023</v>
      </c>
      <c r="AD249" s="317"/>
      <c r="AE249" s="669">
        <v>44319</v>
      </c>
      <c r="AF249" s="718"/>
      <c r="AG249" s="211"/>
      <c r="AH249" s="210"/>
    </row>
    <row r="250" spans="1:34" s="4" customFormat="1">
      <c r="A250" s="2"/>
      <c r="B250" s="310" t="s">
        <v>115</v>
      </c>
      <c r="C250" s="311" t="s">
        <v>27</v>
      </c>
      <c r="D250" s="1225"/>
      <c r="E250" s="1226"/>
      <c r="F250" s="312" t="s">
        <v>3024</v>
      </c>
      <c r="G250" s="313">
        <v>44312</v>
      </c>
      <c r="H250" s="624"/>
      <c r="I250" s="625"/>
      <c r="J250" s="626"/>
      <c r="K250" s="627"/>
      <c r="L250" s="628"/>
      <c r="M250" s="629"/>
      <c r="N250" s="627"/>
      <c r="O250" s="628"/>
      <c r="P250" s="630"/>
      <c r="Q250" s="631"/>
      <c r="R250" s="715"/>
      <c r="S250" s="715"/>
      <c r="T250" s="632"/>
      <c r="U250" s="633"/>
      <c r="V250" s="634"/>
      <c r="W250" s="635"/>
      <c r="X250" s="636"/>
      <c r="Y250" s="637"/>
      <c r="Z250" s="921"/>
      <c r="AA250" s="636"/>
      <c r="AB250" s="1056"/>
      <c r="AC250" s="736" t="s">
        <v>3025</v>
      </c>
      <c r="AD250" s="317"/>
      <c r="AE250" s="669">
        <v>44319</v>
      </c>
      <c r="AF250" s="718"/>
      <c r="AG250" s="211"/>
      <c r="AH250" s="210"/>
    </row>
    <row r="251" spans="1:34" s="4" customFormat="1">
      <c r="A251" s="2"/>
      <c r="B251" s="310" t="s">
        <v>115</v>
      </c>
      <c r="C251" s="311" t="s">
        <v>27</v>
      </c>
      <c r="D251" s="1225"/>
      <c r="E251" s="1226"/>
      <c r="F251" s="312" t="s">
        <v>3026</v>
      </c>
      <c r="G251" s="313">
        <v>44312</v>
      </c>
      <c r="H251" s="624"/>
      <c r="I251" s="625"/>
      <c r="J251" s="626"/>
      <c r="K251" s="627"/>
      <c r="L251" s="628"/>
      <c r="M251" s="629"/>
      <c r="N251" s="627"/>
      <c r="O251" s="628"/>
      <c r="P251" s="630"/>
      <c r="Q251" s="631"/>
      <c r="R251" s="715"/>
      <c r="S251" s="715"/>
      <c r="T251" s="632"/>
      <c r="U251" s="633"/>
      <c r="V251" s="634"/>
      <c r="W251" s="635"/>
      <c r="X251" s="636"/>
      <c r="Y251" s="637"/>
      <c r="Z251" s="921"/>
      <c r="AA251" s="636"/>
      <c r="AB251" s="1056"/>
      <c r="AC251" s="736" t="s">
        <v>3027</v>
      </c>
      <c r="AD251" s="317"/>
      <c r="AE251" s="669">
        <v>44319</v>
      </c>
      <c r="AF251" s="718"/>
      <c r="AG251" s="211"/>
      <c r="AH251" s="210"/>
    </row>
    <row r="252" spans="1:34" s="4" customFormat="1">
      <c r="A252" s="2"/>
      <c r="B252" s="310" t="s">
        <v>115</v>
      </c>
      <c r="C252" s="311" t="s">
        <v>27</v>
      </c>
      <c r="D252" s="1225"/>
      <c r="E252" s="1226"/>
      <c r="F252" s="312" t="s">
        <v>3028</v>
      </c>
      <c r="G252" s="313">
        <v>44312</v>
      </c>
      <c r="H252" s="624"/>
      <c r="I252" s="625"/>
      <c r="J252" s="626"/>
      <c r="K252" s="627"/>
      <c r="L252" s="628"/>
      <c r="M252" s="629"/>
      <c r="N252" s="627"/>
      <c r="O252" s="628"/>
      <c r="P252" s="630"/>
      <c r="Q252" s="631"/>
      <c r="R252" s="715"/>
      <c r="S252" s="715"/>
      <c r="T252" s="632"/>
      <c r="U252" s="633"/>
      <c r="V252" s="634"/>
      <c r="W252" s="635"/>
      <c r="X252" s="636"/>
      <c r="Y252" s="637"/>
      <c r="Z252" s="921"/>
      <c r="AA252" s="636"/>
      <c r="AB252" s="1056"/>
      <c r="AC252" s="736" t="s">
        <v>3029</v>
      </c>
      <c r="AD252" s="317"/>
      <c r="AE252" s="669">
        <v>44319</v>
      </c>
      <c r="AF252" s="718"/>
      <c r="AG252" s="211"/>
      <c r="AH252" s="210"/>
    </row>
    <row r="253" spans="1:34" s="4" customFormat="1">
      <c r="A253" s="2"/>
      <c r="B253" s="310" t="s">
        <v>115</v>
      </c>
      <c r="C253" s="311" t="s">
        <v>27</v>
      </c>
      <c r="D253" s="1225"/>
      <c r="E253" s="1226"/>
      <c r="F253" s="312" t="s">
        <v>3030</v>
      </c>
      <c r="G253" s="313">
        <v>44313</v>
      </c>
      <c r="H253" s="624"/>
      <c r="I253" s="625"/>
      <c r="J253" s="626"/>
      <c r="K253" s="627"/>
      <c r="L253" s="628"/>
      <c r="M253" s="629"/>
      <c r="N253" s="627"/>
      <c r="O253" s="628"/>
      <c r="P253" s="630"/>
      <c r="Q253" s="631"/>
      <c r="R253" s="715"/>
      <c r="S253" s="715"/>
      <c r="T253" s="632"/>
      <c r="U253" s="633"/>
      <c r="V253" s="634"/>
      <c r="W253" s="635"/>
      <c r="X253" s="636"/>
      <c r="Y253" s="637"/>
      <c r="Z253" s="921"/>
      <c r="AA253" s="636"/>
      <c r="AB253" s="1056"/>
      <c r="AC253" s="736" t="s">
        <v>3031</v>
      </c>
      <c r="AD253" s="317"/>
      <c r="AE253" s="669">
        <v>44320</v>
      </c>
      <c r="AF253" s="718"/>
      <c r="AG253" s="211"/>
      <c r="AH253" s="210"/>
    </row>
    <row r="254" spans="1:34" s="4" customFormat="1">
      <c r="A254" s="2"/>
      <c r="B254" s="310" t="s">
        <v>115</v>
      </c>
      <c r="C254" s="311" t="s">
        <v>27</v>
      </c>
      <c r="D254" s="1225"/>
      <c r="E254" s="1226"/>
      <c r="F254" s="312" t="s">
        <v>3032</v>
      </c>
      <c r="G254" s="313">
        <v>44313</v>
      </c>
      <c r="H254" s="624"/>
      <c r="I254" s="625"/>
      <c r="J254" s="626"/>
      <c r="K254" s="627"/>
      <c r="L254" s="628"/>
      <c r="M254" s="629"/>
      <c r="N254" s="627"/>
      <c r="O254" s="628"/>
      <c r="P254" s="630"/>
      <c r="Q254" s="631"/>
      <c r="R254" s="715"/>
      <c r="S254" s="715"/>
      <c r="T254" s="632"/>
      <c r="U254" s="633"/>
      <c r="V254" s="634"/>
      <c r="W254" s="635"/>
      <c r="X254" s="636"/>
      <c r="Y254" s="637"/>
      <c r="Z254" s="921"/>
      <c r="AA254" s="636"/>
      <c r="AB254" s="1056"/>
      <c r="AC254" s="736" t="s">
        <v>3033</v>
      </c>
      <c r="AD254" s="317"/>
      <c r="AE254" s="669">
        <v>44321</v>
      </c>
      <c r="AF254" s="718"/>
      <c r="AG254" s="211"/>
      <c r="AH254" s="210"/>
    </row>
    <row r="255" spans="1:34" s="4" customFormat="1">
      <c r="A255" s="2"/>
      <c r="B255" s="310" t="s">
        <v>115</v>
      </c>
      <c r="C255" s="311" t="s">
        <v>27</v>
      </c>
      <c r="D255" s="1225"/>
      <c r="E255" s="1226"/>
      <c r="F255" s="312" t="s">
        <v>3034</v>
      </c>
      <c r="G255" s="313">
        <v>44314</v>
      </c>
      <c r="H255" s="624"/>
      <c r="I255" s="625"/>
      <c r="J255" s="626"/>
      <c r="K255" s="627"/>
      <c r="L255" s="628"/>
      <c r="M255" s="629"/>
      <c r="N255" s="627"/>
      <c r="O255" s="628"/>
      <c r="P255" s="630"/>
      <c r="Q255" s="631"/>
      <c r="R255" s="715"/>
      <c r="S255" s="715"/>
      <c r="T255" s="632"/>
      <c r="U255" s="633"/>
      <c r="V255" s="634"/>
      <c r="W255" s="635"/>
      <c r="X255" s="636"/>
      <c r="Y255" s="637"/>
      <c r="Z255" s="725"/>
      <c r="AA255" s="636"/>
      <c r="AB255" s="1056"/>
      <c r="AC255" s="736" t="s">
        <v>3035</v>
      </c>
      <c r="AD255" s="317"/>
      <c r="AE255" s="669">
        <v>44315</v>
      </c>
      <c r="AF255" s="718"/>
      <c r="AG255" s="211"/>
      <c r="AH255" s="210"/>
    </row>
    <row r="256" spans="1:34" s="4" customFormat="1">
      <c r="A256" s="2"/>
      <c r="B256" s="310" t="s">
        <v>110</v>
      </c>
      <c r="C256" s="311" t="s">
        <v>27</v>
      </c>
      <c r="D256" s="1225" t="s">
        <v>3036</v>
      </c>
      <c r="E256" s="1226"/>
      <c r="F256" s="312" t="s">
        <v>3037</v>
      </c>
      <c r="G256" s="313">
        <v>44314</v>
      </c>
      <c r="H256" s="624"/>
      <c r="I256" s="625"/>
      <c r="J256" s="626"/>
      <c r="K256" s="627" t="s">
        <v>3038</v>
      </c>
      <c r="L256" s="628">
        <v>44333</v>
      </c>
      <c r="M256" s="629">
        <v>1000</v>
      </c>
      <c r="N256" s="627" t="s">
        <v>3039</v>
      </c>
      <c r="O256" s="628">
        <v>44333</v>
      </c>
      <c r="P256" s="630"/>
      <c r="Q256" s="631"/>
      <c r="R256" s="715"/>
      <c r="S256" s="715"/>
      <c r="T256" s="632"/>
      <c r="U256" s="633"/>
      <c r="V256" s="634"/>
      <c r="W256" s="635" t="s">
        <v>96</v>
      </c>
      <c r="X256" s="636"/>
      <c r="Y256" s="637"/>
      <c r="Z256" s="725"/>
      <c r="AA256" s="636"/>
      <c r="AB256" s="1056"/>
      <c r="AC256" s="736" t="s">
        <v>3040</v>
      </c>
      <c r="AD256" s="317" t="s">
        <v>3041</v>
      </c>
      <c r="AE256" s="669">
        <v>44321</v>
      </c>
      <c r="AF256" s="704"/>
      <c r="AG256" s="211"/>
      <c r="AH256" s="210"/>
    </row>
    <row r="257" spans="1:34" s="4" customFormat="1">
      <c r="A257" s="2"/>
      <c r="B257" s="310" t="s">
        <v>115</v>
      </c>
      <c r="C257" s="311" t="s">
        <v>27</v>
      </c>
      <c r="D257" s="1225"/>
      <c r="E257" s="1226"/>
      <c r="F257" s="312" t="s">
        <v>3042</v>
      </c>
      <c r="G257" s="313">
        <v>44315</v>
      </c>
      <c r="H257" s="624"/>
      <c r="I257" s="625"/>
      <c r="J257" s="626"/>
      <c r="K257" s="627"/>
      <c r="L257" s="628"/>
      <c r="M257" s="629"/>
      <c r="N257" s="627"/>
      <c r="O257" s="628"/>
      <c r="P257" s="630"/>
      <c r="Q257" s="631"/>
      <c r="R257" s="715"/>
      <c r="S257" s="715"/>
      <c r="T257" s="632"/>
      <c r="U257" s="633"/>
      <c r="V257" s="634"/>
      <c r="W257" s="635"/>
      <c r="X257" s="636"/>
      <c r="Y257" s="637"/>
      <c r="Z257" s="725"/>
      <c r="AA257" s="636"/>
      <c r="AB257" s="1056"/>
      <c r="AC257" s="736" t="s">
        <v>3043</v>
      </c>
      <c r="AD257" s="317"/>
      <c r="AE257" s="669">
        <v>44322</v>
      </c>
      <c r="AF257" s="718"/>
      <c r="AG257" s="211"/>
      <c r="AH257" s="210"/>
    </row>
    <row r="258" spans="1:34" s="4" customFormat="1">
      <c r="A258" s="2"/>
      <c r="B258" s="310" t="s">
        <v>115</v>
      </c>
      <c r="C258" s="311" t="s">
        <v>27</v>
      </c>
      <c r="D258" s="1225"/>
      <c r="E258" s="1226"/>
      <c r="F258" s="312" t="s">
        <v>3044</v>
      </c>
      <c r="G258" s="313">
        <v>44319</v>
      </c>
      <c r="H258" s="624"/>
      <c r="I258" s="625"/>
      <c r="J258" s="626"/>
      <c r="K258" s="627"/>
      <c r="L258" s="628"/>
      <c r="M258" s="629"/>
      <c r="N258" s="627"/>
      <c r="O258" s="628"/>
      <c r="P258" s="630"/>
      <c r="Q258" s="631"/>
      <c r="R258" s="715"/>
      <c r="S258" s="715"/>
      <c r="T258" s="632"/>
      <c r="U258" s="633"/>
      <c r="V258" s="634"/>
      <c r="W258" s="635"/>
      <c r="X258" s="636"/>
      <c r="Y258" s="637"/>
      <c r="Z258" s="725"/>
      <c r="AA258" s="636"/>
      <c r="AB258" s="1056"/>
      <c r="AC258" s="736" t="s">
        <v>3045</v>
      </c>
      <c r="AD258" s="317"/>
      <c r="AE258" s="316" t="s">
        <v>3046</v>
      </c>
      <c r="AF258" s="718"/>
      <c r="AG258" s="211"/>
      <c r="AH258" s="210"/>
    </row>
    <row r="259" spans="1:34" s="4" customFormat="1">
      <c r="A259" s="2"/>
      <c r="B259" s="310" t="s">
        <v>106</v>
      </c>
      <c r="C259" s="311" t="s">
        <v>33</v>
      </c>
      <c r="D259" s="1225" t="s">
        <v>3047</v>
      </c>
      <c r="E259" s="1226"/>
      <c r="F259" s="312" t="s">
        <v>3048</v>
      </c>
      <c r="G259" s="313">
        <v>44319</v>
      </c>
      <c r="H259" s="624"/>
      <c r="I259" s="625"/>
      <c r="J259" s="626"/>
      <c r="K259" s="627" t="s">
        <v>3049</v>
      </c>
      <c r="L259" s="628">
        <v>44328</v>
      </c>
      <c r="M259" s="629">
        <v>800</v>
      </c>
      <c r="N259" s="627" t="s">
        <v>3050</v>
      </c>
      <c r="O259" s="628">
        <v>44328</v>
      </c>
      <c r="P259" s="630" t="s">
        <v>3051</v>
      </c>
      <c r="Q259" s="631">
        <v>44354</v>
      </c>
      <c r="R259" s="715"/>
      <c r="S259" s="1068"/>
      <c r="T259" s="632">
        <v>6689.58</v>
      </c>
      <c r="U259" s="633" t="s">
        <v>3052</v>
      </c>
      <c r="V259" s="634">
        <v>44372</v>
      </c>
      <c r="W259" s="635" t="s">
        <v>2302</v>
      </c>
      <c r="X259" s="636">
        <v>6689.58</v>
      </c>
      <c r="Y259" s="636">
        <v>6689.58</v>
      </c>
      <c r="Z259" s="733">
        <f>Y259/X259</f>
        <v>1</v>
      </c>
      <c r="AA259" s="919"/>
      <c r="AB259" s="1055">
        <v>0</v>
      </c>
      <c r="AC259" s="912" t="s">
        <v>3053</v>
      </c>
      <c r="AD259" s="913" t="s">
        <v>3054</v>
      </c>
      <c r="AE259" s="669">
        <v>44326</v>
      </c>
      <c r="AF259" s="704"/>
      <c r="AG259" s="211"/>
      <c r="AH259" s="210"/>
    </row>
    <row r="260" spans="1:34" s="4" customFormat="1">
      <c r="A260" s="2"/>
      <c r="B260" s="310" t="s">
        <v>115</v>
      </c>
      <c r="C260" s="311" t="s">
        <v>27</v>
      </c>
      <c r="D260" s="1225"/>
      <c r="E260" s="1226"/>
      <c r="F260" s="312" t="s">
        <v>3055</v>
      </c>
      <c r="G260" s="313">
        <v>44320</v>
      </c>
      <c r="H260" s="624"/>
      <c r="I260" s="625"/>
      <c r="J260" s="626"/>
      <c r="K260" s="627"/>
      <c r="L260" s="628"/>
      <c r="M260" s="629"/>
      <c r="N260" s="627"/>
      <c r="O260" s="628"/>
      <c r="P260" s="630"/>
      <c r="Q260" s="631"/>
      <c r="R260" s="715"/>
      <c r="S260" s="715"/>
      <c r="T260" s="632"/>
      <c r="U260" s="633"/>
      <c r="V260" s="634"/>
      <c r="W260" s="635"/>
      <c r="X260" s="636"/>
      <c r="Y260" s="637"/>
      <c r="Z260" s="725"/>
      <c r="AA260" s="636"/>
      <c r="AB260" s="1056"/>
      <c r="AC260" s="736" t="s">
        <v>3056</v>
      </c>
      <c r="AD260" s="317"/>
      <c r="AE260" s="669">
        <v>44327</v>
      </c>
      <c r="AF260" s="718"/>
      <c r="AG260" s="211"/>
      <c r="AH260" s="210"/>
    </row>
    <row r="261" spans="1:34" s="4" customFormat="1">
      <c r="A261" s="2"/>
      <c r="B261" s="310" t="s">
        <v>115</v>
      </c>
      <c r="C261" s="311" t="s">
        <v>27</v>
      </c>
      <c r="D261" s="1225"/>
      <c r="E261" s="1226"/>
      <c r="F261" s="312" t="s">
        <v>3057</v>
      </c>
      <c r="G261" s="313">
        <v>44321</v>
      </c>
      <c r="H261" s="624"/>
      <c r="I261" s="625"/>
      <c r="J261" s="626"/>
      <c r="K261" s="627"/>
      <c r="L261" s="628"/>
      <c r="M261" s="629"/>
      <c r="N261" s="627"/>
      <c r="O261" s="628"/>
      <c r="P261" s="630"/>
      <c r="Q261" s="631"/>
      <c r="R261" s="715"/>
      <c r="S261" s="715"/>
      <c r="T261" s="632"/>
      <c r="U261" s="633"/>
      <c r="V261" s="634"/>
      <c r="W261" s="635"/>
      <c r="X261" s="636"/>
      <c r="Y261" s="637"/>
      <c r="Z261" s="725"/>
      <c r="AA261" s="636"/>
      <c r="AB261" s="1056"/>
      <c r="AC261" s="736" t="s">
        <v>3058</v>
      </c>
      <c r="AD261" s="317"/>
      <c r="AE261" s="669">
        <v>44322</v>
      </c>
      <c r="AF261" s="718"/>
      <c r="AG261" s="211"/>
      <c r="AH261" s="210"/>
    </row>
    <row r="262" spans="1:34" s="4" customFormat="1">
      <c r="A262" s="2"/>
      <c r="B262" s="310" t="s">
        <v>115</v>
      </c>
      <c r="C262" s="311" t="s">
        <v>27</v>
      </c>
      <c r="D262" s="1225"/>
      <c r="E262" s="1226"/>
      <c r="F262" s="312" t="s">
        <v>3059</v>
      </c>
      <c r="G262" s="313">
        <v>44323</v>
      </c>
      <c r="H262" s="624"/>
      <c r="I262" s="625"/>
      <c r="J262" s="626"/>
      <c r="K262" s="627"/>
      <c r="L262" s="628"/>
      <c r="M262" s="629"/>
      <c r="N262" s="627"/>
      <c r="O262" s="628"/>
      <c r="P262" s="630"/>
      <c r="Q262" s="631"/>
      <c r="R262" s="715"/>
      <c r="S262" s="715"/>
      <c r="T262" s="632"/>
      <c r="U262" s="633"/>
      <c r="V262" s="634"/>
      <c r="W262" s="635"/>
      <c r="X262" s="636"/>
      <c r="Y262" s="637"/>
      <c r="Z262" s="725"/>
      <c r="AA262" s="636"/>
      <c r="AB262" s="1056"/>
      <c r="AC262" s="736" t="s">
        <v>3060</v>
      </c>
      <c r="AD262" s="317"/>
      <c r="AE262" s="669">
        <v>44330</v>
      </c>
      <c r="AF262" s="718"/>
      <c r="AG262" s="211"/>
      <c r="AH262" s="210"/>
    </row>
    <row r="263" spans="1:34" s="4" customFormat="1">
      <c r="A263" s="2"/>
      <c r="B263" s="310" t="s">
        <v>115</v>
      </c>
      <c r="C263" s="311" t="s">
        <v>27</v>
      </c>
      <c r="D263" s="1225"/>
      <c r="E263" s="1226"/>
      <c r="F263" s="312" t="s">
        <v>3061</v>
      </c>
      <c r="G263" s="313">
        <v>44323</v>
      </c>
      <c r="H263" s="624"/>
      <c r="I263" s="625"/>
      <c r="J263" s="626"/>
      <c r="K263" s="627"/>
      <c r="L263" s="628"/>
      <c r="M263" s="629"/>
      <c r="N263" s="627"/>
      <c r="O263" s="628"/>
      <c r="P263" s="630"/>
      <c r="Q263" s="631"/>
      <c r="R263" s="715"/>
      <c r="S263" s="715"/>
      <c r="T263" s="632"/>
      <c r="U263" s="633"/>
      <c r="V263" s="634"/>
      <c r="W263" s="635"/>
      <c r="X263" s="636"/>
      <c r="Y263" s="637"/>
      <c r="Z263" s="725"/>
      <c r="AA263" s="636"/>
      <c r="AB263" s="1056"/>
      <c r="AC263" s="736" t="s">
        <v>3062</v>
      </c>
      <c r="AD263" s="317"/>
      <c r="AE263" s="669">
        <v>44330</v>
      </c>
      <c r="AF263" s="718"/>
      <c r="AG263" s="211"/>
      <c r="AH263" s="210"/>
    </row>
    <row r="264" spans="1:34" s="4" customFormat="1">
      <c r="A264" s="2"/>
      <c r="B264" s="310" t="s">
        <v>106</v>
      </c>
      <c r="C264" s="311" t="s">
        <v>33</v>
      </c>
      <c r="D264" s="1225" t="s">
        <v>3063</v>
      </c>
      <c r="E264" s="1226"/>
      <c r="F264" s="312" t="s">
        <v>3064</v>
      </c>
      <c r="G264" s="313">
        <v>44327</v>
      </c>
      <c r="H264" s="624"/>
      <c r="I264" s="625"/>
      <c r="J264" s="626"/>
      <c r="K264" s="627" t="s">
        <v>3065</v>
      </c>
      <c r="L264" s="628">
        <v>44406</v>
      </c>
      <c r="M264" s="629">
        <v>7500</v>
      </c>
      <c r="N264" s="627" t="s">
        <v>3066</v>
      </c>
      <c r="O264" s="628">
        <v>44406</v>
      </c>
      <c r="P264" s="630" t="s">
        <v>3067</v>
      </c>
      <c r="Q264" s="631">
        <v>44452</v>
      </c>
      <c r="R264" s="715"/>
      <c r="S264" s="1068"/>
      <c r="T264" s="632">
        <v>7861.09</v>
      </c>
      <c r="U264" s="633" t="s">
        <v>3068</v>
      </c>
      <c r="V264" s="634">
        <v>44487</v>
      </c>
      <c r="W264" s="635" t="s">
        <v>2302</v>
      </c>
      <c r="X264" s="636">
        <v>7861.09</v>
      </c>
      <c r="Y264" s="1057">
        <v>7861.09</v>
      </c>
      <c r="Z264" s="733">
        <f>Y264/X264</f>
        <v>1</v>
      </c>
      <c r="AA264" s="919"/>
      <c r="AB264" s="1055">
        <v>0</v>
      </c>
      <c r="AC264" s="912" t="s">
        <v>3069</v>
      </c>
      <c r="AD264" s="913"/>
      <c r="AE264" s="669">
        <v>44334</v>
      </c>
      <c r="AF264" s="704"/>
      <c r="AG264" s="211"/>
      <c r="AH264" s="210"/>
    </row>
    <row r="265" spans="1:34" s="4" customFormat="1">
      <c r="A265" s="2"/>
      <c r="B265" s="310" t="s">
        <v>115</v>
      </c>
      <c r="C265" s="311" t="s">
        <v>27</v>
      </c>
      <c r="D265" s="1225"/>
      <c r="E265" s="1226"/>
      <c r="F265" s="312" t="s">
        <v>3070</v>
      </c>
      <c r="G265" s="313">
        <v>44327</v>
      </c>
      <c r="H265" s="624"/>
      <c r="I265" s="625"/>
      <c r="J265" s="626"/>
      <c r="K265" s="627"/>
      <c r="L265" s="628"/>
      <c r="M265" s="629"/>
      <c r="N265" s="627"/>
      <c r="O265" s="628"/>
      <c r="P265" s="630"/>
      <c r="Q265" s="631"/>
      <c r="R265" s="715"/>
      <c r="S265" s="715"/>
      <c r="T265" s="632"/>
      <c r="U265" s="633"/>
      <c r="V265" s="634"/>
      <c r="W265" s="635"/>
      <c r="X265" s="636"/>
      <c r="Y265" s="637"/>
      <c r="Z265" s="725"/>
      <c r="AA265" s="636"/>
      <c r="AB265" s="1056"/>
      <c r="AC265" s="736" t="s">
        <v>3071</v>
      </c>
      <c r="AD265" s="317"/>
      <c r="AE265" s="669">
        <v>44341</v>
      </c>
      <c r="AF265" s="718"/>
      <c r="AG265" s="211"/>
      <c r="AH265" s="210"/>
    </row>
    <row r="266" spans="1:34" s="4" customFormat="1">
      <c r="A266" s="2"/>
      <c r="B266" s="310" t="s">
        <v>106</v>
      </c>
      <c r="C266" s="311" t="s">
        <v>33</v>
      </c>
      <c r="D266" s="1225" t="s">
        <v>3072</v>
      </c>
      <c r="E266" s="1226"/>
      <c r="F266" s="312"/>
      <c r="G266" s="313"/>
      <c r="H266" s="624"/>
      <c r="I266" s="625"/>
      <c r="J266" s="626"/>
      <c r="K266" s="627" t="s">
        <v>3073</v>
      </c>
      <c r="L266" s="628">
        <v>44323</v>
      </c>
      <c r="M266" s="629">
        <v>5000</v>
      </c>
      <c r="N266" s="627" t="s">
        <v>3074</v>
      </c>
      <c r="O266" s="628">
        <v>44323</v>
      </c>
      <c r="P266" s="630" t="s">
        <v>3075</v>
      </c>
      <c r="Q266" s="631">
        <v>44368</v>
      </c>
      <c r="R266" s="715"/>
      <c r="S266" s="1068"/>
      <c r="T266" s="632">
        <v>10226.68</v>
      </c>
      <c r="U266" s="633" t="s">
        <v>3076</v>
      </c>
      <c r="V266" s="634">
        <v>44372</v>
      </c>
      <c r="W266" s="635" t="s">
        <v>2302</v>
      </c>
      <c r="X266" s="636">
        <v>10226.68</v>
      </c>
      <c r="Y266" s="636">
        <v>10226.68</v>
      </c>
      <c r="Z266" s="733">
        <f t="shared" ref="Z266:Z267" si="12">Y266/X266</f>
        <v>1</v>
      </c>
      <c r="AA266" s="919"/>
      <c r="AB266" s="1055">
        <v>0</v>
      </c>
      <c r="AC266" s="912" t="s">
        <v>3072</v>
      </c>
      <c r="AD266" s="913"/>
      <c r="AE266" s="669"/>
      <c r="AF266" s="704"/>
      <c r="AG266" s="211"/>
      <c r="AH266" s="210"/>
    </row>
    <row r="267" spans="1:34" s="4" customFormat="1">
      <c r="A267" s="2"/>
      <c r="B267" s="310" t="s">
        <v>106</v>
      </c>
      <c r="C267" s="311" t="s">
        <v>33</v>
      </c>
      <c r="D267" s="1225" t="s">
        <v>3077</v>
      </c>
      <c r="E267" s="1226"/>
      <c r="F267" s="312"/>
      <c r="G267" s="313"/>
      <c r="H267" s="624" t="s">
        <v>3078</v>
      </c>
      <c r="I267" s="625">
        <v>44323</v>
      </c>
      <c r="J267" s="626">
        <v>30000</v>
      </c>
      <c r="K267" s="627" t="s">
        <v>3079</v>
      </c>
      <c r="L267" s="628">
        <v>44344</v>
      </c>
      <c r="M267" s="629">
        <v>45000</v>
      </c>
      <c r="N267" s="627" t="s">
        <v>3080</v>
      </c>
      <c r="O267" s="628">
        <v>44322</v>
      </c>
      <c r="P267" s="630" t="s">
        <v>3081</v>
      </c>
      <c r="Q267" s="631">
        <v>44399</v>
      </c>
      <c r="R267" s="715"/>
      <c r="S267" s="1068"/>
      <c r="T267" s="632">
        <v>67996.009999999995</v>
      </c>
      <c r="U267" s="633" t="s">
        <v>3082</v>
      </c>
      <c r="V267" s="634">
        <v>44470</v>
      </c>
      <c r="W267" s="635" t="s">
        <v>2302</v>
      </c>
      <c r="X267" s="636">
        <v>67996.009999999995</v>
      </c>
      <c r="Y267" s="637">
        <v>67996.009999999995</v>
      </c>
      <c r="Z267" s="733">
        <f t="shared" si="12"/>
        <v>1</v>
      </c>
      <c r="AA267" s="919"/>
      <c r="AB267" s="1055">
        <v>0</v>
      </c>
      <c r="AC267" s="1005" t="s">
        <v>3077</v>
      </c>
      <c r="AD267" s="913"/>
      <c r="AE267" s="669"/>
      <c r="AF267" s="704"/>
      <c r="AG267" s="211"/>
      <c r="AH267" s="210"/>
    </row>
    <row r="268" spans="1:34" s="4" customFormat="1">
      <c r="A268" s="2"/>
      <c r="B268" s="310" t="s">
        <v>115</v>
      </c>
      <c r="C268" s="311" t="s">
        <v>27</v>
      </c>
      <c r="D268" s="1225"/>
      <c r="E268" s="1226"/>
      <c r="F268" s="312" t="s">
        <v>3083</v>
      </c>
      <c r="G268" s="313">
        <v>44328</v>
      </c>
      <c r="H268" s="624"/>
      <c r="I268" s="625"/>
      <c r="J268" s="626"/>
      <c r="K268" s="627"/>
      <c r="L268" s="628"/>
      <c r="M268" s="629"/>
      <c r="N268" s="627"/>
      <c r="O268" s="628"/>
      <c r="P268" s="630"/>
      <c r="Q268" s="631"/>
      <c r="R268" s="715"/>
      <c r="S268" s="715"/>
      <c r="T268" s="632"/>
      <c r="U268" s="633"/>
      <c r="V268" s="634"/>
      <c r="W268" s="635"/>
      <c r="X268" s="636"/>
      <c r="Y268" s="637"/>
      <c r="Z268" s="725"/>
      <c r="AA268" s="636"/>
      <c r="AB268" s="1056"/>
      <c r="AC268" s="736" t="s">
        <v>3084</v>
      </c>
      <c r="AD268" s="317"/>
      <c r="AE268" s="669">
        <v>44335</v>
      </c>
      <c r="AF268" s="718"/>
      <c r="AG268" s="211"/>
      <c r="AH268" s="210"/>
    </row>
    <row r="269" spans="1:34" s="4" customFormat="1">
      <c r="A269" s="2"/>
      <c r="B269" s="310" t="s">
        <v>106</v>
      </c>
      <c r="C269" s="311" t="s">
        <v>33</v>
      </c>
      <c r="D269" s="1225" t="s">
        <v>3085</v>
      </c>
      <c r="E269" s="1226"/>
      <c r="F269" s="312" t="s">
        <v>3086</v>
      </c>
      <c r="G269" s="313">
        <v>44329</v>
      </c>
      <c r="H269" s="624"/>
      <c r="I269" s="625"/>
      <c r="J269" s="626"/>
      <c r="K269" s="627" t="s">
        <v>3087</v>
      </c>
      <c r="L269" s="628">
        <v>44382</v>
      </c>
      <c r="M269" s="629">
        <v>-10000</v>
      </c>
      <c r="N269" s="627" t="s">
        <v>3088</v>
      </c>
      <c r="O269" s="628">
        <v>44383</v>
      </c>
      <c r="P269" s="630" t="s">
        <v>3089</v>
      </c>
      <c r="Q269" s="631">
        <v>44496</v>
      </c>
      <c r="R269" s="715"/>
      <c r="S269" s="1068"/>
      <c r="T269" s="632">
        <v>113302.6</v>
      </c>
      <c r="U269" s="633" t="s">
        <v>3090</v>
      </c>
      <c r="V269" s="634">
        <v>44533</v>
      </c>
      <c r="W269" s="635" t="s">
        <v>2302</v>
      </c>
      <c r="X269" s="636">
        <v>113302.6</v>
      </c>
      <c r="Y269" s="636">
        <v>113302.6</v>
      </c>
      <c r="Z269" s="733">
        <f>Y269/X269</f>
        <v>1</v>
      </c>
      <c r="AA269" s="919"/>
      <c r="AB269" s="1055">
        <v>0</v>
      </c>
      <c r="AC269" s="912" t="s">
        <v>3091</v>
      </c>
      <c r="AD269" s="913"/>
      <c r="AE269" s="669">
        <v>44343</v>
      </c>
      <c r="AF269" s="704"/>
      <c r="AG269" s="211"/>
      <c r="AH269" s="210"/>
    </row>
    <row r="270" spans="1:34" s="4" customFormat="1">
      <c r="A270" s="2"/>
      <c r="B270" s="310" t="s">
        <v>115</v>
      </c>
      <c r="C270" s="311" t="s">
        <v>27</v>
      </c>
      <c r="D270" s="1225"/>
      <c r="E270" s="1226"/>
      <c r="F270" s="312" t="s">
        <v>3092</v>
      </c>
      <c r="G270" s="313">
        <v>44330</v>
      </c>
      <c r="H270" s="624"/>
      <c r="I270" s="625"/>
      <c r="J270" s="626"/>
      <c r="K270" s="627"/>
      <c r="L270" s="628"/>
      <c r="M270" s="629"/>
      <c r="N270" s="627"/>
      <c r="O270" s="628"/>
      <c r="P270" s="630"/>
      <c r="Q270" s="631"/>
      <c r="R270" s="715"/>
      <c r="S270" s="715"/>
      <c r="T270" s="632"/>
      <c r="U270" s="633"/>
      <c r="V270" s="634"/>
      <c r="W270" s="635"/>
      <c r="X270" s="636"/>
      <c r="Y270" s="637"/>
      <c r="Z270" s="725"/>
      <c r="AA270" s="636"/>
      <c r="AB270" s="1056"/>
      <c r="AC270" s="736" t="s">
        <v>3093</v>
      </c>
      <c r="AD270" s="317"/>
      <c r="AE270" s="669">
        <v>44337</v>
      </c>
      <c r="AF270" s="718"/>
      <c r="AG270" s="211"/>
      <c r="AH270" s="210"/>
    </row>
    <row r="271" spans="1:34" s="4" customFormat="1">
      <c r="A271" s="2"/>
      <c r="B271" s="310" t="s">
        <v>115</v>
      </c>
      <c r="C271" s="311" t="s">
        <v>27</v>
      </c>
      <c r="D271" s="1225"/>
      <c r="E271" s="1226"/>
      <c r="F271" s="312" t="s">
        <v>3094</v>
      </c>
      <c r="G271" s="313">
        <v>44333</v>
      </c>
      <c r="H271" s="624"/>
      <c r="I271" s="625"/>
      <c r="J271" s="626"/>
      <c r="K271" s="627"/>
      <c r="L271" s="628"/>
      <c r="M271" s="629"/>
      <c r="N271" s="627"/>
      <c r="O271" s="628"/>
      <c r="P271" s="630" t="s">
        <v>3095</v>
      </c>
      <c r="Q271" s="631"/>
      <c r="R271" s="715"/>
      <c r="S271" s="715"/>
      <c r="T271" s="632"/>
      <c r="U271" s="633"/>
      <c r="V271" s="634"/>
      <c r="W271" s="635"/>
      <c r="X271" s="636"/>
      <c r="Y271" s="637"/>
      <c r="Z271" s="726"/>
      <c r="AA271" s="920"/>
      <c r="AB271" s="1056"/>
      <c r="AC271" s="4" t="s">
        <v>3096</v>
      </c>
      <c r="AD271" s="317"/>
      <c r="AE271" s="669">
        <v>44340</v>
      </c>
      <c r="AF271" s="718"/>
      <c r="AG271" s="211"/>
      <c r="AH271" s="210"/>
    </row>
    <row r="272" spans="1:34" s="4" customFormat="1">
      <c r="A272" s="2"/>
      <c r="B272" s="310" t="s">
        <v>115</v>
      </c>
      <c r="C272" s="311" t="s">
        <v>27</v>
      </c>
      <c r="D272" s="1225"/>
      <c r="E272" s="1226"/>
      <c r="F272" s="312" t="s">
        <v>3097</v>
      </c>
      <c r="G272" s="313">
        <v>44333</v>
      </c>
      <c r="H272" s="624"/>
      <c r="I272" s="625"/>
      <c r="J272" s="626"/>
      <c r="K272" s="627"/>
      <c r="L272" s="628"/>
      <c r="M272" s="629"/>
      <c r="N272" s="627"/>
      <c r="O272" s="628"/>
      <c r="P272" s="630"/>
      <c r="Q272" s="631"/>
      <c r="R272" s="715"/>
      <c r="S272" s="715"/>
      <c r="T272" s="632"/>
      <c r="U272" s="633"/>
      <c r="V272" s="634"/>
      <c r="W272" s="635"/>
      <c r="X272" s="636"/>
      <c r="Y272" s="637"/>
      <c r="Z272" s="725"/>
      <c r="AA272" s="636"/>
      <c r="AB272" s="1056"/>
      <c r="AC272" s="736" t="s">
        <v>3098</v>
      </c>
      <c r="AD272" s="317"/>
      <c r="AE272" s="669">
        <v>44340</v>
      </c>
      <c r="AF272" s="704"/>
      <c r="AG272" s="211"/>
      <c r="AH272" s="210"/>
    </row>
    <row r="273" spans="1:34" s="4" customFormat="1">
      <c r="A273" s="2"/>
      <c r="B273" s="310" t="s">
        <v>115</v>
      </c>
      <c r="C273" s="311" t="s">
        <v>27</v>
      </c>
      <c r="D273" s="1225"/>
      <c r="E273" s="1226"/>
      <c r="F273" s="312" t="s">
        <v>3099</v>
      </c>
      <c r="G273" s="313">
        <v>44333</v>
      </c>
      <c r="H273" s="624"/>
      <c r="I273" s="625"/>
      <c r="J273" s="626"/>
      <c r="K273" s="627"/>
      <c r="L273" s="628"/>
      <c r="M273" s="629"/>
      <c r="N273" s="627"/>
      <c r="O273" s="628"/>
      <c r="P273" s="630"/>
      <c r="Q273" s="631"/>
      <c r="R273" s="715"/>
      <c r="S273" s="715"/>
      <c r="T273" s="632"/>
      <c r="U273" s="633"/>
      <c r="V273" s="634"/>
      <c r="W273" s="635"/>
      <c r="X273" s="636"/>
      <c r="Y273" s="637"/>
      <c r="Z273" s="725"/>
      <c r="AA273" s="636"/>
      <c r="AB273" s="1056"/>
      <c r="AC273" s="736" t="s">
        <v>3100</v>
      </c>
      <c r="AD273" s="317"/>
      <c r="AE273" s="669">
        <v>44341</v>
      </c>
      <c r="AF273" s="718"/>
      <c r="AG273" s="211"/>
      <c r="AH273" s="210"/>
    </row>
    <row r="274" spans="1:34" s="4" customFormat="1">
      <c r="A274" s="2"/>
      <c r="B274" s="310" t="s">
        <v>106</v>
      </c>
      <c r="C274" s="311" t="s">
        <v>33</v>
      </c>
      <c r="D274" s="1225" t="s">
        <v>3101</v>
      </c>
      <c r="E274" s="1226"/>
      <c r="F274" s="312" t="s">
        <v>3102</v>
      </c>
      <c r="G274" s="313">
        <v>44333</v>
      </c>
      <c r="H274" s="624"/>
      <c r="I274" s="625"/>
      <c r="J274" s="626"/>
      <c r="K274" s="627" t="s">
        <v>3103</v>
      </c>
      <c r="L274" s="628">
        <v>44347</v>
      </c>
      <c r="M274" s="629">
        <v>3500</v>
      </c>
      <c r="N274" s="627" t="s">
        <v>3104</v>
      </c>
      <c r="O274" s="628">
        <v>44347</v>
      </c>
      <c r="P274" s="630" t="s">
        <v>3105</v>
      </c>
      <c r="Q274" s="631">
        <v>44405</v>
      </c>
      <c r="R274" s="715"/>
      <c r="S274" s="1068"/>
      <c r="T274" s="632">
        <v>22009.54</v>
      </c>
      <c r="U274" s="633" t="s">
        <v>3106</v>
      </c>
      <c r="V274" s="634">
        <v>44439</v>
      </c>
      <c r="W274" s="635" t="s">
        <v>2302</v>
      </c>
      <c r="X274" s="636">
        <v>22009.54</v>
      </c>
      <c r="Y274" s="637">
        <v>22009.54</v>
      </c>
      <c r="Z274" s="733">
        <f>Y274/X274</f>
        <v>1</v>
      </c>
      <c r="AA274" s="919"/>
      <c r="AB274" s="1055">
        <v>0</v>
      </c>
      <c r="AC274" s="912" t="s">
        <v>3107</v>
      </c>
      <c r="AD274" s="913" t="s">
        <v>3108</v>
      </c>
      <c r="AE274" s="669">
        <v>44340</v>
      </c>
      <c r="AF274" s="704"/>
      <c r="AG274" s="211"/>
      <c r="AH274" s="210"/>
    </row>
    <row r="275" spans="1:34" s="4" customFormat="1">
      <c r="A275" s="2"/>
      <c r="B275" s="310" t="s">
        <v>115</v>
      </c>
      <c r="C275" s="311" t="s">
        <v>27</v>
      </c>
      <c r="D275" s="1225"/>
      <c r="E275" s="1226"/>
      <c r="F275" s="312" t="s">
        <v>3109</v>
      </c>
      <c r="G275" s="313">
        <v>44334</v>
      </c>
      <c r="H275" s="624"/>
      <c r="I275" s="625"/>
      <c r="J275" s="626"/>
      <c r="K275" s="627"/>
      <c r="L275" s="628"/>
      <c r="M275" s="629"/>
      <c r="N275" s="627"/>
      <c r="O275" s="628"/>
      <c r="P275" s="630"/>
      <c r="Q275" s="631"/>
      <c r="R275" s="715"/>
      <c r="S275" s="715"/>
      <c r="T275" s="632"/>
      <c r="U275" s="633"/>
      <c r="V275" s="634"/>
      <c r="W275" s="635"/>
      <c r="X275" s="636"/>
      <c r="Y275" s="637"/>
      <c r="Z275" s="725"/>
      <c r="AA275" s="636"/>
      <c r="AB275" s="1056"/>
      <c r="AC275" s="736" t="s">
        <v>3110</v>
      </c>
      <c r="AD275" s="317"/>
      <c r="AE275" s="669">
        <v>44341</v>
      </c>
      <c r="AF275" s="718"/>
      <c r="AG275" s="211"/>
      <c r="AH275" s="210"/>
    </row>
    <row r="276" spans="1:34" s="4" customFormat="1">
      <c r="A276" s="2"/>
      <c r="B276" s="310" t="s">
        <v>115</v>
      </c>
      <c r="C276" s="311" t="s">
        <v>27</v>
      </c>
      <c r="D276" s="1225"/>
      <c r="E276" s="1226"/>
      <c r="F276" s="312" t="s">
        <v>3111</v>
      </c>
      <c r="G276" s="313">
        <v>44334</v>
      </c>
      <c r="H276" s="624"/>
      <c r="I276" s="625"/>
      <c r="J276" s="626"/>
      <c r="K276" s="627"/>
      <c r="L276" s="628"/>
      <c r="M276" s="629"/>
      <c r="N276" s="627"/>
      <c r="O276" s="628"/>
      <c r="P276" s="630"/>
      <c r="Q276" s="631"/>
      <c r="R276" s="715"/>
      <c r="S276" s="715"/>
      <c r="T276" s="632"/>
      <c r="U276" s="633"/>
      <c r="V276" s="634"/>
      <c r="W276" s="635"/>
      <c r="X276" s="636"/>
      <c r="Y276" s="637"/>
      <c r="Z276" s="725"/>
      <c r="AA276" s="636"/>
      <c r="AB276" s="1056"/>
      <c r="AC276" s="736" t="s">
        <v>3112</v>
      </c>
      <c r="AD276" s="317"/>
      <c r="AE276" s="669">
        <v>44342</v>
      </c>
      <c r="AF276" s="718"/>
      <c r="AG276" s="211"/>
      <c r="AH276" s="210"/>
    </row>
    <row r="277" spans="1:34" s="4" customFormat="1">
      <c r="A277" s="2"/>
      <c r="B277" s="310" t="s">
        <v>115</v>
      </c>
      <c r="C277" s="311" t="s">
        <v>27</v>
      </c>
      <c r="D277" s="1225"/>
      <c r="E277" s="1226"/>
      <c r="F277" s="312" t="s">
        <v>3113</v>
      </c>
      <c r="G277" s="313">
        <v>44335</v>
      </c>
      <c r="H277" s="624"/>
      <c r="I277" s="625"/>
      <c r="J277" s="626"/>
      <c r="K277" s="627"/>
      <c r="L277" s="628"/>
      <c r="M277" s="629"/>
      <c r="N277" s="627"/>
      <c r="O277" s="628"/>
      <c r="P277" s="630"/>
      <c r="Q277" s="631"/>
      <c r="R277" s="715"/>
      <c r="S277" s="715"/>
      <c r="T277" s="632"/>
      <c r="U277" s="633"/>
      <c r="V277" s="634"/>
      <c r="W277" s="635"/>
      <c r="X277" s="636"/>
      <c r="Y277" s="637"/>
      <c r="Z277" s="725"/>
      <c r="AA277" s="636"/>
      <c r="AB277" s="1056"/>
      <c r="AC277" s="736" t="s">
        <v>3114</v>
      </c>
      <c r="AD277" s="317"/>
      <c r="AE277" s="669">
        <v>44349</v>
      </c>
      <c r="AF277" s="718"/>
      <c r="AG277" s="211"/>
      <c r="AH277" s="210"/>
    </row>
    <row r="278" spans="1:34" s="4" customFormat="1">
      <c r="A278" s="2"/>
      <c r="B278" s="310" t="s">
        <v>110</v>
      </c>
      <c r="C278" s="311" t="s">
        <v>27</v>
      </c>
      <c r="D278" s="1225" t="s">
        <v>3115</v>
      </c>
      <c r="E278" s="1226"/>
      <c r="F278" s="312"/>
      <c r="G278" s="313"/>
      <c r="H278" s="624"/>
      <c r="I278" s="625"/>
      <c r="J278" s="626"/>
      <c r="K278" s="627" t="s">
        <v>3116</v>
      </c>
      <c r="L278" s="628">
        <v>44330</v>
      </c>
      <c r="M278" s="629">
        <v>5000</v>
      </c>
      <c r="N278" s="627" t="s">
        <v>3117</v>
      </c>
      <c r="O278" s="628">
        <v>44330</v>
      </c>
      <c r="P278" s="630" t="s">
        <v>268</v>
      </c>
      <c r="Q278" s="631">
        <v>44406</v>
      </c>
      <c r="R278" s="715"/>
      <c r="S278" s="715"/>
      <c r="T278" s="632">
        <v>0</v>
      </c>
      <c r="U278" s="633"/>
      <c r="V278" s="634"/>
      <c r="W278" s="635" t="s">
        <v>2302</v>
      </c>
      <c r="X278" s="636"/>
      <c r="Y278" s="637"/>
      <c r="Z278" s="725"/>
      <c r="AA278" s="636"/>
      <c r="AB278" s="1056"/>
      <c r="AC278" s="736" t="s">
        <v>3118</v>
      </c>
      <c r="AD278" s="317" t="s">
        <v>3119</v>
      </c>
      <c r="AE278" s="669"/>
      <c r="AF278" s="704"/>
      <c r="AG278" s="211"/>
      <c r="AH278" s="210"/>
    </row>
    <row r="279" spans="1:34" s="4" customFormat="1">
      <c r="A279" s="2"/>
      <c r="B279" s="310" t="s">
        <v>106</v>
      </c>
      <c r="C279" s="311" t="s">
        <v>33</v>
      </c>
      <c r="D279" s="1225" t="s">
        <v>3120</v>
      </c>
      <c r="E279" s="1226"/>
      <c r="F279" s="312"/>
      <c r="G279" s="313"/>
      <c r="H279" s="624" t="s">
        <v>3121</v>
      </c>
      <c r="I279" s="625">
        <v>44896</v>
      </c>
      <c r="J279" s="626">
        <v>1475958.35</v>
      </c>
      <c r="K279" s="627" t="s">
        <v>3122</v>
      </c>
      <c r="L279" s="628">
        <v>44468</v>
      </c>
      <c r="M279" s="629">
        <v>787800</v>
      </c>
      <c r="N279" s="627" t="s">
        <v>3123</v>
      </c>
      <c r="O279" s="628">
        <v>44518</v>
      </c>
      <c r="P279" s="630" t="s">
        <v>3124</v>
      </c>
      <c r="Q279" s="631">
        <v>44403</v>
      </c>
      <c r="R279" s="715"/>
      <c r="S279" s="1068">
        <v>45</v>
      </c>
      <c r="T279" s="632">
        <v>4299438.74</v>
      </c>
      <c r="U279" s="633" t="s">
        <v>3125</v>
      </c>
      <c r="V279" s="634">
        <v>44917</v>
      </c>
      <c r="W279" s="635" t="s">
        <v>96</v>
      </c>
      <c r="X279" s="636">
        <v>4299438.74</v>
      </c>
      <c r="Y279" s="636">
        <v>4299438.74</v>
      </c>
      <c r="Z279" s="733">
        <f>Y279/X279</f>
        <v>1</v>
      </c>
      <c r="AA279" s="636">
        <f>(((15849.99*1.15)+(500746.26*1.15)+(217356.13*1.15))*1.1)+(840000*1.15)+((((820*128.5)+(820*140.9)*1.15))*1.1)</f>
        <v>2156512.3306999998</v>
      </c>
      <c r="AB279" s="1055">
        <v>45</v>
      </c>
      <c r="AC279" s="912" t="s">
        <v>3126</v>
      </c>
      <c r="AD279" s="916" t="s">
        <v>3127</v>
      </c>
      <c r="AE279" s="669"/>
      <c r="AF279" s="704"/>
      <c r="AG279" s="211"/>
      <c r="AH279" s="210"/>
    </row>
    <row r="280" spans="1:34" s="4" customFormat="1">
      <c r="A280" s="2"/>
      <c r="B280" s="310" t="s">
        <v>106</v>
      </c>
      <c r="C280" s="311" t="s">
        <v>33</v>
      </c>
      <c r="D280" s="1225" t="s">
        <v>3128</v>
      </c>
      <c r="E280" s="1226"/>
      <c r="F280" s="312"/>
      <c r="G280" s="313"/>
      <c r="H280" s="624" t="s">
        <v>3129</v>
      </c>
      <c r="I280" s="625">
        <v>44348</v>
      </c>
      <c r="J280" s="626">
        <v>50000</v>
      </c>
      <c r="K280" s="627" t="s">
        <v>3130</v>
      </c>
      <c r="L280" s="628">
        <v>44348</v>
      </c>
      <c r="M280" s="629">
        <v>50000</v>
      </c>
      <c r="N280" s="627" t="s">
        <v>3131</v>
      </c>
      <c r="O280" s="628">
        <v>44348</v>
      </c>
      <c r="P280" s="630" t="s">
        <v>3132</v>
      </c>
      <c r="Q280" s="631">
        <v>44370</v>
      </c>
      <c r="R280" s="715"/>
      <c r="S280" s="1068"/>
      <c r="T280" s="632">
        <v>214461.52</v>
      </c>
      <c r="U280" s="633" t="s">
        <v>3133</v>
      </c>
      <c r="V280" s="634">
        <v>44526</v>
      </c>
      <c r="W280" s="635" t="s">
        <v>2302</v>
      </c>
      <c r="X280" s="636">
        <v>17384.7</v>
      </c>
      <c r="Y280" s="637">
        <v>17384.7</v>
      </c>
      <c r="Z280" s="733">
        <f t="shared" ref="Z280:Z281" si="13">Y280/X280</f>
        <v>1</v>
      </c>
      <c r="AA280" s="919"/>
      <c r="AB280" s="1055">
        <v>0</v>
      </c>
      <c r="AC280" s="912"/>
      <c r="AD280" s="913"/>
      <c r="AE280" s="669"/>
      <c r="AF280" s="704"/>
      <c r="AG280" s="211"/>
      <c r="AH280" s="210"/>
    </row>
    <row r="281" spans="1:34" s="4" customFormat="1">
      <c r="A281" s="2"/>
      <c r="B281" s="310" t="s">
        <v>106</v>
      </c>
      <c r="C281" s="311" t="s">
        <v>33</v>
      </c>
      <c r="D281" s="1225" t="s">
        <v>3134</v>
      </c>
      <c r="E281" s="1226"/>
      <c r="F281" s="312"/>
      <c r="G281" s="313"/>
      <c r="H281" s="624"/>
      <c r="I281" s="625"/>
      <c r="J281" s="626"/>
      <c r="K281" s="627" t="s">
        <v>3135</v>
      </c>
      <c r="L281" s="628">
        <v>44337</v>
      </c>
      <c r="M281" s="629">
        <v>1000</v>
      </c>
      <c r="N281" s="627" t="s">
        <v>3136</v>
      </c>
      <c r="O281" s="628">
        <v>44337</v>
      </c>
      <c r="P281" s="630" t="s">
        <v>3137</v>
      </c>
      <c r="Q281" s="631">
        <v>44354</v>
      </c>
      <c r="R281" s="715"/>
      <c r="S281" s="1068"/>
      <c r="T281" s="632">
        <v>4085.39</v>
      </c>
      <c r="U281" s="633" t="s">
        <v>3138</v>
      </c>
      <c r="V281" s="634">
        <v>44372</v>
      </c>
      <c r="W281" s="635" t="s">
        <v>2302</v>
      </c>
      <c r="X281" s="636">
        <v>4085.39</v>
      </c>
      <c r="Y281" s="637">
        <v>4085.39</v>
      </c>
      <c r="Z281" s="733">
        <f t="shared" si="13"/>
        <v>1</v>
      </c>
      <c r="AA281" s="919"/>
      <c r="AB281" s="1055">
        <v>0</v>
      </c>
      <c r="AC281" s="1218" t="s">
        <v>3134</v>
      </c>
      <c r="AD281" s="1219"/>
      <c r="AE281" s="669"/>
      <c r="AF281" s="704"/>
      <c r="AG281" s="211"/>
      <c r="AH281" s="210"/>
    </row>
    <row r="282" spans="1:34" s="4" customFormat="1">
      <c r="A282" s="2"/>
      <c r="B282" s="310" t="s">
        <v>119</v>
      </c>
      <c r="C282" s="311" t="s">
        <v>27</v>
      </c>
      <c r="D282" s="1220" t="s">
        <v>3139</v>
      </c>
      <c r="E282" s="1221"/>
      <c r="F282" s="312" t="s">
        <v>3140</v>
      </c>
      <c r="G282" s="313">
        <v>44306</v>
      </c>
      <c r="H282" s="624"/>
      <c r="I282" s="625"/>
      <c r="J282" s="626"/>
      <c r="K282" s="627"/>
      <c r="L282" s="628"/>
      <c r="M282" s="629"/>
      <c r="N282" s="627"/>
      <c r="O282" s="628"/>
      <c r="P282" s="630"/>
      <c r="Q282" s="631"/>
      <c r="R282" s="715"/>
      <c r="S282" s="715"/>
      <c r="T282" s="632"/>
      <c r="U282" s="633"/>
      <c r="V282" s="634"/>
      <c r="W282" s="635"/>
      <c r="X282" s="636"/>
      <c r="Y282" s="637"/>
      <c r="Z282" s="725"/>
      <c r="AA282" s="636"/>
      <c r="AB282" s="1056"/>
      <c r="AC282" s="736"/>
      <c r="AD282" s="317"/>
      <c r="AE282" s="669"/>
      <c r="AF282" s="704"/>
      <c r="AG282" s="211"/>
      <c r="AH282" s="210"/>
    </row>
    <row r="283" spans="1:34" s="4" customFormat="1">
      <c r="A283" s="2"/>
      <c r="B283" s="310" t="s">
        <v>119</v>
      </c>
      <c r="C283" s="311" t="s">
        <v>27</v>
      </c>
      <c r="D283" s="1220" t="s">
        <v>3141</v>
      </c>
      <c r="E283" s="1221"/>
      <c r="F283" s="312" t="s">
        <v>3142</v>
      </c>
      <c r="G283" s="313">
        <v>44319</v>
      </c>
      <c r="H283" s="624"/>
      <c r="I283" s="625"/>
      <c r="J283" s="626"/>
      <c r="K283" s="627"/>
      <c r="L283" s="628"/>
      <c r="M283" s="629"/>
      <c r="N283" s="627"/>
      <c r="O283" s="628"/>
      <c r="P283" s="630"/>
      <c r="Q283" s="631"/>
      <c r="R283" s="715"/>
      <c r="S283" s="715"/>
      <c r="T283" s="632"/>
      <c r="U283" s="633"/>
      <c r="V283" s="634"/>
      <c r="W283" s="635"/>
      <c r="X283" s="636"/>
      <c r="Y283" s="637"/>
      <c r="Z283" s="725"/>
      <c r="AA283" s="636"/>
      <c r="AB283" s="1056"/>
      <c r="AC283" s="736"/>
      <c r="AD283" s="317"/>
      <c r="AE283" s="669"/>
      <c r="AF283" s="704"/>
      <c r="AG283" s="211"/>
      <c r="AH283" s="210"/>
    </row>
    <row r="284" spans="1:34" s="4" customFormat="1">
      <c r="A284" s="2"/>
      <c r="B284" s="310" t="s">
        <v>119</v>
      </c>
      <c r="C284" s="311" t="s">
        <v>27</v>
      </c>
      <c r="D284" s="1220" t="s">
        <v>3143</v>
      </c>
      <c r="E284" s="1221"/>
      <c r="F284" s="312" t="s">
        <v>3144</v>
      </c>
      <c r="G284" s="313">
        <v>44322</v>
      </c>
      <c r="H284" s="624"/>
      <c r="I284" s="625"/>
      <c r="J284" s="626"/>
      <c r="K284" s="627"/>
      <c r="L284" s="628"/>
      <c r="M284" s="629"/>
      <c r="N284" s="627"/>
      <c r="O284" s="628"/>
      <c r="P284" s="630"/>
      <c r="Q284" s="631"/>
      <c r="R284" s="715"/>
      <c r="S284" s="715"/>
      <c r="T284" s="632"/>
      <c r="U284" s="633"/>
      <c r="V284" s="634"/>
      <c r="W284" s="635"/>
      <c r="X284" s="636"/>
      <c r="Y284" s="637"/>
      <c r="Z284" s="725"/>
      <c r="AA284" s="636"/>
      <c r="AB284" s="1056"/>
      <c r="AC284" s="736" t="s">
        <v>3145</v>
      </c>
      <c r="AD284" s="317"/>
      <c r="AE284" s="669"/>
      <c r="AF284" s="704"/>
      <c r="AG284" s="211"/>
      <c r="AH284" s="210"/>
    </row>
    <row r="285" spans="1:34" s="4" customFormat="1">
      <c r="A285" s="2"/>
      <c r="B285" s="310" t="s">
        <v>119</v>
      </c>
      <c r="C285" s="311" t="s">
        <v>27</v>
      </c>
      <c r="D285" s="1220" t="s">
        <v>3146</v>
      </c>
      <c r="E285" s="1221"/>
      <c r="F285" s="312" t="s">
        <v>3147</v>
      </c>
      <c r="G285" s="313">
        <v>44328</v>
      </c>
      <c r="H285" s="624"/>
      <c r="I285" s="625"/>
      <c r="J285" s="626"/>
      <c r="K285" s="627"/>
      <c r="L285" s="628"/>
      <c r="M285" s="629"/>
      <c r="N285" s="627"/>
      <c r="O285" s="628"/>
      <c r="P285" s="630"/>
      <c r="Q285" s="631"/>
      <c r="R285" s="715"/>
      <c r="S285" s="715"/>
      <c r="T285" s="632"/>
      <c r="U285" s="633"/>
      <c r="V285" s="634"/>
      <c r="W285" s="635"/>
      <c r="X285" s="636"/>
      <c r="Y285" s="637"/>
      <c r="Z285" s="725"/>
      <c r="AA285" s="636"/>
      <c r="AB285" s="1056"/>
      <c r="AC285" s="736" t="s">
        <v>3148</v>
      </c>
      <c r="AD285" s="317"/>
      <c r="AE285" s="669"/>
      <c r="AF285" s="704"/>
      <c r="AG285" s="211"/>
      <c r="AH285" s="210"/>
    </row>
    <row r="286" spans="1:34" s="4" customFormat="1">
      <c r="A286" s="2"/>
      <c r="B286" s="310" t="s">
        <v>119</v>
      </c>
      <c r="C286" s="311" t="s">
        <v>27</v>
      </c>
      <c r="D286" s="1220" t="s">
        <v>3149</v>
      </c>
      <c r="E286" s="1221"/>
      <c r="F286" s="312" t="s">
        <v>3150</v>
      </c>
      <c r="G286" s="313">
        <v>44342</v>
      </c>
      <c r="H286" s="624"/>
      <c r="I286" s="625"/>
      <c r="J286" s="626"/>
      <c r="K286" s="627"/>
      <c r="L286" s="628"/>
      <c r="M286" s="629"/>
      <c r="N286" s="627"/>
      <c r="O286" s="628"/>
      <c r="P286" s="630"/>
      <c r="Q286" s="631"/>
      <c r="R286" s="715"/>
      <c r="S286" s="715"/>
      <c r="T286" s="632"/>
      <c r="U286" s="633"/>
      <c r="V286" s="634"/>
      <c r="W286" s="635"/>
      <c r="X286" s="636"/>
      <c r="Y286" s="637"/>
      <c r="Z286" s="725"/>
      <c r="AA286" s="636"/>
      <c r="AB286" s="1056"/>
      <c r="AC286" s="736"/>
      <c r="AD286" s="317"/>
      <c r="AE286" s="669"/>
      <c r="AF286" s="704"/>
      <c r="AG286" s="211"/>
      <c r="AH286" s="210"/>
    </row>
    <row r="287" spans="1:34" s="4" customFormat="1">
      <c r="A287" s="2"/>
      <c r="B287" s="310" t="s">
        <v>115</v>
      </c>
      <c r="C287" s="311" t="s">
        <v>27</v>
      </c>
      <c r="D287" s="1220"/>
      <c r="E287" s="1221"/>
      <c r="F287" s="312" t="s">
        <v>3151</v>
      </c>
      <c r="G287" s="313">
        <v>44341</v>
      </c>
      <c r="H287" s="624"/>
      <c r="I287" s="625"/>
      <c r="J287" s="626"/>
      <c r="K287" s="627"/>
      <c r="L287" s="628"/>
      <c r="M287" s="629"/>
      <c r="N287" s="627"/>
      <c r="O287" s="628"/>
      <c r="P287" s="630"/>
      <c r="Q287" s="631"/>
      <c r="R287" s="715"/>
      <c r="S287" s="715"/>
      <c r="T287" s="632"/>
      <c r="U287" s="633"/>
      <c r="V287" s="634"/>
      <c r="W287" s="635"/>
      <c r="X287" s="636"/>
      <c r="Y287" s="637"/>
      <c r="Z287" s="725"/>
      <c r="AA287" s="636"/>
      <c r="AB287" s="1056"/>
      <c r="AC287" s="736" t="s">
        <v>3152</v>
      </c>
      <c r="AD287" s="317"/>
      <c r="AE287" s="669">
        <v>44348</v>
      </c>
      <c r="AF287" s="718"/>
      <c r="AG287" s="211"/>
      <c r="AH287" s="210"/>
    </row>
    <row r="288" spans="1:34" s="4" customFormat="1">
      <c r="A288" s="2"/>
      <c r="B288" s="310" t="s">
        <v>115</v>
      </c>
      <c r="C288" s="311" t="s">
        <v>27</v>
      </c>
      <c r="D288" s="1220"/>
      <c r="E288" s="1221"/>
      <c r="F288" s="312" t="s">
        <v>3153</v>
      </c>
      <c r="G288" s="313">
        <v>44342</v>
      </c>
      <c r="H288" s="624"/>
      <c r="I288" s="625"/>
      <c r="J288" s="626"/>
      <c r="K288" s="627"/>
      <c r="L288" s="628"/>
      <c r="M288" s="629"/>
      <c r="N288" s="627"/>
      <c r="O288" s="628"/>
      <c r="P288" s="630"/>
      <c r="Q288" s="631"/>
      <c r="R288" s="715"/>
      <c r="S288" s="715"/>
      <c r="T288" s="632"/>
      <c r="U288" s="633"/>
      <c r="V288" s="634"/>
      <c r="W288" s="635"/>
      <c r="X288" s="636"/>
      <c r="Y288" s="637"/>
      <c r="Z288" s="725"/>
      <c r="AA288" s="636"/>
      <c r="AB288" s="1056"/>
      <c r="AC288" s="736" t="s">
        <v>3154</v>
      </c>
      <c r="AD288" s="317"/>
      <c r="AE288" s="669">
        <v>44349</v>
      </c>
      <c r="AF288" s="718"/>
      <c r="AG288" s="211"/>
      <c r="AH288" s="210"/>
    </row>
    <row r="289" spans="1:34" s="4" customFormat="1">
      <c r="A289" s="2"/>
      <c r="B289" s="310" t="s">
        <v>115</v>
      </c>
      <c r="C289" s="311" t="s">
        <v>27</v>
      </c>
      <c r="D289" s="1220"/>
      <c r="E289" s="1221"/>
      <c r="F289" s="312" t="s">
        <v>3155</v>
      </c>
      <c r="G289" s="313">
        <v>44343</v>
      </c>
      <c r="H289" s="624"/>
      <c r="I289" s="625"/>
      <c r="J289" s="626"/>
      <c r="K289" s="627"/>
      <c r="L289" s="628"/>
      <c r="M289" s="629"/>
      <c r="N289" s="627"/>
      <c r="O289" s="628"/>
      <c r="P289" s="630"/>
      <c r="Q289" s="631"/>
      <c r="R289" s="715"/>
      <c r="S289" s="715"/>
      <c r="T289" s="632"/>
      <c r="U289" s="633"/>
      <c r="V289" s="634"/>
      <c r="W289" s="635"/>
      <c r="X289" s="636"/>
      <c r="Y289" s="637"/>
      <c r="Z289" s="725"/>
      <c r="AA289" s="636"/>
      <c r="AB289" s="1056"/>
      <c r="AC289" s="736" t="s">
        <v>3156</v>
      </c>
      <c r="AD289" s="317"/>
      <c r="AE289" s="669">
        <v>44349</v>
      </c>
      <c r="AF289" s="718"/>
      <c r="AG289" s="211"/>
      <c r="AH289" s="210"/>
    </row>
    <row r="290" spans="1:34" s="4" customFormat="1">
      <c r="A290" s="2"/>
      <c r="B290" s="310" t="s">
        <v>115</v>
      </c>
      <c r="C290" s="311" t="s">
        <v>27</v>
      </c>
      <c r="D290" s="1220"/>
      <c r="E290" s="1221"/>
      <c r="F290" s="312" t="s">
        <v>3157</v>
      </c>
      <c r="G290" s="313">
        <v>44344</v>
      </c>
      <c r="H290" s="624"/>
      <c r="I290" s="625"/>
      <c r="J290" s="626"/>
      <c r="K290" s="627"/>
      <c r="L290" s="628"/>
      <c r="M290" s="629"/>
      <c r="N290" s="627"/>
      <c r="O290" s="628"/>
      <c r="P290" s="630"/>
      <c r="Q290" s="631"/>
      <c r="R290" s="715"/>
      <c r="S290" s="715"/>
      <c r="T290" s="632"/>
      <c r="U290" s="633"/>
      <c r="V290" s="634"/>
      <c r="W290" s="635"/>
      <c r="X290" s="636"/>
      <c r="Y290" s="637"/>
      <c r="Z290" s="725"/>
      <c r="AA290" s="636"/>
      <c r="AB290" s="1056"/>
      <c r="AC290" s="736" t="s">
        <v>3158</v>
      </c>
      <c r="AD290" s="317"/>
      <c r="AE290" s="669">
        <v>44350</v>
      </c>
      <c r="AF290" s="718"/>
      <c r="AG290" s="211"/>
      <c r="AH290" s="210"/>
    </row>
    <row r="291" spans="1:34" s="4" customFormat="1">
      <c r="A291" s="2"/>
      <c r="B291" s="310" t="s">
        <v>115</v>
      </c>
      <c r="C291" s="311" t="s">
        <v>27</v>
      </c>
      <c r="D291" s="1220"/>
      <c r="E291" s="1221"/>
      <c r="F291" s="312" t="s">
        <v>3159</v>
      </c>
      <c r="G291" s="313">
        <v>44344</v>
      </c>
      <c r="H291" s="624"/>
      <c r="I291" s="625"/>
      <c r="J291" s="626"/>
      <c r="K291" s="627"/>
      <c r="L291" s="628"/>
      <c r="M291" s="629"/>
      <c r="N291" s="627"/>
      <c r="O291" s="628"/>
      <c r="P291" s="630"/>
      <c r="Q291" s="631"/>
      <c r="R291" s="715"/>
      <c r="S291" s="715"/>
      <c r="T291" s="632"/>
      <c r="U291" s="633"/>
      <c r="V291" s="634"/>
      <c r="W291" s="635"/>
      <c r="X291" s="636"/>
      <c r="Y291" s="637"/>
      <c r="Z291" s="725"/>
      <c r="AA291" s="636"/>
      <c r="AB291" s="1056"/>
      <c r="AC291" s="736" t="s">
        <v>3160</v>
      </c>
      <c r="AD291" s="317"/>
      <c r="AE291" s="669">
        <v>44350</v>
      </c>
      <c r="AF291" s="718"/>
      <c r="AG291" s="211"/>
      <c r="AH291" s="210"/>
    </row>
    <row r="292" spans="1:34" s="4" customFormat="1">
      <c r="A292" s="2"/>
      <c r="B292" s="310" t="s">
        <v>115</v>
      </c>
      <c r="C292" s="311" t="s">
        <v>27</v>
      </c>
      <c r="D292" s="1220"/>
      <c r="E292" s="1221"/>
      <c r="F292" s="312" t="s">
        <v>3161</v>
      </c>
      <c r="G292" s="313">
        <v>44347</v>
      </c>
      <c r="H292" s="624"/>
      <c r="I292" s="625"/>
      <c r="J292" s="626"/>
      <c r="K292" s="627"/>
      <c r="L292" s="628"/>
      <c r="M292" s="629"/>
      <c r="N292" s="627"/>
      <c r="O292" s="628"/>
      <c r="P292" s="630"/>
      <c r="Q292" s="631"/>
      <c r="R292" s="715"/>
      <c r="S292" s="715"/>
      <c r="T292" s="632"/>
      <c r="U292" s="633"/>
      <c r="V292" s="634"/>
      <c r="W292" s="635"/>
      <c r="X292" s="636"/>
      <c r="Y292" s="637"/>
      <c r="Z292" s="725"/>
      <c r="AA292" s="636"/>
      <c r="AB292" s="1056"/>
      <c r="AC292" s="736" t="s">
        <v>3162</v>
      </c>
      <c r="AD292" s="317" t="s">
        <v>3163</v>
      </c>
      <c r="AE292" s="669">
        <v>44356</v>
      </c>
      <c r="AF292" s="718"/>
      <c r="AG292" s="211"/>
      <c r="AH292" s="210"/>
    </row>
    <row r="293" spans="1:34" s="4" customFormat="1">
      <c r="A293" s="2"/>
      <c r="B293" s="310" t="s">
        <v>119</v>
      </c>
      <c r="C293" s="311" t="s">
        <v>27</v>
      </c>
      <c r="D293" s="1220" t="s">
        <v>3164</v>
      </c>
      <c r="E293" s="1221"/>
      <c r="F293" s="312" t="s">
        <v>3165</v>
      </c>
      <c r="G293" s="313">
        <v>44442</v>
      </c>
      <c r="H293" s="624"/>
      <c r="I293" s="625"/>
      <c r="J293" s="626"/>
      <c r="K293" s="627"/>
      <c r="L293" s="628"/>
      <c r="M293" s="629"/>
      <c r="N293" s="627"/>
      <c r="O293" s="628"/>
      <c r="P293" s="630"/>
      <c r="Q293" s="631"/>
      <c r="R293" s="715"/>
      <c r="S293" s="715"/>
      <c r="T293" s="632"/>
      <c r="U293" s="633"/>
      <c r="V293" s="634"/>
      <c r="W293" s="635"/>
      <c r="X293" s="636"/>
      <c r="Y293" s="637"/>
      <c r="Z293" s="725"/>
      <c r="AA293" s="636"/>
      <c r="AB293" s="1056"/>
      <c r="AC293" s="736"/>
      <c r="AD293" s="317" t="s">
        <v>3166</v>
      </c>
      <c r="AE293" s="669"/>
      <c r="AF293" s="704"/>
      <c r="AG293" s="211"/>
      <c r="AH293" s="210"/>
    </row>
    <row r="294" spans="1:34" s="4" customFormat="1">
      <c r="A294" s="2"/>
      <c r="B294" s="310" t="s">
        <v>115</v>
      </c>
      <c r="C294" s="311" t="s">
        <v>27</v>
      </c>
      <c r="D294" s="1220"/>
      <c r="E294" s="1221"/>
      <c r="F294" s="312" t="s">
        <v>3167</v>
      </c>
      <c r="G294" s="313">
        <v>44347</v>
      </c>
      <c r="H294" s="624"/>
      <c r="I294" s="625"/>
      <c r="J294" s="626"/>
      <c r="K294" s="627"/>
      <c r="L294" s="628"/>
      <c r="M294" s="629"/>
      <c r="N294" s="627"/>
      <c r="O294" s="628"/>
      <c r="P294" s="630"/>
      <c r="Q294" s="631"/>
      <c r="R294" s="715"/>
      <c r="S294" s="715"/>
      <c r="T294" s="632"/>
      <c r="U294" s="633"/>
      <c r="V294" s="634"/>
      <c r="W294" s="635"/>
      <c r="X294" s="636"/>
      <c r="Y294" s="637"/>
      <c r="Z294" s="725"/>
      <c r="AA294" s="636"/>
      <c r="AB294" s="1056"/>
      <c r="AC294" s="736" t="s">
        <v>3168</v>
      </c>
      <c r="AD294" s="317"/>
      <c r="AE294" s="669">
        <v>44357</v>
      </c>
      <c r="AF294" s="718"/>
      <c r="AG294" s="211"/>
      <c r="AH294" s="210"/>
    </row>
    <row r="295" spans="1:34" s="4" customFormat="1">
      <c r="A295" s="2"/>
      <c r="B295" s="310" t="s">
        <v>115</v>
      </c>
      <c r="C295" s="311" t="s">
        <v>27</v>
      </c>
      <c r="D295" s="1220"/>
      <c r="E295" s="1221"/>
      <c r="F295" s="312" t="s">
        <v>3169</v>
      </c>
      <c r="G295" s="313">
        <v>44348</v>
      </c>
      <c r="H295" s="624"/>
      <c r="I295" s="625"/>
      <c r="J295" s="626"/>
      <c r="K295" s="627"/>
      <c r="L295" s="628"/>
      <c r="M295" s="629"/>
      <c r="N295" s="627"/>
      <c r="O295" s="628"/>
      <c r="P295" s="630"/>
      <c r="Q295" s="631"/>
      <c r="R295" s="715"/>
      <c r="S295" s="715"/>
      <c r="T295" s="632"/>
      <c r="U295" s="633"/>
      <c r="V295" s="634"/>
      <c r="W295" s="635"/>
      <c r="X295" s="636"/>
      <c r="Y295" s="637"/>
      <c r="Z295" s="725"/>
      <c r="AA295" s="636"/>
      <c r="AB295" s="1056"/>
      <c r="AC295" s="736" t="s">
        <v>3170</v>
      </c>
      <c r="AD295" s="317"/>
      <c r="AE295" s="669">
        <v>44354</v>
      </c>
      <c r="AF295" s="718"/>
      <c r="AG295" s="211"/>
      <c r="AH295" s="210"/>
    </row>
    <row r="296" spans="1:34" s="4" customFormat="1">
      <c r="A296" s="2"/>
      <c r="B296" s="310" t="s">
        <v>115</v>
      </c>
      <c r="C296" s="311" t="s">
        <v>27</v>
      </c>
      <c r="D296" s="1220"/>
      <c r="E296" s="1221"/>
      <c r="F296" s="312" t="s">
        <v>3171</v>
      </c>
      <c r="G296" s="313">
        <v>44349</v>
      </c>
      <c r="H296" s="624"/>
      <c r="I296" s="625"/>
      <c r="J296" s="626"/>
      <c r="K296" s="627"/>
      <c r="L296" s="628"/>
      <c r="M296" s="629"/>
      <c r="N296" s="627"/>
      <c r="O296" s="628"/>
      <c r="P296" s="630"/>
      <c r="Q296" s="631"/>
      <c r="R296" s="715"/>
      <c r="S296" s="715"/>
      <c r="T296" s="632"/>
      <c r="U296" s="633"/>
      <c r="V296" s="634"/>
      <c r="W296" s="635"/>
      <c r="X296" s="636"/>
      <c r="Y296" s="637"/>
      <c r="Z296" s="725"/>
      <c r="AA296" s="636"/>
      <c r="AB296" s="1056"/>
      <c r="AC296" s="736" t="s">
        <v>3172</v>
      </c>
      <c r="AD296" s="317" t="s">
        <v>3173</v>
      </c>
      <c r="AE296" s="669">
        <v>44355</v>
      </c>
      <c r="AF296" s="718"/>
      <c r="AG296" s="211"/>
      <c r="AH296" s="210"/>
    </row>
    <row r="297" spans="1:34" s="4" customFormat="1">
      <c r="A297" s="2"/>
      <c r="B297" s="310" t="s">
        <v>115</v>
      </c>
      <c r="C297" s="311" t="s">
        <v>27</v>
      </c>
      <c r="D297" s="1220"/>
      <c r="E297" s="1221"/>
      <c r="F297" s="312" t="s">
        <v>3174</v>
      </c>
      <c r="G297" s="313">
        <v>44349</v>
      </c>
      <c r="H297" s="624"/>
      <c r="I297" s="625"/>
      <c r="J297" s="626"/>
      <c r="K297" s="627"/>
      <c r="L297" s="628"/>
      <c r="M297" s="629"/>
      <c r="N297" s="627"/>
      <c r="O297" s="628"/>
      <c r="P297" s="630"/>
      <c r="Q297" s="631"/>
      <c r="R297" s="715"/>
      <c r="S297" s="715"/>
      <c r="T297" s="632"/>
      <c r="U297" s="633"/>
      <c r="V297" s="634"/>
      <c r="W297" s="635"/>
      <c r="X297" s="636"/>
      <c r="Y297" s="637"/>
      <c r="Z297" s="725"/>
      <c r="AA297" s="636"/>
      <c r="AB297" s="1056"/>
      <c r="AC297" s="736" t="s">
        <v>3175</v>
      </c>
      <c r="AD297" s="317"/>
      <c r="AE297" s="669">
        <v>44350</v>
      </c>
      <c r="AF297" s="718"/>
      <c r="AG297" s="211"/>
      <c r="AH297" s="210"/>
    </row>
    <row r="298" spans="1:34" s="4" customFormat="1">
      <c r="A298" s="2"/>
      <c r="B298" s="310" t="s">
        <v>106</v>
      </c>
      <c r="C298" s="311" t="s">
        <v>33</v>
      </c>
      <c r="D298" s="1220" t="s">
        <v>3176</v>
      </c>
      <c r="E298" s="1221"/>
      <c r="F298" s="312"/>
      <c r="G298" s="313"/>
      <c r="H298" s="624"/>
      <c r="I298" s="625"/>
      <c r="J298" s="626"/>
      <c r="K298" s="627" t="s">
        <v>3177</v>
      </c>
      <c r="L298" s="628">
        <v>44350</v>
      </c>
      <c r="M298" s="629">
        <v>5000</v>
      </c>
      <c r="N298" s="627" t="s">
        <v>3178</v>
      </c>
      <c r="O298" s="628">
        <v>44351</v>
      </c>
      <c r="P298" s="630" t="s">
        <v>3179</v>
      </c>
      <c r="Q298" s="631"/>
      <c r="R298" s="715"/>
      <c r="S298" s="1068"/>
      <c r="T298" s="632">
        <v>6152.23</v>
      </c>
      <c r="U298" s="633" t="s">
        <v>3180</v>
      </c>
      <c r="V298" s="634">
        <v>44414</v>
      </c>
      <c r="W298" s="635" t="s">
        <v>2302</v>
      </c>
      <c r="X298" s="636">
        <v>6152.23</v>
      </c>
      <c r="Y298" s="636">
        <v>6152.23</v>
      </c>
      <c r="Z298" s="733">
        <f>Y298/X298</f>
        <v>1</v>
      </c>
      <c r="AA298" s="919"/>
      <c r="AB298" s="1055">
        <v>0</v>
      </c>
      <c r="AC298" s="912" t="s">
        <v>3176</v>
      </c>
      <c r="AD298" s="913"/>
      <c r="AE298" s="669"/>
      <c r="AF298" s="704"/>
      <c r="AG298" s="211"/>
      <c r="AH298" s="210"/>
    </row>
    <row r="299" spans="1:34" s="4" customFormat="1">
      <c r="A299" s="2"/>
      <c r="B299" s="310" t="s">
        <v>115</v>
      </c>
      <c r="C299" s="311" t="s">
        <v>27</v>
      </c>
      <c r="D299" s="1229"/>
      <c r="E299" s="1221"/>
      <c r="F299" s="312" t="s">
        <v>3181</v>
      </c>
      <c r="G299" s="313"/>
      <c r="H299" s="624"/>
      <c r="I299" s="625"/>
      <c r="J299" s="626"/>
      <c r="K299" s="627"/>
      <c r="L299" s="628"/>
      <c r="M299" s="629"/>
      <c r="N299" s="627"/>
      <c r="O299" s="628"/>
      <c r="P299" s="630"/>
      <c r="Q299" s="631"/>
      <c r="R299" s="715"/>
      <c r="S299" s="715"/>
      <c r="T299" s="632"/>
      <c r="U299" s="633"/>
      <c r="V299" s="634"/>
      <c r="W299" s="635"/>
      <c r="X299" s="636"/>
      <c r="Y299" s="637"/>
      <c r="Z299" s="725"/>
      <c r="AA299" s="636"/>
      <c r="AB299" s="1056"/>
      <c r="AC299" s="736"/>
      <c r="AD299" s="317"/>
      <c r="AE299" s="669"/>
      <c r="AF299" s="704"/>
      <c r="AG299" s="211"/>
      <c r="AH299" s="210"/>
    </row>
    <row r="300" spans="1:34" s="4" customFormat="1">
      <c r="A300" s="2"/>
      <c r="B300" s="310" t="s">
        <v>115</v>
      </c>
      <c r="C300" s="311" t="s">
        <v>27</v>
      </c>
      <c r="D300" s="1229"/>
      <c r="E300" s="1221"/>
      <c r="F300" s="312" t="s">
        <v>3182</v>
      </c>
      <c r="G300" s="313">
        <v>44354</v>
      </c>
      <c r="H300" s="624"/>
      <c r="I300" s="625"/>
      <c r="J300" s="626"/>
      <c r="K300" s="627"/>
      <c r="L300" s="628"/>
      <c r="M300" s="629"/>
      <c r="N300" s="627"/>
      <c r="O300" s="628"/>
      <c r="P300" s="630"/>
      <c r="Q300" s="631"/>
      <c r="R300" s="715"/>
      <c r="S300" s="715"/>
      <c r="T300" s="632"/>
      <c r="U300" s="633"/>
      <c r="V300" s="634"/>
      <c r="W300" s="635"/>
      <c r="X300" s="636"/>
      <c r="Y300" s="637"/>
      <c r="Z300" s="725"/>
      <c r="AA300" s="636"/>
      <c r="AB300" s="1056"/>
      <c r="AC300" s="736" t="s">
        <v>3183</v>
      </c>
      <c r="AD300" s="317"/>
      <c r="AE300" s="669"/>
      <c r="AF300" s="718"/>
      <c r="AG300" s="211"/>
      <c r="AH300" s="210"/>
    </row>
    <row r="301" spans="1:34" s="4" customFormat="1">
      <c r="A301" s="2"/>
      <c r="B301" s="310" t="s">
        <v>115</v>
      </c>
      <c r="C301" s="311" t="s">
        <v>27</v>
      </c>
      <c r="D301" s="1229"/>
      <c r="E301" s="1221"/>
      <c r="F301" s="312" t="s">
        <v>3184</v>
      </c>
      <c r="G301" s="313">
        <v>44354</v>
      </c>
      <c r="H301" s="624"/>
      <c r="I301" s="625"/>
      <c r="J301" s="626"/>
      <c r="K301" s="627"/>
      <c r="L301" s="628"/>
      <c r="M301" s="629"/>
      <c r="N301" s="627"/>
      <c r="O301" s="628"/>
      <c r="P301" s="630"/>
      <c r="Q301" s="631"/>
      <c r="R301" s="715"/>
      <c r="S301" s="715"/>
      <c r="T301" s="632"/>
      <c r="U301" s="633"/>
      <c r="V301" s="634"/>
      <c r="W301" s="635"/>
      <c r="X301" s="636"/>
      <c r="Y301" s="637"/>
      <c r="Z301" s="725"/>
      <c r="AA301" s="636"/>
      <c r="AB301" s="1056"/>
      <c r="AC301" s="736" t="s">
        <v>3185</v>
      </c>
      <c r="AD301" s="317"/>
      <c r="AE301" s="669"/>
      <c r="AF301" s="718"/>
      <c r="AG301" s="211"/>
      <c r="AH301" s="210"/>
    </row>
    <row r="302" spans="1:34" s="4" customFormat="1">
      <c r="A302" s="2"/>
      <c r="B302" s="310" t="s">
        <v>115</v>
      </c>
      <c r="C302" s="311" t="s">
        <v>27</v>
      </c>
      <c r="D302" s="1229"/>
      <c r="E302" s="1221"/>
      <c r="F302" s="312" t="s">
        <v>3186</v>
      </c>
      <c r="G302" s="313">
        <v>44355</v>
      </c>
      <c r="H302" s="624"/>
      <c r="I302" s="625"/>
      <c r="J302" s="626"/>
      <c r="K302" s="627"/>
      <c r="L302" s="628"/>
      <c r="M302" s="629"/>
      <c r="N302" s="627"/>
      <c r="O302" s="628"/>
      <c r="P302" s="630"/>
      <c r="Q302" s="631"/>
      <c r="R302" s="715"/>
      <c r="S302" s="715"/>
      <c r="T302" s="632"/>
      <c r="U302" s="633"/>
      <c r="V302" s="634"/>
      <c r="W302" s="635"/>
      <c r="X302" s="636"/>
      <c r="Y302" s="637"/>
      <c r="Z302" s="725"/>
      <c r="AA302" s="636"/>
      <c r="AB302" s="1056"/>
      <c r="AC302" s="736" t="s">
        <v>3187</v>
      </c>
      <c r="AD302" s="317"/>
      <c r="AE302" s="669"/>
      <c r="AF302" s="718"/>
      <c r="AG302" s="211"/>
      <c r="AH302" s="210"/>
    </row>
    <row r="303" spans="1:34" s="4" customFormat="1">
      <c r="A303" s="2"/>
      <c r="B303" s="310" t="s">
        <v>115</v>
      </c>
      <c r="C303" s="311" t="s">
        <v>27</v>
      </c>
      <c r="D303" s="1229"/>
      <c r="E303" s="1221"/>
      <c r="F303" s="312" t="s">
        <v>3188</v>
      </c>
      <c r="G303" s="313">
        <v>44355</v>
      </c>
      <c r="H303" s="624"/>
      <c r="I303" s="625"/>
      <c r="J303" s="626"/>
      <c r="K303" s="627"/>
      <c r="L303" s="628"/>
      <c r="M303" s="629"/>
      <c r="N303" s="627"/>
      <c r="O303" s="628"/>
      <c r="P303" s="630"/>
      <c r="Q303" s="631"/>
      <c r="R303" s="715"/>
      <c r="S303" s="715"/>
      <c r="T303" s="632"/>
      <c r="U303" s="633"/>
      <c r="V303" s="634"/>
      <c r="W303" s="635"/>
      <c r="X303" s="636"/>
      <c r="Y303" s="637"/>
      <c r="Z303" s="725"/>
      <c r="AA303" s="636"/>
      <c r="AB303" s="1056"/>
      <c r="AC303" s="736" t="s">
        <v>3189</v>
      </c>
      <c r="AD303" s="317"/>
      <c r="AE303" s="669"/>
      <c r="AF303" s="718"/>
      <c r="AG303" s="211"/>
      <c r="AH303" s="210"/>
    </row>
    <row r="304" spans="1:34" s="4" customFormat="1">
      <c r="A304" s="2"/>
      <c r="B304" s="310" t="s">
        <v>115</v>
      </c>
      <c r="C304" s="311" t="s">
        <v>27</v>
      </c>
      <c r="D304" s="1229"/>
      <c r="E304" s="1221"/>
      <c r="F304" s="312" t="s">
        <v>3190</v>
      </c>
      <c r="G304" s="313">
        <v>44355</v>
      </c>
      <c r="H304" s="624"/>
      <c r="I304" s="625"/>
      <c r="J304" s="626"/>
      <c r="K304" s="627"/>
      <c r="L304" s="628"/>
      <c r="M304" s="629"/>
      <c r="N304" s="627"/>
      <c r="O304" s="628"/>
      <c r="P304" s="630"/>
      <c r="Q304" s="631"/>
      <c r="R304" s="715"/>
      <c r="S304" s="715"/>
      <c r="T304" s="632"/>
      <c r="U304" s="633"/>
      <c r="V304" s="634"/>
      <c r="W304" s="635"/>
      <c r="X304" s="636"/>
      <c r="Y304" s="637"/>
      <c r="Z304" s="725"/>
      <c r="AA304" s="636"/>
      <c r="AB304" s="1056"/>
      <c r="AC304" s="736" t="s">
        <v>3191</v>
      </c>
      <c r="AD304" s="317"/>
      <c r="AE304" s="669"/>
      <c r="AF304" s="718"/>
      <c r="AG304" s="211"/>
      <c r="AH304" s="210"/>
    </row>
    <row r="305" spans="1:34" s="4" customFormat="1">
      <c r="A305" s="2"/>
      <c r="B305" s="310" t="s">
        <v>115</v>
      </c>
      <c r="C305" s="311" t="s">
        <v>27</v>
      </c>
      <c r="D305" s="1229"/>
      <c r="E305" s="1221"/>
      <c r="F305" s="312" t="s">
        <v>3192</v>
      </c>
      <c r="G305" s="313">
        <v>44356</v>
      </c>
      <c r="H305" s="624"/>
      <c r="I305" s="625"/>
      <c r="J305" s="626"/>
      <c r="K305" s="627"/>
      <c r="L305" s="628"/>
      <c r="M305" s="629"/>
      <c r="N305" s="627"/>
      <c r="O305" s="628"/>
      <c r="P305" s="630"/>
      <c r="Q305" s="631"/>
      <c r="R305" s="715"/>
      <c r="S305" s="715"/>
      <c r="T305" s="632"/>
      <c r="U305" s="633"/>
      <c r="V305" s="634"/>
      <c r="W305" s="635"/>
      <c r="X305" s="636"/>
      <c r="Y305" s="637"/>
      <c r="Z305" s="725"/>
      <c r="AA305" s="636"/>
      <c r="AB305" s="1056"/>
      <c r="AC305" s="736" t="s">
        <v>3193</v>
      </c>
      <c r="AD305" s="317"/>
      <c r="AE305" s="669"/>
      <c r="AF305" s="718"/>
      <c r="AG305" s="211"/>
      <c r="AH305" s="210"/>
    </row>
    <row r="306" spans="1:34" s="4" customFormat="1">
      <c r="A306" s="2"/>
      <c r="B306" s="310" t="s">
        <v>115</v>
      </c>
      <c r="C306" s="311" t="s">
        <v>27</v>
      </c>
      <c r="D306" s="1229"/>
      <c r="E306" s="1221"/>
      <c r="F306" s="312" t="s">
        <v>3194</v>
      </c>
      <c r="G306" s="313">
        <v>44356</v>
      </c>
      <c r="H306" s="624"/>
      <c r="I306" s="625"/>
      <c r="J306" s="626"/>
      <c r="K306" s="627"/>
      <c r="L306" s="628"/>
      <c r="M306" s="629"/>
      <c r="N306" s="627"/>
      <c r="O306" s="628"/>
      <c r="P306" s="630"/>
      <c r="Q306" s="631"/>
      <c r="R306" s="715"/>
      <c r="S306" s="715"/>
      <c r="T306" s="632"/>
      <c r="U306" s="633"/>
      <c r="V306" s="634"/>
      <c r="W306" s="635"/>
      <c r="X306" s="636"/>
      <c r="Y306" s="637"/>
      <c r="Z306" s="725"/>
      <c r="AA306" s="636"/>
      <c r="AB306" s="1056"/>
      <c r="AC306" s="736" t="s">
        <v>3195</v>
      </c>
      <c r="AD306" s="317"/>
      <c r="AE306" s="669"/>
      <c r="AF306" s="718"/>
      <c r="AG306" s="211"/>
      <c r="AH306" s="210"/>
    </row>
    <row r="307" spans="1:34" s="4" customFormat="1">
      <c r="A307" s="2"/>
      <c r="B307" s="310" t="s">
        <v>115</v>
      </c>
      <c r="C307" s="311" t="s">
        <v>27</v>
      </c>
      <c r="D307" s="1229"/>
      <c r="E307" s="1221"/>
      <c r="F307" s="312" t="s">
        <v>3196</v>
      </c>
      <c r="G307" s="313">
        <v>44356</v>
      </c>
      <c r="H307" s="624"/>
      <c r="I307" s="625"/>
      <c r="J307" s="626"/>
      <c r="K307" s="627"/>
      <c r="L307" s="628"/>
      <c r="M307" s="629"/>
      <c r="N307" s="627"/>
      <c r="O307" s="628"/>
      <c r="P307" s="630"/>
      <c r="Q307" s="631"/>
      <c r="R307" s="715"/>
      <c r="S307" s="715"/>
      <c r="T307" s="632"/>
      <c r="U307" s="633"/>
      <c r="V307" s="634"/>
      <c r="W307" s="635"/>
      <c r="X307" s="636"/>
      <c r="Y307" s="637"/>
      <c r="Z307" s="725"/>
      <c r="AA307" s="636"/>
      <c r="AB307" s="1056"/>
      <c r="AC307" s="736" t="s">
        <v>3197</v>
      </c>
      <c r="AD307" s="317"/>
      <c r="AE307" s="669"/>
      <c r="AF307" s="718"/>
      <c r="AG307" s="211"/>
      <c r="AH307" s="210"/>
    </row>
    <row r="308" spans="1:34" s="4" customFormat="1">
      <c r="A308" s="2"/>
      <c r="B308" s="310" t="s">
        <v>115</v>
      </c>
      <c r="C308" s="311" t="s">
        <v>27</v>
      </c>
      <c r="D308" s="1229"/>
      <c r="E308" s="1221"/>
      <c r="F308" s="312" t="s">
        <v>3198</v>
      </c>
      <c r="G308" s="313">
        <v>44356</v>
      </c>
      <c r="H308" s="624"/>
      <c r="I308" s="625"/>
      <c r="J308" s="626"/>
      <c r="K308" s="627"/>
      <c r="L308" s="628"/>
      <c r="M308" s="629"/>
      <c r="N308" s="627"/>
      <c r="O308" s="628"/>
      <c r="P308" s="630"/>
      <c r="Q308" s="631"/>
      <c r="R308" s="715"/>
      <c r="S308" s="715"/>
      <c r="T308" s="632"/>
      <c r="U308" s="633"/>
      <c r="V308" s="634"/>
      <c r="W308" s="635"/>
      <c r="X308" s="636"/>
      <c r="Y308" s="637"/>
      <c r="Z308" s="725"/>
      <c r="AA308" s="636"/>
      <c r="AB308" s="1056"/>
      <c r="AC308" s="736" t="s">
        <v>3199</v>
      </c>
      <c r="AD308" s="317"/>
      <c r="AE308" s="669"/>
      <c r="AF308" s="718"/>
      <c r="AG308" s="211"/>
      <c r="AH308" s="210"/>
    </row>
    <row r="309" spans="1:34" s="4" customFormat="1">
      <c r="A309" s="2"/>
      <c r="B309" s="310" t="s">
        <v>115</v>
      </c>
      <c r="C309" s="311" t="s">
        <v>27</v>
      </c>
      <c r="D309" s="1229"/>
      <c r="E309" s="1221"/>
      <c r="F309" s="312" t="s">
        <v>3200</v>
      </c>
      <c r="G309" s="313">
        <v>44358</v>
      </c>
      <c r="H309" s="624"/>
      <c r="I309" s="625"/>
      <c r="J309" s="626"/>
      <c r="K309" s="627"/>
      <c r="L309" s="628"/>
      <c r="M309" s="629"/>
      <c r="N309" s="627"/>
      <c r="O309" s="628"/>
      <c r="P309" s="630"/>
      <c r="Q309" s="631"/>
      <c r="R309" s="715"/>
      <c r="S309" s="715"/>
      <c r="T309" s="632"/>
      <c r="U309" s="633"/>
      <c r="V309" s="634"/>
      <c r="W309" s="635"/>
      <c r="X309" s="636"/>
      <c r="Y309" s="637"/>
      <c r="Z309" s="725"/>
      <c r="AA309" s="636"/>
      <c r="AB309" s="1056"/>
      <c r="AC309" s="736" t="s">
        <v>3201</v>
      </c>
      <c r="AD309" s="317"/>
      <c r="AE309" s="669"/>
      <c r="AF309" s="718"/>
      <c r="AG309" s="211"/>
      <c r="AH309" s="210"/>
    </row>
    <row r="310" spans="1:34" s="4" customFormat="1">
      <c r="A310" s="2"/>
      <c r="B310" s="310" t="s">
        <v>115</v>
      </c>
      <c r="C310" s="311" t="s">
        <v>27</v>
      </c>
      <c r="D310" s="1229"/>
      <c r="E310" s="1221"/>
      <c r="F310" s="312" t="s">
        <v>3202</v>
      </c>
      <c r="G310" s="313">
        <v>44358</v>
      </c>
      <c r="H310" s="624"/>
      <c r="I310" s="625"/>
      <c r="J310" s="626"/>
      <c r="K310" s="627"/>
      <c r="L310" s="628"/>
      <c r="M310" s="629"/>
      <c r="N310" s="627"/>
      <c r="O310" s="628"/>
      <c r="P310" s="630"/>
      <c r="Q310" s="631"/>
      <c r="R310" s="715"/>
      <c r="S310" s="715"/>
      <c r="T310" s="632"/>
      <c r="U310" s="633"/>
      <c r="V310" s="634"/>
      <c r="W310" s="635"/>
      <c r="X310" s="636"/>
      <c r="Y310" s="637"/>
      <c r="Z310" s="725"/>
      <c r="AA310" s="636"/>
      <c r="AB310" s="1056"/>
      <c r="AC310" s="736" t="s">
        <v>3203</v>
      </c>
      <c r="AD310" s="317"/>
      <c r="AE310" s="669"/>
      <c r="AF310" s="704"/>
      <c r="AG310" s="211"/>
      <c r="AH310" s="210"/>
    </row>
    <row r="311" spans="1:34" s="4" customFormat="1">
      <c r="A311" s="2"/>
      <c r="B311" s="310" t="s">
        <v>106</v>
      </c>
      <c r="C311" s="311" t="s">
        <v>33</v>
      </c>
      <c r="D311" s="1229" t="s">
        <v>3204</v>
      </c>
      <c r="E311" s="1221"/>
      <c r="F311" s="312" t="s">
        <v>3205</v>
      </c>
      <c r="G311" s="313">
        <v>44361</v>
      </c>
      <c r="H311" s="624"/>
      <c r="I311" s="625"/>
      <c r="J311" s="626"/>
      <c r="K311" s="627" t="s">
        <v>3206</v>
      </c>
      <c r="L311" s="628">
        <v>44386</v>
      </c>
      <c r="M311" s="629">
        <v>13000</v>
      </c>
      <c r="N311" s="627" t="s">
        <v>3207</v>
      </c>
      <c r="O311" s="628">
        <v>44390</v>
      </c>
      <c r="P311" s="630" t="s">
        <v>3208</v>
      </c>
      <c r="Q311" s="631">
        <v>44420</v>
      </c>
      <c r="R311" s="715"/>
      <c r="S311" s="1068"/>
      <c r="T311" s="632">
        <v>28527.06</v>
      </c>
      <c r="U311" s="633" t="s">
        <v>3209</v>
      </c>
      <c r="V311" s="634">
        <v>44496</v>
      </c>
      <c r="W311" s="635" t="s">
        <v>2302</v>
      </c>
      <c r="X311" s="636">
        <v>28527.06</v>
      </c>
      <c r="Y311" s="637">
        <v>28527.06</v>
      </c>
      <c r="Z311" s="733">
        <f>Y311/X311</f>
        <v>1</v>
      </c>
      <c r="AA311" s="919"/>
      <c r="AB311" s="1055">
        <v>0</v>
      </c>
      <c r="AC311" s="912" t="s">
        <v>3210</v>
      </c>
      <c r="AD311" s="913"/>
      <c r="AE311" s="669"/>
      <c r="AF311" s="704"/>
      <c r="AG311" s="211"/>
      <c r="AH311" s="210"/>
    </row>
    <row r="312" spans="1:34" s="4" customFormat="1">
      <c r="A312" s="2"/>
      <c r="B312" s="310" t="s">
        <v>115</v>
      </c>
      <c r="C312" s="311" t="s">
        <v>27</v>
      </c>
      <c r="D312" s="1229"/>
      <c r="E312" s="1221"/>
      <c r="F312" s="312" t="s">
        <v>3211</v>
      </c>
      <c r="G312" s="313">
        <v>44361</v>
      </c>
      <c r="H312" s="624"/>
      <c r="I312" s="625"/>
      <c r="J312" s="626"/>
      <c r="K312" s="627"/>
      <c r="L312" s="628"/>
      <c r="M312" s="629"/>
      <c r="N312" s="627"/>
      <c r="O312" s="628"/>
      <c r="P312" s="630"/>
      <c r="Q312" s="631"/>
      <c r="R312" s="715"/>
      <c r="S312" s="715"/>
      <c r="T312" s="632"/>
      <c r="U312" s="633"/>
      <c r="V312" s="634"/>
      <c r="W312" s="635"/>
      <c r="X312" s="636"/>
      <c r="Y312" s="637"/>
      <c r="Z312" s="725"/>
      <c r="AA312" s="636"/>
      <c r="AB312" s="1056"/>
      <c r="AC312" s="736" t="s">
        <v>3212</v>
      </c>
      <c r="AD312" s="317"/>
      <c r="AE312" s="669"/>
      <c r="AF312" s="718"/>
      <c r="AG312" s="211"/>
      <c r="AH312" s="210"/>
    </row>
    <row r="313" spans="1:34" s="4" customFormat="1">
      <c r="A313" s="2"/>
      <c r="B313" s="310" t="s">
        <v>119</v>
      </c>
      <c r="C313" s="311" t="s">
        <v>27</v>
      </c>
      <c r="D313" s="1229" t="s">
        <v>3213</v>
      </c>
      <c r="E313" s="1221"/>
      <c r="F313" s="312" t="s">
        <v>3214</v>
      </c>
      <c r="G313" s="313">
        <v>44355</v>
      </c>
      <c r="H313" s="624"/>
      <c r="I313" s="625"/>
      <c r="J313" s="626"/>
      <c r="K313" s="627"/>
      <c r="L313" s="628"/>
      <c r="M313" s="629"/>
      <c r="N313" s="627"/>
      <c r="O313" s="628"/>
      <c r="P313" s="630"/>
      <c r="Q313" s="631"/>
      <c r="R313" s="715"/>
      <c r="S313" s="715"/>
      <c r="T313" s="632"/>
      <c r="U313" s="633"/>
      <c r="V313" s="634"/>
      <c r="W313" s="635"/>
      <c r="X313" s="636"/>
      <c r="Y313" s="637"/>
      <c r="Z313" s="725"/>
      <c r="AA313" s="636"/>
      <c r="AB313" s="1056"/>
      <c r="AC313" s="736"/>
      <c r="AD313" s="317"/>
      <c r="AE313" s="669"/>
      <c r="AF313" s="704"/>
      <c r="AG313" s="211"/>
      <c r="AH313" s="210"/>
    </row>
    <row r="314" spans="1:34" s="4" customFormat="1">
      <c r="A314" s="2"/>
      <c r="B314" s="310" t="s">
        <v>119</v>
      </c>
      <c r="C314" s="311" t="s">
        <v>27</v>
      </c>
      <c r="D314" s="1229" t="s">
        <v>3215</v>
      </c>
      <c r="E314" s="1221"/>
      <c r="F314" s="312" t="s">
        <v>3216</v>
      </c>
      <c r="G314" s="313">
        <v>44358</v>
      </c>
      <c r="H314" s="624"/>
      <c r="I314" s="625"/>
      <c r="J314" s="626"/>
      <c r="K314" s="627"/>
      <c r="L314" s="628"/>
      <c r="M314" s="629"/>
      <c r="N314" s="627"/>
      <c r="O314" s="628"/>
      <c r="P314" s="630"/>
      <c r="Q314" s="631"/>
      <c r="R314" s="715"/>
      <c r="S314" s="715"/>
      <c r="T314" s="632"/>
      <c r="U314" s="633"/>
      <c r="V314" s="634"/>
      <c r="W314" s="635"/>
      <c r="X314" s="636"/>
      <c r="Y314" s="637"/>
      <c r="Z314" s="725"/>
      <c r="AA314" s="636"/>
      <c r="AB314" s="1056"/>
      <c r="AC314" s="736"/>
      <c r="AD314" s="317"/>
      <c r="AE314" s="669"/>
      <c r="AF314" s="704"/>
      <c r="AG314" s="211"/>
      <c r="AH314" s="210"/>
    </row>
    <row r="315" spans="1:34" s="4" customFormat="1">
      <c r="A315" s="2"/>
      <c r="B315" s="310" t="s">
        <v>119</v>
      </c>
      <c r="C315" s="311" t="s">
        <v>27</v>
      </c>
      <c r="D315" s="1229" t="s">
        <v>3217</v>
      </c>
      <c r="E315" s="1221"/>
      <c r="F315" s="312" t="s">
        <v>3218</v>
      </c>
      <c r="G315" s="313">
        <v>44358</v>
      </c>
      <c r="H315" s="624"/>
      <c r="I315" s="625"/>
      <c r="J315" s="626"/>
      <c r="K315" s="627"/>
      <c r="L315" s="628"/>
      <c r="M315" s="629"/>
      <c r="N315" s="627"/>
      <c r="O315" s="628"/>
      <c r="P315" s="630"/>
      <c r="Q315" s="631"/>
      <c r="R315" s="715"/>
      <c r="S315" s="715"/>
      <c r="T315" s="632"/>
      <c r="U315" s="633"/>
      <c r="V315" s="634"/>
      <c r="W315" s="635"/>
      <c r="X315" s="636"/>
      <c r="Y315" s="637"/>
      <c r="Z315" s="725"/>
      <c r="AA315" s="636"/>
      <c r="AB315" s="1056"/>
      <c r="AC315" s="736"/>
      <c r="AD315" s="317"/>
      <c r="AE315" s="669"/>
      <c r="AF315" s="704"/>
      <c r="AG315" s="211"/>
      <c r="AH315" s="210"/>
    </row>
    <row r="316" spans="1:34" s="4" customFormat="1">
      <c r="A316" s="2"/>
      <c r="B316" s="310" t="s">
        <v>119</v>
      </c>
      <c r="C316" s="311" t="s">
        <v>27</v>
      </c>
      <c r="D316" s="1229" t="s">
        <v>3219</v>
      </c>
      <c r="E316" s="1221"/>
      <c r="F316" s="312" t="s">
        <v>3220</v>
      </c>
      <c r="G316" s="313">
        <v>44361</v>
      </c>
      <c r="H316" s="624"/>
      <c r="I316" s="625"/>
      <c r="J316" s="626"/>
      <c r="K316" s="627"/>
      <c r="L316" s="628"/>
      <c r="M316" s="629"/>
      <c r="N316" s="627"/>
      <c r="O316" s="628"/>
      <c r="P316" s="630"/>
      <c r="Q316" s="631"/>
      <c r="R316" s="715"/>
      <c r="S316" s="715"/>
      <c r="T316" s="632"/>
      <c r="U316" s="633"/>
      <c r="V316" s="634"/>
      <c r="W316" s="635"/>
      <c r="X316" s="636"/>
      <c r="Y316" s="637"/>
      <c r="Z316" s="725"/>
      <c r="AA316" s="636"/>
      <c r="AB316" s="1056"/>
      <c r="AC316" s="736"/>
      <c r="AD316" s="317"/>
      <c r="AE316" s="669"/>
      <c r="AF316" s="704"/>
      <c r="AG316" s="211"/>
      <c r="AH316" s="210"/>
    </row>
    <row r="317" spans="1:34" s="4" customFormat="1">
      <c r="A317" s="2"/>
      <c r="B317" s="310" t="s">
        <v>119</v>
      </c>
      <c r="C317" s="311" t="s">
        <v>27</v>
      </c>
      <c r="D317" s="1229" t="s">
        <v>3221</v>
      </c>
      <c r="E317" s="1221"/>
      <c r="F317" s="312" t="s">
        <v>3222</v>
      </c>
      <c r="G317" s="313">
        <v>44361</v>
      </c>
      <c r="H317" s="624"/>
      <c r="I317" s="625"/>
      <c r="J317" s="626"/>
      <c r="K317" s="627"/>
      <c r="L317" s="628"/>
      <c r="M317" s="629"/>
      <c r="N317" s="627"/>
      <c r="O317" s="628"/>
      <c r="P317" s="630"/>
      <c r="Q317" s="631"/>
      <c r="R317" s="715"/>
      <c r="S317" s="715"/>
      <c r="T317" s="632"/>
      <c r="U317" s="633"/>
      <c r="V317" s="634"/>
      <c r="W317" s="635"/>
      <c r="X317" s="636"/>
      <c r="Y317" s="637"/>
      <c r="Z317" s="725"/>
      <c r="AA317" s="636"/>
      <c r="AB317" s="1056"/>
      <c r="AC317" s="736" t="s">
        <v>3221</v>
      </c>
      <c r="AD317" s="317"/>
      <c r="AE317" s="669"/>
      <c r="AF317" s="704"/>
      <c r="AG317" s="211"/>
      <c r="AH317" s="210"/>
    </row>
    <row r="318" spans="1:34" s="4" customFormat="1">
      <c r="A318" s="2"/>
      <c r="B318" s="310" t="s">
        <v>106</v>
      </c>
      <c r="C318" s="311" t="s">
        <v>33</v>
      </c>
      <c r="D318" s="1220" t="s">
        <v>3223</v>
      </c>
      <c r="E318" s="1221"/>
      <c r="F318" s="312"/>
      <c r="G318" s="313"/>
      <c r="H318" s="624"/>
      <c r="I318" s="625"/>
      <c r="J318" s="626"/>
      <c r="K318" s="627" t="s">
        <v>3224</v>
      </c>
      <c r="L318" s="628">
        <v>44354</v>
      </c>
      <c r="M318" s="629">
        <v>1500</v>
      </c>
      <c r="N318" s="627" t="s">
        <v>3225</v>
      </c>
      <c r="O318" s="628">
        <v>44354</v>
      </c>
      <c r="P318" s="630" t="s">
        <v>3226</v>
      </c>
      <c r="Q318" s="631">
        <v>44358</v>
      </c>
      <c r="R318" s="715"/>
      <c r="S318" s="1068"/>
      <c r="T318" s="632">
        <v>5430.66</v>
      </c>
      <c r="U318" s="633" t="s">
        <v>3227</v>
      </c>
      <c r="V318" s="634">
        <v>44372</v>
      </c>
      <c r="W318" s="635" t="s">
        <v>2302</v>
      </c>
      <c r="X318" s="636">
        <v>5430.66</v>
      </c>
      <c r="Y318" s="637">
        <v>5430.66</v>
      </c>
      <c r="Z318" s="733">
        <f t="shared" ref="Z318:Z319" si="14">Y318/X318</f>
        <v>1</v>
      </c>
      <c r="AA318" s="919"/>
      <c r="AB318" s="1055">
        <v>0</v>
      </c>
      <c r="AC318" s="1231" t="s">
        <v>3223</v>
      </c>
      <c r="AD318" s="1232"/>
      <c r="AE318" s="669"/>
      <c r="AF318" s="704"/>
      <c r="AG318" s="211"/>
      <c r="AH318" s="210"/>
    </row>
    <row r="319" spans="1:34" s="4" customFormat="1">
      <c r="A319" s="2"/>
      <c r="B319" s="310" t="s">
        <v>106</v>
      </c>
      <c r="C319" s="311" t="s">
        <v>33</v>
      </c>
      <c r="D319" s="1220" t="s">
        <v>3228</v>
      </c>
      <c r="E319" s="1221"/>
      <c r="F319" s="312"/>
      <c r="G319" s="313"/>
      <c r="H319" s="624"/>
      <c r="I319" s="625"/>
      <c r="J319" s="626"/>
      <c r="K319" s="627" t="s">
        <v>3229</v>
      </c>
      <c r="L319" s="628">
        <v>44358</v>
      </c>
      <c r="M319" s="629">
        <v>5000</v>
      </c>
      <c r="N319" s="627" t="s">
        <v>3230</v>
      </c>
      <c r="O319" s="628">
        <v>44358</v>
      </c>
      <c r="P319" s="630" t="s">
        <v>3231</v>
      </c>
      <c r="Q319" s="631">
        <v>44389</v>
      </c>
      <c r="R319" s="715"/>
      <c r="S319" s="1068"/>
      <c r="T319" s="632">
        <v>9083.85</v>
      </c>
      <c r="U319" s="633" t="s">
        <v>3232</v>
      </c>
      <c r="V319" s="634">
        <v>44417</v>
      </c>
      <c r="W319" s="635" t="s">
        <v>109</v>
      </c>
      <c r="X319" s="636">
        <v>9083.85</v>
      </c>
      <c r="Y319" s="636">
        <v>9083.85</v>
      </c>
      <c r="Z319" s="733">
        <f t="shared" si="14"/>
        <v>1</v>
      </c>
      <c r="AA319" s="919"/>
      <c r="AB319" s="1055">
        <v>0</v>
      </c>
      <c r="AC319" s="1261" t="s">
        <v>3228</v>
      </c>
      <c r="AD319" s="1232"/>
      <c r="AE319" s="669"/>
      <c r="AF319" s="704"/>
      <c r="AG319" s="211"/>
      <c r="AH319" s="210"/>
    </row>
    <row r="320" spans="1:34" s="4" customFormat="1">
      <c r="A320" s="2"/>
      <c r="B320" s="310" t="s">
        <v>115</v>
      </c>
      <c r="C320" s="311" t="s">
        <v>27</v>
      </c>
      <c r="D320" s="1220"/>
      <c r="E320" s="1221"/>
      <c r="F320" s="312" t="s">
        <v>3233</v>
      </c>
      <c r="G320" s="313">
        <v>44362</v>
      </c>
      <c r="H320" s="624"/>
      <c r="I320" s="625"/>
      <c r="J320" s="626"/>
      <c r="K320" s="627"/>
      <c r="L320" s="628"/>
      <c r="M320" s="629"/>
      <c r="N320" s="627"/>
      <c r="O320" s="628"/>
      <c r="P320" s="630"/>
      <c r="Q320" s="631"/>
      <c r="R320" s="715"/>
      <c r="S320" s="715"/>
      <c r="T320" s="632"/>
      <c r="U320" s="633"/>
      <c r="V320" s="634"/>
      <c r="W320" s="635"/>
      <c r="X320" s="636"/>
      <c r="Y320" s="673"/>
      <c r="Z320" s="673"/>
      <c r="AA320" s="636"/>
      <c r="AB320" s="1056"/>
      <c r="AC320" s="1022" t="s">
        <v>3234</v>
      </c>
      <c r="AD320" s="317"/>
      <c r="AE320" s="669">
        <v>44369</v>
      </c>
      <c r="AF320" s="718"/>
      <c r="AG320" s="211"/>
      <c r="AH320" s="210"/>
    </row>
    <row r="321" spans="1:34" s="4" customFormat="1">
      <c r="A321" s="2"/>
      <c r="B321" s="310" t="s">
        <v>115</v>
      </c>
      <c r="C321" s="311" t="s">
        <v>27</v>
      </c>
      <c r="D321" s="1220"/>
      <c r="E321" s="1221"/>
      <c r="F321" s="312" t="s">
        <v>3235</v>
      </c>
      <c r="G321" s="313">
        <v>44364</v>
      </c>
      <c r="H321" s="624"/>
      <c r="I321" s="625"/>
      <c r="J321" s="626"/>
      <c r="K321" s="627"/>
      <c r="L321" s="628"/>
      <c r="M321" s="629"/>
      <c r="N321" s="627"/>
      <c r="O321" s="628"/>
      <c r="P321" s="630"/>
      <c r="Q321" s="631"/>
      <c r="R321" s="715"/>
      <c r="S321" s="715"/>
      <c r="T321" s="632"/>
      <c r="U321" s="633"/>
      <c r="V321" s="634"/>
      <c r="W321" s="635"/>
      <c r="X321" s="636"/>
      <c r="Y321" s="673"/>
      <c r="Z321" s="673"/>
      <c r="AA321" s="636"/>
      <c r="AB321" s="1056"/>
      <c r="AC321" s="1022" t="s">
        <v>3236</v>
      </c>
      <c r="AD321" s="317"/>
      <c r="AE321" s="669">
        <v>44372</v>
      </c>
      <c r="AF321" s="718"/>
      <c r="AG321" s="211"/>
      <c r="AH321" s="210"/>
    </row>
    <row r="322" spans="1:34" s="4" customFormat="1">
      <c r="A322" s="2"/>
      <c r="B322" s="310" t="s">
        <v>115</v>
      </c>
      <c r="C322" s="311" t="s">
        <v>27</v>
      </c>
      <c r="D322" s="1220"/>
      <c r="E322" s="1221"/>
      <c r="F322" s="312" t="s">
        <v>3237</v>
      </c>
      <c r="G322" s="313">
        <v>44365</v>
      </c>
      <c r="H322" s="624"/>
      <c r="I322" s="625"/>
      <c r="J322" s="626"/>
      <c r="K322" s="627"/>
      <c r="L322" s="628"/>
      <c r="M322" s="629"/>
      <c r="N322" s="627"/>
      <c r="O322" s="628"/>
      <c r="P322" s="630"/>
      <c r="Q322" s="631"/>
      <c r="R322" s="715"/>
      <c r="S322" s="715"/>
      <c r="T322" s="632"/>
      <c r="U322" s="633"/>
      <c r="V322" s="634"/>
      <c r="W322" s="635"/>
      <c r="X322" s="636"/>
      <c r="Y322" s="637"/>
      <c r="Z322" s="725"/>
      <c r="AA322" s="636"/>
      <c r="AB322" s="1056"/>
      <c r="AC322" s="736" t="s">
        <v>3238</v>
      </c>
      <c r="AD322" s="317"/>
      <c r="AE322" s="669">
        <v>44369</v>
      </c>
      <c r="AF322" s="718"/>
      <c r="AG322" s="211"/>
      <c r="AH322" s="210"/>
    </row>
    <row r="323" spans="1:34" s="4" customFormat="1">
      <c r="A323" s="2"/>
      <c r="B323" s="310" t="s">
        <v>115</v>
      </c>
      <c r="C323" s="311" t="s">
        <v>27</v>
      </c>
      <c r="D323" s="1220"/>
      <c r="E323" s="1221"/>
      <c r="F323" s="312" t="s">
        <v>3239</v>
      </c>
      <c r="G323" s="313">
        <v>44369</v>
      </c>
      <c r="H323" s="624"/>
      <c r="I323" s="625"/>
      <c r="J323" s="626"/>
      <c r="K323" s="627"/>
      <c r="L323" s="628"/>
      <c r="M323" s="629"/>
      <c r="N323" s="627"/>
      <c r="O323" s="628"/>
      <c r="P323" s="630"/>
      <c r="Q323" s="631"/>
      <c r="R323" s="715"/>
      <c r="S323" s="715"/>
      <c r="T323" s="632"/>
      <c r="U323" s="633"/>
      <c r="V323" s="634"/>
      <c r="W323" s="635"/>
      <c r="X323" s="636"/>
      <c r="Y323" s="637"/>
      <c r="Z323" s="725"/>
      <c r="AA323" s="636"/>
      <c r="AB323" s="1056"/>
      <c r="AC323" s="736" t="s">
        <v>3240</v>
      </c>
      <c r="AD323" s="317"/>
      <c r="AE323" s="669">
        <v>44370</v>
      </c>
      <c r="AF323" s="718"/>
      <c r="AG323" s="211"/>
      <c r="AH323" s="210"/>
    </row>
    <row r="324" spans="1:34" s="4" customFormat="1">
      <c r="A324" s="2"/>
      <c r="B324" s="310" t="s">
        <v>115</v>
      </c>
      <c r="C324" s="311" t="s">
        <v>27</v>
      </c>
      <c r="D324" s="1220"/>
      <c r="E324" s="1221"/>
      <c r="F324" s="312" t="s">
        <v>3241</v>
      </c>
      <c r="G324" s="313">
        <v>44370</v>
      </c>
      <c r="H324" s="624"/>
      <c r="I324" s="625"/>
      <c r="J324" s="626"/>
      <c r="K324" s="627"/>
      <c r="L324" s="628"/>
      <c r="M324" s="629"/>
      <c r="N324" s="627"/>
      <c r="O324" s="628"/>
      <c r="P324" s="630"/>
      <c r="Q324" s="631"/>
      <c r="R324" s="715"/>
      <c r="S324" s="715"/>
      <c r="T324" s="632"/>
      <c r="U324" s="633"/>
      <c r="V324" s="634"/>
      <c r="W324" s="635"/>
      <c r="X324" s="636"/>
      <c r="Y324" s="637"/>
      <c r="Z324" s="725"/>
      <c r="AA324" s="636"/>
      <c r="AB324" s="1056"/>
      <c r="AC324" s="736" t="s">
        <v>3242</v>
      </c>
      <c r="AD324" s="317"/>
      <c r="AE324" s="669">
        <v>44371</v>
      </c>
      <c r="AF324" s="718"/>
      <c r="AG324" s="211"/>
      <c r="AH324" s="210"/>
    </row>
    <row r="325" spans="1:34" s="4" customFormat="1">
      <c r="A325" s="2"/>
      <c r="B325" s="310" t="s">
        <v>115</v>
      </c>
      <c r="C325" s="311" t="s">
        <v>27</v>
      </c>
      <c r="D325" s="1220"/>
      <c r="E325" s="1221"/>
      <c r="F325" s="312" t="s">
        <v>3243</v>
      </c>
      <c r="G325" s="313">
        <v>44370</v>
      </c>
      <c r="H325" s="624"/>
      <c r="I325" s="625"/>
      <c r="J325" s="626"/>
      <c r="K325" s="627"/>
      <c r="L325" s="628"/>
      <c r="M325" s="629"/>
      <c r="N325" s="627"/>
      <c r="O325" s="628"/>
      <c r="P325" s="630"/>
      <c r="Q325" s="631"/>
      <c r="R325" s="715"/>
      <c r="S325" s="715"/>
      <c r="T325" s="632"/>
      <c r="U325" s="633"/>
      <c r="V325" s="634"/>
      <c r="W325" s="635"/>
      <c r="X325" s="636"/>
      <c r="Y325" s="637"/>
      <c r="Z325" s="725"/>
      <c r="AA325" s="636"/>
      <c r="AB325" s="1056"/>
      <c r="AC325" s="736" t="s">
        <v>3244</v>
      </c>
      <c r="AD325" s="317"/>
      <c r="AE325" s="669">
        <v>44375</v>
      </c>
      <c r="AF325" s="704"/>
      <c r="AG325" s="211"/>
      <c r="AH325" s="210"/>
    </row>
    <row r="326" spans="1:34" s="4" customFormat="1">
      <c r="A326" s="2"/>
      <c r="B326" s="310" t="s">
        <v>115</v>
      </c>
      <c r="C326" s="311" t="s">
        <v>27</v>
      </c>
      <c r="D326" s="1220"/>
      <c r="E326" s="1221"/>
      <c r="F326" s="312" t="s">
        <v>3245</v>
      </c>
      <c r="G326" s="313">
        <v>44370</v>
      </c>
      <c r="H326" s="624"/>
      <c r="I326" s="625"/>
      <c r="J326" s="626"/>
      <c r="K326" s="627"/>
      <c r="L326" s="628"/>
      <c r="M326" s="629"/>
      <c r="N326" s="627"/>
      <c r="O326" s="628"/>
      <c r="P326" s="630"/>
      <c r="Q326" s="631"/>
      <c r="R326" s="715"/>
      <c r="S326" s="715"/>
      <c r="T326" s="632"/>
      <c r="U326" s="633"/>
      <c r="V326" s="634"/>
      <c r="W326" s="635"/>
      <c r="X326" s="636"/>
      <c r="Y326" s="637"/>
      <c r="Z326" s="725"/>
      <c r="AA326" s="636"/>
      <c r="AB326" s="1056"/>
      <c r="AC326" s="736" t="s">
        <v>3246</v>
      </c>
      <c r="AD326" s="317"/>
      <c r="AE326" s="669">
        <v>44376</v>
      </c>
      <c r="AF326" s="718"/>
      <c r="AG326" s="211"/>
      <c r="AH326" s="210"/>
    </row>
    <row r="327" spans="1:34" s="4" customFormat="1">
      <c r="A327" s="2"/>
      <c r="B327" s="310" t="s">
        <v>106</v>
      </c>
      <c r="C327" s="311" t="s">
        <v>33</v>
      </c>
      <c r="D327" s="1220" t="s">
        <v>3247</v>
      </c>
      <c r="E327" s="1221"/>
      <c r="F327" s="312" t="s">
        <v>3248</v>
      </c>
      <c r="G327" s="313">
        <v>44370</v>
      </c>
      <c r="H327" s="624"/>
      <c r="I327" s="625"/>
      <c r="J327" s="626"/>
      <c r="K327" s="627" t="s">
        <v>3249</v>
      </c>
      <c r="L327" s="628">
        <v>44412</v>
      </c>
      <c r="M327" s="629">
        <v>5000</v>
      </c>
      <c r="N327" s="627" t="s">
        <v>3250</v>
      </c>
      <c r="O327" s="628">
        <v>44662</v>
      </c>
      <c r="P327" s="630" t="s">
        <v>3251</v>
      </c>
      <c r="Q327" s="631"/>
      <c r="R327" s="715"/>
      <c r="S327" s="1068"/>
      <c r="T327" s="632">
        <v>43246.21</v>
      </c>
      <c r="U327" s="633" t="s">
        <v>3252</v>
      </c>
      <c r="V327" s="634">
        <v>44727</v>
      </c>
      <c r="W327" s="635" t="s">
        <v>2302</v>
      </c>
      <c r="X327" s="636">
        <v>43246.21</v>
      </c>
      <c r="Y327" s="636">
        <v>43246.21</v>
      </c>
      <c r="Z327" s="733">
        <f t="shared" ref="Z327" si="15">Y327/X327</f>
        <v>1</v>
      </c>
      <c r="AA327" s="636"/>
      <c r="AB327" s="1055">
        <v>0</v>
      </c>
      <c r="AC327" s="912" t="s">
        <v>3253</v>
      </c>
      <c r="AD327" s="913"/>
      <c r="AE327" s="669">
        <v>44376</v>
      </c>
      <c r="AF327" s="704"/>
      <c r="AG327" s="211"/>
      <c r="AH327" s="210"/>
    </row>
    <row r="328" spans="1:34" s="4" customFormat="1">
      <c r="A328" s="2"/>
      <c r="B328" s="310" t="s">
        <v>106</v>
      </c>
      <c r="C328" s="311" t="s">
        <v>33</v>
      </c>
      <c r="D328" s="1220" t="s">
        <v>3254</v>
      </c>
      <c r="E328" s="1221"/>
      <c r="F328" s="312" t="s">
        <v>3255</v>
      </c>
      <c r="G328" s="313">
        <v>44372</v>
      </c>
      <c r="H328" s="624"/>
      <c r="I328" s="625"/>
      <c r="J328" s="626"/>
      <c r="K328" s="627" t="s">
        <v>3256</v>
      </c>
      <c r="L328" s="628">
        <v>44421</v>
      </c>
      <c r="M328" s="629">
        <v>6000</v>
      </c>
      <c r="N328" s="627" t="s">
        <v>3257</v>
      </c>
      <c r="O328" s="628">
        <v>44424</v>
      </c>
      <c r="P328" s="630" t="s">
        <v>3258</v>
      </c>
      <c r="Q328" s="631">
        <v>44452</v>
      </c>
      <c r="R328" s="715">
        <v>44524</v>
      </c>
      <c r="S328" s="990"/>
      <c r="T328" s="1074">
        <v>101701.7</v>
      </c>
      <c r="U328" s="633" t="s">
        <v>3259</v>
      </c>
      <c r="V328" s="634">
        <v>44518</v>
      </c>
      <c r="W328" s="635" t="s">
        <v>2302</v>
      </c>
      <c r="X328" s="636">
        <v>101701.7</v>
      </c>
      <c r="Y328" s="636">
        <v>101701.7</v>
      </c>
      <c r="Z328" s="733">
        <f>Y328/X328</f>
        <v>1</v>
      </c>
      <c r="AA328" s="919"/>
      <c r="AB328" s="1055">
        <v>0</v>
      </c>
      <c r="AC328" s="912" t="s">
        <v>3260</v>
      </c>
      <c r="AD328" s="913"/>
      <c r="AE328" s="669">
        <v>44377</v>
      </c>
      <c r="AF328" s="704"/>
      <c r="AG328" s="211"/>
      <c r="AH328" s="210"/>
    </row>
    <row r="329" spans="1:34" s="4" customFormat="1">
      <c r="A329" s="2"/>
      <c r="B329" s="668"/>
      <c r="C329" s="668"/>
      <c r="D329" s="1220"/>
      <c r="E329" s="1221"/>
      <c r="F329" s="690"/>
      <c r="G329" s="313"/>
      <c r="H329" s="624"/>
      <c r="I329" s="625"/>
      <c r="J329" s="626"/>
      <c r="K329" s="627"/>
      <c r="L329" s="628"/>
      <c r="M329" s="629"/>
      <c r="N329" s="627"/>
      <c r="O329" s="628"/>
      <c r="P329" s="630"/>
      <c r="Q329" s="631"/>
      <c r="R329" s="715"/>
      <c r="S329" s="715"/>
      <c r="T329" s="632"/>
      <c r="U329" s="633"/>
      <c r="V329" s="634"/>
      <c r="W329" s="635"/>
      <c r="X329" s="636"/>
      <c r="Y329" s="637"/>
      <c r="Z329" s="725"/>
      <c r="AA329" s="636"/>
      <c r="AB329" s="1056"/>
      <c r="AC329" s="736" t="s">
        <v>3261</v>
      </c>
      <c r="AD329" s="317"/>
      <c r="AE329" s="669">
        <v>44378</v>
      </c>
      <c r="AF329" s="704"/>
      <c r="AG329" s="211"/>
      <c r="AH329" s="210"/>
    </row>
    <row r="330" spans="1:34" s="4" customFormat="1">
      <c r="A330" s="2"/>
      <c r="B330" s="668"/>
      <c r="C330" s="668"/>
      <c r="D330" s="1220"/>
      <c r="E330" s="1221"/>
      <c r="F330" s="690"/>
      <c r="G330" s="313"/>
      <c r="H330" s="624"/>
      <c r="I330" s="625"/>
      <c r="J330" s="626"/>
      <c r="K330" s="627"/>
      <c r="L330" s="628"/>
      <c r="M330" s="629"/>
      <c r="N330" s="627"/>
      <c r="O330" s="628"/>
      <c r="P330" s="630"/>
      <c r="Q330" s="631"/>
      <c r="R330" s="715"/>
      <c r="S330" s="715"/>
      <c r="T330" s="632"/>
      <c r="U330" s="633"/>
      <c r="V330" s="634"/>
      <c r="W330" s="635"/>
      <c r="X330" s="636"/>
      <c r="Y330" s="637"/>
      <c r="Z330" s="725"/>
      <c r="AA330" s="636"/>
      <c r="AB330" s="1056"/>
      <c r="AC330" s="736"/>
      <c r="AE330" s="669">
        <v>44380</v>
      </c>
      <c r="AF330" s="704"/>
      <c r="AG330" s="211"/>
      <c r="AH330" s="210"/>
    </row>
    <row r="331" spans="1:34" s="4" customFormat="1">
      <c r="A331" s="2"/>
      <c r="B331" s="310" t="s">
        <v>106</v>
      </c>
      <c r="C331" s="311" t="s">
        <v>33</v>
      </c>
      <c r="D331" s="1220" t="s">
        <v>3262</v>
      </c>
      <c r="E331" s="1221"/>
      <c r="F331" s="312"/>
      <c r="G331" s="313"/>
      <c r="H331" s="624"/>
      <c r="I331" s="625"/>
      <c r="J331" s="626"/>
      <c r="K331" s="627" t="s">
        <v>3263</v>
      </c>
      <c r="L331" s="628">
        <v>44371</v>
      </c>
      <c r="M331" s="629">
        <v>-5000</v>
      </c>
      <c r="N331" s="627" t="s">
        <v>3264</v>
      </c>
      <c r="O331" s="628">
        <v>44371</v>
      </c>
      <c r="P331" s="630" t="s">
        <v>3265</v>
      </c>
      <c r="Q331" s="631">
        <v>44419</v>
      </c>
      <c r="R331" s="715"/>
      <c r="S331" s="1068"/>
      <c r="T331" s="632">
        <v>-21972.639999999999</v>
      </c>
      <c r="U331" s="633" t="s">
        <v>3266</v>
      </c>
      <c r="V331" s="634">
        <v>44434</v>
      </c>
      <c r="W331" s="635" t="s">
        <v>2302</v>
      </c>
      <c r="X331" s="636">
        <v>-21972.639999999999</v>
      </c>
      <c r="Y331" s="636">
        <v>-21972.639999999999</v>
      </c>
      <c r="Z331" s="733">
        <f t="shared" ref="Z331:Z334" si="16">Y331/X331</f>
        <v>1</v>
      </c>
      <c r="AA331" s="919"/>
      <c r="AB331" s="1055">
        <v>0</v>
      </c>
      <c r="AC331" s="912"/>
      <c r="AD331" s="913"/>
      <c r="AE331" s="669"/>
      <c r="AF331" s="704"/>
      <c r="AG331" s="211"/>
      <c r="AH331" s="210"/>
    </row>
    <row r="332" spans="1:34" s="4" customFormat="1">
      <c r="A332" s="2"/>
      <c r="B332" s="310" t="s">
        <v>106</v>
      </c>
      <c r="C332" s="311" t="s">
        <v>33</v>
      </c>
      <c r="D332" s="1220" t="s">
        <v>3267</v>
      </c>
      <c r="E332" s="1221"/>
      <c r="F332" s="312"/>
      <c r="G332" s="313"/>
      <c r="H332" s="624"/>
      <c r="I332" s="625"/>
      <c r="J332" s="626"/>
      <c r="K332" s="627" t="s">
        <v>3268</v>
      </c>
      <c r="L332" s="628">
        <v>44371</v>
      </c>
      <c r="M332" s="629">
        <v>5000</v>
      </c>
      <c r="N332" s="627" t="s">
        <v>3269</v>
      </c>
      <c r="O332" s="628">
        <v>44372</v>
      </c>
      <c r="P332" s="630" t="s">
        <v>3270</v>
      </c>
      <c r="Q332" s="631">
        <v>44390</v>
      </c>
      <c r="R332" s="715"/>
      <c r="S332" s="1068"/>
      <c r="T332" s="632">
        <v>5125.0600000000004</v>
      </c>
      <c r="U332" s="633" t="s">
        <v>3271</v>
      </c>
      <c r="V332" s="634">
        <v>44508</v>
      </c>
      <c r="W332" s="635" t="s">
        <v>2302</v>
      </c>
      <c r="X332" s="636">
        <v>5125.0600000000004</v>
      </c>
      <c r="Y332" s="636">
        <v>5125.0600000000004</v>
      </c>
      <c r="Z332" s="733">
        <f t="shared" si="16"/>
        <v>1</v>
      </c>
      <c r="AA332" s="919"/>
      <c r="AB332" s="1055">
        <v>0</v>
      </c>
      <c r="AC332" s="912"/>
      <c r="AD332" s="913" t="s">
        <v>3272</v>
      </c>
      <c r="AE332" s="669"/>
      <c r="AF332" s="704"/>
      <c r="AG332" s="211"/>
      <c r="AH332" s="210"/>
    </row>
    <row r="333" spans="1:34" s="4" customFormat="1">
      <c r="A333" s="2"/>
      <c r="B333" s="310" t="s">
        <v>106</v>
      </c>
      <c r="C333" s="311" t="s">
        <v>33</v>
      </c>
      <c r="D333" s="1220" t="s">
        <v>3273</v>
      </c>
      <c r="E333" s="1221"/>
      <c r="F333" s="312"/>
      <c r="G333" s="313"/>
      <c r="H333" s="624"/>
      <c r="I333" s="625"/>
      <c r="J333" s="626"/>
      <c r="K333" s="627" t="s">
        <v>3274</v>
      </c>
      <c r="L333" s="628">
        <v>44372</v>
      </c>
      <c r="M333" s="629">
        <v>500</v>
      </c>
      <c r="N333" s="627" t="s">
        <v>3275</v>
      </c>
      <c r="O333" s="628">
        <v>44372</v>
      </c>
      <c r="P333" s="630" t="s">
        <v>3276</v>
      </c>
      <c r="Q333" s="631">
        <v>44389</v>
      </c>
      <c r="R333" s="715"/>
      <c r="S333" s="1068"/>
      <c r="T333" s="632">
        <v>2756.59</v>
      </c>
      <c r="U333" s="633" t="s">
        <v>3277</v>
      </c>
      <c r="V333" s="634">
        <v>44432</v>
      </c>
      <c r="W333" s="635" t="s">
        <v>2302</v>
      </c>
      <c r="X333" s="636">
        <v>2756.59</v>
      </c>
      <c r="Y333" s="636">
        <v>2756.59</v>
      </c>
      <c r="Z333" s="733">
        <f t="shared" si="16"/>
        <v>1</v>
      </c>
      <c r="AA333" s="919"/>
      <c r="AB333" s="1055">
        <v>0</v>
      </c>
      <c r="AC333" s="912"/>
      <c r="AD333" s="913" t="s">
        <v>3278</v>
      </c>
      <c r="AE333" s="669"/>
      <c r="AF333" s="704"/>
      <c r="AG333" s="211"/>
      <c r="AH333" s="210"/>
    </row>
    <row r="334" spans="1:34" s="4" customFormat="1">
      <c r="A334" s="2"/>
      <c r="B334" s="310" t="s">
        <v>106</v>
      </c>
      <c r="C334" s="311" t="s">
        <v>33</v>
      </c>
      <c r="D334" s="1220" t="s">
        <v>3279</v>
      </c>
      <c r="E334" s="1221"/>
      <c r="F334" s="312"/>
      <c r="G334" s="313"/>
      <c r="H334" s="624"/>
      <c r="I334" s="625"/>
      <c r="J334" s="626"/>
      <c r="K334" s="627" t="s">
        <v>3280</v>
      </c>
      <c r="L334" s="628">
        <v>44372</v>
      </c>
      <c r="M334" s="629">
        <v>2000</v>
      </c>
      <c r="N334" s="627" t="s">
        <v>3281</v>
      </c>
      <c r="O334" s="628">
        <v>44376</v>
      </c>
      <c r="P334" s="630" t="s">
        <v>3282</v>
      </c>
      <c r="Q334" s="631">
        <v>44386</v>
      </c>
      <c r="R334" s="715"/>
      <c r="S334" s="1068"/>
      <c r="T334" s="632">
        <v>2645.5</v>
      </c>
      <c r="U334" s="633" t="s">
        <v>3283</v>
      </c>
      <c r="V334" s="634">
        <v>44419</v>
      </c>
      <c r="W334" s="635" t="s">
        <v>2302</v>
      </c>
      <c r="X334" s="636">
        <v>2645.5</v>
      </c>
      <c r="Y334" s="636">
        <v>2645.5</v>
      </c>
      <c r="Z334" s="733">
        <f t="shared" si="16"/>
        <v>1</v>
      </c>
      <c r="AA334" s="919"/>
      <c r="AB334" s="1055">
        <v>0</v>
      </c>
      <c r="AC334" s="1231" t="s">
        <v>3279</v>
      </c>
      <c r="AD334" s="1232"/>
      <c r="AE334" s="669"/>
      <c r="AF334" s="704"/>
      <c r="AG334" s="211"/>
      <c r="AH334" s="210"/>
    </row>
    <row r="335" spans="1:34" s="4" customFormat="1">
      <c r="A335" s="2"/>
      <c r="B335" s="310" t="s">
        <v>115</v>
      </c>
      <c r="C335" s="311" t="s">
        <v>27</v>
      </c>
      <c r="D335" s="1220"/>
      <c r="E335" s="1221"/>
      <c r="F335" s="312" t="s">
        <v>3284</v>
      </c>
      <c r="G335" s="313">
        <v>44375</v>
      </c>
      <c r="H335" s="624"/>
      <c r="I335" s="625"/>
      <c r="J335" s="626"/>
      <c r="K335" s="627"/>
      <c r="L335" s="628"/>
      <c r="M335" s="629"/>
      <c r="N335" s="627"/>
      <c r="O335" s="628"/>
      <c r="P335" s="630"/>
      <c r="Q335" s="631"/>
      <c r="R335" s="715"/>
      <c r="S335" s="715"/>
      <c r="T335" s="632"/>
      <c r="U335" s="633"/>
      <c r="V335" s="634"/>
      <c r="W335" s="635"/>
      <c r="X335" s="636"/>
      <c r="Y335" s="637"/>
      <c r="Z335" s="725"/>
      <c r="AA335" s="636"/>
      <c r="AB335" s="1056"/>
      <c r="AC335" s="736" t="s">
        <v>3285</v>
      </c>
      <c r="AD335" s="317"/>
      <c r="AE335" s="669"/>
      <c r="AF335" s="718"/>
      <c r="AG335" s="211"/>
      <c r="AH335" s="210"/>
    </row>
    <row r="336" spans="1:34" s="4" customFormat="1">
      <c r="A336" s="2"/>
      <c r="B336" s="310" t="s">
        <v>115</v>
      </c>
      <c r="C336" s="311" t="s">
        <v>27</v>
      </c>
      <c r="D336" s="1220"/>
      <c r="E336" s="1221"/>
      <c r="F336" s="312" t="s">
        <v>3286</v>
      </c>
      <c r="G336" s="313">
        <v>44376</v>
      </c>
      <c r="H336" s="624"/>
      <c r="I336" s="625"/>
      <c r="J336" s="626"/>
      <c r="K336" s="627"/>
      <c r="L336" s="628"/>
      <c r="M336" s="629"/>
      <c r="N336" s="627"/>
      <c r="O336" s="628"/>
      <c r="P336" s="630"/>
      <c r="Q336" s="631"/>
      <c r="R336" s="715"/>
      <c r="S336" s="715"/>
      <c r="T336" s="632"/>
      <c r="U336" s="633"/>
      <c r="V336" s="634"/>
      <c r="W336" s="635"/>
      <c r="X336" s="636"/>
      <c r="Y336" s="637"/>
      <c r="Z336" s="725"/>
      <c r="AA336" s="636"/>
      <c r="AB336" s="1056"/>
      <c r="AC336" s="736" t="s">
        <v>3287</v>
      </c>
      <c r="AD336" s="317"/>
      <c r="AE336" s="669"/>
      <c r="AF336" s="718"/>
      <c r="AG336" s="211"/>
      <c r="AH336" s="210"/>
    </row>
    <row r="337" spans="1:34" s="4" customFormat="1">
      <c r="A337" s="2"/>
      <c r="B337" s="310" t="s">
        <v>115</v>
      </c>
      <c r="C337" s="311" t="s">
        <v>27</v>
      </c>
      <c r="D337" s="1220"/>
      <c r="E337" s="1221"/>
      <c r="F337" s="312" t="s">
        <v>3288</v>
      </c>
      <c r="G337" s="313">
        <v>44377</v>
      </c>
      <c r="H337" s="624"/>
      <c r="I337" s="625"/>
      <c r="J337" s="626"/>
      <c r="K337" s="627"/>
      <c r="L337" s="628"/>
      <c r="M337" s="629"/>
      <c r="N337" s="627"/>
      <c r="O337" s="628"/>
      <c r="P337" s="630"/>
      <c r="Q337" s="631"/>
      <c r="R337" s="715"/>
      <c r="S337" s="715"/>
      <c r="T337" s="632"/>
      <c r="U337" s="633"/>
      <c r="V337" s="634"/>
      <c r="W337" s="635"/>
      <c r="X337" s="636"/>
      <c r="Y337" s="637"/>
      <c r="Z337" s="725"/>
      <c r="AA337" s="636"/>
      <c r="AB337" s="1056"/>
      <c r="AC337" s="736" t="s">
        <v>3289</v>
      </c>
      <c r="AD337" s="317"/>
      <c r="AE337" s="669"/>
      <c r="AF337" s="718"/>
      <c r="AG337" s="211"/>
      <c r="AH337" s="210"/>
    </row>
    <row r="338" spans="1:34" s="4" customFormat="1">
      <c r="A338" s="2"/>
      <c r="B338" s="310" t="s">
        <v>110</v>
      </c>
      <c r="C338" s="311" t="s">
        <v>27</v>
      </c>
      <c r="D338" s="1220"/>
      <c r="E338" s="1221"/>
      <c r="F338" s="312" t="s">
        <v>3290</v>
      </c>
      <c r="G338" s="313">
        <v>44370</v>
      </c>
      <c r="H338" s="624"/>
      <c r="I338" s="625"/>
      <c r="J338" s="626"/>
      <c r="K338" s="627"/>
      <c r="L338" s="628"/>
      <c r="M338" s="629"/>
      <c r="N338" s="627" t="s">
        <v>3039</v>
      </c>
      <c r="O338" s="628">
        <v>44333</v>
      </c>
      <c r="P338" s="630" t="s">
        <v>268</v>
      </c>
      <c r="Q338" s="631"/>
      <c r="R338" s="715"/>
      <c r="S338" s="715"/>
      <c r="T338" s="632">
        <v>0</v>
      </c>
      <c r="U338" s="633"/>
      <c r="V338" s="634"/>
      <c r="W338" s="635"/>
      <c r="X338" s="636"/>
      <c r="Y338" s="637"/>
      <c r="Z338" s="725"/>
      <c r="AA338" s="636"/>
      <c r="AB338" s="1056"/>
      <c r="AC338" s="736" t="s">
        <v>3291</v>
      </c>
      <c r="AD338" s="317" t="s">
        <v>3292</v>
      </c>
      <c r="AE338" s="669"/>
      <c r="AF338" s="704"/>
      <c r="AG338" s="211"/>
      <c r="AH338" s="210"/>
    </row>
    <row r="339" spans="1:34" s="4" customFormat="1">
      <c r="A339" s="2"/>
      <c r="B339" s="310" t="s">
        <v>119</v>
      </c>
      <c r="C339" s="311" t="s">
        <v>27</v>
      </c>
      <c r="D339" s="687"/>
      <c r="E339" s="688"/>
      <c r="F339" s="312" t="s">
        <v>3293</v>
      </c>
      <c r="G339" s="313">
        <v>44370</v>
      </c>
      <c r="H339" s="624"/>
      <c r="I339" s="625"/>
      <c r="J339" s="626"/>
      <c r="K339" s="627"/>
      <c r="L339" s="628"/>
      <c r="M339" s="629"/>
      <c r="N339" s="627"/>
      <c r="O339" s="628"/>
      <c r="P339" s="630"/>
      <c r="Q339" s="631"/>
      <c r="R339" s="715"/>
      <c r="S339" s="715"/>
      <c r="T339" s="632"/>
      <c r="U339" s="633"/>
      <c r="V339" s="634"/>
      <c r="W339" s="635"/>
      <c r="X339" s="636"/>
      <c r="Y339" s="637"/>
      <c r="Z339" s="725"/>
      <c r="AA339" s="636"/>
      <c r="AB339" s="1056"/>
      <c r="AC339" s="736" t="s">
        <v>3294</v>
      </c>
      <c r="AD339" s="317"/>
      <c r="AE339" s="669"/>
      <c r="AF339" s="704"/>
      <c r="AG339" s="211"/>
      <c r="AH339" s="210"/>
    </row>
    <row r="340" spans="1:34" s="4" customFormat="1">
      <c r="A340" s="2"/>
      <c r="B340" s="310" t="s">
        <v>119</v>
      </c>
      <c r="C340" s="311" t="s">
        <v>27</v>
      </c>
      <c r="D340" s="687"/>
      <c r="E340" s="688"/>
      <c r="F340" s="312" t="s">
        <v>3295</v>
      </c>
      <c r="G340" s="313">
        <v>44372</v>
      </c>
      <c r="H340" s="624"/>
      <c r="I340" s="625"/>
      <c r="J340" s="626"/>
      <c r="K340" s="627"/>
      <c r="L340" s="628"/>
      <c r="M340" s="629"/>
      <c r="N340" s="627"/>
      <c r="O340" s="628"/>
      <c r="P340" s="630"/>
      <c r="Q340" s="631"/>
      <c r="R340" s="715"/>
      <c r="S340" s="715"/>
      <c r="T340" s="632"/>
      <c r="U340" s="633"/>
      <c r="V340" s="634"/>
      <c r="W340" s="635"/>
      <c r="X340" s="636"/>
      <c r="Y340" s="637"/>
      <c r="Z340" s="725"/>
      <c r="AA340" s="636"/>
      <c r="AB340" s="1056"/>
      <c r="AC340" s="736" t="s">
        <v>3296</v>
      </c>
      <c r="AD340" s="317"/>
      <c r="AE340" s="669"/>
      <c r="AF340" s="704"/>
      <c r="AG340" s="211"/>
      <c r="AH340" s="210"/>
    </row>
    <row r="341" spans="1:34" s="4" customFormat="1">
      <c r="A341" s="2"/>
      <c r="B341" s="310" t="s">
        <v>119</v>
      </c>
      <c r="C341" s="311" t="s">
        <v>27</v>
      </c>
      <c r="D341" s="687"/>
      <c r="E341" s="688"/>
      <c r="F341" s="312" t="s">
        <v>3297</v>
      </c>
      <c r="G341" s="313">
        <v>44372</v>
      </c>
      <c r="H341" s="624"/>
      <c r="I341" s="625"/>
      <c r="J341" s="626"/>
      <c r="K341" s="627"/>
      <c r="L341" s="628"/>
      <c r="M341" s="629"/>
      <c r="N341" s="627"/>
      <c r="O341" s="628"/>
      <c r="P341" s="630"/>
      <c r="Q341" s="631"/>
      <c r="R341" s="715"/>
      <c r="S341" s="715"/>
      <c r="T341" s="632"/>
      <c r="U341" s="633"/>
      <c r="V341" s="634"/>
      <c r="W341" s="635"/>
      <c r="X341" s="636"/>
      <c r="Y341" s="637"/>
      <c r="Z341" s="725"/>
      <c r="AA341" s="636"/>
      <c r="AB341" s="1056"/>
      <c r="AC341" s="736" t="s">
        <v>3298</v>
      </c>
      <c r="AD341" s="317"/>
      <c r="AE341" s="669"/>
      <c r="AF341" s="704"/>
      <c r="AG341" s="211"/>
      <c r="AH341" s="210"/>
    </row>
    <row r="342" spans="1:34" s="4" customFormat="1">
      <c r="A342" s="2"/>
      <c r="B342" s="310" t="s">
        <v>119</v>
      </c>
      <c r="C342" s="311" t="s">
        <v>27</v>
      </c>
      <c r="D342" s="687"/>
      <c r="E342" s="688"/>
      <c r="F342" s="312" t="s">
        <v>3299</v>
      </c>
      <c r="G342" s="313">
        <v>44372</v>
      </c>
      <c r="H342" s="624"/>
      <c r="I342" s="625"/>
      <c r="J342" s="626"/>
      <c r="K342" s="627"/>
      <c r="L342" s="628"/>
      <c r="M342" s="629"/>
      <c r="N342" s="627"/>
      <c r="O342" s="628"/>
      <c r="P342" s="630"/>
      <c r="Q342" s="631"/>
      <c r="R342" s="715"/>
      <c r="S342" s="715"/>
      <c r="T342" s="632"/>
      <c r="U342" s="633"/>
      <c r="V342" s="634"/>
      <c r="W342" s="635"/>
      <c r="X342" s="636"/>
      <c r="Y342" s="637"/>
      <c r="Z342" s="921"/>
      <c r="AA342" s="636"/>
      <c r="AB342" s="1056"/>
      <c r="AC342" s="736" t="s">
        <v>3300</v>
      </c>
      <c r="AD342" s="317"/>
      <c r="AE342" s="669"/>
      <c r="AF342" s="704"/>
      <c r="AG342" s="211"/>
      <c r="AH342" s="210"/>
    </row>
    <row r="343" spans="1:34" s="4" customFormat="1">
      <c r="A343" s="2"/>
      <c r="B343" s="310" t="s">
        <v>106</v>
      </c>
      <c r="C343" s="311" t="s">
        <v>33</v>
      </c>
      <c r="D343" s="1222" t="s">
        <v>3301</v>
      </c>
      <c r="E343" s="1224"/>
      <c r="F343" s="312" t="s">
        <v>2368</v>
      </c>
      <c r="G343" s="313">
        <v>44140</v>
      </c>
      <c r="H343" s="624" t="s">
        <v>3302</v>
      </c>
      <c r="I343" s="625">
        <v>44182</v>
      </c>
      <c r="J343" s="626">
        <v>350000</v>
      </c>
      <c r="K343" s="627" t="s">
        <v>3303</v>
      </c>
      <c r="L343" s="628">
        <v>44182</v>
      </c>
      <c r="M343" s="629">
        <v>350000</v>
      </c>
      <c r="N343" s="627" t="s">
        <v>2378</v>
      </c>
      <c r="O343" s="628">
        <v>44182</v>
      </c>
      <c r="P343" s="630" t="s">
        <v>2371</v>
      </c>
      <c r="Q343" s="631">
        <v>44361</v>
      </c>
      <c r="R343" s="715"/>
      <c r="S343" s="1068"/>
      <c r="T343" s="632">
        <v>20823.919999999998</v>
      </c>
      <c r="U343" s="633" t="s">
        <v>3304</v>
      </c>
      <c r="V343" s="634">
        <v>44400</v>
      </c>
      <c r="W343" s="635" t="s">
        <v>2302</v>
      </c>
      <c r="X343" s="636">
        <v>20823.919999999998</v>
      </c>
      <c r="Y343" s="637">
        <v>20823.919999999998</v>
      </c>
      <c r="Z343" s="987">
        <f t="shared" ref="Z343:Z347" si="17">Y343/X343</f>
        <v>1</v>
      </c>
      <c r="AA343" s="919"/>
      <c r="AB343" s="1055">
        <v>0</v>
      </c>
      <c r="AC343" s="912" t="s">
        <v>3305</v>
      </c>
      <c r="AD343" s="913"/>
      <c r="AE343" s="316"/>
      <c r="AF343" s="704"/>
      <c r="AG343" s="211"/>
      <c r="AH343" s="210"/>
    </row>
    <row r="344" spans="1:34" s="4" customFormat="1">
      <c r="A344" s="2"/>
      <c r="B344" s="310" t="s">
        <v>106</v>
      </c>
      <c r="C344" s="311" t="s">
        <v>33</v>
      </c>
      <c r="D344" s="1222" t="s">
        <v>3306</v>
      </c>
      <c r="E344" s="1224"/>
      <c r="F344" s="312"/>
      <c r="G344" s="313"/>
      <c r="H344" s="624"/>
      <c r="I344" s="625"/>
      <c r="J344" s="626"/>
      <c r="K344" s="627" t="s">
        <v>3307</v>
      </c>
      <c r="L344" s="628">
        <v>44182</v>
      </c>
      <c r="M344" s="629">
        <v>350000</v>
      </c>
      <c r="N344" s="627" t="s">
        <v>2378</v>
      </c>
      <c r="O344" s="628">
        <v>44182</v>
      </c>
      <c r="P344" s="630" t="s">
        <v>2371</v>
      </c>
      <c r="Q344" s="631">
        <v>44361</v>
      </c>
      <c r="R344" s="715"/>
      <c r="S344" s="1068"/>
      <c r="T344" s="632">
        <v>169586.34</v>
      </c>
      <c r="U344" s="633" t="s">
        <v>3308</v>
      </c>
      <c r="V344" s="634">
        <v>44523</v>
      </c>
      <c r="W344" s="635" t="s">
        <v>2302</v>
      </c>
      <c r="X344" s="636">
        <v>169586.34</v>
      </c>
      <c r="Y344" s="637">
        <v>169586.34</v>
      </c>
      <c r="Z344" s="987">
        <f t="shared" si="17"/>
        <v>1</v>
      </c>
      <c r="AA344" s="919"/>
      <c r="AB344" s="1055">
        <v>0</v>
      </c>
      <c r="AC344" s="912"/>
      <c r="AD344" s="913"/>
      <c r="AE344" s="316"/>
      <c r="AF344" s="704"/>
      <c r="AG344" s="211"/>
      <c r="AH344" s="210"/>
    </row>
    <row r="345" spans="1:34" s="4" customFormat="1" ht="27.95">
      <c r="A345" s="2"/>
      <c r="B345" s="310" t="s">
        <v>106</v>
      </c>
      <c r="C345" s="311" t="s">
        <v>33</v>
      </c>
      <c r="D345" s="687" t="s">
        <v>3309</v>
      </c>
      <c r="E345" s="688"/>
      <c r="F345" s="312"/>
      <c r="G345" s="313"/>
      <c r="H345" s="624" t="s">
        <v>3310</v>
      </c>
      <c r="I345" s="625">
        <v>44405</v>
      </c>
      <c r="J345" s="626">
        <v>400000</v>
      </c>
      <c r="K345" s="627" t="s">
        <v>3311</v>
      </c>
      <c r="L345" s="628">
        <v>44404</v>
      </c>
      <c r="M345" s="629">
        <v>400000</v>
      </c>
      <c r="N345" s="627" t="s">
        <v>3312</v>
      </c>
      <c r="O345" s="628">
        <v>44421</v>
      </c>
      <c r="P345" s="630" t="s">
        <v>3313</v>
      </c>
      <c r="Q345" s="631">
        <v>44418</v>
      </c>
      <c r="R345" s="715"/>
      <c r="S345" s="1068"/>
      <c r="T345" s="632">
        <v>286572.33</v>
      </c>
      <c r="U345" s="633" t="s">
        <v>3314</v>
      </c>
      <c r="V345" s="634">
        <v>44502</v>
      </c>
      <c r="W345" s="635" t="s">
        <v>105</v>
      </c>
      <c r="X345" s="636">
        <v>286572.33</v>
      </c>
      <c r="Y345" s="636">
        <v>286572.33</v>
      </c>
      <c r="Z345" s="987">
        <f t="shared" si="17"/>
        <v>1</v>
      </c>
      <c r="AA345" s="919"/>
      <c r="AB345" s="1055">
        <v>0</v>
      </c>
      <c r="AC345" s="912" t="s">
        <v>3315</v>
      </c>
      <c r="AD345" s="913"/>
      <c r="AE345" s="669"/>
      <c r="AF345" s="704"/>
      <c r="AG345" s="211"/>
      <c r="AH345" s="210"/>
    </row>
    <row r="346" spans="1:34" s="4" customFormat="1">
      <c r="A346" s="2"/>
      <c r="B346" s="310" t="s">
        <v>106</v>
      </c>
      <c r="C346" s="311" t="s">
        <v>33</v>
      </c>
      <c r="D346" s="687" t="s">
        <v>3316</v>
      </c>
      <c r="E346" s="688"/>
      <c r="F346" s="312"/>
      <c r="G346" s="313"/>
      <c r="H346" s="624"/>
      <c r="I346" s="625"/>
      <c r="J346" s="626"/>
      <c r="K346" s="627" t="s">
        <v>3317</v>
      </c>
      <c r="L346" s="628">
        <v>44389</v>
      </c>
      <c r="M346" s="629">
        <v>1500</v>
      </c>
      <c r="N346" s="627" t="s">
        <v>3318</v>
      </c>
      <c r="O346" s="628">
        <v>44389</v>
      </c>
      <c r="P346" s="630" t="s">
        <v>3319</v>
      </c>
      <c r="Q346" s="631"/>
      <c r="R346" s="715"/>
      <c r="S346" s="1068"/>
      <c r="T346" s="632"/>
      <c r="U346" s="633" t="s">
        <v>3320</v>
      </c>
      <c r="V346" s="634">
        <v>44417</v>
      </c>
      <c r="W346" s="635" t="s">
        <v>2302</v>
      </c>
      <c r="X346" s="636">
        <v>2108.4699999999998</v>
      </c>
      <c r="Y346" s="637">
        <v>2108.4699999999998</v>
      </c>
      <c r="Z346" s="987">
        <f t="shared" si="17"/>
        <v>1</v>
      </c>
      <c r="AA346" s="919"/>
      <c r="AB346" s="1055">
        <v>0</v>
      </c>
      <c r="AC346" s="912" t="s">
        <v>3316</v>
      </c>
      <c r="AD346" s="913"/>
      <c r="AE346" s="669"/>
      <c r="AF346" s="704"/>
      <c r="AG346" s="211"/>
      <c r="AH346" s="210"/>
    </row>
    <row r="347" spans="1:34" s="4" customFormat="1">
      <c r="A347" s="2"/>
      <c r="B347" s="310" t="s">
        <v>106</v>
      </c>
      <c r="C347" s="311" t="s">
        <v>33</v>
      </c>
      <c r="D347" s="687" t="s">
        <v>3321</v>
      </c>
      <c r="E347" s="688"/>
      <c r="F347" s="312"/>
      <c r="G347" s="313"/>
      <c r="H347" s="624"/>
      <c r="I347" s="625"/>
      <c r="J347" s="626"/>
      <c r="K347" s="627" t="s">
        <v>3322</v>
      </c>
      <c r="L347" s="628">
        <v>44392</v>
      </c>
      <c r="M347" s="629">
        <v>2000</v>
      </c>
      <c r="N347" s="627" t="s">
        <v>3323</v>
      </c>
      <c r="O347" s="628">
        <v>44392</v>
      </c>
      <c r="P347" s="630" t="s">
        <v>3324</v>
      </c>
      <c r="Q347" s="631">
        <v>44405</v>
      </c>
      <c r="R347" s="715"/>
      <c r="S347" s="1068"/>
      <c r="T347" s="632">
        <v>5667.84</v>
      </c>
      <c r="U347" s="633" t="s">
        <v>3325</v>
      </c>
      <c r="V347" s="634">
        <v>44432</v>
      </c>
      <c r="W347" s="635" t="s">
        <v>2302</v>
      </c>
      <c r="X347" s="636">
        <v>5667.84</v>
      </c>
      <c r="Y347" s="637">
        <v>5667.84</v>
      </c>
      <c r="Z347" s="987">
        <f t="shared" si="17"/>
        <v>1</v>
      </c>
      <c r="AA347" s="919"/>
      <c r="AB347" s="1055">
        <v>0</v>
      </c>
      <c r="AC347" s="912" t="s">
        <v>3326</v>
      </c>
      <c r="AD347" s="913"/>
      <c r="AE347" s="669"/>
      <c r="AF347" s="704"/>
      <c r="AG347" s="211"/>
      <c r="AH347" s="210"/>
    </row>
    <row r="348" spans="1:34" s="4" customFormat="1">
      <c r="A348" s="2"/>
      <c r="B348" s="310" t="s">
        <v>115</v>
      </c>
      <c r="C348" s="311" t="s">
        <v>27</v>
      </c>
      <c r="D348" s="687"/>
      <c r="E348" s="688"/>
      <c r="F348" s="312" t="s">
        <v>3327</v>
      </c>
      <c r="G348" s="313">
        <v>44377</v>
      </c>
      <c r="H348" s="624"/>
      <c r="I348" s="625"/>
      <c r="J348" s="626"/>
      <c r="K348" s="627"/>
      <c r="L348" s="628"/>
      <c r="M348" s="629"/>
      <c r="N348" s="627"/>
      <c r="O348" s="628"/>
      <c r="P348" s="630"/>
      <c r="Q348" s="631"/>
      <c r="R348" s="715"/>
      <c r="S348" s="715"/>
      <c r="T348" s="632"/>
      <c r="U348" s="633"/>
      <c r="V348" s="634"/>
      <c r="W348" s="635"/>
      <c r="X348" s="636"/>
      <c r="Y348" s="637"/>
      <c r="Z348" s="921"/>
      <c r="AA348" s="636"/>
      <c r="AB348" s="1056"/>
      <c r="AC348" s="736" t="s">
        <v>3328</v>
      </c>
      <c r="AD348" s="317"/>
      <c r="AE348" s="669"/>
      <c r="AF348" s="718"/>
      <c r="AG348" s="211"/>
      <c r="AH348" s="210"/>
    </row>
    <row r="349" spans="1:34" s="4" customFormat="1">
      <c r="A349" s="2"/>
      <c r="B349" s="310" t="s">
        <v>115</v>
      </c>
      <c r="C349" s="311" t="s">
        <v>27</v>
      </c>
      <c r="D349" s="687"/>
      <c r="E349" s="688"/>
      <c r="F349" s="312" t="s">
        <v>3329</v>
      </c>
      <c r="G349" s="313">
        <v>44377</v>
      </c>
      <c r="H349" s="624"/>
      <c r="I349" s="625"/>
      <c r="J349" s="626"/>
      <c r="K349" s="627"/>
      <c r="L349" s="628"/>
      <c r="M349" s="629"/>
      <c r="N349" s="627"/>
      <c r="O349" s="628"/>
      <c r="P349" s="630"/>
      <c r="Q349" s="631"/>
      <c r="R349" s="715"/>
      <c r="S349" s="715"/>
      <c r="T349" s="632"/>
      <c r="U349" s="633"/>
      <c r="V349" s="634"/>
      <c r="W349" s="635"/>
      <c r="X349" s="636"/>
      <c r="Y349" s="637"/>
      <c r="Z349" s="921"/>
      <c r="AA349" s="636"/>
      <c r="AB349" s="1056"/>
      <c r="AC349" s="736" t="s">
        <v>3330</v>
      </c>
      <c r="AD349" s="317"/>
      <c r="AE349" s="669"/>
      <c r="AF349" s="718"/>
      <c r="AG349" s="211"/>
      <c r="AH349" s="210"/>
    </row>
    <row r="350" spans="1:34" s="4" customFormat="1">
      <c r="A350" s="2"/>
      <c r="B350" s="310" t="s">
        <v>106</v>
      </c>
      <c r="C350" s="311" t="s">
        <v>33</v>
      </c>
      <c r="D350" s="687" t="s">
        <v>3331</v>
      </c>
      <c r="E350" s="688"/>
      <c r="F350" s="312" t="s">
        <v>3332</v>
      </c>
      <c r="G350" s="313">
        <v>44382</v>
      </c>
      <c r="H350" s="624"/>
      <c r="I350" s="625"/>
      <c r="J350" s="626"/>
      <c r="K350" s="627" t="s">
        <v>3333</v>
      </c>
      <c r="L350" s="628"/>
      <c r="M350" s="629"/>
      <c r="N350" s="627"/>
      <c r="O350" s="628"/>
      <c r="P350" s="630"/>
      <c r="Q350" s="631"/>
      <c r="R350" s="715"/>
      <c r="S350" s="715"/>
      <c r="T350" s="632"/>
      <c r="U350" s="633"/>
      <c r="V350" s="634"/>
      <c r="W350" s="635"/>
      <c r="X350" s="636"/>
      <c r="Y350" s="637"/>
      <c r="Z350" s="921"/>
      <c r="AA350" s="636"/>
      <c r="AB350" s="1056"/>
      <c r="AC350" s="736" t="s">
        <v>3334</v>
      </c>
      <c r="AD350" s="317"/>
      <c r="AE350" s="669"/>
      <c r="AF350" s="704"/>
      <c r="AG350" s="211"/>
      <c r="AH350" s="210"/>
    </row>
    <row r="351" spans="1:34" s="4" customFormat="1">
      <c r="A351" s="2"/>
      <c r="B351" s="310" t="s">
        <v>115</v>
      </c>
      <c r="C351" s="311" t="s">
        <v>27</v>
      </c>
      <c r="D351" s="687"/>
      <c r="E351" s="688"/>
      <c r="F351" s="312" t="s">
        <v>3335</v>
      </c>
      <c r="G351" s="313">
        <v>44384</v>
      </c>
      <c r="H351" s="624"/>
      <c r="I351" s="625"/>
      <c r="J351" s="626"/>
      <c r="K351" s="627"/>
      <c r="L351" s="628"/>
      <c r="M351" s="629"/>
      <c r="N351" s="627"/>
      <c r="O351" s="628"/>
      <c r="P351" s="630"/>
      <c r="Q351" s="631"/>
      <c r="R351" s="715"/>
      <c r="S351" s="715"/>
      <c r="T351" s="632"/>
      <c r="U351" s="633"/>
      <c r="V351" s="634"/>
      <c r="W351" s="635"/>
      <c r="X351" s="636"/>
      <c r="Y351" s="637"/>
      <c r="Z351" s="921"/>
      <c r="AA351" s="636"/>
      <c r="AB351" s="1056"/>
      <c r="AC351" s="736" t="s">
        <v>3336</v>
      </c>
      <c r="AD351" s="317"/>
      <c r="AE351" s="669"/>
      <c r="AF351" s="718"/>
      <c r="AG351" s="211"/>
      <c r="AH351" s="210"/>
    </row>
    <row r="352" spans="1:34" s="4" customFormat="1">
      <c r="A352" s="2"/>
      <c r="B352" s="310" t="s">
        <v>106</v>
      </c>
      <c r="C352" s="311" t="s">
        <v>33</v>
      </c>
      <c r="D352" s="1222" t="s">
        <v>3337</v>
      </c>
      <c r="E352" s="1223"/>
      <c r="F352" s="312" t="s">
        <v>3338</v>
      </c>
      <c r="G352" s="313">
        <v>44391</v>
      </c>
      <c r="H352" s="624" t="s">
        <v>3339</v>
      </c>
      <c r="I352" s="625">
        <v>44680</v>
      </c>
      <c r="J352" s="626">
        <v>50000</v>
      </c>
      <c r="K352" s="627" t="s">
        <v>3340</v>
      </c>
      <c r="L352" s="628">
        <v>44644</v>
      </c>
      <c r="M352" s="629">
        <v>100000</v>
      </c>
      <c r="N352" s="627" t="s">
        <v>3341</v>
      </c>
      <c r="O352" s="628">
        <v>44516</v>
      </c>
      <c r="P352" s="630" t="s">
        <v>3342</v>
      </c>
      <c r="Q352" s="631">
        <v>44806</v>
      </c>
      <c r="R352" s="715">
        <v>44825</v>
      </c>
      <c r="S352" s="1068">
        <v>22</v>
      </c>
      <c r="T352" s="632">
        <v>1456478.42</v>
      </c>
      <c r="U352" s="633" t="s">
        <v>3343</v>
      </c>
      <c r="V352" s="634">
        <v>44820</v>
      </c>
      <c r="W352" s="635" t="s">
        <v>2302</v>
      </c>
      <c r="X352" s="636">
        <v>1456478.42</v>
      </c>
      <c r="Y352" s="636">
        <v>1456478.42</v>
      </c>
      <c r="Z352" s="987">
        <f t="shared" ref="Z352" si="18">Y352/X352</f>
        <v>1</v>
      </c>
      <c r="AA352" s="636">
        <f>((99061.6*1.15)*1.1)+(440000*1.15)+(262295.66*1.1)</f>
        <v>919838.14999999991</v>
      </c>
      <c r="AB352" s="1055">
        <v>22</v>
      </c>
      <c r="AC352" s="912" t="s">
        <v>3344</v>
      </c>
      <c r="AD352" s="916" t="s">
        <v>3345</v>
      </c>
      <c r="AE352" s="669"/>
      <c r="AF352" s="704"/>
      <c r="AG352" s="211"/>
      <c r="AH352" s="210"/>
    </row>
    <row r="353" spans="1:34" s="4" customFormat="1">
      <c r="A353" s="2"/>
      <c r="B353" s="310" t="s">
        <v>115</v>
      </c>
      <c r="C353" s="311" t="s">
        <v>27</v>
      </c>
      <c r="D353" s="687"/>
      <c r="E353" s="688"/>
      <c r="F353" s="312" t="s">
        <v>3346</v>
      </c>
      <c r="G353" s="313">
        <v>44384</v>
      </c>
      <c r="H353" s="624"/>
      <c r="I353" s="625"/>
      <c r="J353" s="626"/>
      <c r="K353" s="627"/>
      <c r="L353" s="628"/>
      <c r="M353" s="629"/>
      <c r="N353" s="627"/>
      <c r="O353" s="628"/>
      <c r="P353" s="630"/>
      <c r="Q353" s="631"/>
      <c r="R353" s="715"/>
      <c r="S353" s="910"/>
      <c r="T353" s="632"/>
      <c r="U353" s="633"/>
      <c r="V353" s="634"/>
      <c r="W353" s="635"/>
      <c r="X353" s="636"/>
      <c r="Y353" s="637"/>
      <c r="Z353" s="921"/>
      <c r="AA353" s="636"/>
      <c r="AB353" s="1056"/>
      <c r="AC353" s="736" t="s">
        <v>3347</v>
      </c>
      <c r="AD353" s="317"/>
      <c r="AE353" s="669"/>
      <c r="AF353" s="718"/>
      <c r="AG353" s="211"/>
      <c r="AH353" s="210"/>
    </row>
    <row r="354" spans="1:34" s="4" customFormat="1">
      <c r="A354" s="2"/>
      <c r="B354" s="310" t="s">
        <v>115</v>
      </c>
      <c r="C354" s="311" t="s">
        <v>27</v>
      </c>
      <c r="D354" s="687"/>
      <c r="E354" s="688"/>
      <c r="F354" s="312" t="s">
        <v>3348</v>
      </c>
      <c r="G354" s="313">
        <v>44385</v>
      </c>
      <c r="H354" s="624"/>
      <c r="I354" s="625"/>
      <c r="J354" s="626"/>
      <c r="K354" s="627"/>
      <c r="L354" s="628"/>
      <c r="M354" s="629"/>
      <c r="N354" s="627"/>
      <c r="O354" s="628"/>
      <c r="P354" s="630"/>
      <c r="Q354" s="631"/>
      <c r="R354" s="715"/>
      <c r="S354" s="910"/>
      <c r="T354" s="632"/>
      <c r="U354" s="633"/>
      <c r="V354" s="634"/>
      <c r="W354" s="635"/>
      <c r="X354" s="636"/>
      <c r="Y354" s="637"/>
      <c r="Z354" s="921"/>
      <c r="AA354" s="636"/>
      <c r="AB354" s="1056"/>
      <c r="AC354" s="736" t="s">
        <v>3349</v>
      </c>
      <c r="AD354" s="317"/>
      <c r="AE354" s="669"/>
      <c r="AF354" s="718"/>
      <c r="AG354" s="211"/>
      <c r="AH354" s="210"/>
    </row>
    <row r="355" spans="1:34" s="4" customFormat="1">
      <c r="A355" s="2"/>
      <c r="B355" s="310" t="s">
        <v>115</v>
      </c>
      <c r="C355" s="311" t="s">
        <v>27</v>
      </c>
      <c r="D355" s="687"/>
      <c r="E355" s="688"/>
      <c r="F355" s="312" t="s">
        <v>3350</v>
      </c>
      <c r="G355" s="313">
        <v>44389</v>
      </c>
      <c r="H355" s="624"/>
      <c r="I355" s="625"/>
      <c r="J355" s="626"/>
      <c r="K355" s="627"/>
      <c r="L355" s="628"/>
      <c r="M355" s="629"/>
      <c r="N355" s="627"/>
      <c r="O355" s="628"/>
      <c r="P355" s="630"/>
      <c r="Q355" s="631"/>
      <c r="R355" s="715"/>
      <c r="S355" s="910"/>
      <c r="T355" s="632"/>
      <c r="U355" s="633"/>
      <c r="V355" s="634"/>
      <c r="W355" s="635"/>
      <c r="X355" s="636"/>
      <c r="Y355" s="637"/>
      <c r="Z355" s="921"/>
      <c r="AA355" s="636"/>
      <c r="AB355" s="1056"/>
      <c r="AC355" s="736" t="s">
        <v>3351</v>
      </c>
      <c r="AD355" s="317"/>
      <c r="AE355" s="669"/>
      <c r="AF355" s="718"/>
      <c r="AG355" s="211"/>
      <c r="AH355" s="210"/>
    </row>
    <row r="356" spans="1:34" s="4" customFormat="1">
      <c r="A356" s="2"/>
      <c r="B356" s="310" t="s">
        <v>115</v>
      </c>
      <c r="C356" s="311" t="s">
        <v>27</v>
      </c>
      <c r="D356" s="687"/>
      <c r="E356" s="688"/>
      <c r="F356" s="312" t="s">
        <v>3352</v>
      </c>
      <c r="G356" s="313">
        <v>44389</v>
      </c>
      <c r="H356" s="624"/>
      <c r="I356" s="625"/>
      <c r="J356" s="626"/>
      <c r="K356" s="627"/>
      <c r="L356" s="628"/>
      <c r="M356" s="629"/>
      <c r="N356" s="627"/>
      <c r="O356" s="628"/>
      <c r="P356" s="630"/>
      <c r="Q356" s="631"/>
      <c r="R356" s="715"/>
      <c r="S356" s="910"/>
      <c r="T356" s="632"/>
      <c r="U356" s="633"/>
      <c r="V356" s="634"/>
      <c r="W356" s="635"/>
      <c r="X356" s="636"/>
      <c r="Y356" s="637"/>
      <c r="Z356" s="921"/>
      <c r="AA356" s="636"/>
      <c r="AB356" s="1056"/>
      <c r="AC356" s="736" t="s">
        <v>3353</v>
      </c>
      <c r="AD356" s="317"/>
      <c r="AE356" s="669"/>
      <c r="AF356" s="718"/>
      <c r="AG356" s="211"/>
      <c r="AH356" s="210"/>
    </row>
    <row r="357" spans="1:34" s="4" customFormat="1">
      <c r="A357" s="2"/>
      <c r="B357" s="310" t="s">
        <v>115</v>
      </c>
      <c r="C357" s="311" t="s">
        <v>27</v>
      </c>
      <c r="D357" s="687"/>
      <c r="E357" s="688"/>
      <c r="F357" s="312" t="s">
        <v>3354</v>
      </c>
      <c r="G357" s="313">
        <v>44390</v>
      </c>
      <c r="H357" s="624"/>
      <c r="I357" s="625"/>
      <c r="J357" s="626"/>
      <c r="K357" s="627"/>
      <c r="L357" s="628"/>
      <c r="M357" s="629"/>
      <c r="N357" s="627"/>
      <c r="O357" s="628"/>
      <c r="P357" s="630"/>
      <c r="Q357" s="631"/>
      <c r="R357" s="715"/>
      <c r="S357" s="910"/>
      <c r="T357" s="632"/>
      <c r="U357" s="633"/>
      <c r="V357" s="634"/>
      <c r="W357" s="635"/>
      <c r="X357" s="636"/>
      <c r="Y357" s="637"/>
      <c r="Z357" s="921"/>
      <c r="AA357" s="636"/>
      <c r="AB357" s="1056"/>
      <c r="AC357" s="736" t="s">
        <v>3355</v>
      </c>
      <c r="AD357" s="317"/>
      <c r="AE357" s="669"/>
      <c r="AF357" s="718"/>
      <c r="AG357" s="211"/>
      <c r="AH357" s="210"/>
    </row>
    <row r="358" spans="1:34" s="4" customFormat="1">
      <c r="A358" s="2"/>
      <c r="B358" s="310" t="s">
        <v>115</v>
      </c>
      <c r="C358" s="311" t="s">
        <v>27</v>
      </c>
      <c r="D358" s="687"/>
      <c r="E358" s="688"/>
      <c r="F358" s="312" t="s">
        <v>3356</v>
      </c>
      <c r="G358" s="313">
        <v>44397</v>
      </c>
      <c r="H358" s="624"/>
      <c r="I358" s="625"/>
      <c r="J358" s="626"/>
      <c r="K358" s="627"/>
      <c r="L358" s="628"/>
      <c r="M358" s="629"/>
      <c r="N358" s="627"/>
      <c r="O358" s="628"/>
      <c r="P358" s="630"/>
      <c r="Q358" s="631"/>
      <c r="R358" s="715"/>
      <c r="S358" s="910"/>
      <c r="T358" s="632"/>
      <c r="U358" s="633"/>
      <c r="V358" s="634"/>
      <c r="W358" s="635"/>
      <c r="X358" s="636"/>
      <c r="Y358" s="637"/>
      <c r="Z358" s="921"/>
      <c r="AA358" s="636"/>
      <c r="AB358" s="1056"/>
      <c r="AC358" s="736" t="s">
        <v>3357</v>
      </c>
      <c r="AD358" s="317"/>
      <c r="AE358" s="669"/>
      <c r="AF358" s="718"/>
      <c r="AG358" s="211"/>
      <c r="AH358" s="210"/>
    </row>
    <row r="359" spans="1:34" s="4" customFormat="1">
      <c r="A359" s="2"/>
      <c r="B359" s="310" t="s">
        <v>115</v>
      </c>
      <c r="C359" s="311" t="s">
        <v>27</v>
      </c>
      <c r="D359" s="687"/>
      <c r="E359" s="688"/>
      <c r="F359" s="312" t="s">
        <v>3358</v>
      </c>
      <c r="G359" s="313">
        <v>44398</v>
      </c>
      <c r="H359" s="624"/>
      <c r="I359" s="625"/>
      <c r="J359" s="626"/>
      <c r="K359" s="627"/>
      <c r="L359" s="628"/>
      <c r="M359" s="629"/>
      <c r="N359" s="627"/>
      <c r="O359" s="628"/>
      <c r="P359" s="630"/>
      <c r="Q359" s="631"/>
      <c r="R359" s="715"/>
      <c r="S359" s="910"/>
      <c r="T359" s="632"/>
      <c r="U359" s="633"/>
      <c r="V359" s="634"/>
      <c r="W359" s="635"/>
      <c r="X359" s="636"/>
      <c r="Y359" s="637"/>
      <c r="Z359" s="921"/>
      <c r="AA359" s="636"/>
      <c r="AB359" s="1056"/>
      <c r="AC359" s="736" t="s">
        <v>3359</v>
      </c>
      <c r="AD359" s="317"/>
      <c r="AE359" s="669"/>
      <c r="AF359" s="718"/>
      <c r="AG359" s="211"/>
      <c r="AH359" s="210"/>
    </row>
    <row r="360" spans="1:34" s="4" customFormat="1">
      <c r="A360" s="2"/>
      <c r="B360" s="310" t="s">
        <v>115</v>
      </c>
      <c r="C360" s="311" t="s">
        <v>27</v>
      </c>
      <c r="D360" s="687"/>
      <c r="E360" s="688"/>
      <c r="F360" s="312" t="s">
        <v>3360</v>
      </c>
      <c r="G360" s="313">
        <v>44399</v>
      </c>
      <c r="H360" s="624"/>
      <c r="I360" s="625"/>
      <c r="J360" s="626"/>
      <c r="K360" s="627"/>
      <c r="L360" s="628"/>
      <c r="M360" s="629"/>
      <c r="N360" s="627"/>
      <c r="O360" s="628"/>
      <c r="P360" s="630"/>
      <c r="Q360" s="631"/>
      <c r="R360" s="715"/>
      <c r="S360" s="910"/>
      <c r="T360" s="632"/>
      <c r="U360" s="633"/>
      <c r="V360" s="634"/>
      <c r="W360" s="635"/>
      <c r="X360" s="636"/>
      <c r="Y360" s="637"/>
      <c r="Z360" s="921"/>
      <c r="AA360" s="636"/>
      <c r="AB360" s="1056"/>
      <c r="AC360" s="736" t="s">
        <v>3361</v>
      </c>
      <c r="AD360" s="317"/>
      <c r="AE360" s="669"/>
      <c r="AF360" s="718"/>
      <c r="AG360" s="211"/>
      <c r="AH360" s="210"/>
    </row>
    <row r="361" spans="1:34" s="4" customFormat="1">
      <c r="A361" s="2"/>
      <c r="B361" s="310" t="s">
        <v>115</v>
      </c>
      <c r="C361" s="311" t="s">
        <v>27</v>
      </c>
      <c r="D361" s="687"/>
      <c r="E361" s="688"/>
      <c r="F361" s="312" t="s">
        <v>3362</v>
      </c>
      <c r="G361" s="313">
        <v>44399</v>
      </c>
      <c r="H361" s="624"/>
      <c r="I361" s="625"/>
      <c r="J361" s="626"/>
      <c r="K361" s="627"/>
      <c r="L361" s="628"/>
      <c r="M361" s="629"/>
      <c r="N361" s="627"/>
      <c r="O361" s="628"/>
      <c r="P361" s="630"/>
      <c r="Q361" s="631"/>
      <c r="R361" s="715"/>
      <c r="S361" s="910"/>
      <c r="T361" s="632"/>
      <c r="U361" s="633"/>
      <c r="V361" s="634"/>
      <c r="W361" s="635"/>
      <c r="X361" s="636"/>
      <c r="Y361" s="637"/>
      <c r="Z361" s="921"/>
      <c r="AA361" s="636"/>
      <c r="AB361" s="1056"/>
      <c r="AC361" s="736" t="s">
        <v>3363</v>
      </c>
      <c r="AD361" s="317"/>
      <c r="AE361" s="669"/>
      <c r="AF361" s="718"/>
      <c r="AG361" s="211"/>
      <c r="AH361" s="210"/>
    </row>
    <row r="362" spans="1:34" s="4" customFormat="1">
      <c r="A362" s="2"/>
      <c r="B362" s="310" t="s">
        <v>115</v>
      </c>
      <c r="C362" s="311" t="s">
        <v>27</v>
      </c>
      <c r="D362" s="687"/>
      <c r="E362" s="688"/>
      <c r="F362" s="312" t="s">
        <v>3364</v>
      </c>
      <c r="G362" s="313">
        <v>44400</v>
      </c>
      <c r="H362" s="624"/>
      <c r="I362" s="625"/>
      <c r="J362" s="626"/>
      <c r="K362" s="627"/>
      <c r="L362" s="628"/>
      <c r="M362" s="629"/>
      <c r="N362" s="627"/>
      <c r="O362" s="628"/>
      <c r="P362" s="630"/>
      <c r="Q362" s="631"/>
      <c r="R362" s="715"/>
      <c r="S362" s="910"/>
      <c r="T362" s="632"/>
      <c r="U362" s="633"/>
      <c r="V362" s="634"/>
      <c r="W362" s="635"/>
      <c r="X362" s="636"/>
      <c r="Y362" s="637"/>
      <c r="Z362" s="921"/>
      <c r="AA362" s="636"/>
      <c r="AB362" s="1056"/>
      <c r="AC362" s="736" t="s">
        <v>3365</v>
      </c>
      <c r="AD362" s="317"/>
      <c r="AE362" s="669"/>
      <c r="AF362" s="718"/>
      <c r="AG362" s="211"/>
      <c r="AH362" s="210"/>
    </row>
    <row r="363" spans="1:34" s="4" customFormat="1">
      <c r="A363" s="2"/>
      <c r="B363" s="310"/>
      <c r="C363" s="311"/>
      <c r="D363" s="687"/>
      <c r="E363" s="688"/>
      <c r="F363" s="312" t="s">
        <v>3366</v>
      </c>
      <c r="G363" s="313"/>
      <c r="H363" s="624"/>
      <c r="I363" s="625"/>
      <c r="J363" s="626"/>
      <c r="K363" s="627"/>
      <c r="L363" s="628"/>
      <c r="M363" s="629"/>
      <c r="N363" s="627"/>
      <c r="O363" s="628"/>
      <c r="P363" s="630"/>
      <c r="Q363" s="631"/>
      <c r="R363" s="715"/>
      <c r="S363" s="910"/>
      <c r="T363" s="632"/>
      <c r="U363" s="633"/>
      <c r="V363" s="634"/>
      <c r="W363" s="635"/>
      <c r="X363" s="636"/>
      <c r="Y363" s="637"/>
      <c r="Z363" s="921"/>
      <c r="AA363" s="636"/>
      <c r="AB363" s="1056"/>
      <c r="AC363" s="736"/>
      <c r="AD363" s="317"/>
      <c r="AE363" s="669"/>
      <c r="AF363" s="704"/>
      <c r="AG363" s="211"/>
      <c r="AH363" s="210"/>
    </row>
    <row r="364" spans="1:34" s="4" customFormat="1">
      <c r="A364" s="2"/>
      <c r="B364" s="310" t="s">
        <v>115</v>
      </c>
      <c r="C364" s="311" t="s">
        <v>27</v>
      </c>
      <c r="D364" s="687"/>
      <c r="E364" s="688"/>
      <c r="F364" s="312" t="s">
        <v>3367</v>
      </c>
      <c r="G364" s="313">
        <v>44403</v>
      </c>
      <c r="H364" s="624"/>
      <c r="I364" s="625"/>
      <c r="J364" s="626"/>
      <c r="K364" s="627"/>
      <c r="L364" s="628"/>
      <c r="M364" s="629"/>
      <c r="N364" s="627"/>
      <c r="O364" s="628"/>
      <c r="P364" s="630"/>
      <c r="Q364" s="631"/>
      <c r="R364" s="715"/>
      <c r="S364" s="910"/>
      <c r="T364" s="632"/>
      <c r="U364" s="633"/>
      <c r="V364" s="634"/>
      <c r="W364" s="635"/>
      <c r="X364" s="636"/>
      <c r="Y364" s="637"/>
      <c r="Z364" s="921"/>
      <c r="AA364" s="636"/>
      <c r="AB364" s="1056"/>
      <c r="AC364" s="736" t="s">
        <v>3368</v>
      </c>
      <c r="AD364" s="317"/>
      <c r="AE364" s="669"/>
      <c r="AF364" s="718"/>
      <c r="AG364" s="211"/>
      <c r="AH364" s="210"/>
    </row>
    <row r="365" spans="1:34" s="4" customFormat="1">
      <c r="A365" s="2"/>
      <c r="B365" s="310" t="s">
        <v>115</v>
      </c>
      <c r="C365" s="311" t="s">
        <v>27</v>
      </c>
      <c r="D365" s="687"/>
      <c r="E365" s="688"/>
      <c r="F365" s="312" t="s">
        <v>3369</v>
      </c>
      <c r="G365" s="313">
        <v>44404</v>
      </c>
      <c r="H365" s="624"/>
      <c r="I365" s="625"/>
      <c r="J365" s="626"/>
      <c r="K365" s="627"/>
      <c r="L365" s="628"/>
      <c r="M365" s="629"/>
      <c r="N365" s="627"/>
      <c r="O365" s="628"/>
      <c r="P365" s="630"/>
      <c r="Q365" s="631"/>
      <c r="R365" s="715"/>
      <c r="S365" s="910"/>
      <c r="T365" s="632"/>
      <c r="U365" s="633"/>
      <c r="V365" s="634"/>
      <c r="W365" s="635"/>
      <c r="X365" s="636"/>
      <c r="Y365" s="637"/>
      <c r="Z365" s="921"/>
      <c r="AA365" s="636"/>
      <c r="AB365" s="1056"/>
      <c r="AC365" s="736" t="s">
        <v>3370</v>
      </c>
      <c r="AD365" s="317"/>
      <c r="AE365" s="669"/>
      <c r="AF365" s="718"/>
      <c r="AG365" s="211"/>
      <c r="AH365" s="210"/>
    </row>
    <row r="366" spans="1:34" s="4" customFormat="1">
      <c r="A366" s="2"/>
      <c r="B366" s="310" t="s">
        <v>115</v>
      </c>
      <c r="C366" s="311" t="s">
        <v>27</v>
      </c>
      <c r="D366" s="687"/>
      <c r="E366" s="688"/>
      <c r="F366" s="312" t="s">
        <v>3371</v>
      </c>
      <c r="G366" s="313">
        <v>44406</v>
      </c>
      <c r="H366" s="624"/>
      <c r="I366" s="625"/>
      <c r="J366" s="626"/>
      <c r="K366" s="627"/>
      <c r="L366" s="628"/>
      <c r="M366" s="629"/>
      <c r="N366" s="627"/>
      <c r="O366" s="628"/>
      <c r="P366" s="630"/>
      <c r="Q366" s="631"/>
      <c r="R366" s="715"/>
      <c r="S366" s="910"/>
      <c r="T366" s="632"/>
      <c r="U366" s="633"/>
      <c r="V366" s="634"/>
      <c r="W366" s="635"/>
      <c r="X366" s="636"/>
      <c r="Y366" s="637"/>
      <c r="Z366" s="921"/>
      <c r="AA366" s="636"/>
      <c r="AB366" s="1056"/>
      <c r="AC366" s="736" t="s">
        <v>3372</v>
      </c>
      <c r="AD366" s="317"/>
      <c r="AE366" s="669"/>
      <c r="AF366" s="718"/>
      <c r="AG366" s="211"/>
      <c r="AH366" s="210"/>
    </row>
    <row r="367" spans="1:34" s="4" customFormat="1">
      <c r="A367" s="2"/>
      <c r="B367" s="310" t="s">
        <v>106</v>
      </c>
      <c r="C367" s="311" t="s">
        <v>33</v>
      </c>
      <c r="D367" s="1225" t="s">
        <v>3373</v>
      </c>
      <c r="E367" s="1226"/>
      <c r="F367" s="312" t="s">
        <v>3374</v>
      </c>
      <c r="G367" s="313">
        <v>44406</v>
      </c>
      <c r="H367" s="624"/>
      <c r="I367" s="625"/>
      <c r="J367" s="626"/>
      <c r="K367" s="627" t="s">
        <v>3375</v>
      </c>
      <c r="L367" s="628">
        <v>44440</v>
      </c>
      <c r="M367" s="629">
        <v>15000</v>
      </c>
      <c r="N367" s="627" t="s">
        <v>3376</v>
      </c>
      <c r="O367" s="628">
        <v>44440</v>
      </c>
      <c r="P367" s="630" t="s">
        <v>3377</v>
      </c>
      <c r="Q367" s="631">
        <v>44508</v>
      </c>
      <c r="R367" s="715"/>
      <c r="S367" s="1068"/>
      <c r="T367" s="632">
        <v>44075.98</v>
      </c>
      <c r="U367" s="633" t="s">
        <v>3378</v>
      </c>
      <c r="V367" s="634">
        <v>44546</v>
      </c>
      <c r="W367" s="635" t="s">
        <v>2302</v>
      </c>
      <c r="X367" s="636">
        <v>44075.98</v>
      </c>
      <c r="Y367" s="636">
        <v>44075.98</v>
      </c>
      <c r="Z367" s="987">
        <f>Y367/X367</f>
        <v>1</v>
      </c>
      <c r="AA367" s="919"/>
      <c r="AB367" s="1055">
        <v>0</v>
      </c>
      <c r="AC367" s="912" t="s">
        <v>3379</v>
      </c>
      <c r="AD367" s="913" t="s">
        <v>3380</v>
      </c>
      <c r="AE367" s="669"/>
      <c r="AF367" s="704"/>
      <c r="AG367" s="211"/>
      <c r="AH367" s="210"/>
    </row>
    <row r="368" spans="1:34" s="4" customFormat="1">
      <c r="A368" s="2"/>
      <c r="B368" s="310" t="s">
        <v>115</v>
      </c>
      <c r="C368" s="311" t="s">
        <v>27</v>
      </c>
      <c r="D368" s="687"/>
      <c r="E368" s="688"/>
      <c r="F368" s="312" t="s">
        <v>3381</v>
      </c>
      <c r="G368" s="313">
        <v>44407</v>
      </c>
      <c r="H368" s="624"/>
      <c r="I368" s="625"/>
      <c r="J368" s="626"/>
      <c r="K368" s="627"/>
      <c r="L368" s="628"/>
      <c r="M368" s="629"/>
      <c r="N368" s="627"/>
      <c r="O368" s="628"/>
      <c r="P368" s="630"/>
      <c r="Q368" s="631"/>
      <c r="R368" s="715"/>
      <c r="S368" s="910"/>
      <c r="T368" s="632"/>
      <c r="U368" s="633"/>
      <c r="V368" s="634"/>
      <c r="W368" s="635"/>
      <c r="X368" s="636"/>
      <c r="Y368" s="637"/>
      <c r="Z368" s="921"/>
      <c r="AA368" s="636"/>
      <c r="AB368" s="1056"/>
      <c r="AC368" s="736" t="s">
        <v>3382</v>
      </c>
      <c r="AD368" s="317"/>
      <c r="AE368" s="669"/>
      <c r="AF368" s="718"/>
      <c r="AG368" s="211"/>
      <c r="AH368" s="210"/>
    </row>
    <row r="369" spans="1:34" s="4" customFormat="1">
      <c r="A369" s="2"/>
      <c r="B369" s="310" t="s">
        <v>115</v>
      </c>
      <c r="C369" s="311" t="s">
        <v>27</v>
      </c>
      <c r="D369" s="687"/>
      <c r="E369" s="688"/>
      <c r="F369" s="312" t="s">
        <v>3383</v>
      </c>
      <c r="G369" s="313">
        <v>44414</v>
      </c>
      <c r="H369" s="624"/>
      <c r="I369" s="625"/>
      <c r="J369" s="626"/>
      <c r="K369" s="649"/>
      <c r="L369" s="628"/>
      <c r="M369" s="629"/>
      <c r="N369" s="649"/>
      <c r="O369" s="628"/>
      <c r="P369" s="630"/>
      <c r="Q369" s="631"/>
      <c r="R369" s="715"/>
      <c r="S369" s="910"/>
      <c r="T369" s="632"/>
      <c r="U369" s="633"/>
      <c r="V369" s="634"/>
      <c r="W369" s="635"/>
      <c r="X369" s="636"/>
      <c r="Y369" s="637"/>
      <c r="Z369" s="921"/>
      <c r="AA369" s="636"/>
      <c r="AB369" s="1056"/>
      <c r="AC369" s="736" t="s">
        <v>3384</v>
      </c>
      <c r="AD369" s="317"/>
      <c r="AE369" s="669"/>
      <c r="AF369" s="718"/>
      <c r="AG369" s="211"/>
      <c r="AH369" s="210"/>
    </row>
    <row r="370" spans="1:34" s="4" customFormat="1">
      <c r="A370" s="2"/>
      <c r="B370" s="310" t="s">
        <v>115</v>
      </c>
      <c r="C370" s="311" t="s">
        <v>27</v>
      </c>
      <c r="D370" s="687"/>
      <c r="E370" s="688"/>
      <c r="F370" s="312" t="s">
        <v>3385</v>
      </c>
      <c r="G370" s="313">
        <v>44414</v>
      </c>
      <c r="H370" s="624"/>
      <c r="I370" s="625"/>
      <c r="J370" s="626"/>
      <c r="K370" s="627"/>
      <c r="L370" s="628"/>
      <c r="M370" s="629"/>
      <c r="N370" s="627"/>
      <c r="O370" s="628"/>
      <c r="P370" s="630"/>
      <c r="Q370" s="631"/>
      <c r="R370" s="715"/>
      <c r="S370" s="910"/>
      <c r="T370" s="632"/>
      <c r="U370" s="633"/>
      <c r="V370" s="634"/>
      <c r="W370" s="635"/>
      <c r="X370" s="636"/>
      <c r="Y370" s="637"/>
      <c r="Z370" s="921"/>
      <c r="AA370" s="636"/>
      <c r="AB370" s="1056"/>
      <c r="AC370" s="736" t="s">
        <v>3386</v>
      </c>
      <c r="AD370" s="317"/>
      <c r="AE370" s="669"/>
      <c r="AF370" s="718"/>
      <c r="AG370" s="211"/>
      <c r="AH370" s="210"/>
    </row>
    <row r="371" spans="1:34" s="4" customFormat="1">
      <c r="A371" s="2"/>
      <c r="B371" s="310" t="s">
        <v>115</v>
      </c>
      <c r="C371" s="311" t="s">
        <v>27</v>
      </c>
      <c r="D371" s="687"/>
      <c r="E371" s="688"/>
      <c r="F371" s="312" t="s">
        <v>3387</v>
      </c>
      <c r="G371" s="313">
        <v>44414</v>
      </c>
      <c r="H371" s="624"/>
      <c r="I371" s="625"/>
      <c r="J371" s="626"/>
      <c r="K371" s="684"/>
      <c r="L371" s="628"/>
      <c r="M371" s="629"/>
      <c r="N371" s="649"/>
      <c r="O371" s="628"/>
      <c r="P371" s="630" t="s">
        <v>3388</v>
      </c>
      <c r="Q371" s="631"/>
      <c r="R371" s="715"/>
      <c r="S371" s="910"/>
      <c r="T371" s="632"/>
      <c r="U371" s="633"/>
      <c r="V371" s="634"/>
      <c r="W371" s="635"/>
      <c r="X371" s="636"/>
      <c r="Y371" s="637"/>
      <c r="Z371" s="921"/>
      <c r="AA371" s="636"/>
      <c r="AB371" s="1056"/>
      <c r="AC371" s="736" t="s">
        <v>3389</v>
      </c>
      <c r="AD371" s="317"/>
      <c r="AE371" s="669"/>
      <c r="AF371" s="704"/>
      <c r="AG371" s="211"/>
      <c r="AH371" s="210"/>
    </row>
    <row r="372" spans="1:34" s="4" customFormat="1">
      <c r="A372" s="2"/>
      <c r="B372" s="310" t="s">
        <v>115</v>
      </c>
      <c r="C372" s="311" t="s">
        <v>27</v>
      </c>
      <c r="D372" s="687"/>
      <c r="E372" s="688"/>
      <c r="F372" s="312" t="s">
        <v>3390</v>
      </c>
      <c r="G372" s="313">
        <v>44414</v>
      </c>
      <c r="H372" s="624"/>
      <c r="I372" s="625"/>
      <c r="J372" s="626"/>
      <c r="K372" s="627"/>
      <c r="L372" s="628"/>
      <c r="M372" s="629"/>
      <c r="N372" s="627"/>
      <c r="O372" s="628"/>
      <c r="P372" s="630"/>
      <c r="Q372" s="631"/>
      <c r="R372" s="715"/>
      <c r="S372" s="910"/>
      <c r="T372" s="632"/>
      <c r="U372" s="633"/>
      <c r="V372" s="634"/>
      <c r="W372" s="635"/>
      <c r="X372" s="636"/>
      <c r="Y372" s="637"/>
      <c r="Z372" s="921"/>
      <c r="AA372" s="636"/>
      <c r="AB372" s="1056"/>
      <c r="AC372" s="736" t="s">
        <v>3391</v>
      </c>
      <c r="AD372" s="317"/>
      <c r="AE372" s="669"/>
      <c r="AF372" s="718"/>
      <c r="AG372" s="211"/>
      <c r="AH372" s="210"/>
    </row>
    <row r="373" spans="1:34" s="4" customFormat="1">
      <c r="A373" s="2"/>
      <c r="B373" s="310" t="s">
        <v>115</v>
      </c>
      <c r="C373" s="311" t="s">
        <v>27</v>
      </c>
      <c r="D373" s="687"/>
      <c r="E373" s="688"/>
      <c r="F373" s="312" t="s">
        <v>3392</v>
      </c>
      <c r="G373" s="313">
        <v>44417</v>
      </c>
      <c r="H373" s="624"/>
      <c r="I373" s="625"/>
      <c r="J373" s="626"/>
      <c r="K373" s="627"/>
      <c r="L373" s="628"/>
      <c r="M373" s="629"/>
      <c r="N373" s="627"/>
      <c r="O373" s="628"/>
      <c r="P373" s="630"/>
      <c r="Q373" s="631"/>
      <c r="R373" s="715"/>
      <c r="S373" s="910"/>
      <c r="T373" s="632"/>
      <c r="U373" s="633"/>
      <c r="V373" s="634"/>
      <c r="W373" s="635"/>
      <c r="X373" s="636"/>
      <c r="Y373" s="637"/>
      <c r="Z373" s="921"/>
      <c r="AA373" s="636"/>
      <c r="AB373" s="1056"/>
      <c r="AC373" s="736" t="s">
        <v>3393</v>
      </c>
      <c r="AD373" s="317"/>
      <c r="AE373" s="669"/>
      <c r="AF373" s="718"/>
      <c r="AG373" s="211"/>
      <c r="AH373" s="210"/>
    </row>
    <row r="374" spans="1:34" s="4" customFormat="1">
      <c r="A374" s="2"/>
      <c r="B374" s="310" t="s">
        <v>106</v>
      </c>
      <c r="C374" s="311" t="s">
        <v>33</v>
      </c>
      <c r="D374" s="1220" t="s">
        <v>3394</v>
      </c>
      <c r="E374" s="1221"/>
      <c r="F374" s="312"/>
      <c r="G374" s="313"/>
      <c r="H374" s="624"/>
      <c r="I374" s="625"/>
      <c r="J374" s="626"/>
      <c r="K374" s="627" t="s">
        <v>3395</v>
      </c>
      <c r="L374" s="628"/>
      <c r="M374" s="629">
        <v>1500</v>
      </c>
      <c r="N374" s="627" t="s">
        <v>3396</v>
      </c>
      <c r="O374" s="628">
        <v>44433</v>
      </c>
      <c r="P374" s="630" t="s">
        <v>3397</v>
      </c>
      <c r="Q374" s="631">
        <v>44452</v>
      </c>
      <c r="R374" s="715"/>
      <c r="S374" s="1068"/>
      <c r="T374" s="632">
        <v>6872.48</v>
      </c>
      <c r="U374" s="633" t="s">
        <v>3398</v>
      </c>
      <c r="V374" s="634">
        <v>44459</v>
      </c>
      <c r="W374" s="635" t="s">
        <v>2302</v>
      </c>
      <c r="X374" s="636">
        <v>6872.5</v>
      </c>
      <c r="Y374" s="636">
        <v>6872.5</v>
      </c>
      <c r="Z374" s="987">
        <f t="shared" ref="Z374:Z376" si="19">Y374/X374</f>
        <v>1</v>
      </c>
      <c r="AA374" s="919"/>
      <c r="AB374" s="1055">
        <v>0</v>
      </c>
      <c r="AC374" s="912" t="s">
        <v>3399</v>
      </c>
      <c r="AD374" s="913"/>
      <c r="AE374" s="669"/>
      <c r="AF374" s="704"/>
      <c r="AG374" s="211"/>
      <c r="AH374" s="210"/>
    </row>
    <row r="375" spans="1:34" s="4" customFormat="1">
      <c r="A375" s="2"/>
      <c r="B375" s="310" t="s">
        <v>106</v>
      </c>
      <c r="C375" s="311" t="s">
        <v>33</v>
      </c>
      <c r="D375" s="1220" t="s">
        <v>3400</v>
      </c>
      <c r="E375" s="1221"/>
      <c r="F375" s="312"/>
      <c r="G375" s="313"/>
      <c r="H375" s="624"/>
      <c r="I375" s="625"/>
      <c r="J375" s="626"/>
      <c r="K375" s="627" t="s">
        <v>3401</v>
      </c>
      <c r="L375" s="628">
        <v>44414</v>
      </c>
      <c r="M375" s="629">
        <v>-5000</v>
      </c>
      <c r="N375" s="627" t="s">
        <v>3402</v>
      </c>
      <c r="O375" s="628">
        <v>44414</v>
      </c>
      <c r="P375" s="630" t="s">
        <v>3403</v>
      </c>
      <c r="Q375" s="631">
        <v>44449</v>
      </c>
      <c r="R375" s="715"/>
      <c r="S375" s="1068"/>
      <c r="T375" s="632">
        <v>-2779.18</v>
      </c>
      <c r="U375" s="633" t="s">
        <v>3404</v>
      </c>
      <c r="V375" s="634">
        <v>44460</v>
      </c>
      <c r="W375" s="635" t="s">
        <v>101</v>
      </c>
      <c r="X375" s="636">
        <v>-2779.18</v>
      </c>
      <c r="Y375" s="637">
        <v>-2779.18</v>
      </c>
      <c r="Z375" s="987">
        <f t="shared" si="19"/>
        <v>1</v>
      </c>
      <c r="AA375" s="919"/>
      <c r="AB375" s="1055">
        <v>0</v>
      </c>
      <c r="AC375" s="1261" t="s">
        <v>3400</v>
      </c>
      <c r="AD375" s="1232"/>
      <c r="AE375" s="669"/>
      <c r="AF375" s="704"/>
      <c r="AG375" s="211"/>
      <c r="AH375" s="210"/>
    </row>
    <row r="376" spans="1:34" s="4" customFormat="1">
      <c r="A376" s="2"/>
      <c r="B376" s="310" t="s">
        <v>106</v>
      </c>
      <c r="C376" s="311" t="s">
        <v>33</v>
      </c>
      <c r="D376" s="1220" t="s">
        <v>3405</v>
      </c>
      <c r="E376" s="1221"/>
      <c r="F376" s="312"/>
      <c r="G376" s="313"/>
      <c r="H376" s="624"/>
      <c r="I376" s="625"/>
      <c r="J376" s="626"/>
      <c r="K376" s="627" t="s">
        <v>3406</v>
      </c>
      <c r="L376" s="628">
        <v>44419</v>
      </c>
      <c r="M376" s="629">
        <v>2000</v>
      </c>
      <c r="N376" s="627" t="s">
        <v>3407</v>
      </c>
      <c r="O376" s="628">
        <v>44420</v>
      </c>
      <c r="P376" s="630" t="s">
        <v>3408</v>
      </c>
      <c r="Q376" s="631">
        <v>44530</v>
      </c>
      <c r="R376" s="715"/>
      <c r="S376" s="1068"/>
      <c r="T376" s="632">
        <v>9523.2999999999993</v>
      </c>
      <c r="U376" s="633" t="s">
        <v>3409</v>
      </c>
      <c r="V376" s="634">
        <v>44543</v>
      </c>
      <c r="W376" s="635" t="s">
        <v>2302</v>
      </c>
      <c r="X376" s="636">
        <v>9523.2999999999993</v>
      </c>
      <c r="Y376" s="636">
        <v>9523.2999999999993</v>
      </c>
      <c r="Z376" s="987">
        <f t="shared" si="19"/>
        <v>1</v>
      </c>
      <c r="AA376" s="919"/>
      <c r="AB376" s="1055">
        <v>0</v>
      </c>
      <c r="AC376" s="912" t="s">
        <v>3410</v>
      </c>
      <c r="AD376" s="913" t="s">
        <v>3411</v>
      </c>
      <c r="AE376" s="669"/>
      <c r="AF376" s="704"/>
      <c r="AG376" s="211"/>
      <c r="AH376" s="210"/>
    </row>
    <row r="377" spans="1:34" s="4" customFormat="1">
      <c r="A377" s="2"/>
      <c r="B377" s="310" t="s">
        <v>110</v>
      </c>
      <c r="C377" s="311" t="s">
        <v>33</v>
      </c>
      <c r="D377" s="1220" t="s">
        <v>3412</v>
      </c>
      <c r="E377" s="1221"/>
      <c r="F377" s="312"/>
      <c r="G377" s="313"/>
      <c r="H377" s="624"/>
      <c r="I377" s="625"/>
      <c r="J377" s="626"/>
      <c r="K377" s="627" t="s">
        <v>3413</v>
      </c>
      <c r="L377" s="628">
        <v>44419</v>
      </c>
      <c r="M377" s="629">
        <v>1000</v>
      </c>
      <c r="N377" s="627" t="s">
        <v>3414</v>
      </c>
      <c r="O377" s="628">
        <v>44420</v>
      </c>
      <c r="P377" s="630"/>
      <c r="Q377" s="631"/>
      <c r="R377" s="715"/>
      <c r="S377" s="910"/>
      <c r="T377" s="632"/>
      <c r="U377" s="633"/>
      <c r="V377" s="634"/>
      <c r="W377" s="635" t="s">
        <v>2302</v>
      </c>
      <c r="X377" s="636"/>
      <c r="Y377" s="637"/>
      <c r="Z377" s="921"/>
      <c r="AA377" s="636"/>
      <c r="AB377" s="1056"/>
      <c r="AC377" s="736" t="s">
        <v>3412</v>
      </c>
      <c r="AD377" s="317" t="s">
        <v>3415</v>
      </c>
      <c r="AE377" s="669"/>
      <c r="AF377" s="704"/>
      <c r="AG377" s="211"/>
      <c r="AH377" s="210"/>
    </row>
    <row r="378" spans="1:34" s="4" customFormat="1">
      <c r="A378" s="2"/>
      <c r="B378" s="310" t="s">
        <v>115</v>
      </c>
      <c r="C378" s="311" t="s">
        <v>27</v>
      </c>
      <c r="D378" s="1220" t="s">
        <v>3416</v>
      </c>
      <c r="E378" s="1221"/>
      <c r="F378" s="312" t="s">
        <v>3417</v>
      </c>
      <c r="G378" s="313">
        <v>44418</v>
      </c>
      <c r="H378" s="624"/>
      <c r="I378" s="625"/>
      <c r="J378" s="626"/>
      <c r="K378" s="627"/>
      <c r="L378" s="628"/>
      <c r="M378" s="629"/>
      <c r="N378" s="627"/>
      <c r="O378" s="628"/>
      <c r="P378" s="630"/>
      <c r="Q378" s="631"/>
      <c r="R378" s="715"/>
      <c r="S378" s="910"/>
      <c r="T378" s="632"/>
      <c r="U378" s="633"/>
      <c r="V378" s="634"/>
      <c r="W378" s="635"/>
      <c r="X378" s="636"/>
      <c r="Y378" s="637"/>
      <c r="Z378" s="921"/>
      <c r="AA378" s="636"/>
      <c r="AB378" s="1056"/>
      <c r="AC378" s="736" t="s">
        <v>3416</v>
      </c>
      <c r="AD378" s="317"/>
      <c r="AE378" s="669"/>
      <c r="AF378" s="718"/>
      <c r="AG378" s="211"/>
      <c r="AH378" s="210"/>
    </row>
    <row r="379" spans="1:34" s="4" customFormat="1">
      <c r="A379" s="2"/>
      <c r="B379" s="310" t="s">
        <v>115</v>
      </c>
      <c r="C379" s="311" t="s">
        <v>27</v>
      </c>
      <c r="D379" s="687"/>
      <c r="E379" s="688"/>
      <c r="F379" s="312" t="s">
        <v>3418</v>
      </c>
      <c r="G379" s="313">
        <v>44424</v>
      </c>
      <c r="H379" s="624"/>
      <c r="I379" s="625"/>
      <c r="J379" s="626"/>
      <c r="K379" s="627"/>
      <c r="L379" s="628"/>
      <c r="M379" s="629"/>
      <c r="N379" s="627"/>
      <c r="O379" s="628"/>
      <c r="P379" s="630"/>
      <c r="Q379" s="631"/>
      <c r="R379" s="715"/>
      <c r="S379" s="910"/>
      <c r="T379" s="632"/>
      <c r="U379" s="633"/>
      <c r="V379" s="634"/>
      <c r="W379" s="635"/>
      <c r="X379" s="636"/>
      <c r="Y379" s="637"/>
      <c r="Z379" s="921"/>
      <c r="AA379" s="636"/>
      <c r="AB379" s="1056"/>
      <c r="AC379" s="736" t="s">
        <v>3419</v>
      </c>
      <c r="AD379" s="317"/>
      <c r="AE379" s="669"/>
      <c r="AF379" s="718"/>
      <c r="AG379" s="211"/>
      <c r="AH379" s="210"/>
    </row>
    <row r="380" spans="1:34" s="4" customFormat="1">
      <c r="A380" s="2"/>
      <c r="B380" s="310" t="s">
        <v>106</v>
      </c>
      <c r="C380" s="311" t="s">
        <v>33</v>
      </c>
      <c r="D380" s="1227" t="s">
        <v>3420</v>
      </c>
      <c r="E380" s="1228"/>
      <c r="F380" s="312" t="s">
        <v>3421</v>
      </c>
      <c r="G380" s="313">
        <v>44426</v>
      </c>
      <c r="H380" s="624"/>
      <c r="I380" s="625"/>
      <c r="J380" s="626"/>
      <c r="K380" s="627" t="s">
        <v>3422</v>
      </c>
      <c r="L380" s="628">
        <v>44435</v>
      </c>
      <c r="M380" s="629">
        <v>1500</v>
      </c>
      <c r="N380" s="627" t="s">
        <v>3423</v>
      </c>
      <c r="O380" s="628">
        <v>44438</v>
      </c>
      <c r="P380" s="630" t="s">
        <v>3424</v>
      </c>
      <c r="Q380" s="631">
        <v>44473</v>
      </c>
      <c r="R380" s="715"/>
      <c r="S380" s="1068"/>
      <c r="T380" s="632">
        <v>5155.3</v>
      </c>
      <c r="U380" s="633" t="s">
        <v>3425</v>
      </c>
      <c r="V380" s="634">
        <v>44502</v>
      </c>
      <c r="W380" s="635" t="s">
        <v>2302</v>
      </c>
      <c r="X380" s="636">
        <v>5155.3</v>
      </c>
      <c r="Y380" s="636">
        <v>5155.3</v>
      </c>
      <c r="Z380" s="987">
        <f t="shared" ref="Z380:Z381" si="20">Y380/X380</f>
        <v>1</v>
      </c>
      <c r="AA380" s="919"/>
      <c r="AB380" s="1055">
        <v>0</v>
      </c>
      <c r="AC380" s="912" t="s">
        <v>3426</v>
      </c>
      <c r="AD380" s="913"/>
      <c r="AE380" s="669"/>
      <c r="AF380" s="704"/>
      <c r="AG380" s="211"/>
      <c r="AH380" s="210"/>
    </row>
    <row r="381" spans="1:34" s="4" customFormat="1">
      <c r="A381" s="2"/>
      <c r="B381" s="310" t="s">
        <v>106</v>
      </c>
      <c r="C381" s="311" t="s">
        <v>33</v>
      </c>
      <c r="D381" s="1229" t="s">
        <v>3427</v>
      </c>
      <c r="E381" s="1221"/>
      <c r="F381" s="312"/>
      <c r="G381" s="313"/>
      <c r="H381" s="624"/>
      <c r="I381" s="625"/>
      <c r="J381" s="626"/>
      <c r="K381" s="627" t="s">
        <v>3428</v>
      </c>
      <c r="L381" s="628">
        <v>44426</v>
      </c>
      <c r="M381" s="629">
        <v>35000</v>
      </c>
      <c r="N381" s="627" t="s">
        <v>3429</v>
      </c>
      <c r="O381" s="628">
        <v>44427</v>
      </c>
      <c r="P381" s="630" t="s">
        <v>3430</v>
      </c>
      <c r="Q381" s="631">
        <v>44449</v>
      </c>
      <c r="R381" s="715"/>
      <c r="S381" s="1068"/>
      <c r="T381" s="632">
        <v>95641.36</v>
      </c>
      <c r="U381" s="633" t="s">
        <v>3431</v>
      </c>
      <c r="V381" s="634">
        <v>44490</v>
      </c>
      <c r="W381" s="635" t="s">
        <v>2302</v>
      </c>
      <c r="X381" s="636">
        <v>95641.36</v>
      </c>
      <c r="Y381" s="636">
        <v>95641.36</v>
      </c>
      <c r="Z381" s="987">
        <f t="shared" si="20"/>
        <v>1</v>
      </c>
      <c r="AA381" s="919"/>
      <c r="AB381" s="1055">
        <v>0</v>
      </c>
      <c r="AC381" s="912" t="s">
        <v>3427</v>
      </c>
      <c r="AD381" s="913"/>
      <c r="AE381" s="669"/>
      <c r="AF381" s="704"/>
      <c r="AG381" s="211"/>
      <c r="AH381" s="210"/>
    </row>
    <row r="382" spans="1:34" s="4" customFormat="1">
      <c r="A382" s="2"/>
      <c r="B382" s="310" t="s">
        <v>119</v>
      </c>
      <c r="C382" s="311" t="s">
        <v>27</v>
      </c>
      <c r="D382" s="1220" t="s">
        <v>3432</v>
      </c>
      <c r="E382" s="1221"/>
      <c r="F382" s="312" t="s">
        <v>3433</v>
      </c>
      <c r="G382" s="313">
        <v>44292</v>
      </c>
      <c r="H382" s="624"/>
      <c r="I382" s="625"/>
      <c r="J382" s="626"/>
      <c r="K382" s="627"/>
      <c r="L382" s="628"/>
      <c r="M382" s="629"/>
      <c r="N382" s="627"/>
      <c r="O382" s="628"/>
      <c r="P382" s="630"/>
      <c r="Q382" s="631"/>
      <c r="R382" s="715"/>
      <c r="S382" s="910"/>
      <c r="T382" s="632"/>
      <c r="U382" s="633"/>
      <c r="V382" s="634"/>
      <c r="W382" s="635"/>
      <c r="X382" s="636"/>
      <c r="Y382" s="637"/>
      <c r="Z382" s="921"/>
      <c r="AA382" s="636"/>
      <c r="AB382" s="1056"/>
      <c r="AC382" s="736"/>
      <c r="AD382" s="317"/>
      <c r="AE382" s="669"/>
      <c r="AF382" s="704"/>
      <c r="AG382" s="211"/>
      <c r="AH382" s="210"/>
    </row>
    <row r="383" spans="1:34" s="4" customFormat="1">
      <c r="A383" s="2"/>
      <c r="B383" s="310" t="s">
        <v>119</v>
      </c>
      <c r="C383" s="311" t="s">
        <v>27</v>
      </c>
      <c r="D383" s="1220" t="s">
        <v>3434</v>
      </c>
      <c r="E383" s="1221"/>
      <c r="F383" s="312" t="s">
        <v>3435</v>
      </c>
      <c r="G383" s="313">
        <v>44301</v>
      </c>
      <c r="H383" s="624"/>
      <c r="I383" s="625"/>
      <c r="J383" s="626"/>
      <c r="K383" s="627"/>
      <c r="L383" s="628"/>
      <c r="M383" s="629"/>
      <c r="N383" s="627"/>
      <c r="O383" s="628"/>
      <c r="P383" s="630"/>
      <c r="Q383" s="631"/>
      <c r="R383" s="715"/>
      <c r="S383" s="910"/>
      <c r="T383" s="632"/>
      <c r="U383" s="633"/>
      <c r="V383" s="634"/>
      <c r="W383" s="635"/>
      <c r="X383" s="636"/>
      <c r="Y383" s="637"/>
      <c r="Z383" s="921"/>
      <c r="AA383" s="636"/>
      <c r="AB383" s="1056"/>
      <c r="AC383" s="736"/>
      <c r="AD383" s="317"/>
      <c r="AE383" s="669"/>
      <c r="AF383" s="704"/>
      <c r="AG383" s="211"/>
      <c r="AH383" s="210"/>
    </row>
    <row r="384" spans="1:34" s="4" customFormat="1">
      <c r="A384" s="2"/>
      <c r="B384" s="310" t="s">
        <v>119</v>
      </c>
      <c r="C384" s="311" t="s">
        <v>27</v>
      </c>
      <c r="D384" s="1220" t="s">
        <v>3436</v>
      </c>
      <c r="E384" s="1221"/>
      <c r="F384" s="312" t="s">
        <v>3119</v>
      </c>
      <c r="G384" s="313">
        <v>44431</v>
      </c>
      <c r="H384" s="624"/>
      <c r="I384" s="625"/>
      <c r="J384" s="626"/>
      <c r="K384" s="627"/>
      <c r="L384" s="628"/>
      <c r="M384" s="629"/>
      <c r="N384" s="627"/>
      <c r="O384" s="628"/>
      <c r="P384" s="630"/>
      <c r="Q384" s="631"/>
      <c r="R384" s="715"/>
      <c r="S384" s="910"/>
      <c r="T384" s="632"/>
      <c r="U384" s="633"/>
      <c r="V384" s="634"/>
      <c r="W384" s="635"/>
      <c r="X384" s="636"/>
      <c r="Y384" s="637"/>
      <c r="Z384" s="921"/>
      <c r="AA384" s="636"/>
      <c r="AB384" s="1056"/>
      <c r="AC384" s="736"/>
      <c r="AD384" s="317"/>
      <c r="AE384" s="669"/>
      <c r="AF384" s="704"/>
      <c r="AG384" s="211"/>
      <c r="AH384" s="210"/>
    </row>
    <row r="385" spans="1:34" s="4" customFormat="1">
      <c r="A385" s="2"/>
      <c r="B385" s="310" t="s">
        <v>119</v>
      </c>
      <c r="C385" s="311" t="s">
        <v>27</v>
      </c>
      <c r="D385" s="1220" t="s">
        <v>3437</v>
      </c>
      <c r="E385" s="1221"/>
      <c r="F385" s="312" t="s">
        <v>3438</v>
      </c>
      <c r="G385" s="313">
        <v>44428</v>
      </c>
      <c r="H385" s="624"/>
      <c r="I385" s="625"/>
      <c r="J385" s="626"/>
      <c r="K385" s="627"/>
      <c r="L385" s="628"/>
      <c r="M385" s="629"/>
      <c r="N385" s="627"/>
      <c r="O385" s="628"/>
      <c r="P385" s="630"/>
      <c r="Q385" s="631"/>
      <c r="R385" s="715"/>
      <c r="S385" s="910"/>
      <c r="T385" s="632"/>
      <c r="U385" s="633"/>
      <c r="V385" s="634"/>
      <c r="W385" s="635"/>
      <c r="X385" s="636"/>
      <c r="Y385" s="637"/>
      <c r="Z385" s="921"/>
      <c r="AA385" s="636"/>
      <c r="AB385" s="1056"/>
      <c r="AC385" s="736"/>
      <c r="AD385" s="317"/>
      <c r="AE385" s="669"/>
      <c r="AF385" s="704"/>
      <c r="AG385" s="211"/>
      <c r="AH385" s="210"/>
    </row>
    <row r="386" spans="1:34" s="4" customFormat="1">
      <c r="A386" s="2"/>
      <c r="B386" s="310" t="s">
        <v>119</v>
      </c>
      <c r="C386" s="311" t="s">
        <v>27</v>
      </c>
      <c r="D386" s="1220" t="s">
        <v>3439</v>
      </c>
      <c r="E386" s="1221"/>
      <c r="F386" s="312" t="s">
        <v>3440</v>
      </c>
      <c r="G386" s="313">
        <v>44432</v>
      </c>
      <c r="H386" s="624"/>
      <c r="I386" s="625"/>
      <c r="J386" s="626"/>
      <c r="K386" s="627"/>
      <c r="L386" s="628"/>
      <c r="M386" s="629"/>
      <c r="N386" s="627"/>
      <c r="O386" s="628"/>
      <c r="P386" s="630"/>
      <c r="Q386" s="631"/>
      <c r="R386" s="715"/>
      <c r="S386" s="910"/>
      <c r="T386" s="632"/>
      <c r="U386" s="633"/>
      <c r="V386" s="634"/>
      <c r="W386" s="635"/>
      <c r="X386" s="636"/>
      <c r="Y386" s="637"/>
      <c r="Z386" s="921"/>
      <c r="AA386" s="636"/>
      <c r="AB386" s="1056"/>
      <c r="AC386" s="736"/>
      <c r="AD386" s="317"/>
      <c r="AE386" s="669"/>
      <c r="AF386" s="704"/>
      <c r="AG386" s="211"/>
      <c r="AH386" s="210"/>
    </row>
    <row r="387" spans="1:34" s="4" customFormat="1">
      <c r="A387" s="2"/>
      <c r="B387" s="310" t="s">
        <v>119</v>
      </c>
      <c r="C387" s="311" t="s">
        <v>27</v>
      </c>
      <c r="D387" s="1220" t="s">
        <v>3441</v>
      </c>
      <c r="E387" s="1221"/>
      <c r="F387" s="312" t="s">
        <v>3442</v>
      </c>
      <c r="G387" s="313">
        <v>44432</v>
      </c>
      <c r="H387" s="624"/>
      <c r="I387" s="625"/>
      <c r="J387" s="626"/>
      <c r="K387" s="627"/>
      <c r="L387" s="628"/>
      <c r="M387" s="629"/>
      <c r="N387" s="627"/>
      <c r="O387" s="628"/>
      <c r="P387" s="630"/>
      <c r="Q387" s="631"/>
      <c r="R387" s="715"/>
      <c r="S387" s="910"/>
      <c r="T387" s="632"/>
      <c r="U387" s="633"/>
      <c r="V387" s="634"/>
      <c r="W387" s="635"/>
      <c r="X387" s="636"/>
      <c r="Y387" s="637"/>
      <c r="Z387" s="921"/>
      <c r="AA387" s="636"/>
      <c r="AB387" s="1056"/>
      <c r="AC387" s="736"/>
      <c r="AD387" s="317"/>
      <c r="AE387" s="669"/>
      <c r="AF387" s="704"/>
      <c r="AG387" s="211"/>
      <c r="AH387" s="210"/>
    </row>
    <row r="388" spans="1:34" s="4" customFormat="1">
      <c r="A388" s="2"/>
      <c r="B388" s="310" t="s">
        <v>106</v>
      </c>
      <c r="C388" s="311" t="s">
        <v>33</v>
      </c>
      <c r="D388" s="1220" t="s">
        <v>3443</v>
      </c>
      <c r="E388" s="1221"/>
      <c r="F388" s="312"/>
      <c r="G388" s="313"/>
      <c r="H388" s="624"/>
      <c r="I388" s="625"/>
      <c r="J388" s="626"/>
      <c r="K388" s="627" t="s">
        <v>3444</v>
      </c>
      <c r="L388" s="628">
        <v>44434</v>
      </c>
      <c r="M388" s="629">
        <v>10000</v>
      </c>
      <c r="N388" s="627" t="s">
        <v>3445</v>
      </c>
      <c r="O388" s="628">
        <v>44434</v>
      </c>
      <c r="P388" s="630" t="s">
        <v>3446</v>
      </c>
      <c r="Q388" s="631">
        <v>44481</v>
      </c>
      <c r="R388" s="715"/>
      <c r="S388" s="1068"/>
      <c r="T388" s="632">
        <v>707.04</v>
      </c>
      <c r="U388" s="633" t="s">
        <v>3447</v>
      </c>
      <c r="V388" s="634">
        <v>44484</v>
      </c>
      <c r="W388" s="635" t="s">
        <v>2302</v>
      </c>
      <c r="X388" s="636">
        <v>707.04</v>
      </c>
      <c r="Y388" s="636">
        <v>707.04</v>
      </c>
      <c r="Z388" s="987">
        <f>Y388/X388</f>
        <v>1</v>
      </c>
      <c r="AA388" s="919"/>
      <c r="AB388" s="1055">
        <v>0</v>
      </c>
      <c r="AC388" s="912" t="s">
        <v>3448</v>
      </c>
      <c r="AD388" s="913" t="s">
        <v>3449</v>
      </c>
      <c r="AE388" s="669"/>
      <c r="AF388" s="704"/>
      <c r="AG388" s="211"/>
      <c r="AH388" s="210"/>
    </row>
    <row r="389" spans="1:34" s="4" customFormat="1">
      <c r="A389" s="2"/>
      <c r="B389" s="310" t="s">
        <v>115</v>
      </c>
      <c r="C389" s="311" t="s">
        <v>27</v>
      </c>
      <c r="D389" s="1220"/>
      <c r="E389" s="1221"/>
      <c r="F389" s="312" t="s">
        <v>3450</v>
      </c>
      <c r="G389" s="313">
        <v>44431</v>
      </c>
      <c r="H389" s="624"/>
      <c r="I389" s="625"/>
      <c r="J389" s="626"/>
      <c r="K389" s="627"/>
      <c r="L389" s="628"/>
      <c r="M389" s="629"/>
      <c r="N389" s="627"/>
      <c r="O389" s="628"/>
      <c r="P389" s="630"/>
      <c r="Q389" s="631"/>
      <c r="R389" s="715"/>
      <c r="S389" s="910"/>
      <c r="T389" s="632"/>
      <c r="U389" s="633"/>
      <c r="V389" s="634"/>
      <c r="W389" s="635"/>
      <c r="X389" s="636"/>
      <c r="Y389" s="637"/>
      <c r="Z389" s="921"/>
      <c r="AA389" s="636"/>
      <c r="AB389" s="1056"/>
      <c r="AC389" s="736" t="s">
        <v>3451</v>
      </c>
      <c r="AD389" s="317"/>
      <c r="AE389" s="669"/>
      <c r="AF389" s="718"/>
      <c r="AG389" s="211"/>
      <c r="AH389" s="210"/>
    </row>
    <row r="390" spans="1:34" s="4" customFormat="1">
      <c r="A390" s="2"/>
      <c r="B390" s="310" t="s">
        <v>115</v>
      </c>
      <c r="C390" s="311" t="s">
        <v>27</v>
      </c>
      <c r="D390" s="1220"/>
      <c r="E390" s="1221"/>
      <c r="F390" s="312" t="s">
        <v>3452</v>
      </c>
      <c r="G390" s="313">
        <v>44431</v>
      </c>
      <c r="H390" s="624"/>
      <c r="I390" s="625"/>
      <c r="J390" s="626"/>
      <c r="K390" s="627"/>
      <c r="L390" s="628"/>
      <c r="M390" s="629"/>
      <c r="N390" s="627"/>
      <c r="O390" s="628"/>
      <c r="P390" s="630"/>
      <c r="Q390" s="631"/>
      <c r="R390" s="715"/>
      <c r="S390" s="910"/>
      <c r="T390" s="632"/>
      <c r="U390" s="633"/>
      <c r="V390" s="634"/>
      <c r="W390" s="635"/>
      <c r="X390" s="636"/>
      <c r="Y390" s="637"/>
      <c r="Z390" s="725"/>
      <c r="AA390" s="636"/>
      <c r="AB390" s="1056"/>
      <c r="AC390" s="736" t="s">
        <v>3453</v>
      </c>
      <c r="AD390" s="317" t="s">
        <v>3454</v>
      </c>
      <c r="AE390" s="669"/>
      <c r="AF390" s="718"/>
      <c r="AG390" s="211"/>
      <c r="AH390" s="210"/>
    </row>
    <row r="391" spans="1:34" s="4" customFormat="1">
      <c r="A391" s="2"/>
      <c r="B391" s="310" t="s">
        <v>119</v>
      </c>
      <c r="C391" s="311" t="s">
        <v>27</v>
      </c>
      <c r="D391" s="1220" t="s">
        <v>3455</v>
      </c>
      <c r="E391" s="1221"/>
      <c r="F391" s="312" t="s">
        <v>3456</v>
      </c>
      <c r="G391" s="313">
        <v>44447</v>
      </c>
      <c r="H391" s="624"/>
      <c r="I391" s="625"/>
      <c r="J391" s="626"/>
      <c r="K391" s="627"/>
      <c r="L391" s="628"/>
      <c r="M391" s="629"/>
      <c r="N391" s="627"/>
      <c r="O391" s="628"/>
      <c r="P391" s="630"/>
      <c r="Q391" s="631"/>
      <c r="R391" s="715"/>
      <c r="S391" s="910"/>
      <c r="T391" s="632"/>
      <c r="U391" s="633"/>
      <c r="V391" s="634"/>
      <c r="W391" s="635"/>
      <c r="X391" s="636"/>
      <c r="Y391" s="637"/>
      <c r="Z391" s="725"/>
      <c r="AA391" s="636"/>
      <c r="AB391" s="1056"/>
      <c r="AC391" s="736" t="s">
        <v>3453</v>
      </c>
      <c r="AD391" s="317" t="s">
        <v>3452</v>
      </c>
      <c r="AE391" s="669"/>
      <c r="AF391" s="704"/>
      <c r="AG391" s="211"/>
      <c r="AH391" s="210"/>
    </row>
    <row r="392" spans="1:34" s="4" customFormat="1">
      <c r="A392" s="2"/>
      <c r="B392" s="310" t="s">
        <v>115</v>
      </c>
      <c r="C392" s="311" t="s">
        <v>27</v>
      </c>
      <c r="D392" s="1220"/>
      <c r="E392" s="1221"/>
      <c r="F392" s="312" t="s">
        <v>3457</v>
      </c>
      <c r="G392" s="313">
        <v>44432</v>
      </c>
      <c r="H392" s="624"/>
      <c r="I392" s="625"/>
      <c r="J392" s="626"/>
      <c r="K392" s="627"/>
      <c r="L392" s="628"/>
      <c r="M392" s="629"/>
      <c r="N392" s="627"/>
      <c r="O392" s="628"/>
      <c r="P392" s="630"/>
      <c r="Q392" s="631"/>
      <c r="R392" s="715"/>
      <c r="S392" s="910"/>
      <c r="T392" s="632"/>
      <c r="U392" s="633"/>
      <c r="V392" s="634"/>
      <c r="W392" s="635"/>
      <c r="X392" s="636"/>
      <c r="Y392" s="637"/>
      <c r="Z392" s="725"/>
      <c r="AA392" s="636"/>
      <c r="AB392" s="1056"/>
      <c r="AC392" s="736" t="s">
        <v>3458</v>
      </c>
      <c r="AD392" s="317"/>
      <c r="AE392" s="669"/>
      <c r="AF392" s="704"/>
      <c r="AG392" s="211"/>
      <c r="AH392" s="210"/>
    </row>
    <row r="393" spans="1:34" s="4" customFormat="1">
      <c r="A393" s="2"/>
      <c r="B393" s="310" t="s">
        <v>115</v>
      </c>
      <c r="C393" s="311" t="s">
        <v>27</v>
      </c>
      <c r="D393" s="1220"/>
      <c r="E393" s="1221"/>
      <c r="F393" s="312" t="s">
        <v>3459</v>
      </c>
      <c r="G393" s="313">
        <v>44433</v>
      </c>
      <c r="H393" s="624"/>
      <c r="I393" s="625"/>
      <c r="J393" s="626"/>
      <c r="K393" s="627"/>
      <c r="L393" s="628"/>
      <c r="M393" s="629"/>
      <c r="N393" s="627"/>
      <c r="O393" s="628"/>
      <c r="P393" s="630"/>
      <c r="Q393" s="631"/>
      <c r="R393" s="715"/>
      <c r="S393" s="910"/>
      <c r="T393" s="632"/>
      <c r="U393" s="633"/>
      <c r="V393" s="634"/>
      <c r="W393" s="635"/>
      <c r="X393" s="636"/>
      <c r="Y393" s="637"/>
      <c r="Z393" s="725"/>
      <c r="AA393" s="636"/>
      <c r="AB393" s="1056"/>
      <c r="AC393" s="736" t="s">
        <v>3460</v>
      </c>
      <c r="AD393" s="317"/>
      <c r="AE393" s="669"/>
      <c r="AF393" s="718"/>
      <c r="AG393" s="211"/>
      <c r="AH393" s="210"/>
    </row>
    <row r="394" spans="1:34" s="4" customFormat="1">
      <c r="A394" s="2"/>
      <c r="B394" s="310" t="s">
        <v>106</v>
      </c>
      <c r="C394" s="311" t="s">
        <v>33</v>
      </c>
      <c r="D394" s="1220" t="s">
        <v>3461</v>
      </c>
      <c r="E394" s="1221"/>
      <c r="F394" s="312" t="s">
        <v>3462</v>
      </c>
      <c r="G394" s="313">
        <v>44433</v>
      </c>
      <c r="H394" s="624"/>
      <c r="I394" s="625"/>
      <c r="J394" s="626"/>
      <c r="K394" s="627" t="s">
        <v>3463</v>
      </c>
      <c r="L394" s="628">
        <v>44455</v>
      </c>
      <c r="M394" s="629">
        <v>1500</v>
      </c>
      <c r="N394" s="627" t="s">
        <v>3464</v>
      </c>
      <c r="O394" s="628">
        <v>44456</v>
      </c>
      <c r="P394" s="630" t="s">
        <v>3465</v>
      </c>
      <c r="Q394" s="631">
        <v>44491</v>
      </c>
      <c r="R394" s="715"/>
      <c r="S394" s="1068"/>
      <c r="T394" s="632">
        <v>8738.15</v>
      </c>
      <c r="U394" s="633" t="s">
        <v>3466</v>
      </c>
      <c r="V394" s="634">
        <v>44517</v>
      </c>
      <c r="W394" s="635" t="s">
        <v>2302</v>
      </c>
      <c r="X394" s="636">
        <v>8738.15</v>
      </c>
      <c r="Y394" s="636">
        <v>8738.15</v>
      </c>
      <c r="Z394" s="733">
        <f>Y394/X394</f>
        <v>1</v>
      </c>
      <c r="AA394" s="919"/>
      <c r="AB394" s="1055">
        <v>0</v>
      </c>
      <c r="AC394" s="912" t="s">
        <v>3467</v>
      </c>
      <c r="AD394" s="913"/>
      <c r="AE394" s="669"/>
      <c r="AF394" s="704"/>
      <c r="AG394" s="211"/>
      <c r="AH394" s="210"/>
    </row>
    <row r="395" spans="1:34" s="4" customFormat="1">
      <c r="A395" s="2"/>
      <c r="B395" s="310" t="s">
        <v>115</v>
      </c>
      <c r="C395" s="311" t="s">
        <v>27</v>
      </c>
      <c r="D395" s="1220"/>
      <c r="E395" s="1221"/>
      <c r="F395" s="312" t="s">
        <v>3468</v>
      </c>
      <c r="G395" s="313">
        <v>44434</v>
      </c>
      <c r="H395" s="624"/>
      <c r="I395" s="625"/>
      <c r="J395" s="626"/>
      <c r="K395" s="627"/>
      <c r="L395" s="628"/>
      <c r="M395" s="629"/>
      <c r="N395" s="627"/>
      <c r="O395" s="628"/>
      <c r="P395" s="630"/>
      <c r="Q395" s="631"/>
      <c r="R395" s="715"/>
      <c r="S395" s="910"/>
      <c r="T395" s="632"/>
      <c r="U395" s="633"/>
      <c r="V395" s="634"/>
      <c r="W395" s="635"/>
      <c r="X395" s="636"/>
      <c r="Y395" s="637"/>
      <c r="Z395" s="725"/>
      <c r="AA395" s="636"/>
      <c r="AB395" s="1056"/>
      <c r="AC395" s="736" t="s">
        <v>3469</v>
      </c>
      <c r="AD395" s="317"/>
      <c r="AE395" s="669"/>
      <c r="AF395" s="718"/>
      <c r="AG395" s="211"/>
      <c r="AH395" s="210"/>
    </row>
    <row r="396" spans="1:34" s="4" customFormat="1">
      <c r="A396" s="2"/>
      <c r="B396" s="310" t="s">
        <v>115</v>
      </c>
      <c r="C396" s="311" t="s">
        <v>27</v>
      </c>
      <c r="D396" s="1220"/>
      <c r="E396" s="1221"/>
      <c r="F396" s="312" t="s">
        <v>3470</v>
      </c>
      <c r="G396" s="313">
        <v>44434</v>
      </c>
      <c r="H396" s="624"/>
      <c r="I396" s="625"/>
      <c r="J396" s="626"/>
      <c r="K396" s="627"/>
      <c r="L396" s="628"/>
      <c r="M396" s="629"/>
      <c r="N396" s="627"/>
      <c r="O396" s="628"/>
      <c r="P396" s="630"/>
      <c r="Q396" s="631"/>
      <c r="R396" s="715"/>
      <c r="S396" s="910"/>
      <c r="T396" s="632"/>
      <c r="U396" s="633"/>
      <c r="V396" s="634"/>
      <c r="W396" s="635"/>
      <c r="X396" s="636"/>
      <c r="Y396" s="637"/>
      <c r="Z396" s="725"/>
      <c r="AA396" s="636"/>
      <c r="AB396" s="1056"/>
      <c r="AC396" s="736" t="s">
        <v>3471</v>
      </c>
      <c r="AD396" s="317"/>
      <c r="AE396" s="669"/>
      <c r="AF396" s="718"/>
      <c r="AG396" s="211"/>
      <c r="AH396" s="210"/>
    </row>
    <row r="397" spans="1:34" s="4" customFormat="1">
      <c r="A397" s="2"/>
      <c r="B397" s="310" t="s">
        <v>115</v>
      </c>
      <c r="C397" s="311" t="s">
        <v>27</v>
      </c>
      <c r="D397" s="1220"/>
      <c r="E397" s="1221"/>
      <c r="F397" s="312" t="s">
        <v>3472</v>
      </c>
      <c r="G397" s="313">
        <v>44434</v>
      </c>
      <c r="H397" s="624"/>
      <c r="I397" s="625"/>
      <c r="J397" s="626"/>
      <c r="K397" s="627"/>
      <c r="L397" s="628"/>
      <c r="M397" s="629"/>
      <c r="N397" s="627"/>
      <c r="O397" s="628"/>
      <c r="P397" s="630"/>
      <c r="Q397" s="631"/>
      <c r="R397" s="715"/>
      <c r="S397" s="910"/>
      <c r="T397" s="632"/>
      <c r="U397" s="633"/>
      <c r="V397" s="634"/>
      <c r="W397" s="635"/>
      <c r="X397" s="636"/>
      <c r="Y397" s="637"/>
      <c r="Z397" s="725"/>
      <c r="AA397" s="636"/>
      <c r="AB397" s="1056"/>
      <c r="AC397" s="736" t="s">
        <v>3473</v>
      </c>
      <c r="AD397" s="317"/>
      <c r="AE397" s="669"/>
      <c r="AF397" s="718"/>
      <c r="AG397" s="211"/>
      <c r="AH397" s="210"/>
    </row>
    <row r="398" spans="1:34" s="4" customFormat="1">
      <c r="A398" s="2"/>
      <c r="B398" s="310" t="s">
        <v>106</v>
      </c>
      <c r="C398" s="311" t="s">
        <v>33</v>
      </c>
      <c r="D398" s="1220" t="s">
        <v>3474</v>
      </c>
      <c r="E398" s="1221"/>
      <c r="F398" s="312" t="s">
        <v>3475</v>
      </c>
      <c r="G398" s="313">
        <v>44434</v>
      </c>
      <c r="H398" s="624"/>
      <c r="I398" s="625"/>
      <c r="J398" s="626"/>
      <c r="K398" s="627" t="s">
        <v>3476</v>
      </c>
      <c r="L398" s="628">
        <v>44490</v>
      </c>
      <c r="M398" s="629">
        <v>3500</v>
      </c>
      <c r="N398" s="627" t="s">
        <v>3477</v>
      </c>
      <c r="O398" s="628">
        <v>44490</v>
      </c>
      <c r="P398" s="630" t="s">
        <v>3478</v>
      </c>
      <c r="Q398" s="631">
        <v>44497</v>
      </c>
      <c r="R398" s="715"/>
      <c r="S398" s="1068"/>
      <c r="T398" s="632">
        <v>5305.06</v>
      </c>
      <c r="U398" s="633" t="s">
        <v>3479</v>
      </c>
      <c r="V398" s="634">
        <v>44532</v>
      </c>
      <c r="W398" s="635" t="s">
        <v>2302</v>
      </c>
      <c r="X398" s="636">
        <v>5305.06</v>
      </c>
      <c r="Y398" s="636">
        <v>5305.06</v>
      </c>
      <c r="Z398" s="733">
        <f t="shared" ref="Z398:Z399" si="21">Y398/X398</f>
        <v>1</v>
      </c>
      <c r="AA398" s="919"/>
      <c r="AB398" s="1055">
        <v>0</v>
      </c>
      <c r="AC398" s="912" t="s">
        <v>3480</v>
      </c>
      <c r="AD398" s="913"/>
      <c r="AE398" s="669"/>
      <c r="AF398" s="704"/>
      <c r="AG398" s="211"/>
      <c r="AH398" s="210">
        <v>44507</v>
      </c>
    </row>
    <row r="399" spans="1:34" s="4" customFormat="1">
      <c r="A399" s="2">
        <v>3</v>
      </c>
      <c r="B399" s="310" t="s">
        <v>106</v>
      </c>
      <c r="C399" s="311" t="s">
        <v>33</v>
      </c>
      <c r="D399" s="1220" t="s">
        <v>3481</v>
      </c>
      <c r="E399" s="1221"/>
      <c r="F399" s="312" t="s">
        <v>3482</v>
      </c>
      <c r="G399" s="313">
        <v>44434</v>
      </c>
      <c r="H399" s="624"/>
      <c r="I399" s="625"/>
      <c r="J399" s="626"/>
      <c r="K399" s="627" t="s">
        <v>3483</v>
      </c>
      <c r="L399" s="628">
        <v>44530</v>
      </c>
      <c r="M399" s="629">
        <v>5000</v>
      </c>
      <c r="N399" s="627" t="s">
        <v>3484</v>
      </c>
      <c r="O399" s="628">
        <v>44530</v>
      </c>
      <c r="P399" s="630" t="s">
        <v>3485</v>
      </c>
      <c r="Q399" s="631"/>
      <c r="R399" s="715"/>
      <c r="S399" s="1068"/>
      <c r="T399" s="632">
        <v>74669.48</v>
      </c>
      <c r="U399" s="633" t="s">
        <v>3486</v>
      </c>
      <c r="V399" s="634">
        <v>44672</v>
      </c>
      <c r="W399" s="635" t="s">
        <v>2302</v>
      </c>
      <c r="X399" s="636">
        <v>74669.48</v>
      </c>
      <c r="Y399" s="636">
        <v>74669.48</v>
      </c>
      <c r="Z399" s="733">
        <f t="shared" si="21"/>
        <v>1</v>
      </c>
      <c r="AA399" s="919"/>
      <c r="AB399" s="1055">
        <v>0</v>
      </c>
      <c r="AC399" s="912" t="s">
        <v>3487</v>
      </c>
      <c r="AD399" s="913" t="s">
        <v>3488</v>
      </c>
      <c r="AE399" s="669"/>
      <c r="AF399" s="704"/>
      <c r="AG399" s="211"/>
      <c r="AH399" s="210"/>
    </row>
    <row r="400" spans="1:34" s="4" customFormat="1">
      <c r="A400" s="2"/>
      <c r="B400" s="310" t="s">
        <v>115</v>
      </c>
      <c r="C400" s="311" t="s">
        <v>27</v>
      </c>
      <c r="D400" s="1220"/>
      <c r="E400" s="1221"/>
      <c r="F400" s="312" t="s">
        <v>3489</v>
      </c>
      <c r="G400" s="313">
        <v>44434</v>
      </c>
      <c r="H400" s="624"/>
      <c r="I400" s="625"/>
      <c r="J400" s="626"/>
      <c r="K400" s="627"/>
      <c r="L400" s="628"/>
      <c r="M400" s="629"/>
      <c r="N400" s="627"/>
      <c r="O400" s="628"/>
      <c r="P400" s="630"/>
      <c r="Q400" s="631"/>
      <c r="R400" s="715"/>
      <c r="S400" s="910"/>
      <c r="T400" s="632"/>
      <c r="U400" s="633"/>
      <c r="V400" s="634"/>
      <c r="W400" s="635"/>
      <c r="X400" s="636"/>
      <c r="Y400" s="637"/>
      <c r="Z400" s="725"/>
      <c r="AA400" s="636"/>
      <c r="AB400" s="1056"/>
      <c r="AC400" s="736" t="s">
        <v>3490</v>
      </c>
      <c r="AD400" s="317"/>
      <c r="AE400" s="669"/>
      <c r="AF400" s="718"/>
      <c r="AG400" s="211"/>
      <c r="AH400" s="210"/>
    </row>
    <row r="401" spans="1:34" s="4" customFormat="1">
      <c r="A401" s="2"/>
      <c r="B401" s="310" t="s">
        <v>115</v>
      </c>
      <c r="C401" s="311" t="s">
        <v>27</v>
      </c>
      <c r="D401" s="1220"/>
      <c r="E401" s="1221"/>
      <c r="F401" s="312" t="s">
        <v>3491</v>
      </c>
      <c r="G401" s="313">
        <v>44435</v>
      </c>
      <c r="H401" s="624"/>
      <c r="I401" s="625"/>
      <c r="J401" s="626"/>
      <c r="K401" s="627"/>
      <c r="L401" s="628"/>
      <c r="M401" s="629"/>
      <c r="N401" s="627"/>
      <c r="O401" s="628"/>
      <c r="P401" s="630"/>
      <c r="Q401" s="631"/>
      <c r="R401" s="715"/>
      <c r="S401" s="910"/>
      <c r="T401" s="632"/>
      <c r="U401" s="633"/>
      <c r="V401" s="634"/>
      <c r="W401" s="635"/>
      <c r="X401" s="636"/>
      <c r="Y401" s="637"/>
      <c r="Z401" s="725"/>
      <c r="AA401" s="636"/>
      <c r="AB401" s="1056"/>
      <c r="AC401" s="736" t="s">
        <v>3492</v>
      </c>
      <c r="AD401" s="317"/>
      <c r="AE401" s="669"/>
      <c r="AF401" s="718"/>
      <c r="AG401" s="211"/>
      <c r="AH401" s="210"/>
    </row>
    <row r="402" spans="1:34" s="4" customFormat="1">
      <c r="A402" s="2"/>
      <c r="B402" s="310" t="s">
        <v>106</v>
      </c>
      <c r="C402" s="311" t="s">
        <v>33</v>
      </c>
      <c r="D402" s="1220" t="s">
        <v>3493</v>
      </c>
      <c r="E402" s="1221"/>
      <c r="F402" s="312" t="s">
        <v>3494</v>
      </c>
      <c r="G402" s="313">
        <v>44438</v>
      </c>
      <c r="H402" s="624"/>
      <c r="I402" s="625"/>
      <c r="J402" s="626"/>
      <c r="K402" s="627" t="s">
        <v>3495</v>
      </c>
      <c r="L402" s="628">
        <v>44551</v>
      </c>
      <c r="M402" s="629">
        <v>20000</v>
      </c>
      <c r="N402" s="627" t="s">
        <v>3496</v>
      </c>
      <c r="O402" s="628">
        <v>44551</v>
      </c>
      <c r="P402" s="630" t="s">
        <v>3497</v>
      </c>
      <c r="Q402" s="631"/>
      <c r="R402" s="715"/>
      <c r="S402" s="1068"/>
      <c r="T402" s="632">
        <v>242877.97</v>
      </c>
      <c r="U402" s="633" t="s">
        <v>3498</v>
      </c>
      <c r="V402" s="634">
        <v>44729</v>
      </c>
      <c r="W402" s="635" t="s">
        <v>2302</v>
      </c>
      <c r="X402" s="636">
        <v>242877.97</v>
      </c>
      <c r="Y402" s="636">
        <v>242877.97</v>
      </c>
      <c r="Z402" s="733">
        <f t="shared" ref="Z402" si="22">Y402/X402</f>
        <v>1</v>
      </c>
      <c r="AA402" s="636"/>
      <c r="AB402" s="1055">
        <v>0</v>
      </c>
      <c r="AC402" s="912" t="s">
        <v>3499</v>
      </c>
      <c r="AD402" s="913" t="s">
        <v>3500</v>
      </c>
      <c r="AE402" s="669"/>
      <c r="AF402" s="704"/>
      <c r="AG402" s="211"/>
      <c r="AH402" s="210"/>
    </row>
    <row r="403" spans="1:34" s="4" customFormat="1">
      <c r="A403" s="2"/>
      <c r="B403" s="310" t="s">
        <v>115</v>
      </c>
      <c r="C403" s="311" t="s">
        <v>27</v>
      </c>
      <c r="D403" s="1220"/>
      <c r="E403" s="1221"/>
      <c r="F403" s="312" t="s">
        <v>3501</v>
      </c>
      <c r="G403" s="313">
        <v>44438</v>
      </c>
      <c r="H403" s="624"/>
      <c r="I403" s="625"/>
      <c r="J403" s="626"/>
      <c r="K403" s="627"/>
      <c r="L403" s="628"/>
      <c r="M403" s="629"/>
      <c r="N403" s="627"/>
      <c r="O403" s="628"/>
      <c r="P403" s="630"/>
      <c r="Q403" s="631"/>
      <c r="R403" s="715"/>
      <c r="S403" s="910"/>
      <c r="T403" s="632"/>
      <c r="U403" s="633"/>
      <c r="V403" s="634"/>
      <c r="W403" s="635"/>
      <c r="X403" s="636"/>
      <c r="Y403" s="637"/>
      <c r="Z403" s="725"/>
      <c r="AA403" s="636"/>
      <c r="AB403" s="1056"/>
      <c r="AC403" s="736" t="s">
        <v>3502</v>
      </c>
      <c r="AD403" s="317" t="s">
        <v>3503</v>
      </c>
      <c r="AE403" s="669"/>
      <c r="AF403" s="718"/>
      <c r="AG403" s="211"/>
      <c r="AH403" s="210"/>
    </row>
    <row r="404" spans="1:34" s="4" customFormat="1">
      <c r="A404" s="2"/>
      <c r="B404" s="310" t="s">
        <v>119</v>
      </c>
      <c r="C404" s="311" t="s">
        <v>27</v>
      </c>
      <c r="D404" s="1220" t="s">
        <v>3504</v>
      </c>
      <c r="E404" s="1221"/>
      <c r="F404" s="312" t="s">
        <v>3505</v>
      </c>
      <c r="G404" s="313">
        <v>44463</v>
      </c>
      <c r="H404" s="624"/>
      <c r="I404" s="625"/>
      <c r="J404" s="626"/>
      <c r="K404" s="627"/>
      <c r="L404" s="628"/>
      <c r="M404" s="629"/>
      <c r="N404" s="627"/>
      <c r="O404" s="628"/>
      <c r="P404" s="630"/>
      <c r="Q404" s="631"/>
      <c r="R404" s="715"/>
      <c r="S404" s="910"/>
      <c r="T404" s="632"/>
      <c r="U404" s="633"/>
      <c r="V404" s="634"/>
      <c r="W404" s="635"/>
      <c r="X404" s="636"/>
      <c r="Y404" s="637"/>
      <c r="Z404" s="725"/>
      <c r="AA404" s="636"/>
      <c r="AB404" s="1056"/>
      <c r="AC404" s="736" t="s">
        <v>3506</v>
      </c>
      <c r="AD404" s="317" t="s">
        <v>3501</v>
      </c>
      <c r="AE404" s="669"/>
      <c r="AF404" s="704"/>
      <c r="AG404" s="211"/>
      <c r="AH404" s="210"/>
    </row>
    <row r="405" spans="1:34" s="4" customFormat="1">
      <c r="A405" s="2"/>
      <c r="B405" s="310" t="s">
        <v>115</v>
      </c>
      <c r="C405" s="311" t="s">
        <v>27</v>
      </c>
      <c r="D405" s="1220"/>
      <c r="E405" s="1221"/>
      <c r="F405" s="312" t="s">
        <v>3507</v>
      </c>
      <c r="G405" s="313">
        <v>44441</v>
      </c>
      <c r="H405" s="624"/>
      <c r="I405" s="625"/>
      <c r="J405" s="626"/>
      <c r="K405" s="627"/>
      <c r="L405" s="628"/>
      <c r="M405" s="629"/>
      <c r="N405" s="627"/>
      <c r="O405" s="628"/>
      <c r="P405" s="630"/>
      <c r="Q405" s="631"/>
      <c r="R405" s="715"/>
      <c r="S405" s="910"/>
      <c r="T405" s="632"/>
      <c r="U405" s="633"/>
      <c r="V405" s="634"/>
      <c r="W405" s="635"/>
      <c r="X405" s="636"/>
      <c r="Y405" s="637"/>
      <c r="Z405" s="725"/>
      <c r="AA405" s="636"/>
      <c r="AB405" s="1056"/>
      <c r="AC405" s="736" t="s">
        <v>3508</v>
      </c>
      <c r="AD405" s="317"/>
      <c r="AE405" s="669"/>
      <c r="AF405" s="718"/>
      <c r="AG405" s="211"/>
      <c r="AH405" s="210"/>
    </row>
    <row r="406" spans="1:34" s="4" customFormat="1">
      <c r="A406" s="2"/>
      <c r="B406" s="310" t="s">
        <v>115</v>
      </c>
      <c r="C406" s="311" t="s">
        <v>27</v>
      </c>
      <c r="D406" s="1220"/>
      <c r="E406" s="1221"/>
      <c r="F406" s="312" t="s">
        <v>3509</v>
      </c>
      <c r="G406" s="313">
        <v>44441</v>
      </c>
      <c r="H406" s="624"/>
      <c r="I406" s="625"/>
      <c r="J406" s="626"/>
      <c r="K406" s="627"/>
      <c r="L406" s="628"/>
      <c r="M406" s="629"/>
      <c r="N406" s="627"/>
      <c r="O406" s="628"/>
      <c r="P406" s="630"/>
      <c r="Q406" s="631"/>
      <c r="R406" s="715"/>
      <c r="S406" s="910"/>
      <c r="T406" s="632"/>
      <c r="U406" s="633"/>
      <c r="V406" s="634"/>
      <c r="W406" s="635"/>
      <c r="X406" s="636"/>
      <c r="Y406" s="637"/>
      <c r="Z406" s="725"/>
      <c r="AA406" s="636"/>
      <c r="AB406" s="1056"/>
      <c r="AC406" s="736" t="s">
        <v>3510</v>
      </c>
      <c r="AD406" s="317"/>
      <c r="AE406" s="669"/>
      <c r="AF406" s="718"/>
      <c r="AG406" s="211"/>
      <c r="AH406" s="210"/>
    </row>
    <row r="407" spans="1:34" s="4" customFormat="1">
      <c r="A407" s="2"/>
      <c r="B407" s="310" t="s">
        <v>115</v>
      </c>
      <c r="C407" s="311" t="s">
        <v>27</v>
      </c>
      <c r="D407" s="1220"/>
      <c r="E407" s="1221"/>
      <c r="F407" s="312" t="s">
        <v>3511</v>
      </c>
      <c r="G407" s="313">
        <v>44442</v>
      </c>
      <c r="H407" s="624"/>
      <c r="I407" s="625"/>
      <c r="J407" s="626"/>
      <c r="K407" s="627"/>
      <c r="L407" s="628"/>
      <c r="M407" s="629"/>
      <c r="N407" s="627"/>
      <c r="O407" s="628"/>
      <c r="P407" s="630"/>
      <c r="Q407" s="631"/>
      <c r="R407" s="715"/>
      <c r="S407" s="910"/>
      <c r="T407" s="632"/>
      <c r="U407" s="633"/>
      <c r="V407" s="634"/>
      <c r="W407" s="635"/>
      <c r="X407" s="636"/>
      <c r="Y407" s="637"/>
      <c r="Z407" s="725"/>
      <c r="AA407" s="636"/>
      <c r="AB407" s="1056"/>
      <c r="AC407" s="736" t="s">
        <v>3512</v>
      </c>
      <c r="AD407" s="317"/>
      <c r="AE407" s="669"/>
      <c r="AF407" s="718"/>
      <c r="AG407" s="211"/>
      <c r="AH407" s="210"/>
    </row>
    <row r="408" spans="1:34" s="4" customFormat="1">
      <c r="A408" s="2"/>
      <c r="B408" s="310" t="s">
        <v>115</v>
      </c>
      <c r="C408" s="311" t="s">
        <v>27</v>
      </c>
      <c r="D408" s="1220"/>
      <c r="E408" s="1221"/>
      <c r="F408" s="312" t="s">
        <v>3513</v>
      </c>
      <c r="G408" s="313">
        <v>44449</v>
      </c>
      <c r="H408" s="624"/>
      <c r="I408" s="625"/>
      <c r="J408" s="626"/>
      <c r="K408" s="627"/>
      <c r="L408" s="628"/>
      <c r="M408" s="629"/>
      <c r="N408" s="627"/>
      <c r="O408" s="628"/>
      <c r="P408" s="630"/>
      <c r="Q408" s="631"/>
      <c r="R408" s="715"/>
      <c r="S408" s="910"/>
      <c r="T408" s="632"/>
      <c r="U408" s="633"/>
      <c r="V408" s="634"/>
      <c r="W408" s="635"/>
      <c r="X408" s="636"/>
      <c r="Y408" s="637"/>
      <c r="Z408" s="725"/>
      <c r="AA408" s="636"/>
      <c r="AB408" s="1056"/>
      <c r="AC408" s="736" t="s">
        <v>3514</v>
      </c>
      <c r="AD408" s="317"/>
      <c r="AE408" s="669"/>
      <c r="AF408" s="718"/>
      <c r="AG408" s="211"/>
      <c r="AH408" s="210"/>
    </row>
    <row r="409" spans="1:34" s="4" customFormat="1">
      <c r="A409" s="2"/>
      <c r="B409" s="310" t="s">
        <v>115</v>
      </c>
      <c r="C409" s="311" t="s">
        <v>27</v>
      </c>
      <c r="D409" s="1220"/>
      <c r="E409" s="1221"/>
      <c r="F409" s="312" t="s">
        <v>3515</v>
      </c>
      <c r="G409" s="313">
        <v>44452</v>
      </c>
      <c r="H409" s="624"/>
      <c r="I409" s="625"/>
      <c r="J409" s="626"/>
      <c r="K409" s="627"/>
      <c r="L409" s="628"/>
      <c r="M409" s="629"/>
      <c r="N409" s="627"/>
      <c r="O409" s="628"/>
      <c r="P409" s="630"/>
      <c r="Q409" s="631"/>
      <c r="R409" s="715"/>
      <c r="S409" s="910"/>
      <c r="T409" s="632"/>
      <c r="U409" s="633"/>
      <c r="V409" s="634"/>
      <c r="W409" s="635"/>
      <c r="X409" s="636"/>
      <c r="Y409" s="637"/>
      <c r="Z409" s="725"/>
      <c r="AA409" s="636"/>
      <c r="AB409" s="1056"/>
      <c r="AC409" s="736" t="s">
        <v>3516</v>
      </c>
      <c r="AD409" s="317"/>
      <c r="AE409" s="669"/>
      <c r="AF409" s="718"/>
      <c r="AG409" s="211"/>
      <c r="AH409" s="210"/>
    </row>
    <row r="410" spans="1:34" s="4" customFormat="1">
      <c r="A410" s="2"/>
      <c r="B410" s="310" t="s">
        <v>106</v>
      </c>
      <c r="C410" s="311" t="s">
        <v>33</v>
      </c>
      <c r="D410" s="1220" t="s">
        <v>3517</v>
      </c>
      <c r="E410" s="1221"/>
      <c r="F410" s="312"/>
      <c r="G410" s="313"/>
      <c r="H410" s="624" t="s">
        <v>3518</v>
      </c>
      <c r="I410" s="625">
        <v>44447</v>
      </c>
      <c r="J410" s="626">
        <v>9000</v>
      </c>
      <c r="K410" s="627" t="s">
        <v>3519</v>
      </c>
      <c r="L410" s="628">
        <v>44441</v>
      </c>
      <c r="M410" s="629">
        <v>3000</v>
      </c>
      <c r="N410" s="627" t="s">
        <v>3520</v>
      </c>
      <c r="O410" s="628">
        <v>44441</v>
      </c>
      <c r="P410" s="630" t="s">
        <v>3521</v>
      </c>
      <c r="Q410" s="631">
        <v>44468</v>
      </c>
      <c r="R410" s="715"/>
      <c r="S410" s="1068"/>
      <c r="T410" s="632">
        <v>17137.48</v>
      </c>
      <c r="U410" s="633" t="s">
        <v>3522</v>
      </c>
      <c r="V410" s="634">
        <v>44503</v>
      </c>
      <c r="W410" s="635" t="s">
        <v>2302</v>
      </c>
      <c r="X410" s="636">
        <v>17137.48</v>
      </c>
      <c r="Y410" s="637">
        <v>17137.48</v>
      </c>
      <c r="Z410" s="733">
        <f>Y410/X410</f>
        <v>1</v>
      </c>
      <c r="AA410" s="919"/>
      <c r="AB410" s="1055">
        <v>0</v>
      </c>
      <c r="AC410" s="912" t="s">
        <v>3523</v>
      </c>
      <c r="AD410" s="913" t="s">
        <v>3524</v>
      </c>
      <c r="AE410" s="669"/>
      <c r="AF410" s="704"/>
      <c r="AG410" s="211"/>
      <c r="AH410" s="210"/>
    </row>
    <row r="411" spans="1:34" s="4" customFormat="1">
      <c r="A411" s="2"/>
      <c r="B411" s="310" t="s">
        <v>110</v>
      </c>
      <c r="C411" s="311" t="s">
        <v>27</v>
      </c>
      <c r="D411" s="1225" t="s">
        <v>3525</v>
      </c>
      <c r="E411" s="1226"/>
      <c r="F411" s="312" t="s">
        <v>3526</v>
      </c>
      <c r="G411" s="313">
        <v>44453</v>
      </c>
      <c r="H411" s="624"/>
      <c r="I411" s="625"/>
      <c r="J411" s="626"/>
      <c r="K411" s="627" t="s">
        <v>3527</v>
      </c>
      <c r="L411" s="628">
        <v>44454</v>
      </c>
      <c r="M411" s="629">
        <v>750</v>
      </c>
      <c r="N411" s="627" t="s">
        <v>3528</v>
      </c>
      <c r="O411" s="628">
        <v>44454</v>
      </c>
      <c r="P411" s="630"/>
      <c r="Q411" s="631"/>
      <c r="R411" s="715"/>
      <c r="S411" s="910"/>
      <c r="T411" s="632"/>
      <c r="U411" s="633"/>
      <c r="V411" s="634"/>
      <c r="W411" s="635" t="s">
        <v>2302</v>
      </c>
      <c r="X411" s="636"/>
      <c r="Y411" s="637"/>
      <c r="Z411" s="725"/>
      <c r="AA411" s="636"/>
      <c r="AB411" s="1056"/>
      <c r="AC411" s="736" t="s">
        <v>3529</v>
      </c>
      <c r="AD411" s="317" t="s">
        <v>3530</v>
      </c>
      <c r="AE411" s="669"/>
      <c r="AF411" s="704"/>
      <c r="AG411" s="211"/>
      <c r="AH411" s="210"/>
    </row>
    <row r="412" spans="1:34" s="4" customFormat="1">
      <c r="A412" s="2"/>
      <c r="B412" s="310" t="s">
        <v>115</v>
      </c>
      <c r="C412" s="311" t="s">
        <v>27</v>
      </c>
      <c r="D412" s="1225"/>
      <c r="E412" s="1226"/>
      <c r="F412" s="312" t="s">
        <v>3531</v>
      </c>
      <c r="G412" s="313">
        <v>44455</v>
      </c>
      <c r="H412" s="624"/>
      <c r="I412" s="625"/>
      <c r="J412" s="626"/>
      <c r="K412" s="627"/>
      <c r="L412" s="628"/>
      <c r="M412" s="629"/>
      <c r="N412" s="627"/>
      <c r="O412" s="628"/>
      <c r="P412" s="630"/>
      <c r="Q412" s="631"/>
      <c r="R412" s="715"/>
      <c r="S412" s="910"/>
      <c r="T412" s="632"/>
      <c r="U412" s="633"/>
      <c r="V412" s="634"/>
      <c r="W412" s="635"/>
      <c r="X412" s="636"/>
      <c r="Y412" s="637"/>
      <c r="Z412" s="921"/>
      <c r="AA412" s="636"/>
      <c r="AB412" s="1056"/>
      <c r="AC412" s="4" t="s">
        <v>3532</v>
      </c>
      <c r="AD412" s="317"/>
      <c r="AE412" s="669"/>
      <c r="AF412" s="718"/>
      <c r="AG412" s="211"/>
      <c r="AH412" s="210"/>
    </row>
    <row r="413" spans="1:34" s="4" customFormat="1">
      <c r="A413" s="2"/>
      <c r="B413" s="310" t="s">
        <v>115</v>
      </c>
      <c r="C413" s="311" t="s">
        <v>27</v>
      </c>
      <c r="D413" s="1225"/>
      <c r="E413" s="1226"/>
      <c r="F413" s="312" t="s">
        <v>3533</v>
      </c>
      <c r="G413" s="313">
        <v>44459</v>
      </c>
      <c r="H413" s="624"/>
      <c r="I413" s="625"/>
      <c r="J413" s="626"/>
      <c r="K413" s="627"/>
      <c r="L413" s="628"/>
      <c r="M413" s="629"/>
      <c r="N413" s="627"/>
      <c r="O413" s="628"/>
      <c r="P413" s="630"/>
      <c r="Q413" s="631"/>
      <c r="R413" s="715"/>
      <c r="S413" s="910"/>
      <c r="T413" s="632"/>
      <c r="U413" s="633"/>
      <c r="V413" s="634"/>
      <c r="W413" s="635"/>
      <c r="X413" s="636"/>
      <c r="Y413" s="637"/>
      <c r="Z413" s="726"/>
      <c r="AA413" s="920"/>
      <c r="AB413" s="1056"/>
      <c r="AC413" s="4" t="s">
        <v>3534</v>
      </c>
      <c r="AD413" s="317"/>
      <c r="AE413" s="669"/>
      <c r="AF413" s="718"/>
      <c r="AG413" s="211"/>
      <c r="AH413" s="210"/>
    </row>
    <row r="414" spans="1:34" s="4" customFormat="1">
      <c r="A414" s="2"/>
      <c r="B414" s="310" t="s">
        <v>115</v>
      </c>
      <c r="C414" s="311" t="s">
        <v>27</v>
      </c>
      <c r="D414" s="1225"/>
      <c r="E414" s="1226"/>
      <c r="F414" s="312" t="s">
        <v>3535</v>
      </c>
      <c r="G414" s="313">
        <v>44459</v>
      </c>
      <c r="H414" s="624"/>
      <c r="I414" s="625"/>
      <c r="J414" s="626"/>
      <c r="K414" s="627"/>
      <c r="L414" s="628"/>
      <c r="M414" s="629"/>
      <c r="N414" s="627"/>
      <c r="O414" s="628"/>
      <c r="P414" s="630"/>
      <c r="Q414" s="631"/>
      <c r="R414" s="715"/>
      <c r="S414" s="910"/>
      <c r="T414" s="632"/>
      <c r="U414" s="633"/>
      <c r="V414" s="634"/>
      <c r="W414" s="635"/>
      <c r="X414" s="636"/>
      <c r="Y414" s="637"/>
      <c r="Z414" s="725"/>
      <c r="AA414" s="636"/>
      <c r="AB414" s="1056"/>
      <c r="AC414" s="736" t="s">
        <v>3536</v>
      </c>
      <c r="AD414" s="317"/>
      <c r="AE414" s="669"/>
      <c r="AF414" s="718"/>
      <c r="AG414" s="211"/>
      <c r="AH414" s="210"/>
    </row>
    <row r="415" spans="1:34" s="4" customFormat="1">
      <c r="A415" s="2"/>
      <c r="B415" s="310" t="s">
        <v>115</v>
      </c>
      <c r="C415" s="311" t="s">
        <v>27</v>
      </c>
      <c r="D415" s="1225"/>
      <c r="E415" s="1226"/>
      <c r="F415" s="312" t="s">
        <v>3537</v>
      </c>
      <c r="G415" s="313">
        <v>44459</v>
      </c>
      <c r="H415" s="624"/>
      <c r="I415" s="625"/>
      <c r="J415" s="626"/>
      <c r="K415" s="627"/>
      <c r="L415" s="628"/>
      <c r="M415" s="629"/>
      <c r="N415" s="627"/>
      <c r="O415" s="628"/>
      <c r="P415" s="630"/>
      <c r="Q415" s="631"/>
      <c r="R415" s="715"/>
      <c r="S415" s="910"/>
      <c r="T415" s="632"/>
      <c r="U415" s="633"/>
      <c r="V415" s="634"/>
      <c r="W415" s="635"/>
      <c r="X415" s="636"/>
      <c r="Y415" s="637"/>
      <c r="Z415" s="725"/>
      <c r="AA415" s="636"/>
      <c r="AB415" s="1056"/>
      <c r="AC415" s="736" t="s">
        <v>3538</v>
      </c>
      <c r="AD415" s="317"/>
      <c r="AE415" s="669"/>
      <c r="AF415" s="704"/>
      <c r="AG415" s="211"/>
      <c r="AH415" s="210"/>
    </row>
    <row r="416" spans="1:34" s="4" customFormat="1">
      <c r="A416" s="2"/>
      <c r="B416" s="310" t="s">
        <v>106</v>
      </c>
      <c r="C416" s="311" t="s">
        <v>33</v>
      </c>
      <c r="D416" s="1220" t="s">
        <v>3493</v>
      </c>
      <c r="E416" s="1221"/>
      <c r="F416" s="312" t="s">
        <v>3539</v>
      </c>
      <c r="G416" s="313">
        <v>44459</v>
      </c>
      <c r="H416" s="624"/>
      <c r="I416" s="625"/>
      <c r="J416" s="626"/>
      <c r="K416" s="627" t="s">
        <v>3540</v>
      </c>
      <c r="L416" s="628">
        <v>44551</v>
      </c>
      <c r="M416" s="629"/>
      <c r="N416" s="627"/>
      <c r="O416" s="628"/>
      <c r="P416" s="630"/>
      <c r="Q416" s="631"/>
      <c r="R416" s="715"/>
      <c r="S416" s="910"/>
      <c r="T416" s="632"/>
      <c r="U416" s="633"/>
      <c r="V416" s="634"/>
      <c r="W416" s="635" t="s">
        <v>2302</v>
      </c>
      <c r="X416" s="636"/>
      <c r="Y416" s="637"/>
      <c r="Z416" s="725"/>
      <c r="AA416" s="636"/>
      <c r="AB416" s="1056"/>
      <c r="AC416" s="736" t="s">
        <v>3541</v>
      </c>
      <c r="AD416" s="317" t="s">
        <v>3500</v>
      </c>
      <c r="AE416" s="669"/>
      <c r="AF416" s="704"/>
      <c r="AG416" s="211"/>
      <c r="AH416" s="210"/>
    </row>
    <row r="417" spans="1:34" s="4" customFormat="1">
      <c r="A417" s="2"/>
      <c r="B417" s="310" t="s">
        <v>115</v>
      </c>
      <c r="C417" s="311" t="s">
        <v>27</v>
      </c>
      <c r="D417" s="687"/>
      <c r="E417" s="688"/>
      <c r="F417" s="312" t="s">
        <v>3542</v>
      </c>
      <c r="G417" s="313">
        <v>44460</v>
      </c>
      <c r="H417" s="624"/>
      <c r="I417" s="625"/>
      <c r="J417" s="626"/>
      <c r="K417" s="627"/>
      <c r="L417" s="628"/>
      <c r="M417" s="629"/>
      <c r="N417" s="627"/>
      <c r="O417" s="628"/>
      <c r="P417" s="630"/>
      <c r="Q417" s="631"/>
      <c r="R417" s="715"/>
      <c r="S417" s="910"/>
      <c r="T417" s="632"/>
      <c r="U417" s="633"/>
      <c r="V417" s="634"/>
      <c r="W417" s="635"/>
      <c r="X417" s="636"/>
      <c r="Y417" s="637"/>
      <c r="Z417" s="725"/>
      <c r="AA417" s="636"/>
      <c r="AB417" s="1056"/>
      <c r="AC417" s="736" t="s">
        <v>3543</v>
      </c>
      <c r="AD417" s="317"/>
      <c r="AE417" s="669"/>
      <c r="AF417" s="718"/>
      <c r="AG417" s="211"/>
      <c r="AH417" s="210"/>
    </row>
    <row r="418" spans="1:34" s="4" customFormat="1">
      <c r="A418" s="2"/>
      <c r="B418" s="310" t="s">
        <v>115</v>
      </c>
      <c r="C418" s="311" t="s">
        <v>27</v>
      </c>
      <c r="D418" s="687"/>
      <c r="E418" s="688"/>
      <c r="F418" s="312" t="s">
        <v>3544</v>
      </c>
      <c r="G418" s="313">
        <v>44461</v>
      </c>
      <c r="H418" s="624"/>
      <c r="I418" s="625"/>
      <c r="J418" s="626"/>
      <c r="K418" s="627"/>
      <c r="L418" s="628"/>
      <c r="M418" s="629"/>
      <c r="N418" s="627"/>
      <c r="O418" s="628"/>
      <c r="P418" s="630"/>
      <c r="Q418" s="631"/>
      <c r="R418" s="715"/>
      <c r="S418" s="910"/>
      <c r="T418" s="632"/>
      <c r="U418" s="633"/>
      <c r="V418" s="634"/>
      <c r="W418" s="635"/>
      <c r="X418" s="636"/>
      <c r="Y418" s="637"/>
      <c r="Z418" s="725"/>
      <c r="AA418" s="636"/>
      <c r="AB418" s="1056"/>
      <c r="AC418" s="736" t="s">
        <v>3545</v>
      </c>
      <c r="AD418" s="317"/>
      <c r="AE418" s="669"/>
      <c r="AF418" s="718"/>
      <c r="AG418" s="211"/>
      <c r="AH418" s="210"/>
    </row>
    <row r="419" spans="1:34" s="4" customFormat="1">
      <c r="A419" s="2"/>
      <c r="B419" s="310" t="s">
        <v>115</v>
      </c>
      <c r="C419" s="311" t="s">
        <v>27</v>
      </c>
      <c r="D419" s="687"/>
      <c r="E419" s="688"/>
      <c r="F419" s="312" t="s">
        <v>3546</v>
      </c>
      <c r="G419" s="313">
        <v>44463</v>
      </c>
      <c r="H419" s="624"/>
      <c r="I419" s="625"/>
      <c r="J419" s="626"/>
      <c r="K419" s="627"/>
      <c r="L419" s="628"/>
      <c r="M419" s="629"/>
      <c r="N419" s="627"/>
      <c r="O419" s="628"/>
      <c r="P419" s="630"/>
      <c r="Q419" s="631"/>
      <c r="R419" s="715"/>
      <c r="S419" s="910"/>
      <c r="T419" s="632"/>
      <c r="U419" s="633"/>
      <c r="V419" s="634"/>
      <c r="W419" s="635"/>
      <c r="X419" s="636"/>
      <c r="Y419" s="637"/>
      <c r="Z419" s="725"/>
      <c r="AA419" s="636"/>
      <c r="AB419" s="1056"/>
      <c r="AC419" s="736" t="s">
        <v>3547</v>
      </c>
      <c r="AD419" s="317"/>
      <c r="AE419" s="669"/>
      <c r="AF419" s="718"/>
      <c r="AG419" s="211"/>
      <c r="AH419" s="210"/>
    </row>
    <row r="420" spans="1:34" s="4" customFormat="1">
      <c r="A420" s="2"/>
      <c r="B420" s="310" t="s">
        <v>115</v>
      </c>
      <c r="C420" s="311" t="s">
        <v>27</v>
      </c>
      <c r="D420" s="687"/>
      <c r="E420" s="688"/>
      <c r="F420" s="312" t="s">
        <v>3548</v>
      </c>
      <c r="G420" s="313">
        <v>44466</v>
      </c>
      <c r="H420" s="624"/>
      <c r="I420" s="625"/>
      <c r="J420" s="626"/>
      <c r="K420" s="627"/>
      <c r="L420" s="628"/>
      <c r="M420" s="629"/>
      <c r="N420" s="627"/>
      <c r="O420" s="628"/>
      <c r="P420" s="630"/>
      <c r="Q420" s="631"/>
      <c r="R420" s="715"/>
      <c r="S420" s="910"/>
      <c r="T420" s="632"/>
      <c r="U420" s="633"/>
      <c r="V420" s="634"/>
      <c r="W420" s="635"/>
      <c r="X420" s="636"/>
      <c r="Y420" s="637"/>
      <c r="Z420" s="725"/>
      <c r="AA420" s="636"/>
      <c r="AB420" s="1056"/>
      <c r="AC420" s="736" t="s">
        <v>3549</v>
      </c>
      <c r="AD420" s="317"/>
      <c r="AE420" s="669"/>
      <c r="AF420" s="718"/>
      <c r="AG420" s="211"/>
      <c r="AH420" s="210"/>
    </row>
    <row r="421" spans="1:34" s="4" customFormat="1">
      <c r="A421" s="2"/>
      <c r="B421" s="310" t="s">
        <v>110</v>
      </c>
      <c r="C421" s="311" t="s">
        <v>27</v>
      </c>
      <c r="D421" s="687" t="s">
        <v>3550</v>
      </c>
      <c r="E421" s="688"/>
      <c r="F421" s="312"/>
      <c r="G421" s="313"/>
      <c r="H421" s="624"/>
      <c r="I421" s="625"/>
      <c r="J421" s="626"/>
      <c r="K421" s="627" t="s">
        <v>3551</v>
      </c>
      <c r="L421" s="628">
        <v>44468</v>
      </c>
      <c r="M421" s="629">
        <v>12000</v>
      </c>
      <c r="N421" s="627" t="s">
        <v>3552</v>
      </c>
      <c r="O421" s="628">
        <v>44468</v>
      </c>
      <c r="P421" s="630" t="s">
        <v>3553</v>
      </c>
      <c r="Q421" s="631">
        <v>44483</v>
      </c>
      <c r="R421" s="715"/>
      <c r="S421" s="910"/>
      <c r="T421" s="632">
        <v>52925.93</v>
      </c>
      <c r="U421" s="633"/>
      <c r="V421" s="634"/>
      <c r="W421" s="635"/>
      <c r="X421" s="636"/>
      <c r="Y421" s="637"/>
      <c r="Z421" s="725"/>
      <c r="AA421" s="636"/>
      <c r="AB421" s="1056"/>
      <c r="AC421" s="736"/>
      <c r="AD421" s="317"/>
      <c r="AE421" s="669"/>
      <c r="AF421" s="704"/>
      <c r="AG421" s="211"/>
      <c r="AH421" s="210">
        <v>44493</v>
      </c>
    </row>
    <row r="422" spans="1:34" s="4" customFormat="1">
      <c r="A422" s="2"/>
      <c r="B422" s="310" t="s">
        <v>115</v>
      </c>
      <c r="C422" s="311" t="s">
        <v>27</v>
      </c>
      <c r="D422" s="1220"/>
      <c r="E422" s="1221"/>
      <c r="F422" s="312" t="s">
        <v>3554</v>
      </c>
      <c r="G422" s="313">
        <v>44475</v>
      </c>
      <c r="H422" s="624"/>
      <c r="I422" s="625"/>
      <c r="J422" s="626"/>
      <c r="K422" s="627"/>
      <c r="L422" s="628"/>
      <c r="M422" s="629"/>
      <c r="N422" s="627"/>
      <c r="O422" s="628"/>
      <c r="P422" s="630"/>
      <c r="Q422" s="631"/>
      <c r="R422" s="715"/>
      <c r="S422" s="910"/>
      <c r="T422" s="632"/>
      <c r="U422" s="633"/>
      <c r="V422" s="634"/>
      <c r="W422" s="635"/>
      <c r="X422" s="636"/>
      <c r="Y422" s="637"/>
      <c r="Z422" s="725"/>
      <c r="AA422" s="636"/>
      <c r="AB422" s="1056"/>
      <c r="AC422" s="736" t="s">
        <v>3555</v>
      </c>
      <c r="AD422" s="317"/>
      <c r="AE422" s="669"/>
      <c r="AF422" s="718"/>
      <c r="AG422" s="211"/>
      <c r="AH422" s="210"/>
    </row>
    <row r="423" spans="1:34" s="4" customFormat="1">
      <c r="A423" s="2"/>
      <c r="B423" s="310" t="s">
        <v>115</v>
      </c>
      <c r="C423" s="311" t="s">
        <v>27</v>
      </c>
      <c r="D423" s="1220"/>
      <c r="E423" s="1221"/>
      <c r="F423" s="312" t="s">
        <v>3556</v>
      </c>
      <c r="G423" s="313">
        <v>44476</v>
      </c>
      <c r="H423" s="624"/>
      <c r="I423" s="625"/>
      <c r="J423" s="626"/>
      <c r="K423" s="627"/>
      <c r="L423" s="628"/>
      <c r="M423" s="629"/>
      <c r="N423" s="627"/>
      <c r="O423" s="628"/>
      <c r="P423" s="630"/>
      <c r="Q423" s="631"/>
      <c r="R423" s="715"/>
      <c r="S423" s="910"/>
      <c r="T423" s="632"/>
      <c r="U423" s="633"/>
      <c r="V423" s="634"/>
      <c r="W423" s="635"/>
      <c r="X423" s="636"/>
      <c r="Y423" s="637"/>
      <c r="Z423" s="725"/>
      <c r="AA423" s="636"/>
      <c r="AB423" s="1056"/>
      <c r="AC423" s="736" t="s">
        <v>3557</v>
      </c>
      <c r="AD423" s="317"/>
      <c r="AE423" s="669"/>
      <c r="AF423" s="718"/>
      <c r="AG423" s="211"/>
      <c r="AH423" s="210"/>
    </row>
    <row r="424" spans="1:34" s="4" customFormat="1">
      <c r="A424" s="2"/>
      <c r="B424" s="310" t="s">
        <v>115</v>
      </c>
      <c r="C424" s="311" t="s">
        <v>27</v>
      </c>
      <c r="D424" s="1220"/>
      <c r="E424" s="1221"/>
      <c r="F424" s="312" t="s">
        <v>3558</v>
      </c>
      <c r="G424" s="313">
        <v>44476</v>
      </c>
      <c r="H424" s="624"/>
      <c r="I424" s="625"/>
      <c r="J424" s="626"/>
      <c r="K424" s="627"/>
      <c r="L424" s="628"/>
      <c r="M424" s="629"/>
      <c r="N424" s="627"/>
      <c r="O424" s="628"/>
      <c r="P424" s="630"/>
      <c r="Q424" s="631"/>
      <c r="R424" s="715"/>
      <c r="S424" s="910"/>
      <c r="T424" s="632"/>
      <c r="U424" s="633"/>
      <c r="V424" s="634"/>
      <c r="W424" s="635"/>
      <c r="X424" s="636"/>
      <c r="Y424" s="637"/>
      <c r="Z424" s="725"/>
      <c r="AA424" s="636"/>
      <c r="AB424" s="1056"/>
      <c r="AC424" s="736" t="s">
        <v>3559</v>
      </c>
      <c r="AD424" s="317"/>
      <c r="AE424" s="669"/>
      <c r="AF424" s="718"/>
      <c r="AG424" s="211"/>
      <c r="AH424" s="210"/>
    </row>
    <row r="425" spans="1:34" s="4" customFormat="1">
      <c r="A425" s="2"/>
      <c r="B425" s="310" t="s">
        <v>106</v>
      </c>
      <c r="C425" s="311" t="s">
        <v>33</v>
      </c>
      <c r="D425" s="1220" t="s">
        <v>3560</v>
      </c>
      <c r="E425" s="1221"/>
      <c r="F425" s="312" t="s">
        <v>3561</v>
      </c>
      <c r="G425" s="313">
        <v>44476</v>
      </c>
      <c r="H425" s="624"/>
      <c r="I425" s="625"/>
      <c r="J425" s="626"/>
      <c r="K425" s="627" t="s">
        <v>3562</v>
      </c>
      <c r="L425" s="628">
        <v>44503</v>
      </c>
      <c r="M425" s="629">
        <v>15000</v>
      </c>
      <c r="N425" s="627" t="s">
        <v>3563</v>
      </c>
      <c r="O425" s="628">
        <v>44503</v>
      </c>
      <c r="P425" s="630" t="s">
        <v>3564</v>
      </c>
      <c r="Q425" s="631">
        <v>44512</v>
      </c>
      <c r="R425" s="715"/>
      <c r="S425" s="1068"/>
      <c r="T425" s="632">
        <v>19362.79</v>
      </c>
      <c r="U425" s="633" t="s">
        <v>3565</v>
      </c>
      <c r="V425" s="634">
        <v>44574</v>
      </c>
      <c r="W425" s="635" t="s">
        <v>105</v>
      </c>
      <c r="X425" s="636">
        <v>19362.79</v>
      </c>
      <c r="Y425" s="636">
        <v>19362.79</v>
      </c>
      <c r="Z425" s="733">
        <f>Y425/X425</f>
        <v>1</v>
      </c>
      <c r="AA425" s="919"/>
      <c r="AB425" s="1055">
        <v>0</v>
      </c>
      <c r="AC425" s="912" t="s">
        <v>3566</v>
      </c>
      <c r="AD425" s="913" t="s">
        <v>3567</v>
      </c>
      <c r="AE425" s="669"/>
      <c r="AF425" s="704"/>
      <c r="AG425" s="211"/>
      <c r="AH425" s="210"/>
    </row>
    <row r="426" spans="1:34" s="4" customFormat="1">
      <c r="A426" s="2"/>
      <c r="B426" s="310" t="s">
        <v>115</v>
      </c>
      <c r="C426" s="311" t="s">
        <v>27</v>
      </c>
      <c r="D426" s="1220"/>
      <c r="E426" s="1221"/>
      <c r="F426" s="312" t="s">
        <v>3568</v>
      </c>
      <c r="G426" s="313">
        <v>44476</v>
      </c>
      <c r="H426" s="624"/>
      <c r="I426" s="625"/>
      <c r="J426" s="626"/>
      <c r="K426" s="627"/>
      <c r="L426" s="628"/>
      <c r="M426" s="629"/>
      <c r="N426" s="627"/>
      <c r="O426" s="628"/>
      <c r="P426" s="630"/>
      <c r="Q426" s="631"/>
      <c r="R426" s="715"/>
      <c r="S426" s="910"/>
      <c r="T426" s="632"/>
      <c r="U426" s="633"/>
      <c r="V426" s="634"/>
      <c r="W426" s="635"/>
      <c r="X426" s="636"/>
      <c r="Y426" s="637"/>
      <c r="Z426" s="921"/>
      <c r="AA426" s="636"/>
      <c r="AB426" s="1056"/>
      <c r="AC426" s="736" t="s">
        <v>3569</v>
      </c>
      <c r="AD426" s="317"/>
      <c r="AE426" s="669"/>
      <c r="AF426" s="718"/>
      <c r="AG426" s="211"/>
      <c r="AH426" s="210"/>
    </row>
    <row r="427" spans="1:34" s="4" customFormat="1">
      <c r="A427" s="2"/>
      <c r="B427" s="310" t="s">
        <v>115</v>
      </c>
      <c r="C427" s="311" t="s">
        <v>27</v>
      </c>
      <c r="D427" s="1220"/>
      <c r="E427" s="1221"/>
      <c r="F427" s="312" t="s">
        <v>3570</v>
      </c>
      <c r="G427" s="313">
        <v>44476</v>
      </c>
      <c r="H427" s="624"/>
      <c r="I427" s="625"/>
      <c r="J427" s="626"/>
      <c r="K427" s="627"/>
      <c r="L427" s="628"/>
      <c r="M427" s="629"/>
      <c r="N427" s="627"/>
      <c r="O427" s="628"/>
      <c r="P427" s="630"/>
      <c r="Q427" s="631"/>
      <c r="R427" s="715"/>
      <c r="S427" s="910"/>
      <c r="T427" s="632"/>
      <c r="U427" s="633"/>
      <c r="V427" s="634"/>
      <c r="W427" s="635"/>
      <c r="X427" s="636"/>
      <c r="Y427" s="637"/>
      <c r="Z427" s="921"/>
      <c r="AA427" s="636"/>
      <c r="AB427" s="1056"/>
      <c r="AC427" s="736" t="s">
        <v>3571</v>
      </c>
      <c r="AD427" s="317"/>
      <c r="AE427" s="669"/>
      <c r="AF427" s="718"/>
      <c r="AG427" s="211"/>
      <c r="AH427" s="210"/>
    </row>
    <row r="428" spans="1:34" s="4" customFormat="1">
      <c r="A428" s="2"/>
      <c r="B428" s="310" t="s">
        <v>115</v>
      </c>
      <c r="C428" s="311" t="s">
        <v>27</v>
      </c>
      <c r="D428" s="1220"/>
      <c r="E428" s="1221"/>
      <c r="F428" s="312" t="s">
        <v>3572</v>
      </c>
      <c r="G428" s="313">
        <v>44476</v>
      </c>
      <c r="H428" s="624"/>
      <c r="I428" s="625"/>
      <c r="J428" s="626"/>
      <c r="K428" s="627"/>
      <c r="L428" s="628"/>
      <c r="M428" s="629"/>
      <c r="N428" s="627"/>
      <c r="O428" s="628"/>
      <c r="P428" s="630"/>
      <c r="Q428" s="631"/>
      <c r="R428" s="715"/>
      <c r="S428" s="910"/>
      <c r="T428" s="632"/>
      <c r="U428" s="633"/>
      <c r="V428" s="634"/>
      <c r="W428" s="635"/>
      <c r="X428" s="636"/>
      <c r="Y428" s="637"/>
      <c r="Z428" s="921"/>
      <c r="AA428" s="636"/>
      <c r="AB428" s="1056"/>
      <c r="AC428" s="736" t="s">
        <v>3573</v>
      </c>
      <c r="AD428" s="317"/>
      <c r="AE428" s="669"/>
      <c r="AF428" s="718"/>
      <c r="AG428" s="211"/>
      <c r="AH428" s="210"/>
    </row>
    <row r="429" spans="1:34" s="4" customFormat="1">
      <c r="A429" s="2"/>
      <c r="B429" s="310" t="s">
        <v>106</v>
      </c>
      <c r="C429" s="311" t="s">
        <v>33</v>
      </c>
      <c r="D429" s="1220" t="s">
        <v>3574</v>
      </c>
      <c r="E429" s="1221"/>
      <c r="F429" s="312" t="s">
        <v>3575</v>
      </c>
      <c r="G429" s="313">
        <v>44476</v>
      </c>
      <c r="H429" s="624"/>
      <c r="I429" s="625"/>
      <c r="J429" s="626"/>
      <c r="K429" s="627" t="s">
        <v>3576</v>
      </c>
      <c r="L429" s="628">
        <v>44494</v>
      </c>
      <c r="M429" s="629">
        <v>-3300</v>
      </c>
      <c r="N429" s="627" t="s">
        <v>3577</v>
      </c>
      <c r="O429" s="628">
        <v>44494</v>
      </c>
      <c r="P429" s="630" t="s">
        <v>3578</v>
      </c>
      <c r="Q429" s="631">
        <v>44496</v>
      </c>
      <c r="R429" s="715"/>
      <c r="S429" s="1068"/>
      <c r="T429" s="632">
        <v>-2033.99</v>
      </c>
      <c r="U429" s="633" t="s">
        <v>3579</v>
      </c>
      <c r="V429" s="634">
        <v>44532</v>
      </c>
      <c r="W429" s="635" t="s">
        <v>2302</v>
      </c>
      <c r="X429" s="636">
        <v>-2033.99</v>
      </c>
      <c r="Y429" s="637">
        <v>-2033.99</v>
      </c>
      <c r="Z429" s="987">
        <f>Y429/X429</f>
        <v>1</v>
      </c>
      <c r="AA429" s="919"/>
      <c r="AB429" s="1055">
        <v>0</v>
      </c>
      <c r="AC429" s="912" t="s">
        <v>3580</v>
      </c>
      <c r="AD429" s="913"/>
      <c r="AE429" s="669"/>
      <c r="AF429" s="704"/>
      <c r="AG429" s="211"/>
      <c r="AH429" s="210">
        <v>44506</v>
      </c>
    </row>
    <row r="430" spans="1:34" s="4" customFormat="1">
      <c r="A430" s="2"/>
      <c r="B430" s="310" t="s">
        <v>115</v>
      </c>
      <c r="C430" s="311" t="s">
        <v>27</v>
      </c>
      <c r="D430" s="1220"/>
      <c r="E430" s="1221"/>
      <c r="F430" s="312" t="s">
        <v>3581</v>
      </c>
      <c r="G430" s="313">
        <v>44476</v>
      </c>
      <c r="H430" s="624"/>
      <c r="I430" s="625"/>
      <c r="J430" s="626"/>
      <c r="K430" s="627"/>
      <c r="L430" s="628"/>
      <c r="M430" s="629"/>
      <c r="N430" s="627"/>
      <c r="O430" s="628"/>
      <c r="P430" s="630"/>
      <c r="Q430" s="631"/>
      <c r="R430" s="715"/>
      <c r="S430" s="910"/>
      <c r="T430" s="632"/>
      <c r="U430" s="633"/>
      <c r="V430" s="634"/>
      <c r="W430" s="635"/>
      <c r="X430" s="636"/>
      <c r="Y430" s="637"/>
      <c r="Z430" s="921"/>
      <c r="AA430" s="636"/>
      <c r="AB430" s="1056"/>
      <c r="AC430" s="736" t="s">
        <v>3582</v>
      </c>
      <c r="AD430" s="317"/>
      <c r="AE430" s="669"/>
      <c r="AF430" s="718"/>
      <c r="AG430" s="211"/>
      <c r="AH430" s="210"/>
    </row>
    <row r="431" spans="1:34" s="4" customFormat="1">
      <c r="A431" s="2"/>
      <c r="B431" s="310" t="s">
        <v>106</v>
      </c>
      <c r="C431" s="311" t="s">
        <v>33</v>
      </c>
      <c r="D431" s="1220" t="s">
        <v>3583</v>
      </c>
      <c r="E431" s="1221"/>
      <c r="F431" s="312" t="s">
        <v>3584</v>
      </c>
      <c r="G431" s="313">
        <v>44482</v>
      </c>
      <c r="H431" s="624"/>
      <c r="I431" s="625"/>
      <c r="J431" s="626"/>
      <c r="K431" s="627" t="s">
        <v>3585</v>
      </c>
      <c r="L431" s="628">
        <v>44501</v>
      </c>
      <c r="M431" s="629">
        <v>3000</v>
      </c>
      <c r="N431" s="627" t="s">
        <v>3586</v>
      </c>
      <c r="O431" s="628">
        <v>44501</v>
      </c>
      <c r="P431" s="630" t="s">
        <v>3587</v>
      </c>
      <c r="Q431" s="631">
        <v>44522</v>
      </c>
      <c r="R431" s="715"/>
      <c r="S431" s="1068"/>
      <c r="T431" s="632">
        <v>8902.7099999999991</v>
      </c>
      <c r="U431" s="633" t="s">
        <v>3588</v>
      </c>
      <c r="V431" s="634">
        <v>44529</v>
      </c>
      <c r="W431" s="635" t="s">
        <v>2302</v>
      </c>
      <c r="X431" s="636">
        <v>8902.7099999999991</v>
      </c>
      <c r="Y431" s="636">
        <v>8902.7099999999991</v>
      </c>
      <c r="Z431" s="987">
        <f t="shared" ref="Z431:Z433" si="23">Y431/X431</f>
        <v>1</v>
      </c>
      <c r="AA431" s="919"/>
      <c r="AB431" s="1055">
        <v>0</v>
      </c>
      <c r="AC431" s="912" t="s">
        <v>3589</v>
      </c>
      <c r="AD431" s="913" t="s">
        <v>3590</v>
      </c>
      <c r="AE431" s="669"/>
      <c r="AF431" s="704"/>
      <c r="AG431" s="211"/>
      <c r="AH431" s="210"/>
    </row>
    <row r="432" spans="1:34" s="4" customFormat="1">
      <c r="A432" s="2"/>
      <c r="B432" s="310" t="s">
        <v>106</v>
      </c>
      <c r="C432" s="311" t="s">
        <v>33</v>
      </c>
      <c r="D432" s="1220" t="s">
        <v>3591</v>
      </c>
      <c r="E432" s="1221"/>
      <c r="F432" s="312"/>
      <c r="G432" s="313"/>
      <c r="H432" s="624"/>
      <c r="I432" s="625"/>
      <c r="J432" s="626"/>
      <c r="K432" s="627" t="s">
        <v>3592</v>
      </c>
      <c r="L432" s="628">
        <v>44474</v>
      </c>
      <c r="M432" s="629">
        <v>4605</v>
      </c>
      <c r="N432" s="627" t="s">
        <v>3593</v>
      </c>
      <c r="O432" s="628">
        <v>44474</v>
      </c>
      <c r="P432" s="630" t="s">
        <v>3594</v>
      </c>
      <c r="Q432" s="631">
        <v>44489</v>
      </c>
      <c r="R432" s="715"/>
      <c r="S432" s="1068"/>
      <c r="T432" s="632">
        <v>-4605</v>
      </c>
      <c r="U432" s="633" t="s">
        <v>3595</v>
      </c>
      <c r="V432" s="634">
        <v>44508</v>
      </c>
      <c r="W432" s="635" t="s">
        <v>118</v>
      </c>
      <c r="X432" s="636">
        <v>-2820</v>
      </c>
      <c r="Y432" s="637">
        <v>-2820</v>
      </c>
      <c r="Z432" s="987">
        <f t="shared" si="23"/>
        <v>1</v>
      </c>
      <c r="AA432" s="919"/>
      <c r="AB432" s="1055">
        <v>0</v>
      </c>
      <c r="AC432" s="912"/>
      <c r="AD432" s="913"/>
      <c r="AE432" s="669"/>
      <c r="AF432" s="704"/>
      <c r="AG432" s="211"/>
      <c r="AH432" s="210"/>
    </row>
    <row r="433" spans="1:34" s="4" customFormat="1">
      <c r="A433" s="2"/>
      <c r="B433" s="310" t="s">
        <v>106</v>
      </c>
      <c r="C433" s="311" t="s">
        <v>33</v>
      </c>
      <c r="D433" s="1220" t="s">
        <v>3596</v>
      </c>
      <c r="E433" s="1221"/>
      <c r="F433" s="312"/>
      <c r="G433" s="313"/>
      <c r="H433" s="624"/>
      <c r="I433" s="625"/>
      <c r="J433" s="626"/>
      <c r="K433" s="627" t="s">
        <v>3597</v>
      </c>
      <c r="L433" s="628">
        <v>44475</v>
      </c>
      <c r="M433" s="629">
        <v>2000</v>
      </c>
      <c r="N433" s="627" t="s">
        <v>3598</v>
      </c>
      <c r="O433" s="628">
        <v>44477</v>
      </c>
      <c r="P433" s="630" t="s">
        <v>3599</v>
      </c>
      <c r="Q433" s="631">
        <v>44491</v>
      </c>
      <c r="R433" s="715"/>
      <c r="S433" s="1068"/>
      <c r="T433" s="632">
        <v>1432.26</v>
      </c>
      <c r="U433" s="633" t="s">
        <v>3600</v>
      </c>
      <c r="V433" s="634">
        <v>44508</v>
      </c>
      <c r="W433" s="635" t="s">
        <v>105</v>
      </c>
      <c r="X433" s="636">
        <v>1432.26</v>
      </c>
      <c r="Y433" s="637">
        <v>1432.26</v>
      </c>
      <c r="Z433" s="987">
        <f t="shared" si="23"/>
        <v>1</v>
      </c>
      <c r="AA433" s="919"/>
      <c r="AB433" s="1055">
        <v>0</v>
      </c>
      <c r="AC433" s="912" t="s">
        <v>3601</v>
      </c>
      <c r="AD433" s="913"/>
      <c r="AE433" s="669"/>
      <c r="AF433" s="704"/>
      <c r="AG433" s="211"/>
      <c r="AH433" s="210"/>
    </row>
    <row r="434" spans="1:34" s="4" customFormat="1">
      <c r="A434" s="2"/>
      <c r="B434" s="310" t="s">
        <v>119</v>
      </c>
      <c r="C434" s="311" t="s">
        <v>27</v>
      </c>
      <c r="D434" s="1220" t="s">
        <v>3602</v>
      </c>
      <c r="E434" s="1221"/>
      <c r="F434" s="312" t="s">
        <v>3603</v>
      </c>
      <c r="G434" s="313">
        <v>44442</v>
      </c>
      <c r="H434" s="624"/>
      <c r="I434" s="625"/>
      <c r="J434" s="626"/>
      <c r="K434" s="627"/>
      <c r="L434" s="628"/>
      <c r="M434" s="629"/>
      <c r="N434" s="627"/>
      <c r="O434" s="628"/>
      <c r="P434" s="630"/>
      <c r="Q434" s="631"/>
      <c r="R434" s="715"/>
      <c r="S434" s="910"/>
      <c r="T434" s="632"/>
      <c r="U434" s="633"/>
      <c r="V434" s="634"/>
      <c r="W434" s="635"/>
      <c r="X434" s="636"/>
      <c r="Y434" s="637"/>
      <c r="Z434" s="921"/>
      <c r="AA434" s="636"/>
      <c r="AB434" s="1056"/>
      <c r="AC434" s="736"/>
      <c r="AD434" s="317" t="s">
        <v>3604</v>
      </c>
      <c r="AE434" s="669"/>
      <c r="AF434" s="704"/>
      <c r="AG434" s="211"/>
      <c r="AH434" s="210"/>
    </row>
    <row r="435" spans="1:34" s="4" customFormat="1">
      <c r="A435" s="2"/>
      <c r="B435" s="310" t="s">
        <v>119</v>
      </c>
      <c r="C435" s="311" t="s">
        <v>27</v>
      </c>
      <c r="D435" s="1220" t="s">
        <v>3605</v>
      </c>
      <c r="E435" s="1221"/>
      <c r="F435" s="312" t="s">
        <v>3606</v>
      </c>
      <c r="G435" s="313">
        <v>44454</v>
      </c>
      <c r="H435" s="624"/>
      <c r="I435" s="625"/>
      <c r="J435" s="626"/>
      <c r="K435" s="627"/>
      <c r="L435" s="628"/>
      <c r="M435" s="629"/>
      <c r="N435" s="627"/>
      <c r="O435" s="628"/>
      <c r="P435" s="630"/>
      <c r="Q435" s="631"/>
      <c r="R435" s="715"/>
      <c r="S435" s="910"/>
      <c r="T435" s="632"/>
      <c r="U435" s="633"/>
      <c r="V435" s="634"/>
      <c r="W435" s="635"/>
      <c r="X435" s="636"/>
      <c r="Y435" s="637"/>
      <c r="Z435" s="921"/>
      <c r="AA435" s="636"/>
      <c r="AB435" s="1056"/>
      <c r="AC435" s="736"/>
      <c r="AD435" s="317" t="s">
        <v>3607</v>
      </c>
      <c r="AE435" s="669"/>
      <c r="AF435" s="704"/>
      <c r="AG435" s="211"/>
      <c r="AH435" s="210"/>
    </row>
    <row r="436" spans="1:34" s="4" customFormat="1">
      <c r="A436" s="2"/>
      <c r="B436" s="310" t="s">
        <v>119</v>
      </c>
      <c r="C436" s="311" t="s">
        <v>27</v>
      </c>
      <c r="D436" s="1220" t="s">
        <v>3608</v>
      </c>
      <c r="E436" s="1221"/>
      <c r="F436" s="312" t="s">
        <v>3609</v>
      </c>
      <c r="G436" s="313">
        <v>44470</v>
      </c>
      <c r="H436" s="624"/>
      <c r="I436" s="625"/>
      <c r="J436" s="626"/>
      <c r="K436" s="627"/>
      <c r="L436" s="628"/>
      <c r="M436" s="629"/>
      <c r="N436" s="627"/>
      <c r="O436" s="628"/>
      <c r="P436" s="630"/>
      <c r="Q436" s="631"/>
      <c r="R436" s="715"/>
      <c r="S436" s="910"/>
      <c r="T436" s="632"/>
      <c r="U436" s="633"/>
      <c r="V436" s="634"/>
      <c r="W436" s="635"/>
      <c r="X436" s="636"/>
      <c r="Y436" s="637"/>
      <c r="Z436" s="921"/>
      <c r="AA436" s="636"/>
      <c r="AB436" s="1056"/>
      <c r="AC436" s="736"/>
      <c r="AD436" s="317" t="s">
        <v>3610</v>
      </c>
      <c r="AE436" s="669"/>
      <c r="AF436" s="704"/>
      <c r="AG436" s="211"/>
      <c r="AH436" s="210"/>
    </row>
    <row r="437" spans="1:34" s="4" customFormat="1">
      <c r="A437" s="2"/>
      <c r="B437" s="310" t="s">
        <v>119</v>
      </c>
      <c r="C437" s="311" t="s">
        <v>27</v>
      </c>
      <c r="D437" s="1220" t="s">
        <v>3611</v>
      </c>
      <c r="E437" s="1221"/>
      <c r="F437" s="312" t="s">
        <v>3612</v>
      </c>
      <c r="G437" s="313">
        <v>44469</v>
      </c>
      <c r="H437" s="624"/>
      <c r="I437" s="625"/>
      <c r="J437" s="626"/>
      <c r="K437" s="627"/>
      <c r="L437" s="628"/>
      <c r="M437" s="629"/>
      <c r="N437" s="627"/>
      <c r="O437" s="628"/>
      <c r="P437" s="630"/>
      <c r="Q437" s="631"/>
      <c r="R437" s="715"/>
      <c r="S437" s="910"/>
      <c r="T437" s="632"/>
      <c r="U437" s="633"/>
      <c r="V437" s="634"/>
      <c r="W437" s="635"/>
      <c r="X437" s="636"/>
      <c r="Y437" s="637"/>
      <c r="Z437" s="921"/>
      <c r="AA437" s="636"/>
      <c r="AB437" s="1056"/>
      <c r="AC437" s="736"/>
      <c r="AD437" s="317" t="s">
        <v>3613</v>
      </c>
      <c r="AE437" s="669"/>
      <c r="AF437" s="704"/>
      <c r="AG437" s="211"/>
      <c r="AH437" s="210"/>
    </row>
    <row r="438" spans="1:34" s="4" customFormat="1">
      <c r="A438" s="2"/>
      <c r="B438" s="310" t="s">
        <v>119</v>
      </c>
      <c r="C438" s="311" t="s">
        <v>27</v>
      </c>
      <c r="D438" s="1220" t="s">
        <v>3614</v>
      </c>
      <c r="E438" s="1221"/>
      <c r="F438" s="312" t="s">
        <v>3615</v>
      </c>
      <c r="G438" s="313">
        <v>44469</v>
      </c>
      <c r="H438" s="624"/>
      <c r="I438" s="625"/>
      <c r="J438" s="626"/>
      <c r="K438" s="627"/>
      <c r="L438" s="628"/>
      <c r="M438" s="629"/>
      <c r="N438" s="627"/>
      <c r="O438" s="628"/>
      <c r="P438" s="630"/>
      <c r="Q438" s="631"/>
      <c r="R438" s="715"/>
      <c r="S438" s="910"/>
      <c r="T438" s="632"/>
      <c r="U438" s="633"/>
      <c r="V438" s="634"/>
      <c r="W438" s="635"/>
      <c r="X438" s="636"/>
      <c r="Y438" s="637"/>
      <c r="Z438" s="921"/>
      <c r="AA438" s="636"/>
      <c r="AB438" s="1056"/>
      <c r="AC438" s="736"/>
      <c r="AD438" s="317" t="s">
        <v>3616</v>
      </c>
      <c r="AE438" s="669"/>
      <c r="AF438" s="704"/>
      <c r="AG438" s="211"/>
      <c r="AH438" s="210"/>
    </row>
    <row r="439" spans="1:34" s="4" customFormat="1">
      <c r="A439" s="2"/>
      <c r="B439" s="310" t="s">
        <v>119</v>
      </c>
      <c r="C439" s="311" t="s">
        <v>27</v>
      </c>
      <c r="D439" s="1220" t="s">
        <v>3617</v>
      </c>
      <c r="E439" s="1221"/>
      <c r="F439" s="312" t="s">
        <v>3618</v>
      </c>
      <c r="G439" s="313">
        <v>44470</v>
      </c>
      <c r="H439" s="624"/>
      <c r="I439" s="625"/>
      <c r="J439" s="626"/>
      <c r="K439" s="627"/>
      <c r="L439" s="628"/>
      <c r="M439" s="629"/>
      <c r="N439" s="627"/>
      <c r="O439" s="628"/>
      <c r="P439" s="630"/>
      <c r="Q439" s="631"/>
      <c r="R439" s="715"/>
      <c r="S439" s="910"/>
      <c r="T439" s="632"/>
      <c r="U439" s="633"/>
      <c r="V439" s="634"/>
      <c r="W439" s="635"/>
      <c r="X439" s="636"/>
      <c r="Y439" s="637"/>
      <c r="Z439" s="921"/>
      <c r="AA439" s="636"/>
      <c r="AB439" s="1056"/>
      <c r="AC439" s="736"/>
      <c r="AD439" s="317" t="s">
        <v>3619</v>
      </c>
      <c r="AE439" s="669"/>
      <c r="AF439" s="704"/>
      <c r="AG439" s="211"/>
      <c r="AH439" s="210"/>
    </row>
    <row r="440" spans="1:34" s="4" customFormat="1">
      <c r="A440" s="2"/>
      <c r="B440" s="310" t="s">
        <v>115</v>
      </c>
      <c r="C440" s="311" t="s">
        <v>27</v>
      </c>
      <c r="D440" s="1220"/>
      <c r="E440" s="1221"/>
      <c r="F440" s="312" t="s">
        <v>3620</v>
      </c>
      <c r="G440" s="313">
        <v>44487</v>
      </c>
      <c r="H440" s="624"/>
      <c r="I440" s="625"/>
      <c r="J440" s="626"/>
      <c r="K440" s="627"/>
      <c r="L440" s="628"/>
      <c r="M440" s="629"/>
      <c r="N440" s="627"/>
      <c r="O440" s="628"/>
      <c r="P440" s="630"/>
      <c r="Q440" s="631"/>
      <c r="R440" s="715"/>
      <c r="S440" s="910"/>
      <c r="T440" s="632"/>
      <c r="U440" s="633"/>
      <c r="V440" s="634"/>
      <c r="W440" s="635"/>
      <c r="X440" s="636"/>
      <c r="Y440" s="637"/>
      <c r="Z440" s="921"/>
      <c r="AA440" s="636"/>
      <c r="AB440" s="1056"/>
      <c r="AC440" s="736"/>
      <c r="AD440" s="317"/>
      <c r="AE440" s="669"/>
      <c r="AF440" s="718"/>
      <c r="AG440" s="211"/>
      <c r="AH440" s="210"/>
    </row>
    <row r="441" spans="1:34" s="4" customFormat="1">
      <c r="A441" s="2"/>
      <c r="B441" s="310" t="s">
        <v>115</v>
      </c>
      <c r="C441" s="311" t="s">
        <v>27</v>
      </c>
      <c r="D441" s="1220"/>
      <c r="E441" s="1221"/>
      <c r="F441" s="312" t="s">
        <v>3621</v>
      </c>
      <c r="G441" s="313">
        <v>44487</v>
      </c>
      <c r="H441" s="624"/>
      <c r="I441" s="625"/>
      <c r="J441" s="626"/>
      <c r="K441" s="627"/>
      <c r="L441" s="628"/>
      <c r="M441" s="629"/>
      <c r="N441" s="627"/>
      <c r="O441" s="628"/>
      <c r="P441" s="630"/>
      <c r="Q441" s="631"/>
      <c r="R441" s="715"/>
      <c r="S441" s="910"/>
      <c r="T441" s="632"/>
      <c r="U441" s="633"/>
      <c r="V441" s="634"/>
      <c r="W441" s="635"/>
      <c r="X441" s="636"/>
      <c r="Y441" s="637"/>
      <c r="Z441" s="921"/>
      <c r="AA441" s="636"/>
      <c r="AB441" s="1056"/>
      <c r="AC441" s="736"/>
      <c r="AD441" s="317"/>
      <c r="AE441" s="669"/>
      <c r="AF441" s="718"/>
      <c r="AG441" s="211"/>
      <c r="AH441" s="210"/>
    </row>
    <row r="442" spans="1:34" s="4" customFormat="1">
      <c r="A442" s="2"/>
      <c r="B442" s="310" t="s">
        <v>115</v>
      </c>
      <c r="C442" s="311" t="s">
        <v>27</v>
      </c>
      <c r="D442" s="1220"/>
      <c r="E442" s="1221"/>
      <c r="F442" s="312" t="s">
        <v>3622</v>
      </c>
      <c r="G442" s="313">
        <v>44487</v>
      </c>
      <c r="H442" s="624"/>
      <c r="I442" s="625"/>
      <c r="J442" s="626"/>
      <c r="K442" s="627"/>
      <c r="L442" s="628"/>
      <c r="M442" s="629"/>
      <c r="N442" s="627"/>
      <c r="O442" s="628"/>
      <c r="P442" s="630"/>
      <c r="Q442" s="631"/>
      <c r="R442" s="715"/>
      <c r="S442" s="910"/>
      <c r="T442" s="632"/>
      <c r="U442" s="633"/>
      <c r="V442" s="634"/>
      <c r="W442" s="635"/>
      <c r="X442" s="636"/>
      <c r="Y442" s="637"/>
      <c r="Z442" s="921"/>
      <c r="AA442" s="636"/>
      <c r="AB442" s="1056"/>
      <c r="AC442" s="736"/>
      <c r="AD442" s="317"/>
      <c r="AE442" s="669"/>
      <c r="AF442" s="718"/>
      <c r="AG442" s="211"/>
      <c r="AH442" s="210"/>
    </row>
    <row r="443" spans="1:34" s="4" customFormat="1">
      <c r="A443" s="2"/>
      <c r="B443" s="310" t="s">
        <v>115</v>
      </c>
      <c r="C443" s="311" t="s">
        <v>27</v>
      </c>
      <c r="D443" s="1220"/>
      <c r="E443" s="1221"/>
      <c r="F443" s="312" t="s">
        <v>3623</v>
      </c>
      <c r="G443" s="313">
        <v>44487</v>
      </c>
      <c r="H443" s="624"/>
      <c r="I443" s="625"/>
      <c r="J443" s="626"/>
      <c r="K443" s="627"/>
      <c r="L443" s="628"/>
      <c r="M443" s="629"/>
      <c r="N443" s="627"/>
      <c r="O443" s="628"/>
      <c r="P443" s="630"/>
      <c r="Q443" s="631"/>
      <c r="R443" s="715"/>
      <c r="S443" s="910"/>
      <c r="T443" s="632"/>
      <c r="U443" s="633"/>
      <c r="V443" s="634"/>
      <c r="W443" s="635"/>
      <c r="X443" s="636"/>
      <c r="Y443" s="637"/>
      <c r="Z443" s="921"/>
      <c r="AA443" s="636"/>
      <c r="AB443" s="1056"/>
      <c r="AC443" s="736"/>
      <c r="AD443" s="317"/>
      <c r="AE443" s="669"/>
      <c r="AF443" s="718"/>
      <c r="AG443" s="211"/>
      <c r="AH443" s="210"/>
    </row>
    <row r="444" spans="1:34" s="4" customFormat="1">
      <c r="A444" s="2"/>
      <c r="B444" s="310" t="s">
        <v>106</v>
      </c>
      <c r="C444" s="311" t="s">
        <v>33</v>
      </c>
      <c r="D444" s="1220" t="s">
        <v>3624</v>
      </c>
      <c r="E444" s="1221"/>
      <c r="F444" s="312" t="s">
        <v>3625</v>
      </c>
      <c r="G444" s="313">
        <v>44487</v>
      </c>
      <c r="H444" s="624"/>
      <c r="I444" s="625"/>
      <c r="J444" s="626"/>
      <c r="K444" s="627" t="s">
        <v>3626</v>
      </c>
      <c r="L444" s="628"/>
      <c r="M444" s="629"/>
      <c r="N444" s="627" t="s">
        <v>3627</v>
      </c>
      <c r="O444" s="628">
        <v>44526</v>
      </c>
      <c r="P444" s="630" t="s">
        <v>3628</v>
      </c>
      <c r="Q444" s="631">
        <v>44574</v>
      </c>
      <c r="R444" s="715"/>
      <c r="S444" s="1068"/>
      <c r="T444" s="632">
        <v>11397.81</v>
      </c>
      <c r="U444" s="633" t="s">
        <v>3629</v>
      </c>
      <c r="V444" s="634">
        <v>44575</v>
      </c>
      <c r="W444" s="635" t="s">
        <v>2302</v>
      </c>
      <c r="X444" s="636">
        <v>11397.81</v>
      </c>
      <c r="Y444" s="636">
        <v>11397.81</v>
      </c>
      <c r="Z444" s="987">
        <f>Y444/X444</f>
        <v>1</v>
      </c>
      <c r="AA444" s="919"/>
      <c r="AB444" s="1055">
        <v>0</v>
      </c>
      <c r="AC444" s="912"/>
      <c r="AD444" s="913"/>
      <c r="AE444" s="669"/>
      <c r="AF444" s="704"/>
      <c r="AG444" s="211"/>
      <c r="AH444" s="210"/>
    </row>
    <row r="445" spans="1:34" s="4" customFormat="1">
      <c r="A445" s="2"/>
      <c r="B445" s="310" t="s">
        <v>115</v>
      </c>
      <c r="C445" s="311" t="s">
        <v>27</v>
      </c>
      <c r="D445" s="1220"/>
      <c r="E445" s="1221"/>
      <c r="F445" s="312" t="s">
        <v>3630</v>
      </c>
      <c r="G445" s="313">
        <v>44489</v>
      </c>
      <c r="H445" s="624"/>
      <c r="I445" s="625"/>
      <c r="J445" s="626"/>
      <c r="K445" s="627"/>
      <c r="L445" s="628"/>
      <c r="M445" s="629"/>
      <c r="N445" s="627"/>
      <c r="O445" s="628"/>
      <c r="P445" s="630"/>
      <c r="Q445" s="631"/>
      <c r="R445" s="715"/>
      <c r="S445" s="910"/>
      <c r="T445" s="632"/>
      <c r="U445" s="633"/>
      <c r="V445" s="634"/>
      <c r="W445" s="635"/>
      <c r="X445" s="636"/>
      <c r="Y445" s="637"/>
      <c r="Z445" s="921"/>
      <c r="AA445" s="636"/>
      <c r="AB445" s="1056"/>
      <c r="AC445" s="736"/>
      <c r="AD445" s="317"/>
      <c r="AE445" s="669"/>
      <c r="AF445" s="718"/>
      <c r="AG445" s="211"/>
      <c r="AH445" s="210"/>
    </row>
    <row r="446" spans="1:34" s="4" customFormat="1">
      <c r="A446" s="2"/>
      <c r="B446" s="310" t="s">
        <v>115</v>
      </c>
      <c r="C446" s="311" t="s">
        <v>27</v>
      </c>
      <c r="D446" s="1220"/>
      <c r="E446" s="1221"/>
      <c r="F446" s="312" t="s">
        <v>3631</v>
      </c>
      <c r="G446" s="313">
        <v>44490</v>
      </c>
      <c r="H446" s="624"/>
      <c r="I446" s="625"/>
      <c r="J446" s="626"/>
      <c r="K446" s="627"/>
      <c r="L446" s="628"/>
      <c r="M446" s="629"/>
      <c r="N446" s="627"/>
      <c r="O446" s="628"/>
      <c r="P446" s="630"/>
      <c r="Q446" s="631"/>
      <c r="R446" s="715"/>
      <c r="S446" s="910"/>
      <c r="T446" s="632"/>
      <c r="U446" s="633"/>
      <c r="V446" s="634"/>
      <c r="W446" s="635"/>
      <c r="X446" s="636"/>
      <c r="Y446" s="637"/>
      <c r="Z446" s="921"/>
      <c r="AA446" s="636"/>
      <c r="AB446" s="1056"/>
      <c r="AC446" s="736"/>
      <c r="AD446" s="317"/>
      <c r="AE446" s="669"/>
      <c r="AF446" s="718"/>
      <c r="AG446" s="211"/>
      <c r="AH446" s="210"/>
    </row>
    <row r="447" spans="1:34" s="4" customFormat="1">
      <c r="A447" s="2"/>
      <c r="B447" s="310" t="s">
        <v>115</v>
      </c>
      <c r="C447" s="311" t="s">
        <v>27</v>
      </c>
      <c r="D447" s="1220"/>
      <c r="E447" s="1221"/>
      <c r="F447" s="312" t="s">
        <v>3632</v>
      </c>
      <c r="G447" s="313">
        <v>44490</v>
      </c>
      <c r="H447" s="624"/>
      <c r="I447" s="625"/>
      <c r="J447" s="626"/>
      <c r="K447" s="627"/>
      <c r="L447" s="628"/>
      <c r="M447" s="629"/>
      <c r="N447" s="627"/>
      <c r="O447" s="628"/>
      <c r="P447" s="630"/>
      <c r="Q447" s="631"/>
      <c r="R447" s="715"/>
      <c r="S447" s="910"/>
      <c r="T447" s="632"/>
      <c r="U447" s="633"/>
      <c r="V447" s="634"/>
      <c r="W447" s="635"/>
      <c r="X447" s="636"/>
      <c r="Y447" s="637"/>
      <c r="Z447" s="921"/>
      <c r="AA447" s="636"/>
      <c r="AB447" s="1056"/>
      <c r="AC447" s="736"/>
      <c r="AD447" s="317"/>
      <c r="AE447" s="669"/>
      <c r="AF447" s="718"/>
      <c r="AG447" s="211"/>
      <c r="AH447" s="210"/>
    </row>
    <row r="448" spans="1:34" s="4" customFormat="1">
      <c r="A448" s="2"/>
      <c r="B448" s="310" t="s">
        <v>110</v>
      </c>
      <c r="C448" s="311" t="s">
        <v>27</v>
      </c>
      <c r="D448" s="1220" t="s">
        <v>3633</v>
      </c>
      <c r="E448" s="1221"/>
      <c r="F448" s="312" t="s">
        <v>3634</v>
      </c>
      <c r="G448" s="313">
        <v>44490</v>
      </c>
      <c r="H448" s="624"/>
      <c r="I448" s="625"/>
      <c r="J448" s="626"/>
      <c r="K448" s="627" t="s">
        <v>3635</v>
      </c>
      <c r="L448" s="628">
        <v>44510</v>
      </c>
      <c r="M448" s="629">
        <v>5000</v>
      </c>
      <c r="N448" s="627" t="s">
        <v>3636</v>
      </c>
      <c r="O448" s="628">
        <v>44510</v>
      </c>
      <c r="P448" s="630"/>
      <c r="Q448" s="631"/>
      <c r="R448" s="715"/>
      <c r="S448" s="910"/>
      <c r="T448" s="632"/>
      <c r="U448" s="633"/>
      <c r="V448" s="634"/>
      <c r="W448" s="635" t="s">
        <v>2302</v>
      </c>
      <c r="X448" s="636"/>
      <c r="Y448" s="637"/>
      <c r="Z448" s="921"/>
      <c r="AA448" s="636"/>
      <c r="AB448" s="1056"/>
      <c r="AC448" s="736"/>
      <c r="AD448" s="317"/>
      <c r="AE448" s="669"/>
      <c r="AF448" s="704"/>
      <c r="AG448" s="211"/>
      <c r="AH448" s="210"/>
    </row>
    <row r="449" spans="1:34" s="4" customFormat="1">
      <c r="A449" s="2"/>
      <c r="B449" s="310" t="s">
        <v>119</v>
      </c>
      <c r="C449" s="311" t="s">
        <v>27</v>
      </c>
      <c r="D449" s="687" t="s">
        <v>3633</v>
      </c>
      <c r="E449" s="688"/>
      <c r="F449" s="312" t="s">
        <v>3637</v>
      </c>
      <c r="G449" s="313">
        <v>44536</v>
      </c>
      <c r="H449" s="624"/>
      <c r="I449" s="625"/>
      <c r="J449" s="626"/>
      <c r="K449" s="627"/>
      <c r="L449" s="628"/>
      <c r="M449" s="629"/>
      <c r="N449" s="627"/>
      <c r="O449" s="628"/>
      <c r="P449" s="630"/>
      <c r="Q449" s="631"/>
      <c r="R449" s="715"/>
      <c r="S449" s="910"/>
      <c r="T449" s="632"/>
      <c r="U449" s="633"/>
      <c r="V449" s="634"/>
      <c r="W449" s="635"/>
      <c r="X449" s="636"/>
      <c r="Y449" s="637"/>
      <c r="Z449" s="921"/>
      <c r="AA449" s="636"/>
      <c r="AB449" s="1056"/>
      <c r="AC449" s="736"/>
      <c r="AD449" s="317"/>
      <c r="AE449" s="669"/>
      <c r="AF449" s="704"/>
      <c r="AG449" s="211"/>
      <c r="AH449" s="210"/>
    </row>
    <row r="450" spans="1:34" s="4" customFormat="1">
      <c r="A450" s="2"/>
      <c r="B450" s="310" t="s">
        <v>106</v>
      </c>
      <c r="C450" s="311" t="s">
        <v>33</v>
      </c>
      <c r="D450" s="1220" t="s">
        <v>3638</v>
      </c>
      <c r="E450" s="1221"/>
      <c r="F450" s="312" t="s">
        <v>3639</v>
      </c>
      <c r="G450" s="313">
        <v>44490</v>
      </c>
      <c r="H450" s="624"/>
      <c r="I450" s="625"/>
      <c r="J450" s="626"/>
      <c r="K450" s="627" t="s">
        <v>3640</v>
      </c>
      <c r="L450" s="628">
        <v>44524</v>
      </c>
      <c r="M450" s="629">
        <v>-1000</v>
      </c>
      <c r="N450" s="627" t="s">
        <v>3641</v>
      </c>
      <c r="O450" s="628">
        <v>44524</v>
      </c>
      <c r="P450" s="630" t="s">
        <v>3642</v>
      </c>
      <c r="Q450" s="631">
        <v>44529</v>
      </c>
      <c r="R450" s="715"/>
      <c r="S450" s="1068"/>
      <c r="T450" s="632">
        <v>5821.65</v>
      </c>
      <c r="U450" s="633" t="s">
        <v>3643</v>
      </c>
      <c r="V450" s="634">
        <v>44546</v>
      </c>
      <c r="W450" s="635" t="s">
        <v>2302</v>
      </c>
      <c r="X450" s="636">
        <v>5821.65</v>
      </c>
      <c r="Y450" s="636">
        <v>5821.65</v>
      </c>
      <c r="Z450" s="987">
        <f>Y450/X450</f>
        <v>1</v>
      </c>
      <c r="AA450" s="919"/>
      <c r="AB450" s="1055">
        <v>0</v>
      </c>
      <c r="AC450" s="912"/>
      <c r="AD450" s="913"/>
      <c r="AE450" s="669"/>
      <c r="AF450" s="704"/>
      <c r="AG450" s="211"/>
      <c r="AH450" s="210"/>
    </row>
    <row r="451" spans="1:34" s="4" customFormat="1">
      <c r="A451" s="2"/>
      <c r="B451" s="310" t="s">
        <v>115</v>
      </c>
      <c r="C451" s="311" t="s">
        <v>27</v>
      </c>
      <c r="D451" s="1220"/>
      <c r="E451" s="1221"/>
      <c r="F451" s="312" t="s">
        <v>3644</v>
      </c>
      <c r="G451" s="313">
        <v>44491</v>
      </c>
      <c r="H451" s="624"/>
      <c r="I451" s="625"/>
      <c r="J451" s="626"/>
      <c r="K451" s="627"/>
      <c r="L451" s="628"/>
      <c r="M451" s="629"/>
      <c r="N451" s="627"/>
      <c r="O451" s="628"/>
      <c r="P451" s="630"/>
      <c r="Q451" s="631"/>
      <c r="R451" s="715"/>
      <c r="S451" s="910"/>
      <c r="T451" s="632"/>
      <c r="U451" s="633"/>
      <c r="V451" s="634"/>
      <c r="W451" s="635"/>
      <c r="X451" s="636"/>
      <c r="Y451" s="637"/>
      <c r="Z451" s="921"/>
      <c r="AA451" s="636"/>
      <c r="AB451" s="1056"/>
      <c r="AC451" s="736"/>
      <c r="AD451" s="317"/>
      <c r="AE451" s="669"/>
      <c r="AF451" s="718"/>
      <c r="AG451" s="211"/>
      <c r="AH451" s="210"/>
    </row>
    <row r="452" spans="1:34" s="4" customFormat="1">
      <c r="A452" s="2"/>
      <c r="B452" s="310" t="s">
        <v>106</v>
      </c>
      <c r="C452" s="311" t="s">
        <v>33</v>
      </c>
      <c r="D452" s="1220" t="s">
        <v>3645</v>
      </c>
      <c r="E452" s="1221"/>
      <c r="F452" s="312"/>
      <c r="G452" s="313"/>
      <c r="H452" s="624"/>
      <c r="I452" s="625"/>
      <c r="J452" s="626"/>
      <c r="K452" s="627" t="s">
        <v>3646</v>
      </c>
      <c r="L452" s="628">
        <v>44484</v>
      </c>
      <c r="M452" s="629">
        <v>0</v>
      </c>
      <c r="N452" s="627" t="s">
        <v>3647</v>
      </c>
      <c r="O452" s="628">
        <v>44484</v>
      </c>
      <c r="P452" s="630" t="s">
        <v>3648</v>
      </c>
      <c r="Q452" s="631">
        <v>44517</v>
      </c>
      <c r="R452" s="715"/>
      <c r="S452" s="1068"/>
      <c r="T452" s="632">
        <v>7564.12</v>
      </c>
      <c r="U452" s="633" t="s">
        <v>3649</v>
      </c>
      <c r="V452" s="634">
        <v>44545</v>
      </c>
      <c r="W452" s="635" t="s">
        <v>2302</v>
      </c>
      <c r="X452" s="636">
        <v>7564.12</v>
      </c>
      <c r="Y452" s="636">
        <v>7564.12</v>
      </c>
      <c r="Z452" s="987">
        <f t="shared" ref="Z452:Z453" si="24">Y452/X452</f>
        <v>1</v>
      </c>
      <c r="AA452" s="919"/>
      <c r="AB452" s="1055">
        <v>0</v>
      </c>
      <c r="AC452" s="912"/>
      <c r="AD452" s="913"/>
      <c r="AE452" s="669"/>
      <c r="AF452" s="704"/>
      <c r="AG452" s="211"/>
      <c r="AH452" s="210"/>
    </row>
    <row r="453" spans="1:34" s="4" customFormat="1">
      <c r="A453" s="2"/>
      <c r="B453" s="310" t="s">
        <v>106</v>
      </c>
      <c r="C453" s="311" t="s">
        <v>33</v>
      </c>
      <c r="D453" s="1220" t="s">
        <v>3650</v>
      </c>
      <c r="E453" s="1221"/>
      <c r="F453" s="312"/>
      <c r="G453" s="313"/>
      <c r="H453" s="624"/>
      <c r="I453" s="625"/>
      <c r="J453" s="626"/>
      <c r="K453" s="627" t="s">
        <v>3651</v>
      </c>
      <c r="L453" s="628">
        <v>44453</v>
      </c>
      <c r="M453" s="629">
        <v>4000</v>
      </c>
      <c r="N453" s="627" t="s">
        <v>3652</v>
      </c>
      <c r="O453" s="628">
        <v>44454</v>
      </c>
      <c r="P453" s="630" t="s">
        <v>3653</v>
      </c>
      <c r="Q453" s="631">
        <v>44454</v>
      </c>
      <c r="R453" s="715"/>
      <c r="S453" s="1068"/>
      <c r="T453" s="632">
        <v>4408.08</v>
      </c>
      <c r="U453" s="633" t="s">
        <v>3654</v>
      </c>
      <c r="V453" s="634">
        <v>44494</v>
      </c>
      <c r="W453" s="635" t="s">
        <v>109</v>
      </c>
      <c r="X453" s="636">
        <v>4408.08</v>
      </c>
      <c r="Y453" s="636">
        <v>4408.08</v>
      </c>
      <c r="Z453" s="987">
        <f t="shared" si="24"/>
        <v>1</v>
      </c>
      <c r="AA453" s="919"/>
      <c r="AB453" s="1055">
        <v>0</v>
      </c>
      <c r="AC453" s="912"/>
      <c r="AD453" s="913"/>
      <c r="AE453" s="669"/>
      <c r="AF453" s="704"/>
      <c r="AG453" s="211"/>
      <c r="AH453" s="210"/>
    </row>
    <row r="454" spans="1:34" s="4" customFormat="1">
      <c r="A454" s="2"/>
      <c r="B454" s="310" t="s">
        <v>115</v>
      </c>
      <c r="C454" s="311" t="s">
        <v>27</v>
      </c>
      <c r="D454" s="1220"/>
      <c r="E454" s="1221"/>
      <c r="F454" s="312" t="s">
        <v>3655</v>
      </c>
      <c r="G454" s="313">
        <v>44491</v>
      </c>
      <c r="H454" s="624"/>
      <c r="I454" s="625"/>
      <c r="J454" s="626"/>
      <c r="K454" s="627"/>
      <c r="L454" s="628"/>
      <c r="M454" s="629"/>
      <c r="N454" s="627"/>
      <c r="O454" s="628"/>
      <c r="P454" s="630"/>
      <c r="Q454" s="631"/>
      <c r="R454" s="715"/>
      <c r="S454" s="910"/>
      <c r="T454" s="632"/>
      <c r="U454" s="633"/>
      <c r="V454" s="634"/>
      <c r="W454" s="635"/>
      <c r="X454" s="636"/>
      <c r="Y454" s="637"/>
      <c r="Z454" s="921"/>
      <c r="AA454" s="636"/>
      <c r="AB454" s="1056"/>
      <c r="AC454" s="736" t="s">
        <v>3656</v>
      </c>
      <c r="AD454" s="317"/>
      <c r="AE454" s="669"/>
      <c r="AF454" s="718"/>
      <c r="AG454" s="211"/>
      <c r="AH454" s="210"/>
    </row>
    <row r="455" spans="1:34" s="4" customFormat="1">
      <c r="A455" s="2"/>
      <c r="B455" s="310" t="s">
        <v>106</v>
      </c>
      <c r="C455" s="311" t="s">
        <v>33</v>
      </c>
      <c r="D455" s="1220" t="s">
        <v>3657</v>
      </c>
      <c r="E455" s="1221"/>
      <c r="F455" s="312" t="s">
        <v>3658</v>
      </c>
      <c r="G455" s="313">
        <v>44494</v>
      </c>
      <c r="H455" s="624"/>
      <c r="I455" s="625"/>
      <c r="J455" s="626"/>
      <c r="K455" s="627" t="s">
        <v>3659</v>
      </c>
      <c r="L455" s="628">
        <v>44539</v>
      </c>
      <c r="M455" s="629">
        <v>-8150</v>
      </c>
      <c r="N455" s="627" t="s">
        <v>3660</v>
      </c>
      <c r="O455" s="628">
        <v>44539</v>
      </c>
      <c r="P455" s="630" t="s">
        <v>3661</v>
      </c>
      <c r="Q455" s="631"/>
      <c r="R455" s="715"/>
      <c r="S455" s="910"/>
      <c r="T455" s="632"/>
      <c r="U455" s="633"/>
      <c r="V455" s="634"/>
      <c r="W455" s="635" t="s">
        <v>74</v>
      </c>
      <c r="X455" s="636"/>
      <c r="Y455" s="637"/>
      <c r="Z455" s="921"/>
      <c r="AA455" s="636"/>
      <c r="AB455" s="1056"/>
      <c r="AC455" s="736" t="s">
        <v>3662</v>
      </c>
      <c r="AD455" s="317" t="s">
        <v>3663</v>
      </c>
      <c r="AE455" s="669"/>
      <c r="AF455" s="704"/>
      <c r="AG455" s="211"/>
      <c r="AH455" s="210"/>
    </row>
    <row r="456" spans="1:34" s="4" customFormat="1">
      <c r="A456" s="2"/>
      <c r="B456" s="310" t="s">
        <v>119</v>
      </c>
      <c r="C456" s="311" t="s">
        <v>27</v>
      </c>
      <c r="D456" s="687" t="s">
        <v>3664</v>
      </c>
      <c r="E456" s="688"/>
      <c r="F456" s="312" t="s">
        <v>3665</v>
      </c>
      <c r="G456" s="313">
        <v>44610</v>
      </c>
      <c r="H456" s="624"/>
      <c r="I456" s="625"/>
      <c r="J456" s="626"/>
      <c r="K456" s="627"/>
      <c r="L456" s="628"/>
      <c r="M456" s="629"/>
      <c r="N456" s="627"/>
      <c r="O456" s="628"/>
      <c r="P456" s="630"/>
      <c r="Q456" s="631"/>
      <c r="R456" s="715"/>
      <c r="S456" s="910"/>
      <c r="T456" s="632"/>
      <c r="U456" s="633"/>
      <c r="V456" s="634"/>
      <c r="W456" s="635"/>
      <c r="X456" s="636"/>
      <c r="Y456" s="637"/>
      <c r="Z456" s="921"/>
      <c r="AA456" s="636"/>
      <c r="AB456" s="1056"/>
      <c r="AC456" s="999" t="s">
        <v>3664</v>
      </c>
      <c r="AD456" s="317"/>
      <c r="AE456" s="669"/>
      <c r="AF456" s="704"/>
      <c r="AG456" s="211"/>
      <c r="AH456" s="210"/>
    </row>
    <row r="457" spans="1:34" s="4" customFormat="1">
      <c r="A457" s="2"/>
      <c r="B457" s="310" t="s">
        <v>115</v>
      </c>
      <c r="C457" s="311" t="s">
        <v>27</v>
      </c>
      <c r="D457" s="1220"/>
      <c r="E457" s="1221"/>
      <c r="F457" s="312" t="s">
        <v>3666</v>
      </c>
      <c r="G457" s="313">
        <v>44494</v>
      </c>
      <c r="H457" s="624"/>
      <c r="I457" s="625"/>
      <c r="J457" s="626"/>
      <c r="K457" s="627"/>
      <c r="L457" s="628"/>
      <c r="M457" s="629"/>
      <c r="N457" s="627"/>
      <c r="O457" s="628"/>
      <c r="P457" s="630"/>
      <c r="Q457" s="631"/>
      <c r="R457" s="715"/>
      <c r="S457" s="910"/>
      <c r="T457" s="632"/>
      <c r="U457" s="633"/>
      <c r="V457" s="634"/>
      <c r="W457" s="635"/>
      <c r="X457" s="636"/>
      <c r="Y457" s="637"/>
      <c r="Z457" s="1000"/>
      <c r="AA457" s="920"/>
      <c r="AB457" s="1056"/>
      <c r="AC457" s="4" t="s">
        <v>3667</v>
      </c>
      <c r="AD457" s="317"/>
      <c r="AE457" s="669"/>
      <c r="AF457" s="718"/>
      <c r="AG457" s="211"/>
      <c r="AH457" s="210"/>
    </row>
    <row r="458" spans="1:34" s="4" customFormat="1">
      <c r="A458" s="2"/>
      <c r="B458" s="310" t="s">
        <v>106</v>
      </c>
      <c r="C458" s="311" t="s">
        <v>33</v>
      </c>
      <c r="D458" s="1220" t="s">
        <v>3657</v>
      </c>
      <c r="E458" s="1221"/>
      <c r="F458" s="312" t="s">
        <v>3668</v>
      </c>
      <c r="G458" s="313">
        <v>44495</v>
      </c>
      <c r="H458" s="624"/>
      <c r="I458" s="625"/>
      <c r="J458" s="626"/>
      <c r="K458" s="627" t="s">
        <v>3669</v>
      </c>
      <c r="L458" s="628">
        <v>44205</v>
      </c>
      <c r="M458" s="629"/>
      <c r="N458" s="627" t="s">
        <v>3660</v>
      </c>
      <c r="O458" s="628">
        <v>44875</v>
      </c>
      <c r="P458" s="630" t="s">
        <v>3670</v>
      </c>
      <c r="Q458" s="631">
        <v>44753</v>
      </c>
      <c r="R458" s="715">
        <v>44768</v>
      </c>
      <c r="S458" s="1068"/>
      <c r="T458" s="632">
        <v>-8150</v>
      </c>
      <c r="U458" s="633" t="s">
        <v>3671</v>
      </c>
      <c r="V458" s="634">
        <v>44764</v>
      </c>
      <c r="W458" s="635" t="s">
        <v>74</v>
      </c>
      <c r="X458" s="636">
        <v>-8150</v>
      </c>
      <c r="Y458" s="636">
        <v>-8150</v>
      </c>
      <c r="Z458" s="987">
        <f t="shared" ref="Z458" si="25">Y458/X458</f>
        <v>1</v>
      </c>
      <c r="AA458" s="636"/>
      <c r="AB458" s="1055">
        <v>0</v>
      </c>
      <c r="AC458" s="912" t="s">
        <v>3672</v>
      </c>
      <c r="AD458" s="913" t="s">
        <v>3673</v>
      </c>
      <c r="AE458" s="669"/>
      <c r="AF458" s="704"/>
      <c r="AG458" s="211"/>
      <c r="AH458" s="210"/>
    </row>
    <row r="459" spans="1:34" s="4" customFormat="1">
      <c r="A459" s="2"/>
      <c r="B459" s="310" t="s">
        <v>115</v>
      </c>
      <c r="C459" s="311" t="s">
        <v>27</v>
      </c>
      <c r="D459" s="1220"/>
      <c r="E459" s="1221"/>
      <c r="F459" s="312" t="s">
        <v>3674</v>
      </c>
      <c r="G459" s="313">
        <v>44495</v>
      </c>
      <c r="H459" s="624"/>
      <c r="I459" s="625"/>
      <c r="J459" s="626"/>
      <c r="K459" s="627"/>
      <c r="L459" s="628"/>
      <c r="M459" s="629"/>
      <c r="N459" s="627"/>
      <c r="O459" s="628"/>
      <c r="P459" s="630"/>
      <c r="Q459" s="631"/>
      <c r="R459" s="715"/>
      <c r="S459" s="910"/>
      <c r="T459" s="632"/>
      <c r="U459" s="633"/>
      <c r="V459" s="634"/>
      <c r="W459" s="635"/>
      <c r="X459" s="636"/>
      <c r="Y459" s="637"/>
      <c r="Z459" s="921"/>
      <c r="AA459" s="636"/>
      <c r="AB459" s="1056"/>
      <c r="AC459" s="736" t="s">
        <v>3675</v>
      </c>
      <c r="AD459" s="317"/>
      <c r="AE459" s="669"/>
      <c r="AF459" s="718"/>
      <c r="AG459" s="211"/>
      <c r="AH459" s="210"/>
    </row>
    <row r="460" spans="1:34" s="4" customFormat="1">
      <c r="A460" s="2"/>
      <c r="B460" s="310" t="s">
        <v>115</v>
      </c>
      <c r="C460" s="311" t="s">
        <v>27</v>
      </c>
      <c r="D460" s="1220"/>
      <c r="E460" s="1221"/>
      <c r="F460" s="312" t="s">
        <v>3676</v>
      </c>
      <c r="G460" s="313">
        <v>44496</v>
      </c>
      <c r="H460" s="624"/>
      <c r="I460" s="625"/>
      <c r="J460" s="626"/>
      <c r="K460" s="627"/>
      <c r="L460" s="628"/>
      <c r="M460" s="629"/>
      <c r="N460" s="627"/>
      <c r="O460" s="628"/>
      <c r="P460" s="630"/>
      <c r="Q460" s="631"/>
      <c r="R460" s="715"/>
      <c r="S460" s="910"/>
      <c r="T460" s="632"/>
      <c r="U460" s="633"/>
      <c r="V460" s="634"/>
      <c r="W460" s="635"/>
      <c r="X460" s="636"/>
      <c r="Y460" s="637"/>
      <c r="Z460" s="921"/>
      <c r="AA460" s="636"/>
      <c r="AB460" s="1056"/>
      <c r="AC460" s="736" t="s">
        <v>3677</v>
      </c>
      <c r="AD460" s="317"/>
      <c r="AE460" s="669"/>
      <c r="AF460" s="718"/>
      <c r="AG460" s="211"/>
      <c r="AH460" s="210"/>
    </row>
    <row r="461" spans="1:34" s="4" customFormat="1">
      <c r="A461" s="2"/>
      <c r="B461" s="310" t="s">
        <v>115</v>
      </c>
      <c r="C461" s="311" t="s">
        <v>27</v>
      </c>
      <c r="D461" s="1220"/>
      <c r="E461" s="1221"/>
      <c r="F461" s="312" t="s">
        <v>3678</v>
      </c>
      <c r="G461" s="313">
        <v>44496</v>
      </c>
      <c r="H461" s="624"/>
      <c r="I461" s="625"/>
      <c r="J461" s="626"/>
      <c r="K461" s="627"/>
      <c r="L461" s="628"/>
      <c r="M461" s="629"/>
      <c r="N461" s="627"/>
      <c r="O461" s="628"/>
      <c r="P461" s="630"/>
      <c r="Q461" s="631"/>
      <c r="R461" s="715"/>
      <c r="S461" s="910"/>
      <c r="T461" s="632"/>
      <c r="U461" s="633"/>
      <c r="V461" s="634"/>
      <c r="W461" s="635"/>
      <c r="X461" s="636"/>
      <c r="Y461" s="637"/>
      <c r="Z461" s="921"/>
      <c r="AA461" s="636"/>
      <c r="AB461" s="1056"/>
      <c r="AC461" s="736" t="s">
        <v>3679</v>
      </c>
      <c r="AD461" s="317"/>
      <c r="AE461" s="669"/>
      <c r="AF461" s="718"/>
      <c r="AG461" s="211"/>
      <c r="AH461" s="210"/>
    </row>
    <row r="462" spans="1:34" s="4" customFormat="1">
      <c r="A462" s="2"/>
      <c r="B462" s="310" t="s">
        <v>115</v>
      </c>
      <c r="C462" s="311" t="s">
        <v>27</v>
      </c>
      <c r="D462" s="1220"/>
      <c r="E462" s="1221"/>
      <c r="F462" s="312" t="s">
        <v>3680</v>
      </c>
      <c r="G462" s="313">
        <v>44496</v>
      </c>
      <c r="H462" s="624"/>
      <c r="I462" s="625"/>
      <c r="J462" s="626"/>
      <c r="K462" s="627"/>
      <c r="L462" s="628"/>
      <c r="M462" s="629"/>
      <c r="N462" s="627"/>
      <c r="O462" s="628"/>
      <c r="P462" s="630"/>
      <c r="Q462" s="631"/>
      <c r="R462" s="715"/>
      <c r="S462" s="910"/>
      <c r="T462" s="632"/>
      <c r="U462" s="633"/>
      <c r="V462" s="634"/>
      <c r="W462" s="635"/>
      <c r="X462" s="636"/>
      <c r="Y462" s="637"/>
      <c r="Z462" s="921"/>
      <c r="AA462" s="636"/>
      <c r="AB462" s="1056"/>
      <c r="AC462" s="736" t="s">
        <v>3681</v>
      </c>
      <c r="AD462" s="317"/>
      <c r="AE462" s="669"/>
      <c r="AF462" s="718"/>
      <c r="AG462" s="211"/>
      <c r="AH462" s="210"/>
    </row>
    <row r="463" spans="1:34" s="4" customFormat="1">
      <c r="A463" s="2"/>
      <c r="B463" s="310" t="s">
        <v>119</v>
      </c>
      <c r="C463" s="311" t="s">
        <v>27</v>
      </c>
      <c r="D463" s="687" t="s">
        <v>3682</v>
      </c>
      <c r="E463" s="688"/>
      <c r="F463" s="312" t="s">
        <v>3683</v>
      </c>
      <c r="G463" s="313">
        <v>44502</v>
      </c>
      <c r="H463" s="624"/>
      <c r="I463" s="625"/>
      <c r="J463" s="626"/>
      <c r="K463" s="627"/>
      <c r="L463" s="628"/>
      <c r="M463" s="629"/>
      <c r="N463" s="627"/>
      <c r="O463" s="628"/>
      <c r="P463" s="630"/>
      <c r="Q463" s="631"/>
      <c r="R463" s="715"/>
      <c r="S463" s="910"/>
      <c r="T463" s="632"/>
      <c r="U463" s="633"/>
      <c r="V463" s="634"/>
      <c r="W463" s="635"/>
      <c r="X463" s="636"/>
      <c r="Y463" s="637"/>
      <c r="Z463" s="921"/>
      <c r="AA463" s="636"/>
      <c r="AB463" s="1056"/>
      <c r="AC463" s="736"/>
      <c r="AD463" s="317" t="s">
        <v>3684</v>
      </c>
      <c r="AE463" s="669"/>
      <c r="AF463" s="704"/>
      <c r="AG463" s="211"/>
      <c r="AH463" s="210"/>
    </row>
    <row r="464" spans="1:34" s="4" customFormat="1">
      <c r="A464" s="2"/>
      <c r="B464" s="310" t="s">
        <v>115</v>
      </c>
      <c r="C464" s="311" t="s">
        <v>27</v>
      </c>
      <c r="D464" s="1220"/>
      <c r="E464" s="1221"/>
      <c r="F464" s="312" t="s">
        <v>3685</v>
      </c>
      <c r="G464" s="313">
        <v>44496</v>
      </c>
      <c r="H464" s="624"/>
      <c r="I464" s="625"/>
      <c r="J464" s="626"/>
      <c r="K464" s="627"/>
      <c r="L464" s="628"/>
      <c r="M464" s="629"/>
      <c r="N464" s="627"/>
      <c r="O464" s="628"/>
      <c r="P464" s="630"/>
      <c r="Q464" s="631"/>
      <c r="R464" s="715"/>
      <c r="S464" s="910"/>
      <c r="T464" s="632"/>
      <c r="U464" s="633"/>
      <c r="V464" s="634"/>
      <c r="W464" s="635"/>
      <c r="X464" s="636"/>
      <c r="Y464" s="637"/>
      <c r="Z464" s="921"/>
      <c r="AA464" s="636"/>
      <c r="AB464" s="1056"/>
      <c r="AC464" s="736" t="s">
        <v>3686</v>
      </c>
      <c r="AD464" s="317"/>
      <c r="AE464" s="669"/>
      <c r="AF464" s="718"/>
      <c r="AG464" s="211"/>
      <c r="AH464" s="210"/>
    </row>
    <row r="465" spans="1:34" s="4" customFormat="1">
      <c r="A465" s="2"/>
      <c r="B465" s="310" t="s">
        <v>115</v>
      </c>
      <c r="C465" s="311" t="s">
        <v>27</v>
      </c>
      <c r="D465" s="1220"/>
      <c r="E465" s="1221"/>
      <c r="F465" s="312" t="s">
        <v>3687</v>
      </c>
      <c r="G465" s="313">
        <v>44497</v>
      </c>
      <c r="H465" s="624"/>
      <c r="I465" s="625"/>
      <c r="J465" s="626"/>
      <c r="K465" s="627"/>
      <c r="L465" s="628"/>
      <c r="M465" s="629"/>
      <c r="N465" s="627"/>
      <c r="O465" s="628"/>
      <c r="P465" s="630"/>
      <c r="Q465" s="631"/>
      <c r="R465" s="715"/>
      <c r="S465" s="910"/>
      <c r="T465" s="632"/>
      <c r="U465" s="633"/>
      <c r="V465" s="634"/>
      <c r="W465" s="635"/>
      <c r="X465" s="636"/>
      <c r="Y465" s="637"/>
      <c r="Z465" s="921"/>
      <c r="AA465" s="636"/>
      <c r="AB465" s="1056"/>
      <c r="AC465" s="736" t="s">
        <v>3688</v>
      </c>
      <c r="AD465" s="317"/>
      <c r="AE465" s="669"/>
      <c r="AF465" s="718"/>
      <c r="AG465" s="211"/>
      <c r="AH465" s="210"/>
    </row>
    <row r="466" spans="1:34" s="4" customFormat="1">
      <c r="A466" s="2"/>
      <c r="B466" s="310" t="s">
        <v>119</v>
      </c>
      <c r="C466" s="311" t="s">
        <v>27</v>
      </c>
      <c r="D466" s="687" t="s">
        <v>3689</v>
      </c>
      <c r="E466" s="688"/>
      <c r="F466" s="312" t="s">
        <v>3690</v>
      </c>
      <c r="G466" s="313">
        <v>44502</v>
      </c>
      <c r="H466" s="624"/>
      <c r="I466" s="625"/>
      <c r="J466" s="626"/>
      <c r="K466" s="627"/>
      <c r="L466" s="628"/>
      <c r="M466" s="629"/>
      <c r="N466" s="627"/>
      <c r="O466" s="628"/>
      <c r="P466" s="630"/>
      <c r="Q466" s="631"/>
      <c r="R466" s="715"/>
      <c r="S466" s="910"/>
      <c r="T466" s="632"/>
      <c r="U466" s="633"/>
      <c r="V466" s="634"/>
      <c r="W466" s="635"/>
      <c r="X466" s="636"/>
      <c r="Y466" s="637"/>
      <c r="Z466" s="921"/>
      <c r="AA466" s="636"/>
      <c r="AB466" s="1056"/>
      <c r="AC466" s="999" t="s">
        <v>3689</v>
      </c>
      <c r="AD466" s="317"/>
      <c r="AE466" s="669"/>
      <c r="AF466" s="704"/>
      <c r="AG466" s="211"/>
      <c r="AH466" s="210"/>
    </row>
    <row r="467" spans="1:34" s="4" customFormat="1">
      <c r="A467" s="2"/>
      <c r="B467" s="310" t="s">
        <v>119</v>
      </c>
      <c r="C467" s="311" t="s">
        <v>27</v>
      </c>
      <c r="D467" s="1220" t="s">
        <v>3691</v>
      </c>
      <c r="E467" s="1221"/>
      <c r="F467" s="312" t="s">
        <v>3692</v>
      </c>
      <c r="G467" s="313">
        <v>44389</v>
      </c>
      <c r="H467" s="624"/>
      <c r="I467" s="625"/>
      <c r="J467" s="626"/>
      <c r="K467" s="627"/>
      <c r="L467" s="628"/>
      <c r="M467" s="629"/>
      <c r="N467" s="627"/>
      <c r="O467" s="628"/>
      <c r="P467" s="630"/>
      <c r="Q467" s="631"/>
      <c r="R467" s="715"/>
      <c r="S467" s="910"/>
      <c r="T467" s="632"/>
      <c r="U467" s="633"/>
      <c r="V467" s="634"/>
      <c r="W467" s="635"/>
      <c r="X467" s="636"/>
      <c r="Y467" s="637"/>
      <c r="Z467" s="921"/>
      <c r="AA467" s="636"/>
      <c r="AB467" s="1056"/>
      <c r="AC467" s="736"/>
      <c r="AD467" s="317"/>
      <c r="AE467" s="669"/>
      <c r="AF467" s="704"/>
      <c r="AG467" s="211"/>
      <c r="AH467" s="210"/>
    </row>
    <row r="468" spans="1:34" s="4" customFormat="1">
      <c r="A468" s="2"/>
      <c r="B468" s="310" t="s">
        <v>119</v>
      </c>
      <c r="C468" s="311" t="s">
        <v>27</v>
      </c>
      <c r="D468" s="1220" t="s">
        <v>3693</v>
      </c>
      <c r="E468" s="1221"/>
      <c r="F468" s="312" t="s">
        <v>3694</v>
      </c>
      <c r="G468" s="313">
        <v>44495</v>
      </c>
      <c r="H468" s="624"/>
      <c r="I468" s="625"/>
      <c r="J468" s="626"/>
      <c r="K468" s="627"/>
      <c r="L468" s="628"/>
      <c r="M468" s="629"/>
      <c r="N468" s="627"/>
      <c r="O468" s="628"/>
      <c r="P468" s="630"/>
      <c r="Q468" s="631"/>
      <c r="R468" s="715"/>
      <c r="S468" s="910"/>
      <c r="T468" s="632"/>
      <c r="U468" s="633"/>
      <c r="V468" s="634"/>
      <c r="W468" s="635"/>
      <c r="X468" s="636"/>
      <c r="Y468" s="637"/>
      <c r="Z468" s="921"/>
      <c r="AA468" s="636"/>
      <c r="AB468" s="1056"/>
      <c r="AC468" s="736"/>
      <c r="AD468" s="317" t="s">
        <v>3695</v>
      </c>
      <c r="AE468" s="669"/>
      <c r="AF468" s="704"/>
      <c r="AG468" s="211"/>
      <c r="AH468" s="210"/>
    </row>
    <row r="469" spans="1:34" s="4" customFormat="1">
      <c r="A469" s="2"/>
      <c r="B469" s="310" t="s">
        <v>115</v>
      </c>
      <c r="C469" s="311" t="s">
        <v>27</v>
      </c>
      <c r="D469" s="1220"/>
      <c r="E469" s="1221"/>
      <c r="F469" s="312" t="s">
        <v>3696</v>
      </c>
      <c r="G469" s="313">
        <v>44498</v>
      </c>
      <c r="H469" s="624"/>
      <c r="I469" s="625"/>
      <c r="J469" s="626"/>
      <c r="K469" s="627"/>
      <c r="L469" s="628"/>
      <c r="M469" s="629"/>
      <c r="N469" s="627"/>
      <c r="O469" s="628"/>
      <c r="P469" s="630"/>
      <c r="Q469" s="631"/>
      <c r="R469" s="715"/>
      <c r="S469" s="910"/>
      <c r="T469" s="632"/>
      <c r="U469" s="633"/>
      <c r="V469" s="634"/>
      <c r="W469" s="635"/>
      <c r="X469" s="636"/>
      <c r="Y469" s="637"/>
      <c r="Z469" s="921"/>
      <c r="AA469" s="636"/>
      <c r="AB469" s="1056"/>
      <c r="AC469" s="736" t="s">
        <v>3697</v>
      </c>
      <c r="AD469" s="317"/>
      <c r="AE469" s="669"/>
      <c r="AF469" s="718"/>
      <c r="AG469" s="211"/>
      <c r="AH469" s="210"/>
    </row>
    <row r="470" spans="1:34" s="4" customFormat="1">
      <c r="A470" s="2"/>
      <c r="B470" s="310" t="s">
        <v>106</v>
      </c>
      <c r="C470" s="311" t="s">
        <v>33</v>
      </c>
      <c r="D470" s="1220" t="s">
        <v>3698</v>
      </c>
      <c r="E470" s="1221"/>
      <c r="F470" s="312" t="s">
        <v>3699</v>
      </c>
      <c r="G470" s="313">
        <v>44498</v>
      </c>
      <c r="H470" s="624"/>
      <c r="I470" s="625"/>
      <c r="J470" s="626"/>
      <c r="K470" s="627" t="s">
        <v>3700</v>
      </c>
      <c r="L470" s="628">
        <v>44572</v>
      </c>
      <c r="M470" s="629">
        <v>5000</v>
      </c>
      <c r="N470" s="627" t="s">
        <v>3701</v>
      </c>
      <c r="O470" s="628">
        <v>44572</v>
      </c>
      <c r="P470" s="630" t="s">
        <v>3702</v>
      </c>
      <c r="Q470" s="631">
        <v>44622</v>
      </c>
      <c r="R470" s="715"/>
      <c r="S470" s="1068"/>
      <c r="T470" s="632">
        <v>48920.53</v>
      </c>
      <c r="U470" s="633" t="s">
        <v>3703</v>
      </c>
      <c r="V470" s="634">
        <v>44648</v>
      </c>
      <c r="W470" s="635" t="s">
        <v>2302</v>
      </c>
      <c r="X470" s="636">
        <v>48920.53</v>
      </c>
      <c r="Y470" s="636">
        <v>48920.53</v>
      </c>
      <c r="Z470" s="987">
        <f>Y470/X470</f>
        <v>1</v>
      </c>
      <c r="AA470" s="919"/>
      <c r="AB470" s="1055">
        <v>0</v>
      </c>
      <c r="AC470" s="912" t="s">
        <v>3704</v>
      </c>
      <c r="AD470" s="913"/>
      <c r="AE470" s="669"/>
      <c r="AF470" s="704"/>
      <c r="AG470" s="211"/>
      <c r="AH470" s="210"/>
    </row>
    <row r="471" spans="1:34" s="4" customFormat="1">
      <c r="A471" s="2"/>
      <c r="B471" s="310" t="s">
        <v>115</v>
      </c>
      <c r="C471" s="311" t="s">
        <v>27</v>
      </c>
      <c r="D471" s="1220"/>
      <c r="E471" s="1221"/>
      <c r="F471" s="312" t="s">
        <v>3705</v>
      </c>
      <c r="G471" s="313">
        <v>44501</v>
      </c>
      <c r="H471" s="624"/>
      <c r="I471" s="625"/>
      <c r="J471" s="626"/>
      <c r="K471" s="627"/>
      <c r="L471" s="628"/>
      <c r="M471" s="629"/>
      <c r="N471" s="627"/>
      <c r="O471" s="628"/>
      <c r="P471" s="630"/>
      <c r="Q471" s="631"/>
      <c r="R471" s="715"/>
      <c r="S471" s="910"/>
      <c r="T471" s="632"/>
      <c r="U471" s="633"/>
      <c r="V471" s="634"/>
      <c r="W471" s="635"/>
      <c r="X471" s="636"/>
      <c r="Y471" s="637"/>
      <c r="Z471" s="921"/>
      <c r="AA471" s="636"/>
      <c r="AB471" s="1056"/>
      <c r="AC471" s="736" t="s">
        <v>3706</v>
      </c>
      <c r="AD471" s="317"/>
      <c r="AE471" s="669"/>
      <c r="AF471" s="718"/>
      <c r="AG471" s="211"/>
      <c r="AH471" s="210"/>
    </row>
    <row r="472" spans="1:34" s="4" customFormat="1">
      <c r="A472" s="2"/>
      <c r="B472" s="310" t="s">
        <v>115</v>
      </c>
      <c r="C472" s="311" t="s">
        <v>27</v>
      </c>
      <c r="D472" s="1220"/>
      <c r="E472" s="1221"/>
      <c r="F472" s="312" t="s">
        <v>3707</v>
      </c>
      <c r="G472" s="313">
        <v>44501</v>
      </c>
      <c r="H472" s="624"/>
      <c r="I472" s="625"/>
      <c r="J472" s="626"/>
      <c r="K472" s="627"/>
      <c r="L472" s="628"/>
      <c r="M472" s="629"/>
      <c r="N472" s="627"/>
      <c r="O472" s="628"/>
      <c r="P472" s="630"/>
      <c r="Q472" s="631"/>
      <c r="R472" s="715"/>
      <c r="S472" s="910"/>
      <c r="T472" s="632"/>
      <c r="U472" s="633"/>
      <c r="V472" s="634"/>
      <c r="W472" s="635"/>
      <c r="X472" s="636"/>
      <c r="Y472" s="637"/>
      <c r="Z472" s="921"/>
      <c r="AA472" s="636"/>
      <c r="AB472" s="1056"/>
      <c r="AC472" s="736" t="s">
        <v>3708</v>
      </c>
      <c r="AD472" s="317"/>
      <c r="AE472" s="669"/>
      <c r="AF472" s="718"/>
      <c r="AG472" s="211"/>
      <c r="AH472" s="210"/>
    </row>
    <row r="473" spans="1:34" s="4" customFormat="1">
      <c r="A473" s="2"/>
      <c r="B473" s="310" t="s">
        <v>115</v>
      </c>
      <c r="C473" s="311" t="s">
        <v>27</v>
      </c>
      <c r="D473" s="1220"/>
      <c r="E473" s="1221"/>
      <c r="F473" s="312" t="s">
        <v>3709</v>
      </c>
      <c r="G473" s="313">
        <v>44501</v>
      </c>
      <c r="H473" s="624"/>
      <c r="I473" s="625"/>
      <c r="J473" s="626"/>
      <c r="K473" s="627"/>
      <c r="L473" s="628"/>
      <c r="M473" s="629"/>
      <c r="N473" s="627"/>
      <c r="O473" s="628"/>
      <c r="P473" s="630"/>
      <c r="Q473" s="631"/>
      <c r="R473" s="715"/>
      <c r="S473" s="910"/>
      <c r="T473" s="632"/>
      <c r="U473" s="633"/>
      <c r="V473" s="634"/>
      <c r="W473" s="635"/>
      <c r="X473" s="636"/>
      <c r="Y473" s="637"/>
      <c r="Z473" s="921"/>
      <c r="AA473" s="636"/>
      <c r="AB473" s="1056"/>
      <c r="AC473" s="736" t="s">
        <v>3710</v>
      </c>
      <c r="AD473" s="317"/>
      <c r="AE473" s="669"/>
      <c r="AF473" s="718"/>
      <c r="AG473" s="211"/>
      <c r="AH473" s="210"/>
    </row>
    <row r="474" spans="1:34" s="4" customFormat="1">
      <c r="A474" s="2"/>
      <c r="B474" s="310" t="s">
        <v>115</v>
      </c>
      <c r="C474" s="311" t="s">
        <v>27</v>
      </c>
      <c r="D474" s="1220"/>
      <c r="E474" s="1221"/>
      <c r="F474" s="312" t="s">
        <v>3711</v>
      </c>
      <c r="G474" s="313">
        <v>44501</v>
      </c>
      <c r="H474" s="624"/>
      <c r="I474" s="625"/>
      <c r="J474" s="626"/>
      <c r="K474" s="627"/>
      <c r="L474" s="628"/>
      <c r="M474" s="629"/>
      <c r="N474" s="627"/>
      <c r="O474" s="628"/>
      <c r="P474" s="630"/>
      <c r="Q474" s="631"/>
      <c r="R474" s="715"/>
      <c r="S474" s="910"/>
      <c r="T474" s="632"/>
      <c r="U474" s="633"/>
      <c r="V474" s="634"/>
      <c r="W474" s="635"/>
      <c r="X474" s="636"/>
      <c r="Y474" s="637"/>
      <c r="Z474" s="921"/>
      <c r="AA474" s="636"/>
      <c r="AB474" s="1056"/>
      <c r="AC474" s="736" t="s">
        <v>3712</v>
      </c>
      <c r="AD474" s="317"/>
      <c r="AE474" s="669"/>
      <c r="AF474" s="718"/>
      <c r="AG474" s="211"/>
      <c r="AH474" s="210"/>
    </row>
    <row r="475" spans="1:34" s="4" customFormat="1">
      <c r="A475" s="2"/>
      <c r="B475" s="310" t="s">
        <v>115</v>
      </c>
      <c r="C475" s="311" t="s">
        <v>27</v>
      </c>
      <c r="D475" s="1220"/>
      <c r="E475" s="1221"/>
      <c r="F475" s="312" t="s">
        <v>3713</v>
      </c>
      <c r="G475" s="313">
        <v>44501</v>
      </c>
      <c r="H475" s="624"/>
      <c r="I475" s="625"/>
      <c r="J475" s="626"/>
      <c r="K475" s="627"/>
      <c r="L475" s="628"/>
      <c r="M475" s="629"/>
      <c r="N475" s="627"/>
      <c r="O475" s="628"/>
      <c r="P475" s="630"/>
      <c r="Q475" s="631"/>
      <c r="R475" s="715"/>
      <c r="S475" s="910"/>
      <c r="T475" s="632"/>
      <c r="U475" s="633"/>
      <c r="V475" s="634"/>
      <c r="W475" s="635"/>
      <c r="X475" s="636"/>
      <c r="Y475" s="637"/>
      <c r="Z475" s="921"/>
      <c r="AA475" s="636"/>
      <c r="AB475" s="1056"/>
      <c r="AC475" s="736" t="s">
        <v>3714</v>
      </c>
      <c r="AD475" s="317"/>
      <c r="AE475" s="669"/>
      <c r="AF475" s="718"/>
      <c r="AG475" s="211"/>
      <c r="AH475" s="210"/>
    </row>
    <row r="476" spans="1:34" s="4" customFormat="1">
      <c r="A476" s="2"/>
      <c r="B476" s="310" t="s">
        <v>115</v>
      </c>
      <c r="C476" s="311" t="s">
        <v>27</v>
      </c>
      <c r="D476" s="1220"/>
      <c r="E476" s="1221"/>
      <c r="F476" s="312" t="s">
        <v>3715</v>
      </c>
      <c r="G476" s="313">
        <v>44501</v>
      </c>
      <c r="H476" s="624"/>
      <c r="I476" s="625"/>
      <c r="J476" s="626"/>
      <c r="K476" s="627"/>
      <c r="L476" s="628"/>
      <c r="M476" s="629"/>
      <c r="N476" s="627"/>
      <c r="O476" s="628"/>
      <c r="P476" s="630"/>
      <c r="Q476" s="631"/>
      <c r="R476" s="715"/>
      <c r="S476" s="910"/>
      <c r="T476" s="632"/>
      <c r="U476" s="633"/>
      <c r="V476" s="634"/>
      <c r="W476" s="635"/>
      <c r="X476" s="636"/>
      <c r="Y476" s="637"/>
      <c r="Z476" s="921"/>
      <c r="AA476" s="636"/>
      <c r="AB476" s="1056"/>
      <c r="AC476" s="736" t="s">
        <v>3716</v>
      </c>
      <c r="AD476" s="317"/>
      <c r="AE476" s="669"/>
      <c r="AF476" s="718"/>
      <c r="AG476" s="211"/>
      <c r="AH476" s="210"/>
    </row>
    <row r="477" spans="1:34" s="4" customFormat="1">
      <c r="A477" s="2"/>
      <c r="B477" s="310" t="s">
        <v>115</v>
      </c>
      <c r="C477" s="311" t="s">
        <v>27</v>
      </c>
      <c r="D477" s="1220"/>
      <c r="E477" s="1221"/>
      <c r="F477" s="312" t="s">
        <v>3717</v>
      </c>
      <c r="G477" s="313">
        <v>44501</v>
      </c>
      <c r="H477" s="624"/>
      <c r="I477" s="625"/>
      <c r="J477" s="626"/>
      <c r="K477" s="627"/>
      <c r="L477" s="628"/>
      <c r="M477" s="629"/>
      <c r="N477" s="627"/>
      <c r="O477" s="628"/>
      <c r="P477" s="630"/>
      <c r="Q477" s="631"/>
      <c r="R477" s="715"/>
      <c r="S477" s="910"/>
      <c r="T477" s="632"/>
      <c r="U477" s="633"/>
      <c r="V477" s="634"/>
      <c r="W477" s="635"/>
      <c r="X477" s="636"/>
      <c r="Y477" s="637"/>
      <c r="Z477" s="921"/>
      <c r="AA477" s="636"/>
      <c r="AB477" s="1056"/>
      <c r="AC477" s="736" t="s">
        <v>3718</v>
      </c>
      <c r="AD477" s="317"/>
      <c r="AE477" s="669"/>
      <c r="AF477" s="718"/>
      <c r="AG477" s="211"/>
      <c r="AH477" s="210"/>
    </row>
    <row r="478" spans="1:34" s="4" customFormat="1">
      <c r="A478" s="2"/>
      <c r="B478" s="310" t="s">
        <v>115</v>
      </c>
      <c r="C478" s="311" t="s">
        <v>27</v>
      </c>
      <c r="D478" s="1220"/>
      <c r="E478" s="1221"/>
      <c r="F478" s="312" t="s">
        <v>3719</v>
      </c>
      <c r="G478" s="313">
        <v>44501</v>
      </c>
      <c r="H478" s="624"/>
      <c r="I478" s="625"/>
      <c r="J478" s="626"/>
      <c r="K478" s="627"/>
      <c r="L478" s="628"/>
      <c r="M478" s="629"/>
      <c r="N478" s="627"/>
      <c r="O478" s="628"/>
      <c r="P478" s="630"/>
      <c r="Q478" s="631"/>
      <c r="R478" s="715"/>
      <c r="S478" s="910"/>
      <c r="T478" s="632"/>
      <c r="U478" s="633"/>
      <c r="V478" s="634"/>
      <c r="W478" s="635"/>
      <c r="X478" s="636"/>
      <c r="Y478" s="637"/>
      <c r="Z478" s="921"/>
      <c r="AA478" s="636"/>
      <c r="AB478" s="1056"/>
      <c r="AC478" s="736" t="s">
        <v>3720</v>
      </c>
      <c r="AD478" s="317"/>
      <c r="AE478" s="669"/>
      <c r="AF478" s="718"/>
      <c r="AG478" s="211"/>
      <c r="AH478" s="210"/>
    </row>
    <row r="479" spans="1:34" s="4" customFormat="1">
      <c r="A479" s="2"/>
      <c r="B479" s="310" t="s">
        <v>106</v>
      </c>
      <c r="C479" s="311" t="s">
        <v>33</v>
      </c>
      <c r="D479" s="687" t="s">
        <v>3721</v>
      </c>
      <c r="E479" s="688"/>
      <c r="F479" s="312"/>
      <c r="G479" s="313"/>
      <c r="H479" s="624"/>
      <c r="I479" s="625"/>
      <c r="J479" s="626"/>
      <c r="K479" s="627" t="s">
        <v>3722</v>
      </c>
      <c r="L479" s="628">
        <v>44501</v>
      </c>
      <c r="M479" s="629">
        <v>-5300</v>
      </c>
      <c r="N479" s="627" t="s">
        <v>3723</v>
      </c>
      <c r="O479" s="628">
        <v>44503</v>
      </c>
      <c r="P479" s="630" t="s">
        <v>3724</v>
      </c>
      <c r="Q479" s="631">
        <v>44753</v>
      </c>
      <c r="R479" s="715">
        <v>44768</v>
      </c>
      <c r="S479" s="1068"/>
      <c r="T479" s="632">
        <v>-5300</v>
      </c>
      <c r="U479" s="633" t="s">
        <v>3725</v>
      </c>
      <c r="V479" s="634">
        <v>44768</v>
      </c>
      <c r="W479" s="635" t="s">
        <v>118</v>
      </c>
      <c r="X479" s="636">
        <v>-5300</v>
      </c>
      <c r="Y479" s="636">
        <v>-5300</v>
      </c>
      <c r="Z479" s="987">
        <f>Y479/X479</f>
        <v>1</v>
      </c>
      <c r="AA479" s="636"/>
      <c r="AB479" s="1055">
        <v>0</v>
      </c>
      <c r="AC479" s="912"/>
      <c r="AD479" s="913"/>
      <c r="AE479" s="669"/>
      <c r="AF479" s="704"/>
      <c r="AG479" s="211"/>
      <c r="AH479" s="210"/>
    </row>
    <row r="480" spans="1:34" s="4" customFormat="1">
      <c r="A480" s="2"/>
      <c r="B480" s="310" t="s">
        <v>110</v>
      </c>
      <c r="C480" s="311" t="s">
        <v>27</v>
      </c>
      <c r="D480" s="1220" t="s">
        <v>3726</v>
      </c>
      <c r="E480" s="1221"/>
      <c r="F480" s="312"/>
      <c r="G480" s="313"/>
      <c r="H480" s="624"/>
      <c r="I480" s="625"/>
      <c r="J480" s="626"/>
      <c r="K480" s="627" t="s">
        <v>3727</v>
      </c>
      <c r="L480" s="628">
        <v>44501</v>
      </c>
      <c r="M480" s="629">
        <v>-3300</v>
      </c>
      <c r="N480" s="627" t="s">
        <v>3728</v>
      </c>
      <c r="O480" s="628">
        <v>44501</v>
      </c>
      <c r="P480" s="630"/>
      <c r="Q480" s="631"/>
      <c r="R480" s="715"/>
      <c r="S480" s="910"/>
      <c r="T480" s="632"/>
      <c r="U480" s="633"/>
      <c r="V480" s="634"/>
      <c r="W480" s="635"/>
      <c r="X480" s="636"/>
      <c r="Y480" s="637"/>
      <c r="Z480" s="921"/>
      <c r="AA480" s="636"/>
      <c r="AB480" s="1056"/>
      <c r="AC480" s="736" t="s">
        <v>2195</v>
      </c>
      <c r="AD480" s="317"/>
      <c r="AE480" s="669"/>
      <c r="AF480" s="704"/>
      <c r="AG480" s="211"/>
      <c r="AH480" s="210"/>
    </row>
    <row r="481" spans="1:34" s="4" customFormat="1">
      <c r="A481" s="2"/>
      <c r="B481" s="310" t="s">
        <v>115</v>
      </c>
      <c r="C481" s="311" t="s">
        <v>27</v>
      </c>
      <c r="D481" s="1220"/>
      <c r="E481" s="1221"/>
      <c r="F481" s="312" t="s">
        <v>3729</v>
      </c>
      <c r="G481" s="313">
        <v>44503</v>
      </c>
      <c r="H481" s="624"/>
      <c r="I481" s="625"/>
      <c r="J481" s="626"/>
      <c r="K481" s="627"/>
      <c r="L481" s="628"/>
      <c r="M481" s="629"/>
      <c r="N481" s="627"/>
      <c r="O481" s="628"/>
      <c r="P481" s="630"/>
      <c r="Q481" s="631"/>
      <c r="R481" s="715"/>
      <c r="S481" s="910"/>
      <c r="T481" s="632"/>
      <c r="U481" s="633"/>
      <c r="V481" s="634"/>
      <c r="W481" s="635"/>
      <c r="X481" s="636"/>
      <c r="Y481" s="637"/>
      <c r="Z481" s="921"/>
      <c r="AA481" s="636"/>
      <c r="AB481" s="1056"/>
      <c r="AC481" s="736" t="s">
        <v>3730</v>
      </c>
      <c r="AD481" s="317"/>
      <c r="AE481" s="669"/>
      <c r="AF481" s="718"/>
      <c r="AG481" s="211"/>
      <c r="AH481" s="210"/>
    </row>
    <row r="482" spans="1:34" s="4" customFormat="1">
      <c r="A482" s="2"/>
      <c r="B482" s="310" t="s">
        <v>106</v>
      </c>
      <c r="C482" s="311" t="s">
        <v>33</v>
      </c>
      <c r="D482" s="687" t="s">
        <v>3731</v>
      </c>
      <c r="E482" s="688"/>
      <c r="F482" s="312" t="s">
        <v>3732</v>
      </c>
      <c r="G482" s="313">
        <v>44503</v>
      </c>
      <c r="H482" s="624"/>
      <c r="I482" s="625"/>
      <c r="J482" s="626"/>
      <c r="K482" s="627" t="s">
        <v>3733</v>
      </c>
      <c r="L482" s="628">
        <v>44609</v>
      </c>
      <c r="M482" s="629">
        <v>5500</v>
      </c>
      <c r="N482" s="627" t="s">
        <v>3734</v>
      </c>
      <c r="O482" s="628">
        <v>44614</v>
      </c>
      <c r="P482" s="630" t="s">
        <v>3735</v>
      </c>
      <c r="Q482" s="631">
        <v>44734</v>
      </c>
      <c r="R482" s="715">
        <v>44756</v>
      </c>
      <c r="S482" s="1068"/>
      <c r="T482" s="632">
        <v>24574.9</v>
      </c>
      <c r="U482" s="633" t="s">
        <v>3736</v>
      </c>
      <c r="V482" s="634">
        <v>44749</v>
      </c>
      <c r="W482" s="635" t="s">
        <v>2302</v>
      </c>
      <c r="X482" s="636">
        <v>24574.9</v>
      </c>
      <c r="Y482" s="636">
        <v>24574.9</v>
      </c>
      <c r="Z482" s="987">
        <f>Y482/X482</f>
        <v>1</v>
      </c>
      <c r="AA482" s="636"/>
      <c r="AB482" s="1055">
        <v>0</v>
      </c>
      <c r="AC482" s="912" t="s">
        <v>3737</v>
      </c>
      <c r="AD482" s="913" t="s">
        <v>3738</v>
      </c>
      <c r="AE482" s="669"/>
      <c r="AF482" s="704"/>
      <c r="AG482" s="211"/>
      <c r="AH482" s="210"/>
    </row>
    <row r="483" spans="1:34" s="4" customFormat="1">
      <c r="A483" s="2"/>
      <c r="B483" s="310" t="s">
        <v>115</v>
      </c>
      <c r="C483" s="311" t="s">
        <v>27</v>
      </c>
      <c r="D483" s="687"/>
      <c r="E483" s="688"/>
      <c r="F483" s="312" t="s">
        <v>3739</v>
      </c>
      <c r="G483" s="313">
        <v>44504</v>
      </c>
      <c r="H483" s="624"/>
      <c r="I483" s="625"/>
      <c r="J483" s="626"/>
      <c r="K483" s="627"/>
      <c r="L483" s="628"/>
      <c r="M483" s="629"/>
      <c r="N483" s="627"/>
      <c r="O483" s="628"/>
      <c r="P483" s="630"/>
      <c r="Q483" s="631"/>
      <c r="R483" s="715"/>
      <c r="S483" s="910"/>
      <c r="T483" s="632"/>
      <c r="U483" s="633"/>
      <c r="V483" s="634"/>
      <c r="W483" s="635"/>
      <c r="X483" s="636"/>
      <c r="Y483" s="637"/>
      <c r="Z483" s="921"/>
      <c r="AA483" s="636"/>
      <c r="AB483" s="1056"/>
      <c r="AC483" s="736" t="s">
        <v>3740</v>
      </c>
      <c r="AD483" s="317"/>
      <c r="AE483" s="669"/>
      <c r="AF483" s="718"/>
      <c r="AG483" s="211"/>
      <c r="AH483" s="210"/>
    </row>
    <row r="484" spans="1:34" s="4" customFormat="1">
      <c r="A484" s="2"/>
      <c r="B484" s="310" t="s">
        <v>119</v>
      </c>
      <c r="C484" s="311" t="s">
        <v>27</v>
      </c>
      <c r="D484" s="687" t="s">
        <v>3741</v>
      </c>
      <c r="E484" s="688"/>
      <c r="F484" s="312" t="s">
        <v>3742</v>
      </c>
      <c r="G484" s="313">
        <v>44532</v>
      </c>
      <c r="H484" s="624"/>
      <c r="I484" s="625"/>
      <c r="J484" s="626"/>
      <c r="K484" s="627"/>
      <c r="L484" s="628"/>
      <c r="M484" s="629"/>
      <c r="N484" s="627"/>
      <c r="O484" s="628"/>
      <c r="P484" s="630"/>
      <c r="Q484" s="631"/>
      <c r="R484" s="715"/>
      <c r="S484" s="910"/>
      <c r="T484" s="632"/>
      <c r="U484" s="633"/>
      <c r="V484" s="634"/>
      <c r="W484" s="635"/>
      <c r="X484" s="636"/>
      <c r="Y484" s="637"/>
      <c r="Z484" s="921"/>
      <c r="AA484" s="636"/>
      <c r="AB484" s="1056"/>
      <c r="AC484" s="736"/>
      <c r="AD484" s="317"/>
      <c r="AE484" s="669"/>
      <c r="AF484" s="704"/>
      <c r="AG484" s="211"/>
      <c r="AH484" s="210"/>
    </row>
    <row r="485" spans="1:34" s="4" customFormat="1">
      <c r="A485" s="2"/>
      <c r="B485" s="310" t="s">
        <v>115</v>
      </c>
      <c r="C485" s="311" t="s">
        <v>27</v>
      </c>
      <c r="D485" s="687"/>
      <c r="E485" s="688"/>
      <c r="F485" s="312" t="s">
        <v>3743</v>
      </c>
      <c r="G485" s="313">
        <v>44505</v>
      </c>
      <c r="H485" s="624"/>
      <c r="I485" s="625"/>
      <c r="J485" s="626"/>
      <c r="K485" s="627"/>
      <c r="L485" s="628"/>
      <c r="M485" s="629"/>
      <c r="N485" s="627"/>
      <c r="O485" s="628"/>
      <c r="P485" s="630"/>
      <c r="Q485" s="631"/>
      <c r="R485" s="715"/>
      <c r="S485" s="910"/>
      <c r="T485" s="632"/>
      <c r="U485" s="633"/>
      <c r="V485" s="634"/>
      <c r="W485" s="635"/>
      <c r="X485" s="636"/>
      <c r="Y485" s="637"/>
      <c r="Z485" s="921"/>
      <c r="AA485" s="636"/>
      <c r="AB485" s="1056"/>
      <c r="AC485" s="736" t="s">
        <v>3744</v>
      </c>
      <c r="AD485" s="317"/>
      <c r="AE485" s="669"/>
      <c r="AF485" s="718"/>
      <c r="AG485" s="211"/>
      <c r="AH485" s="210"/>
    </row>
    <row r="486" spans="1:34" s="4" customFormat="1">
      <c r="A486" s="2"/>
      <c r="B486" s="310" t="s">
        <v>106</v>
      </c>
      <c r="C486" s="311" t="s">
        <v>33</v>
      </c>
      <c r="D486" s="687" t="s">
        <v>3745</v>
      </c>
      <c r="E486" s="688"/>
      <c r="F486" s="312" t="s">
        <v>3746</v>
      </c>
      <c r="G486" s="313">
        <v>44505</v>
      </c>
      <c r="H486" s="624"/>
      <c r="I486" s="625"/>
      <c r="J486" s="626"/>
      <c r="K486" s="627" t="s">
        <v>3747</v>
      </c>
      <c r="L486" s="628">
        <v>44573</v>
      </c>
      <c r="M486" s="629">
        <v>6000</v>
      </c>
      <c r="N486" s="627" t="s">
        <v>3748</v>
      </c>
      <c r="O486" s="628">
        <v>44573</v>
      </c>
      <c r="P486" s="630" t="s">
        <v>3749</v>
      </c>
      <c r="Q486" s="631">
        <v>44572</v>
      </c>
      <c r="R486" s="715"/>
      <c r="S486" s="1068"/>
      <c r="T486" s="632">
        <v>23928.22</v>
      </c>
      <c r="U486" s="633" t="s">
        <v>3750</v>
      </c>
      <c r="V486" s="634">
        <v>44694</v>
      </c>
      <c r="W486" s="635" t="s">
        <v>2302</v>
      </c>
      <c r="X486" s="636">
        <v>10000</v>
      </c>
      <c r="Y486" s="636">
        <v>10000</v>
      </c>
      <c r="Z486" s="987">
        <f>Y486/X486</f>
        <v>1</v>
      </c>
      <c r="AA486" s="919"/>
      <c r="AB486" s="1055">
        <v>0</v>
      </c>
      <c r="AC486" s="912" t="s">
        <v>3751</v>
      </c>
      <c r="AD486" s="913"/>
      <c r="AE486" s="669"/>
      <c r="AF486" s="704"/>
      <c r="AG486" s="211"/>
      <c r="AH486" s="210"/>
    </row>
    <row r="487" spans="1:34" s="4" customFormat="1">
      <c r="A487" s="2"/>
      <c r="B487" s="310" t="s">
        <v>115</v>
      </c>
      <c r="C487" s="311" t="s">
        <v>27</v>
      </c>
      <c r="D487" s="687"/>
      <c r="E487" s="688"/>
      <c r="F487" s="312" t="s">
        <v>3752</v>
      </c>
      <c r="G487" s="313">
        <v>44509</v>
      </c>
      <c r="H487" s="624"/>
      <c r="I487" s="625"/>
      <c r="J487" s="626"/>
      <c r="K487" s="627"/>
      <c r="L487" s="628"/>
      <c r="M487" s="629"/>
      <c r="N487" s="627"/>
      <c r="O487" s="628"/>
      <c r="P487" s="630"/>
      <c r="Q487" s="631"/>
      <c r="R487" s="715"/>
      <c r="S487" s="910"/>
      <c r="T487" s="632"/>
      <c r="U487" s="633"/>
      <c r="V487" s="634"/>
      <c r="W487" s="635"/>
      <c r="X487" s="636"/>
      <c r="Y487" s="637"/>
      <c r="Z487" s="725"/>
      <c r="AA487" s="636"/>
      <c r="AB487" s="1056"/>
      <c r="AC487" s="736" t="s">
        <v>3753</v>
      </c>
      <c r="AD487" s="317"/>
      <c r="AE487" s="669"/>
      <c r="AF487" s="718"/>
      <c r="AG487" s="211"/>
      <c r="AH487" s="210"/>
    </row>
    <row r="488" spans="1:34" s="4" customFormat="1">
      <c r="A488" s="2"/>
      <c r="B488" s="310" t="s">
        <v>106</v>
      </c>
      <c r="C488" s="311" t="s">
        <v>33</v>
      </c>
      <c r="D488" s="687" t="s">
        <v>3754</v>
      </c>
      <c r="E488" s="688"/>
      <c r="F488" s="312"/>
      <c r="G488" s="313"/>
      <c r="H488" s="624"/>
      <c r="I488" s="625"/>
      <c r="J488" s="626"/>
      <c r="K488" s="627" t="s">
        <v>3755</v>
      </c>
      <c r="L488" s="628">
        <v>44503</v>
      </c>
      <c r="M488" s="629">
        <v>5000</v>
      </c>
      <c r="N488" s="627" t="s">
        <v>3756</v>
      </c>
      <c r="O488" s="628">
        <v>44504</v>
      </c>
      <c r="P488" s="630" t="s">
        <v>3757</v>
      </c>
      <c r="Q488" s="631">
        <v>44552</v>
      </c>
      <c r="R488" s="715"/>
      <c r="S488" s="1068"/>
      <c r="T488" s="632">
        <v>7517.03</v>
      </c>
      <c r="U488" s="633" t="s">
        <v>3758</v>
      </c>
      <c r="V488" s="634">
        <v>44580</v>
      </c>
      <c r="W488" s="635" t="s">
        <v>2302</v>
      </c>
      <c r="X488" s="636">
        <v>7517.03</v>
      </c>
      <c r="Y488" s="636">
        <v>7517.03</v>
      </c>
      <c r="Z488" s="733">
        <f>Y488/X488</f>
        <v>1</v>
      </c>
      <c r="AA488" s="919"/>
      <c r="AB488" s="1055">
        <v>0</v>
      </c>
      <c r="AC488" s="912"/>
      <c r="AD488" s="913"/>
      <c r="AE488" s="669"/>
      <c r="AF488" s="704"/>
      <c r="AG488" s="211"/>
      <c r="AH488" s="210"/>
    </row>
    <row r="489" spans="1:34" s="4" customFormat="1">
      <c r="A489" s="2"/>
      <c r="B489" s="310"/>
      <c r="C489" s="311"/>
      <c r="D489" s="687" t="s">
        <v>3759</v>
      </c>
      <c r="E489" s="688"/>
      <c r="F489" s="312"/>
      <c r="G489" s="313"/>
      <c r="H489" s="624"/>
      <c r="I489" s="625"/>
      <c r="J489" s="626"/>
      <c r="K489" s="627"/>
      <c r="L489" s="628"/>
      <c r="M489" s="629"/>
      <c r="N489" s="627"/>
      <c r="O489" s="628"/>
      <c r="P489" s="630"/>
      <c r="Q489" s="631"/>
      <c r="R489" s="715"/>
      <c r="S489" s="910"/>
      <c r="T489" s="632"/>
      <c r="U489" s="633"/>
      <c r="V489" s="634"/>
      <c r="W489" s="635"/>
      <c r="X489" s="636"/>
      <c r="Y489" s="637"/>
      <c r="Z489" s="725"/>
      <c r="AA489" s="636"/>
      <c r="AB489" s="1056"/>
      <c r="AC489" s="736"/>
      <c r="AD489" s="317"/>
      <c r="AE489" s="669"/>
      <c r="AF489" s="704"/>
      <c r="AG489" s="211"/>
      <c r="AH489" s="210"/>
    </row>
    <row r="490" spans="1:34" s="4" customFormat="1">
      <c r="A490" s="2"/>
      <c r="B490" s="310" t="s">
        <v>106</v>
      </c>
      <c r="C490" s="311" t="s">
        <v>33</v>
      </c>
      <c r="D490" s="687" t="s">
        <v>3331</v>
      </c>
      <c r="E490" s="688"/>
      <c r="F490" s="312" t="s">
        <v>3760</v>
      </c>
      <c r="G490" s="313">
        <v>44510</v>
      </c>
      <c r="H490" s="624"/>
      <c r="I490" s="625"/>
      <c r="J490" s="626"/>
      <c r="K490" s="627" t="s">
        <v>3761</v>
      </c>
      <c r="L490" s="628"/>
      <c r="M490" s="629"/>
      <c r="N490" s="627" t="s">
        <v>3762</v>
      </c>
      <c r="O490" s="628">
        <v>44525</v>
      </c>
      <c r="P490" s="630" t="s">
        <v>3763</v>
      </c>
      <c r="Q490" s="631">
        <v>44536</v>
      </c>
      <c r="R490" s="715"/>
      <c r="S490" s="1068"/>
      <c r="T490" s="632">
        <v>7521.91</v>
      </c>
      <c r="U490" s="633" t="s">
        <v>3764</v>
      </c>
      <c r="V490" s="634">
        <v>44540</v>
      </c>
      <c r="W490" s="635" t="s">
        <v>2302</v>
      </c>
      <c r="X490" s="636">
        <v>7521.91</v>
      </c>
      <c r="Y490" s="636">
        <v>7521.91</v>
      </c>
      <c r="Z490" s="733">
        <f t="shared" ref="Z490:Z491" si="26">Y490/X490</f>
        <v>1</v>
      </c>
      <c r="AA490" s="919"/>
      <c r="AB490" s="1055">
        <v>0</v>
      </c>
      <c r="AC490" s="912" t="s">
        <v>3765</v>
      </c>
      <c r="AD490" s="913"/>
      <c r="AE490" s="669"/>
      <c r="AF490" s="704"/>
      <c r="AG490" s="211"/>
      <c r="AH490" s="210"/>
    </row>
    <row r="491" spans="1:34" s="4" customFormat="1">
      <c r="A491" s="2"/>
      <c r="B491" s="310" t="s">
        <v>106</v>
      </c>
      <c r="C491" s="311" t="s">
        <v>33</v>
      </c>
      <c r="D491" s="687" t="s">
        <v>3766</v>
      </c>
      <c r="E491" s="688"/>
      <c r="F491" s="312" t="s">
        <v>3767</v>
      </c>
      <c r="G491" s="313">
        <v>44516</v>
      </c>
      <c r="H491" s="624"/>
      <c r="I491" s="625"/>
      <c r="J491" s="626"/>
      <c r="K491" s="627" t="s">
        <v>3768</v>
      </c>
      <c r="L491" s="628">
        <v>44567</v>
      </c>
      <c r="M491" s="629">
        <v>60000</v>
      </c>
      <c r="N491" s="627" t="s">
        <v>3769</v>
      </c>
      <c r="O491" s="628">
        <v>44567</v>
      </c>
      <c r="P491" s="630" t="s">
        <v>3770</v>
      </c>
      <c r="Q491" s="631">
        <v>44586</v>
      </c>
      <c r="R491" s="715"/>
      <c r="S491" s="1068"/>
      <c r="T491" s="632">
        <v>23794.41</v>
      </c>
      <c r="U491" s="633" t="s">
        <v>3771</v>
      </c>
      <c r="V491" s="634">
        <v>44602</v>
      </c>
      <c r="W491" s="635" t="s">
        <v>93</v>
      </c>
      <c r="X491" s="636">
        <v>23794.41</v>
      </c>
      <c r="Y491" s="636">
        <v>23794.41</v>
      </c>
      <c r="Z491" s="733">
        <f t="shared" si="26"/>
        <v>1</v>
      </c>
      <c r="AA491" s="919"/>
      <c r="AB491" s="1055">
        <v>0</v>
      </c>
      <c r="AC491" s="912" t="s">
        <v>3772</v>
      </c>
      <c r="AD491" s="913"/>
      <c r="AE491" s="669"/>
      <c r="AF491" s="704"/>
      <c r="AG491" s="211"/>
      <c r="AH491" s="210"/>
    </row>
    <row r="492" spans="1:34" s="4" customFormat="1">
      <c r="A492" s="2"/>
      <c r="B492" s="310" t="s">
        <v>115</v>
      </c>
      <c r="C492" s="311" t="s">
        <v>27</v>
      </c>
      <c r="D492" s="687"/>
      <c r="E492" s="688"/>
      <c r="F492" s="312" t="s">
        <v>3773</v>
      </c>
      <c r="G492" s="313">
        <v>44516</v>
      </c>
      <c r="H492" s="624"/>
      <c r="I492" s="625"/>
      <c r="J492" s="626"/>
      <c r="K492" s="627"/>
      <c r="L492" s="628"/>
      <c r="M492" s="629"/>
      <c r="N492" s="627"/>
      <c r="O492" s="628"/>
      <c r="P492" s="630"/>
      <c r="Q492" s="631"/>
      <c r="R492" s="715"/>
      <c r="S492" s="910"/>
      <c r="T492" s="632"/>
      <c r="U492" s="633"/>
      <c r="V492" s="634"/>
      <c r="W492" s="635"/>
      <c r="X492" s="636"/>
      <c r="Y492" s="637"/>
      <c r="Z492" s="725"/>
      <c r="AA492" s="636"/>
      <c r="AB492" s="1056"/>
      <c r="AC492" s="736" t="s">
        <v>3774</v>
      </c>
      <c r="AD492" s="317"/>
      <c r="AE492" s="669"/>
      <c r="AF492" s="718"/>
      <c r="AG492" s="211"/>
      <c r="AH492" s="210"/>
    </row>
    <row r="493" spans="1:34" s="4" customFormat="1">
      <c r="A493" s="2"/>
      <c r="B493" s="310" t="s">
        <v>115</v>
      </c>
      <c r="C493" s="311" t="s">
        <v>27</v>
      </c>
      <c r="D493" s="687"/>
      <c r="E493" s="688"/>
      <c r="F493" s="312" t="s">
        <v>3775</v>
      </c>
      <c r="G493" s="313">
        <v>44516</v>
      </c>
      <c r="H493" s="624"/>
      <c r="I493" s="625"/>
      <c r="J493" s="626"/>
      <c r="K493" s="627"/>
      <c r="L493" s="628"/>
      <c r="M493" s="629"/>
      <c r="N493" s="627"/>
      <c r="O493" s="628"/>
      <c r="P493" s="630"/>
      <c r="Q493" s="631"/>
      <c r="R493" s="715"/>
      <c r="S493" s="910"/>
      <c r="T493" s="632"/>
      <c r="U493" s="633"/>
      <c r="V493" s="634"/>
      <c r="W493" s="635"/>
      <c r="X493" s="636"/>
      <c r="Y493" s="637"/>
      <c r="Z493" s="725"/>
      <c r="AA493" s="636"/>
      <c r="AB493" s="1056"/>
      <c r="AC493" s="736" t="s">
        <v>3776</v>
      </c>
      <c r="AD493" s="317"/>
      <c r="AE493" s="669"/>
      <c r="AF493" s="718"/>
      <c r="AG493" s="211"/>
      <c r="AH493" s="210"/>
    </row>
    <row r="494" spans="1:34" s="4" customFormat="1">
      <c r="A494" s="2"/>
      <c r="B494" s="310" t="s">
        <v>119</v>
      </c>
      <c r="C494" s="311" t="s">
        <v>27</v>
      </c>
      <c r="D494" s="687" t="s">
        <v>3777</v>
      </c>
      <c r="E494" s="688"/>
      <c r="F494" s="312" t="s">
        <v>3778</v>
      </c>
      <c r="G494" s="313">
        <v>44524</v>
      </c>
      <c r="H494" s="624"/>
      <c r="I494" s="625"/>
      <c r="J494" s="626"/>
      <c r="K494" s="627"/>
      <c r="L494" s="628"/>
      <c r="M494" s="629"/>
      <c r="N494" s="627"/>
      <c r="O494" s="628"/>
      <c r="P494" s="630"/>
      <c r="Q494" s="631"/>
      <c r="R494" s="715"/>
      <c r="S494" s="910"/>
      <c r="T494" s="632"/>
      <c r="U494" s="633"/>
      <c r="V494" s="634"/>
      <c r="W494" s="635"/>
      <c r="X494" s="636"/>
      <c r="Y494" s="637"/>
      <c r="Z494" s="725"/>
      <c r="AA494" s="636"/>
      <c r="AB494" s="1056"/>
      <c r="AC494" s="999" t="s">
        <v>3777</v>
      </c>
      <c r="AD494" s="317"/>
      <c r="AE494" s="669"/>
      <c r="AF494" s="704"/>
      <c r="AG494" s="211"/>
      <c r="AH494" s="210"/>
    </row>
    <row r="495" spans="1:34" s="4" customFormat="1">
      <c r="A495" s="2"/>
      <c r="B495" s="310" t="s">
        <v>115</v>
      </c>
      <c r="C495" s="311" t="s">
        <v>27</v>
      </c>
      <c r="D495" s="687"/>
      <c r="E495" s="688"/>
      <c r="F495" s="312" t="s">
        <v>3779</v>
      </c>
      <c r="G495" s="313">
        <v>44516</v>
      </c>
      <c r="H495" s="624"/>
      <c r="I495" s="625"/>
      <c r="J495" s="626"/>
      <c r="K495" s="627"/>
      <c r="L495" s="628"/>
      <c r="M495" s="629"/>
      <c r="N495" s="627"/>
      <c r="O495" s="628"/>
      <c r="P495" s="630"/>
      <c r="Q495" s="631"/>
      <c r="R495" s="715"/>
      <c r="S495" s="910"/>
      <c r="T495" s="632"/>
      <c r="U495" s="633"/>
      <c r="V495" s="634"/>
      <c r="W495" s="635"/>
      <c r="X495" s="636"/>
      <c r="Y495" s="637"/>
      <c r="Z495" s="725"/>
      <c r="AA495" s="636"/>
      <c r="AB495" s="1056"/>
      <c r="AC495" s="736" t="s">
        <v>3780</v>
      </c>
      <c r="AD495" s="317"/>
      <c r="AE495" s="669"/>
      <c r="AF495" s="718"/>
      <c r="AG495" s="211"/>
      <c r="AH495" s="210"/>
    </row>
    <row r="496" spans="1:34" s="4" customFormat="1">
      <c r="A496" s="2"/>
      <c r="B496" s="310" t="s">
        <v>115</v>
      </c>
      <c r="C496" s="311" t="s">
        <v>27</v>
      </c>
      <c r="D496" s="687"/>
      <c r="E496" s="688"/>
      <c r="F496" s="312" t="s">
        <v>3781</v>
      </c>
      <c r="G496" s="313">
        <v>44517</v>
      </c>
      <c r="H496" s="624"/>
      <c r="I496" s="625"/>
      <c r="J496" s="626"/>
      <c r="K496" s="627"/>
      <c r="L496" s="628"/>
      <c r="M496" s="629"/>
      <c r="N496" s="627"/>
      <c r="O496" s="628"/>
      <c r="P496" s="630"/>
      <c r="Q496" s="631"/>
      <c r="R496" s="715"/>
      <c r="S496" s="910"/>
      <c r="T496" s="632"/>
      <c r="U496" s="633"/>
      <c r="V496" s="634"/>
      <c r="W496" s="635"/>
      <c r="X496" s="636"/>
      <c r="Y496" s="637"/>
      <c r="Z496" s="725"/>
      <c r="AA496" s="636"/>
      <c r="AB496" s="1056"/>
      <c r="AC496" s="736" t="s">
        <v>3782</v>
      </c>
      <c r="AD496" s="317"/>
      <c r="AE496" s="669"/>
      <c r="AF496" s="718"/>
      <c r="AG496" s="211"/>
      <c r="AH496" s="210"/>
    </row>
    <row r="497" spans="1:34" s="4" customFormat="1">
      <c r="A497" s="2"/>
      <c r="B497" s="310" t="s">
        <v>115</v>
      </c>
      <c r="C497" s="311" t="s">
        <v>27</v>
      </c>
      <c r="D497" s="687"/>
      <c r="E497" s="688"/>
      <c r="F497" s="312" t="s">
        <v>3783</v>
      </c>
      <c r="G497" s="313">
        <v>44517</v>
      </c>
      <c r="H497" s="624"/>
      <c r="I497" s="625"/>
      <c r="J497" s="626"/>
      <c r="K497" s="627"/>
      <c r="L497" s="628"/>
      <c r="M497" s="629"/>
      <c r="N497" s="627"/>
      <c r="O497" s="628"/>
      <c r="P497" s="630"/>
      <c r="Q497" s="631"/>
      <c r="R497" s="715"/>
      <c r="S497" s="910"/>
      <c r="T497" s="632"/>
      <c r="U497" s="633"/>
      <c r="V497" s="634"/>
      <c r="W497" s="635"/>
      <c r="X497" s="636"/>
      <c r="Y497" s="637"/>
      <c r="Z497" s="725"/>
      <c r="AA497" s="636"/>
      <c r="AB497" s="1056"/>
      <c r="AC497" s="736" t="s">
        <v>3784</v>
      </c>
      <c r="AD497" s="317"/>
      <c r="AE497" s="669"/>
      <c r="AF497" s="718"/>
      <c r="AG497" s="211"/>
      <c r="AH497" s="210"/>
    </row>
    <row r="498" spans="1:34" s="4" customFormat="1">
      <c r="A498" s="2"/>
      <c r="B498" s="310" t="s">
        <v>106</v>
      </c>
      <c r="C498" s="311" t="s">
        <v>33</v>
      </c>
      <c r="D498" s="1220" t="s">
        <v>3785</v>
      </c>
      <c r="E498" s="1221"/>
      <c r="F498" s="312" t="s">
        <v>3786</v>
      </c>
      <c r="G498" s="313">
        <v>44518</v>
      </c>
      <c r="H498" s="624"/>
      <c r="I498" s="625"/>
      <c r="J498" s="626"/>
      <c r="K498" s="627" t="s">
        <v>3787</v>
      </c>
      <c r="L498" s="628">
        <v>44524</v>
      </c>
      <c r="M498" s="629">
        <v>1000</v>
      </c>
      <c r="N498" s="627" t="s">
        <v>3788</v>
      </c>
      <c r="O498" s="628">
        <v>44524</v>
      </c>
      <c r="P498" s="630" t="s">
        <v>3789</v>
      </c>
      <c r="Q498" s="631">
        <v>44529</v>
      </c>
      <c r="R498" s="715"/>
      <c r="S498" s="1068"/>
      <c r="T498" s="632">
        <v>3490.42</v>
      </c>
      <c r="U498" s="633" t="s">
        <v>3790</v>
      </c>
      <c r="V498" s="634">
        <v>44532</v>
      </c>
      <c r="W498" s="635" t="s">
        <v>2302</v>
      </c>
      <c r="X498" s="636">
        <v>3490.42</v>
      </c>
      <c r="Y498" s="636">
        <v>3490.42</v>
      </c>
      <c r="Z498" s="733">
        <f>Y498/X498</f>
        <v>1</v>
      </c>
      <c r="AA498" s="919"/>
      <c r="AB498" s="1055">
        <v>0</v>
      </c>
      <c r="AC498" s="912" t="s">
        <v>3791</v>
      </c>
      <c r="AD498" s="913"/>
      <c r="AE498" s="669"/>
      <c r="AF498" s="704"/>
      <c r="AG498" s="211"/>
      <c r="AH498" s="210"/>
    </row>
    <row r="499" spans="1:34" s="4" customFormat="1">
      <c r="A499" s="2"/>
      <c r="B499" s="310" t="s">
        <v>106</v>
      </c>
      <c r="C499" s="311" t="s">
        <v>33</v>
      </c>
      <c r="D499" s="687" t="s">
        <v>3792</v>
      </c>
      <c r="E499" s="688"/>
      <c r="F499" s="312" t="s">
        <v>3793</v>
      </c>
      <c r="G499" s="313">
        <v>44518</v>
      </c>
      <c r="H499" s="624"/>
      <c r="I499" s="625"/>
      <c r="J499" s="626"/>
      <c r="K499" s="627" t="s">
        <v>3794</v>
      </c>
      <c r="L499" s="628">
        <v>44526</v>
      </c>
      <c r="M499" s="629">
        <v>-50000</v>
      </c>
      <c r="N499" s="627" t="s">
        <v>3795</v>
      </c>
      <c r="O499" s="628">
        <v>44526</v>
      </c>
      <c r="P499" s="630" t="s">
        <v>3796</v>
      </c>
      <c r="Q499" s="631">
        <v>44847</v>
      </c>
      <c r="R499" s="715">
        <v>44862</v>
      </c>
      <c r="S499" s="1068"/>
      <c r="T499" s="632">
        <v>-2500</v>
      </c>
      <c r="U499" s="633" t="s">
        <v>3797</v>
      </c>
      <c r="V499" s="634">
        <v>45009</v>
      </c>
      <c r="W499" s="635" t="s">
        <v>2302</v>
      </c>
      <c r="X499" s="636">
        <v>-2500</v>
      </c>
      <c r="Y499" s="636">
        <v>-2500</v>
      </c>
      <c r="Z499" s="733">
        <f>Y499/X499</f>
        <v>1</v>
      </c>
      <c r="AA499" s="636"/>
      <c r="AB499" s="1055">
        <v>0</v>
      </c>
      <c r="AC499" s="912" t="s">
        <v>3798</v>
      </c>
      <c r="AD499" s="913"/>
      <c r="AE499" s="669"/>
      <c r="AF499" s="704"/>
      <c r="AG499" s="211"/>
      <c r="AH499" s="210"/>
    </row>
    <row r="500" spans="1:34" s="4" customFormat="1">
      <c r="A500" s="2"/>
      <c r="B500" s="310" t="s">
        <v>115</v>
      </c>
      <c r="C500" s="311" t="s">
        <v>27</v>
      </c>
      <c r="D500" s="687"/>
      <c r="E500" s="688"/>
      <c r="F500" s="312" t="s">
        <v>3799</v>
      </c>
      <c r="G500" s="313">
        <v>44519</v>
      </c>
      <c r="H500" s="624"/>
      <c r="I500" s="625"/>
      <c r="J500" s="626"/>
      <c r="K500" s="627"/>
      <c r="L500" s="628"/>
      <c r="M500" s="629"/>
      <c r="N500" s="627"/>
      <c r="O500" s="628"/>
      <c r="P500" s="630"/>
      <c r="Q500" s="631"/>
      <c r="R500" s="715"/>
      <c r="S500" s="910"/>
      <c r="T500" s="632"/>
      <c r="U500" s="633"/>
      <c r="V500" s="634"/>
      <c r="W500" s="635"/>
      <c r="X500" s="636"/>
      <c r="Y500" s="637"/>
      <c r="Z500" s="725"/>
      <c r="AA500" s="636"/>
      <c r="AB500" s="1056"/>
      <c r="AC500" s="736" t="s">
        <v>3800</v>
      </c>
      <c r="AD500" s="317"/>
      <c r="AE500" s="669"/>
      <c r="AF500" s="718"/>
      <c r="AG500" s="211"/>
      <c r="AH500" s="210"/>
    </row>
    <row r="501" spans="1:34" s="4" customFormat="1">
      <c r="A501" s="2"/>
      <c r="B501" s="310" t="s">
        <v>115</v>
      </c>
      <c r="C501" s="311" t="s">
        <v>27</v>
      </c>
      <c r="D501" s="687"/>
      <c r="E501" s="688"/>
      <c r="F501" s="312" t="s">
        <v>3801</v>
      </c>
      <c r="G501" s="313">
        <v>44522</v>
      </c>
      <c r="H501" s="624"/>
      <c r="I501" s="625"/>
      <c r="J501" s="626"/>
      <c r="K501" s="627"/>
      <c r="L501" s="628"/>
      <c r="M501" s="629"/>
      <c r="N501" s="627"/>
      <c r="O501" s="628"/>
      <c r="P501" s="630"/>
      <c r="Q501" s="631"/>
      <c r="R501" s="715"/>
      <c r="S501" s="910"/>
      <c r="T501" s="632"/>
      <c r="U501" s="633"/>
      <c r="V501" s="634"/>
      <c r="W501" s="635"/>
      <c r="X501" s="636"/>
      <c r="Y501" s="637"/>
      <c r="Z501" s="725"/>
      <c r="AA501" s="636"/>
      <c r="AB501" s="1056"/>
      <c r="AC501" s="736" t="s">
        <v>3802</v>
      </c>
      <c r="AD501" s="317"/>
      <c r="AE501" s="669"/>
      <c r="AF501" s="718"/>
      <c r="AG501" s="211"/>
      <c r="AH501" s="210"/>
    </row>
    <row r="502" spans="1:34" s="4" customFormat="1">
      <c r="A502" s="2"/>
      <c r="B502" s="310" t="s">
        <v>115</v>
      </c>
      <c r="C502" s="311" t="s">
        <v>27</v>
      </c>
      <c r="D502" s="687"/>
      <c r="E502" s="688"/>
      <c r="F502" s="312" t="s">
        <v>3803</v>
      </c>
      <c r="G502" s="313">
        <v>44522</v>
      </c>
      <c r="H502" s="624"/>
      <c r="I502" s="625"/>
      <c r="J502" s="626"/>
      <c r="K502" s="627"/>
      <c r="L502" s="628"/>
      <c r="M502" s="629"/>
      <c r="N502" s="627"/>
      <c r="O502" s="628"/>
      <c r="P502" s="630"/>
      <c r="Q502" s="631"/>
      <c r="R502" s="715"/>
      <c r="S502" s="910"/>
      <c r="T502" s="632"/>
      <c r="U502" s="633"/>
      <c r="V502" s="634"/>
      <c r="W502" s="635"/>
      <c r="X502" s="636"/>
      <c r="Y502" s="637"/>
      <c r="Z502" s="725"/>
      <c r="AA502" s="636"/>
      <c r="AB502" s="1056"/>
      <c r="AC502" s="736" t="s">
        <v>3804</v>
      </c>
      <c r="AD502" s="317"/>
      <c r="AE502" s="669"/>
      <c r="AF502" s="718"/>
      <c r="AG502" s="211"/>
      <c r="AH502" s="210"/>
    </row>
    <row r="503" spans="1:34" s="4" customFormat="1">
      <c r="A503" s="2"/>
      <c r="B503" s="310" t="s">
        <v>115</v>
      </c>
      <c r="C503" s="311" t="s">
        <v>27</v>
      </c>
      <c r="D503" s="1220"/>
      <c r="E503" s="1221"/>
      <c r="F503" s="312" t="s">
        <v>3805</v>
      </c>
      <c r="G503" s="313">
        <v>44522</v>
      </c>
      <c r="H503" s="624"/>
      <c r="I503" s="625"/>
      <c r="J503" s="626"/>
      <c r="K503" s="627"/>
      <c r="L503" s="628"/>
      <c r="M503" s="629"/>
      <c r="N503" s="627"/>
      <c r="O503" s="628"/>
      <c r="P503" s="630"/>
      <c r="Q503" s="631"/>
      <c r="R503" s="715"/>
      <c r="S503" s="910"/>
      <c r="T503" s="632"/>
      <c r="U503" s="633"/>
      <c r="V503" s="634"/>
      <c r="W503" s="635"/>
      <c r="X503" s="636"/>
      <c r="Y503" s="637"/>
      <c r="Z503" s="725"/>
      <c r="AA503" s="636"/>
      <c r="AB503" s="1056"/>
      <c r="AC503" s="736" t="s">
        <v>3806</v>
      </c>
      <c r="AD503" s="317"/>
      <c r="AE503" s="669"/>
      <c r="AF503" s="718"/>
      <c r="AG503" s="211"/>
      <c r="AH503" s="210"/>
    </row>
    <row r="504" spans="1:34" s="4" customFormat="1">
      <c r="A504" s="2"/>
      <c r="B504" s="310" t="s">
        <v>115</v>
      </c>
      <c r="C504" s="311" t="s">
        <v>27</v>
      </c>
      <c r="D504" s="1220"/>
      <c r="E504" s="1221"/>
      <c r="F504" s="312" t="s">
        <v>3807</v>
      </c>
      <c r="G504" s="313">
        <v>44523</v>
      </c>
      <c r="H504" s="624"/>
      <c r="I504" s="625"/>
      <c r="J504" s="626"/>
      <c r="K504" s="627"/>
      <c r="L504" s="628"/>
      <c r="M504" s="629"/>
      <c r="N504" s="627"/>
      <c r="O504" s="628"/>
      <c r="P504" s="630"/>
      <c r="Q504" s="631"/>
      <c r="R504" s="715"/>
      <c r="S504" s="910"/>
      <c r="T504" s="632"/>
      <c r="U504" s="633"/>
      <c r="V504" s="634"/>
      <c r="W504" s="635"/>
      <c r="X504" s="636"/>
      <c r="Y504" s="637"/>
      <c r="Z504" s="725"/>
      <c r="AA504" s="636"/>
      <c r="AB504" s="1056"/>
      <c r="AC504" s="736" t="s">
        <v>3808</v>
      </c>
      <c r="AD504" s="317"/>
      <c r="AE504" s="669"/>
      <c r="AF504" s="718"/>
      <c r="AG504" s="211"/>
      <c r="AH504" s="210"/>
    </row>
    <row r="505" spans="1:34" s="4" customFormat="1">
      <c r="A505" s="2"/>
      <c r="B505" s="310" t="s">
        <v>106</v>
      </c>
      <c r="C505" s="311" t="s">
        <v>33</v>
      </c>
      <c r="D505" s="1220" t="s">
        <v>2181</v>
      </c>
      <c r="E505" s="1221"/>
      <c r="F505" s="312"/>
      <c r="G505" s="313"/>
      <c r="H505" s="624"/>
      <c r="I505" s="625"/>
      <c r="J505" s="626"/>
      <c r="K505" s="627" t="s">
        <v>3809</v>
      </c>
      <c r="L505" s="628">
        <v>44414</v>
      </c>
      <c r="M505" s="629">
        <v>350000</v>
      </c>
      <c r="N505" s="627" t="s">
        <v>3810</v>
      </c>
      <c r="O505" s="628">
        <v>44468</v>
      </c>
      <c r="P505" s="630" t="s">
        <v>3811</v>
      </c>
      <c r="Q505" s="631">
        <v>44468</v>
      </c>
      <c r="R505" s="715"/>
      <c r="S505" s="1068"/>
      <c r="T505" s="632">
        <v>202755.99</v>
      </c>
      <c r="U505" s="633" t="s">
        <v>3812</v>
      </c>
      <c r="V505" s="634">
        <v>44505</v>
      </c>
      <c r="W505" s="635" t="s">
        <v>84</v>
      </c>
      <c r="X505" s="636">
        <v>202755.99</v>
      </c>
      <c r="Y505" s="636">
        <v>202755.99</v>
      </c>
      <c r="Z505" s="733">
        <f t="shared" ref="Z505:Z506" si="27">Y505/X505</f>
        <v>1</v>
      </c>
      <c r="AA505" s="919"/>
      <c r="AB505" s="1055">
        <v>0</v>
      </c>
      <c r="AC505" s="912"/>
      <c r="AD505" s="913"/>
      <c r="AE505" s="669"/>
      <c r="AF505" s="704"/>
      <c r="AG505" s="211"/>
      <c r="AH505" s="210"/>
    </row>
    <row r="506" spans="1:34" s="4" customFormat="1">
      <c r="A506" s="2"/>
      <c r="B506" s="310" t="s">
        <v>106</v>
      </c>
      <c r="C506" s="311" t="s">
        <v>33</v>
      </c>
      <c r="D506" s="1220" t="s">
        <v>2180</v>
      </c>
      <c r="E506" s="1221"/>
      <c r="F506" s="312"/>
      <c r="G506" s="313"/>
      <c r="H506" s="624"/>
      <c r="I506" s="625"/>
      <c r="J506" s="626"/>
      <c r="K506" s="627" t="s">
        <v>3813</v>
      </c>
      <c r="L506" s="628">
        <v>44442</v>
      </c>
      <c r="M506" s="629">
        <v>1000000</v>
      </c>
      <c r="N506" s="627" t="s">
        <v>3814</v>
      </c>
      <c r="O506" s="628">
        <v>44475</v>
      </c>
      <c r="P506" s="630" t="s">
        <v>3815</v>
      </c>
      <c r="Q506" s="631">
        <v>44474</v>
      </c>
      <c r="R506" s="715"/>
      <c r="S506" s="1068"/>
      <c r="T506" s="632">
        <v>108625</v>
      </c>
      <c r="U506" s="633" t="s">
        <v>3816</v>
      </c>
      <c r="V506" s="634">
        <v>44512</v>
      </c>
      <c r="W506" s="635" t="s">
        <v>84</v>
      </c>
      <c r="X506" s="636">
        <v>108625</v>
      </c>
      <c r="Y506" s="636">
        <v>108625</v>
      </c>
      <c r="Z506" s="733">
        <f t="shared" si="27"/>
        <v>1</v>
      </c>
      <c r="AA506" s="919"/>
      <c r="AB506" s="1055">
        <v>0</v>
      </c>
      <c r="AC506" s="912"/>
      <c r="AD506" s="913"/>
      <c r="AE506" s="669"/>
      <c r="AF506" s="704"/>
      <c r="AG506" s="211"/>
      <c r="AH506" s="210"/>
    </row>
    <row r="507" spans="1:34" s="4" customFormat="1">
      <c r="A507" s="2"/>
      <c r="B507" s="310" t="s">
        <v>115</v>
      </c>
      <c r="C507" s="311" t="s">
        <v>27</v>
      </c>
      <c r="D507" s="1220"/>
      <c r="E507" s="1221"/>
      <c r="F507" s="312" t="s">
        <v>3817</v>
      </c>
      <c r="G507" s="313">
        <v>44525</v>
      </c>
      <c r="H507" s="624"/>
      <c r="I507" s="625"/>
      <c r="J507" s="626"/>
      <c r="K507" s="627"/>
      <c r="L507" s="628"/>
      <c r="M507" s="629"/>
      <c r="N507" s="627"/>
      <c r="O507" s="628"/>
      <c r="P507" s="630"/>
      <c r="Q507" s="631"/>
      <c r="R507" s="715"/>
      <c r="S507" s="910"/>
      <c r="T507" s="632"/>
      <c r="U507" s="633"/>
      <c r="V507" s="634"/>
      <c r="W507" s="635"/>
      <c r="X507" s="636"/>
      <c r="Y507" s="637"/>
      <c r="Z507" s="725"/>
      <c r="AA507" s="636"/>
      <c r="AB507" s="1056"/>
      <c r="AC507" s="736" t="s">
        <v>3818</v>
      </c>
      <c r="AD507" s="317"/>
      <c r="AE507" s="669"/>
      <c r="AF507" s="718"/>
      <c r="AG507" s="211"/>
      <c r="AH507" s="210"/>
    </row>
    <row r="508" spans="1:34" s="4" customFormat="1">
      <c r="A508" s="2"/>
      <c r="B508" s="310" t="s">
        <v>115</v>
      </c>
      <c r="C508" s="311" t="s">
        <v>27</v>
      </c>
      <c r="D508" s="1220"/>
      <c r="E508" s="1221"/>
      <c r="F508" s="312" t="s">
        <v>3819</v>
      </c>
      <c r="G508" s="313">
        <v>44525</v>
      </c>
      <c r="H508" s="624"/>
      <c r="I508" s="625"/>
      <c r="J508" s="626"/>
      <c r="K508" s="627"/>
      <c r="L508" s="628"/>
      <c r="M508" s="629"/>
      <c r="N508" s="627"/>
      <c r="O508" s="628"/>
      <c r="P508" s="630"/>
      <c r="Q508" s="631"/>
      <c r="R508" s="715"/>
      <c r="S508" s="910"/>
      <c r="T508" s="632"/>
      <c r="U508" s="633"/>
      <c r="V508" s="634"/>
      <c r="W508" s="635"/>
      <c r="X508" s="636"/>
      <c r="Y508" s="637"/>
      <c r="Z508" s="725"/>
      <c r="AA508" s="636"/>
      <c r="AB508" s="1056"/>
      <c r="AC508" s="736" t="s">
        <v>3820</v>
      </c>
      <c r="AD508" s="317"/>
      <c r="AE508" s="669"/>
      <c r="AF508" s="718"/>
      <c r="AG508" s="211"/>
      <c r="AH508" s="210"/>
    </row>
    <row r="509" spans="1:34" s="4" customFormat="1">
      <c r="A509" s="2"/>
      <c r="B509" s="310" t="s">
        <v>115</v>
      </c>
      <c r="C509" s="311" t="s">
        <v>27</v>
      </c>
      <c r="D509" s="1220"/>
      <c r="E509" s="1221"/>
      <c r="F509" s="312" t="s">
        <v>3821</v>
      </c>
      <c r="G509" s="313">
        <v>44525</v>
      </c>
      <c r="H509" s="624"/>
      <c r="I509" s="625"/>
      <c r="J509" s="626"/>
      <c r="K509" s="627"/>
      <c r="L509" s="628"/>
      <c r="M509" s="629"/>
      <c r="N509" s="627"/>
      <c r="O509" s="628"/>
      <c r="P509" s="630"/>
      <c r="Q509" s="631"/>
      <c r="R509" s="715"/>
      <c r="S509" s="910"/>
      <c r="T509" s="632"/>
      <c r="U509" s="633"/>
      <c r="V509" s="634"/>
      <c r="W509" s="635"/>
      <c r="X509" s="636"/>
      <c r="Y509" s="637"/>
      <c r="Z509" s="725"/>
      <c r="AA509" s="636"/>
      <c r="AB509" s="1056"/>
      <c r="AC509" s="736" t="s">
        <v>3822</v>
      </c>
      <c r="AD509" s="317"/>
      <c r="AE509" s="669"/>
      <c r="AF509" s="718"/>
      <c r="AG509" s="211"/>
      <c r="AH509" s="210"/>
    </row>
    <row r="510" spans="1:34" s="4" customFormat="1">
      <c r="A510" s="2"/>
      <c r="B510" s="310" t="s">
        <v>115</v>
      </c>
      <c r="C510" s="311" t="s">
        <v>27</v>
      </c>
      <c r="D510" s="1220"/>
      <c r="E510" s="1221"/>
      <c r="F510" s="312" t="s">
        <v>3823</v>
      </c>
      <c r="G510" s="313">
        <v>44525</v>
      </c>
      <c r="H510" s="624"/>
      <c r="I510" s="625"/>
      <c r="J510" s="626"/>
      <c r="K510" s="627"/>
      <c r="L510" s="628"/>
      <c r="M510" s="629"/>
      <c r="N510" s="627"/>
      <c r="O510" s="628"/>
      <c r="P510" s="630"/>
      <c r="Q510" s="631"/>
      <c r="R510" s="715"/>
      <c r="S510" s="910"/>
      <c r="T510" s="632"/>
      <c r="U510" s="633"/>
      <c r="V510" s="634"/>
      <c r="W510" s="635"/>
      <c r="X510" s="636"/>
      <c r="Y510" s="637"/>
      <c r="Z510" s="725"/>
      <c r="AA510" s="636"/>
      <c r="AB510" s="1056"/>
      <c r="AC510" s="736" t="s">
        <v>3824</v>
      </c>
      <c r="AD510" s="317"/>
      <c r="AE510" s="669"/>
      <c r="AF510" s="718"/>
      <c r="AG510" s="211"/>
      <c r="AH510" s="210"/>
    </row>
    <row r="511" spans="1:34" s="4" customFormat="1">
      <c r="A511" s="2"/>
      <c r="B511" s="310" t="s">
        <v>115</v>
      </c>
      <c r="C511" s="311" t="s">
        <v>27</v>
      </c>
      <c r="D511" s="1220"/>
      <c r="E511" s="1221"/>
      <c r="F511" s="312" t="s">
        <v>3825</v>
      </c>
      <c r="G511" s="313">
        <v>44525</v>
      </c>
      <c r="H511" s="624"/>
      <c r="I511" s="625"/>
      <c r="J511" s="626"/>
      <c r="K511" s="627"/>
      <c r="L511" s="628"/>
      <c r="M511" s="629"/>
      <c r="N511" s="627"/>
      <c r="O511" s="628"/>
      <c r="P511" s="630"/>
      <c r="Q511" s="631"/>
      <c r="R511" s="715"/>
      <c r="S511" s="910"/>
      <c r="T511" s="632"/>
      <c r="U511" s="633"/>
      <c r="V511" s="634"/>
      <c r="W511" s="635"/>
      <c r="X511" s="636"/>
      <c r="Y511" s="637"/>
      <c r="Z511" s="921"/>
      <c r="AA511" s="636"/>
      <c r="AB511" s="1056"/>
      <c r="AC511" s="736" t="s">
        <v>3826</v>
      </c>
      <c r="AD511" s="317"/>
      <c r="AE511" s="669"/>
      <c r="AF511" s="718"/>
      <c r="AG511" s="211"/>
      <c r="AH511" s="210"/>
    </row>
    <row r="512" spans="1:34" s="4" customFormat="1">
      <c r="A512" s="2"/>
      <c r="B512" s="310" t="s">
        <v>115</v>
      </c>
      <c r="C512" s="311" t="s">
        <v>27</v>
      </c>
      <c r="D512" s="1220"/>
      <c r="E512" s="1221"/>
      <c r="F512" s="312" t="s">
        <v>3827</v>
      </c>
      <c r="G512" s="313">
        <v>44526</v>
      </c>
      <c r="H512" s="624"/>
      <c r="I512" s="625"/>
      <c r="J512" s="626"/>
      <c r="K512" s="627"/>
      <c r="L512" s="628"/>
      <c r="M512" s="629"/>
      <c r="N512" s="627"/>
      <c r="O512" s="628"/>
      <c r="P512" s="630"/>
      <c r="Q512" s="631"/>
      <c r="R512" s="715"/>
      <c r="S512" s="910"/>
      <c r="T512" s="632"/>
      <c r="U512" s="633"/>
      <c r="V512" s="634"/>
      <c r="W512" s="635"/>
      <c r="X512" s="636"/>
      <c r="Y512" s="637"/>
      <c r="Z512" s="921"/>
      <c r="AA512" s="636"/>
      <c r="AB512" s="1056"/>
      <c r="AC512" s="736" t="s">
        <v>3828</v>
      </c>
      <c r="AD512" s="317"/>
      <c r="AE512" s="669"/>
      <c r="AF512" s="718"/>
      <c r="AG512" s="211"/>
      <c r="AH512" s="210"/>
    </row>
    <row r="513" spans="1:34" s="4" customFormat="1">
      <c r="A513" s="2"/>
      <c r="B513" s="310" t="s">
        <v>115</v>
      </c>
      <c r="C513" s="311" t="s">
        <v>27</v>
      </c>
      <c r="D513" s="1220"/>
      <c r="E513" s="1221"/>
      <c r="F513" s="312" t="s">
        <v>3829</v>
      </c>
      <c r="G513" s="313">
        <v>44526</v>
      </c>
      <c r="H513" s="624"/>
      <c r="I513" s="625"/>
      <c r="J513" s="626"/>
      <c r="K513" s="627"/>
      <c r="L513" s="628"/>
      <c r="M513" s="629"/>
      <c r="N513" s="627"/>
      <c r="O513" s="628"/>
      <c r="P513" s="630"/>
      <c r="Q513" s="631"/>
      <c r="R513" s="715"/>
      <c r="S513" s="910"/>
      <c r="T513" s="632"/>
      <c r="U513" s="633"/>
      <c r="V513" s="634"/>
      <c r="W513" s="635"/>
      <c r="X513" s="636"/>
      <c r="Y513" s="637"/>
      <c r="Z513" s="921"/>
      <c r="AA513" s="636"/>
      <c r="AB513" s="1056"/>
      <c r="AC513" s="736" t="s">
        <v>3830</v>
      </c>
      <c r="AD513" s="317"/>
      <c r="AE513" s="669"/>
      <c r="AF513" s="718"/>
      <c r="AG513" s="211"/>
      <c r="AH513" s="210"/>
    </row>
    <row r="514" spans="1:34" s="4" customFormat="1">
      <c r="A514" s="2"/>
      <c r="B514" s="310" t="s">
        <v>119</v>
      </c>
      <c r="C514" s="311" t="s">
        <v>27</v>
      </c>
      <c r="D514" s="687" t="s">
        <v>3831</v>
      </c>
      <c r="E514" s="688"/>
      <c r="F514" s="312" t="s">
        <v>3832</v>
      </c>
      <c r="G514" s="313">
        <v>44581</v>
      </c>
      <c r="H514" s="624"/>
      <c r="I514" s="625"/>
      <c r="J514" s="626"/>
      <c r="K514" s="627"/>
      <c r="L514" s="628"/>
      <c r="M514" s="629"/>
      <c r="N514" s="627"/>
      <c r="O514" s="628"/>
      <c r="P514" s="630"/>
      <c r="Q514" s="631"/>
      <c r="R514" s="715"/>
      <c r="S514" s="910"/>
      <c r="T514" s="632"/>
      <c r="U514" s="633"/>
      <c r="V514" s="634"/>
      <c r="W514" s="635"/>
      <c r="X514" s="636"/>
      <c r="Y514" s="637"/>
      <c r="Z514" s="921"/>
      <c r="AA514" s="636"/>
      <c r="AB514" s="1056"/>
      <c r="AC514" s="999" t="s">
        <v>3831</v>
      </c>
      <c r="AD514" s="317"/>
      <c r="AE514" s="669"/>
      <c r="AF514" s="704"/>
      <c r="AG514" s="211"/>
      <c r="AH514" s="210"/>
    </row>
    <row r="515" spans="1:34" s="4" customFormat="1">
      <c r="A515" s="2"/>
      <c r="B515" s="310" t="s">
        <v>115</v>
      </c>
      <c r="C515" s="311" t="s">
        <v>27</v>
      </c>
      <c r="D515" s="1220"/>
      <c r="E515" s="1221"/>
      <c r="F515" s="312" t="s">
        <v>3833</v>
      </c>
      <c r="G515" s="313">
        <v>44529</v>
      </c>
      <c r="H515" s="624"/>
      <c r="I515" s="625"/>
      <c r="J515" s="626"/>
      <c r="K515" s="627"/>
      <c r="L515" s="628"/>
      <c r="M515" s="629"/>
      <c r="N515" s="627"/>
      <c r="O515" s="628"/>
      <c r="P515" s="630"/>
      <c r="Q515" s="631"/>
      <c r="R515" s="715"/>
      <c r="S515" s="910"/>
      <c r="T515" s="632"/>
      <c r="U515" s="633"/>
      <c r="V515" s="634"/>
      <c r="W515" s="635"/>
      <c r="X515" s="636"/>
      <c r="Y515" s="637"/>
      <c r="Z515" s="921"/>
      <c r="AA515" s="636"/>
      <c r="AB515" s="1056"/>
      <c r="AC515" s="736" t="s">
        <v>3834</v>
      </c>
      <c r="AD515" s="317"/>
      <c r="AE515" s="669"/>
      <c r="AF515" s="718"/>
      <c r="AG515" s="211"/>
      <c r="AH515" s="210"/>
    </row>
    <row r="516" spans="1:34" s="4" customFormat="1">
      <c r="A516" s="2"/>
      <c r="B516" s="310" t="s">
        <v>115</v>
      </c>
      <c r="C516" s="311" t="s">
        <v>27</v>
      </c>
      <c r="D516" s="1220"/>
      <c r="E516" s="1221"/>
      <c r="F516" s="312" t="s">
        <v>3835</v>
      </c>
      <c r="G516" s="313">
        <v>44530</v>
      </c>
      <c r="H516" s="624"/>
      <c r="I516" s="625"/>
      <c r="J516" s="626"/>
      <c r="K516" s="627"/>
      <c r="L516" s="628"/>
      <c r="M516" s="629"/>
      <c r="N516" s="627"/>
      <c r="O516" s="628"/>
      <c r="P516" s="630"/>
      <c r="Q516" s="631"/>
      <c r="R516" s="715"/>
      <c r="S516" s="910"/>
      <c r="T516" s="632"/>
      <c r="U516" s="633"/>
      <c r="V516" s="634"/>
      <c r="W516" s="635"/>
      <c r="X516" s="636"/>
      <c r="Y516" s="637"/>
      <c r="Z516" s="921"/>
      <c r="AA516" s="636"/>
      <c r="AB516" s="1056"/>
      <c r="AC516" s="736" t="s">
        <v>3836</v>
      </c>
      <c r="AD516" s="317"/>
      <c r="AE516" s="669"/>
      <c r="AF516" s="718"/>
      <c r="AG516" s="211"/>
      <c r="AH516" s="210"/>
    </row>
    <row r="517" spans="1:34" s="4" customFormat="1">
      <c r="A517" s="2"/>
      <c r="B517" s="310" t="s">
        <v>115</v>
      </c>
      <c r="C517" s="311" t="s">
        <v>27</v>
      </c>
      <c r="D517" s="1220"/>
      <c r="E517" s="1221"/>
      <c r="F517" s="312" t="s">
        <v>3837</v>
      </c>
      <c r="G517" s="313">
        <v>44530</v>
      </c>
      <c r="H517" s="624"/>
      <c r="I517" s="625"/>
      <c r="J517" s="626"/>
      <c r="K517" s="627"/>
      <c r="L517" s="628"/>
      <c r="M517" s="629"/>
      <c r="N517" s="627"/>
      <c r="O517" s="628"/>
      <c r="P517" s="630"/>
      <c r="Q517" s="631"/>
      <c r="R517" s="715"/>
      <c r="S517" s="910"/>
      <c r="T517" s="632"/>
      <c r="U517" s="633"/>
      <c r="V517" s="634"/>
      <c r="W517" s="635"/>
      <c r="X517" s="636"/>
      <c r="Y517" s="637"/>
      <c r="Z517" s="921"/>
      <c r="AA517" s="636"/>
      <c r="AB517" s="1056"/>
      <c r="AC517" s="736" t="s">
        <v>3838</v>
      </c>
      <c r="AD517" s="317"/>
      <c r="AE517" s="669"/>
      <c r="AF517" s="718"/>
      <c r="AG517" s="211"/>
      <c r="AH517" s="210"/>
    </row>
    <row r="518" spans="1:34" s="4" customFormat="1">
      <c r="A518" s="2"/>
      <c r="B518" s="310" t="s">
        <v>115</v>
      </c>
      <c r="C518" s="311" t="s">
        <v>27</v>
      </c>
      <c r="D518" s="1220"/>
      <c r="E518" s="1221"/>
      <c r="F518" s="312" t="s">
        <v>3839</v>
      </c>
      <c r="G518" s="313">
        <v>44532</v>
      </c>
      <c r="H518" s="624"/>
      <c r="I518" s="625"/>
      <c r="J518" s="626"/>
      <c r="K518" s="627"/>
      <c r="L518" s="628"/>
      <c r="M518" s="629"/>
      <c r="N518" s="627"/>
      <c r="O518" s="628"/>
      <c r="P518" s="630"/>
      <c r="Q518" s="631"/>
      <c r="R518" s="715"/>
      <c r="S518" s="910"/>
      <c r="T518" s="632"/>
      <c r="U518" s="633"/>
      <c r="V518" s="634"/>
      <c r="W518" s="635"/>
      <c r="X518" s="636"/>
      <c r="Y518" s="637"/>
      <c r="Z518" s="921"/>
      <c r="AA518" s="636"/>
      <c r="AB518" s="1056"/>
      <c r="AC518" s="736" t="s">
        <v>3840</v>
      </c>
      <c r="AD518" s="317"/>
      <c r="AE518" s="669"/>
      <c r="AF518" s="718"/>
      <c r="AG518" s="211"/>
      <c r="AH518" s="210"/>
    </row>
    <row r="519" spans="1:34" s="4" customFormat="1">
      <c r="A519" s="2"/>
      <c r="B519" s="310" t="s">
        <v>115</v>
      </c>
      <c r="C519" s="311" t="s">
        <v>27</v>
      </c>
      <c r="D519" s="1220"/>
      <c r="E519" s="1221"/>
      <c r="F519" s="312" t="s">
        <v>3841</v>
      </c>
      <c r="G519" s="313">
        <v>44532</v>
      </c>
      <c r="H519" s="624"/>
      <c r="I519" s="625"/>
      <c r="J519" s="626"/>
      <c r="K519" s="627"/>
      <c r="L519" s="628"/>
      <c r="M519" s="629"/>
      <c r="N519" s="627"/>
      <c r="O519" s="628"/>
      <c r="P519" s="630"/>
      <c r="Q519" s="631"/>
      <c r="R519" s="715"/>
      <c r="S519" s="910"/>
      <c r="T519" s="632"/>
      <c r="U519" s="633"/>
      <c r="V519" s="634"/>
      <c r="W519" s="635"/>
      <c r="X519" s="636"/>
      <c r="Y519" s="637"/>
      <c r="Z519" s="921"/>
      <c r="AA519" s="636"/>
      <c r="AB519" s="1056"/>
      <c r="AC519" s="736" t="s">
        <v>3842</v>
      </c>
      <c r="AD519" s="317"/>
      <c r="AE519" s="669"/>
      <c r="AF519" s="718"/>
      <c r="AG519" s="211"/>
      <c r="AH519" s="210"/>
    </row>
    <row r="520" spans="1:34" s="4" customFormat="1">
      <c r="A520" s="2"/>
      <c r="B520" s="310" t="s">
        <v>106</v>
      </c>
      <c r="C520" s="311" t="s">
        <v>33</v>
      </c>
      <c r="D520" s="1220" t="s">
        <v>3843</v>
      </c>
      <c r="E520" s="1221"/>
      <c r="F520" s="312" t="s">
        <v>3844</v>
      </c>
      <c r="G520" s="313">
        <v>44533</v>
      </c>
      <c r="H520" s="624"/>
      <c r="I520" s="625"/>
      <c r="J520" s="626"/>
      <c r="K520" s="627" t="s">
        <v>3845</v>
      </c>
      <c r="L520" s="628">
        <v>44550</v>
      </c>
      <c r="M520" s="629">
        <v>-17000</v>
      </c>
      <c r="N520" s="627" t="s">
        <v>3846</v>
      </c>
      <c r="O520" s="628">
        <v>44550</v>
      </c>
      <c r="P520" s="630" t="s">
        <v>3847</v>
      </c>
      <c r="Q520" s="631">
        <v>44568</v>
      </c>
      <c r="R520" s="715"/>
      <c r="S520" s="1068"/>
      <c r="T520" s="632">
        <v>-13729.81</v>
      </c>
      <c r="U520" s="633" t="s">
        <v>3848</v>
      </c>
      <c r="V520" s="634">
        <v>44582</v>
      </c>
      <c r="W520" s="635" t="s">
        <v>101</v>
      </c>
      <c r="X520" s="636">
        <v>-13729.81</v>
      </c>
      <c r="Y520" s="637">
        <v>-13729.81</v>
      </c>
      <c r="Z520" s="987">
        <f>Y520/X520</f>
        <v>1</v>
      </c>
      <c r="AA520" s="919"/>
      <c r="AB520" s="1055">
        <v>0</v>
      </c>
      <c r="AC520" s="912" t="s">
        <v>3849</v>
      </c>
      <c r="AD520" s="913" t="s">
        <v>3850</v>
      </c>
      <c r="AE520" s="669"/>
      <c r="AF520" s="704"/>
      <c r="AG520" s="211"/>
      <c r="AH520" s="210"/>
    </row>
    <row r="521" spans="1:34" s="4" customFormat="1">
      <c r="A521" s="2"/>
      <c r="B521" s="310" t="s">
        <v>115</v>
      </c>
      <c r="C521" s="311" t="s">
        <v>27</v>
      </c>
      <c r="D521" s="1220"/>
      <c r="E521" s="1221"/>
      <c r="F521" s="312" t="s">
        <v>3851</v>
      </c>
      <c r="G521" s="313">
        <v>44536</v>
      </c>
      <c r="H521" s="624"/>
      <c r="I521" s="625"/>
      <c r="J521" s="626"/>
      <c r="K521" s="627"/>
      <c r="L521" s="628"/>
      <c r="M521" s="629"/>
      <c r="N521" s="627"/>
      <c r="O521" s="628"/>
      <c r="P521" s="630"/>
      <c r="Q521" s="631"/>
      <c r="R521" s="715"/>
      <c r="S521" s="910"/>
      <c r="T521" s="632"/>
      <c r="U521" s="633"/>
      <c r="V521" s="634"/>
      <c r="W521" s="635"/>
      <c r="X521" s="636"/>
      <c r="Y521" s="637"/>
      <c r="Z521" s="921"/>
      <c r="AA521" s="636"/>
      <c r="AB521" s="1056"/>
      <c r="AC521" s="736" t="s">
        <v>3852</v>
      </c>
      <c r="AD521" s="317"/>
      <c r="AE521" s="669"/>
      <c r="AF521" s="718"/>
      <c r="AG521" s="211"/>
      <c r="AH521" s="210"/>
    </row>
    <row r="522" spans="1:34" s="4" customFormat="1">
      <c r="A522" s="2"/>
      <c r="B522" s="310" t="s">
        <v>106</v>
      </c>
      <c r="C522" s="311" t="s">
        <v>33</v>
      </c>
      <c r="D522" s="1222" t="s">
        <v>3337</v>
      </c>
      <c r="E522" s="1223"/>
      <c r="F522" s="312" t="s">
        <v>3853</v>
      </c>
      <c r="G522" s="313">
        <v>37232</v>
      </c>
      <c r="H522" s="624"/>
      <c r="I522" s="625"/>
      <c r="J522" s="626"/>
      <c r="K522" s="627" t="s">
        <v>3854</v>
      </c>
      <c r="L522" s="628">
        <v>44644</v>
      </c>
      <c r="M522" s="629"/>
      <c r="N522" s="627"/>
      <c r="O522" s="628"/>
      <c r="P522" s="630"/>
      <c r="Q522" s="631"/>
      <c r="R522" s="715"/>
      <c r="S522" s="910"/>
      <c r="T522" s="632"/>
      <c r="U522" s="633"/>
      <c r="V522" s="634"/>
      <c r="W522" s="635"/>
      <c r="X522" s="636"/>
      <c r="Y522" s="637"/>
      <c r="Z522" s="921"/>
      <c r="AA522" s="636"/>
      <c r="AB522" s="1056"/>
      <c r="AC522" s="736" t="s">
        <v>3855</v>
      </c>
      <c r="AD522" s="317"/>
      <c r="AE522" s="669"/>
      <c r="AF522" s="704"/>
      <c r="AG522" s="211"/>
      <c r="AH522" s="210"/>
    </row>
    <row r="523" spans="1:34" s="4" customFormat="1">
      <c r="A523" s="2"/>
      <c r="B523" s="310" t="s">
        <v>115</v>
      </c>
      <c r="C523" s="311" t="s">
        <v>27</v>
      </c>
      <c r="D523" s="1220"/>
      <c r="E523" s="1221"/>
      <c r="F523" s="312" t="s">
        <v>3856</v>
      </c>
      <c r="G523" s="313">
        <v>44537</v>
      </c>
      <c r="H523" s="624"/>
      <c r="I523" s="625"/>
      <c r="J523" s="626"/>
      <c r="K523" s="627"/>
      <c r="L523" s="628"/>
      <c r="M523" s="629"/>
      <c r="N523" s="627"/>
      <c r="O523" s="628"/>
      <c r="P523" s="630"/>
      <c r="Q523" s="631"/>
      <c r="R523" s="715"/>
      <c r="S523" s="910"/>
      <c r="T523" s="632"/>
      <c r="U523" s="633"/>
      <c r="V523" s="634"/>
      <c r="W523" s="635"/>
      <c r="X523" s="636"/>
      <c r="Y523" s="637"/>
      <c r="Z523" s="921"/>
      <c r="AA523" s="636"/>
      <c r="AB523" s="1056"/>
      <c r="AC523" s="736" t="s">
        <v>3857</v>
      </c>
      <c r="AD523" s="317"/>
      <c r="AE523" s="669"/>
      <c r="AF523" s="718"/>
      <c r="AG523" s="211"/>
      <c r="AH523" s="210"/>
    </row>
    <row r="524" spans="1:34" s="4" customFormat="1">
      <c r="A524" s="2"/>
      <c r="B524" s="310" t="s">
        <v>115</v>
      </c>
      <c r="C524" s="311" t="s">
        <v>27</v>
      </c>
      <c r="D524" s="1220"/>
      <c r="E524" s="1221"/>
      <c r="F524" s="312" t="s">
        <v>3858</v>
      </c>
      <c r="G524" s="313">
        <v>37234</v>
      </c>
      <c r="H524" s="624"/>
      <c r="I524" s="625"/>
      <c r="J524" s="626"/>
      <c r="K524" s="627"/>
      <c r="L524" s="628"/>
      <c r="M524" s="629"/>
      <c r="N524" s="627"/>
      <c r="O524" s="628"/>
      <c r="P524" s="630"/>
      <c r="Q524" s="631"/>
      <c r="R524" s="715"/>
      <c r="S524" s="910"/>
      <c r="T524" s="632"/>
      <c r="U524" s="633"/>
      <c r="V524" s="634"/>
      <c r="W524" s="635"/>
      <c r="X524" s="636"/>
      <c r="Y524" s="637"/>
      <c r="Z524" s="921"/>
      <c r="AA524" s="636"/>
      <c r="AB524" s="1056"/>
      <c r="AC524" s="736" t="s">
        <v>3859</v>
      </c>
      <c r="AD524" s="317"/>
      <c r="AE524" s="669"/>
      <c r="AF524" s="718"/>
      <c r="AG524" s="211"/>
      <c r="AH524" s="210"/>
    </row>
    <row r="525" spans="1:34" s="4" customFormat="1">
      <c r="A525" s="2"/>
      <c r="B525" s="310" t="s">
        <v>106</v>
      </c>
      <c r="C525" s="311" t="s">
        <v>33</v>
      </c>
      <c r="D525" s="1220" t="s">
        <v>3860</v>
      </c>
      <c r="E525" s="1221"/>
      <c r="F525" s="312" t="s">
        <v>3861</v>
      </c>
      <c r="G525" s="313">
        <v>44540</v>
      </c>
      <c r="H525" s="624"/>
      <c r="I525" s="625"/>
      <c r="J525" s="626"/>
      <c r="K525" s="627" t="s">
        <v>3862</v>
      </c>
      <c r="L525" s="628">
        <v>44540</v>
      </c>
      <c r="M525" s="629">
        <v>2500</v>
      </c>
      <c r="N525" s="627" t="s">
        <v>3863</v>
      </c>
      <c r="O525" s="628">
        <v>44540</v>
      </c>
      <c r="P525" s="630" t="s">
        <v>3864</v>
      </c>
      <c r="Q525" s="631">
        <v>44566</v>
      </c>
      <c r="R525" s="715"/>
      <c r="S525" s="1068"/>
      <c r="T525" s="632">
        <v>7840.56</v>
      </c>
      <c r="U525" s="633" t="s">
        <v>3865</v>
      </c>
      <c r="V525" s="634">
        <v>44571</v>
      </c>
      <c r="W525" s="635" t="s">
        <v>2302</v>
      </c>
      <c r="X525" s="636">
        <v>7840.56</v>
      </c>
      <c r="Y525" s="636">
        <v>7840.56</v>
      </c>
      <c r="Z525" s="987">
        <f t="shared" ref="Z525:Z531" si="28">Y525/X525</f>
        <v>1</v>
      </c>
      <c r="AA525" s="919"/>
      <c r="AB525" s="1055">
        <v>0</v>
      </c>
      <c r="AC525" s="912"/>
      <c r="AD525" s="913"/>
      <c r="AE525" s="669"/>
      <c r="AF525" s="704"/>
      <c r="AG525" s="211"/>
      <c r="AH525" s="210"/>
    </row>
    <row r="526" spans="1:34" s="4" customFormat="1">
      <c r="A526" s="2"/>
      <c r="B526" s="310" t="s">
        <v>106</v>
      </c>
      <c r="C526" s="311" t="s">
        <v>33</v>
      </c>
      <c r="D526" s="1220" t="s">
        <v>3866</v>
      </c>
      <c r="E526" s="1221"/>
      <c r="F526" s="312"/>
      <c r="G526" s="313"/>
      <c r="H526" s="624" t="s">
        <v>3867</v>
      </c>
      <c r="I526" s="625">
        <v>44533</v>
      </c>
      <c r="J526" s="626">
        <v>60000</v>
      </c>
      <c r="K526" s="627" t="s">
        <v>3868</v>
      </c>
      <c r="L526" s="628">
        <v>44532</v>
      </c>
      <c r="M526" s="629">
        <v>2500</v>
      </c>
      <c r="N526" s="627" t="s">
        <v>3869</v>
      </c>
      <c r="O526" s="628">
        <v>44532</v>
      </c>
      <c r="P526" s="630" t="s">
        <v>3870</v>
      </c>
      <c r="Q526" s="631">
        <v>44582</v>
      </c>
      <c r="R526" s="715"/>
      <c r="S526" s="1068"/>
      <c r="T526" s="632">
        <v>10471.24</v>
      </c>
      <c r="U526" s="633" t="s">
        <v>3871</v>
      </c>
      <c r="V526" s="634">
        <v>44610</v>
      </c>
      <c r="W526" s="635" t="s">
        <v>2302</v>
      </c>
      <c r="X526" s="636">
        <v>10471.24</v>
      </c>
      <c r="Y526" s="637">
        <v>10471.24</v>
      </c>
      <c r="Z526" s="987">
        <f t="shared" si="28"/>
        <v>1</v>
      </c>
      <c r="AA526" s="919"/>
      <c r="AB526" s="1055">
        <v>0</v>
      </c>
      <c r="AC526" s="912"/>
      <c r="AD526" s="913" t="s">
        <v>3872</v>
      </c>
      <c r="AE526" s="669"/>
      <c r="AF526" s="704"/>
      <c r="AG526" s="211"/>
      <c r="AH526" s="210"/>
    </row>
    <row r="527" spans="1:34" s="4" customFormat="1">
      <c r="A527" s="2"/>
      <c r="B527" s="310" t="s">
        <v>106</v>
      </c>
      <c r="C527" s="311" t="s">
        <v>33</v>
      </c>
      <c r="D527" s="1220" t="s">
        <v>3873</v>
      </c>
      <c r="E527" s="1221"/>
      <c r="F527" s="312"/>
      <c r="G527" s="313"/>
      <c r="H527" s="624"/>
      <c r="I527" s="625"/>
      <c r="J527" s="626"/>
      <c r="K527" s="627" t="s">
        <v>3874</v>
      </c>
      <c r="L527" s="628">
        <v>44531</v>
      </c>
      <c r="M527" s="629">
        <v>5000</v>
      </c>
      <c r="N527" s="627" t="s">
        <v>3875</v>
      </c>
      <c r="O527" s="628">
        <v>44532</v>
      </c>
      <c r="P527" s="630" t="s">
        <v>3876</v>
      </c>
      <c r="Q527" s="631">
        <v>44538</v>
      </c>
      <c r="R527" s="715"/>
      <c r="S527" s="1068"/>
      <c r="T527" s="632">
        <v>3212.67</v>
      </c>
      <c r="U527" s="633" t="s">
        <v>3877</v>
      </c>
      <c r="V527" s="634">
        <v>44546</v>
      </c>
      <c r="W527" s="635" t="s">
        <v>2302</v>
      </c>
      <c r="X527" s="636">
        <v>3212.67</v>
      </c>
      <c r="Y527" s="636">
        <v>3212.67</v>
      </c>
      <c r="Z527" s="987">
        <f t="shared" si="28"/>
        <v>1</v>
      </c>
      <c r="AA527" s="919"/>
      <c r="AB527" s="1055">
        <v>0</v>
      </c>
      <c r="AC527" s="912"/>
      <c r="AD527" s="913"/>
      <c r="AE527" s="669"/>
      <c r="AF527" s="704"/>
      <c r="AG527" s="211"/>
      <c r="AH527" s="210"/>
    </row>
    <row r="528" spans="1:34" s="4" customFormat="1">
      <c r="A528" s="2"/>
      <c r="B528" s="310" t="s">
        <v>106</v>
      </c>
      <c r="C528" s="311" t="s">
        <v>33</v>
      </c>
      <c r="D528" s="1220" t="s">
        <v>3878</v>
      </c>
      <c r="E528" s="1221"/>
      <c r="F528" s="312"/>
      <c r="G528" s="313"/>
      <c r="H528" s="624"/>
      <c r="I528" s="625"/>
      <c r="J528" s="626"/>
      <c r="K528" s="627" t="s">
        <v>3879</v>
      </c>
      <c r="L528" s="628">
        <v>44530</v>
      </c>
      <c r="M528" s="629">
        <v>2500</v>
      </c>
      <c r="N528" s="627" t="s">
        <v>3880</v>
      </c>
      <c r="O528" s="628">
        <v>44520</v>
      </c>
      <c r="P528" s="630" t="s">
        <v>3881</v>
      </c>
      <c r="Q528" s="631">
        <v>44566</v>
      </c>
      <c r="R528" s="715"/>
      <c r="S528" s="1068"/>
      <c r="T528" s="632">
        <v>4077.01</v>
      </c>
      <c r="U528" s="633" t="s">
        <v>3882</v>
      </c>
      <c r="V528" s="634">
        <v>44571</v>
      </c>
      <c r="W528" s="635" t="s">
        <v>2302</v>
      </c>
      <c r="X528" s="636">
        <v>4077.01</v>
      </c>
      <c r="Y528" s="636">
        <v>4077.01</v>
      </c>
      <c r="Z528" s="987">
        <f t="shared" si="28"/>
        <v>1</v>
      </c>
      <c r="AA528" s="919"/>
      <c r="AB528" s="1055">
        <v>0</v>
      </c>
      <c r="AC528" s="912"/>
      <c r="AD528" s="913"/>
      <c r="AE528" s="669"/>
      <c r="AF528" s="704"/>
      <c r="AG528" s="211"/>
      <c r="AH528" s="210"/>
    </row>
    <row r="529" spans="1:34" s="4" customFormat="1">
      <c r="A529" s="2"/>
      <c r="B529" s="310" t="s">
        <v>106</v>
      </c>
      <c r="C529" s="311" t="s">
        <v>33</v>
      </c>
      <c r="D529" s="1220" t="s">
        <v>3883</v>
      </c>
      <c r="E529" s="1221"/>
      <c r="F529" s="312"/>
      <c r="G529" s="313"/>
      <c r="H529" s="624"/>
      <c r="I529" s="625"/>
      <c r="J529" s="626"/>
      <c r="K529" s="627" t="s">
        <v>3884</v>
      </c>
      <c r="L529" s="628">
        <v>44526</v>
      </c>
      <c r="M529" s="629">
        <v>60000</v>
      </c>
      <c r="N529" s="627" t="s">
        <v>3885</v>
      </c>
      <c r="O529" s="628">
        <v>44526</v>
      </c>
      <c r="P529" s="630" t="s">
        <v>3886</v>
      </c>
      <c r="Q529" s="631">
        <v>44650</v>
      </c>
      <c r="R529" s="715"/>
      <c r="S529" s="1068"/>
      <c r="T529" s="632">
        <v>129119.05</v>
      </c>
      <c r="U529" s="633" t="s">
        <v>3887</v>
      </c>
      <c r="V529" s="634"/>
      <c r="W529" s="635" t="s">
        <v>2302</v>
      </c>
      <c r="X529" s="636">
        <v>129119.05</v>
      </c>
      <c r="Y529" s="636">
        <v>129119.05</v>
      </c>
      <c r="Z529" s="987">
        <f t="shared" si="28"/>
        <v>1</v>
      </c>
      <c r="AA529" s="919"/>
      <c r="AB529" s="1055">
        <v>0</v>
      </c>
      <c r="AC529" s="912"/>
      <c r="AD529" s="913" t="s">
        <v>3888</v>
      </c>
      <c r="AE529" s="669"/>
      <c r="AF529" s="704"/>
      <c r="AG529" s="211"/>
      <c r="AH529" s="210"/>
    </row>
    <row r="530" spans="1:34" s="4" customFormat="1">
      <c r="A530" s="2"/>
      <c r="B530" s="310" t="s">
        <v>106</v>
      </c>
      <c r="C530" s="311" t="s">
        <v>33</v>
      </c>
      <c r="D530" s="1220" t="s">
        <v>3883</v>
      </c>
      <c r="E530" s="1221"/>
      <c r="F530" s="312"/>
      <c r="G530" s="313"/>
      <c r="H530" s="624"/>
      <c r="I530" s="625"/>
      <c r="J530" s="626"/>
      <c r="K530" s="627" t="s">
        <v>3884</v>
      </c>
      <c r="L530" s="628">
        <v>44527</v>
      </c>
      <c r="M530" s="629">
        <v>60001</v>
      </c>
      <c r="N530" s="627" t="s">
        <v>3889</v>
      </c>
      <c r="O530" s="628"/>
      <c r="P530" s="630" t="s">
        <v>3890</v>
      </c>
      <c r="Q530" s="631">
        <v>44935</v>
      </c>
      <c r="R530" s="715">
        <v>44949</v>
      </c>
      <c r="S530" s="1068"/>
      <c r="T530" s="632">
        <v>7668.21</v>
      </c>
      <c r="U530" s="633" t="s">
        <v>3891</v>
      </c>
      <c r="V530" s="634">
        <v>44952</v>
      </c>
      <c r="W530" s="635" t="s">
        <v>2302</v>
      </c>
      <c r="X530" s="636">
        <v>7668.21</v>
      </c>
      <c r="Y530" s="636">
        <v>7668.21</v>
      </c>
      <c r="Z530" s="987">
        <f t="shared" si="28"/>
        <v>1</v>
      </c>
      <c r="AA530" s="919"/>
      <c r="AB530" s="1055">
        <v>0</v>
      </c>
      <c r="AC530" s="912"/>
      <c r="AD530" s="913"/>
      <c r="AE530" s="669"/>
      <c r="AF530" s="704"/>
      <c r="AG530" s="211"/>
      <c r="AH530" s="210"/>
    </row>
    <row r="531" spans="1:34" s="4" customFormat="1">
      <c r="A531" s="2"/>
      <c r="B531" s="310" t="s">
        <v>106</v>
      </c>
      <c r="C531" s="311" t="s">
        <v>33</v>
      </c>
      <c r="D531" s="1220" t="s">
        <v>3892</v>
      </c>
      <c r="E531" s="1221"/>
      <c r="F531" s="312"/>
      <c r="G531" s="313"/>
      <c r="H531" s="624" t="s">
        <v>3893</v>
      </c>
      <c r="I531" s="625">
        <v>44588</v>
      </c>
      <c r="J531" s="626">
        <v>5200</v>
      </c>
      <c r="K531" s="627" t="s">
        <v>3894</v>
      </c>
      <c r="L531" s="628">
        <v>44587</v>
      </c>
      <c r="M531" s="629">
        <v>5000</v>
      </c>
      <c r="N531" s="627" t="s">
        <v>3895</v>
      </c>
      <c r="O531" s="628">
        <v>44587</v>
      </c>
      <c r="P531" s="630" t="s">
        <v>3896</v>
      </c>
      <c r="Q531" s="631">
        <v>44601</v>
      </c>
      <c r="R531" s="715"/>
      <c r="S531" s="1068"/>
      <c r="T531" s="632">
        <v>9043.2999999999993</v>
      </c>
      <c r="U531" s="633" t="s">
        <v>3897</v>
      </c>
      <c r="V531" s="634">
        <v>44638</v>
      </c>
      <c r="W531" s="635" t="s">
        <v>74</v>
      </c>
      <c r="X531" s="636">
        <v>9043.2999999999993</v>
      </c>
      <c r="Y531" s="1066">
        <v>9043.2999999999993</v>
      </c>
      <c r="Z531" s="987">
        <f t="shared" si="28"/>
        <v>1</v>
      </c>
      <c r="AA531" s="919"/>
      <c r="AB531" s="1055">
        <v>0</v>
      </c>
      <c r="AC531" s="912"/>
      <c r="AD531" s="913"/>
      <c r="AE531" s="669"/>
      <c r="AF531" s="704"/>
      <c r="AG531" s="211"/>
      <c r="AH531" s="210"/>
    </row>
    <row r="532" spans="1:34" s="4" customFormat="1">
      <c r="A532" s="2"/>
      <c r="B532" s="310" t="s">
        <v>106</v>
      </c>
      <c r="C532" s="311" t="s">
        <v>33</v>
      </c>
      <c r="D532" s="1222" t="s">
        <v>3337</v>
      </c>
      <c r="E532" s="1223"/>
      <c r="F532" s="312" t="s">
        <v>3898</v>
      </c>
      <c r="G532" s="313">
        <v>44544</v>
      </c>
      <c r="H532" s="624"/>
      <c r="I532" s="625"/>
      <c r="J532" s="626"/>
      <c r="K532" s="627" t="s">
        <v>3899</v>
      </c>
      <c r="L532" s="628">
        <v>44644</v>
      </c>
      <c r="M532" s="629"/>
      <c r="N532" s="627"/>
      <c r="O532" s="628"/>
      <c r="P532" s="630"/>
      <c r="Q532" s="631"/>
      <c r="R532" s="715"/>
      <c r="S532" s="910"/>
      <c r="T532" s="632"/>
      <c r="U532" s="633"/>
      <c r="V532" s="634"/>
      <c r="W532" s="635"/>
      <c r="X532" s="636"/>
      <c r="Y532" s="637"/>
      <c r="Z532" s="921"/>
      <c r="AA532" s="636"/>
      <c r="AB532" s="1056"/>
      <c r="AC532" s="999" t="s">
        <v>3900</v>
      </c>
      <c r="AD532" s="317"/>
      <c r="AE532" s="669"/>
      <c r="AF532" s="704"/>
      <c r="AG532" s="211"/>
      <c r="AH532" s="210"/>
    </row>
    <row r="533" spans="1:34" s="4" customFormat="1">
      <c r="A533" s="2"/>
      <c r="B533" s="310" t="s">
        <v>115</v>
      </c>
      <c r="C533" s="311" t="s">
        <v>27</v>
      </c>
      <c r="D533" s="1220"/>
      <c r="E533" s="1221"/>
      <c r="F533" s="312" t="s">
        <v>3901</v>
      </c>
      <c r="G533" s="313">
        <v>44544</v>
      </c>
      <c r="H533" s="624"/>
      <c r="I533" s="625"/>
      <c r="J533" s="626"/>
      <c r="K533" s="627"/>
      <c r="L533" s="628"/>
      <c r="M533" s="629"/>
      <c r="N533" s="627"/>
      <c r="O533" s="628"/>
      <c r="P533" s="630"/>
      <c r="Q533" s="631"/>
      <c r="R533" s="715"/>
      <c r="S533" s="910"/>
      <c r="T533" s="632"/>
      <c r="U533" s="633"/>
      <c r="V533" s="634"/>
      <c r="W533" s="635"/>
      <c r="X533" s="636"/>
      <c r="Y533" s="637"/>
      <c r="Z533" s="921"/>
      <c r="AA533" s="636"/>
      <c r="AB533" s="1056"/>
      <c r="AC533" s="999" t="s">
        <v>3902</v>
      </c>
      <c r="AD533" s="317"/>
      <c r="AE533" s="669"/>
      <c r="AF533" s="718"/>
      <c r="AG533" s="211"/>
      <c r="AH533" s="210"/>
    </row>
    <row r="534" spans="1:34" s="4" customFormat="1">
      <c r="A534" s="2"/>
      <c r="B534" s="310" t="s">
        <v>106</v>
      </c>
      <c r="C534" s="311" t="s">
        <v>33</v>
      </c>
      <c r="D534" s="1220" t="s">
        <v>3903</v>
      </c>
      <c r="E534" s="1221"/>
      <c r="F534" s="312" t="s">
        <v>3904</v>
      </c>
      <c r="G534" s="313">
        <v>44545</v>
      </c>
      <c r="H534" s="624"/>
      <c r="I534" s="625"/>
      <c r="J534" s="626"/>
      <c r="K534" s="627" t="s">
        <v>3905</v>
      </c>
      <c r="L534" s="628">
        <v>44550</v>
      </c>
      <c r="M534" s="629">
        <v>1000</v>
      </c>
      <c r="N534" s="627" t="s">
        <v>3906</v>
      </c>
      <c r="O534" s="628">
        <v>44551</v>
      </c>
      <c r="P534" s="630" t="s">
        <v>3907</v>
      </c>
      <c r="Q534" s="631">
        <v>44568</v>
      </c>
      <c r="R534" s="715"/>
      <c r="S534" s="1068"/>
      <c r="T534" s="632">
        <v>4734.8100000000004</v>
      </c>
      <c r="U534" s="633" t="s">
        <v>3908</v>
      </c>
      <c r="V534" s="634">
        <v>44581</v>
      </c>
      <c r="W534" s="635" t="s">
        <v>2302</v>
      </c>
      <c r="X534" s="636">
        <v>4734.8100000000004</v>
      </c>
      <c r="Y534" s="636">
        <v>4734.8100000000004</v>
      </c>
      <c r="Z534" s="987">
        <f>Y534/X534</f>
        <v>1</v>
      </c>
      <c r="AA534" s="919"/>
      <c r="AB534" s="1055">
        <v>0</v>
      </c>
      <c r="AC534" s="1018" t="s">
        <v>3909</v>
      </c>
      <c r="AD534" s="913"/>
      <c r="AE534" s="669"/>
      <c r="AF534" s="704"/>
      <c r="AG534" s="211"/>
      <c r="AH534" s="210"/>
    </row>
    <row r="535" spans="1:34" s="4" customFormat="1">
      <c r="A535" s="2"/>
      <c r="B535" s="310" t="s">
        <v>115</v>
      </c>
      <c r="C535" s="311" t="s">
        <v>33</v>
      </c>
      <c r="D535" s="1220" t="s">
        <v>3843</v>
      </c>
      <c r="E535" s="1221"/>
      <c r="F535" s="312" t="s">
        <v>3910</v>
      </c>
      <c r="G535" s="313">
        <v>44545</v>
      </c>
      <c r="H535" s="624"/>
      <c r="I535" s="625"/>
      <c r="J535" s="626"/>
      <c r="K535" s="627" t="s">
        <v>3911</v>
      </c>
      <c r="L535" s="628">
        <v>44550</v>
      </c>
      <c r="M535" s="629"/>
      <c r="N535" s="627"/>
      <c r="O535" s="628"/>
      <c r="P535" s="630"/>
      <c r="Q535" s="631"/>
      <c r="R535" s="715"/>
      <c r="S535" s="910"/>
      <c r="T535" s="632"/>
      <c r="U535" s="633"/>
      <c r="V535" s="634"/>
      <c r="W535" s="635" t="s">
        <v>101</v>
      </c>
      <c r="X535" s="636"/>
      <c r="Y535" s="637"/>
      <c r="Z535" s="921"/>
      <c r="AA535" s="636"/>
      <c r="AB535" s="1056"/>
      <c r="AC535" s="736" t="s">
        <v>3912</v>
      </c>
      <c r="AD535" s="317" t="s">
        <v>3850</v>
      </c>
      <c r="AE535" s="669"/>
      <c r="AF535" s="704"/>
      <c r="AG535" s="211"/>
      <c r="AH535" s="210"/>
    </row>
    <row r="536" spans="1:34" s="4" customFormat="1">
      <c r="A536" s="2"/>
      <c r="B536" s="310" t="s">
        <v>115</v>
      </c>
      <c r="C536" s="311" t="s">
        <v>27</v>
      </c>
      <c r="D536" s="687"/>
      <c r="E536" s="688"/>
      <c r="F536" s="312" t="s">
        <v>3913</v>
      </c>
      <c r="G536" s="313">
        <v>44545</v>
      </c>
      <c r="H536" s="624"/>
      <c r="I536" s="625"/>
      <c r="J536" s="626"/>
      <c r="K536" s="627"/>
      <c r="L536" s="628"/>
      <c r="M536" s="629"/>
      <c r="N536" s="627"/>
      <c r="O536" s="628"/>
      <c r="P536" s="630"/>
      <c r="Q536" s="631"/>
      <c r="R536" s="715"/>
      <c r="S536" s="910"/>
      <c r="T536" s="632"/>
      <c r="U536" s="633"/>
      <c r="V536" s="634"/>
      <c r="W536" s="635"/>
      <c r="X536" s="636"/>
      <c r="Y536" s="637"/>
      <c r="Z536" s="921"/>
      <c r="AA536" s="636"/>
      <c r="AB536" s="1056"/>
      <c r="AC536" s="736"/>
      <c r="AD536" s="317"/>
      <c r="AE536" s="669"/>
      <c r="AF536" s="718"/>
      <c r="AG536" s="211"/>
      <c r="AH536" s="210"/>
    </row>
    <row r="537" spans="1:34" s="4" customFormat="1">
      <c r="A537" s="2"/>
      <c r="B537" s="310" t="s">
        <v>106</v>
      </c>
      <c r="C537" s="311" t="s">
        <v>33</v>
      </c>
      <c r="D537" s="687" t="s">
        <v>3914</v>
      </c>
      <c r="E537" s="688"/>
      <c r="F537" s="312" t="s">
        <v>3915</v>
      </c>
      <c r="G537" s="313">
        <v>44546</v>
      </c>
      <c r="H537" s="624"/>
      <c r="I537" s="625"/>
      <c r="J537" s="626"/>
      <c r="K537" s="627" t="s">
        <v>3916</v>
      </c>
      <c r="L537" s="628">
        <v>44600</v>
      </c>
      <c r="M537" s="629">
        <v>2400</v>
      </c>
      <c r="N537" s="627" t="s">
        <v>3917</v>
      </c>
      <c r="O537" s="628">
        <v>44601</v>
      </c>
      <c r="P537" s="630" t="s">
        <v>3918</v>
      </c>
      <c r="Q537" s="631">
        <v>44606</v>
      </c>
      <c r="R537" s="715"/>
      <c r="S537" s="1068"/>
      <c r="T537" s="632">
        <v>219.35</v>
      </c>
      <c r="U537" s="633" t="s">
        <v>3919</v>
      </c>
      <c r="V537" s="634">
        <v>44638</v>
      </c>
      <c r="W537" s="635" t="s">
        <v>2302</v>
      </c>
      <c r="X537" s="636">
        <v>219.35</v>
      </c>
      <c r="Y537" s="637">
        <v>219.35</v>
      </c>
      <c r="Z537" s="987">
        <f>Y537/X537</f>
        <v>1</v>
      </c>
      <c r="AA537" s="919"/>
      <c r="AB537" s="1055">
        <v>0</v>
      </c>
      <c r="AC537" s="912"/>
      <c r="AD537" s="913"/>
      <c r="AE537" s="669"/>
      <c r="AF537" s="704"/>
      <c r="AG537" s="211"/>
      <c r="AH537" s="210"/>
    </row>
    <row r="538" spans="1:34" s="4" customFormat="1">
      <c r="A538" s="2"/>
      <c r="B538" s="310" t="s">
        <v>115</v>
      </c>
      <c r="C538" s="311" t="s">
        <v>27</v>
      </c>
      <c r="D538" s="687"/>
      <c r="E538" s="688"/>
      <c r="F538" s="312" t="s">
        <v>3920</v>
      </c>
      <c r="G538" s="313">
        <v>44547</v>
      </c>
      <c r="H538" s="624"/>
      <c r="I538" s="625"/>
      <c r="J538" s="626"/>
      <c r="K538" s="627"/>
      <c r="L538" s="628"/>
      <c r="M538" s="629"/>
      <c r="N538" s="627"/>
      <c r="O538" s="628"/>
      <c r="P538" s="630"/>
      <c r="Q538" s="631"/>
      <c r="R538" s="715"/>
      <c r="S538" s="910"/>
      <c r="T538" s="632"/>
      <c r="U538" s="633"/>
      <c r="V538" s="634"/>
      <c r="W538" s="635"/>
      <c r="X538" s="636"/>
      <c r="Y538" s="637"/>
      <c r="Z538" s="921"/>
      <c r="AA538" s="636"/>
      <c r="AB538" s="1056"/>
      <c r="AC538" s="736"/>
      <c r="AD538" s="317"/>
      <c r="AE538" s="669"/>
      <c r="AF538" s="718"/>
      <c r="AG538" s="211"/>
      <c r="AH538" s="210"/>
    </row>
    <row r="539" spans="1:34" s="4" customFormat="1">
      <c r="A539" s="2"/>
      <c r="B539" s="310" t="s">
        <v>115</v>
      </c>
      <c r="C539" s="311" t="s">
        <v>27</v>
      </c>
      <c r="D539" s="687"/>
      <c r="E539" s="688"/>
      <c r="F539" s="312" t="s">
        <v>3921</v>
      </c>
      <c r="G539" s="313">
        <v>44550</v>
      </c>
      <c r="H539" s="624"/>
      <c r="I539" s="625"/>
      <c r="J539" s="626"/>
      <c r="K539" s="627"/>
      <c r="L539" s="628"/>
      <c r="M539" s="629"/>
      <c r="N539" s="627"/>
      <c r="O539" s="628"/>
      <c r="P539" s="630"/>
      <c r="Q539" s="631"/>
      <c r="R539" s="715"/>
      <c r="S539" s="910"/>
      <c r="T539" s="632"/>
      <c r="U539" s="633"/>
      <c r="V539" s="634"/>
      <c r="W539" s="635"/>
      <c r="X539" s="636"/>
      <c r="Y539" s="637"/>
      <c r="Z539" s="921"/>
      <c r="AA539" s="636"/>
      <c r="AB539" s="1056"/>
      <c r="AC539" s="736"/>
      <c r="AD539" s="317"/>
      <c r="AE539" s="669"/>
      <c r="AF539" s="704"/>
      <c r="AG539" s="211"/>
      <c r="AH539" s="210"/>
    </row>
    <row r="540" spans="1:34" s="4" customFormat="1">
      <c r="A540" s="2"/>
      <c r="B540" s="310" t="s">
        <v>106</v>
      </c>
      <c r="C540" s="311" t="s">
        <v>33</v>
      </c>
      <c r="D540" s="687" t="s">
        <v>3922</v>
      </c>
      <c r="E540" s="688"/>
      <c r="F540" s="312" t="s">
        <v>3923</v>
      </c>
      <c r="G540" s="313">
        <v>44606</v>
      </c>
      <c r="H540" s="624"/>
      <c r="I540" s="625"/>
      <c r="J540" s="626"/>
      <c r="K540" s="627"/>
      <c r="L540" s="628"/>
      <c r="M540" s="629"/>
      <c r="N540" s="627"/>
      <c r="O540" s="628"/>
      <c r="P540" s="630" t="s">
        <v>3924</v>
      </c>
      <c r="Q540" s="631">
        <v>44615</v>
      </c>
      <c r="R540" s="715"/>
      <c r="S540" s="1068"/>
      <c r="T540" s="632">
        <v>7651.75</v>
      </c>
      <c r="U540" s="633" t="s">
        <v>3925</v>
      </c>
      <c r="V540" s="634">
        <v>44627</v>
      </c>
      <c r="W540" s="635" t="s">
        <v>2302</v>
      </c>
      <c r="X540" s="636">
        <v>7651.75</v>
      </c>
      <c r="Y540" s="637">
        <v>7651.75</v>
      </c>
      <c r="Z540" s="987">
        <f>Y540/X540</f>
        <v>1</v>
      </c>
      <c r="AA540" s="919"/>
      <c r="AB540" s="1055">
        <v>0</v>
      </c>
      <c r="AC540" s="1018" t="s">
        <v>3922</v>
      </c>
      <c r="AD540" s="913"/>
      <c r="AE540" s="669"/>
      <c r="AF540" s="704"/>
      <c r="AG540" s="211"/>
      <c r="AH540" s="210"/>
    </row>
    <row r="541" spans="1:34" s="4" customFormat="1">
      <c r="A541" s="2"/>
      <c r="B541" s="310" t="s">
        <v>110</v>
      </c>
      <c r="C541" s="311" t="s">
        <v>27</v>
      </c>
      <c r="D541" s="687" t="s">
        <v>3926</v>
      </c>
      <c r="E541" s="688"/>
      <c r="F541" s="312" t="s">
        <v>3927</v>
      </c>
      <c r="G541" s="313">
        <v>44551</v>
      </c>
      <c r="H541" s="624"/>
      <c r="I541" s="625"/>
      <c r="J541" s="626"/>
      <c r="K541" s="627" t="s">
        <v>3928</v>
      </c>
      <c r="L541" s="628">
        <v>44567</v>
      </c>
      <c r="M541" s="629">
        <v>-10000</v>
      </c>
      <c r="N541" s="627" t="s">
        <v>3929</v>
      </c>
      <c r="O541" s="628">
        <v>44567</v>
      </c>
      <c r="P541" s="630"/>
      <c r="Q541" s="631"/>
      <c r="R541" s="715"/>
      <c r="S541" s="910"/>
      <c r="T541" s="632"/>
      <c r="U541" s="633"/>
      <c r="V541" s="634"/>
      <c r="W541" s="635" t="s">
        <v>105</v>
      </c>
      <c r="X541" s="636"/>
      <c r="Y541" s="637"/>
      <c r="Z541" s="921"/>
      <c r="AA541" s="636"/>
      <c r="AB541" s="1056"/>
      <c r="AC541" s="736" t="s">
        <v>3930</v>
      </c>
      <c r="AD541" s="317"/>
      <c r="AE541" s="669"/>
      <c r="AF541" s="704"/>
      <c r="AG541" s="211"/>
      <c r="AH541" s="210"/>
    </row>
    <row r="542" spans="1:34" s="4" customFormat="1">
      <c r="A542" s="2"/>
      <c r="B542" s="310" t="s">
        <v>115</v>
      </c>
      <c r="C542" s="311" t="s">
        <v>27</v>
      </c>
      <c r="D542" s="687"/>
      <c r="E542" s="688"/>
      <c r="F542" s="312" t="s">
        <v>3931</v>
      </c>
      <c r="G542" s="313">
        <v>44552</v>
      </c>
      <c r="H542" s="624"/>
      <c r="I542" s="625"/>
      <c r="J542" s="626"/>
      <c r="K542" s="627"/>
      <c r="L542" s="628"/>
      <c r="M542" s="629"/>
      <c r="N542" s="627"/>
      <c r="O542" s="628"/>
      <c r="P542" s="630"/>
      <c r="Q542" s="631"/>
      <c r="R542" s="715"/>
      <c r="S542" s="910"/>
      <c r="T542" s="632"/>
      <c r="U542" s="633"/>
      <c r="V542" s="634"/>
      <c r="W542" s="635"/>
      <c r="X542" s="636"/>
      <c r="Y542" s="637"/>
      <c r="Z542" s="921"/>
      <c r="AA542" s="636"/>
      <c r="AB542" s="1056"/>
      <c r="AC542" s="736"/>
      <c r="AD542" s="317"/>
      <c r="AE542" s="669"/>
      <c r="AF542" s="718"/>
      <c r="AG542" s="211"/>
      <c r="AH542" s="210"/>
    </row>
    <row r="543" spans="1:34" s="4" customFormat="1">
      <c r="A543" s="2"/>
      <c r="B543" s="310" t="s">
        <v>115</v>
      </c>
      <c r="C543" s="311" t="s">
        <v>27</v>
      </c>
      <c r="D543" s="687"/>
      <c r="E543" s="688"/>
      <c r="F543" s="312" t="s">
        <v>3932</v>
      </c>
      <c r="G543" s="313">
        <v>44553</v>
      </c>
      <c r="H543" s="624"/>
      <c r="I543" s="625"/>
      <c r="J543" s="626"/>
      <c r="K543" s="627"/>
      <c r="L543" s="628"/>
      <c r="M543" s="629"/>
      <c r="N543" s="627"/>
      <c r="O543" s="628"/>
      <c r="P543" s="630"/>
      <c r="Q543" s="631"/>
      <c r="R543" s="715"/>
      <c r="S543" s="910"/>
      <c r="T543" s="632"/>
      <c r="U543" s="633"/>
      <c r="V543" s="634"/>
      <c r="W543" s="635"/>
      <c r="X543" s="636"/>
      <c r="Y543" s="637"/>
      <c r="Z543" s="921"/>
      <c r="AA543" s="636"/>
      <c r="AB543" s="1056"/>
      <c r="AC543" s="999" t="s">
        <v>3933</v>
      </c>
      <c r="AD543" s="317"/>
      <c r="AE543" s="669"/>
      <c r="AF543" s="704"/>
      <c r="AG543" s="211"/>
      <c r="AH543" s="210"/>
    </row>
    <row r="544" spans="1:34" s="4" customFormat="1">
      <c r="A544" s="2"/>
      <c r="B544" s="310" t="s">
        <v>106</v>
      </c>
      <c r="C544" s="311" t="s">
        <v>33</v>
      </c>
      <c r="D544" s="687" t="s">
        <v>3933</v>
      </c>
      <c r="E544" s="688"/>
      <c r="F544" s="312" t="s">
        <v>3934</v>
      </c>
      <c r="G544" s="313">
        <v>44575</v>
      </c>
      <c r="H544" s="624"/>
      <c r="I544" s="625"/>
      <c r="J544" s="626"/>
      <c r="K544" s="627"/>
      <c r="L544" s="628"/>
      <c r="M544" s="629"/>
      <c r="N544" s="627"/>
      <c r="O544" s="628"/>
      <c r="P544" s="630" t="s">
        <v>3935</v>
      </c>
      <c r="Q544" s="631">
        <v>44587</v>
      </c>
      <c r="R544" s="715"/>
      <c r="S544" s="1068"/>
      <c r="T544" s="632">
        <v>28859.07</v>
      </c>
      <c r="U544" s="633" t="s">
        <v>3936</v>
      </c>
      <c r="V544" s="634">
        <v>44610</v>
      </c>
      <c r="W544" s="635" t="s">
        <v>2302</v>
      </c>
      <c r="X544" s="636">
        <v>28859.07</v>
      </c>
      <c r="Y544" s="636">
        <v>28859.07</v>
      </c>
      <c r="Z544" s="987">
        <f>Y544/X544</f>
        <v>1</v>
      </c>
      <c r="AA544" s="919"/>
      <c r="AB544" s="1055">
        <v>0</v>
      </c>
      <c r="AC544" s="1018" t="s">
        <v>3933</v>
      </c>
      <c r="AD544" s="913"/>
      <c r="AE544" s="669"/>
      <c r="AF544" s="704"/>
      <c r="AG544" s="211"/>
      <c r="AH544" s="210"/>
    </row>
    <row r="545" spans="1:34" s="4" customFormat="1">
      <c r="A545" s="2"/>
      <c r="B545" s="310" t="s">
        <v>115</v>
      </c>
      <c r="C545" s="311" t="s">
        <v>27</v>
      </c>
      <c r="D545" s="687"/>
      <c r="E545" s="688"/>
      <c r="F545" s="312" t="s">
        <v>3937</v>
      </c>
      <c r="G545" s="313">
        <v>44553</v>
      </c>
      <c r="H545" s="624"/>
      <c r="I545" s="625"/>
      <c r="J545" s="626"/>
      <c r="K545" s="627"/>
      <c r="L545" s="628"/>
      <c r="M545" s="629"/>
      <c r="N545" s="627"/>
      <c r="O545" s="628"/>
      <c r="P545" s="630"/>
      <c r="Q545" s="631"/>
      <c r="R545" s="715"/>
      <c r="S545" s="910"/>
      <c r="T545" s="632"/>
      <c r="U545" s="633"/>
      <c r="V545" s="634"/>
      <c r="W545" s="635"/>
      <c r="X545" s="636"/>
      <c r="Y545" s="637"/>
      <c r="Z545" s="921"/>
      <c r="AA545" s="636"/>
      <c r="AB545" s="1056"/>
      <c r="AC545" s="736"/>
      <c r="AD545" s="317"/>
      <c r="AE545" s="669"/>
      <c r="AF545" s="718"/>
      <c r="AG545" s="211"/>
      <c r="AH545" s="210"/>
    </row>
    <row r="546" spans="1:34" s="4" customFormat="1">
      <c r="A546" s="2"/>
      <c r="B546" s="310" t="s">
        <v>106</v>
      </c>
      <c r="C546" s="311" t="s">
        <v>33</v>
      </c>
      <c r="D546" s="687" t="s">
        <v>3938</v>
      </c>
      <c r="E546" s="688"/>
      <c r="F546" s="312" t="s">
        <v>3939</v>
      </c>
      <c r="G546" s="313">
        <v>44565</v>
      </c>
      <c r="H546" s="624"/>
      <c r="I546" s="625"/>
      <c r="J546" s="626"/>
      <c r="K546" s="627" t="s">
        <v>3940</v>
      </c>
      <c r="L546" s="628">
        <v>44589</v>
      </c>
      <c r="M546" s="629">
        <v>2850</v>
      </c>
      <c r="N546" s="627" t="s">
        <v>3941</v>
      </c>
      <c r="O546" s="628">
        <v>44589</v>
      </c>
      <c r="P546" s="630" t="s">
        <v>3942</v>
      </c>
      <c r="Q546" s="631">
        <v>44601</v>
      </c>
      <c r="R546" s="715"/>
      <c r="S546" s="1068"/>
      <c r="T546" s="632">
        <v>8569.42</v>
      </c>
      <c r="U546" s="633" t="s">
        <v>3943</v>
      </c>
      <c r="V546" s="634">
        <v>44617</v>
      </c>
      <c r="W546" s="635" t="s">
        <v>105</v>
      </c>
      <c r="X546" s="636">
        <v>8569.42</v>
      </c>
      <c r="Y546" s="636">
        <v>8569.42</v>
      </c>
      <c r="Z546" s="987">
        <f>Y546/X546</f>
        <v>1</v>
      </c>
      <c r="AA546" s="919"/>
      <c r="AB546" s="1055">
        <v>0</v>
      </c>
      <c r="AC546" s="912" t="s">
        <v>3944</v>
      </c>
      <c r="AD546" s="913" t="s">
        <v>3945</v>
      </c>
      <c r="AE546" s="669"/>
      <c r="AF546" s="704"/>
      <c r="AG546" s="211"/>
      <c r="AH546" s="210"/>
    </row>
    <row r="547" spans="1:34" s="4" customFormat="1">
      <c r="A547" s="2"/>
      <c r="B547" s="310" t="s">
        <v>115</v>
      </c>
      <c r="C547" s="311" t="s">
        <v>27</v>
      </c>
      <c r="D547" s="687"/>
      <c r="E547" s="688"/>
      <c r="F547" s="312" t="s">
        <v>3946</v>
      </c>
      <c r="G547" s="313">
        <v>44566</v>
      </c>
      <c r="H547" s="624"/>
      <c r="I547" s="625"/>
      <c r="J547" s="626"/>
      <c r="K547" s="627"/>
      <c r="L547" s="628"/>
      <c r="M547" s="629"/>
      <c r="N547" s="627"/>
      <c r="O547" s="628"/>
      <c r="P547" s="630"/>
      <c r="Q547" s="631"/>
      <c r="R547" s="715"/>
      <c r="S547" s="910"/>
      <c r="T547" s="632"/>
      <c r="U547" s="633"/>
      <c r="V547" s="634"/>
      <c r="W547" s="635"/>
      <c r="X547" s="636"/>
      <c r="Y547" s="637"/>
      <c r="Z547" s="921"/>
      <c r="AA547" s="636"/>
      <c r="AB547" s="1056"/>
      <c r="AC547" s="736"/>
      <c r="AD547" s="317"/>
      <c r="AE547" s="669"/>
      <c r="AF547" s="718"/>
      <c r="AG547" s="211"/>
      <c r="AH547" s="210"/>
    </row>
    <row r="548" spans="1:34" s="4" customFormat="1">
      <c r="A548" s="2"/>
      <c r="B548" s="310" t="s">
        <v>115</v>
      </c>
      <c r="C548" s="311" t="s">
        <v>27</v>
      </c>
      <c r="D548" s="687"/>
      <c r="E548" s="688"/>
      <c r="F548" s="312" t="s">
        <v>3947</v>
      </c>
      <c r="G548" s="313">
        <v>44566</v>
      </c>
      <c r="H548" s="624"/>
      <c r="I548" s="625"/>
      <c r="J548" s="626"/>
      <c r="K548" s="627"/>
      <c r="L548" s="628"/>
      <c r="M548" s="629"/>
      <c r="N548" s="627"/>
      <c r="O548" s="628"/>
      <c r="P548" s="630"/>
      <c r="Q548" s="631"/>
      <c r="R548" s="715"/>
      <c r="S548" s="910"/>
      <c r="T548" s="632"/>
      <c r="U548" s="633"/>
      <c r="V548" s="634"/>
      <c r="W548" s="635"/>
      <c r="X548" s="636"/>
      <c r="Y548" s="637"/>
      <c r="Z548" s="921"/>
      <c r="AA548" s="636"/>
      <c r="AB548" s="1056"/>
      <c r="AC548" s="736"/>
      <c r="AD548" s="317"/>
      <c r="AE548" s="669"/>
      <c r="AF548" s="718"/>
      <c r="AG548" s="211"/>
      <c r="AH548" s="210"/>
    </row>
    <row r="549" spans="1:34" s="4" customFormat="1">
      <c r="A549" s="2"/>
      <c r="B549" s="310" t="s">
        <v>106</v>
      </c>
      <c r="C549" s="311" t="s">
        <v>33</v>
      </c>
      <c r="D549" s="687" t="s">
        <v>3948</v>
      </c>
      <c r="E549" s="688"/>
      <c r="F549" s="312" t="s">
        <v>3949</v>
      </c>
      <c r="G549" s="313"/>
      <c r="H549" s="624"/>
      <c r="I549" s="625"/>
      <c r="J549" s="626"/>
      <c r="K549" s="627" t="s">
        <v>3950</v>
      </c>
      <c r="L549" s="628">
        <v>44707</v>
      </c>
      <c r="M549" s="629">
        <v>-6500</v>
      </c>
      <c r="N549" s="627" t="s">
        <v>3951</v>
      </c>
      <c r="O549" s="628">
        <v>44824</v>
      </c>
      <c r="P549" s="630" t="s">
        <v>3952</v>
      </c>
      <c r="Q549" s="631">
        <v>44944</v>
      </c>
      <c r="R549" s="715">
        <v>44958</v>
      </c>
      <c r="S549" s="1068"/>
      <c r="T549" s="632">
        <v>53216.61</v>
      </c>
      <c r="U549" s="633" t="s">
        <v>3953</v>
      </c>
      <c r="V549" s="634">
        <v>44958</v>
      </c>
      <c r="W549" s="635" t="s">
        <v>2302</v>
      </c>
      <c r="X549" s="636">
        <v>53216.61</v>
      </c>
      <c r="Y549" s="636">
        <v>53216.61</v>
      </c>
      <c r="Z549" s="987">
        <f>Y549/X549</f>
        <v>1</v>
      </c>
      <c r="AA549" s="636"/>
      <c r="AB549" s="1055">
        <v>0</v>
      </c>
      <c r="AC549" s="912"/>
      <c r="AD549" s="913"/>
      <c r="AE549" s="669"/>
      <c r="AF549" s="718"/>
      <c r="AG549" s="211"/>
      <c r="AH549" s="210"/>
    </row>
    <row r="550" spans="1:34" s="4" customFormat="1">
      <c r="A550" s="2"/>
      <c r="B550" s="310" t="s">
        <v>106</v>
      </c>
      <c r="C550" s="311" t="s">
        <v>33</v>
      </c>
      <c r="D550" s="687" t="s">
        <v>3954</v>
      </c>
      <c r="E550" s="688"/>
      <c r="F550" s="312" t="s">
        <v>3949</v>
      </c>
      <c r="G550" s="313">
        <v>44568</v>
      </c>
      <c r="H550" s="624"/>
      <c r="I550" s="625"/>
      <c r="J550" s="626"/>
      <c r="K550" s="627" t="s">
        <v>3955</v>
      </c>
      <c r="L550" s="628">
        <v>44586</v>
      </c>
      <c r="M550" s="629">
        <v>-250</v>
      </c>
      <c r="N550" s="627" t="s">
        <v>3956</v>
      </c>
      <c r="O550" s="628">
        <v>44586</v>
      </c>
      <c r="P550" s="630" t="s">
        <v>3957</v>
      </c>
      <c r="Q550" s="631">
        <v>44599</v>
      </c>
      <c r="R550" s="715"/>
      <c r="S550" s="1068"/>
      <c r="T550" s="632">
        <v>3660.5</v>
      </c>
      <c r="U550" s="633" t="s">
        <v>3958</v>
      </c>
      <c r="V550" s="634">
        <v>44620</v>
      </c>
      <c r="W550" s="635" t="s">
        <v>2302</v>
      </c>
      <c r="X550" s="636">
        <v>3660.5</v>
      </c>
      <c r="Y550" s="636">
        <v>3660.5</v>
      </c>
      <c r="Z550" s="987">
        <f>Y550/X550</f>
        <v>1</v>
      </c>
      <c r="AA550" s="919"/>
      <c r="AB550" s="1055">
        <v>0</v>
      </c>
      <c r="AC550" s="912"/>
      <c r="AD550" s="913" t="s">
        <v>3959</v>
      </c>
      <c r="AE550" s="669"/>
      <c r="AF550" s="704"/>
      <c r="AG550" s="211"/>
      <c r="AH550" s="210"/>
    </row>
    <row r="551" spans="1:34" s="4" customFormat="1">
      <c r="A551" s="2"/>
      <c r="B551" s="310" t="s">
        <v>115</v>
      </c>
      <c r="C551" s="311" t="s">
        <v>27</v>
      </c>
      <c r="D551" s="687"/>
      <c r="E551" s="688"/>
      <c r="F551" s="312" t="s">
        <v>3960</v>
      </c>
      <c r="G551" s="313">
        <v>44568</v>
      </c>
      <c r="H551" s="624"/>
      <c r="I551" s="625"/>
      <c r="J551" s="626"/>
      <c r="K551" s="627"/>
      <c r="L551" s="628"/>
      <c r="M551" s="629"/>
      <c r="N551" s="627"/>
      <c r="O551" s="628"/>
      <c r="P551" s="630"/>
      <c r="Q551" s="631"/>
      <c r="R551" s="715"/>
      <c r="S551" s="910"/>
      <c r="T551" s="632"/>
      <c r="U551" s="633"/>
      <c r="V551" s="634"/>
      <c r="W551" s="635"/>
      <c r="X551" s="636"/>
      <c r="Y551" s="637"/>
      <c r="Z551" s="921"/>
      <c r="AA551" s="636"/>
      <c r="AB551" s="1056"/>
      <c r="AC551" s="736"/>
      <c r="AD551" s="317"/>
      <c r="AE551" s="669"/>
      <c r="AF551" s="718"/>
      <c r="AG551" s="211"/>
      <c r="AH551" s="210"/>
    </row>
    <row r="552" spans="1:34" s="4" customFormat="1">
      <c r="A552" s="2"/>
      <c r="B552" s="310" t="s">
        <v>115</v>
      </c>
      <c r="C552" s="311" t="s">
        <v>27</v>
      </c>
      <c r="D552" s="687"/>
      <c r="E552" s="688"/>
      <c r="F552" s="312" t="s">
        <v>3961</v>
      </c>
      <c r="G552" s="313">
        <v>44571</v>
      </c>
      <c r="H552" s="624"/>
      <c r="I552" s="625"/>
      <c r="J552" s="626"/>
      <c r="K552" s="627"/>
      <c r="L552" s="628"/>
      <c r="M552" s="629"/>
      <c r="N552" s="627"/>
      <c r="O552" s="628"/>
      <c r="P552" s="630"/>
      <c r="Q552" s="631"/>
      <c r="R552" s="715"/>
      <c r="S552" s="910"/>
      <c r="T552" s="632"/>
      <c r="U552" s="633"/>
      <c r="V552" s="634"/>
      <c r="W552" s="635"/>
      <c r="X552" s="636"/>
      <c r="Y552" s="637"/>
      <c r="Z552" s="921"/>
      <c r="AA552" s="636"/>
      <c r="AB552" s="1056"/>
      <c r="AC552" s="736"/>
      <c r="AD552" s="317"/>
      <c r="AE552" s="669"/>
      <c r="AF552" s="718"/>
      <c r="AG552" s="211"/>
      <c r="AH552" s="210"/>
    </row>
    <row r="553" spans="1:34" s="4" customFormat="1">
      <c r="A553" s="2"/>
      <c r="B553" s="310" t="s">
        <v>119</v>
      </c>
      <c r="C553" s="311" t="s">
        <v>27</v>
      </c>
      <c r="D553" s="687" t="s">
        <v>3962</v>
      </c>
      <c r="E553" s="688"/>
      <c r="F553" s="312" t="s">
        <v>3963</v>
      </c>
      <c r="G553" s="313">
        <v>44575</v>
      </c>
      <c r="H553" s="624"/>
      <c r="I553" s="625"/>
      <c r="J553" s="626"/>
      <c r="K553" s="627"/>
      <c r="L553" s="628"/>
      <c r="M553" s="629"/>
      <c r="N553" s="627"/>
      <c r="O553" s="628"/>
      <c r="P553" s="630"/>
      <c r="Q553" s="631"/>
      <c r="R553" s="715"/>
      <c r="S553" s="910"/>
      <c r="T553" s="632"/>
      <c r="U553" s="633"/>
      <c r="V553" s="634"/>
      <c r="W553" s="635"/>
      <c r="X553" s="636"/>
      <c r="Y553" s="637"/>
      <c r="Z553" s="921"/>
      <c r="AA553" s="636"/>
      <c r="AB553" s="1056"/>
      <c r="AC553" s="999" t="s">
        <v>3962</v>
      </c>
      <c r="AD553" s="317"/>
      <c r="AE553" s="669"/>
      <c r="AF553" s="704"/>
      <c r="AG553" s="211"/>
      <c r="AH553" s="210"/>
    </row>
    <row r="554" spans="1:34" s="4" customFormat="1">
      <c r="A554" s="2"/>
      <c r="B554" s="310" t="s">
        <v>115</v>
      </c>
      <c r="C554" s="311" t="s">
        <v>27</v>
      </c>
      <c r="D554" s="687"/>
      <c r="E554" s="688"/>
      <c r="F554" s="312" t="s">
        <v>3964</v>
      </c>
      <c r="G554" s="313">
        <v>44210</v>
      </c>
      <c r="H554" s="624"/>
      <c r="I554" s="625"/>
      <c r="J554" s="626"/>
      <c r="K554" s="627"/>
      <c r="L554" s="628"/>
      <c r="M554" s="629"/>
      <c r="N554" s="627"/>
      <c r="O554" s="628"/>
      <c r="P554" s="630"/>
      <c r="Q554" s="631"/>
      <c r="R554" s="715"/>
      <c r="S554" s="910"/>
      <c r="T554" s="632"/>
      <c r="U554" s="633"/>
      <c r="V554" s="634"/>
      <c r="W554" s="635"/>
      <c r="X554" s="636"/>
      <c r="Y554" s="637"/>
      <c r="Z554" s="921"/>
      <c r="AA554" s="636"/>
      <c r="AB554" s="1056"/>
      <c r="AC554" s="736"/>
      <c r="AD554" s="317"/>
      <c r="AE554" s="669"/>
      <c r="AF554" s="718"/>
      <c r="AG554" s="211"/>
      <c r="AH554" s="210"/>
    </row>
    <row r="555" spans="1:34" s="4" customFormat="1">
      <c r="A555" s="2"/>
      <c r="B555" s="310" t="s">
        <v>115</v>
      </c>
      <c r="C555" s="311" t="s">
        <v>27</v>
      </c>
      <c r="D555" s="687"/>
      <c r="E555" s="688"/>
      <c r="F555" s="312" t="s">
        <v>3965</v>
      </c>
      <c r="G555" s="313">
        <v>44575</v>
      </c>
      <c r="H555" s="624"/>
      <c r="I555" s="625"/>
      <c r="J555" s="626"/>
      <c r="K555" s="627"/>
      <c r="L555" s="628"/>
      <c r="M555" s="629"/>
      <c r="N555" s="627"/>
      <c r="O555" s="628"/>
      <c r="P555" s="630"/>
      <c r="Q555" s="631"/>
      <c r="R555" s="715"/>
      <c r="S555" s="910"/>
      <c r="T555" s="632"/>
      <c r="U555" s="633"/>
      <c r="V555" s="634"/>
      <c r="W555" s="635"/>
      <c r="X555" s="636"/>
      <c r="Y555" s="637"/>
      <c r="Z555" s="921"/>
      <c r="AA555" s="636"/>
      <c r="AB555" s="1056"/>
      <c r="AC555" s="736"/>
      <c r="AD555" s="317"/>
      <c r="AE555" s="669"/>
      <c r="AF555" s="718"/>
      <c r="AG555" s="211"/>
      <c r="AH555" s="210"/>
    </row>
    <row r="556" spans="1:34" s="4" customFormat="1">
      <c r="A556" s="2"/>
      <c r="B556" s="310" t="s">
        <v>115</v>
      </c>
      <c r="C556" s="311" t="s">
        <v>27</v>
      </c>
      <c r="D556" s="687"/>
      <c r="E556" s="688"/>
      <c r="F556" s="312" t="s">
        <v>3966</v>
      </c>
      <c r="G556" s="313">
        <v>44578</v>
      </c>
      <c r="H556" s="624"/>
      <c r="I556" s="625"/>
      <c r="J556" s="626"/>
      <c r="K556" s="627"/>
      <c r="L556" s="628"/>
      <c r="M556" s="629"/>
      <c r="N556" s="627"/>
      <c r="O556" s="628"/>
      <c r="P556" s="630"/>
      <c r="Q556" s="631"/>
      <c r="R556" s="715"/>
      <c r="S556" s="910"/>
      <c r="T556" s="632"/>
      <c r="U556" s="633"/>
      <c r="V556" s="634"/>
      <c r="W556" s="635"/>
      <c r="X556" s="636"/>
      <c r="Y556" s="637"/>
      <c r="Z556" s="921"/>
      <c r="AA556" s="636"/>
      <c r="AB556" s="1056"/>
      <c r="AC556" s="736"/>
      <c r="AD556" s="317"/>
      <c r="AE556" s="669"/>
      <c r="AF556" s="718"/>
      <c r="AG556" s="211"/>
      <c r="AH556" s="210"/>
    </row>
    <row r="557" spans="1:34" s="4" customFormat="1">
      <c r="A557" s="2"/>
      <c r="B557" s="310" t="s">
        <v>106</v>
      </c>
      <c r="C557" s="311" t="s">
        <v>33</v>
      </c>
      <c r="D557" s="687" t="s">
        <v>3967</v>
      </c>
      <c r="E557" s="688"/>
      <c r="F557" s="312"/>
      <c r="G557" s="313"/>
      <c r="H557" s="624"/>
      <c r="I557" s="625"/>
      <c r="J557" s="626"/>
      <c r="K557" s="627" t="s">
        <v>3968</v>
      </c>
      <c r="L557" s="628">
        <v>44573</v>
      </c>
      <c r="M557" s="629"/>
      <c r="N557" s="627" t="s">
        <v>3969</v>
      </c>
      <c r="O557" s="628">
        <v>44573</v>
      </c>
      <c r="P557" s="630" t="s">
        <v>3970</v>
      </c>
      <c r="Q557" s="631">
        <v>44609</v>
      </c>
      <c r="R557" s="715"/>
      <c r="S557" s="1068"/>
      <c r="T557" s="632">
        <v>12416.14</v>
      </c>
      <c r="U557" s="633" t="s">
        <v>3971</v>
      </c>
      <c r="V557" s="634">
        <v>44595</v>
      </c>
      <c r="W557" s="635" t="s">
        <v>2302</v>
      </c>
      <c r="X557" s="636">
        <v>12416.14</v>
      </c>
      <c r="Y557" s="636">
        <v>12416.14</v>
      </c>
      <c r="Z557" s="733">
        <f t="shared" ref="Z557:Z558" si="29">Y557/X557</f>
        <v>1</v>
      </c>
      <c r="AA557" s="919"/>
      <c r="AB557" s="1055">
        <v>0</v>
      </c>
      <c r="AC557" s="912"/>
      <c r="AD557" s="913"/>
      <c r="AE557" s="669"/>
      <c r="AF557" s="704"/>
      <c r="AG557" s="211"/>
      <c r="AH557" s="210"/>
    </row>
    <row r="558" spans="1:34" s="4" customFormat="1">
      <c r="A558" s="2"/>
      <c r="B558" s="310" t="s">
        <v>106</v>
      </c>
      <c r="C558" s="311" t="s">
        <v>33</v>
      </c>
      <c r="D558" s="687" t="s">
        <v>3972</v>
      </c>
      <c r="E558" s="688"/>
      <c r="F558" s="312"/>
      <c r="G558" s="313"/>
      <c r="H558" s="624"/>
      <c r="I558" s="625"/>
      <c r="J558" s="626"/>
      <c r="K558" s="627" t="s">
        <v>3973</v>
      </c>
      <c r="L558" s="628">
        <v>44575</v>
      </c>
      <c r="M558" s="629">
        <v>2500</v>
      </c>
      <c r="N558" s="627" t="s">
        <v>3974</v>
      </c>
      <c r="O558" s="628">
        <v>44575</v>
      </c>
      <c r="P558" s="630" t="s">
        <v>3975</v>
      </c>
      <c r="Q558" s="631">
        <v>44588</v>
      </c>
      <c r="R558" s="715"/>
      <c r="S558" s="1068"/>
      <c r="T558" s="632">
        <v>6077.82</v>
      </c>
      <c r="U558" s="633" t="s">
        <v>3976</v>
      </c>
      <c r="V558" s="634">
        <v>44617</v>
      </c>
      <c r="W558" s="635" t="s">
        <v>2302</v>
      </c>
      <c r="X558" s="636">
        <v>5986.97</v>
      </c>
      <c r="Y558" s="637">
        <v>5986.97</v>
      </c>
      <c r="Z558" s="733">
        <f t="shared" si="29"/>
        <v>1</v>
      </c>
      <c r="AA558" s="919"/>
      <c r="AB558" s="1055">
        <v>0</v>
      </c>
      <c r="AC558" s="912" t="s">
        <v>3977</v>
      </c>
      <c r="AD558" s="913"/>
      <c r="AE558" s="669"/>
      <c r="AF558" s="704"/>
      <c r="AG558" s="211"/>
      <c r="AH558" s="210"/>
    </row>
    <row r="559" spans="1:34" s="4" customFormat="1">
      <c r="A559" s="2"/>
      <c r="B559" s="310" t="s">
        <v>115</v>
      </c>
      <c r="C559" s="311" t="s">
        <v>27</v>
      </c>
      <c r="D559" s="687"/>
      <c r="E559" s="688"/>
      <c r="F559" s="312" t="s">
        <v>3978</v>
      </c>
      <c r="G559" s="313">
        <v>44579</v>
      </c>
      <c r="H559" s="624"/>
      <c r="I559" s="625"/>
      <c r="J559" s="626"/>
      <c r="K559" s="627"/>
      <c r="L559" s="628"/>
      <c r="M559" s="629"/>
      <c r="N559" s="627"/>
      <c r="O559" s="628"/>
      <c r="P559" s="630"/>
      <c r="Q559" s="631"/>
      <c r="R559" s="715"/>
      <c r="S559" s="910"/>
      <c r="T559" s="632"/>
      <c r="U559" s="633"/>
      <c r="V559" s="634"/>
      <c r="W559" s="635"/>
      <c r="X559" s="636"/>
      <c r="Y559" s="637"/>
      <c r="Z559" s="921"/>
      <c r="AA559" s="636"/>
      <c r="AB559" s="1056"/>
      <c r="AC559" s="736" t="s">
        <v>3979</v>
      </c>
      <c r="AD559" s="317"/>
      <c r="AE559" s="669"/>
      <c r="AF559" s="718"/>
      <c r="AG559" s="211"/>
      <c r="AH559" s="210"/>
    </row>
    <row r="560" spans="1:34" s="4" customFormat="1">
      <c r="A560" s="2"/>
      <c r="B560" s="310" t="s">
        <v>115</v>
      </c>
      <c r="C560" s="311" t="s">
        <v>27</v>
      </c>
      <c r="D560" s="687"/>
      <c r="E560" s="688"/>
      <c r="F560" s="312" t="s">
        <v>3980</v>
      </c>
      <c r="G560" s="313">
        <v>44579</v>
      </c>
      <c r="H560" s="624"/>
      <c r="I560" s="625"/>
      <c r="J560" s="626"/>
      <c r="K560" s="627"/>
      <c r="L560" s="628"/>
      <c r="M560" s="629"/>
      <c r="N560" s="627"/>
      <c r="O560" s="628"/>
      <c r="P560" s="630"/>
      <c r="Q560" s="631"/>
      <c r="R560" s="715"/>
      <c r="S560" s="910"/>
      <c r="T560" s="632"/>
      <c r="U560" s="633"/>
      <c r="V560" s="634"/>
      <c r="W560" s="635"/>
      <c r="X560" s="636"/>
      <c r="Y560" s="637"/>
      <c r="Z560" s="921"/>
      <c r="AA560" s="636"/>
      <c r="AB560" s="1056"/>
      <c r="AC560" s="736" t="s">
        <v>3981</v>
      </c>
      <c r="AD560" s="317"/>
      <c r="AE560" s="669"/>
      <c r="AF560" s="704"/>
      <c r="AG560" s="211"/>
      <c r="AH560" s="210"/>
    </row>
    <row r="561" spans="1:34" s="4" customFormat="1">
      <c r="A561" s="2"/>
      <c r="B561" s="310" t="s">
        <v>115</v>
      </c>
      <c r="C561" s="311" t="s">
        <v>27</v>
      </c>
      <c r="D561" s="687"/>
      <c r="E561" s="688"/>
      <c r="F561" s="312" t="s">
        <v>3982</v>
      </c>
      <c r="G561" s="313">
        <v>44580</v>
      </c>
      <c r="H561" s="624"/>
      <c r="I561" s="625"/>
      <c r="J561" s="626"/>
      <c r="K561" s="627"/>
      <c r="L561" s="628"/>
      <c r="M561" s="629"/>
      <c r="N561" s="627"/>
      <c r="O561" s="628"/>
      <c r="P561" s="630"/>
      <c r="Q561" s="631"/>
      <c r="R561" s="715"/>
      <c r="S561" s="910"/>
      <c r="T561" s="632"/>
      <c r="U561" s="633"/>
      <c r="V561" s="634"/>
      <c r="W561" s="635"/>
      <c r="X561" s="636"/>
      <c r="Y561" s="637"/>
      <c r="Z561" s="921"/>
      <c r="AA561" s="636"/>
      <c r="AB561" s="1056"/>
      <c r="AC561" s="736" t="s">
        <v>3983</v>
      </c>
      <c r="AD561" s="317"/>
      <c r="AE561" s="669"/>
      <c r="AF561" s="718"/>
      <c r="AG561" s="211"/>
      <c r="AH561" s="210"/>
    </row>
    <row r="562" spans="1:34" s="4" customFormat="1">
      <c r="A562" s="2"/>
      <c r="B562" s="310" t="s">
        <v>115</v>
      </c>
      <c r="C562" s="311" t="s">
        <v>27</v>
      </c>
      <c r="D562" s="687"/>
      <c r="E562" s="688"/>
      <c r="F562" s="312" t="s">
        <v>3984</v>
      </c>
      <c r="G562" s="313">
        <v>44585</v>
      </c>
      <c r="H562" s="624"/>
      <c r="I562" s="625"/>
      <c r="J562" s="626"/>
      <c r="K562" s="627"/>
      <c r="L562" s="628"/>
      <c r="M562" s="629"/>
      <c r="N562" s="627"/>
      <c r="O562" s="628"/>
      <c r="P562" s="630"/>
      <c r="Q562" s="631"/>
      <c r="R562" s="715"/>
      <c r="S562" s="910"/>
      <c r="T562" s="632"/>
      <c r="U562" s="633"/>
      <c r="V562" s="634"/>
      <c r="W562" s="635"/>
      <c r="X562" s="636"/>
      <c r="Y562" s="637"/>
      <c r="Z562" s="921"/>
      <c r="AA562" s="636"/>
      <c r="AB562" s="1056"/>
      <c r="AC562" s="736" t="s">
        <v>3985</v>
      </c>
      <c r="AD562" s="317"/>
      <c r="AE562" s="669"/>
      <c r="AF562" s="718"/>
      <c r="AG562" s="211"/>
      <c r="AH562" s="210"/>
    </row>
    <row r="563" spans="1:34" s="4" customFormat="1">
      <c r="A563" s="2"/>
      <c r="B563" s="310" t="s">
        <v>115</v>
      </c>
      <c r="C563" s="311" t="s">
        <v>27</v>
      </c>
      <c r="D563" s="687"/>
      <c r="E563" s="688"/>
      <c r="F563" s="312" t="s">
        <v>3986</v>
      </c>
      <c r="G563" s="313">
        <v>44585</v>
      </c>
      <c r="H563" s="624"/>
      <c r="I563" s="625"/>
      <c r="J563" s="626"/>
      <c r="K563" s="627"/>
      <c r="L563" s="628"/>
      <c r="M563" s="629"/>
      <c r="N563" s="627"/>
      <c r="O563" s="628"/>
      <c r="P563" s="630"/>
      <c r="Q563" s="631"/>
      <c r="R563" s="715"/>
      <c r="S563" s="910"/>
      <c r="T563" s="632"/>
      <c r="U563" s="633"/>
      <c r="V563" s="634"/>
      <c r="W563" s="635"/>
      <c r="X563" s="636"/>
      <c r="Y563" s="637"/>
      <c r="Z563" s="921"/>
      <c r="AA563" s="636"/>
      <c r="AB563" s="1056"/>
      <c r="AC563" s="736" t="s">
        <v>3987</v>
      </c>
      <c r="AD563" s="317"/>
      <c r="AE563" s="669"/>
      <c r="AF563" s="718"/>
      <c r="AG563" s="211"/>
      <c r="AH563" s="210"/>
    </row>
    <row r="564" spans="1:34" s="4" customFormat="1">
      <c r="A564" s="2"/>
      <c r="B564" s="310" t="s">
        <v>115</v>
      </c>
      <c r="C564" s="311" t="s">
        <v>27</v>
      </c>
      <c r="D564" s="687"/>
      <c r="E564" s="688"/>
      <c r="F564" s="312" t="s">
        <v>3988</v>
      </c>
      <c r="G564" s="313">
        <v>44586</v>
      </c>
      <c r="H564" s="624"/>
      <c r="I564" s="625"/>
      <c r="J564" s="626"/>
      <c r="K564" s="627"/>
      <c r="L564" s="628"/>
      <c r="M564" s="629"/>
      <c r="N564" s="627"/>
      <c r="O564" s="628"/>
      <c r="P564" s="630"/>
      <c r="Q564" s="631"/>
      <c r="R564" s="715"/>
      <c r="S564" s="910"/>
      <c r="T564" s="632"/>
      <c r="U564" s="633"/>
      <c r="V564" s="634"/>
      <c r="W564" s="635"/>
      <c r="X564" s="636"/>
      <c r="Y564" s="637"/>
      <c r="Z564" s="921"/>
      <c r="AA564" s="636"/>
      <c r="AB564" s="1056"/>
      <c r="AC564" s="736" t="s">
        <v>3989</v>
      </c>
      <c r="AD564" s="317"/>
      <c r="AE564" s="669"/>
      <c r="AF564" s="718"/>
      <c r="AG564" s="211"/>
      <c r="AH564" s="210"/>
    </row>
    <row r="565" spans="1:34" s="4" customFormat="1">
      <c r="A565" s="2"/>
      <c r="B565" s="310" t="s">
        <v>106</v>
      </c>
      <c r="C565" s="311" t="s">
        <v>33</v>
      </c>
      <c r="D565" s="687" t="s">
        <v>3990</v>
      </c>
      <c r="E565" s="688"/>
      <c r="F565" s="312"/>
      <c r="G565" s="313"/>
      <c r="H565" s="624"/>
      <c r="I565" s="625"/>
      <c r="J565" s="626"/>
      <c r="K565" s="627" t="s">
        <v>3991</v>
      </c>
      <c r="L565" s="628">
        <v>44580</v>
      </c>
      <c r="M565" s="629">
        <v>2000</v>
      </c>
      <c r="N565" s="627" t="s">
        <v>3992</v>
      </c>
      <c r="O565" s="628">
        <v>44580</v>
      </c>
      <c r="P565" s="630" t="s">
        <v>3993</v>
      </c>
      <c r="Q565" s="631">
        <v>44601</v>
      </c>
      <c r="R565" s="715"/>
      <c r="S565" s="1068"/>
      <c r="T565" s="632">
        <v>7293.57</v>
      </c>
      <c r="U565" s="633" t="s">
        <v>3994</v>
      </c>
      <c r="V565" s="634">
        <v>44648</v>
      </c>
      <c r="W565" s="635" t="s">
        <v>2302</v>
      </c>
      <c r="X565" s="636">
        <v>7293.57</v>
      </c>
      <c r="Y565" s="636">
        <v>7293.57</v>
      </c>
      <c r="Z565" s="987">
        <f>Y565/X565</f>
        <v>1</v>
      </c>
      <c r="AA565" s="919"/>
      <c r="AB565" s="1055">
        <v>0</v>
      </c>
      <c r="AC565" s="912" t="s">
        <v>3995</v>
      </c>
      <c r="AD565" s="913" t="s">
        <v>3996</v>
      </c>
      <c r="AE565" s="669"/>
      <c r="AF565" s="704"/>
      <c r="AG565" s="211"/>
      <c r="AH565" s="210"/>
    </row>
    <row r="566" spans="1:34" s="4" customFormat="1">
      <c r="A566" s="2"/>
      <c r="B566" s="310" t="s">
        <v>115</v>
      </c>
      <c r="C566" s="311" t="s">
        <v>27</v>
      </c>
      <c r="D566" s="687"/>
      <c r="E566" s="688"/>
      <c r="F566" s="312" t="s">
        <v>3997</v>
      </c>
      <c r="G566" s="313"/>
      <c r="H566" s="624"/>
      <c r="I566" s="625"/>
      <c r="J566" s="626"/>
      <c r="K566" s="627"/>
      <c r="L566" s="628"/>
      <c r="M566" s="629"/>
      <c r="N566" s="627"/>
      <c r="O566" s="628"/>
      <c r="P566" s="630"/>
      <c r="Q566" s="631"/>
      <c r="R566" s="715"/>
      <c r="S566" s="910"/>
      <c r="T566" s="632"/>
      <c r="U566" s="633"/>
      <c r="V566" s="634"/>
      <c r="W566" s="635"/>
      <c r="X566" s="636"/>
      <c r="Y566" s="637"/>
      <c r="Z566" s="921"/>
      <c r="AA566" s="636"/>
      <c r="AB566" s="1056"/>
      <c r="AC566" s="736"/>
      <c r="AD566" s="317"/>
      <c r="AE566" s="669"/>
      <c r="AF566" s="704"/>
      <c r="AG566" s="211"/>
      <c r="AH566" s="210"/>
    </row>
    <row r="567" spans="1:34" s="4" customFormat="1">
      <c r="A567" s="2"/>
      <c r="B567" s="310" t="s">
        <v>115</v>
      </c>
      <c r="C567" s="311" t="s">
        <v>27</v>
      </c>
      <c r="D567" s="687"/>
      <c r="E567" s="688"/>
      <c r="F567" s="312" t="s">
        <v>3998</v>
      </c>
      <c r="G567" s="313">
        <v>44224</v>
      </c>
      <c r="H567" s="624"/>
      <c r="I567" s="625"/>
      <c r="J567" s="626"/>
      <c r="K567" s="627"/>
      <c r="L567" s="628"/>
      <c r="M567" s="629"/>
      <c r="N567" s="627"/>
      <c r="O567" s="628"/>
      <c r="P567" s="630"/>
      <c r="Q567" s="631"/>
      <c r="R567" s="715"/>
      <c r="S567" s="910"/>
      <c r="T567" s="632"/>
      <c r="U567" s="633"/>
      <c r="V567" s="634"/>
      <c r="W567" s="635"/>
      <c r="X567" s="636"/>
      <c r="Y567" s="637"/>
      <c r="Z567" s="921"/>
      <c r="AA567" s="636"/>
      <c r="AB567" s="1056"/>
      <c r="AC567" s="736" t="s">
        <v>3999</v>
      </c>
      <c r="AD567" s="317"/>
      <c r="AE567" s="669"/>
      <c r="AF567" s="718"/>
      <c r="AG567" s="211"/>
      <c r="AH567" s="210"/>
    </row>
    <row r="568" spans="1:34" s="4" customFormat="1">
      <c r="A568" s="2"/>
      <c r="B568" s="310" t="s">
        <v>106</v>
      </c>
      <c r="C568" s="311" t="s">
        <v>33</v>
      </c>
      <c r="D568" s="687" t="s">
        <v>4000</v>
      </c>
      <c r="E568" s="688"/>
      <c r="F568" s="312" t="s">
        <v>4001</v>
      </c>
      <c r="G568" s="313">
        <v>44224</v>
      </c>
      <c r="H568" s="624"/>
      <c r="I568" s="625"/>
      <c r="J568" s="626"/>
      <c r="K568" s="627" t="s">
        <v>4002</v>
      </c>
      <c r="L568" s="628">
        <v>44615</v>
      </c>
      <c r="M568" s="629">
        <v>8500</v>
      </c>
      <c r="N568" s="627" t="s">
        <v>4003</v>
      </c>
      <c r="O568" s="628">
        <v>44615</v>
      </c>
      <c r="P568" s="630" t="s">
        <v>4004</v>
      </c>
      <c r="Q568" s="631">
        <v>44645</v>
      </c>
      <c r="R568" s="715"/>
      <c r="S568" s="1068"/>
      <c r="T568" s="632">
        <v>52968.22</v>
      </c>
      <c r="U568" s="633" t="s">
        <v>4005</v>
      </c>
      <c r="V568" s="634">
        <v>44676</v>
      </c>
      <c r="W568" s="635" t="s">
        <v>2302</v>
      </c>
      <c r="X568" s="636">
        <v>52968.22</v>
      </c>
      <c r="Y568" s="636">
        <v>52968.22</v>
      </c>
      <c r="Z568" s="987">
        <f>Y568/X568</f>
        <v>1</v>
      </c>
      <c r="AA568" s="919"/>
      <c r="AB568" s="1055">
        <v>0</v>
      </c>
      <c r="AC568" s="912" t="s">
        <v>4006</v>
      </c>
      <c r="AD568" s="913" t="s">
        <v>4007</v>
      </c>
      <c r="AE568" s="669"/>
      <c r="AF568" s="704"/>
      <c r="AG568" s="211"/>
      <c r="AH568" s="210"/>
    </row>
    <row r="569" spans="1:34" s="4" customFormat="1">
      <c r="A569" s="2"/>
      <c r="B569" s="310" t="s">
        <v>115</v>
      </c>
      <c r="C569" s="311" t="s">
        <v>27</v>
      </c>
      <c r="D569" s="687"/>
      <c r="E569" s="688"/>
      <c r="F569" s="312" t="s">
        <v>4008</v>
      </c>
      <c r="G569" s="313">
        <v>44592</v>
      </c>
      <c r="H569" s="624"/>
      <c r="I569" s="625"/>
      <c r="J569" s="626"/>
      <c r="K569" s="627"/>
      <c r="L569" s="628"/>
      <c r="M569" s="629"/>
      <c r="N569" s="627"/>
      <c r="O569" s="628"/>
      <c r="P569" s="630"/>
      <c r="Q569" s="631"/>
      <c r="R569" s="715"/>
      <c r="S569" s="910"/>
      <c r="T569" s="632"/>
      <c r="U569" s="633"/>
      <c r="V569" s="634"/>
      <c r="W569" s="635"/>
      <c r="X569" s="636"/>
      <c r="Y569" s="637"/>
      <c r="Z569" s="921"/>
      <c r="AA569" s="636"/>
      <c r="AB569" s="1056"/>
      <c r="AC569" s="736"/>
      <c r="AD569" s="317"/>
      <c r="AE569" s="669"/>
      <c r="AF569" s="718"/>
      <c r="AG569" s="211"/>
      <c r="AH569" s="210"/>
    </row>
    <row r="570" spans="1:34" s="4" customFormat="1">
      <c r="A570" s="2"/>
      <c r="B570" s="310" t="s">
        <v>106</v>
      </c>
      <c r="C570" s="311" t="s">
        <v>33</v>
      </c>
      <c r="D570" s="687" t="s">
        <v>4009</v>
      </c>
      <c r="E570" s="688"/>
      <c r="F570" s="312" t="s">
        <v>4010</v>
      </c>
      <c r="G570" s="313">
        <v>44593</v>
      </c>
      <c r="H570" s="624"/>
      <c r="I570" s="625"/>
      <c r="J570" s="626"/>
      <c r="K570" s="627" t="s">
        <v>4011</v>
      </c>
      <c r="L570" s="628">
        <v>45118</v>
      </c>
      <c r="M570" s="629">
        <v>19000</v>
      </c>
      <c r="N570" s="627" t="s">
        <v>4012</v>
      </c>
      <c r="O570" s="628">
        <v>45119</v>
      </c>
      <c r="P570" s="630" t="s">
        <v>4013</v>
      </c>
      <c r="Q570" s="631">
        <v>45163</v>
      </c>
      <c r="R570" s="715">
        <v>45181</v>
      </c>
      <c r="S570" s="1068"/>
      <c r="T570" s="632">
        <v>66924.08</v>
      </c>
      <c r="U570" s="633" t="s">
        <v>4014</v>
      </c>
      <c r="V570" s="634">
        <v>45201</v>
      </c>
      <c r="W570" s="635" t="s">
        <v>105</v>
      </c>
      <c r="X570" s="636">
        <v>66924.08</v>
      </c>
      <c r="Y570" s="1058">
        <v>63424</v>
      </c>
      <c r="Z570" s="1059">
        <f>Y570/X570</f>
        <v>0.94770073791077891</v>
      </c>
      <c r="AA570" s="636"/>
      <c r="AB570" s="1056"/>
      <c r="AC570" s="736" t="s">
        <v>4015</v>
      </c>
      <c r="AD570" s="317"/>
      <c r="AE570" s="669"/>
      <c r="AF570" s="718"/>
      <c r="AG570" s="211"/>
      <c r="AH570" s="210"/>
    </row>
    <row r="571" spans="1:34" s="4" customFormat="1">
      <c r="A571" s="2"/>
      <c r="B571" s="310" t="s">
        <v>115</v>
      </c>
      <c r="C571" s="311" t="s">
        <v>27</v>
      </c>
      <c r="D571" s="687"/>
      <c r="E571" s="688"/>
      <c r="F571" s="312" t="s">
        <v>4016</v>
      </c>
      <c r="G571" s="313">
        <v>44594</v>
      </c>
      <c r="H571" s="624"/>
      <c r="I571" s="625"/>
      <c r="J571" s="626"/>
      <c r="K571" s="627"/>
      <c r="L571" s="628"/>
      <c r="M571" s="629"/>
      <c r="N571" s="627"/>
      <c r="O571" s="628"/>
      <c r="P571" s="630"/>
      <c r="Q571" s="631"/>
      <c r="R571" s="715"/>
      <c r="S571" s="910"/>
      <c r="T571" s="632"/>
      <c r="U571" s="633"/>
      <c r="V571" s="634"/>
      <c r="W571" s="635"/>
      <c r="X571" s="636"/>
      <c r="Y571" s="637"/>
      <c r="Z571" s="921"/>
      <c r="AA571" s="636"/>
      <c r="AB571" s="1056"/>
      <c r="AC571" s="736" t="s">
        <v>4017</v>
      </c>
      <c r="AD571" s="317"/>
      <c r="AE571" s="669"/>
      <c r="AF571" s="718"/>
      <c r="AG571" s="211"/>
      <c r="AH571" s="210"/>
    </row>
    <row r="572" spans="1:34" s="4" customFormat="1">
      <c r="A572" s="2"/>
      <c r="B572" s="310" t="s">
        <v>115</v>
      </c>
      <c r="C572" s="311" t="s">
        <v>27</v>
      </c>
      <c r="D572" s="687"/>
      <c r="E572" s="688"/>
      <c r="F572" s="312" t="s">
        <v>4018</v>
      </c>
      <c r="G572" s="313">
        <v>44594</v>
      </c>
      <c r="H572" s="624"/>
      <c r="I572" s="625"/>
      <c r="J572" s="626"/>
      <c r="K572" s="627"/>
      <c r="L572" s="628"/>
      <c r="M572" s="629"/>
      <c r="N572" s="627"/>
      <c r="O572" s="628"/>
      <c r="P572" s="630"/>
      <c r="Q572" s="631"/>
      <c r="R572" s="715"/>
      <c r="S572" s="910"/>
      <c r="T572" s="632"/>
      <c r="U572" s="633"/>
      <c r="V572" s="634"/>
      <c r="W572" s="635"/>
      <c r="X572" s="636"/>
      <c r="Y572" s="637"/>
      <c r="Z572" s="921"/>
      <c r="AA572" s="636"/>
      <c r="AB572" s="1056"/>
      <c r="AC572" s="736" t="s">
        <v>4019</v>
      </c>
      <c r="AD572" s="317"/>
      <c r="AE572" s="669"/>
      <c r="AF572" s="718"/>
      <c r="AG572" s="211"/>
      <c r="AH572" s="210"/>
    </row>
    <row r="573" spans="1:34" s="4" customFormat="1">
      <c r="A573" s="2"/>
      <c r="B573" s="310" t="s">
        <v>119</v>
      </c>
      <c r="C573" s="311" t="s">
        <v>27</v>
      </c>
      <c r="D573" s="687" t="s">
        <v>4020</v>
      </c>
      <c r="E573" s="688"/>
      <c r="F573" s="312" t="s">
        <v>4021</v>
      </c>
      <c r="G573" s="313">
        <v>44636</v>
      </c>
      <c r="H573" s="624"/>
      <c r="I573" s="625"/>
      <c r="J573" s="626"/>
      <c r="K573" s="627"/>
      <c r="L573" s="628"/>
      <c r="M573" s="629"/>
      <c r="N573" s="627"/>
      <c r="O573" s="628"/>
      <c r="P573" s="630"/>
      <c r="Q573" s="631"/>
      <c r="R573" s="715"/>
      <c r="S573" s="910"/>
      <c r="T573" s="632"/>
      <c r="U573" s="633"/>
      <c r="V573" s="634"/>
      <c r="W573" s="635"/>
      <c r="X573" s="636"/>
      <c r="Y573" s="637"/>
      <c r="Z573" s="921"/>
      <c r="AA573" s="636"/>
      <c r="AB573" s="1056"/>
      <c r="AC573" s="736"/>
      <c r="AD573" s="317"/>
      <c r="AE573" s="669"/>
      <c r="AF573" s="704"/>
      <c r="AG573" s="211"/>
      <c r="AH573" s="210"/>
    </row>
    <row r="574" spans="1:34" s="4" customFormat="1">
      <c r="A574" s="2"/>
      <c r="B574" s="310" t="s">
        <v>115</v>
      </c>
      <c r="C574" s="311" t="s">
        <v>27</v>
      </c>
      <c r="D574" s="687"/>
      <c r="E574" s="688"/>
      <c r="F574" s="312" t="s">
        <v>4022</v>
      </c>
      <c r="G574" s="313">
        <v>44594</v>
      </c>
      <c r="H574" s="624"/>
      <c r="I574" s="625"/>
      <c r="J574" s="626"/>
      <c r="K574" s="627"/>
      <c r="L574" s="628"/>
      <c r="M574" s="629"/>
      <c r="N574" s="627"/>
      <c r="O574" s="628"/>
      <c r="P574" s="630"/>
      <c r="Q574" s="631"/>
      <c r="R574" s="715"/>
      <c r="S574" s="910"/>
      <c r="T574" s="632"/>
      <c r="U574" s="633"/>
      <c r="V574" s="634"/>
      <c r="W574" s="635"/>
      <c r="X574" s="636"/>
      <c r="Y574" s="637"/>
      <c r="Z574" s="921"/>
      <c r="AA574" s="636"/>
      <c r="AB574" s="1056"/>
      <c r="AC574" s="736" t="s">
        <v>4023</v>
      </c>
      <c r="AD574" s="317"/>
      <c r="AE574" s="669"/>
      <c r="AF574" s="718"/>
      <c r="AG574" s="211"/>
      <c r="AH574" s="210"/>
    </row>
    <row r="575" spans="1:34" s="4" customFormat="1">
      <c r="A575" s="2"/>
      <c r="B575" s="310" t="s">
        <v>115</v>
      </c>
      <c r="C575" s="311" t="s">
        <v>27</v>
      </c>
      <c r="D575" s="687"/>
      <c r="E575" s="688"/>
      <c r="F575" s="312" t="s">
        <v>4024</v>
      </c>
      <c r="G575" s="313">
        <v>44594</v>
      </c>
      <c r="H575" s="624"/>
      <c r="I575" s="625"/>
      <c r="J575" s="626"/>
      <c r="K575" s="627"/>
      <c r="L575" s="628"/>
      <c r="M575" s="629"/>
      <c r="N575" s="627"/>
      <c r="O575" s="628"/>
      <c r="P575" s="630"/>
      <c r="Q575" s="631"/>
      <c r="R575" s="715"/>
      <c r="S575" s="910"/>
      <c r="T575" s="632"/>
      <c r="U575" s="633"/>
      <c r="V575" s="634"/>
      <c r="W575" s="635"/>
      <c r="X575" s="636"/>
      <c r="Y575" s="637"/>
      <c r="Z575" s="921"/>
      <c r="AA575" s="636"/>
      <c r="AB575" s="1056"/>
      <c r="AC575" s="736" t="s">
        <v>4025</v>
      </c>
      <c r="AD575" s="317"/>
      <c r="AE575" s="669"/>
      <c r="AF575" s="718"/>
      <c r="AG575" s="211"/>
      <c r="AH575" s="210"/>
    </row>
    <row r="576" spans="1:34" s="4" customFormat="1">
      <c r="A576" s="2"/>
      <c r="B576" s="310" t="s">
        <v>115</v>
      </c>
      <c r="C576" s="311" t="s">
        <v>27</v>
      </c>
      <c r="D576" s="687"/>
      <c r="E576" s="688"/>
      <c r="F576" s="312" t="s">
        <v>4026</v>
      </c>
      <c r="G576" s="313">
        <v>44594</v>
      </c>
      <c r="H576" s="624"/>
      <c r="I576" s="625"/>
      <c r="J576" s="626"/>
      <c r="K576" s="627"/>
      <c r="L576" s="628"/>
      <c r="M576" s="629"/>
      <c r="N576" s="627"/>
      <c r="O576" s="628"/>
      <c r="P576" s="630"/>
      <c r="Q576" s="631"/>
      <c r="R576" s="715"/>
      <c r="S576" s="910"/>
      <c r="T576" s="632"/>
      <c r="U576" s="633"/>
      <c r="V576" s="634"/>
      <c r="W576" s="635"/>
      <c r="X576" s="636"/>
      <c r="Y576" s="637"/>
      <c r="Z576" s="921"/>
      <c r="AA576" s="636"/>
      <c r="AB576" s="1056"/>
      <c r="AC576" s="736" t="s">
        <v>4027</v>
      </c>
      <c r="AD576" s="317"/>
      <c r="AE576" s="669"/>
      <c r="AF576" s="718"/>
      <c r="AG576" s="211"/>
      <c r="AH576" s="210"/>
    </row>
    <row r="577" spans="1:34" s="4" customFormat="1">
      <c r="A577" s="2"/>
      <c r="B577" s="310" t="s">
        <v>110</v>
      </c>
      <c r="C577" s="311" t="s">
        <v>27</v>
      </c>
      <c r="D577" s="687" t="s">
        <v>4028</v>
      </c>
      <c r="E577" s="688"/>
      <c r="F577" s="312" t="s">
        <v>4029</v>
      </c>
      <c r="G577" s="313">
        <v>44594</v>
      </c>
      <c r="H577" s="624"/>
      <c r="I577" s="625"/>
      <c r="J577" s="626"/>
      <c r="K577" s="627" t="s">
        <v>4030</v>
      </c>
      <c r="L577" s="628">
        <v>44600</v>
      </c>
      <c r="M577" s="629">
        <v>6435</v>
      </c>
      <c r="N577" s="627" t="s">
        <v>4031</v>
      </c>
      <c r="O577" s="628">
        <v>44601</v>
      </c>
      <c r="P577" s="630" t="s">
        <v>4032</v>
      </c>
      <c r="Q577" s="631">
        <v>44615</v>
      </c>
      <c r="R577" s="715"/>
      <c r="S577" s="910"/>
      <c r="T577" s="632">
        <v>12281.29</v>
      </c>
      <c r="U577" s="633"/>
      <c r="V577" s="634"/>
      <c r="W577" s="635" t="s">
        <v>105</v>
      </c>
      <c r="X577" s="636"/>
      <c r="Y577" s="637"/>
      <c r="Z577" s="921"/>
      <c r="AA577" s="636"/>
      <c r="AB577" s="1056"/>
      <c r="AC577" s="736" t="s">
        <v>4033</v>
      </c>
      <c r="AD577" s="317" t="s">
        <v>4034</v>
      </c>
      <c r="AE577" s="669"/>
      <c r="AF577" s="704"/>
      <c r="AG577" s="211"/>
      <c r="AH577" s="210"/>
    </row>
    <row r="578" spans="1:34" s="4" customFormat="1">
      <c r="A578" s="2"/>
      <c r="B578" s="310" t="s">
        <v>115</v>
      </c>
      <c r="C578" s="311" t="s">
        <v>27</v>
      </c>
      <c r="D578" s="687"/>
      <c r="E578" s="688"/>
      <c r="F578" s="312" t="s">
        <v>4035</v>
      </c>
      <c r="G578" s="313">
        <v>44594</v>
      </c>
      <c r="H578" s="624"/>
      <c r="I578" s="625"/>
      <c r="J578" s="626"/>
      <c r="K578" s="627"/>
      <c r="L578" s="628"/>
      <c r="M578" s="629"/>
      <c r="N578" s="627"/>
      <c r="O578" s="628"/>
      <c r="P578" s="630"/>
      <c r="Q578" s="631"/>
      <c r="R578" s="715"/>
      <c r="S578" s="910"/>
      <c r="T578" s="632"/>
      <c r="U578" s="633"/>
      <c r="V578" s="634"/>
      <c r="W578" s="635"/>
      <c r="X578" s="636"/>
      <c r="Y578" s="637"/>
      <c r="Z578" s="921"/>
      <c r="AA578" s="636"/>
      <c r="AB578" s="1056"/>
      <c r="AC578" s="736" t="s">
        <v>4036</v>
      </c>
      <c r="AD578" s="317"/>
      <c r="AE578" s="669"/>
      <c r="AF578" s="718"/>
      <c r="AG578" s="211"/>
      <c r="AH578" s="210"/>
    </row>
    <row r="579" spans="1:34" s="4" customFormat="1">
      <c r="A579" s="2"/>
      <c r="B579" s="310" t="s">
        <v>115</v>
      </c>
      <c r="C579" s="311" t="s">
        <v>27</v>
      </c>
      <c r="D579" s="687"/>
      <c r="E579" s="688"/>
      <c r="F579" s="312" t="s">
        <v>4037</v>
      </c>
      <c r="G579" s="313">
        <v>44594</v>
      </c>
      <c r="H579" s="624"/>
      <c r="I579" s="625"/>
      <c r="J579" s="626"/>
      <c r="K579" s="627"/>
      <c r="L579" s="628"/>
      <c r="M579" s="629"/>
      <c r="N579" s="627"/>
      <c r="O579" s="628"/>
      <c r="P579" s="630"/>
      <c r="Q579" s="631"/>
      <c r="R579" s="715"/>
      <c r="S579" s="910"/>
      <c r="T579" s="632"/>
      <c r="U579" s="633"/>
      <c r="V579" s="634"/>
      <c r="W579" s="635"/>
      <c r="X579" s="636"/>
      <c r="Y579" s="637"/>
      <c r="Z579" s="725"/>
      <c r="AA579" s="636"/>
      <c r="AB579" s="1056"/>
      <c r="AC579" s="736" t="s">
        <v>4038</v>
      </c>
      <c r="AD579" s="317"/>
      <c r="AE579" s="669"/>
      <c r="AF579" s="718"/>
      <c r="AG579" s="211"/>
      <c r="AH579" s="210"/>
    </row>
    <row r="580" spans="1:34" s="4" customFormat="1">
      <c r="A580" s="2"/>
      <c r="B580" s="310" t="s">
        <v>106</v>
      </c>
      <c r="C580" s="311" t="s">
        <v>33</v>
      </c>
      <c r="D580" s="687" t="s">
        <v>4039</v>
      </c>
      <c r="E580" s="688"/>
      <c r="F580" s="312"/>
      <c r="G580" s="313"/>
      <c r="H580" s="624"/>
      <c r="I580" s="625"/>
      <c r="J580" s="626"/>
      <c r="K580" s="627" t="s">
        <v>4040</v>
      </c>
      <c r="L580" s="628">
        <v>44593</v>
      </c>
      <c r="M580" s="629">
        <v>-6000</v>
      </c>
      <c r="N580" s="627" t="s">
        <v>4041</v>
      </c>
      <c r="O580" s="628">
        <v>44593</v>
      </c>
      <c r="P580" s="630" t="s">
        <v>4042</v>
      </c>
      <c r="Q580" s="631">
        <v>44627</v>
      </c>
      <c r="R580" s="715"/>
      <c r="S580" s="1068"/>
      <c r="T580" s="632">
        <v>-4719.41</v>
      </c>
      <c r="U580" s="633" t="s">
        <v>4043</v>
      </c>
      <c r="V580" s="634">
        <v>44638</v>
      </c>
      <c r="W580" s="635" t="s">
        <v>101</v>
      </c>
      <c r="X580" s="636">
        <v>-4719.41</v>
      </c>
      <c r="Y580" s="636">
        <v>-4719.41</v>
      </c>
      <c r="Z580" s="733">
        <f>Y580/X580</f>
        <v>1</v>
      </c>
      <c r="AA580" s="919"/>
      <c r="AB580" s="1055">
        <v>0</v>
      </c>
      <c r="AC580" s="912" t="s">
        <v>4044</v>
      </c>
      <c r="AD580" s="913" t="s">
        <v>4045</v>
      </c>
      <c r="AE580" s="669"/>
      <c r="AF580" s="704"/>
      <c r="AG580" s="211"/>
      <c r="AH580" s="210"/>
    </row>
    <row r="581" spans="1:34" s="4" customFormat="1">
      <c r="A581" s="2"/>
      <c r="B581" s="310" t="s">
        <v>115</v>
      </c>
      <c r="C581" s="311" t="s">
        <v>27</v>
      </c>
      <c r="D581" s="687"/>
      <c r="E581" s="688"/>
      <c r="F581" s="312" t="s">
        <v>4046</v>
      </c>
      <c r="G581" s="313">
        <v>44595</v>
      </c>
      <c r="H581" s="624"/>
      <c r="I581" s="625"/>
      <c r="J581" s="626"/>
      <c r="K581" s="627"/>
      <c r="L581" s="628"/>
      <c r="M581" s="629"/>
      <c r="N581" s="627"/>
      <c r="O581" s="628"/>
      <c r="P581" s="630"/>
      <c r="Q581" s="631"/>
      <c r="R581" s="715"/>
      <c r="S581" s="910"/>
      <c r="T581" s="632"/>
      <c r="U581" s="633"/>
      <c r="V581" s="634"/>
      <c r="W581" s="635"/>
      <c r="X581" s="636"/>
      <c r="Y581" s="637"/>
      <c r="Z581" s="725"/>
      <c r="AA581" s="636"/>
      <c r="AB581" s="1056"/>
      <c r="AC581" s="736" t="s">
        <v>4047</v>
      </c>
      <c r="AD581" s="317"/>
      <c r="AE581" s="669"/>
      <c r="AF581" s="718"/>
      <c r="AG581" s="211"/>
      <c r="AH581" s="210"/>
    </row>
    <row r="582" spans="1:34" s="4" customFormat="1">
      <c r="A582" s="2"/>
      <c r="B582" s="310" t="s">
        <v>115</v>
      </c>
      <c r="C582" s="311" t="s">
        <v>27</v>
      </c>
      <c r="D582" s="687"/>
      <c r="E582" s="688"/>
      <c r="F582" s="312" t="s">
        <v>4048</v>
      </c>
      <c r="G582" s="313">
        <v>44595</v>
      </c>
      <c r="H582" s="624"/>
      <c r="I582" s="625"/>
      <c r="J582" s="626"/>
      <c r="K582" s="627"/>
      <c r="L582" s="628"/>
      <c r="M582" s="629"/>
      <c r="N582" s="627"/>
      <c r="O582" s="628"/>
      <c r="P582" s="630"/>
      <c r="Q582" s="631"/>
      <c r="R582" s="715"/>
      <c r="S582" s="910"/>
      <c r="T582" s="632"/>
      <c r="U582" s="633"/>
      <c r="V582" s="634"/>
      <c r="W582" s="635"/>
      <c r="X582" s="636"/>
      <c r="Y582" s="637"/>
      <c r="Z582" s="725"/>
      <c r="AA582" s="636"/>
      <c r="AB582" s="1056"/>
      <c r="AC582" s="736" t="s">
        <v>4049</v>
      </c>
      <c r="AD582" s="317"/>
      <c r="AE582" s="669"/>
      <c r="AF582" s="718"/>
      <c r="AG582" s="211"/>
      <c r="AH582" s="210"/>
    </row>
    <row r="583" spans="1:34" s="4" customFormat="1">
      <c r="A583" s="2"/>
      <c r="B583" s="310" t="s">
        <v>115</v>
      </c>
      <c r="C583" s="311" t="s">
        <v>27</v>
      </c>
      <c r="D583" s="687"/>
      <c r="E583" s="688"/>
      <c r="F583" s="312" t="s">
        <v>4050</v>
      </c>
      <c r="G583" s="313">
        <v>44596</v>
      </c>
      <c r="H583" s="624"/>
      <c r="I583" s="625"/>
      <c r="J583" s="626"/>
      <c r="K583" s="627"/>
      <c r="L583" s="628"/>
      <c r="M583" s="629"/>
      <c r="N583" s="627"/>
      <c r="O583" s="628"/>
      <c r="P583" s="630"/>
      <c r="Q583" s="631"/>
      <c r="R583" s="715"/>
      <c r="S583" s="910"/>
      <c r="T583" s="632"/>
      <c r="U583" s="633"/>
      <c r="V583" s="634"/>
      <c r="W583" s="635"/>
      <c r="X583" s="636"/>
      <c r="Y583" s="637"/>
      <c r="Z583" s="725"/>
      <c r="AA583" s="636"/>
      <c r="AB583" s="1056"/>
      <c r="AC583" s="736" t="s">
        <v>4051</v>
      </c>
      <c r="AD583" s="317"/>
      <c r="AE583" s="669"/>
      <c r="AF583" s="718"/>
      <c r="AG583" s="211"/>
      <c r="AH583" s="210"/>
    </row>
    <row r="584" spans="1:34" s="4" customFormat="1">
      <c r="A584" s="2"/>
      <c r="B584" s="310" t="s">
        <v>115</v>
      </c>
      <c r="C584" s="311" t="s">
        <v>27</v>
      </c>
      <c r="D584" s="687"/>
      <c r="E584" s="688"/>
      <c r="F584" s="312" t="s">
        <v>4052</v>
      </c>
      <c r="G584" s="313">
        <v>44596</v>
      </c>
      <c r="H584" s="624"/>
      <c r="I584" s="625"/>
      <c r="J584" s="626"/>
      <c r="K584" s="627"/>
      <c r="L584" s="628"/>
      <c r="M584" s="629"/>
      <c r="N584" s="627"/>
      <c r="O584" s="628"/>
      <c r="P584" s="630"/>
      <c r="Q584" s="631"/>
      <c r="R584" s="715"/>
      <c r="S584" s="910"/>
      <c r="T584" s="632"/>
      <c r="U584" s="633"/>
      <c r="V584" s="634"/>
      <c r="W584" s="635"/>
      <c r="X584" s="636"/>
      <c r="Y584" s="637"/>
      <c r="Z584" s="725"/>
      <c r="AA584" s="636"/>
      <c r="AB584" s="1056"/>
      <c r="AC584" s="736" t="s">
        <v>4053</v>
      </c>
      <c r="AD584" s="317"/>
      <c r="AE584" s="669"/>
      <c r="AF584" s="718"/>
      <c r="AG584" s="211"/>
      <c r="AH584" s="210"/>
    </row>
    <row r="585" spans="1:34" s="4" customFormat="1">
      <c r="A585" s="2"/>
      <c r="B585" s="310" t="s">
        <v>115</v>
      </c>
      <c r="C585" s="311" t="s">
        <v>27</v>
      </c>
      <c r="D585" s="687"/>
      <c r="E585" s="688"/>
      <c r="F585" s="312" t="s">
        <v>4054</v>
      </c>
      <c r="G585" s="313">
        <v>44596</v>
      </c>
      <c r="H585" s="624"/>
      <c r="I585" s="625"/>
      <c r="J585" s="626"/>
      <c r="K585" s="627"/>
      <c r="L585" s="628"/>
      <c r="M585" s="629"/>
      <c r="N585" s="627"/>
      <c r="O585" s="628"/>
      <c r="P585" s="630"/>
      <c r="Q585" s="631"/>
      <c r="R585" s="715"/>
      <c r="S585" s="910"/>
      <c r="T585" s="632"/>
      <c r="U585" s="633"/>
      <c r="V585" s="634"/>
      <c r="W585" s="635"/>
      <c r="X585" s="636"/>
      <c r="Y585" s="637"/>
      <c r="Z585" s="725"/>
      <c r="AA585" s="636"/>
      <c r="AB585" s="1056"/>
      <c r="AC585" s="736" t="s">
        <v>4055</v>
      </c>
      <c r="AD585" s="317"/>
      <c r="AE585" s="669"/>
      <c r="AF585" s="704"/>
      <c r="AG585" s="211"/>
      <c r="AH585" s="210"/>
    </row>
    <row r="586" spans="1:34" s="4" customFormat="1">
      <c r="A586" s="2"/>
      <c r="B586" s="310" t="s">
        <v>115</v>
      </c>
      <c r="C586" s="311" t="s">
        <v>27</v>
      </c>
      <c r="D586" s="687"/>
      <c r="E586" s="688"/>
      <c r="F586" s="312" t="s">
        <v>4056</v>
      </c>
      <c r="G586" s="313">
        <v>44596</v>
      </c>
      <c r="H586" s="624"/>
      <c r="I586" s="625"/>
      <c r="J586" s="626"/>
      <c r="K586" s="627"/>
      <c r="L586" s="628"/>
      <c r="M586" s="629"/>
      <c r="N586" s="627"/>
      <c r="O586" s="628"/>
      <c r="P586" s="630"/>
      <c r="Q586" s="631"/>
      <c r="R586" s="715"/>
      <c r="S586" s="910"/>
      <c r="T586" s="632"/>
      <c r="U586" s="633"/>
      <c r="V586" s="634"/>
      <c r="W586" s="635"/>
      <c r="X586" s="636"/>
      <c r="Y586" s="637"/>
      <c r="Z586" s="725"/>
      <c r="AA586" s="636"/>
      <c r="AB586" s="1056"/>
      <c r="AC586" s="736" t="s">
        <v>4057</v>
      </c>
      <c r="AD586" s="317"/>
      <c r="AE586" s="669"/>
      <c r="AF586" s="704"/>
      <c r="AG586" s="211"/>
      <c r="AH586" s="210"/>
    </row>
    <row r="587" spans="1:34" s="4" customFormat="1">
      <c r="A587" s="2"/>
      <c r="B587" s="310" t="s">
        <v>115</v>
      </c>
      <c r="C587" s="311" t="s">
        <v>27</v>
      </c>
      <c r="D587" s="687"/>
      <c r="E587" s="688"/>
      <c r="F587" s="312" t="s">
        <v>4058</v>
      </c>
      <c r="G587" s="313">
        <v>44601</v>
      </c>
      <c r="H587" s="624"/>
      <c r="I587" s="625"/>
      <c r="J587" s="626"/>
      <c r="K587" s="627"/>
      <c r="L587" s="628"/>
      <c r="M587" s="629"/>
      <c r="N587" s="627"/>
      <c r="O587" s="628"/>
      <c r="P587" s="630"/>
      <c r="Q587" s="631"/>
      <c r="R587" s="715"/>
      <c r="S587" s="910"/>
      <c r="T587" s="632"/>
      <c r="U587" s="633"/>
      <c r="V587" s="634"/>
      <c r="W587" s="635"/>
      <c r="X587" s="636"/>
      <c r="Y587" s="637"/>
      <c r="Z587" s="725"/>
      <c r="AA587" s="636"/>
      <c r="AB587" s="1056"/>
      <c r="AC587" s="736" t="s">
        <v>4059</v>
      </c>
      <c r="AD587" s="317"/>
      <c r="AE587" s="669"/>
      <c r="AF587" s="718"/>
      <c r="AG587" s="211"/>
      <c r="AH587" s="210"/>
    </row>
    <row r="588" spans="1:34" s="4" customFormat="1">
      <c r="A588" s="2"/>
      <c r="B588" s="310" t="s">
        <v>106</v>
      </c>
      <c r="C588" s="311" t="s">
        <v>33</v>
      </c>
      <c r="D588" s="687" t="s">
        <v>4060</v>
      </c>
      <c r="E588" s="688"/>
      <c r="F588" s="312" t="s">
        <v>4061</v>
      </c>
      <c r="G588" s="313">
        <v>44601</v>
      </c>
      <c r="H588" s="624"/>
      <c r="I588" s="625"/>
      <c r="J588" s="626"/>
      <c r="K588" s="627" t="s">
        <v>4062</v>
      </c>
      <c r="L588" s="628">
        <v>44623</v>
      </c>
      <c r="M588" s="629">
        <v>6500</v>
      </c>
      <c r="N588" s="627" t="s">
        <v>4063</v>
      </c>
      <c r="O588" s="628">
        <v>44645</v>
      </c>
      <c r="P588" s="630" t="s">
        <v>4064</v>
      </c>
      <c r="Q588" s="631">
        <v>44664</v>
      </c>
      <c r="R588" s="715">
        <v>44679</v>
      </c>
      <c r="S588" s="1068"/>
      <c r="T588" s="632">
        <v>13226.09</v>
      </c>
      <c r="U588" s="633" t="s">
        <v>4065</v>
      </c>
      <c r="V588" s="634">
        <v>44684</v>
      </c>
      <c r="W588" s="635" t="s">
        <v>2302</v>
      </c>
      <c r="X588" s="636">
        <v>13226.09</v>
      </c>
      <c r="Y588" s="636">
        <v>13226.09</v>
      </c>
      <c r="Z588" s="733">
        <f>Y588/X588</f>
        <v>1</v>
      </c>
      <c r="AA588" s="919"/>
      <c r="AB588" s="1055">
        <v>0</v>
      </c>
      <c r="AC588" s="912" t="s">
        <v>4066</v>
      </c>
      <c r="AD588" s="913"/>
      <c r="AE588" s="669"/>
      <c r="AF588" s="704"/>
      <c r="AG588" s="211"/>
      <c r="AH588" s="210"/>
    </row>
    <row r="589" spans="1:34" s="4" customFormat="1">
      <c r="A589" s="2"/>
      <c r="B589" s="310" t="s">
        <v>115</v>
      </c>
      <c r="C589" s="311" t="s">
        <v>27</v>
      </c>
      <c r="D589" s="687"/>
      <c r="E589" s="688"/>
      <c r="F589" s="312" t="s">
        <v>4067</v>
      </c>
      <c r="G589" s="313">
        <v>44603</v>
      </c>
      <c r="H589" s="624"/>
      <c r="I589" s="625"/>
      <c r="J589" s="626"/>
      <c r="K589" s="627"/>
      <c r="L589" s="628"/>
      <c r="M589" s="629"/>
      <c r="N589" s="627"/>
      <c r="O589" s="628"/>
      <c r="P589" s="630"/>
      <c r="Q589" s="631"/>
      <c r="R589" s="715"/>
      <c r="S589" s="910"/>
      <c r="T589" s="632"/>
      <c r="U589" s="633"/>
      <c r="V589" s="634"/>
      <c r="W589" s="635"/>
      <c r="X589" s="636"/>
      <c r="Y589" s="637"/>
      <c r="Z589" s="725"/>
      <c r="AA589" s="636"/>
      <c r="AB589" s="1056"/>
      <c r="AC589" s="736" t="s">
        <v>4068</v>
      </c>
      <c r="AD589" s="317"/>
      <c r="AE589" s="669"/>
      <c r="AF589" s="718"/>
      <c r="AG589" s="211"/>
      <c r="AH589" s="210"/>
    </row>
    <row r="590" spans="1:34" s="4" customFormat="1">
      <c r="A590" s="2"/>
      <c r="B590" s="310" t="s">
        <v>106</v>
      </c>
      <c r="C590" s="311" t="s">
        <v>33</v>
      </c>
      <c r="D590" s="687" t="s">
        <v>4069</v>
      </c>
      <c r="E590" s="688"/>
      <c r="F590" s="312" t="s">
        <v>4070</v>
      </c>
      <c r="G590" s="313">
        <v>44603</v>
      </c>
      <c r="H590" s="624" t="s">
        <v>4071</v>
      </c>
      <c r="I590" s="625">
        <v>44713</v>
      </c>
      <c r="J590" s="626">
        <v>1136.75</v>
      </c>
      <c r="K590" s="629" t="s">
        <v>4072</v>
      </c>
      <c r="L590" s="628">
        <v>44644</v>
      </c>
      <c r="M590" s="629">
        <v>-10000</v>
      </c>
      <c r="N590" s="627" t="s">
        <v>4073</v>
      </c>
      <c r="O590" s="628">
        <v>44645</v>
      </c>
      <c r="P590" s="630" t="s">
        <v>4074</v>
      </c>
      <c r="Q590" s="631"/>
      <c r="R590" s="715"/>
      <c r="S590" s="1068"/>
      <c r="T590" s="632">
        <v>1136.75</v>
      </c>
      <c r="U590" s="633" t="s">
        <v>4075</v>
      </c>
      <c r="V590" s="634">
        <v>44722</v>
      </c>
      <c r="W590" s="635" t="s">
        <v>2302</v>
      </c>
      <c r="X590" s="636">
        <v>1136.75</v>
      </c>
      <c r="Y590" s="636">
        <v>1136.75</v>
      </c>
      <c r="Z590" s="733">
        <f>Y590/X590</f>
        <v>1</v>
      </c>
      <c r="AA590" s="636"/>
      <c r="AB590" s="1055">
        <v>0</v>
      </c>
      <c r="AC590" s="912" t="s">
        <v>4076</v>
      </c>
      <c r="AD590" s="913"/>
      <c r="AE590" s="669"/>
      <c r="AF590" s="704"/>
      <c r="AG590" s="211"/>
      <c r="AH590" s="210"/>
    </row>
    <row r="591" spans="1:34" s="4" customFormat="1">
      <c r="A591" s="2"/>
      <c r="B591" s="310" t="s">
        <v>106</v>
      </c>
      <c r="C591" s="311" t="s">
        <v>33</v>
      </c>
      <c r="D591" s="687" t="s">
        <v>4077</v>
      </c>
      <c r="E591" s="688"/>
      <c r="F591" s="312" t="s">
        <v>4078</v>
      </c>
      <c r="G591" s="313">
        <v>44603</v>
      </c>
      <c r="H591" s="624"/>
      <c r="I591" s="625"/>
      <c r="J591" s="626"/>
      <c r="K591" s="627" t="s">
        <v>4079</v>
      </c>
      <c r="L591" s="628">
        <v>44645</v>
      </c>
      <c r="M591" s="629">
        <v>4500</v>
      </c>
      <c r="N591" s="627" t="s">
        <v>4080</v>
      </c>
      <c r="O591" s="628">
        <v>44655</v>
      </c>
      <c r="P591" s="630" t="s">
        <v>4081</v>
      </c>
      <c r="Q591" s="631"/>
      <c r="R591" s="715"/>
      <c r="S591" s="1068"/>
      <c r="T591" s="632"/>
      <c r="U591" s="633" t="s">
        <v>4082</v>
      </c>
      <c r="V591" s="634">
        <v>44687</v>
      </c>
      <c r="W591" s="635" t="s">
        <v>2302</v>
      </c>
      <c r="X591" s="636">
        <v>24908.720000000001</v>
      </c>
      <c r="Y591" s="636">
        <v>24908.720000000001</v>
      </c>
      <c r="Z591" s="733">
        <f>Y591/X591</f>
        <v>1</v>
      </c>
      <c r="AA591" s="919"/>
      <c r="AB591" s="1055">
        <v>0</v>
      </c>
      <c r="AC591" s="912" t="s">
        <v>4083</v>
      </c>
      <c r="AD591" s="913"/>
      <c r="AE591" s="669"/>
      <c r="AF591" s="704"/>
      <c r="AG591" s="211"/>
      <c r="AH591" s="210"/>
    </row>
    <row r="592" spans="1:34" s="4" customFormat="1">
      <c r="A592" s="2"/>
      <c r="B592" s="310" t="s">
        <v>119</v>
      </c>
      <c r="C592" s="311" t="s">
        <v>27</v>
      </c>
      <c r="D592" s="687" t="s">
        <v>4084</v>
      </c>
      <c r="E592" s="688"/>
      <c r="F592" s="312" t="s">
        <v>4085</v>
      </c>
      <c r="G592" s="313">
        <v>44641</v>
      </c>
      <c r="H592" s="624"/>
      <c r="I592" s="625"/>
      <c r="J592" s="626"/>
      <c r="K592" s="627"/>
      <c r="L592" s="628"/>
      <c r="M592" s="629"/>
      <c r="N592" s="627"/>
      <c r="O592" s="628"/>
      <c r="P592" s="630"/>
      <c r="Q592" s="631"/>
      <c r="R592" s="715"/>
      <c r="S592" s="910"/>
      <c r="T592" s="632"/>
      <c r="U592" s="633"/>
      <c r="V592" s="634"/>
      <c r="W592" s="635"/>
      <c r="X592" s="636"/>
      <c r="Y592" s="637"/>
      <c r="Z592" s="725"/>
      <c r="AA592" s="636"/>
      <c r="AB592" s="1056"/>
      <c r="AC592" s="736"/>
      <c r="AD592" s="317"/>
      <c r="AE592" s="669"/>
      <c r="AF592" s="704"/>
      <c r="AG592" s="211"/>
      <c r="AH592" s="210"/>
    </row>
    <row r="593" spans="1:34" s="4" customFormat="1">
      <c r="A593" s="2"/>
      <c r="B593" s="310" t="s">
        <v>106</v>
      </c>
      <c r="C593" s="311" t="s">
        <v>33</v>
      </c>
      <c r="D593" s="687" t="s">
        <v>4086</v>
      </c>
      <c r="E593" s="688"/>
      <c r="F593" s="312" t="s">
        <v>4087</v>
      </c>
      <c r="G593" s="313">
        <v>44606</v>
      </c>
      <c r="H593" s="624"/>
      <c r="I593" s="625"/>
      <c r="J593" s="626"/>
      <c r="K593" s="627" t="s">
        <v>4088</v>
      </c>
      <c r="L593" s="628">
        <v>44699</v>
      </c>
      <c r="M593" s="629">
        <v>60000</v>
      </c>
      <c r="N593" s="627" t="s">
        <v>4089</v>
      </c>
      <c r="O593" s="628">
        <v>44699</v>
      </c>
      <c r="P593" s="630" t="s">
        <v>4090</v>
      </c>
      <c r="Q593" s="631">
        <v>44734</v>
      </c>
      <c r="R593" s="715">
        <v>44750</v>
      </c>
      <c r="S593" s="1068"/>
      <c r="T593" s="632">
        <v>105518.8</v>
      </c>
      <c r="U593" s="633" t="s">
        <v>4091</v>
      </c>
      <c r="V593" s="634">
        <v>44760</v>
      </c>
      <c r="W593" s="635" t="s">
        <v>2302</v>
      </c>
      <c r="X593" s="636">
        <v>105518.8</v>
      </c>
      <c r="Y593" s="636">
        <v>105518.8</v>
      </c>
      <c r="Z593" s="733">
        <f>Y593/X593</f>
        <v>1</v>
      </c>
      <c r="AA593" s="636"/>
      <c r="AB593" s="1055">
        <v>0</v>
      </c>
      <c r="AC593" s="912" t="s">
        <v>4092</v>
      </c>
      <c r="AD593" s="913"/>
      <c r="AE593" s="669"/>
      <c r="AF593" s="704"/>
      <c r="AG593" s="211"/>
      <c r="AH593" s="210"/>
    </row>
    <row r="594" spans="1:34" s="4" customFormat="1">
      <c r="A594" s="2"/>
      <c r="B594" s="310" t="s">
        <v>115</v>
      </c>
      <c r="C594" s="311" t="s">
        <v>27</v>
      </c>
      <c r="D594" s="687"/>
      <c r="E594" s="688"/>
      <c r="F594" s="312" t="s">
        <v>4093</v>
      </c>
      <c r="G594" s="313">
        <v>44606</v>
      </c>
      <c r="H594" s="624"/>
      <c r="I594" s="625"/>
      <c r="J594" s="626"/>
      <c r="K594" s="627"/>
      <c r="L594" s="628"/>
      <c r="M594" s="629"/>
      <c r="N594" s="627"/>
      <c r="O594" s="628"/>
      <c r="P594" s="630"/>
      <c r="Q594" s="631"/>
      <c r="R594" s="715"/>
      <c r="S594" s="910"/>
      <c r="T594" s="632"/>
      <c r="U594" s="633"/>
      <c r="V594" s="634"/>
      <c r="W594" s="635"/>
      <c r="X594" s="636"/>
      <c r="Y594" s="637"/>
      <c r="Z594" s="725"/>
      <c r="AA594" s="636"/>
      <c r="AB594" s="1056"/>
      <c r="AC594" s="736" t="s">
        <v>4094</v>
      </c>
      <c r="AD594" s="317"/>
      <c r="AE594" s="669"/>
      <c r="AF594" s="718"/>
      <c r="AG594" s="211"/>
      <c r="AH594" s="210"/>
    </row>
    <row r="595" spans="1:34" s="4" customFormat="1">
      <c r="A595" s="2"/>
      <c r="B595" s="310" t="s">
        <v>115</v>
      </c>
      <c r="C595" s="311" t="s">
        <v>27</v>
      </c>
      <c r="D595" s="687"/>
      <c r="E595" s="688"/>
      <c r="F595" s="312" t="s">
        <v>4095</v>
      </c>
      <c r="G595" s="313">
        <v>44606</v>
      </c>
      <c r="H595" s="624"/>
      <c r="I595" s="625"/>
      <c r="J595" s="626"/>
      <c r="K595" s="627"/>
      <c r="L595" s="628"/>
      <c r="M595" s="629"/>
      <c r="N595" s="627"/>
      <c r="O595" s="628"/>
      <c r="P595" s="630"/>
      <c r="Q595" s="631"/>
      <c r="R595" s="715"/>
      <c r="S595" s="910"/>
      <c r="T595" s="632"/>
      <c r="U595" s="633"/>
      <c r="V595" s="634"/>
      <c r="W595" s="635"/>
      <c r="X595" s="636"/>
      <c r="Y595" s="637"/>
      <c r="Z595" s="725"/>
      <c r="AA595" s="636"/>
      <c r="AB595" s="1056"/>
      <c r="AC595" s="736" t="s">
        <v>4096</v>
      </c>
      <c r="AD595" s="317"/>
      <c r="AE595" s="669"/>
      <c r="AF595" s="718"/>
      <c r="AG595" s="211"/>
      <c r="AH595" s="210"/>
    </row>
    <row r="596" spans="1:34" s="4" customFormat="1">
      <c r="A596" s="2"/>
      <c r="B596" s="310" t="s">
        <v>106</v>
      </c>
      <c r="C596" s="311" t="s">
        <v>33</v>
      </c>
      <c r="D596" s="687" t="s">
        <v>4097</v>
      </c>
      <c r="E596" s="688"/>
      <c r="F596" s="312" t="s">
        <v>4098</v>
      </c>
      <c r="G596" s="313">
        <v>44608</v>
      </c>
      <c r="H596" s="624" t="s">
        <v>4099</v>
      </c>
      <c r="I596" s="625">
        <v>44634</v>
      </c>
      <c r="J596" s="626">
        <v>103250</v>
      </c>
      <c r="K596" s="627" t="s">
        <v>4100</v>
      </c>
      <c r="L596" s="628">
        <v>44624</v>
      </c>
      <c r="M596" s="629">
        <v>200000</v>
      </c>
      <c r="N596" s="627" t="s">
        <v>4101</v>
      </c>
      <c r="O596" s="628">
        <v>44624</v>
      </c>
      <c r="P596" s="630" t="s">
        <v>4102</v>
      </c>
      <c r="Q596" s="631">
        <v>44721</v>
      </c>
      <c r="R596" s="715">
        <v>44736</v>
      </c>
      <c r="S596" s="1068">
        <v>1</v>
      </c>
      <c r="T596" s="632">
        <v>395770.33</v>
      </c>
      <c r="U596" s="633" t="s">
        <v>4103</v>
      </c>
      <c r="V596" s="634">
        <v>44728</v>
      </c>
      <c r="W596" s="635" t="s">
        <v>2302</v>
      </c>
      <c r="X596" s="636">
        <v>395770.33</v>
      </c>
      <c r="Y596" s="636">
        <v>395770.33</v>
      </c>
      <c r="Z596" s="733">
        <f>Y596/X596</f>
        <v>1</v>
      </c>
      <c r="AA596" s="636">
        <f>20000*1.15</f>
        <v>23000</v>
      </c>
      <c r="AB596" s="1055">
        <v>1</v>
      </c>
      <c r="AC596" s="912" t="s">
        <v>4104</v>
      </c>
      <c r="AD596" s="916" t="s">
        <v>4105</v>
      </c>
      <c r="AE596" s="669"/>
      <c r="AF596" s="704"/>
      <c r="AG596" s="211"/>
      <c r="AH596" s="210"/>
    </row>
    <row r="597" spans="1:34" s="4" customFormat="1">
      <c r="A597" s="2"/>
      <c r="B597" s="310" t="s">
        <v>115</v>
      </c>
      <c r="C597" s="311" t="s">
        <v>27</v>
      </c>
      <c r="D597" s="687"/>
      <c r="E597" s="688"/>
      <c r="F597" s="312" t="s">
        <v>4106</v>
      </c>
      <c r="G597" s="313">
        <v>44608</v>
      </c>
      <c r="H597" s="624"/>
      <c r="I597" s="625"/>
      <c r="J597" s="626"/>
      <c r="K597" s="627"/>
      <c r="L597" s="628"/>
      <c r="M597" s="629"/>
      <c r="N597" s="627"/>
      <c r="O597" s="628"/>
      <c r="P597" s="630"/>
      <c r="Q597" s="631"/>
      <c r="R597" s="715"/>
      <c r="S597" s="910"/>
      <c r="T597" s="632"/>
      <c r="U597" s="633"/>
      <c r="V597" s="634"/>
      <c r="W597" s="635"/>
      <c r="X597" s="636"/>
      <c r="Y597" s="637"/>
      <c r="Z597" s="725"/>
      <c r="AA597" s="636"/>
      <c r="AB597" s="1056"/>
      <c r="AC597" s="736" t="s">
        <v>4107</v>
      </c>
      <c r="AD597" s="317"/>
      <c r="AE597" s="669"/>
      <c r="AF597" s="718"/>
      <c r="AG597" s="211"/>
      <c r="AH597" s="210"/>
    </row>
    <row r="598" spans="1:34" s="4" customFormat="1">
      <c r="A598" s="2"/>
      <c r="B598" s="310" t="s">
        <v>115</v>
      </c>
      <c r="C598" s="311" t="s">
        <v>27</v>
      </c>
      <c r="D598" s="687"/>
      <c r="E598" s="688"/>
      <c r="F598" s="312" t="s">
        <v>4108</v>
      </c>
      <c r="G598" s="313">
        <v>44608</v>
      </c>
      <c r="H598" s="624"/>
      <c r="I598" s="625"/>
      <c r="J598" s="626"/>
      <c r="K598" s="627"/>
      <c r="L598" s="628"/>
      <c r="M598" s="629"/>
      <c r="N598" s="627"/>
      <c r="O598" s="628"/>
      <c r="P598" s="630"/>
      <c r="Q598" s="631"/>
      <c r="R598" s="715"/>
      <c r="S598" s="910"/>
      <c r="T598" s="632"/>
      <c r="U598" s="633"/>
      <c r="V598" s="634"/>
      <c r="W598" s="635"/>
      <c r="X598" s="636"/>
      <c r="Y598" s="637"/>
      <c r="Z598" s="921"/>
      <c r="AA598" s="636"/>
      <c r="AB598" s="1056"/>
      <c r="AC598" s="736" t="s">
        <v>4109</v>
      </c>
      <c r="AD598" s="317"/>
      <c r="AE598" s="669"/>
      <c r="AF598" s="718"/>
      <c r="AG598" s="211"/>
      <c r="AH598" s="210"/>
    </row>
    <row r="599" spans="1:34" s="4" customFormat="1">
      <c r="A599" s="2"/>
      <c r="B599" s="310" t="s">
        <v>106</v>
      </c>
      <c r="C599" s="311" t="s">
        <v>33</v>
      </c>
      <c r="D599" s="687" t="s">
        <v>4110</v>
      </c>
      <c r="E599" s="688"/>
      <c r="F599" s="312" t="s">
        <v>4111</v>
      </c>
      <c r="G599" s="313">
        <v>44608</v>
      </c>
      <c r="H599" s="624"/>
      <c r="I599" s="625"/>
      <c r="J599" s="626"/>
      <c r="K599" s="627" t="s">
        <v>4112</v>
      </c>
      <c r="L599" s="628">
        <v>44763</v>
      </c>
      <c r="M599" s="629">
        <v>45000</v>
      </c>
      <c r="N599" s="627" t="s">
        <v>4113</v>
      </c>
      <c r="O599" s="628">
        <v>44763</v>
      </c>
      <c r="P599" s="630" t="s">
        <v>4114</v>
      </c>
      <c r="Q599" s="631">
        <v>44847</v>
      </c>
      <c r="R599" s="715">
        <v>44860</v>
      </c>
      <c r="S599" s="1068"/>
      <c r="T599" s="632">
        <v>26687.43</v>
      </c>
      <c r="U599" s="633" t="s">
        <v>4115</v>
      </c>
      <c r="V599" s="634">
        <v>44848</v>
      </c>
      <c r="W599" s="635" t="s">
        <v>2302</v>
      </c>
      <c r="X599" s="636">
        <v>26687.43</v>
      </c>
      <c r="Y599" s="636">
        <v>26687.43</v>
      </c>
      <c r="Z599" s="733">
        <f>Y599/X599</f>
        <v>1</v>
      </c>
      <c r="AA599" s="636"/>
      <c r="AB599" s="1055">
        <v>0</v>
      </c>
      <c r="AC599" s="912" t="s">
        <v>4116</v>
      </c>
      <c r="AD599" s="913"/>
      <c r="AE599" s="669"/>
      <c r="AF599" s="704"/>
      <c r="AG599" s="211"/>
      <c r="AH599" s="210"/>
    </row>
    <row r="600" spans="1:34" s="4" customFormat="1">
      <c r="A600" s="2"/>
      <c r="B600" s="310" t="s">
        <v>106</v>
      </c>
      <c r="C600" s="311" t="s">
        <v>27</v>
      </c>
      <c r="D600" s="687"/>
      <c r="E600" s="688"/>
      <c r="F600" s="312" t="s">
        <v>4117</v>
      </c>
      <c r="G600" s="313">
        <v>44608</v>
      </c>
      <c r="H600" s="624"/>
      <c r="I600" s="625"/>
      <c r="J600" s="626"/>
      <c r="K600" s="627"/>
      <c r="L600" s="628"/>
      <c r="M600" s="629"/>
      <c r="N600" s="627"/>
      <c r="O600" s="628"/>
      <c r="P600" s="630"/>
      <c r="Q600" s="631"/>
      <c r="R600" s="715"/>
      <c r="S600" s="910"/>
      <c r="T600" s="632"/>
      <c r="U600" s="633"/>
      <c r="V600" s="634"/>
      <c r="W600" s="635"/>
      <c r="X600" s="636"/>
      <c r="Y600" s="637"/>
      <c r="Z600" s="921"/>
      <c r="AA600" s="636"/>
      <c r="AB600" s="1056"/>
      <c r="AC600" s="736" t="s">
        <v>4118</v>
      </c>
      <c r="AD600" s="317"/>
      <c r="AE600" s="669"/>
      <c r="AF600" s="718"/>
      <c r="AG600" s="211"/>
      <c r="AH600" s="210"/>
    </row>
    <row r="601" spans="1:34" s="4" customFormat="1">
      <c r="A601" s="2"/>
      <c r="B601" s="310" t="s">
        <v>106</v>
      </c>
      <c r="C601" s="311" t="s">
        <v>27</v>
      </c>
      <c r="D601" s="687"/>
      <c r="E601" s="688"/>
      <c r="F601" s="312" t="s">
        <v>4119</v>
      </c>
      <c r="G601" s="313">
        <v>44609</v>
      </c>
      <c r="H601" s="624"/>
      <c r="I601" s="625"/>
      <c r="J601" s="626"/>
      <c r="K601" s="627"/>
      <c r="L601" s="628"/>
      <c r="M601" s="629"/>
      <c r="N601" s="627"/>
      <c r="O601" s="628"/>
      <c r="P601" s="630"/>
      <c r="Q601" s="631"/>
      <c r="R601" s="715"/>
      <c r="S601" s="910"/>
      <c r="T601" s="632"/>
      <c r="U601" s="633"/>
      <c r="V601" s="634"/>
      <c r="W601" s="635"/>
      <c r="X601" s="636"/>
      <c r="Y601" s="637"/>
      <c r="Z601" s="921"/>
      <c r="AA601" s="636"/>
      <c r="AB601" s="1056"/>
      <c r="AC601" s="736" t="s">
        <v>4120</v>
      </c>
      <c r="AD601" s="317"/>
      <c r="AE601" s="669"/>
      <c r="AF601" s="718"/>
      <c r="AG601" s="211"/>
      <c r="AH601" s="210"/>
    </row>
    <row r="602" spans="1:34" s="4" customFormat="1">
      <c r="A602" s="2"/>
      <c r="B602" s="310" t="s">
        <v>106</v>
      </c>
      <c r="C602" s="311" t="s">
        <v>27</v>
      </c>
      <c r="D602" s="687"/>
      <c r="E602" s="688"/>
      <c r="F602" s="312" t="s">
        <v>4121</v>
      </c>
      <c r="G602" s="313">
        <v>44609</v>
      </c>
      <c r="H602" s="624"/>
      <c r="I602" s="625"/>
      <c r="J602" s="626"/>
      <c r="K602" s="627"/>
      <c r="L602" s="628"/>
      <c r="M602" s="629"/>
      <c r="N602" s="627"/>
      <c r="O602" s="628"/>
      <c r="P602" s="630"/>
      <c r="Q602" s="631"/>
      <c r="R602" s="715"/>
      <c r="S602" s="910"/>
      <c r="T602" s="632"/>
      <c r="U602" s="633"/>
      <c r="V602" s="634"/>
      <c r="W602" s="635"/>
      <c r="X602" s="636"/>
      <c r="Y602" s="637"/>
      <c r="Z602" s="921"/>
      <c r="AA602" s="636"/>
      <c r="AB602" s="1056"/>
      <c r="AC602" s="736" t="s">
        <v>4122</v>
      </c>
      <c r="AD602" s="317"/>
      <c r="AE602" s="669"/>
      <c r="AF602" s="718"/>
      <c r="AG602" s="211"/>
      <c r="AH602" s="210"/>
    </row>
    <row r="603" spans="1:34" s="4" customFormat="1">
      <c r="A603" s="2"/>
      <c r="B603" s="310" t="s">
        <v>106</v>
      </c>
      <c r="C603" s="311" t="s">
        <v>27</v>
      </c>
      <c r="D603" s="687"/>
      <c r="E603" s="688"/>
      <c r="F603" s="312" t="s">
        <v>4123</v>
      </c>
      <c r="G603" s="313">
        <v>44609</v>
      </c>
      <c r="H603" s="624"/>
      <c r="I603" s="625"/>
      <c r="J603" s="626"/>
      <c r="K603" s="627"/>
      <c r="L603" s="628"/>
      <c r="M603" s="629"/>
      <c r="N603" s="627"/>
      <c r="O603" s="628"/>
      <c r="P603" s="630"/>
      <c r="Q603" s="631"/>
      <c r="R603" s="715"/>
      <c r="S603" s="910"/>
      <c r="T603" s="632"/>
      <c r="U603" s="633"/>
      <c r="V603" s="634"/>
      <c r="W603" s="635"/>
      <c r="X603" s="636"/>
      <c r="Y603" s="637"/>
      <c r="Z603" s="921"/>
      <c r="AA603" s="636"/>
      <c r="AB603" s="1056"/>
      <c r="AC603" s="736" t="s">
        <v>4124</v>
      </c>
      <c r="AD603" s="317"/>
      <c r="AE603" s="669"/>
      <c r="AF603" s="704"/>
      <c r="AG603" s="211"/>
      <c r="AH603" s="210"/>
    </row>
    <row r="604" spans="1:34" s="4" customFormat="1">
      <c r="A604" s="2"/>
      <c r="B604" s="310" t="s">
        <v>106</v>
      </c>
      <c r="C604" s="311" t="s">
        <v>27</v>
      </c>
      <c r="D604" s="687"/>
      <c r="E604" s="688"/>
      <c r="F604" s="312" t="s">
        <v>4125</v>
      </c>
      <c r="G604" s="313">
        <v>44609</v>
      </c>
      <c r="H604" s="624"/>
      <c r="I604" s="625"/>
      <c r="J604" s="626"/>
      <c r="K604" s="627"/>
      <c r="L604" s="628"/>
      <c r="M604" s="629"/>
      <c r="N604" s="627"/>
      <c r="O604" s="628"/>
      <c r="P604" s="630"/>
      <c r="Q604" s="631"/>
      <c r="R604" s="715"/>
      <c r="S604" s="910"/>
      <c r="T604" s="632"/>
      <c r="U604" s="633"/>
      <c r="V604" s="634"/>
      <c r="W604" s="635"/>
      <c r="X604" s="636"/>
      <c r="Y604" s="637"/>
      <c r="Z604" s="921"/>
      <c r="AA604" s="636"/>
      <c r="AB604" s="1056"/>
      <c r="AC604" s="736" t="s">
        <v>4126</v>
      </c>
      <c r="AD604" s="317"/>
      <c r="AE604" s="669"/>
      <c r="AF604" s="704"/>
      <c r="AG604" s="211"/>
      <c r="AH604" s="210"/>
    </row>
    <row r="605" spans="1:34" s="4" customFormat="1">
      <c r="A605" s="2"/>
      <c r="B605" s="310" t="s">
        <v>106</v>
      </c>
      <c r="C605" s="311" t="s">
        <v>27</v>
      </c>
      <c r="D605" s="687"/>
      <c r="E605" s="688"/>
      <c r="F605" s="312" t="s">
        <v>4127</v>
      </c>
      <c r="G605" s="313">
        <v>44610</v>
      </c>
      <c r="H605" s="624"/>
      <c r="I605" s="625"/>
      <c r="J605" s="626"/>
      <c r="K605" s="627"/>
      <c r="L605" s="628"/>
      <c r="M605" s="629"/>
      <c r="N605" s="627"/>
      <c r="O605" s="628"/>
      <c r="P605" s="630"/>
      <c r="Q605" s="631"/>
      <c r="R605" s="715"/>
      <c r="S605" s="910"/>
      <c r="T605" s="632"/>
      <c r="U605" s="633"/>
      <c r="V605" s="634"/>
      <c r="W605" s="635"/>
      <c r="X605" s="636"/>
      <c r="Y605" s="637"/>
      <c r="Z605" s="921"/>
      <c r="AA605" s="636"/>
      <c r="AB605" s="1056"/>
      <c r="AC605" s="736" t="s">
        <v>4128</v>
      </c>
      <c r="AD605" s="317"/>
      <c r="AE605" s="669"/>
      <c r="AF605" s="718"/>
      <c r="AG605" s="211"/>
      <c r="AH605" s="210"/>
    </row>
    <row r="606" spans="1:34" s="4" customFormat="1">
      <c r="A606" s="2"/>
      <c r="B606" s="310" t="s">
        <v>106</v>
      </c>
      <c r="C606" s="311" t="s">
        <v>33</v>
      </c>
      <c r="D606" s="687" t="s">
        <v>4129</v>
      </c>
      <c r="E606" s="688"/>
      <c r="F606" s="312" t="s">
        <v>4130</v>
      </c>
      <c r="G606" s="313">
        <v>44615</v>
      </c>
      <c r="H606" s="624"/>
      <c r="I606" s="625"/>
      <c r="J606" s="626"/>
      <c r="K606" s="627" t="s">
        <v>4131</v>
      </c>
      <c r="L606" s="628">
        <v>44693</v>
      </c>
      <c r="M606" s="629">
        <v>6000</v>
      </c>
      <c r="N606" s="627" t="s">
        <v>4132</v>
      </c>
      <c r="O606" s="628">
        <v>44693</v>
      </c>
      <c r="P606" s="630" t="s">
        <v>4133</v>
      </c>
      <c r="Q606" s="631">
        <v>44726</v>
      </c>
      <c r="R606" s="715">
        <v>44768</v>
      </c>
      <c r="S606" s="1068"/>
      <c r="T606" s="1074">
        <v>29833.49</v>
      </c>
      <c r="U606" s="633" t="s">
        <v>4134</v>
      </c>
      <c r="V606" s="634">
        <v>44788</v>
      </c>
      <c r="W606" s="635" t="s">
        <v>2302</v>
      </c>
      <c r="X606" s="636">
        <v>29833.49</v>
      </c>
      <c r="Y606" s="636">
        <v>29833.49</v>
      </c>
      <c r="Z606" s="733">
        <f>Y606/X606</f>
        <v>1</v>
      </c>
      <c r="AA606" s="636"/>
      <c r="AB606" s="1055">
        <v>0</v>
      </c>
      <c r="AC606" s="912" t="s">
        <v>4129</v>
      </c>
      <c r="AD606" s="913"/>
      <c r="AE606" s="669"/>
      <c r="AF606" s="704"/>
      <c r="AG606" s="211"/>
      <c r="AH606" s="210"/>
    </row>
    <row r="607" spans="1:34" s="4" customFormat="1">
      <c r="A607" s="2"/>
      <c r="B607" s="310" t="s">
        <v>106</v>
      </c>
      <c r="C607" s="311" t="s">
        <v>33</v>
      </c>
      <c r="D607" s="687" t="s">
        <v>4135</v>
      </c>
      <c r="E607" s="688"/>
      <c r="F607" s="312" t="s">
        <v>4136</v>
      </c>
      <c r="G607" s="313">
        <v>44615</v>
      </c>
      <c r="H607" s="624"/>
      <c r="I607" s="625"/>
      <c r="J607" s="626"/>
      <c r="K607" s="627" t="s">
        <v>4137</v>
      </c>
      <c r="L607" s="628">
        <v>44651</v>
      </c>
      <c r="M607" s="629">
        <v>6000</v>
      </c>
      <c r="N607" s="627" t="s">
        <v>4138</v>
      </c>
      <c r="O607" s="628">
        <v>44651</v>
      </c>
      <c r="P607" s="630" t="s">
        <v>4139</v>
      </c>
      <c r="Q607" s="631"/>
      <c r="R607" s="715"/>
      <c r="S607" s="1068"/>
      <c r="T607" s="632"/>
      <c r="U607" s="633" t="s">
        <v>4140</v>
      </c>
      <c r="V607" s="634">
        <v>44690</v>
      </c>
      <c r="W607" s="635" t="s">
        <v>2302</v>
      </c>
      <c r="X607" s="636">
        <v>10062.93</v>
      </c>
      <c r="Y607" s="636">
        <v>10062.93</v>
      </c>
      <c r="Z607" s="987">
        <f>Y607/X607</f>
        <v>1</v>
      </c>
      <c r="AA607" s="919"/>
      <c r="AB607" s="1055">
        <v>0</v>
      </c>
      <c r="AC607" s="912" t="s">
        <v>4141</v>
      </c>
      <c r="AD607" s="913"/>
      <c r="AE607" s="669"/>
      <c r="AF607" s="704"/>
      <c r="AG607" s="211"/>
      <c r="AH607" s="210"/>
    </row>
    <row r="608" spans="1:34" s="4" customFormat="1">
      <c r="A608" s="2"/>
      <c r="B608" s="310" t="s">
        <v>115</v>
      </c>
      <c r="C608" s="311" t="s">
        <v>27</v>
      </c>
      <c r="D608" s="687"/>
      <c r="E608" s="688"/>
      <c r="F608" s="312" t="s">
        <v>4142</v>
      </c>
      <c r="G608" s="313">
        <v>44615</v>
      </c>
      <c r="H608" s="624"/>
      <c r="I608" s="625"/>
      <c r="J608" s="626"/>
      <c r="K608" s="627"/>
      <c r="L608" s="628"/>
      <c r="M608" s="629"/>
      <c r="N608" s="627"/>
      <c r="O608" s="628"/>
      <c r="P608" s="630"/>
      <c r="Q608" s="631"/>
      <c r="R608" s="715"/>
      <c r="S608" s="910"/>
      <c r="T608" s="632"/>
      <c r="U608" s="633"/>
      <c r="V608" s="634"/>
      <c r="W608" s="635"/>
      <c r="X608" s="636"/>
      <c r="Y608" s="637"/>
      <c r="Z608" s="921"/>
      <c r="AA608" s="636"/>
      <c r="AB608" s="1056"/>
      <c r="AC608" s="736" t="s">
        <v>4143</v>
      </c>
      <c r="AD608" s="317"/>
      <c r="AE608" s="669"/>
      <c r="AF608" s="718"/>
      <c r="AG608" s="211"/>
      <c r="AH608" s="210"/>
    </row>
    <row r="609" spans="1:34" s="4" customFormat="1">
      <c r="A609" s="2"/>
      <c r="B609" s="310" t="s">
        <v>106</v>
      </c>
      <c r="C609" s="311" t="s">
        <v>33</v>
      </c>
      <c r="D609" s="687" t="s">
        <v>4144</v>
      </c>
      <c r="E609" s="688"/>
      <c r="F609" s="312"/>
      <c r="G609" s="313"/>
      <c r="H609" s="624"/>
      <c r="I609" s="625"/>
      <c r="J609" s="626"/>
      <c r="K609" s="627" t="s">
        <v>4145</v>
      </c>
      <c r="L609" s="628">
        <v>44595</v>
      </c>
      <c r="M609" s="629">
        <v>-30000</v>
      </c>
      <c r="N609" s="627" t="s">
        <v>4146</v>
      </c>
      <c r="O609" s="628">
        <v>44595</v>
      </c>
      <c r="P609" s="630" t="s">
        <v>4147</v>
      </c>
      <c r="Q609" s="631">
        <v>44607</v>
      </c>
      <c r="R609" s="715"/>
      <c r="S609" s="1068"/>
      <c r="T609" s="632">
        <v>-9378.5400000000009</v>
      </c>
      <c r="U609" s="633" t="s">
        <v>4148</v>
      </c>
      <c r="V609" s="634">
        <v>44620</v>
      </c>
      <c r="W609" s="635" t="s">
        <v>2302</v>
      </c>
      <c r="X609" s="636">
        <v>-9378.5400000000009</v>
      </c>
      <c r="Y609" s="636">
        <v>-9378.5400000000009</v>
      </c>
      <c r="Z609" s="987">
        <f t="shared" ref="Z609:Z611" si="30">Y609/X609</f>
        <v>1</v>
      </c>
      <c r="AA609" s="919"/>
      <c r="AB609" s="1055">
        <v>0</v>
      </c>
      <c r="AC609" s="912" t="s">
        <v>4149</v>
      </c>
      <c r="AD609" s="913"/>
      <c r="AE609" s="669"/>
      <c r="AF609" s="704"/>
      <c r="AG609" s="211"/>
      <c r="AH609" s="210"/>
    </row>
    <row r="610" spans="1:34" s="4" customFormat="1">
      <c r="A610" s="2"/>
      <c r="B610" s="310" t="s">
        <v>106</v>
      </c>
      <c r="C610" s="311" t="s">
        <v>33</v>
      </c>
      <c r="D610" s="687" t="s">
        <v>4150</v>
      </c>
      <c r="E610" s="688"/>
      <c r="F610" s="312"/>
      <c r="G610" s="313"/>
      <c r="H610" s="624"/>
      <c r="I610" s="625"/>
      <c r="J610" s="626"/>
      <c r="K610" s="627" t="s">
        <v>4151</v>
      </c>
      <c r="L610" s="628">
        <v>44606</v>
      </c>
      <c r="M610" s="629">
        <v>-6500</v>
      </c>
      <c r="N610" s="627" t="s">
        <v>4152</v>
      </c>
      <c r="O610" s="628">
        <v>44607</v>
      </c>
      <c r="P610" s="630" t="s">
        <v>4153</v>
      </c>
      <c r="Q610" s="631">
        <v>44622</v>
      </c>
      <c r="R610" s="715"/>
      <c r="S610" s="1068"/>
      <c r="T610" s="632">
        <v>976.85</v>
      </c>
      <c r="U610" s="633" t="s">
        <v>4154</v>
      </c>
      <c r="V610" s="634">
        <v>44638</v>
      </c>
      <c r="W610" s="635" t="s">
        <v>101</v>
      </c>
      <c r="X610" s="636">
        <v>976.85</v>
      </c>
      <c r="Y610" s="636">
        <v>976.85</v>
      </c>
      <c r="Z610" s="987">
        <f t="shared" si="30"/>
        <v>1</v>
      </c>
      <c r="AA610" s="919"/>
      <c r="AB610" s="1055">
        <v>0</v>
      </c>
      <c r="AC610" s="912"/>
      <c r="AD610" s="913"/>
      <c r="AE610" s="669"/>
      <c r="AF610" s="704"/>
      <c r="AG610" s="211"/>
      <c r="AH610" s="210"/>
    </row>
    <row r="611" spans="1:34" s="4" customFormat="1">
      <c r="A611" s="2"/>
      <c r="B611" s="310" t="s">
        <v>106</v>
      </c>
      <c r="C611" s="311" t="s">
        <v>33</v>
      </c>
      <c r="D611" s="687" t="s">
        <v>4155</v>
      </c>
      <c r="E611" s="688"/>
      <c r="F611" s="312"/>
      <c r="G611" s="313"/>
      <c r="H611" s="624"/>
      <c r="I611" s="625"/>
      <c r="J611" s="626"/>
      <c r="K611" s="627" t="s">
        <v>4156</v>
      </c>
      <c r="L611" s="628">
        <v>44615</v>
      </c>
      <c r="M611" s="629">
        <v>5000</v>
      </c>
      <c r="N611" s="627" t="s">
        <v>4157</v>
      </c>
      <c r="O611" s="628">
        <v>44615</v>
      </c>
      <c r="P611" s="630" t="s">
        <v>4158</v>
      </c>
      <c r="Q611" s="631">
        <v>44645</v>
      </c>
      <c r="R611" s="715"/>
      <c r="S611" s="1068"/>
      <c r="T611" s="632">
        <v>19852.72</v>
      </c>
      <c r="U611" s="633" t="s">
        <v>4159</v>
      </c>
      <c r="V611" s="634">
        <v>44673</v>
      </c>
      <c r="W611" s="635" t="s">
        <v>2302</v>
      </c>
      <c r="X611" s="636">
        <v>19852.72</v>
      </c>
      <c r="Y611" s="636">
        <v>19852.72</v>
      </c>
      <c r="Z611" s="987">
        <f t="shared" si="30"/>
        <v>1</v>
      </c>
      <c r="AA611" s="919"/>
      <c r="AB611" s="1055">
        <v>0</v>
      </c>
      <c r="AC611" s="912"/>
      <c r="AD611" s="913" t="s">
        <v>4160</v>
      </c>
      <c r="AE611" s="669"/>
      <c r="AF611" s="704"/>
      <c r="AG611" s="211"/>
      <c r="AH611" s="210"/>
    </row>
    <row r="612" spans="1:34" s="4" customFormat="1">
      <c r="A612" s="2"/>
      <c r="B612" s="310"/>
      <c r="C612" s="311"/>
      <c r="D612" s="687"/>
      <c r="E612" s="688"/>
      <c r="F612" s="312"/>
      <c r="G612" s="313"/>
      <c r="H612" s="624"/>
      <c r="I612" s="625"/>
      <c r="J612" s="626"/>
      <c r="K612" s="627"/>
      <c r="L612" s="628"/>
      <c r="M612" s="629"/>
      <c r="N612" s="627"/>
      <c r="O612" s="628"/>
      <c r="P612" s="630"/>
      <c r="Q612" s="631"/>
      <c r="R612" s="715"/>
      <c r="S612" s="910"/>
      <c r="T612" s="632"/>
      <c r="U612" s="633"/>
      <c r="V612" s="634"/>
      <c r="W612" s="635" t="s">
        <v>2302</v>
      </c>
      <c r="X612" s="636"/>
      <c r="Y612" s="637"/>
      <c r="Z612" s="921"/>
      <c r="AA612" s="636"/>
      <c r="AB612" s="1056"/>
      <c r="AC612" s="736"/>
      <c r="AD612" s="317" t="s">
        <v>4161</v>
      </c>
      <c r="AE612" s="669"/>
      <c r="AF612" s="704"/>
      <c r="AG612" s="211"/>
      <c r="AH612" s="210"/>
    </row>
    <row r="613" spans="1:34" s="4" customFormat="1">
      <c r="A613" s="2"/>
      <c r="B613" s="310" t="s">
        <v>119</v>
      </c>
      <c r="C613" s="311" t="s">
        <v>27</v>
      </c>
      <c r="D613" s="687" t="s">
        <v>4162</v>
      </c>
      <c r="E613" s="688"/>
      <c r="F613" s="312" t="s">
        <v>4163</v>
      </c>
      <c r="G613" s="313">
        <v>44517</v>
      </c>
      <c r="H613" s="624"/>
      <c r="I613" s="625"/>
      <c r="J613" s="626"/>
      <c r="K613" s="627"/>
      <c r="L613" s="628"/>
      <c r="M613" s="629"/>
      <c r="N613" s="627"/>
      <c r="O613" s="628"/>
      <c r="P613" s="630"/>
      <c r="Q613" s="631"/>
      <c r="R613" s="715"/>
      <c r="S613" s="910"/>
      <c r="T613" s="632"/>
      <c r="U613" s="633"/>
      <c r="V613" s="634"/>
      <c r="W613" s="635"/>
      <c r="X613" s="636"/>
      <c r="Y613" s="637"/>
      <c r="Z613" s="921"/>
      <c r="AA613" s="636"/>
      <c r="AB613" s="1056"/>
      <c r="AC613" s="736"/>
      <c r="AD613" s="317"/>
      <c r="AE613" s="669"/>
      <c r="AF613" s="704"/>
      <c r="AG613" s="211"/>
      <c r="AH613" s="210"/>
    </row>
    <row r="614" spans="1:34" s="4" customFormat="1">
      <c r="A614" s="2"/>
      <c r="B614" s="310" t="s">
        <v>119</v>
      </c>
      <c r="C614" s="311" t="s">
        <v>27</v>
      </c>
      <c r="D614" s="687" t="s">
        <v>4164</v>
      </c>
      <c r="E614" s="688"/>
      <c r="F614" s="312" t="s">
        <v>4165</v>
      </c>
      <c r="G614" s="313"/>
      <c r="H614" s="624"/>
      <c r="I614" s="625"/>
      <c r="J614" s="626"/>
      <c r="K614" s="627"/>
      <c r="L614" s="628"/>
      <c r="M614" s="629"/>
      <c r="N614" s="627"/>
      <c r="O614" s="628"/>
      <c r="P614" s="630"/>
      <c r="Q614" s="631"/>
      <c r="R614" s="715"/>
      <c r="S614" s="910"/>
      <c r="T614" s="632"/>
      <c r="U614" s="633"/>
      <c r="V614" s="634"/>
      <c r="W614" s="635"/>
      <c r="X614" s="636"/>
      <c r="Y614" s="637"/>
      <c r="Z614" s="921"/>
      <c r="AA614" s="636"/>
      <c r="AB614" s="1056"/>
      <c r="AC614" s="736"/>
      <c r="AD614" s="317"/>
      <c r="AE614" s="669"/>
      <c r="AF614" s="704"/>
      <c r="AG614" s="211"/>
      <c r="AH614" s="210"/>
    </row>
    <row r="615" spans="1:34" s="4" customFormat="1">
      <c r="A615" s="2"/>
      <c r="B615" s="310" t="s">
        <v>119</v>
      </c>
      <c r="C615" s="311" t="s">
        <v>27</v>
      </c>
      <c r="D615" s="687" t="s">
        <v>4166</v>
      </c>
      <c r="E615" s="688"/>
      <c r="F615" s="312" t="s">
        <v>4167</v>
      </c>
      <c r="G615" s="313"/>
      <c r="H615" s="624"/>
      <c r="I615" s="625"/>
      <c r="J615" s="626"/>
      <c r="K615" s="627"/>
      <c r="L615" s="628"/>
      <c r="M615" s="629"/>
      <c r="N615" s="627"/>
      <c r="O615" s="628"/>
      <c r="P615" s="630"/>
      <c r="Q615" s="631"/>
      <c r="R615" s="715"/>
      <c r="S615" s="910"/>
      <c r="T615" s="632"/>
      <c r="U615" s="633"/>
      <c r="V615" s="634"/>
      <c r="W615" s="635"/>
      <c r="X615" s="636"/>
      <c r="Y615" s="637"/>
      <c r="Z615" s="921"/>
      <c r="AA615" s="636"/>
      <c r="AB615" s="1056"/>
      <c r="AC615" s="736"/>
      <c r="AD615" s="317"/>
      <c r="AE615" s="669"/>
      <c r="AF615" s="704"/>
      <c r="AG615" s="211"/>
      <c r="AH615" s="210"/>
    </row>
    <row r="616" spans="1:34" s="4" customFormat="1">
      <c r="A616" s="2"/>
      <c r="B616" s="310" t="s">
        <v>119</v>
      </c>
      <c r="C616" s="311" t="s">
        <v>27</v>
      </c>
      <c r="D616" s="687" t="s">
        <v>4168</v>
      </c>
      <c r="E616" s="688"/>
      <c r="F616" s="312" t="s">
        <v>4169</v>
      </c>
      <c r="G616" s="313"/>
      <c r="H616" s="624"/>
      <c r="I616" s="625"/>
      <c r="J616" s="626"/>
      <c r="K616" s="627"/>
      <c r="L616" s="628"/>
      <c r="M616" s="629"/>
      <c r="N616" s="627"/>
      <c r="O616" s="628"/>
      <c r="P616" s="630"/>
      <c r="Q616" s="631"/>
      <c r="R616" s="715"/>
      <c r="S616" s="910"/>
      <c r="T616" s="632"/>
      <c r="U616" s="633"/>
      <c r="V616" s="634"/>
      <c r="W616" s="635"/>
      <c r="X616" s="636"/>
      <c r="Y616" s="637"/>
      <c r="Z616" s="921"/>
      <c r="AA616" s="636"/>
      <c r="AB616" s="1056"/>
      <c r="AC616" s="736"/>
      <c r="AD616" s="317"/>
      <c r="AE616" s="669"/>
      <c r="AF616" s="704"/>
      <c r="AG616" s="211"/>
      <c r="AH616" s="210"/>
    </row>
    <row r="617" spans="1:34" s="4" customFormat="1">
      <c r="A617" s="2"/>
      <c r="B617" s="310" t="s">
        <v>119</v>
      </c>
      <c r="C617" s="311" t="s">
        <v>27</v>
      </c>
      <c r="D617" s="687" t="s">
        <v>4170</v>
      </c>
      <c r="E617" s="688"/>
      <c r="F617" s="312" t="s">
        <v>4171</v>
      </c>
      <c r="G617" s="313"/>
      <c r="H617" s="624"/>
      <c r="I617" s="625"/>
      <c r="J617" s="626"/>
      <c r="K617" s="627"/>
      <c r="L617" s="628"/>
      <c r="M617" s="629"/>
      <c r="N617" s="627"/>
      <c r="O617" s="628"/>
      <c r="P617" s="630"/>
      <c r="Q617" s="631"/>
      <c r="R617" s="715"/>
      <c r="S617" s="910"/>
      <c r="T617" s="632"/>
      <c r="U617" s="633"/>
      <c r="V617" s="634"/>
      <c r="W617" s="635"/>
      <c r="X617" s="636"/>
      <c r="Y617" s="637"/>
      <c r="Z617" s="921"/>
      <c r="AA617" s="636"/>
      <c r="AB617" s="1056"/>
      <c r="AC617" s="736"/>
      <c r="AD617" s="317"/>
      <c r="AE617" s="669"/>
      <c r="AF617" s="704"/>
      <c r="AG617" s="211"/>
      <c r="AH617" s="210"/>
    </row>
    <row r="618" spans="1:34" s="4" customFormat="1">
      <c r="A618" s="2"/>
      <c r="B618" s="310" t="s">
        <v>119</v>
      </c>
      <c r="C618" s="311" t="s">
        <v>27</v>
      </c>
      <c r="D618" s="687" t="s">
        <v>4172</v>
      </c>
      <c r="E618" s="688"/>
      <c r="F618" s="312" t="s">
        <v>4173</v>
      </c>
      <c r="G618" s="313"/>
      <c r="H618" s="624"/>
      <c r="I618" s="625"/>
      <c r="J618" s="626"/>
      <c r="K618" s="627"/>
      <c r="L618" s="628"/>
      <c r="M618" s="629"/>
      <c r="N618" s="627"/>
      <c r="O618" s="628"/>
      <c r="P618" s="630"/>
      <c r="Q618" s="631"/>
      <c r="R618" s="715"/>
      <c r="S618" s="910"/>
      <c r="T618" s="632"/>
      <c r="U618" s="633"/>
      <c r="V618" s="634"/>
      <c r="W618" s="635"/>
      <c r="X618" s="636"/>
      <c r="Y618" s="637"/>
      <c r="Z618" s="921"/>
      <c r="AA618" s="636"/>
      <c r="AB618" s="1056"/>
      <c r="AC618" s="736"/>
      <c r="AD618" s="317"/>
      <c r="AE618" s="669"/>
      <c r="AF618" s="704"/>
      <c r="AG618" s="211"/>
      <c r="AH618" s="210"/>
    </row>
    <row r="619" spans="1:34" s="4" customFormat="1">
      <c r="A619" s="2"/>
      <c r="B619" s="310" t="s">
        <v>119</v>
      </c>
      <c r="C619" s="311" t="s">
        <v>27</v>
      </c>
      <c r="D619" s="687" t="s">
        <v>4174</v>
      </c>
      <c r="E619" s="688"/>
      <c r="F619" s="312" t="s">
        <v>4175</v>
      </c>
      <c r="G619" s="313"/>
      <c r="H619" s="624"/>
      <c r="I619" s="625"/>
      <c r="J619" s="626"/>
      <c r="K619" s="627"/>
      <c r="L619" s="628"/>
      <c r="M619" s="629"/>
      <c r="N619" s="627"/>
      <c r="O619" s="628"/>
      <c r="P619" s="630"/>
      <c r="Q619" s="631"/>
      <c r="R619" s="715"/>
      <c r="S619" s="910"/>
      <c r="T619" s="632"/>
      <c r="U619" s="633"/>
      <c r="V619" s="634"/>
      <c r="W619" s="635"/>
      <c r="X619" s="636"/>
      <c r="Y619" s="637"/>
      <c r="Z619" s="921"/>
      <c r="AA619" s="636"/>
      <c r="AB619" s="1056"/>
      <c r="AC619" s="736"/>
      <c r="AD619" s="317"/>
      <c r="AE619" s="669"/>
      <c r="AF619" s="704"/>
      <c r="AG619" s="211"/>
      <c r="AH619" s="210"/>
    </row>
    <row r="620" spans="1:34" s="4" customFormat="1">
      <c r="A620" s="2"/>
      <c r="B620" s="310" t="s">
        <v>119</v>
      </c>
      <c r="C620" s="311" t="s">
        <v>27</v>
      </c>
      <c r="D620" s="687" t="s">
        <v>4176</v>
      </c>
      <c r="E620" s="688"/>
      <c r="F620" s="312" t="s">
        <v>4177</v>
      </c>
      <c r="G620" s="313"/>
      <c r="H620" s="624"/>
      <c r="I620" s="625"/>
      <c r="J620" s="626"/>
      <c r="K620" s="627"/>
      <c r="L620" s="628"/>
      <c r="M620" s="629"/>
      <c r="N620" s="627"/>
      <c r="O620" s="628"/>
      <c r="P620" s="630"/>
      <c r="Q620" s="631"/>
      <c r="R620" s="715"/>
      <c r="S620" s="910"/>
      <c r="T620" s="632"/>
      <c r="U620" s="633"/>
      <c r="V620" s="634"/>
      <c r="W620" s="635"/>
      <c r="X620" s="636"/>
      <c r="Y620" s="637"/>
      <c r="Z620" s="921"/>
      <c r="AA620" s="636"/>
      <c r="AB620" s="1056"/>
      <c r="AC620" s="736"/>
      <c r="AD620" s="317"/>
      <c r="AE620" s="669"/>
      <c r="AF620" s="704"/>
      <c r="AG620" s="211"/>
      <c r="AH620" s="210"/>
    </row>
    <row r="621" spans="1:34" s="4" customFormat="1">
      <c r="A621" s="2"/>
      <c r="B621" s="310" t="s">
        <v>119</v>
      </c>
      <c r="C621" s="311" t="s">
        <v>27</v>
      </c>
      <c r="D621" s="687" t="s">
        <v>4178</v>
      </c>
      <c r="E621" s="688"/>
      <c r="F621" s="312" t="s">
        <v>4179</v>
      </c>
      <c r="G621" s="313"/>
      <c r="H621" s="624"/>
      <c r="I621" s="625"/>
      <c r="J621" s="626"/>
      <c r="K621" s="627"/>
      <c r="L621" s="628"/>
      <c r="M621" s="629"/>
      <c r="N621" s="627"/>
      <c r="O621" s="628"/>
      <c r="P621" s="630"/>
      <c r="Q621" s="631"/>
      <c r="R621" s="715"/>
      <c r="S621" s="910"/>
      <c r="T621" s="632"/>
      <c r="U621" s="633"/>
      <c r="V621" s="634"/>
      <c r="W621" s="635"/>
      <c r="X621" s="636"/>
      <c r="Y621" s="637"/>
      <c r="Z621" s="921"/>
      <c r="AA621" s="636"/>
      <c r="AB621" s="1056"/>
      <c r="AC621" s="736"/>
      <c r="AD621" s="317"/>
      <c r="AE621" s="669"/>
      <c r="AF621" s="704"/>
      <c r="AG621" s="211"/>
      <c r="AH621" s="210"/>
    </row>
    <row r="622" spans="1:34" s="4" customFormat="1">
      <c r="A622" s="2"/>
      <c r="B622" s="310" t="s">
        <v>119</v>
      </c>
      <c r="C622" s="311" t="s">
        <v>27</v>
      </c>
      <c r="D622" s="687" t="s">
        <v>4180</v>
      </c>
      <c r="E622" s="688"/>
      <c r="F622" s="312" t="s">
        <v>4181</v>
      </c>
      <c r="G622" s="313"/>
      <c r="H622" s="624"/>
      <c r="I622" s="625"/>
      <c r="J622" s="626"/>
      <c r="K622" s="627"/>
      <c r="L622" s="628"/>
      <c r="M622" s="629"/>
      <c r="N622" s="627"/>
      <c r="O622" s="628"/>
      <c r="P622" s="630"/>
      <c r="Q622" s="631"/>
      <c r="R622" s="715"/>
      <c r="S622" s="910"/>
      <c r="T622" s="632"/>
      <c r="U622" s="633"/>
      <c r="V622" s="634"/>
      <c r="W622" s="635"/>
      <c r="X622" s="636"/>
      <c r="Y622" s="637"/>
      <c r="Z622" s="921"/>
      <c r="AA622" s="636"/>
      <c r="AB622" s="1056"/>
      <c r="AC622" s="736"/>
      <c r="AD622" s="317"/>
      <c r="AE622" s="669"/>
      <c r="AF622" s="704"/>
      <c r="AG622" s="211"/>
      <c r="AH622" s="210"/>
    </row>
    <row r="623" spans="1:34" s="4" customFormat="1">
      <c r="A623" s="2"/>
      <c r="B623" s="310" t="s">
        <v>119</v>
      </c>
      <c r="C623" s="311" t="s">
        <v>27</v>
      </c>
      <c r="D623" s="687" t="s">
        <v>4182</v>
      </c>
      <c r="E623" s="688"/>
      <c r="F623" s="312" t="s">
        <v>4183</v>
      </c>
      <c r="G623" s="313"/>
      <c r="H623" s="624"/>
      <c r="I623" s="625"/>
      <c r="J623" s="626"/>
      <c r="K623" s="627"/>
      <c r="L623" s="628"/>
      <c r="M623" s="629"/>
      <c r="N623" s="627"/>
      <c r="O623" s="628"/>
      <c r="P623" s="630"/>
      <c r="Q623" s="631"/>
      <c r="R623" s="715"/>
      <c r="S623" s="910"/>
      <c r="T623" s="632"/>
      <c r="U623" s="633"/>
      <c r="V623" s="634"/>
      <c r="W623" s="635"/>
      <c r="X623" s="636"/>
      <c r="Y623" s="637"/>
      <c r="Z623" s="921"/>
      <c r="AA623" s="636"/>
      <c r="AB623" s="1056"/>
      <c r="AC623" s="736"/>
      <c r="AD623" s="317"/>
      <c r="AE623" s="669"/>
      <c r="AF623" s="704"/>
      <c r="AG623" s="211"/>
      <c r="AH623" s="210"/>
    </row>
    <row r="624" spans="1:34" s="4" customFormat="1">
      <c r="A624" s="2"/>
      <c r="B624" s="310" t="s">
        <v>115</v>
      </c>
      <c r="C624" s="311" t="s">
        <v>27</v>
      </c>
      <c r="D624" s="687"/>
      <c r="E624" s="688"/>
      <c r="F624" s="312" t="s">
        <v>4184</v>
      </c>
      <c r="G624" s="313">
        <v>44616</v>
      </c>
      <c r="H624" s="624"/>
      <c r="I624" s="625"/>
      <c r="J624" s="626"/>
      <c r="K624" s="627"/>
      <c r="L624" s="628"/>
      <c r="M624" s="629"/>
      <c r="N624" s="627"/>
      <c r="O624" s="628"/>
      <c r="P624" s="630"/>
      <c r="Q624" s="631"/>
      <c r="R624" s="715"/>
      <c r="S624" s="910"/>
      <c r="T624" s="632"/>
      <c r="U624" s="633"/>
      <c r="V624" s="634"/>
      <c r="W624" s="635"/>
      <c r="X624" s="636"/>
      <c r="Y624" s="637"/>
      <c r="Z624" s="1000"/>
      <c r="AA624" s="920"/>
      <c r="AB624" s="1056"/>
      <c r="AC624" s="4" t="s">
        <v>4185</v>
      </c>
      <c r="AD624" s="317"/>
      <c r="AE624" s="669"/>
      <c r="AF624" s="718"/>
      <c r="AG624" s="211"/>
      <c r="AH624" s="210"/>
    </row>
    <row r="625" spans="1:34" s="4" customFormat="1">
      <c r="A625" s="2"/>
      <c r="B625" s="310" t="s">
        <v>106</v>
      </c>
      <c r="C625" s="311" t="s">
        <v>33</v>
      </c>
      <c r="D625" s="687" t="s">
        <v>4186</v>
      </c>
      <c r="E625" s="688"/>
      <c r="F625" s="312" t="s">
        <v>4187</v>
      </c>
      <c r="G625" s="313">
        <v>44617</v>
      </c>
      <c r="H625" s="624"/>
      <c r="I625" s="625"/>
      <c r="J625" s="626"/>
      <c r="K625" s="627" t="s">
        <v>4188</v>
      </c>
      <c r="L625" s="628">
        <v>44636</v>
      </c>
      <c r="M625" s="629">
        <v>2000</v>
      </c>
      <c r="N625" s="627" t="s">
        <v>4189</v>
      </c>
      <c r="O625" s="628">
        <v>44641</v>
      </c>
      <c r="P625" s="630" t="s">
        <v>4190</v>
      </c>
      <c r="Q625" s="631"/>
      <c r="R625" s="715"/>
      <c r="S625" s="1068"/>
      <c r="T625" s="632">
        <v>24467.62</v>
      </c>
      <c r="U625" s="633" t="s">
        <v>4191</v>
      </c>
      <c r="V625" s="634">
        <v>44734</v>
      </c>
      <c r="W625" s="635" t="s">
        <v>2302</v>
      </c>
      <c r="X625" s="636">
        <v>24467.62</v>
      </c>
      <c r="Y625" s="636">
        <v>24467.62</v>
      </c>
      <c r="Z625" s="987">
        <f t="shared" ref="Z625" si="31">Y625/X625</f>
        <v>1</v>
      </c>
      <c r="AA625" s="636"/>
      <c r="AB625" s="1055">
        <v>0</v>
      </c>
      <c r="AC625" s="912" t="s">
        <v>4192</v>
      </c>
      <c r="AD625" s="913"/>
      <c r="AE625" s="669"/>
      <c r="AF625" s="704"/>
      <c r="AG625" s="211"/>
      <c r="AH625" s="210"/>
    </row>
    <row r="626" spans="1:34" s="4" customFormat="1">
      <c r="A626" s="2"/>
      <c r="B626" s="310" t="s">
        <v>119</v>
      </c>
      <c r="C626" s="311" t="s">
        <v>27</v>
      </c>
      <c r="D626" s="687" t="s">
        <v>4193</v>
      </c>
      <c r="E626" s="688"/>
      <c r="F626" s="312" t="s">
        <v>4194</v>
      </c>
      <c r="G626" s="313">
        <v>44617</v>
      </c>
      <c r="H626" s="624"/>
      <c r="I626" s="625"/>
      <c r="J626" s="626"/>
      <c r="K626" s="627"/>
      <c r="L626" s="628"/>
      <c r="M626" s="629"/>
      <c r="N626" s="627"/>
      <c r="O626" s="628"/>
      <c r="P626" s="630"/>
      <c r="Q626" s="631"/>
      <c r="R626" s="715"/>
      <c r="S626" s="910"/>
      <c r="T626" s="632"/>
      <c r="U626" s="633"/>
      <c r="V626" s="634"/>
      <c r="W626" s="635"/>
      <c r="X626" s="636"/>
      <c r="Y626" s="637"/>
      <c r="Z626" s="921"/>
      <c r="AA626" s="636"/>
      <c r="AB626" s="1056"/>
      <c r="AC626" s="999" t="s">
        <v>4193</v>
      </c>
      <c r="AD626" s="317"/>
      <c r="AE626" s="669"/>
      <c r="AF626" s="704"/>
      <c r="AG626" s="211"/>
      <c r="AH626" s="210"/>
    </row>
    <row r="627" spans="1:34" s="4" customFormat="1">
      <c r="A627" s="2"/>
      <c r="B627" s="310" t="s">
        <v>119</v>
      </c>
      <c r="C627" s="311" t="s">
        <v>27</v>
      </c>
      <c r="D627" s="687" t="s">
        <v>4195</v>
      </c>
      <c r="E627" s="688"/>
      <c r="F627" s="312" t="s">
        <v>4196</v>
      </c>
      <c r="G627" s="313">
        <v>44623</v>
      </c>
      <c r="H627" s="624"/>
      <c r="I627" s="625"/>
      <c r="J627" s="626"/>
      <c r="K627" s="627"/>
      <c r="L627" s="628"/>
      <c r="M627" s="629"/>
      <c r="N627" s="627"/>
      <c r="O627" s="628"/>
      <c r="P627" s="630"/>
      <c r="Q627" s="631"/>
      <c r="R627" s="715"/>
      <c r="S627" s="910"/>
      <c r="T627" s="632"/>
      <c r="U627" s="633"/>
      <c r="V627" s="634"/>
      <c r="W627" s="635"/>
      <c r="X627" s="636"/>
      <c r="Y627" s="637"/>
      <c r="Z627" s="921"/>
      <c r="AA627" s="636"/>
      <c r="AB627" s="1056"/>
      <c r="AC627" s="999" t="s">
        <v>4195</v>
      </c>
      <c r="AD627" s="317"/>
      <c r="AE627" s="669"/>
      <c r="AF627" s="704"/>
      <c r="AG627" s="211"/>
      <c r="AH627" s="210"/>
    </row>
    <row r="628" spans="1:34" s="4" customFormat="1">
      <c r="A628" s="2"/>
      <c r="B628" s="310" t="s">
        <v>115</v>
      </c>
      <c r="C628" s="311" t="s">
        <v>27</v>
      </c>
      <c r="D628" s="687"/>
      <c r="E628" s="688"/>
      <c r="F628" s="312" t="s">
        <v>4197</v>
      </c>
      <c r="G628" s="313">
        <v>44620</v>
      </c>
      <c r="H628" s="624"/>
      <c r="I628" s="625"/>
      <c r="J628" s="626"/>
      <c r="K628" s="627"/>
      <c r="L628" s="628"/>
      <c r="M628" s="629"/>
      <c r="N628" s="627"/>
      <c r="O628" s="628"/>
      <c r="P628" s="630"/>
      <c r="Q628" s="631"/>
      <c r="R628" s="715"/>
      <c r="S628" s="910"/>
      <c r="T628" s="632"/>
      <c r="U628" s="633"/>
      <c r="V628" s="634"/>
      <c r="W628" s="635"/>
      <c r="X628" s="636"/>
      <c r="Y628" s="637"/>
      <c r="Z628" s="921"/>
      <c r="AA628" s="636"/>
      <c r="AB628" s="1056"/>
      <c r="AC628" s="999" t="s">
        <v>4198</v>
      </c>
      <c r="AD628" s="317"/>
      <c r="AE628" s="669"/>
      <c r="AF628" s="718"/>
      <c r="AG628" s="211"/>
      <c r="AH628" s="210"/>
    </row>
    <row r="629" spans="1:34" s="4" customFormat="1">
      <c r="A629" s="2"/>
      <c r="B629" s="310" t="s">
        <v>115</v>
      </c>
      <c r="C629" s="311" t="s">
        <v>27</v>
      </c>
      <c r="D629" s="687"/>
      <c r="E629" s="688"/>
      <c r="F629" s="312" t="s">
        <v>4199</v>
      </c>
      <c r="G629" s="313">
        <v>44620</v>
      </c>
      <c r="H629" s="624"/>
      <c r="I629" s="625"/>
      <c r="J629" s="626"/>
      <c r="K629" s="627"/>
      <c r="L629" s="628"/>
      <c r="M629" s="629"/>
      <c r="N629" s="627"/>
      <c r="O629" s="628"/>
      <c r="P629" s="630"/>
      <c r="Q629" s="631"/>
      <c r="R629" s="715"/>
      <c r="S629" s="910"/>
      <c r="T629" s="632"/>
      <c r="U629" s="633"/>
      <c r="V629" s="634"/>
      <c r="W629" s="635"/>
      <c r="X629" s="636"/>
      <c r="Y629" s="637"/>
      <c r="Z629" s="921"/>
      <c r="AA629" s="636"/>
      <c r="AB629" s="1056"/>
      <c r="AC629" s="999" t="s">
        <v>4200</v>
      </c>
      <c r="AD629" s="317"/>
      <c r="AE629" s="669"/>
      <c r="AF629" s="718"/>
      <c r="AG629" s="211"/>
      <c r="AH629" s="210"/>
    </row>
    <row r="630" spans="1:34" s="4" customFormat="1">
      <c r="A630" s="2"/>
      <c r="B630" s="310" t="s">
        <v>106</v>
      </c>
      <c r="C630" s="311" t="s">
        <v>33</v>
      </c>
      <c r="D630" s="687" t="s">
        <v>4201</v>
      </c>
      <c r="E630" s="688"/>
      <c r="F630" s="312" t="s">
        <v>4202</v>
      </c>
      <c r="G630" s="313">
        <v>44620</v>
      </c>
      <c r="H630" s="624"/>
      <c r="I630" s="625"/>
      <c r="J630" s="626"/>
      <c r="K630" s="627" t="s">
        <v>4203</v>
      </c>
      <c r="L630" s="628">
        <v>44636</v>
      </c>
      <c r="M630" s="629">
        <v>1750</v>
      </c>
      <c r="N630" s="627" t="s">
        <v>4204</v>
      </c>
      <c r="O630" s="628">
        <v>44641</v>
      </c>
      <c r="P630" s="630"/>
      <c r="Q630" s="631"/>
      <c r="R630" s="715"/>
      <c r="S630" s="910"/>
      <c r="T630" s="632"/>
      <c r="U630" s="633" t="s">
        <v>4205</v>
      </c>
      <c r="V630" s="634">
        <v>44684</v>
      </c>
      <c r="W630" s="635" t="s">
        <v>2302</v>
      </c>
      <c r="X630" s="636"/>
      <c r="Y630" s="637"/>
      <c r="Z630" s="987" t="s">
        <v>268</v>
      </c>
      <c r="AA630" s="919"/>
      <c r="AB630" s="1055">
        <v>0</v>
      </c>
      <c r="AC630" s="1018" t="s">
        <v>4206</v>
      </c>
      <c r="AD630" s="913"/>
      <c r="AE630" s="669"/>
      <c r="AF630" s="704"/>
      <c r="AG630" s="211"/>
      <c r="AH630" s="210"/>
    </row>
    <row r="631" spans="1:34" s="4" customFormat="1">
      <c r="A631" s="2"/>
      <c r="B631" s="310" t="s">
        <v>106</v>
      </c>
      <c r="C631" s="311" t="s">
        <v>33</v>
      </c>
      <c r="D631" s="687" t="s">
        <v>4207</v>
      </c>
      <c r="E631" s="688"/>
      <c r="F631" s="312" t="s">
        <v>4208</v>
      </c>
      <c r="G631" s="313">
        <v>44620</v>
      </c>
      <c r="H631" s="624"/>
      <c r="I631" s="625"/>
      <c r="J631" s="626"/>
      <c r="K631" s="627" t="s">
        <v>4209</v>
      </c>
      <c r="L631" s="628">
        <v>44628</v>
      </c>
      <c r="M631" s="629">
        <v>1000</v>
      </c>
      <c r="N631" s="627" t="s">
        <v>4210</v>
      </c>
      <c r="O631" s="628">
        <v>44641</v>
      </c>
      <c r="P631" s="630"/>
      <c r="Q631" s="631"/>
      <c r="R631" s="715"/>
      <c r="S631" s="910"/>
      <c r="T631" s="632"/>
      <c r="U631" s="633" t="s">
        <v>4211</v>
      </c>
      <c r="V631" s="634">
        <v>44684</v>
      </c>
      <c r="W631" s="635" t="s">
        <v>2302</v>
      </c>
      <c r="X631" s="636"/>
      <c r="Y631" s="637"/>
      <c r="Z631" s="987" t="s">
        <v>268</v>
      </c>
      <c r="AA631" s="919"/>
      <c r="AB631" s="1055">
        <v>0</v>
      </c>
      <c r="AC631" s="1018" t="s">
        <v>4212</v>
      </c>
      <c r="AD631" s="913"/>
      <c r="AE631" s="669"/>
      <c r="AF631" s="704"/>
      <c r="AG631" s="211"/>
      <c r="AH631" s="210"/>
    </row>
    <row r="632" spans="1:34" s="4" customFormat="1">
      <c r="A632" s="2"/>
      <c r="B632" s="310" t="s">
        <v>115</v>
      </c>
      <c r="C632" s="311" t="s">
        <v>27</v>
      </c>
      <c r="D632" s="687"/>
      <c r="E632" s="688"/>
      <c r="F632" s="312" t="s">
        <v>4213</v>
      </c>
      <c r="G632" s="313">
        <v>44620</v>
      </c>
      <c r="H632" s="624"/>
      <c r="I632" s="625"/>
      <c r="J632" s="626"/>
      <c r="K632" s="627"/>
      <c r="L632" s="628"/>
      <c r="M632" s="629"/>
      <c r="N632" s="627"/>
      <c r="O632" s="628"/>
      <c r="P632" s="630"/>
      <c r="Q632" s="631"/>
      <c r="R632" s="715"/>
      <c r="S632" s="910"/>
      <c r="T632" s="632"/>
      <c r="U632" s="633"/>
      <c r="V632" s="634"/>
      <c r="W632" s="635"/>
      <c r="X632" s="636"/>
      <c r="Y632" s="637"/>
      <c r="Z632" s="921"/>
      <c r="AA632" s="636"/>
      <c r="AB632" s="1056"/>
      <c r="AC632" s="999" t="s">
        <v>4214</v>
      </c>
      <c r="AD632" s="317"/>
      <c r="AE632" s="669"/>
      <c r="AF632" s="718"/>
      <c r="AG632" s="211"/>
      <c r="AH632" s="210"/>
    </row>
    <row r="633" spans="1:34" s="4" customFormat="1">
      <c r="A633" s="2"/>
      <c r="B633" s="310" t="s">
        <v>115</v>
      </c>
      <c r="C633" s="311" t="s">
        <v>27</v>
      </c>
      <c r="D633" s="687"/>
      <c r="E633" s="688"/>
      <c r="F633" s="312" t="s">
        <v>4215</v>
      </c>
      <c r="G633" s="313">
        <v>44621</v>
      </c>
      <c r="H633" s="624"/>
      <c r="I633" s="625"/>
      <c r="J633" s="626"/>
      <c r="K633" s="627"/>
      <c r="L633" s="628"/>
      <c r="M633" s="629"/>
      <c r="N633" s="627"/>
      <c r="O633" s="628"/>
      <c r="P633" s="630"/>
      <c r="Q633" s="631"/>
      <c r="R633" s="715"/>
      <c r="S633" s="910"/>
      <c r="T633" s="632"/>
      <c r="U633" s="633"/>
      <c r="V633" s="634"/>
      <c r="W633" s="635"/>
      <c r="X633" s="636"/>
      <c r="Y633" s="637"/>
      <c r="Z633" s="921"/>
      <c r="AA633" s="636"/>
      <c r="AB633" s="1056"/>
      <c r="AC633" s="999" t="s">
        <v>4216</v>
      </c>
      <c r="AD633" s="317"/>
      <c r="AE633" s="669"/>
      <c r="AF633" s="718"/>
      <c r="AG633" s="211"/>
      <c r="AH633" s="210"/>
    </row>
    <row r="634" spans="1:34" s="4" customFormat="1">
      <c r="A634" s="2"/>
      <c r="B634" s="310" t="s">
        <v>115</v>
      </c>
      <c r="C634" s="311" t="s">
        <v>27</v>
      </c>
      <c r="D634" s="687"/>
      <c r="E634" s="688"/>
      <c r="F634" s="312" t="s">
        <v>4217</v>
      </c>
      <c r="G634" s="313">
        <v>44622</v>
      </c>
      <c r="H634" s="624"/>
      <c r="I634" s="625"/>
      <c r="J634" s="626"/>
      <c r="K634" s="627"/>
      <c r="L634" s="628"/>
      <c r="M634" s="629"/>
      <c r="N634" s="627"/>
      <c r="O634" s="628"/>
      <c r="P634" s="630"/>
      <c r="Q634" s="631"/>
      <c r="R634" s="715"/>
      <c r="S634" s="910"/>
      <c r="T634" s="632"/>
      <c r="U634" s="633"/>
      <c r="V634" s="634"/>
      <c r="W634" s="635"/>
      <c r="X634" s="636"/>
      <c r="Y634" s="637"/>
      <c r="Z634" s="921"/>
      <c r="AA634" s="636"/>
      <c r="AB634" s="1056"/>
      <c r="AC634" s="999" t="s">
        <v>4218</v>
      </c>
      <c r="AD634" s="317"/>
      <c r="AE634" s="669"/>
      <c r="AF634" s="718"/>
      <c r="AG634" s="211"/>
      <c r="AH634" s="210"/>
    </row>
    <row r="635" spans="1:34" s="4" customFormat="1">
      <c r="A635" s="2"/>
      <c r="B635" s="310" t="s">
        <v>115</v>
      </c>
      <c r="C635" s="311" t="s">
        <v>27</v>
      </c>
      <c r="D635" s="687"/>
      <c r="E635" s="688"/>
      <c r="F635" s="312" t="s">
        <v>4219</v>
      </c>
      <c r="G635" s="313">
        <v>44622</v>
      </c>
      <c r="H635" s="624"/>
      <c r="I635" s="625"/>
      <c r="J635" s="626"/>
      <c r="K635" s="627"/>
      <c r="L635" s="628"/>
      <c r="M635" s="629"/>
      <c r="N635" s="627"/>
      <c r="O635" s="628"/>
      <c r="P635" s="630"/>
      <c r="Q635" s="631"/>
      <c r="R635" s="715"/>
      <c r="S635" s="910"/>
      <c r="T635" s="632"/>
      <c r="U635" s="633"/>
      <c r="V635" s="634"/>
      <c r="W635" s="635"/>
      <c r="X635" s="636"/>
      <c r="Y635" s="637"/>
      <c r="Z635" s="921"/>
      <c r="AA635" s="636"/>
      <c r="AB635" s="1056"/>
      <c r="AC635" s="999" t="s">
        <v>4220</v>
      </c>
      <c r="AD635" s="317"/>
      <c r="AE635" s="669"/>
      <c r="AF635" s="718"/>
      <c r="AG635" s="211"/>
      <c r="AH635" s="210"/>
    </row>
    <row r="636" spans="1:34" s="4" customFormat="1">
      <c r="A636" s="2"/>
      <c r="B636" s="310" t="s">
        <v>115</v>
      </c>
      <c r="C636" s="311" t="s">
        <v>27</v>
      </c>
      <c r="D636" s="687"/>
      <c r="E636" s="688"/>
      <c r="F636" s="312" t="s">
        <v>4221</v>
      </c>
      <c r="G636" s="313">
        <v>44622</v>
      </c>
      <c r="H636" s="624"/>
      <c r="I636" s="625"/>
      <c r="J636" s="626"/>
      <c r="K636" s="627"/>
      <c r="L636" s="628"/>
      <c r="M636" s="629"/>
      <c r="N636" s="627"/>
      <c r="O636" s="628"/>
      <c r="P636" s="630"/>
      <c r="Q636" s="631"/>
      <c r="R636" s="715"/>
      <c r="S636" s="910"/>
      <c r="T636" s="632"/>
      <c r="U636" s="633"/>
      <c r="V636" s="634"/>
      <c r="W636" s="635"/>
      <c r="X636" s="636"/>
      <c r="Y636" s="637"/>
      <c r="Z636" s="921"/>
      <c r="AA636" s="636"/>
      <c r="AB636" s="1056"/>
      <c r="AC636" s="999" t="s">
        <v>4222</v>
      </c>
      <c r="AD636" s="317"/>
      <c r="AE636" s="669"/>
      <c r="AF636" s="718"/>
      <c r="AG636" s="211"/>
      <c r="AH636" s="210"/>
    </row>
    <row r="637" spans="1:34" s="4" customFormat="1">
      <c r="A637" s="2"/>
      <c r="B637" s="310" t="s">
        <v>115</v>
      </c>
      <c r="C637" s="311" t="s">
        <v>27</v>
      </c>
      <c r="D637" s="687"/>
      <c r="E637" s="688"/>
      <c r="F637" s="312" t="s">
        <v>4223</v>
      </c>
      <c r="G637" s="313">
        <v>44623</v>
      </c>
      <c r="H637" s="624"/>
      <c r="I637" s="625"/>
      <c r="J637" s="626"/>
      <c r="K637" s="627"/>
      <c r="L637" s="628"/>
      <c r="M637" s="629"/>
      <c r="N637" s="627"/>
      <c r="O637" s="628"/>
      <c r="P637" s="630"/>
      <c r="Q637" s="631"/>
      <c r="R637" s="715"/>
      <c r="S637" s="910"/>
      <c r="T637" s="632"/>
      <c r="U637" s="633"/>
      <c r="V637" s="634"/>
      <c r="W637" s="635"/>
      <c r="X637" s="636"/>
      <c r="Y637" s="637"/>
      <c r="Z637" s="921"/>
      <c r="AA637" s="636"/>
      <c r="AB637" s="1056"/>
      <c r="AC637" s="999" t="s">
        <v>4224</v>
      </c>
      <c r="AD637" s="317"/>
      <c r="AE637" s="669"/>
      <c r="AF637" s="718"/>
      <c r="AG637" s="211"/>
      <c r="AH637" s="210"/>
    </row>
    <row r="638" spans="1:34" s="4" customFormat="1">
      <c r="A638" s="2"/>
      <c r="B638" s="310" t="s">
        <v>115</v>
      </c>
      <c r="C638" s="311" t="s">
        <v>27</v>
      </c>
      <c r="D638" s="687"/>
      <c r="E638" s="688"/>
      <c r="F638" s="312" t="s">
        <v>4225</v>
      </c>
      <c r="G638" s="313">
        <v>44623</v>
      </c>
      <c r="H638" s="624"/>
      <c r="I638" s="625"/>
      <c r="J638" s="626"/>
      <c r="K638" s="627"/>
      <c r="L638" s="628"/>
      <c r="M638" s="629"/>
      <c r="N638" s="627"/>
      <c r="O638" s="628"/>
      <c r="P638" s="630"/>
      <c r="Q638" s="631"/>
      <c r="R638" s="715"/>
      <c r="S638" s="910"/>
      <c r="T638" s="632"/>
      <c r="U638" s="633"/>
      <c r="V638" s="634"/>
      <c r="W638" s="635"/>
      <c r="X638" s="636"/>
      <c r="Y638" s="637"/>
      <c r="Z638" s="921"/>
      <c r="AA638" s="636"/>
      <c r="AB638" s="1056"/>
      <c r="AC638" s="999" t="s">
        <v>4226</v>
      </c>
      <c r="AD638" s="317"/>
      <c r="AE638" s="669"/>
      <c r="AF638" s="718"/>
      <c r="AG638" s="211"/>
      <c r="AH638" s="210"/>
    </row>
    <row r="639" spans="1:34" s="4" customFormat="1">
      <c r="A639" s="2"/>
      <c r="B639" s="310" t="s">
        <v>115</v>
      </c>
      <c r="C639" s="311" t="s">
        <v>27</v>
      </c>
      <c r="D639" s="687"/>
      <c r="E639" s="688"/>
      <c r="F639" s="312" t="s">
        <v>4227</v>
      </c>
      <c r="G639" s="313">
        <v>44623</v>
      </c>
      <c r="H639" s="624"/>
      <c r="I639" s="625"/>
      <c r="J639" s="626"/>
      <c r="K639" s="627"/>
      <c r="L639" s="628"/>
      <c r="M639" s="629"/>
      <c r="N639" s="627"/>
      <c r="O639" s="628"/>
      <c r="P639" s="630"/>
      <c r="Q639" s="631"/>
      <c r="R639" s="715"/>
      <c r="S639" s="910"/>
      <c r="T639" s="632"/>
      <c r="U639" s="633"/>
      <c r="V639" s="634"/>
      <c r="W639" s="635"/>
      <c r="X639" s="636"/>
      <c r="Y639" s="637"/>
      <c r="Z639" s="725"/>
      <c r="AA639" s="636"/>
      <c r="AB639" s="1056"/>
      <c r="AC639" s="999" t="s">
        <v>4228</v>
      </c>
      <c r="AD639" s="317"/>
      <c r="AE639" s="669"/>
      <c r="AF639" s="718"/>
      <c r="AG639" s="211"/>
      <c r="AH639" s="210"/>
    </row>
    <row r="640" spans="1:34" s="4" customFormat="1">
      <c r="A640" s="2"/>
      <c r="B640" s="310" t="s">
        <v>115</v>
      </c>
      <c r="C640" s="311" t="s">
        <v>27</v>
      </c>
      <c r="D640" s="687"/>
      <c r="E640" s="688"/>
      <c r="F640" s="312" t="s">
        <v>4229</v>
      </c>
      <c r="G640" s="313">
        <v>44623</v>
      </c>
      <c r="H640" s="624"/>
      <c r="I640" s="625"/>
      <c r="J640" s="626"/>
      <c r="K640" s="627"/>
      <c r="L640" s="628"/>
      <c r="M640" s="629"/>
      <c r="N640" s="627"/>
      <c r="O640" s="628"/>
      <c r="P640" s="630"/>
      <c r="Q640" s="631"/>
      <c r="R640" s="715"/>
      <c r="S640" s="910"/>
      <c r="T640" s="632"/>
      <c r="U640" s="633"/>
      <c r="V640" s="634"/>
      <c r="W640" s="635"/>
      <c r="X640" s="636"/>
      <c r="Y640" s="637"/>
      <c r="Z640" s="725"/>
      <c r="AA640" s="636"/>
      <c r="AB640" s="1056"/>
      <c r="AC640" s="999" t="s">
        <v>4230</v>
      </c>
      <c r="AD640" s="317"/>
      <c r="AE640" s="669"/>
      <c r="AF640" s="718"/>
      <c r="AG640" s="211"/>
      <c r="AH640" s="210"/>
    </row>
    <row r="641" spans="1:34" s="4" customFormat="1">
      <c r="A641" s="2"/>
      <c r="B641" s="310" t="s">
        <v>115</v>
      </c>
      <c r="C641" s="311" t="s">
        <v>27</v>
      </c>
      <c r="D641" s="687"/>
      <c r="E641" s="688"/>
      <c r="F641" s="312" t="s">
        <v>4231</v>
      </c>
      <c r="G641" s="313">
        <v>44623</v>
      </c>
      <c r="H641" s="624"/>
      <c r="I641" s="625"/>
      <c r="J641" s="626"/>
      <c r="K641" s="627"/>
      <c r="L641" s="628"/>
      <c r="M641" s="629"/>
      <c r="N641" s="627"/>
      <c r="O641" s="628"/>
      <c r="P641" s="630"/>
      <c r="Q641" s="631"/>
      <c r="R641" s="715"/>
      <c r="S641" s="910"/>
      <c r="T641" s="632"/>
      <c r="U641" s="633"/>
      <c r="V641" s="634"/>
      <c r="W641" s="635"/>
      <c r="X641" s="636"/>
      <c r="Y641" s="637"/>
      <c r="Z641" s="725"/>
      <c r="AA641" s="636"/>
      <c r="AB641" s="1056"/>
      <c r="AC641" s="736" t="s">
        <v>4232</v>
      </c>
      <c r="AD641" s="317"/>
      <c r="AE641" s="669"/>
      <c r="AF641" s="718"/>
      <c r="AG641" s="211"/>
      <c r="AH641" s="210"/>
    </row>
    <row r="642" spans="1:34" s="4" customFormat="1">
      <c r="A642" s="2"/>
      <c r="B642" s="310" t="s">
        <v>106</v>
      </c>
      <c r="C642" s="311" t="s">
        <v>33</v>
      </c>
      <c r="D642" s="687" t="s">
        <v>4233</v>
      </c>
      <c r="E642" s="688"/>
      <c r="F642" s="312" t="s">
        <v>4234</v>
      </c>
      <c r="G642" s="313">
        <v>44624</v>
      </c>
      <c r="H642" s="624" t="s">
        <v>4235</v>
      </c>
      <c r="I642" s="625">
        <v>44746</v>
      </c>
      <c r="J642" s="626">
        <v>36847.69</v>
      </c>
      <c r="K642" s="627" t="s">
        <v>4236</v>
      </c>
      <c r="L642" s="628">
        <v>44699</v>
      </c>
      <c r="M642" s="629">
        <v>10000</v>
      </c>
      <c r="N642" s="627" t="s">
        <v>4237</v>
      </c>
      <c r="O642" s="628"/>
      <c r="P642" s="630" t="s">
        <v>4238</v>
      </c>
      <c r="Q642" s="631">
        <v>44767</v>
      </c>
      <c r="R642" s="715">
        <v>44816</v>
      </c>
      <c r="S642" s="1068"/>
      <c r="T642" s="632">
        <v>45816.639999999999</v>
      </c>
      <c r="U642" s="633" t="s">
        <v>4239</v>
      </c>
      <c r="V642" s="634">
        <v>44812</v>
      </c>
      <c r="W642" s="635" t="s">
        <v>2302</v>
      </c>
      <c r="X642" s="636">
        <v>45816.639999999999</v>
      </c>
      <c r="Y642" s="636">
        <v>45816.639999999999</v>
      </c>
      <c r="Z642" s="987">
        <f t="shared" ref="Z642" si="32">Y642/X642</f>
        <v>1</v>
      </c>
      <c r="AA642" s="636"/>
      <c r="AB642" s="1055">
        <v>0</v>
      </c>
      <c r="AC642" s="912" t="s">
        <v>4240</v>
      </c>
      <c r="AD642" s="913"/>
      <c r="AE642" s="669"/>
      <c r="AF642" s="704"/>
      <c r="AG642" s="211"/>
      <c r="AH642" s="210"/>
    </row>
    <row r="643" spans="1:34" s="4" customFormat="1">
      <c r="A643" s="2"/>
      <c r="B643" s="310" t="s">
        <v>115</v>
      </c>
      <c r="C643" s="311" t="s">
        <v>27</v>
      </c>
      <c r="D643" s="687"/>
      <c r="E643" s="688"/>
      <c r="F643" s="312" t="s">
        <v>4241</v>
      </c>
      <c r="G643" s="313">
        <v>44624</v>
      </c>
      <c r="H643" s="624"/>
      <c r="I643" s="625"/>
      <c r="J643" s="626"/>
      <c r="K643" s="627"/>
      <c r="L643" s="628"/>
      <c r="M643" s="629"/>
      <c r="N643" s="627"/>
      <c r="O643" s="628"/>
      <c r="P643" s="630"/>
      <c r="Q643" s="631"/>
      <c r="R643" s="715"/>
      <c r="S643" s="910"/>
      <c r="T643" s="632"/>
      <c r="U643" s="633"/>
      <c r="V643" s="634"/>
      <c r="W643" s="635"/>
      <c r="X643" s="636"/>
      <c r="Y643" s="636"/>
      <c r="Z643" s="725"/>
      <c r="AA643" s="636"/>
      <c r="AB643" s="1056"/>
      <c r="AC643" s="736" t="s">
        <v>4242</v>
      </c>
      <c r="AD643" s="317"/>
      <c r="AE643" s="669"/>
      <c r="AF643" s="718"/>
      <c r="AG643" s="211"/>
      <c r="AH643" s="210"/>
    </row>
    <row r="644" spans="1:34" s="4" customFormat="1">
      <c r="A644" s="2"/>
      <c r="B644" s="310" t="s">
        <v>115</v>
      </c>
      <c r="C644" s="311" t="s">
        <v>27</v>
      </c>
      <c r="D644" s="687"/>
      <c r="E644" s="688"/>
      <c r="F644" s="312" t="s">
        <v>4243</v>
      </c>
      <c r="G644" s="313">
        <v>44624</v>
      </c>
      <c r="H644" s="624"/>
      <c r="I644" s="625"/>
      <c r="J644" s="626"/>
      <c r="K644" s="627"/>
      <c r="L644" s="628"/>
      <c r="M644" s="629"/>
      <c r="N644" s="627"/>
      <c r="O644" s="628"/>
      <c r="P644" s="630"/>
      <c r="Q644" s="631"/>
      <c r="R644" s="715"/>
      <c r="S644" s="910"/>
      <c r="T644" s="632"/>
      <c r="U644" s="633"/>
      <c r="V644" s="634"/>
      <c r="W644" s="635"/>
      <c r="X644" s="636"/>
      <c r="Y644" s="636"/>
      <c r="Z644" s="725"/>
      <c r="AA644" s="636"/>
      <c r="AB644" s="1056"/>
      <c r="AC644" s="736" t="s">
        <v>4244</v>
      </c>
      <c r="AD644" s="317"/>
      <c r="AE644" s="669"/>
      <c r="AF644" s="718"/>
      <c r="AG644" s="211"/>
      <c r="AH644" s="210"/>
    </row>
    <row r="645" spans="1:34" s="4" customFormat="1">
      <c r="A645" s="2"/>
      <c r="B645" s="310" t="s">
        <v>106</v>
      </c>
      <c r="C645" s="311" t="s">
        <v>33</v>
      </c>
      <c r="D645" s="687" t="s">
        <v>4245</v>
      </c>
      <c r="E645" s="688"/>
      <c r="F645" s="312" t="s">
        <v>4246</v>
      </c>
      <c r="G645" s="313">
        <v>44624</v>
      </c>
      <c r="H645" s="624" t="s">
        <v>4247</v>
      </c>
      <c r="I645" s="625">
        <v>44708</v>
      </c>
      <c r="J645" s="626">
        <v>12566.88</v>
      </c>
      <c r="K645" s="627" t="s">
        <v>4248</v>
      </c>
      <c r="L645" s="628">
        <v>44658</v>
      </c>
      <c r="M645" s="629">
        <v>8000</v>
      </c>
      <c r="N645" s="627" t="s">
        <v>4249</v>
      </c>
      <c r="O645" s="628">
        <v>44659</v>
      </c>
      <c r="P645" s="630" t="s">
        <v>4250</v>
      </c>
      <c r="Q645" s="631"/>
      <c r="R645" s="715"/>
      <c r="S645" s="1068"/>
      <c r="T645" s="632">
        <v>12566.88</v>
      </c>
      <c r="U645" s="633" t="s">
        <v>4251</v>
      </c>
      <c r="V645" s="634">
        <v>44722</v>
      </c>
      <c r="W645" s="635" t="s">
        <v>2302</v>
      </c>
      <c r="X645" s="636">
        <v>12566.88</v>
      </c>
      <c r="Y645" s="636">
        <v>12566.88</v>
      </c>
      <c r="Z645" s="987">
        <f t="shared" ref="Z645" si="33">Y645/X645</f>
        <v>1</v>
      </c>
      <c r="AA645" s="636"/>
      <c r="AB645" s="1055">
        <v>0</v>
      </c>
      <c r="AC645" s="912" t="s">
        <v>4252</v>
      </c>
      <c r="AD645" s="913"/>
      <c r="AE645" s="669"/>
      <c r="AF645" s="704"/>
      <c r="AG645" s="211"/>
      <c r="AH645" s="210"/>
    </row>
    <row r="646" spans="1:34" s="4" customFormat="1">
      <c r="A646" s="2"/>
      <c r="B646" s="310" t="s">
        <v>115</v>
      </c>
      <c r="C646" s="311" t="s">
        <v>27</v>
      </c>
      <c r="D646" s="687"/>
      <c r="E646" s="688"/>
      <c r="F646" s="312" t="s">
        <v>4253</v>
      </c>
      <c r="G646" s="313">
        <v>44627</v>
      </c>
      <c r="H646" s="624"/>
      <c r="I646" s="625"/>
      <c r="J646" s="626"/>
      <c r="K646" s="627"/>
      <c r="L646" s="628"/>
      <c r="M646" s="629"/>
      <c r="N646" s="627"/>
      <c r="O646" s="628"/>
      <c r="P646" s="630"/>
      <c r="Q646" s="631"/>
      <c r="R646" s="715"/>
      <c r="S646" s="910"/>
      <c r="T646" s="632"/>
      <c r="U646" s="633"/>
      <c r="V646" s="634"/>
      <c r="W646" s="635"/>
      <c r="X646" s="636"/>
      <c r="Y646" s="637"/>
      <c r="Z646" s="725"/>
      <c r="AA646" s="636"/>
      <c r="AB646" s="1056"/>
      <c r="AC646" s="736" t="s">
        <v>4254</v>
      </c>
      <c r="AD646" s="317"/>
      <c r="AE646" s="669"/>
      <c r="AF646" s="704"/>
      <c r="AG646" s="211"/>
      <c r="AH646" s="210"/>
    </row>
    <row r="647" spans="1:34" s="4" customFormat="1">
      <c r="A647" s="2"/>
      <c r="B647" s="310" t="s">
        <v>115</v>
      </c>
      <c r="C647" s="311" t="s">
        <v>27</v>
      </c>
      <c r="D647" s="687"/>
      <c r="E647" s="688"/>
      <c r="F647" s="312" t="s">
        <v>4255</v>
      </c>
      <c r="G647" s="313">
        <v>44628</v>
      </c>
      <c r="H647" s="624"/>
      <c r="I647" s="625"/>
      <c r="J647" s="626"/>
      <c r="K647" s="627"/>
      <c r="L647" s="628"/>
      <c r="M647" s="629"/>
      <c r="N647" s="627"/>
      <c r="O647" s="628"/>
      <c r="P647" s="630"/>
      <c r="Q647" s="631"/>
      <c r="R647" s="715"/>
      <c r="S647" s="910"/>
      <c r="T647" s="632"/>
      <c r="U647" s="633"/>
      <c r="V647" s="634"/>
      <c r="W647" s="635"/>
      <c r="X647" s="636"/>
      <c r="Y647" s="637"/>
      <c r="Z647" s="725"/>
      <c r="AA647" s="636"/>
      <c r="AB647" s="1056"/>
      <c r="AC647" s="736" t="s">
        <v>4256</v>
      </c>
      <c r="AD647" s="317"/>
      <c r="AE647" s="669"/>
      <c r="AF647" s="718"/>
      <c r="AG647" s="211"/>
      <c r="AH647" s="210"/>
    </row>
    <row r="648" spans="1:34" s="4" customFormat="1">
      <c r="A648" s="2"/>
      <c r="B648" s="310" t="s">
        <v>106</v>
      </c>
      <c r="C648" s="311" t="s">
        <v>33</v>
      </c>
      <c r="D648" s="687" t="s">
        <v>4257</v>
      </c>
      <c r="E648" s="688"/>
      <c r="F648" s="312" t="s">
        <v>4258</v>
      </c>
      <c r="G648" s="313">
        <v>44628</v>
      </c>
      <c r="H648" s="624" t="s">
        <v>4259</v>
      </c>
      <c r="I648" s="625">
        <v>44708</v>
      </c>
      <c r="J648" s="626">
        <v>29532.36</v>
      </c>
      <c r="K648" s="627" t="s">
        <v>4260</v>
      </c>
      <c r="L648" s="628">
        <v>44677</v>
      </c>
      <c r="M648" s="629">
        <v>10000</v>
      </c>
      <c r="N648" s="627" t="s">
        <v>4261</v>
      </c>
      <c r="O648" s="628">
        <v>44677</v>
      </c>
      <c r="P648" s="630" t="s">
        <v>4262</v>
      </c>
      <c r="Q648" s="631"/>
      <c r="R648" s="715"/>
      <c r="S648" s="1068"/>
      <c r="T648" s="632">
        <v>36183.879999999997</v>
      </c>
      <c r="U648" s="633" t="s">
        <v>4263</v>
      </c>
      <c r="V648" s="634">
        <v>44722</v>
      </c>
      <c r="W648" s="635" t="s">
        <v>2302</v>
      </c>
      <c r="X648" s="636">
        <v>36183.879999999997</v>
      </c>
      <c r="Y648" s="636">
        <v>36183.879999999997</v>
      </c>
      <c r="Z648" s="987">
        <f t="shared" ref="Z648" si="34">Y648/X648</f>
        <v>1</v>
      </c>
      <c r="AA648" s="636"/>
      <c r="AB648" s="1055">
        <v>0</v>
      </c>
      <c r="AC648" s="912" t="s">
        <v>4264</v>
      </c>
      <c r="AD648" s="913"/>
      <c r="AE648" s="669"/>
      <c r="AF648" s="704"/>
      <c r="AG648" s="211"/>
      <c r="AH648" s="210"/>
    </row>
    <row r="649" spans="1:34" s="4" customFormat="1">
      <c r="A649" s="2"/>
      <c r="B649" s="310" t="s">
        <v>115</v>
      </c>
      <c r="C649" s="311" t="s">
        <v>27</v>
      </c>
      <c r="D649" s="687"/>
      <c r="E649" s="688"/>
      <c r="F649" s="312" t="s">
        <v>4265</v>
      </c>
      <c r="G649" s="313">
        <v>44628</v>
      </c>
      <c r="H649" s="624"/>
      <c r="I649" s="625"/>
      <c r="J649" s="626"/>
      <c r="K649" s="627"/>
      <c r="L649" s="628"/>
      <c r="M649" s="629"/>
      <c r="N649" s="627"/>
      <c r="O649" s="628"/>
      <c r="P649" s="630"/>
      <c r="Q649" s="631"/>
      <c r="R649" s="715"/>
      <c r="S649" s="910"/>
      <c r="T649" s="632"/>
      <c r="U649" s="633"/>
      <c r="V649" s="634"/>
      <c r="W649" s="635"/>
      <c r="X649" s="636"/>
      <c r="Y649" s="637"/>
      <c r="Z649" s="725"/>
      <c r="AA649" s="636"/>
      <c r="AB649" s="1056"/>
      <c r="AC649" s="736" t="s">
        <v>4266</v>
      </c>
      <c r="AD649" s="317"/>
      <c r="AE649" s="669"/>
      <c r="AF649" s="718"/>
      <c r="AG649" s="211"/>
      <c r="AH649" s="210"/>
    </row>
    <row r="650" spans="1:34" s="4" customFormat="1">
      <c r="A650" s="2"/>
      <c r="B650" s="310" t="s">
        <v>115</v>
      </c>
      <c r="C650" s="311" t="s">
        <v>27</v>
      </c>
      <c r="D650" s="687"/>
      <c r="E650" s="688"/>
      <c r="F650" s="312" t="s">
        <v>4267</v>
      </c>
      <c r="G650" s="313">
        <v>44630</v>
      </c>
      <c r="H650" s="624"/>
      <c r="I650" s="625"/>
      <c r="J650" s="626"/>
      <c r="K650" s="627"/>
      <c r="L650" s="628"/>
      <c r="M650" s="629"/>
      <c r="N650" s="627"/>
      <c r="O650" s="628"/>
      <c r="P650" s="630"/>
      <c r="Q650" s="631"/>
      <c r="R650" s="715"/>
      <c r="S650" s="910"/>
      <c r="T650" s="632"/>
      <c r="U650" s="633"/>
      <c r="V650" s="634"/>
      <c r="W650" s="635"/>
      <c r="X650" s="636"/>
      <c r="Y650" s="637"/>
      <c r="Z650" s="725"/>
      <c r="AA650" s="636"/>
      <c r="AB650" s="1056"/>
      <c r="AC650" s="736" t="s">
        <v>4268</v>
      </c>
      <c r="AD650" s="317"/>
      <c r="AE650" s="669"/>
      <c r="AF650" s="704"/>
      <c r="AG650" s="211"/>
      <c r="AH650" s="210"/>
    </row>
    <row r="651" spans="1:34" s="4" customFormat="1">
      <c r="A651" s="2"/>
      <c r="B651" s="310" t="s">
        <v>106</v>
      </c>
      <c r="C651" s="311" t="s">
        <v>33</v>
      </c>
      <c r="D651" s="687" t="s">
        <v>4201</v>
      </c>
      <c r="E651" s="688"/>
      <c r="F651" s="312" t="s">
        <v>4269</v>
      </c>
      <c r="G651" s="313">
        <v>44631</v>
      </c>
      <c r="H651" s="624"/>
      <c r="I651" s="625"/>
      <c r="J651" s="626"/>
      <c r="K651" s="627" t="s">
        <v>4270</v>
      </c>
      <c r="L651" s="628"/>
      <c r="M651" s="629"/>
      <c r="N651" s="627" t="s">
        <v>4204</v>
      </c>
      <c r="O651" s="628">
        <v>44636</v>
      </c>
      <c r="P651" s="630" t="s">
        <v>4271</v>
      </c>
      <c r="Q651" s="631"/>
      <c r="R651" s="715"/>
      <c r="S651" s="1068"/>
      <c r="T651" s="632"/>
      <c r="U651" s="633" t="s">
        <v>4272</v>
      </c>
      <c r="V651" s="634">
        <v>44684</v>
      </c>
      <c r="W651" s="635" t="s">
        <v>2302</v>
      </c>
      <c r="X651" s="636">
        <v>9924.4699999999993</v>
      </c>
      <c r="Y651" s="636">
        <v>9924.4699999999993</v>
      </c>
      <c r="Z651" s="733">
        <f>Y651/X651</f>
        <v>1</v>
      </c>
      <c r="AA651" s="919"/>
      <c r="AB651" s="1055">
        <v>0</v>
      </c>
      <c r="AC651" s="912" t="s">
        <v>4273</v>
      </c>
      <c r="AD651" s="913" t="s">
        <v>4274</v>
      </c>
      <c r="AE651" s="669"/>
      <c r="AF651" s="718"/>
      <c r="AG651" s="211"/>
      <c r="AH651" s="210"/>
    </row>
    <row r="652" spans="1:34" s="4" customFormat="1">
      <c r="A652" s="2"/>
      <c r="B652" s="310" t="s">
        <v>115</v>
      </c>
      <c r="C652" s="311" t="s">
        <v>27</v>
      </c>
      <c r="D652" s="687"/>
      <c r="E652" s="688"/>
      <c r="F652" s="312" t="s">
        <v>4275</v>
      </c>
      <c r="G652" s="313">
        <v>44634</v>
      </c>
      <c r="H652" s="624"/>
      <c r="I652" s="625"/>
      <c r="J652" s="626"/>
      <c r="K652" s="627"/>
      <c r="L652" s="628"/>
      <c r="M652" s="629"/>
      <c r="N652" s="627"/>
      <c r="O652" s="628"/>
      <c r="P652" s="630"/>
      <c r="Q652" s="631"/>
      <c r="R652" s="715"/>
      <c r="S652" s="910"/>
      <c r="T652" s="632"/>
      <c r="U652" s="633"/>
      <c r="V652" s="634"/>
      <c r="W652" s="635"/>
      <c r="X652" s="636"/>
      <c r="Y652" s="637"/>
      <c r="Z652" s="725"/>
      <c r="AA652" s="636"/>
      <c r="AB652" s="1056"/>
      <c r="AC652" s="736" t="s">
        <v>4276</v>
      </c>
      <c r="AD652" s="317"/>
      <c r="AE652" s="669"/>
      <c r="AF652" s="704"/>
      <c r="AG652" s="211"/>
      <c r="AH652" s="210"/>
    </row>
    <row r="653" spans="1:34" s="4" customFormat="1">
      <c r="A653" s="2"/>
      <c r="B653" s="310" t="s">
        <v>115</v>
      </c>
      <c r="C653" s="311" t="s">
        <v>27</v>
      </c>
      <c r="D653" s="687"/>
      <c r="E653" s="688"/>
      <c r="F653" s="312" t="s">
        <v>4277</v>
      </c>
      <c r="G653" s="313">
        <v>44634</v>
      </c>
      <c r="H653" s="624"/>
      <c r="I653" s="625"/>
      <c r="J653" s="626"/>
      <c r="K653" s="627"/>
      <c r="L653" s="628"/>
      <c r="M653" s="629"/>
      <c r="N653" s="627"/>
      <c r="O653" s="628"/>
      <c r="P653" s="630"/>
      <c r="Q653" s="631"/>
      <c r="R653" s="715"/>
      <c r="S653" s="910"/>
      <c r="T653" s="632"/>
      <c r="U653" s="633"/>
      <c r="V653" s="634"/>
      <c r="W653" s="635"/>
      <c r="X653" s="636"/>
      <c r="Y653" s="637"/>
      <c r="Z653" s="725"/>
      <c r="AA653" s="636"/>
      <c r="AB653" s="1056"/>
      <c r="AC653" s="736" t="s">
        <v>4278</v>
      </c>
      <c r="AD653" s="317"/>
      <c r="AE653" s="669"/>
      <c r="AF653" s="718"/>
      <c r="AG653" s="211"/>
      <c r="AH653" s="210"/>
    </row>
    <row r="654" spans="1:34" s="4" customFormat="1">
      <c r="A654" s="2"/>
      <c r="B654" s="310" t="s">
        <v>115</v>
      </c>
      <c r="C654" s="311" t="s">
        <v>27</v>
      </c>
      <c r="D654" s="687"/>
      <c r="E654" s="688"/>
      <c r="F654" s="312" t="s">
        <v>4279</v>
      </c>
      <c r="G654" s="313">
        <v>44635</v>
      </c>
      <c r="H654" s="624"/>
      <c r="I654" s="625"/>
      <c r="J654" s="626"/>
      <c r="K654" s="627"/>
      <c r="L654" s="628"/>
      <c r="M654" s="629"/>
      <c r="N654" s="627"/>
      <c r="O654" s="628"/>
      <c r="P654" s="630"/>
      <c r="Q654" s="631"/>
      <c r="R654" s="715"/>
      <c r="S654" s="910"/>
      <c r="T654" s="632"/>
      <c r="U654" s="633"/>
      <c r="V654" s="634"/>
      <c r="W654" s="635"/>
      <c r="X654" s="636"/>
      <c r="Y654" s="637"/>
      <c r="Z654" s="725"/>
      <c r="AA654" s="636"/>
      <c r="AB654" s="1056"/>
      <c r="AC654" s="736" t="s">
        <v>4280</v>
      </c>
      <c r="AD654" s="317"/>
      <c r="AE654" s="669"/>
      <c r="AF654" s="718"/>
      <c r="AG654" s="211"/>
      <c r="AH654" s="210"/>
    </row>
    <row r="655" spans="1:34" s="4" customFormat="1">
      <c r="A655" s="2"/>
      <c r="B655" s="310" t="s">
        <v>115</v>
      </c>
      <c r="C655" s="311" t="s">
        <v>27</v>
      </c>
      <c r="D655" s="687"/>
      <c r="E655" s="688"/>
      <c r="F655" s="312" t="s">
        <v>4281</v>
      </c>
      <c r="G655" s="313">
        <v>44635</v>
      </c>
      <c r="H655" s="624"/>
      <c r="I655" s="625"/>
      <c r="J655" s="626"/>
      <c r="K655" s="627"/>
      <c r="L655" s="628"/>
      <c r="M655" s="629"/>
      <c r="N655" s="627"/>
      <c r="O655" s="628"/>
      <c r="P655" s="630"/>
      <c r="Q655" s="631"/>
      <c r="R655" s="715"/>
      <c r="S655" s="910"/>
      <c r="T655" s="632"/>
      <c r="U655" s="633"/>
      <c r="V655" s="634"/>
      <c r="W655" s="635"/>
      <c r="X655" s="636"/>
      <c r="Y655" s="637"/>
      <c r="Z655" s="921"/>
      <c r="AA655" s="636"/>
      <c r="AB655" s="1056"/>
      <c r="AC655" s="736" t="s">
        <v>4282</v>
      </c>
      <c r="AD655" s="317"/>
      <c r="AE655" s="669"/>
      <c r="AF655" s="718"/>
      <c r="AG655" s="211"/>
      <c r="AH655" s="210"/>
    </row>
    <row r="656" spans="1:34" s="4" customFormat="1">
      <c r="A656" s="2"/>
      <c r="B656" s="310" t="s">
        <v>115</v>
      </c>
      <c r="C656" s="311" t="s">
        <v>27</v>
      </c>
      <c r="D656" s="687"/>
      <c r="E656" s="688"/>
      <c r="F656" s="312" t="s">
        <v>4283</v>
      </c>
      <c r="G656" s="313">
        <v>44636</v>
      </c>
      <c r="H656" s="624"/>
      <c r="I656" s="625"/>
      <c r="J656" s="626"/>
      <c r="K656" s="627"/>
      <c r="L656" s="628"/>
      <c r="M656" s="629"/>
      <c r="N656" s="627"/>
      <c r="O656" s="628"/>
      <c r="P656" s="630"/>
      <c r="Q656" s="631"/>
      <c r="R656" s="715"/>
      <c r="S656" s="910"/>
      <c r="T656" s="632"/>
      <c r="U656" s="633"/>
      <c r="V656" s="634"/>
      <c r="W656" s="635"/>
      <c r="X656" s="636"/>
      <c r="Y656" s="637"/>
      <c r="Z656" s="921"/>
      <c r="AA656" s="636"/>
      <c r="AB656" s="1056"/>
      <c r="AC656" s="736" t="s">
        <v>4284</v>
      </c>
      <c r="AD656" s="317"/>
      <c r="AE656" s="669"/>
      <c r="AF656" s="704"/>
      <c r="AG656" s="211"/>
      <c r="AH656" s="210"/>
    </row>
    <row r="657" spans="1:34" s="4" customFormat="1">
      <c r="A657" s="2"/>
      <c r="B657" s="310" t="s">
        <v>115</v>
      </c>
      <c r="C657" s="311" t="s">
        <v>27</v>
      </c>
      <c r="D657" s="687"/>
      <c r="E657" s="688"/>
      <c r="F657" s="312" t="s">
        <v>4285</v>
      </c>
      <c r="G657" s="313">
        <v>44636</v>
      </c>
      <c r="H657" s="624"/>
      <c r="I657" s="625"/>
      <c r="J657" s="626"/>
      <c r="K657" s="627"/>
      <c r="L657" s="628"/>
      <c r="M657" s="629"/>
      <c r="N657" s="627"/>
      <c r="O657" s="628"/>
      <c r="P657" s="630"/>
      <c r="Q657" s="631"/>
      <c r="R657" s="715"/>
      <c r="S657" s="910"/>
      <c r="T657" s="632"/>
      <c r="U657" s="633"/>
      <c r="V657" s="634"/>
      <c r="W657" s="635"/>
      <c r="X657" s="636"/>
      <c r="Y657" s="637"/>
      <c r="Z657" s="921"/>
      <c r="AA657" s="636"/>
      <c r="AB657" s="1056"/>
      <c r="AC657" s="736" t="s">
        <v>4286</v>
      </c>
      <c r="AD657" s="317"/>
      <c r="AE657" s="669"/>
      <c r="AF657" s="718"/>
      <c r="AG657" s="211"/>
      <c r="AH657" s="210"/>
    </row>
    <row r="658" spans="1:34" s="4" customFormat="1">
      <c r="A658" s="2"/>
      <c r="B658" s="310" t="s">
        <v>115</v>
      </c>
      <c r="C658" s="311" t="s">
        <v>27</v>
      </c>
      <c r="D658" s="687"/>
      <c r="E658" s="688"/>
      <c r="F658" s="312" t="s">
        <v>4287</v>
      </c>
      <c r="G658" s="313">
        <v>44636</v>
      </c>
      <c r="H658" s="624"/>
      <c r="I658" s="625"/>
      <c r="J658" s="626"/>
      <c r="K658" s="627"/>
      <c r="L658" s="628"/>
      <c r="M658" s="629"/>
      <c r="N658" s="627"/>
      <c r="O658" s="628"/>
      <c r="P658" s="630"/>
      <c r="Q658" s="631"/>
      <c r="R658" s="715"/>
      <c r="S658" s="910"/>
      <c r="T658" s="632"/>
      <c r="U658" s="633"/>
      <c r="V658" s="634"/>
      <c r="W658" s="635"/>
      <c r="X658" s="636"/>
      <c r="Y658" s="637"/>
      <c r="Z658" s="921"/>
      <c r="AA658" s="636"/>
      <c r="AB658" s="1056"/>
      <c r="AC658" s="736" t="s">
        <v>4288</v>
      </c>
      <c r="AD658" s="317"/>
      <c r="AE658" s="669"/>
      <c r="AF658" s="718"/>
      <c r="AG658" s="211"/>
      <c r="AH658" s="210"/>
    </row>
    <row r="659" spans="1:34" s="4" customFormat="1">
      <c r="A659" s="2"/>
      <c r="B659" s="310" t="s">
        <v>115</v>
      </c>
      <c r="C659" s="311" t="s">
        <v>27</v>
      </c>
      <c r="D659" s="687"/>
      <c r="E659" s="688"/>
      <c r="F659" s="312" t="s">
        <v>4289</v>
      </c>
      <c r="G659" s="313">
        <v>44636</v>
      </c>
      <c r="H659" s="624"/>
      <c r="I659" s="625"/>
      <c r="J659" s="626"/>
      <c r="K659" s="627"/>
      <c r="L659" s="628"/>
      <c r="M659" s="629"/>
      <c r="N659" s="627"/>
      <c r="O659" s="628"/>
      <c r="P659" s="630"/>
      <c r="Q659" s="631"/>
      <c r="R659" s="715"/>
      <c r="S659" s="910"/>
      <c r="T659" s="632"/>
      <c r="U659" s="633"/>
      <c r="V659" s="634"/>
      <c r="W659" s="635"/>
      <c r="X659" s="636"/>
      <c r="Y659" s="637"/>
      <c r="Z659" s="921"/>
      <c r="AA659" s="636"/>
      <c r="AB659" s="1056"/>
      <c r="AC659" s="736" t="s">
        <v>4290</v>
      </c>
      <c r="AD659" s="317"/>
      <c r="AE659" s="669"/>
      <c r="AF659" s="718"/>
      <c r="AG659" s="211"/>
      <c r="AH659" s="210"/>
    </row>
    <row r="660" spans="1:34" s="4" customFormat="1">
      <c r="A660" s="2"/>
      <c r="B660" s="310" t="s">
        <v>115</v>
      </c>
      <c r="C660" s="311" t="s">
        <v>27</v>
      </c>
      <c r="D660" s="687"/>
      <c r="E660" s="688"/>
      <c r="F660" s="312" t="s">
        <v>4291</v>
      </c>
      <c r="G660" s="313">
        <v>44637</v>
      </c>
      <c r="H660" s="624"/>
      <c r="I660" s="625"/>
      <c r="J660" s="626"/>
      <c r="K660" s="627"/>
      <c r="L660" s="628"/>
      <c r="M660" s="629"/>
      <c r="N660" s="627"/>
      <c r="O660" s="628"/>
      <c r="P660" s="630"/>
      <c r="Q660" s="631"/>
      <c r="R660" s="715"/>
      <c r="S660" s="910"/>
      <c r="T660" s="632"/>
      <c r="U660" s="633"/>
      <c r="V660" s="634"/>
      <c r="W660" s="635"/>
      <c r="X660" s="636"/>
      <c r="Y660" s="637"/>
      <c r="Z660" s="921"/>
      <c r="AA660" s="636"/>
      <c r="AB660" s="1056"/>
      <c r="AC660" s="736" t="s">
        <v>4292</v>
      </c>
      <c r="AD660" s="317"/>
      <c r="AE660" s="669"/>
      <c r="AF660" s="718"/>
      <c r="AG660" s="211"/>
      <c r="AH660" s="210"/>
    </row>
    <row r="661" spans="1:34" s="4" customFormat="1">
      <c r="A661" s="2"/>
      <c r="B661" s="310" t="s">
        <v>115</v>
      </c>
      <c r="C661" s="311" t="s">
        <v>27</v>
      </c>
      <c r="D661" s="687"/>
      <c r="E661" s="688"/>
      <c r="F661" s="312" t="s">
        <v>4293</v>
      </c>
      <c r="G661" s="313">
        <v>44637</v>
      </c>
      <c r="H661" s="624"/>
      <c r="I661" s="625"/>
      <c r="J661" s="626"/>
      <c r="K661" s="627"/>
      <c r="L661" s="628"/>
      <c r="M661" s="629"/>
      <c r="N661" s="627"/>
      <c r="O661" s="628"/>
      <c r="P661" s="630"/>
      <c r="Q661" s="631"/>
      <c r="R661" s="715"/>
      <c r="S661" s="910"/>
      <c r="T661" s="632"/>
      <c r="U661" s="633"/>
      <c r="V661" s="634"/>
      <c r="W661" s="635"/>
      <c r="X661" s="636"/>
      <c r="Y661" s="637"/>
      <c r="Z661" s="921"/>
      <c r="AA661" s="636"/>
      <c r="AB661" s="1056"/>
      <c r="AC661" s="736" t="s">
        <v>4294</v>
      </c>
      <c r="AD661" s="317"/>
      <c r="AE661" s="669"/>
      <c r="AF661" s="718"/>
      <c r="AG661" s="211"/>
      <c r="AH661" s="210"/>
    </row>
    <row r="662" spans="1:34" s="4" customFormat="1">
      <c r="A662" s="2"/>
      <c r="B662" s="310" t="s">
        <v>115</v>
      </c>
      <c r="C662" s="311" t="s">
        <v>27</v>
      </c>
      <c r="D662" s="687"/>
      <c r="E662" s="688"/>
      <c r="F662" s="312" t="s">
        <v>4295</v>
      </c>
      <c r="G662" s="313">
        <v>44638</v>
      </c>
      <c r="H662" s="624"/>
      <c r="I662" s="625"/>
      <c r="J662" s="626"/>
      <c r="K662" s="627"/>
      <c r="L662" s="628"/>
      <c r="M662" s="629"/>
      <c r="N662" s="627"/>
      <c r="O662" s="628"/>
      <c r="P662" s="630"/>
      <c r="Q662" s="631"/>
      <c r="R662" s="715"/>
      <c r="S662" s="910"/>
      <c r="T662" s="632"/>
      <c r="U662" s="633"/>
      <c r="V662" s="634"/>
      <c r="W662" s="635"/>
      <c r="X662" s="636"/>
      <c r="Y662" s="637"/>
      <c r="Z662" s="921"/>
      <c r="AA662" s="636"/>
      <c r="AB662" s="1056"/>
      <c r="AC662" s="736" t="s">
        <v>4296</v>
      </c>
      <c r="AD662" s="317"/>
      <c r="AE662" s="669"/>
      <c r="AF662" s="718"/>
      <c r="AG662" s="211"/>
      <c r="AH662" s="210"/>
    </row>
    <row r="663" spans="1:34" s="4" customFormat="1">
      <c r="A663" s="2"/>
      <c r="B663" s="310" t="s">
        <v>115</v>
      </c>
      <c r="C663" s="311" t="s">
        <v>27</v>
      </c>
      <c r="D663" s="687"/>
      <c r="E663" s="688"/>
      <c r="F663" s="312" t="s">
        <v>4297</v>
      </c>
      <c r="G663" s="313">
        <v>44638</v>
      </c>
      <c r="H663" s="624"/>
      <c r="I663" s="625"/>
      <c r="J663" s="626"/>
      <c r="K663" s="627"/>
      <c r="L663" s="628"/>
      <c r="M663" s="629"/>
      <c r="N663" s="627"/>
      <c r="O663" s="628"/>
      <c r="P663" s="630"/>
      <c r="Q663" s="631"/>
      <c r="R663" s="715"/>
      <c r="S663" s="910"/>
      <c r="T663" s="632"/>
      <c r="U663" s="633"/>
      <c r="V663" s="634"/>
      <c r="W663" s="635"/>
      <c r="X663" s="636"/>
      <c r="Y663" s="637"/>
      <c r="Z663" s="921"/>
      <c r="AA663" s="636"/>
      <c r="AB663" s="1056"/>
      <c r="AC663" s="736" t="s">
        <v>4298</v>
      </c>
      <c r="AD663" s="317"/>
      <c r="AE663" s="669"/>
      <c r="AF663" s="718"/>
      <c r="AG663" s="211"/>
      <c r="AH663" s="210"/>
    </row>
    <row r="664" spans="1:34" s="4" customFormat="1">
      <c r="A664" s="2"/>
      <c r="B664" s="310" t="s">
        <v>106</v>
      </c>
      <c r="C664" s="311" t="s">
        <v>33</v>
      </c>
      <c r="D664" s="687" t="s">
        <v>4299</v>
      </c>
      <c r="E664" s="688"/>
      <c r="F664" s="312" t="s">
        <v>4300</v>
      </c>
      <c r="G664" s="313">
        <v>44641</v>
      </c>
      <c r="H664" s="624" t="s">
        <v>4301</v>
      </c>
      <c r="I664" s="625">
        <v>44715</v>
      </c>
      <c r="J664" s="626">
        <v>25000</v>
      </c>
      <c r="K664" s="627" t="s">
        <v>4302</v>
      </c>
      <c r="L664" s="628">
        <v>44663</v>
      </c>
      <c r="M664" s="629">
        <v>10000</v>
      </c>
      <c r="N664" s="627" t="s">
        <v>4303</v>
      </c>
      <c r="O664" s="628">
        <v>44684</v>
      </c>
      <c r="P664" s="630" t="s">
        <v>4304</v>
      </c>
      <c r="Q664" s="631">
        <v>44721</v>
      </c>
      <c r="R664" s="715">
        <v>44736</v>
      </c>
      <c r="S664" s="1068"/>
      <c r="T664" s="632">
        <v>37790.29</v>
      </c>
      <c r="U664" s="633" t="s">
        <v>4305</v>
      </c>
      <c r="V664" s="634">
        <v>44750</v>
      </c>
      <c r="W664" s="635" t="s">
        <v>2302</v>
      </c>
      <c r="X664" s="636">
        <v>33163.51</v>
      </c>
      <c r="Y664" s="636">
        <v>33163.51</v>
      </c>
      <c r="Z664" s="987">
        <f t="shared" ref="Z664" si="35">Y664/X664</f>
        <v>1</v>
      </c>
      <c r="AA664" s="636"/>
      <c r="AB664" s="1055">
        <v>0</v>
      </c>
      <c r="AC664" s="912" t="s">
        <v>4306</v>
      </c>
      <c r="AD664" s="913" t="s">
        <v>4307</v>
      </c>
      <c r="AE664" s="669"/>
      <c r="AF664" s="704"/>
      <c r="AG664" s="211"/>
      <c r="AH664" s="210"/>
    </row>
    <row r="665" spans="1:34" s="4" customFormat="1">
      <c r="A665" s="2"/>
      <c r="B665" s="310" t="s">
        <v>115</v>
      </c>
      <c r="C665" s="311" t="s">
        <v>27</v>
      </c>
      <c r="D665" s="687"/>
      <c r="E665" s="688"/>
      <c r="F665" s="312" t="s">
        <v>4308</v>
      </c>
      <c r="G665" s="313">
        <v>44641</v>
      </c>
      <c r="H665" s="624"/>
      <c r="I665" s="625"/>
      <c r="J665" s="626"/>
      <c r="K665" s="627"/>
      <c r="L665" s="628"/>
      <c r="M665" s="629"/>
      <c r="N665" s="627"/>
      <c r="O665" s="628"/>
      <c r="P665" s="630"/>
      <c r="Q665" s="631"/>
      <c r="R665" s="715"/>
      <c r="S665" s="910"/>
      <c r="T665" s="632"/>
      <c r="U665" s="633"/>
      <c r="V665" s="634"/>
      <c r="W665" s="635"/>
      <c r="X665" s="636"/>
      <c r="Y665" s="637"/>
      <c r="Z665" s="921"/>
      <c r="AA665" s="636"/>
      <c r="AB665" s="1056"/>
      <c r="AC665" s="736" t="s">
        <v>4309</v>
      </c>
      <c r="AD665" s="317"/>
      <c r="AE665" s="669"/>
      <c r="AF665" s="718"/>
      <c r="AG665" s="211"/>
      <c r="AH665" s="210"/>
    </row>
    <row r="666" spans="1:34" s="4" customFormat="1">
      <c r="A666" s="2"/>
      <c r="B666" s="310" t="s">
        <v>115</v>
      </c>
      <c r="C666" s="311" t="s">
        <v>27</v>
      </c>
      <c r="D666" s="687"/>
      <c r="E666" s="688"/>
      <c r="F666" s="312" t="s">
        <v>4310</v>
      </c>
      <c r="G666" s="313">
        <v>44642</v>
      </c>
      <c r="H666" s="624"/>
      <c r="I666" s="625"/>
      <c r="J666" s="626"/>
      <c r="K666" s="627"/>
      <c r="L666" s="628"/>
      <c r="M666" s="629"/>
      <c r="N666" s="627"/>
      <c r="O666" s="628"/>
      <c r="P666" s="630"/>
      <c r="Q666" s="631"/>
      <c r="R666" s="715"/>
      <c r="S666" s="910"/>
      <c r="T666" s="632"/>
      <c r="U666" s="633"/>
      <c r="V666" s="634"/>
      <c r="W666" s="635"/>
      <c r="X666" s="636"/>
      <c r="Y666" s="637"/>
      <c r="Z666" s="921"/>
      <c r="AA666" s="636"/>
      <c r="AB666" s="1056"/>
      <c r="AC666" s="736" t="s">
        <v>4311</v>
      </c>
      <c r="AD666" s="317"/>
      <c r="AE666" s="669"/>
      <c r="AF666" s="718"/>
      <c r="AG666" s="211"/>
      <c r="AH666" s="210"/>
    </row>
    <row r="667" spans="1:34" s="4" customFormat="1">
      <c r="A667" s="2"/>
      <c r="B667" s="310" t="s">
        <v>115</v>
      </c>
      <c r="C667" s="311" t="s">
        <v>27</v>
      </c>
      <c r="D667" s="687"/>
      <c r="E667" s="688"/>
      <c r="F667" s="312" t="s">
        <v>4312</v>
      </c>
      <c r="G667" s="313">
        <v>44643</v>
      </c>
      <c r="H667" s="624"/>
      <c r="I667" s="625"/>
      <c r="J667" s="626"/>
      <c r="K667" s="627"/>
      <c r="L667" s="628"/>
      <c r="M667" s="629"/>
      <c r="N667" s="627"/>
      <c r="O667" s="628"/>
      <c r="P667" s="630"/>
      <c r="Q667" s="631"/>
      <c r="R667" s="715"/>
      <c r="S667" s="910"/>
      <c r="T667" s="632"/>
      <c r="U667" s="633"/>
      <c r="V667" s="634"/>
      <c r="W667" s="635"/>
      <c r="X667" s="636"/>
      <c r="Y667" s="637"/>
      <c r="Z667" s="921"/>
      <c r="AA667" s="636"/>
      <c r="AB667" s="1056"/>
      <c r="AC667" s="736" t="s">
        <v>4313</v>
      </c>
      <c r="AD667" s="317"/>
      <c r="AE667" s="669"/>
      <c r="AF667" s="704"/>
      <c r="AG667" s="211"/>
      <c r="AH667" s="210"/>
    </row>
    <row r="668" spans="1:34" s="4" customFormat="1">
      <c r="A668" s="2"/>
      <c r="B668" s="310" t="s">
        <v>106</v>
      </c>
      <c r="C668" s="311" t="s">
        <v>33</v>
      </c>
      <c r="D668" s="687" t="s">
        <v>4314</v>
      </c>
      <c r="E668" s="688"/>
      <c r="F668" s="312" t="s">
        <v>4315</v>
      </c>
      <c r="G668" s="313">
        <v>44643</v>
      </c>
      <c r="H668" s="624" t="s">
        <v>4316</v>
      </c>
      <c r="I668" s="625">
        <v>44746</v>
      </c>
      <c r="J668" s="626">
        <v>98670</v>
      </c>
      <c r="K668" s="627" t="s">
        <v>4317</v>
      </c>
      <c r="L668" s="628">
        <v>44740</v>
      </c>
      <c r="M668" s="629">
        <v>10000</v>
      </c>
      <c r="N668" s="627" t="s">
        <v>4318</v>
      </c>
      <c r="O668" s="628"/>
      <c r="P668" s="630" t="s">
        <v>4319</v>
      </c>
      <c r="Q668" s="631">
        <v>44881</v>
      </c>
      <c r="R668" s="715">
        <v>45042</v>
      </c>
      <c r="S668" s="1068"/>
      <c r="T668" s="632">
        <v>182986.65</v>
      </c>
      <c r="U668" s="633" t="s">
        <v>4320</v>
      </c>
      <c r="V668" s="634">
        <v>45041</v>
      </c>
      <c r="W668" s="635" t="s">
        <v>2302</v>
      </c>
      <c r="X668" s="636">
        <v>182986.65</v>
      </c>
      <c r="Y668" s="636">
        <v>182986.65</v>
      </c>
      <c r="Z668" s="987">
        <f t="shared" ref="Z668" si="36">Y668/X668</f>
        <v>1</v>
      </c>
      <c r="AA668" s="636"/>
      <c r="AB668" s="1055">
        <v>0</v>
      </c>
      <c r="AC668" s="912" t="s">
        <v>4321</v>
      </c>
      <c r="AD668" s="913"/>
      <c r="AE668" s="669"/>
      <c r="AF668" s="704"/>
      <c r="AG668" s="211"/>
      <c r="AH668" s="210"/>
    </row>
    <row r="669" spans="1:34" s="4" customFormat="1">
      <c r="A669" s="2"/>
      <c r="B669" s="310" t="s">
        <v>115</v>
      </c>
      <c r="C669" s="311" t="s">
        <v>27</v>
      </c>
      <c r="D669" s="687"/>
      <c r="E669" s="688"/>
      <c r="F669" s="312" t="s">
        <v>4322</v>
      </c>
      <c r="G669" s="313">
        <v>44643</v>
      </c>
      <c r="H669" s="624"/>
      <c r="I669" s="625"/>
      <c r="J669" s="626"/>
      <c r="K669" s="627"/>
      <c r="L669" s="628"/>
      <c r="M669" s="629"/>
      <c r="N669" s="627" t="s">
        <v>4323</v>
      </c>
      <c r="O669" s="628">
        <v>44706</v>
      </c>
      <c r="P669" s="630"/>
      <c r="Q669" s="631"/>
      <c r="R669" s="715"/>
      <c r="S669" s="910"/>
      <c r="T669" s="632"/>
      <c r="U669" s="633"/>
      <c r="V669" s="634"/>
      <c r="W669" s="635"/>
      <c r="X669" s="636"/>
      <c r="Y669" s="637"/>
      <c r="Z669" s="921"/>
      <c r="AA669" s="636"/>
      <c r="AB669" s="1056"/>
      <c r="AC669" s="736" t="s">
        <v>4324</v>
      </c>
      <c r="AD669" s="317"/>
      <c r="AE669" s="669"/>
      <c r="AF669" s="704"/>
      <c r="AG669" s="211"/>
      <c r="AH669" s="210"/>
    </row>
    <row r="670" spans="1:34" s="4" customFormat="1">
      <c r="A670" s="2"/>
      <c r="B670" s="310" t="s">
        <v>115</v>
      </c>
      <c r="C670" s="311" t="s">
        <v>27</v>
      </c>
      <c r="D670" s="687"/>
      <c r="E670" s="688"/>
      <c r="F670" s="312" t="s">
        <v>4325</v>
      </c>
      <c r="G670" s="313">
        <v>44643</v>
      </c>
      <c r="H670" s="624"/>
      <c r="I670" s="625"/>
      <c r="J670" s="626"/>
      <c r="K670" s="627"/>
      <c r="L670" s="628"/>
      <c r="M670" s="629"/>
      <c r="N670" s="627"/>
      <c r="O670" s="628"/>
      <c r="P670" s="630"/>
      <c r="Q670" s="631"/>
      <c r="R670" s="715"/>
      <c r="S670" s="910"/>
      <c r="T670" s="632"/>
      <c r="U670" s="633"/>
      <c r="V670" s="634"/>
      <c r="W670" s="635"/>
      <c r="X670" s="636"/>
      <c r="Y670" s="637"/>
      <c r="Z670" s="921"/>
      <c r="AA670" s="636"/>
      <c r="AB670" s="1056"/>
      <c r="AC670" s="736" t="s">
        <v>4326</v>
      </c>
      <c r="AD670" s="317"/>
      <c r="AE670" s="669"/>
      <c r="AF670" s="718"/>
      <c r="AG670" s="211"/>
      <c r="AH670" s="210"/>
    </row>
    <row r="671" spans="1:34" s="4" customFormat="1">
      <c r="A671" s="2"/>
      <c r="B671" s="310" t="s">
        <v>119</v>
      </c>
      <c r="C671" s="311" t="s">
        <v>27</v>
      </c>
      <c r="D671" s="687" t="s">
        <v>4327</v>
      </c>
      <c r="E671" s="688"/>
      <c r="F671" s="312" t="s">
        <v>4328</v>
      </c>
      <c r="G671" s="313">
        <v>44644</v>
      </c>
      <c r="H671" s="624"/>
      <c r="I671" s="625"/>
      <c r="J671" s="626"/>
      <c r="K671" s="627"/>
      <c r="L671" s="628"/>
      <c r="M671" s="629"/>
      <c r="N671" s="627"/>
      <c r="O671" s="628"/>
      <c r="P671" s="630"/>
      <c r="Q671" s="631"/>
      <c r="R671" s="715"/>
      <c r="S671" s="910"/>
      <c r="T671" s="632"/>
      <c r="U671" s="633"/>
      <c r="V671" s="634"/>
      <c r="W671" s="635"/>
      <c r="X671" s="636"/>
      <c r="Y671" s="637"/>
      <c r="Z671" s="921"/>
      <c r="AA671" s="636"/>
      <c r="AB671" s="1056"/>
      <c r="AC671" s="736"/>
      <c r="AD671" s="317"/>
      <c r="AE671" s="669"/>
      <c r="AF671" s="704"/>
      <c r="AG671" s="211"/>
      <c r="AH671" s="210"/>
    </row>
    <row r="672" spans="1:34" s="4" customFormat="1">
      <c r="A672" s="2"/>
      <c r="B672" s="310" t="s">
        <v>106</v>
      </c>
      <c r="C672" s="311" t="s">
        <v>33</v>
      </c>
      <c r="D672" s="687" t="s">
        <v>4329</v>
      </c>
      <c r="E672" s="688"/>
      <c r="F672" s="312"/>
      <c r="G672" s="313"/>
      <c r="H672" s="624" t="s">
        <v>4330</v>
      </c>
      <c r="I672" s="625">
        <v>44708</v>
      </c>
      <c r="J672" s="626">
        <v>14482.69</v>
      </c>
      <c r="K672" s="627" t="s">
        <v>4331</v>
      </c>
      <c r="L672" s="628">
        <v>44622</v>
      </c>
      <c r="M672" s="629">
        <v>3000</v>
      </c>
      <c r="N672" s="627" t="s">
        <v>4332</v>
      </c>
      <c r="O672" s="628">
        <v>44624</v>
      </c>
      <c r="P672" s="630" t="s">
        <v>4333</v>
      </c>
      <c r="Q672" s="631">
        <v>44628</v>
      </c>
      <c r="R672" s="715"/>
      <c r="S672" s="1068"/>
      <c r="T672" s="632">
        <v>74669.48</v>
      </c>
      <c r="U672" s="633" t="s">
        <v>4334</v>
      </c>
      <c r="V672" s="634">
        <v>44722</v>
      </c>
      <c r="W672" s="635" t="s">
        <v>2302</v>
      </c>
      <c r="X672" s="636">
        <v>18368.84</v>
      </c>
      <c r="Y672" s="637">
        <v>18368.84</v>
      </c>
      <c r="Z672" s="987">
        <f t="shared" ref="Z672" si="37">Y672/X672</f>
        <v>1</v>
      </c>
      <c r="AA672" s="636"/>
      <c r="AB672" s="1055">
        <v>0</v>
      </c>
      <c r="AC672" s="912"/>
      <c r="AD672" s="913"/>
      <c r="AE672" s="669"/>
      <c r="AF672" s="704"/>
      <c r="AG672" s="211"/>
      <c r="AH672" s="210"/>
    </row>
    <row r="673" spans="1:34" s="4" customFormat="1">
      <c r="A673" s="2"/>
      <c r="B673" s="310" t="s">
        <v>106</v>
      </c>
      <c r="C673" s="311" t="s">
        <v>33</v>
      </c>
      <c r="D673" s="687" t="s">
        <v>4335</v>
      </c>
      <c r="E673" s="688"/>
      <c r="F673" s="312"/>
      <c r="G673" s="313"/>
      <c r="H673" s="624"/>
      <c r="I673" s="625"/>
      <c r="J673" s="626"/>
      <c r="K673" s="627" t="s">
        <v>4336</v>
      </c>
      <c r="L673" s="628">
        <v>44636</v>
      </c>
      <c r="M673" s="629">
        <v>4500</v>
      </c>
      <c r="N673" s="627" t="s">
        <v>4337</v>
      </c>
      <c r="O673" s="628">
        <v>44641</v>
      </c>
      <c r="P673" s="630" t="s">
        <v>4338</v>
      </c>
      <c r="Q673" s="631">
        <v>44656</v>
      </c>
      <c r="R673" s="715"/>
      <c r="S673" s="1068"/>
      <c r="T673" s="632">
        <v>13016.51</v>
      </c>
      <c r="U673" s="633" t="s">
        <v>4339</v>
      </c>
      <c r="V673" s="634">
        <v>44672</v>
      </c>
      <c r="W673" s="635" t="s">
        <v>105</v>
      </c>
      <c r="X673" s="636">
        <v>13016.51</v>
      </c>
      <c r="Y673" s="637">
        <v>13016.51</v>
      </c>
      <c r="Z673" s="733">
        <f t="shared" ref="Z673:Z674" si="38">Y673/X673</f>
        <v>1</v>
      </c>
      <c r="AA673" s="919"/>
      <c r="AB673" s="1055">
        <v>0</v>
      </c>
      <c r="AC673" s="912"/>
      <c r="AD673" s="913"/>
      <c r="AE673" s="669"/>
      <c r="AF673" s="704"/>
      <c r="AG673" s="211"/>
      <c r="AH673" s="210"/>
    </row>
    <row r="674" spans="1:34" s="4" customFormat="1">
      <c r="A674" s="2"/>
      <c r="B674" s="310" t="s">
        <v>106</v>
      </c>
      <c r="C674" s="311" t="s">
        <v>33</v>
      </c>
      <c r="D674" s="687" t="s">
        <v>4340</v>
      </c>
      <c r="E674" s="688"/>
      <c r="F674" s="312"/>
      <c r="G674" s="313"/>
      <c r="H674" s="624"/>
      <c r="I674" s="625"/>
      <c r="J674" s="626"/>
      <c r="K674" s="627" t="s">
        <v>4341</v>
      </c>
      <c r="L674" s="628">
        <v>44642</v>
      </c>
      <c r="M674" s="629">
        <v>1000</v>
      </c>
      <c r="N674" s="627" t="s">
        <v>4342</v>
      </c>
      <c r="O674" s="628">
        <v>44641</v>
      </c>
      <c r="P674" s="630" t="s">
        <v>4081</v>
      </c>
      <c r="Q674" s="631"/>
      <c r="R674" s="715"/>
      <c r="S674" s="1068"/>
      <c r="T674" s="632"/>
      <c r="U674" s="633" t="s">
        <v>4343</v>
      </c>
      <c r="V674" s="634">
        <v>44687</v>
      </c>
      <c r="W674" s="635" t="s">
        <v>2302</v>
      </c>
      <c r="X674" s="636">
        <v>2404.21</v>
      </c>
      <c r="Y674" s="637">
        <v>2404.21</v>
      </c>
      <c r="Z674" s="733">
        <f t="shared" si="38"/>
        <v>1</v>
      </c>
      <c r="AA674" s="919"/>
      <c r="AB674" s="1055">
        <v>0</v>
      </c>
      <c r="AC674" s="912"/>
      <c r="AD674" s="913"/>
      <c r="AE674" s="669"/>
      <c r="AF674" s="704"/>
      <c r="AG674" s="211"/>
      <c r="AH674" s="210"/>
    </row>
    <row r="675" spans="1:34" s="4" customFormat="1">
      <c r="A675" s="2"/>
      <c r="B675" s="310" t="s">
        <v>119</v>
      </c>
      <c r="C675" s="311" t="s">
        <v>27</v>
      </c>
      <c r="D675" s="687" t="s">
        <v>4344</v>
      </c>
      <c r="E675" s="688"/>
      <c r="F675" s="312" t="s">
        <v>4345</v>
      </c>
      <c r="G675" s="313">
        <v>44655</v>
      </c>
      <c r="H675" s="624"/>
      <c r="I675" s="625"/>
      <c r="J675" s="626"/>
      <c r="K675" s="627"/>
      <c r="L675" s="628"/>
      <c r="M675" s="629"/>
      <c r="N675" s="627"/>
      <c r="O675" s="628"/>
      <c r="P675" s="630"/>
      <c r="Q675" s="631"/>
      <c r="R675" s="715"/>
      <c r="S675" s="910"/>
      <c r="T675" s="632"/>
      <c r="U675" s="633"/>
      <c r="V675" s="634"/>
      <c r="W675" s="635"/>
      <c r="X675" s="636"/>
      <c r="Y675" s="637"/>
      <c r="Z675" s="725"/>
      <c r="AA675" s="636"/>
      <c r="AB675" s="1056"/>
      <c r="AC675" s="736"/>
      <c r="AD675" s="317"/>
      <c r="AE675" s="669"/>
      <c r="AF675" s="704"/>
      <c r="AG675" s="211"/>
      <c r="AH675" s="210"/>
    </row>
    <row r="676" spans="1:34" s="4" customFormat="1">
      <c r="A676" s="2"/>
      <c r="B676" s="310" t="s">
        <v>119</v>
      </c>
      <c r="C676" s="311" t="s">
        <v>27</v>
      </c>
      <c r="D676" s="687" t="s">
        <v>4346</v>
      </c>
      <c r="E676" s="688"/>
      <c r="F676" s="312" t="s">
        <v>4347</v>
      </c>
      <c r="G676" s="313">
        <v>44658</v>
      </c>
      <c r="H676" s="624"/>
      <c r="I676" s="625"/>
      <c r="J676" s="626"/>
      <c r="K676" s="627"/>
      <c r="L676" s="628"/>
      <c r="M676" s="629"/>
      <c r="N676" s="627"/>
      <c r="O676" s="628"/>
      <c r="P676" s="630"/>
      <c r="Q676" s="631"/>
      <c r="R676" s="715"/>
      <c r="S676" s="910"/>
      <c r="T676" s="632"/>
      <c r="U676" s="633"/>
      <c r="V676" s="634"/>
      <c r="W676" s="635"/>
      <c r="X676" s="636"/>
      <c r="Y676" s="637"/>
      <c r="Z676" s="725"/>
      <c r="AA676" s="636"/>
      <c r="AB676" s="1056"/>
      <c r="AC676" s="736"/>
      <c r="AD676" s="317"/>
      <c r="AE676" s="669"/>
      <c r="AF676" s="704"/>
      <c r="AG676" s="211"/>
      <c r="AH676" s="210"/>
    </row>
    <row r="677" spans="1:34" s="4" customFormat="1">
      <c r="A677" s="2"/>
      <c r="B677" s="310" t="s">
        <v>115</v>
      </c>
      <c r="C677" s="311" t="s">
        <v>27</v>
      </c>
      <c r="D677" s="687"/>
      <c r="E677" s="688"/>
      <c r="F677" s="312" t="s">
        <v>4348</v>
      </c>
      <c r="G677" s="313">
        <v>44644</v>
      </c>
      <c r="H677" s="624"/>
      <c r="I677" s="625"/>
      <c r="J677" s="626"/>
      <c r="K677" s="627"/>
      <c r="L677" s="628"/>
      <c r="M677" s="629"/>
      <c r="N677" s="627"/>
      <c r="O677" s="628"/>
      <c r="P677" s="630"/>
      <c r="Q677" s="631"/>
      <c r="R677" s="715"/>
      <c r="S677" s="910"/>
      <c r="T677" s="632"/>
      <c r="U677" s="633"/>
      <c r="V677" s="634"/>
      <c r="W677" s="635"/>
      <c r="X677" s="636"/>
      <c r="Y677" s="637"/>
      <c r="Z677" s="725"/>
      <c r="AA677" s="636"/>
      <c r="AB677" s="1056"/>
      <c r="AC677" s="736" t="s">
        <v>4349</v>
      </c>
      <c r="AD677" s="317"/>
      <c r="AE677" s="669"/>
      <c r="AF677" s="718"/>
      <c r="AG677" s="211"/>
      <c r="AH677" s="210"/>
    </row>
    <row r="678" spans="1:34" s="4" customFormat="1">
      <c r="A678" s="2"/>
      <c r="B678" s="310" t="s">
        <v>115</v>
      </c>
      <c r="C678" s="311" t="s">
        <v>27</v>
      </c>
      <c r="D678" s="687"/>
      <c r="E678" s="688"/>
      <c r="F678" s="312" t="s">
        <v>4350</v>
      </c>
      <c r="G678" s="313">
        <v>44644</v>
      </c>
      <c r="H678" s="624"/>
      <c r="I678" s="625"/>
      <c r="J678" s="626"/>
      <c r="K678" s="627"/>
      <c r="L678" s="628"/>
      <c r="M678" s="629"/>
      <c r="N678" s="627"/>
      <c r="O678" s="628"/>
      <c r="P678" s="630"/>
      <c r="Q678" s="631"/>
      <c r="R678" s="715"/>
      <c r="S678" s="910"/>
      <c r="T678" s="632"/>
      <c r="U678" s="633"/>
      <c r="V678" s="634"/>
      <c r="W678" s="635"/>
      <c r="X678" s="636"/>
      <c r="Y678" s="637"/>
      <c r="Z678" s="725"/>
      <c r="AA678" s="636"/>
      <c r="AB678" s="1056"/>
      <c r="AC678" s="736" t="s">
        <v>4351</v>
      </c>
      <c r="AD678" s="317"/>
      <c r="AE678" s="669"/>
      <c r="AF678" s="718"/>
      <c r="AG678" s="211"/>
      <c r="AH678" s="210"/>
    </row>
    <row r="679" spans="1:34" s="4" customFormat="1">
      <c r="A679" s="2"/>
      <c r="B679" s="310" t="s">
        <v>115</v>
      </c>
      <c r="C679" s="311" t="s">
        <v>27</v>
      </c>
      <c r="D679" s="687"/>
      <c r="E679" s="688"/>
      <c r="F679" s="312" t="s">
        <v>4352</v>
      </c>
      <c r="G679" s="313">
        <v>44651</v>
      </c>
      <c r="H679" s="624"/>
      <c r="I679" s="625"/>
      <c r="J679" s="626"/>
      <c r="K679" s="627"/>
      <c r="L679" s="628"/>
      <c r="M679" s="629"/>
      <c r="N679" s="627"/>
      <c r="O679" s="628"/>
      <c r="P679" s="630"/>
      <c r="Q679" s="631"/>
      <c r="R679" s="715"/>
      <c r="S679" s="910"/>
      <c r="T679" s="632"/>
      <c r="U679" s="633"/>
      <c r="V679" s="634"/>
      <c r="W679" s="635"/>
      <c r="X679" s="636"/>
      <c r="Y679" s="637"/>
      <c r="Z679" s="725"/>
      <c r="AA679" s="636"/>
      <c r="AB679" s="1056"/>
      <c r="AC679" s="736" t="s">
        <v>4353</v>
      </c>
      <c r="AD679" s="317"/>
      <c r="AE679" s="669"/>
      <c r="AF679" s="718"/>
      <c r="AG679" s="211"/>
      <c r="AH679" s="210"/>
    </row>
    <row r="680" spans="1:34" s="4" customFormat="1">
      <c r="A680" s="2"/>
      <c r="B680" s="310" t="s">
        <v>115</v>
      </c>
      <c r="C680" s="311" t="s">
        <v>27</v>
      </c>
      <c r="D680" s="687"/>
      <c r="E680" s="688"/>
      <c r="F680" s="312" t="s">
        <v>4354</v>
      </c>
      <c r="G680" s="313">
        <v>44651</v>
      </c>
      <c r="H680" s="624"/>
      <c r="I680" s="625"/>
      <c r="J680" s="626"/>
      <c r="K680" s="627"/>
      <c r="L680" s="628"/>
      <c r="M680" s="629"/>
      <c r="N680" s="627"/>
      <c r="O680" s="628"/>
      <c r="P680" s="630"/>
      <c r="Q680" s="631"/>
      <c r="R680" s="715"/>
      <c r="S680" s="910"/>
      <c r="T680" s="632"/>
      <c r="U680" s="633"/>
      <c r="V680" s="634"/>
      <c r="W680" s="635"/>
      <c r="X680" s="636"/>
      <c r="Y680" s="637"/>
      <c r="Z680" s="725"/>
      <c r="AA680" s="636"/>
      <c r="AB680" s="1056"/>
      <c r="AC680" s="736" t="s">
        <v>4355</v>
      </c>
      <c r="AD680" s="317"/>
      <c r="AE680" s="669"/>
      <c r="AF680" s="718"/>
      <c r="AG680" s="211"/>
      <c r="AH680" s="210"/>
    </row>
    <row r="681" spans="1:34" s="4" customFormat="1">
      <c r="A681" s="2"/>
      <c r="B681" s="310" t="s">
        <v>115</v>
      </c>
      <c r="C681" s="311" t="s">
        <v>27</v>
      </c>
      <c r="D681" s="687"/>
      <c r="E681" s="688"/>
      <c r="F681" s="312" t="s">
        <v>4356</v>
      </c>
      <c r="G681" s="313">
        <v>44655</v>
      </c>
      <c r="H681" s="624"/>
      <c r="I681" s="625"/>
      <c r="J681" s="626"/>
      <c r="K681" s="627"/>
      <c r="L681" s="628"/>
      <c r="M681" s="629"/>
      <c r="N681" s="627"/>
      <c r="O681" s="628"/>
      <c r="P681" s="630"/>
      <c r="Q681" s="631"/>
      <c r="R681" s="715"/>
      <c r="S681" s="910"/>
      <c r="T681" s="632"/>
      <c r="U681" s="633"/>
      <c r="V681" s="634"/>
      <c r="W681" s="635"/>
      <c r="X681" s="636"/>
      <c r="Y681" s="637"/>
      <c r="Z681" s="725"/>
      <c r="AA681" s="636"/>
      <c r="AB681" s="1056"/>
      <c r="AC681" s="736" t="s">
        <v>4357</v>
      </c>
      <c r="AD681" s="317"/>
      <c r="AE681" s="669"/>
      <c r="AF681" s="718"/>
      <c r="AG681" s="211"/>
      <c r="AH681" s="210"/>
    </row>
    <row r="682" spans="1:34" s="4" customFormat="1">
      <c r="A682" s="2"/>
      <c r="B682" s="310" t="s">
        <v>115</v>
      </c>
      <c r="C682" s="311" t="s">
        <v>27</v>
      </c>
      <c r="D682" s="687"/>
      <c r="E682" s="688"/>
      <c r="F682" s="312" t="s">
        <v>4358</v>
      </c>
      <c r="G682" s="313">
        <v>44656</v>
      </c>
      <c r="H682" s="624"/>
      <c r="I682" s="625"/>
      <c r="J682" s="626"/>
      <c r="K682" s="627"/>
      <c r="L682" s="628"/>
      <c r="M682" s="629"/>
      <c r="N682" s="627"/>
      <c r="O682" s="628"/>
      <c r="P682" s="630"/>
      <c r="Q682" s="631"/>
      <c r="R682" s="715"/>
      <c r="S682" s="910"/>
      <c r="T682" s="632"/>
      <c r="U682" s="633"/>
      <c r="V682" s="634"/>
      <c r="W682" s="635"/>
      <c r="X682" s="636"/>
      <c r="Y682" s="637"/>
      <c r="Z682" s="725"/>
      <c r="AA682" s="636"/>
      <c r="AB682" s="1056"/>
      <c r="AC682" s="736" t="s">
        <v>4359</v>
      </c>
      <c r="AD682" s="317"/>
      <c r="AE682" s="669"/>
      <c r="AF682" s="718"/>
      <c r="AG682" s="211"/>
      <c r="AH682" s="210"/>
    </row>
    <row r="683" spans="1:34" s="4" customFormat="1">
      <c r="A683" s="2"/>
      <c r="B683" s="310" t="s">
        <v>106</v>
      </c>
      <c r="C683" s="311" t="s">
        <v>33</v>
      </c>
      <c r="D683" s="687" t="s">
        <v>4360</v>
      </c>
      <c r="E683" s="688"/>
      <c r="F683" s="312" t="s">
        <v>4361</v>
      </c>
      <c r="G683" s="313">
        <v>44656</v>
      </c>
      <c r="H683" s="624"/>
      <c r="I683" s="625"/>
      <c r="J683" s="626"/>
      <c r="K683" s="627" t="s">
        <v>4362</v>
      </c>
      <c r="L683" s="628">
        <v>44673</v>
      </c>
      <c r="M683" s="629">
        <v>-5745</v>
      </c>
      <c r="N683" s="627" t="s">
        <v>4363</v>
      </c>
      <c r="O683" s="628">
        <v>44672</v>
      </c>
      <c r="P683" s="630" t="s">
        <v>4364</v>
      </c>
      <c r="Q683" s="631"/>
      <c r="R683" s="715"/>
      <c r="S683" s="1068"/>
      <c r="T683" s="632"/>
      <c r="U683" s="633" t="s">
        <v>4365</v>
      </c>
      <c r="V683" s="634">
        <v>44694</v>
      </c>
      <c r="W683" s="635" t="s">
        <v>74</v>
      </c>
      <c r="X683" s="636">
        <v>-5745</v>
      </c>
      <c r="Y683" s="637">
        <v>-5745</v>
      </c>
      <c r="Z683" s="733">
        <f>Y683/X683</f>
        <v>1</v>
      </c>
      <c r="AA683" s="919"/>
      <c r="AB683" s="1055">
        <v>0</v>
      </c>
      <c r="AC683" s="912" t="s">
        <v>4366</v>
      </c>
      <c r="AD683" s="913"/>
      <c r="AE683" s="669"/>
      <c r="AF683" s="704"/>
      <c r="AG683" s="211"/>
      <c r="AH683" s="210"/>
    </row>
    <row r="684" spans="1:34" s="4" customFormat="1">
      <c r="A684" s="2"/>
      <c r="B684" s="310" t="s">
        <v>115</v>
      </c>
      <c r="C684" s="311" t="s">
        <v>27</v>
      </c>
      <c r="D684" s="687"/>
      <c r="E684" s="688"/>
      <c r="F684" s="312" t="s">
        <v>4367</v>
      </c>
      <c r="G684" s="313">
        <v>44657</v>
      </c>
      <c r="H684" s="624"/>
      <c r="I684" s="625"/>
      <c r="J684" s="626"/>
      <c r="K684" s="627"/>
      <c r="L684" s="628"/>
      <c r="M684" s="629"/>
      <c r="N684" s="627"/>
      <c r="O684" s="628"/>
      <c r="P684" s="630"/>
      <c r="Q684" s="631"/>
      <c r="R684" s="715"/>
      <c r="S684" s="910"/>
      <c r="T684" s="632"/>
      <c r="U684" s="633"/>
      <c r="V684" s="634"/>
      <c r="W684" s="635"/>
      <c r="X684" s="636"/>
      <c r="Y684" s="637"/>
      <c r="Z684" s="725"/>
      <c r="AA684" s="636"/>
      <c r="AB684" s="1056"/>
      <c r="AC684" s="736" t="s">
        <v>4368</v>
      </c>
      <c r="AD684" s="317"/>
      <c r="AE684" s="669"/>
      <c r="AF684" s="718"/>
      <c r="AG684" s="211"/>
      <c r="AH684" s="210"/>
    </row>
    <row r="685" spans="1:34" s="4" customFormat="1">
      <c r="A685" s="2"/>
      <c r="B685" s="310" t="s">
        <v>115</v>
      </c>
      <c r="C685" s="311" t="s">
        <v>27</v>
      </c>
      <c r="D685" s="687"/>
      <c r="E685" s="688"/>
      <c r="F685" s="312" t="s">
        <v>4369</v>
      </c>
      <c r="G685" s="313">
        <v>44657</v>
      </c>
      <c r="H685" s="624"/>
      <c r="I685" s="625"/>
      <c r="J685" s="626"/>
      <c r="K685" s="627"/>
      <c r="L685" s="628"/>
      <c r="M685" s="629"/>
      <c r="N685" s="627"/>
      <c r="O685" s="628"/>
      <c r="P685" s="630"/>
      <c r="Q685" s="631"/>
      <c r="R685" s="715"/>
      <c r="S685" s="910"/>
      <c r="T685" s="632"/>
      <c r="U685" s="633"/>
      <c r="V685" s="634"/>
      <c r="W685" s="635"/>
      <c r="X685" s="636"/>
      <c r="Y685" s="637"/>
      <c r="Z685" s="725"/>
      <c r="AA685" s="636"/>
      <c r="AB685" s="1056"/>
      <c r="AC685" s="736" t="s">
        <v>4370</v>
      </c>
      <c r="AD685" s="317"/>
      <c r="AE685" s="669"/>
      <c r="AF685" s="704"/>
      <c r="AG685" s="211"/>
      <c r="AH685" s="210"/>
    </row>
    <row r="686" spans="1:34" s="4" customFormat="1">
      <c r="A686" s="2"/>
      <c r="B686" s="310" t="s">
        <v>115</v>
      </c>
      <c r="C686" s="311" t="s">
        <v>27</v>
      </c>
      <c r="D686" s="687"/>
      <c r="E686" s="688"/>
      <c r="F686" s="312" t="s">
        <v>4371</v>
      </c>
      <c r="G686" s="313">
        <v>44657</v>
      </c>
      <c r="H686" s="624"/>
      <c r="I686" s="625"/>
      <c r="J686" s="626"/>
      <c r="K686" s="627"/>
      <c r="L686" s="628"/>
      <c r="M686" s="629"/>
      <c r="N686" s="627"/>
      <c r="O686" s="628"/>
      <c r="P686" s="630"/>
      <c r="Q686" s="631"/>
      <c r="R686" s="715"/>
      <c r="S686" s="910"/>
      <c r="T686" s="632"/>
      <c r="U686" s="633"/>
      <c r="V686" s="634"/>
      <c r="W686" s="635"/>
      <c r="X686" s="636"/>
      <c r="Y686" s="637"/>
      <c r="Z686" s="725"/>
      <c r="AA686" s="636"/>
      <c r="AB686" s="1056"/>
      <c r="AC686" s="736" t="s">
        <v>4372</v>
      </c>
      <c r="AD686" s="317"/>
      <c r="AE686" s="669"/>
      <c r="AF686" s="704"/>
      <c r="AG686" s="211"/>
      <c r="AH686" s="210"/>
    </row>
    <row r="687" spans="1:34" s="4" customFormat="1">
      <c r="A687" s="2"/>
      <c r="B687" s="310" t="s">
        <v>115</v>
      </c>
      <c r="C687" s="311" t="s">
        <v>27</v>
      </c>
      <c r="D687" s="687"/>
      <c r="E687" s="688"/>
      <c r="F687" s="312" t="s">
        <v>4373</v>
      </c>
      <c r="G687" s="313">
        <v>44658</v>
      </c>
      <c r="H687" s="624"/>
      <c r="I687" s="625"/>
      <c r="J687" s="626"/>
      <c r="K687" s="627"/>
      <c r="L687" s="628"/>
      <c r="M687" s="629"/>
      <c r="N687" s="627"/>
      <c r="O687" s="628"/>
      <c r="P687" s="630"/>
      <c r="Q687" s="631"/>
      <c r="R687" s="715"/>
      <c r="S687" s="910"/>
      <c r="T687" s="632"/>
      <c r="U687" s="633"/>
      <c r="V687" s="634"/>
      <c r="W687" s="635"/>
      <c r="X687" s="636"/>
      <c r="Y687" s="637"/>
      <c r="Z687" s="725"/>
      <c r="AA687" s="636"/>
      <c r="AB687" s="1056"/>
      <c r="AC687" s="736" t="s">
        <v>4374</v>
      </c>
      <c r="AD687" s="317"/>
      <c r="AE687" s="669"/>
      <c r="AF687" s="718"/>
      <c r="AG687" s="211"/>
      <c r="AH687" s="210"/>
    </row>
    <row r="688" spans="1:34" s="4" customFormat="1">
      <c r="A688" s="2"/>
      <c r="B688" s="310" t="s">
        <v>115</v>
      </c>
      <c r="C688" s="311" t="s">
        <v>27</v>
      </c>
      <c r="D688" s="687"/>
      <c r="E688" s="688"/>
      <c r="F688" s="312" t="s">
        <v>4375</v>
      </c>
      <c r="G688" s="313">
        <v>44659</v>
      </c>
      <c r="H688" s="624"/>
      <c r="I688" s="625"/>
      <c r="J688" s="626"/>
      <c r="K688" s="627"/>
      <c r="L688" s="628"/>
      <c r="M688" s="629"/>
      <c r="N688" s="627"/>
      <c r="O688" s="628"/>
      <c r="P688" s="630"/>
      <c r="Q688" s="631"/>
      <c r="R688" s="715"/>
      <c r="S688" s="910"/>
      <c r="T688" s="632"/>
      <c r="U688" s="633"/>
      <c r="V688" s="634"/>
      <c r="W688" s="635"/>
      <c r="X688" s="636"/>
      <c r="Y688" s="637"/>
      <c r="Z688" s="725"/>
      <c r="AA688" s="636"/>
      <c r="AB688" s="1056"/>
      <c r="AC688" s="736" t="s">
        <v>4376</v>
      </c>
      <c r="AD688" s="317"/>
      <c r="AE688" s="669">
        <v>44666</v>
      </c>
      <c r="AF688" s="704"/>
      <c r="AG688" s="211"/>
      <c r="AH688" s="210"/>
    </row>
    <row r="689" spans="1:34" s="4" customFormat="1">
      <c r="A689" s="2"/>
      <c r="B689" s="310" t="s">
        <v>106</v>
      </c>
      <c r="C689" s="311" t="s">
        <v>33</v>
      </c>
      <c r="D689" s="687" t="s">
        <v>4377</v>
      </c>
      <c r="E689" s="688"/>
      <c r="F689" s="312" t="s">
        <v>4378</v>
      </c>
      <c r="G689" s="313">
        <v>44659</v>
      </c>
      <c r="H689" s="624"/>
      <c r="I689" s="625"/>
      <c r="J689" s="626"/>
      <c r="K689" s="627" t="s">
        <v>4379</v>
      </c>
      <c r="L689" s="628">
        <v>44713</v>
      </c>
      <c r="M689" s="629"/>
      <c r="N689" s="627" t="s">
        <v>4380</v>
      </c>
      <c r="O689" s="628"/>
      <c r="P689" s="630" t="s">
        <v>4381</v>
      </c>
      <c r="Q689" s="631"/>
      <c r="R689" s="715"/>
      <c r="S689" s="1068"/>
      <c r="T689" s="632">
        <v>1768</v>
      </c>
      <c r="U689" s="633" t="s">
        <v>4382</v>
      </c>
      <c r="V689" s="634">
        <v>44736</v>
      </c>
      <c r="W689" s="635" t="s">
        <v>2302</v>
      </c>
      <c r="X689" s="636">
        <v>1768</v>
      </c>
      <c r="Y689" s="637">
        <v>1768</v>
      </c>
      <c r="Z689" s="733">
        <f>Y689/X689</f>
        <v>1</v>
      </c>
      <c r="AA689" s="636"/>
      <c r="AB689" s="1055">
        <v>0</v>
      </c>
      <c r="AC689" s="912" t="s">
        <v>4383</v>
      </c>
      <c r="AD689" s="913"/>
      <c r="AE689" s="669">
        <v>44657</v>
      </c>
      <c r="AF689" s="718"/>
      <c r="AG689" s="211"/>
      <c r="AH689" s="210"/>
    </row>
    <row r="690" spans="1:34" s="4" customFormat="1">
      <c r="A690" s="2"/>
      <c r="B690" s="310" t="s">
        <v>115</v>
      </c>
      <c r="C690" s="311" t="s">
        <v>27</v>
      </c>
      <c r="D690" s="687"/>
      <c r="E690" s="688"/>
      <c r="F690" s="312" t="s">
        <v>4384</v>
      </c>
      <c r="G690" s="313">
        <v>44662</v>
      </c>
      <c r="H690" s="624"/>
      <c r="I690" s="625"/>
      <c r="J690" s="626"/>
      <c r="K690" s="627"/>
      <c r="L690" s="628"/>
      <c r="M690" s="629"/>
      <c r="N690" s="627"/>
      <c r="O690" s="628"/>
      <c r="P690" s="630"/>
      <c r="Q690" s="631"/>
      <c r="R690" s="715"/>
      <c r="S690" s="910"/>
      <c r="T690" s="632"/>
      <c r="U690" s="633"/>
      <c r="V690" s="634"/>
      <c r="W690" s="635"/>
      <c r="X690" s="636"/>
      <c r="Y690" s="637"/>
      <c r="Z690" s="725"/>
      <c r="AA690" s="636"/>
      <c r="AB690" s="1056"/>
      <c r="AC690" s="736" t="s">
        <v>4385</v>
      </c>
      <c r="AD690" s="317"/>
      <c r="AE690" s="669">
        <v>44669</v>
      </c>
      <c r="AF690" s="704"/>
      <c r="AG690" s="211"/>
      <c r="AH690" s="210"/>
    </row>
    <row r="691" spans="1:34" s="4" customFormat="1">
      <c r="A691" s="2"/>
      <c r="B691" s="310" t="s">
        <v>106</v>
      </c>
      <c r="C691" s="311" t="s">
        <v>33</v>
      </c>
      <c r="D691" s="687" t="s">
        <v>4386</v>
      </c>
      <c r="E691" s="688"/>
      <c r="F691" s="312" t="s">
        <v>4387</v>
      </c>
      <c r="G691" s="313">
        <v>44663</v>
      </c>
      <c r="H691" s="624" t="s">
        <v>4388</v>
      </c>
      <c r="I691" s="625">
        <v>44897</v>
      </c>
      <c r="J691" s="626">
        <v>55000</v>
      </c>
      <c r="K691" s="627" t="s">
        <v>4389</v>
      </c>
      <c r="L691" s="628">
        <v>44905</v>
      </c>
      <c r="M691" s="629">
        <v>67000</v>
      </c>
      <c r="N691" s="627" t="s">
        <v>4390</v>
      </c>
      <c r="O691" s="628">
        <v>44905</v>
      </c>
      <c r="P691" s="630" t="s">
        <v>4391</v>
      </c>
      <c r="Q691" s="631"/>
      <c r="R691" s="715"/>
      <c r="S691" s="1068"/>
      <c r="T691" s="632"/>
      <c r="U691" s="633" t="s">
        <v>4392</v>
      </c>
      <c r="V691" s="634">
        <v>45036</v>
      </c>
      <c r="W691" s="635" t="s">
        <v>109</v>
      </c>
      <c r="X691" s="636">
        <v>187378.3</v>
      </c>
      <c r="Y691" s="637">
        <v>187378.3</v>
      </c>
      <c r="Z691" s="733">
        <f>Y691/X691</f>
        <v>1</v>
      </c>
      <c r="AA691" s="636"/>
      <c r="AB691" s="1055">
        <v>0</v>
      </c>
      <c r="AC691" s="912" t="s">
        <v>4393</v>
      </c>
      <c r="AD691" s="913"/>
      <c r="AE691" s="669">
        <v>44670</v>
      </c>
      <c r="AF691" s="704"/>
      <c r="AG691" s="211"/>
      <c r="AH691" s="210"/>
    </row>
    <row r="692" spans="1:34" s="4" customFormat="1">
      <c r="A692" s="2"/>
      <c r="B692" s="310" t="s">
        <v>115</v>
      </c>
      <c r="C692" s="311" t="s">
        <v>27</v>
      </c>
      <c r="D692" s="687"/>
      <c r="E692" s="688"/>
      <c r="F692" s="312" t="s">
        <v>4394</v>
      </c>
      <c r="G692" s="313">
        <v>44669</v>
      </c>
      <c r="H692" s="624"/>
      <c r="I692" s="625"/>
      <c r="J692" s="626"/>
      <c r="K692" s="627"/>
      <c r="L692" s="628"/>
      <c r="M692" s="629"/>
      <c r="N692" s="627"/>
      <c r="O692" s="628"/>
      <c r="P692" s="630"/>
      <c r="Q692" s="631"/>
      <c r="R692" s="715"/>
      <c r="S692" s="910"/>
      <c r="T692" s="632"/>
      <c r="U692" s="633"/>
      <c r="V692" s="634"/>
      <c r="W692" s="635"/>
      <c r="X692" s="636"/>
      <c r="Y692" s="637"/>
      <c r="Z692" s="725"/>
      <c r="AA692" s="636"/>
      <c r="AB692" s="1056"/>
      <c r="AC692" s="736" t="s">
        <v>4395</v>
      </c>
      <c r="AD692" s="317"/>
      <c r="AE692" s="669">
        <v>44676</v>
      </c>
      <c r="AF692" s="704"/>
      <c r="AG692" s="211"/>
      <c r="AH692" s="210"/>
    </row>
    <row r="693" spans="1:34" s="4" customFormat="1">
      <c r="A693" s="2"/>
      <c r="B693" s="310" t="s">
        <v>115</v>
      </c>
      <c r="C693" s="311" t="s">
        <v>27</v>
      </c>
      <c r="D693" s="687"/>
      <c r="E693" s="688"/>
      <c r="F693" s="312" t="s">
        <v>4396</v>
      </c>
      <c r="G693" s="313">
        <v>44669</v>
      </c>
      <c r="H693" s="624"/>
      <c r="I693" s="625"/>
      <c r="J693" s="626"/>
      <c r="K693" s="627"/>
      <c r="L693" s="628"/>
      <c r="M693" s="629"/>
      <c r="N693" s="627"/>
      <c r="O693" s="628"/>
      <c r="P693" s="630"/>
      <c r="Q693" s="631"/>
      <c r="R693" s="715"/>
      <c r="S693" s="910"/>
      <c r="T693" s="632"/>
      <c r="U693" s="633"/>
      <c r="V693" s="634"/>
      <c r="W693" s="635"/>
      <c r="X693" s="636"/>
      <c r="Y693" s="637"/>
      <c r="Z693" s="725"/>
      <c r="AA693" s="636"/>
      <c r="AB693" s="1056"/>
      <c r="AC693" s="736" t="s">
        <v>4397</v>
      </c>
      <c r="AD693" s="317"/>
      <c r="AE693" s="669">
        <v>44676</v>
      </c>
      <c r="AF693" s="704"/>
      <c r="AG693" s="211"/>
      <c r="AH693" s="210"/>
    </row>
    <row r="694" spans="1:34" s="4" customFormat="1">
      <c r="A694" s="2"/>
      <c r="B694" s="310" t="s">
        <v>115</v>
      </c>
      <c r="C694" s="311" t="s">
        <v>27</v>
      </c>
      <c r="D694" s="687"/>
      <c r="E694" s="688"/>
      <c r="F694" s="312" t="s">
        <v>4398</v>
      </c>
      <c r="G694" s="313">
        <v>44669</v>
      </c>
      <c r="H694" s="624"/>
      <c r="I694" s="625"/>
      <c r="J694" s="626"/>
      <c r="K694" s="627"/>
      <c r="L694" s="628"/>
      <c r="M694" s="629"/>
      <c r="N694" s="627"/>
      <c r="O694" s="628"/>
      <c r="P694" s="630"/>
      <c r="Q694" s="631"/>
      <c r="R694" s="715"/>
      <c r="S694" s="910"/>
      <c r="T694" s="632"/>
      <c r="U694" s="633"/>
      <c r="V694" s="634"/>
      <c r="W694" s="635"/>
      <c r="X694" s="636"/>
      <c r="Y694" s="637"/>
      <c r="Z694" s="725"/>
      <c r="AA694" s="636"/>
      <c r="AB694" s="1056"/>
      <c r="AC694" s="736" t="s">
        <v>4399</v>
      </c>
      <c r="AD694" s="317"/>
      <c r="AE694" s="669">
        <v>44678</v>
      </c>
      <c r="AF694" s="704"/>
      <c r="AG694" s="211"/>
      <c r="AH694" s="210"/>
    </row>
    <row r="695" spans="1:34" s="4" customFormat="1">
      <c r="A695" s="2"/>
      <c r="B695" s="310" t="s">
        <v>115</v>
      </c>
      <c r="C695" s="311" t="s">
        <v>27</v>
      </c>
      <c r="D695" s="687"/>
      <c r="E695" s="688"/>
      <c r="F695" s="312" t="s">
        <v>4400</v>
      </c>
      <c r="G695" s="313">
        <v>44669</v>
      </c>
      <c r="H695" s="624"/>
      <c r="I695" s="625"/>
      <c r="J695" s="626"/>
      <c r="K695" s="627"/>
      <c r="L695" s="628"/>
      <c r="M695" s="629"/>
      <c r="N695" s="627"/>
      <c r="O695" s="628"/>
      <c r="P695" s="630"/>
      <c r="Q695" s="631"/>
      <c r="R695" s="715"/>
      <c r="S695" s="910"/>
      <c r="T695" s="632"/>
      <c r="U695" s="633"/>
      <c r="V695" s="634"/>
      <c r="W695" s="635"/>
      <c r="X695" s="636"/>
      <c r="Y695" s="637"/>
      <c r="Z695" s="725"/>
      <c r="AA695" s="636"/>
      <c r="AB695" s="1056"/>
      <c r="AC695" s="736" t="s">
        <v>4401</v>
      </c>
      <c r="AD695" s="317"/>
      <c r="AE695" s="669">
        <v>44680</v>
      </c>
      <c r="AF695" s="704"/>
      <c r="AG695" s="211"/>
      <c r="AH695" s="210"/>
    </row>
    <row r="696" spans="1:34" s="4" customFormat="1">
      <c r="A696" s="2"/>
      <c r="B696" s="310" t="s">
        <v>115</v>
      </c>
      <c r="C696" s="311" t="s">
        <v>27</v>
      </c>
      <c r="D696" s="687"/>
      <c r="E696" s="688"/>
      <c r="F696" s="312" t="s">
        <v>4402</v>
      </c>
      <c r="G696" s="313">
        <v>44672</v>
      </c>
      <c r="H696" s="624"/>
      <c r="I696" s="625"/>
      <c r="J696" s="626"/>
      <c r="K696" s="627"/>
      <c r="L696" s="628"/>
      <c r="M696" s="629"/>
      <c r="N696" s="627"/>
      <c r="O696" s="628"/>
      <c r="P696" s="630"/>
      <c r="Q696" s="631"/>
      <c r="R696" s="715"/>
      <c r="S696" s="910"/>
      <c r="T696" s="632"/>
      <c r="U696" s="633"/>
      <c r="V696" s="634"/>
      <c r="W696" s="635"/>
      <c r="X696" s="636"/>
      <c r="Y696" s="637"/>
      <c r="Z696" s="725"/>
      <c r="AA696" s="636"/>
      <c r="AB696" s="1056"/>
      <c r="AC696" s="736"/>
      <c r="AD696" s="317"/>
      <c r="AE696" s="669">
        <v>44679</v>
      </c>
      <c r="AF696" s="704"/>
      <c r="AG696" s="211"/>
      <c r="AH696" s="210"/>
    </row>
    <row r="697" spans="1:34" s="4" customFormat="1">
      <c r="A697" s="2"/>
      <c r="B697" s="310" t="s">
        <v>106</v>
      </c>
      <c r="C697" s="311" t="s">
        <v>33</v>
      </c>
      <c r="D697" s="687" t="s">
        <v>4403</v>
      </c>
      <c r="E697" s="688"/>
      <c r="F697" s="312"/>
      <c r="G697" s="313"/>
      <c r="H697" s="624"/>
      <c r="I697" s="625"/>
      <c r="J697" s="626"/>
      <c r="K697" s="627" t="s">
        <v>4404</v>
      </c>
      <c r="L697" s="628">
        <v>44665</v>
      </c>
      <c r="M697" s="629">
        <v>-1000</v>
      </c>
      <c r="N697" s="627" t="s">
        <v>4405</v>
      </c>
      <c r="O697" s="628">
        <v>44669</v>
      </c>
      <c r="P697" s="630" t="s">
        <v>4406</v>
      </c>
      <c r="Q697" s="631"/>
      <c r="R697" s="715"/>
      <c r="S697" s="1068"/>
      <c r="T697" s="632">
        <v>18748.98</v>
      </c>
      <c r="U697" s="633" t="s">
        <v>4407</v>
      </c>
      <c r="V697" s="634">
        <v>44727</v>
      </c>
      <c r="W697" s="635" t="s">
        <v>2302</v>
      </c>
      <c r="X697" s="636">
        <v>18748.98</v>
      </c>
      <c r="Y697" s="637">
        <v>18748.98</v>
      </c>
      <c r="Z697" s="733">
        <f>Y697/X697</f>
        <v>1</v>
      </c>
      <c r="AA697" s="636"/>
      <c r="AB697" s="1055">
        <v>0</v>
      </c>
      <c r="AC697" s="912"/>
      <c r="AD697" s="913" t="s">
        <v>4408</v>
      </c>
      <c r="AE697" s="669"/>
      <c r="AF697" s="704"/>
      <c r="AG697" s="211"/>
      <c r="AH697" s="210"/>
    </row>
    <row r="698" spans="1:34" s="4" customFormat="1">
      <c r="A698" s="2"/>
      <c r="B698" s="310" t="s">
        <v>115</v>
      </c>
      <c r="C698" s="311" t="s">
        <v>27</v>
      </c>
      <c r="D698" s="687"/>
      <c r="E698" s="688"/>
      <c r="F698" s="312" t="s">
        <v>4409</v>
      </c>
      <c r="G698" s="313">
        <v>44672</v>
      </c>
      <c r="H698" s="624"/>
      <c r="I698" s="625"/>
      <c r="J698" s="626"/>
      <c r="K698" s="627"/>
      <c r="L698" s="628"/>
      <c r="M698" s="629"/>
      <c r="N698" s="627"/>
      <c r="O698" s="628"/>
      <c r="P698" s="630"/>
      <c r="Q698" s="631"/>
      <c r="R698" s="715"/>
      <c r="S698" s="910"/>
      <c r="T698" s="632"/>
      <c r="U698" s="633"/>
      <c r="V698" s="634"/>
      <c r="W698" s="635"/>
      <c r="X698" s="636"/>
      <c r="Y698" s="637"/>
      <c r="Z698" s="725"/>
      <c r="AA698" s="636"/>
      <c r="AB698" s="1056"/>
      <c r="AC698" s="736" t="s">
        <v>4410</v>
      </c>
      <c r="AD698" s="317"/>
      <c r="AE698" s="669">
        <v>44679</v>
      </c>
      <c r="AF698" s="718"/>
      <c r="AG698" s="211"/>
      <c r="AH698" s="210"/>
    </row>
    <row r="699" spans="1:34" s="4" customFormat="1">
      <c r="A699" s="2"/>
      <c r="B699" s="310" t="s">
        <v>115</v>
      </c>
      <c r="C699" s="311" t="s">
        <v>27</v>
      </c>
      <c r="D699" s="687"/>
      <c r="E699" s="688"/>
      <c r="F699" s="312" t="s">
        <v>4411</v>
      </c>
      <c r="G699" s="313">
        <v>44672</v>
      </c>
      <c r="H699" s="624"/>
      <c r="I699" s="625"/>
      <c r="J699" s="626"/>
      <c r="K699" s="627"/>
      <c r="L699" s="628"/>
      <c r="M699" s="629"/>
      <c r="N699" s="627"/>
      <c r="O699" s="628"/>
      <c r="P699" s="630"/>
      <c r="Q699" s="631"/>
      <c r="R699" s="715"/>
      <c r="S699" s="910"/>
      <c r="T699" s="632"/>
      <c r="U699" s="633"/>
      <c r="V699" s="634"/>
      <c r="W699" s="635"/>
      <c r="X699" s="636"/>
      <c r="Y699" s="637"/>
      <c r="Z699" s="725"/>
      <c r="AA699" s="636"/>
      <c r="AB699" s="1056"/>
      <c r="AC699" s="736" t="s">
        <v>4412</v>
      </c>
      <c r="AD699" s="317"/>
      <c r="AE699" s="669">
        <v>44679</v>
      </c>
      <c r="AF699" s="718"/>
      <c r="AG699" s="211"/>
      <c r="AH699" s="210"/>
    </row>
    <row r="700" spans="1:34" s="4" customFormat="1">
      <c r="A700" s="2"/>
      <c r="B700" s="310" t="s">
        <v>115</v>
      </c>
      <c r="C700" s="311" t="s">
        <v>27</v>
      </c>
      <c r="D700" s="687"/>
      <c r="E700" s="688"/>
      <c r="F700" s="312" t="s">
        <v>4413</v>
      </c>
      <c r="G700" s="313">
        <v>44672</v>
      </c>
      <c r="H700" s="624"/>
      <c r="I700" s="625"/>
      <c r="J700" s="626"/>
      <c r="K700" s="627"/>
      <c r="L700" s="628"/>
      <c r="M700" s="629"/>
      <c r="N700" s="627"/>
      <c r="O700" s="628"/>
      <c r="P700" s="630"/>
      <c r="Q700" s="631"/>
      <c r="R700" s="715"/>
      <c r="S700" s="910"/>
      <c r="T700" s="632"/>
      <c r="U700" s="633"/>
      <c r="V700" s="634"/>
      <c r="W700" s="635"/>
      <c r="X700" s="636"/>
      <c r="Y700" s="637"/>
      <c r="Z700" s="725"/>
      <c r="AA700" s="636"/>
      <c r="AB700" s="1056"/>
      <c r="AC700" s="736" t="s">
        <v>4414</v>
      </c>
      <c r="AD700" s="317"/>
      <c r="AE700" s="669">
        <v>44679</v>
      </c>
      <c r="AF700" s="704"/>
      <c r="AG700" s="211"/>
      <c r="AH700" s="210"/>
    </row>
    <row r="701" spans="1:34" s="4" customFormat="1">
      <c r="A701" s="2"/>
      <c r="B701" s="310" t="s">
        <v>106</v>
      </c>
      <c r="C701" s="311" t="s">
        <v>33</v>
      </c>
      <c r="D701" s="687" t="s">
        <v>4415</v>
      </c>
      <c r="E701" s="688"/>
      <c r="F701" s="312" t="s">
        <v>4416</v>
      </c>
      <c r="G701" s="313">
        <v>44672</v>
      </c>
      <c r="H701" s="624"/>
      <c r="I701" s="625"/>
      <c r="J701" s="626"/>
      <c r="K701" s="627" t="s">
        <v>4417</v>
      </c>
      <c r="L701" s="628">
        <v>44754</v>
      </c>
      <c r="M701" s="629">
        <v>5000</v>
      </c>
      <c r="N701" s="627" t="s">
        <v>4418</v>
      </c>
      <c r="O701" s="628">
        <v>44756</v>
      </c>
      <c r="P701" s="630" t="s">
        <v>4419</v>
      </c>
      <c r="Q701" s="631">
        <v>44813</v>
      </c>
      <c r="R701" s="715">
        <v>44832</v>
      </c>
      <c r="S701" s="1068"/>
      <c r="T701" s="632">
        <v>11318.93</v>
      </c>
      <c r="U701" s="633" t="s">
        <v>4420</v>
      </c>
      <c r="V701" s="634">
        <v>44848</v>
      </c>
      <c r="W701" s="635" t="s">
        <v>2302</v>
      </c>
      <c r="X701" s="636">
        <v>11318.93</v>
      </c>
      <c r="Y701" s="637">
        <v>11318.93</v>
      </c>
      <c r="Z701" s="733">
        <f>Y701/X701</f>
        <v>1</v>
      </c>
      <c r="AA701" s="636"/>
      <c r="AB701" s="1055">
        <v>0</v>
      </c>
      <c r="AC701" s="912" t="s">
        <v>4421</v>
      </c>
      <c r="AD701" s="913"/>
      <c r="AE701" s="669">
        <v>44679</v>
      </c>
      <c r="AF701" s="704"/>
      <c r="AG701" s="211"/>
      <c r="AH701" s="210"/>
    </row>
    <row r="702" spans="1:34" s="4" customFormat="1">
      <c r="A702" s="2"/>
      <c r="B702" s="310" t="s">
        <v>115</v>
      </c>
      <c r="C702" s="311" t="s">
        <v>27</v>
      </c>
      <c r="D702" s="687"/>
      <c r="E702" s="688"/>
      <c r="F702" s="312" t="s">
        <v>4422</v>
      </c>
      <c r="G702" s="313">
        <v>44672</v>
      </c>
      <c r="H702" s="624"/>
      <c r="I702" s="625"/>
      <c r="J702" s="626"/>
      <c r="K702" s="627"/>
      <c r="L702" s="628"/>
      <c r="M702" s="629"/>
      <c r="N702" s="627"/>
      <c r="O702" s="628"/>
      <c r="P702" s="630"/>
      <c r="Q702" s="631"/>
      <c r="R702" s="715"/>
      <c r="S702" s="910"/>
      <c r="T702" s="632"/>
      <c r="U702" s="633"/>
      <c r="V702" s="634"/>
      <c r="W702" s="635"/>
      <c r="X702" s="636"/>
      <c r="Y702" s="637"/>
      <c r="Z702" s="725"/>
      <c r="AA702" s="636"/>
      <c r="AB702" s="1056"/>
      <c r="AC702" s="736" t="s">
        <v>4423</v>
      </c>
      <c r="AD702" s="317"/>
      <c r="AE702" s="669">
        <v>44680</v>
      </c>
      <c r="AF702" s="718"/>
      <c r="AG702" s="211"/>
      <c r="AH702" s="210"/>
    </row>
    <row r="703" spans="1:34" s="4" customFormat="1">
      <c r="A703" s="2"/>
      <c r="B703" s="310" t="s">
        <v>115</v>
      </c>
      <c r="C703" s="311" t="s">
        <v>27</v>
      </c>
      <c r="D703" s="687"/>
      <c r="E703" s="688"/>
      <c r="F703" s="312" t="s">
        <v>4424</v>
      </c>
      <c r="G703" s="313">
        <v>44672</v>
      </c>
      <c r="H703" s="624"/>
      <c r="I703" s="625"/>
      <c r="J703" s="626"/>
      <c r="K703" s="627"/>
      <c r="L703" s="628"/>
      <c r="M703" s="629"/>
      <c r="N703" s="627"/>
      <c r="O703" s="628"/>
      <c r="P703" s="630"/>
      <c r="Q703" s="631"/>
      <c r="R703" s="715"/>
      <c r="S703" s="910"/>
      <c r="T703" s="632"/>
      <c r="U703" s="633"/>
      <c r="V703" s="634"/>
      <c r="W703" s="635"/>
      <c r="X703" s="636"/>
      <c r="Y703" s="637"/>
      <c r="Z703" s="725"/>
      <c r="AA703" s="636"/>
      <c r="AB703" s="1056"/>
      <c r="AC703" s="736" t="s">
        <v>4425</v>
      </c>
      <c r="AD703" s="317"/>
      <c r="AE703" s="669">
        <v>44680</v>
      </c>
      <c r="AF703" s="718"/>
      <c r="AG703" s="211"/>
      <c r="AH703" s="210"/>
    </row>
    <row r="704" spans="1:34" s="4" customFormat="1">
      <c r="A704" s="2"/>
      <c r="B704" s="310" t="s">
        <v>106</v>
      </c>
      <c r="C704" s="311" t="s">
        <v>33</v>
      </c>
      <c r="D704" s="687" t="s">
        <v>4426</v>
      </c>
      <c r="E704" s="688"/>
      <c r="F704" s="312" t="s">
        <v>4427</v>
      </c>
      <c r="G704" s="313">
        <v>44672</v>
      </c>
      <c r="H704" s="624" t="s">
        <v>4428</v>
      </c>
      <c r="I704" s="625">
        <v>44797</v>
      </c>
      <c r="J704" s="626">
        <v>283000</v>
      </c>
      <c r="K704" s="627" t="s">
        <v>4429</v>
      </c>
      <c r="L704" s="628">
        <v>44721</v>
      </c>
      <c r="M704" s="629">
        <v>16000</v>
      </c>
      <c r="N704" s="627" t="s">
        <v>4430</v>
      </c>
      <c r="O704" s="628">
        <v>44725</v>
      </c>
      <c r="P704" s="630" t="s">
        <v>4431</v>
      </c>
      <c r="Q704" s="631">
        <v>44733</v>
      </c>
      <c r="R704" s="715">
        <v>44860</v>
      </c>
      <c r="S704" s="1068"/>
      <c r="T704" s="632">
        <v>59528.45</v>
      </c>
      <c r="U704" s="633" t="s">
        <v>4432</v>
      </c>
      <c r="V704" s="634">
        <v>44851</v>
      </c>
      <c r="W704" s="635" t="s">
        <v>2302</v>
      </c>
      <c r="X704" s="636">
        <v>59528.45</v>
      </c>
      <c r="Y704" s="637">
        <v>59528.45</v>
      </c>
      <c r="Z704" s="733">
        <f>Y704/X704</f>
        <v>1</v>
      </c>
      <c r="AA704" s="636"/>
      <c r="AB704" s="1055">
        <v>0</v>
      </c>
      <c r="AC704" s="912" t="s">
        <v>4433</v>
      </c>
      <c r="AD704" s="913"/>
      <c r="AE704" s="669">
        <v>44680</v>
      </c>
      <c r="AF704" s="704"/>
      <c r="AG704" s="211"/>
      <c r="AH704" s="210"/>
    </row>
    <row r="705" spans="1:34" s="4" customFormat="1">
      <c r="A705" s="2"/>
      <c r="B705" s="310" t="s">
        <v>110</v>
      </c>
      <c r="C705" s="311" t="s">
        <v>27</v>
      </c>
      <c r="D705" s="687" t="s">
        <v>4434</v>
      </c>
      <c r="E705" s="688"/>
      <c r="F705" s="312" t="s">
        <v>4435</v>
      </c>
      <c r="G705" s="313">
        <v>44673</v>
      </c>
      <c r="H705" s="624"/>
      <c r="I705" s="625"/>
      <c r="J705" s="626"/>
      <c r="K705" s="627" t="s">
        <v>4436</v>
      </c>
      <c r="L705" s="628">
        <v>45169</v>
      </c>
      <c r="M705" s="629">
        <v>12400</v>
      </c>
      <c r="N705" s="627" t="s">
        <v>4437</v>
      </c>
      <c r="O705" s="628">
        <v>45169</v>
      </c>
      <c r="P705" s="630"/>
      <c r="Q705" s="631"/>
      <c r="R705" s="715"/>
      <c r="S705" s="910"/>
      <c r="T705" s="632"/>
      <c r="U705" s="633"/>
      <c r="V705" s="634"/>
      <c r="W705" s="635" t="s">
        <v>96</v>
      </c>
      <c r="X705" s="636"/>
      <c r="Y705" s="637"/>
      <c r="Z705" s="725"/>
      <c r="AA705" s="636"/>
      <c r="AB705" s="1056"/>
      <c r="AC705" s="736" t="s">
        <v>4438</v>
      </c>
      <c r="AD705" s="317"/>
      <c r="AE705" s="669">
        <v>44680</v>
      </c>
      <c r="AF705" s="704"/>
      <c r="AG705" s="211"/>
      <c r="AH705" s="210"/>
    </row>
    <row r="706" spans="1:34" s="4" customFormat="1">
      <c r="A706" s="2"/>
      <c r="B706" s="310" t="s">
        <v>115</v>
      </c>
      <c r="C706" s="311" t="s">
        <v>27</v>
      </c>
      <c r="D706" s="687"/>
      <c r="E706" s="688"/>
      <c r="F706" s="312" t="s">
        <v>4439</v>
      </c>
      <c r="G706" s="313">
        <v>44673</v>
      </c>
      <c r="H706" s="624"/>
      <c r="I706" s="625"/>
      <c r="J706" s="626"/>
      <c r="K706" s="627"/>
      <c r="L706" s="628"/>
      <c r="M706" s="629"/>
      <c r="N706" s="627"/>
      <c r="O706" s="628"/>
      <c r="P706" s="630"/>
      <c r="Q706" s="631"/>
      <c r="R706" s="715"/>
      <c r="S706" s="910"/>
      <c r="T706" s="632"/>
      <c r="U706" s="633"/>
      <c r="V706" s="634"/>
      <c r="W706" s="635"/>
      <c r="X706" s="636"/>
      <c r="Y706" s="637"/>
      <c r="Z706" s="725"/>
      <c r="AA706" s="636"/>
      <c r="AB706" s="1056"/>
      <c r="AC706" s="736" t="s">
        <v>4440</v>
      </c>
      <c r="AD706" s="317"/>
      <c r="AE706" s="669">
        <v>44680</v>
      </c>
      <c r="AF706" s="718"/>
      <c r="AG706" s="211"/>
      <c r="AH706" s="210"/>
    </row>
    <row r="707" spans="1:34" s="4" customFormat="1">
      <c r="A707" s="2"/>
      <c r="B707" s="310" t="s">
        <v>115</v>
      </c>
      <c r="C707" s="311" t="s">
        <v>27</v>
      </c>
      <c r="D707" s="687"/>
      <c r="E707" s="688"/>
      <c r="F707" s="312" t="s">
        <v>4441</v>
      </c>
      <c r="G707" s="313">
        <v>44676</v>
      </c>
      <c r="H707" s="624"/>
      <c r="I707" s="625"/>
      <c r="J707" s="626"/>
      <c r="K707" s="627"/>
      <c r="L707" s="628"/>
      <c r="M707" s="629"/>
      <c r="N707" s="627"/>
      <c r="O707" s="628"/>
      <c r="P707" s="630"/>
      <c r="Q707" s="631"/>
      <c r="R707" s="715"/>
      <c r="S707" s="910"/>
      <c r="T707" s="632"/>
      <c r="U707" s="633"/>
      <c r="V707" s="634"/>
      <c r="W707" s="635"/>
      <c r="X707" s="636"/>
      <c r="Y707" s="637"/>
      <c r="Z707" s="725"/>
      <c r="AA707" s="636"/>
      <c r="AB707" s="1056"/>
      <c r="AC707" s="736" t="s">
        <v>4442</v>
      </c>
      <c r="AD707" s="317"/>
      <c r="AE707" s="669">
        <v>44683</v>
      </c>
      <c r="AF707" s="718"/>
      <c r="AG707" s="211"/>
      <c r="AH707" s="210"/>
    </row>
    <row r="708" spans="1:34" s="4" customFormat="1">
      <c r="A708" s="2"/>
      <c r="B708" s="310" t="s">
        <v>115</v>
      </c>
      <c r="C708" s="311" t="s">
        <v>27</v>
      </c>
      <c r="D708" s="687"/>
      <c r="E708" s="688"/>
      <c r="F708" s="312" t="s">
        <v>4443</v>
      </c>
      <c r="G708" s="313">
        <v>44676</v>
      </c>
      <c r="H708" s="624"/>
      <c r="I708" s="625"/>
      <c r="J708" s="626"/>
      <c r="K708" s="627"/>
      <c r="L708" s="628"/>
      <c r="M708" s="629"/>
      <c r="N708" s="627"/>
      <c r="O708" s="628"/>
      <c r="P708" s="630"/>
      <c r="Q708" s="631"/>
      <c r="R708" s="715"/>
      <c r="S708" s="910"/>
      <c r="T708" s="632"/>
      <c r="U708" s="633"/>
      <c r="V708" s="634"/>
      <c r="W708" s="635"/>
      <c r="X708" s="636"/>
      <c r="Y708" s="637"/>
      <c r="Z708" s="725"/>
      <c r="AA708" s="636"/>
      <c r="AB708" s="1056"/>
      <c r="AC708" s="736" t="s">
        <v>4444</v>
      </c>
      <c r="AD708" s="317"/>
      <c r="AE708" s="669">
        <v>44680</v>
      </c>
      <c r="AF708" s="718"/>
      <c r="AG708" s="211"/>
      <c r="AH708" s="210"/>
    </row>
    <row r="709" spans="1:34" s="4" customFormat="1">
      <c r="A709" s="2"/>
      <c r="B709" s="310" t="s">
        <v>115</v>
      </c>
      <c r="C709" s="311" t="s">
        <v>27</v>
      </c>
      <c r="D709" s="687"/>
      <c r="E709" s="688"/>
      <c r="F709" s="312" t="s">
        <v>4445</v>
      </c>
      <c r="G709" s="313">
        <v>44676</v>
      </c>
      <c r="H709" s="624"/>
      <c r="I709" s="625"/>
      <c r="J709" s="626"/>
      <c r="K709" s="627"/>
      <c r="L709" s="628"/>
      <c r="M709" s="629"/>
      <c r="N709" s="627"/>
      <c r="O709" s="628"/>
      <c r="P709" s="630"/>
      <c r="Q709" s="631"/>
      <c r="R709" s="715"/>
      <c r="S709" s="910"/>
      <c r="T709" s="632"/>
      <c r="U709" s="633"/>
      <c r="V709" s="634"/>
      <c r="W709" s="635"/>
      <c r="X709" s="636"/>
      <c r="Y709" s="637"/>
      <c r="Z709" s="725"/>
      <c r="AA709" s="636"/>
      <c r="AB709" s="1056"/>
      <c r="AC709" s="736" t="s">
        <v>4446</v>
      </c>
      <c r="AD709" s="317"/>
      <c r="AE709" s="669">
        <v>44685</v>
      </c>
      <c r="AF709" s="704"/>
      <c r="AG709" s="211"/>
      <c r="AH709" s="210"/>
    </row>
    <row r="710" spans="1:34" s="4" customFormat="1">
      <c r="A710" s="2"/>
      <c r="B710" s="310" t="s">
        <v>115</v>
      </c>
      <c r="C710" s="311" t="s">
        <v>27</v>
      </c>
      <c r="D710" s="687"/>
      <c r="E710" s="688"/>
      <c r="F710" s="312" t="s">
        <v>4447</v>
      </c>
      <c r="G710" s="313">
        <v>44676</v>
      </c>
      <c r="H710" s="624"/>
      <c r="I710" s="625"/>
      <c r="J710" s="626"/>
      <c r="K710" s="627"/>
      <c r="L710" s="628"/>
      <c r="M710" s="629"/>
      <c r="N710" s="627"/>
      <c r="O710" s="628"/>
      <c r="P710" s="630"/>
      <c r="Q710" s="631"/>
      <c r="R710" s="715"/>
      <c r="S710" s="910"/>
      <c r="T710" s="632"/>
      <c r="U710" s="633"/>
      <c r="V710" s="634"/>
      <c r="W710" s="635"/>
      <c r="X710" s="636"/>
      <c r="Y710" s="637"/>
      <c r="Z710" s="725"/>
      <c r="AA710" s="636"/>
      <c r="AB710" s="1056"/>
      <c r="AC710" s="736" t="s">
        <v>4448</v>
      </c>
      <c r="AD710" s="317"/>
      <c r="AE710" s="669">
        <v>44683</v>
      </c>
      <c r="AF710" s="704"/>
      <c r="AG710" s="211"/>
      <c r="AH710" s="210"/>
    </row>
    <row r="711" spans="1:34" s="4" customFormat="1">
      <c r="A711" s="2"/>
      <c r="B711" s="310" t="s">
        <v>115</v>
      </c>
      <c r="C711" s="311" t="s">
        <v>27</v>
      </c>
      <c r="D711" s="687"/>
      <c r="E711" s="688"/>
      <c r="F711" s="312" t="s">
        <v>4449</v>
      </c>
      <c r="G711" s="313">
        <v>44678</v>
      </c>
      <c r="H711" s="624"/>
      <c r="I711" s="625"/>
      <c r="J711" s="626"/>
      <c r="K711" s="627"/>
      <c r="L711" s="628"/>
      <c r="M711" s="629"/>
      <c r="N711" s="627"/>
      <c r="O711" s="628"/>
      <c r="P711" s="630"/>
      <c r="Q711" s="631"/>
      <c r="R711" s="715"/>
      <c r="S711" s="910"/>
      <c r="T711" s="632"/>
      <c r="U711" s="633"/>
      <c r="V711" s="634"/>
      <c r="W711" s="635"/>
      <c r="X711" s="636"/>
      <c r="Y711" s="637"/>
      <c r="Z711" s="725"/>
      <c r="AA711" s="636"/>
      <c r="AB711" s="1056"/>
      <c r="AC711" s="736" t="s">
        <v>4450</v>
      </c>
      <c r="AD711" s="317"/>
      <c r="AE711" s="669">
        <v>44685</v>
      </c>
      <c r="AF711" s="718"/>
      <c r="AG711" s="211"/>
      <c r="AH711" s="210"/>
    </row>
    <row r="712" spans="1:34" s="4" customFormat="1">
      <c r="A712" s="2"/>
      <c r="B712" s="310" t="s">
        <v>115</v>
      </c>
      <c r="C712" s="311" t="s">
        <v>27</v>
      </c>
      <c r="D712" s="687"/>
      <c r="E712" s="688"/>
      <c r="F712" s="312" t="s">
        <v>4451</v>
      </c>
      <c r="G712" s="313">
        <v>44678</v>
      </c>
      <c r="H712" s="624"/>
      <c r="I712" s="625"/>
      <c r="J712" s="626"/>
      <c r="K712" s="627"/>
      <c r="L712" s="628"/>
      <c r="M712" s="629"/>
      <c r="N712" s="627"/>
      <c r="O712" s="628"/>
      <c r="P712" s="630"/>
      <c r="Q712" s="631"/>
      <c r="R712" s="715"/>
      <c r="S712" s="910"/>
      <c r="T712" s="632"/>
      <c r="U712" s="633"/>
      <c r="V712" s="634"/>
      <c r="W712" s="635"/>
      <c r="X712" s="636"/>
      <c r="Y712" s="637"/>
      <c r="Z712" s="725"/>
      <c r="AA712" s="636"/>
      <c r="AB712" s="1056"/>
      <c r="AC712" s="736" t="s">
        <v>4452</v>
      </c>
      <c r="AD712" s="317"/>
      <c r="AE712" s="669">
        <v>44685</v>
      </c>
      <c r="AF712" s="704"/>
      <c r="AG712" s="211"/>
      <c r="AH712" s="210"/>
    </row>
    <row r="713" spans="1:34" s="4" customFormat="1">
      <c r="A713" s="2"/>
      <c r="B713" s="310" t="s">
        <v>115</v>
      </c>
      <c r="C713" s="311" t="s">
        <v>27</v>
      </c>
      <c r="D713" s="687"/>
      <c r="E713" s="688"/>
      <c r="F713" s="312" t="s">
        <v>4453</v>
      </c>
      <c r="G713" s="313">
        <v>44678</v>
      </c>
      <c r="H713" s="624"/>
      <c r="I713" s="625"/>
      <c r="J713" s="626"/>
      <c r="K713" s="627"/>
      <c r="L713" s="628"/>
      <c r="M713" s="629"/>
      <c r="N713" s="627"/>
      <c r="O713" s="628"/>
      <c r="P713" s="630"/>
      <c r="Q713" s="631"/>
      <c r="R713" s="715"/>
      <c r="S713" s="910"/>
      <c r="T713" s="632"/>
      <c r="U713" s="633"/>
      <c r="V713" s="634"/>
      <c r="W713" s="635"/>
      <c r="X713" s="636"/>
      <c r="Y713" s="637"/>
      <c r="Z713" s="725"/>
      <c r="AA713" s="636"/>
      <c r="AB713" s="1056"/>
      <c r="AC713" s="736" t="s">
        <v>4454</v>
      </c>
      <c r="AD713" s="317"/>
      <c r="AE713" s="669">
        <v>44685</v>
      </c>
      <c r="AF713" s="704"/>
      <c r="AG713" s="211"/>
      <c r="AH713" s="210"/>
    </row>
    <row r="714" spans="1:34" s="4" customFormat="1">
      <c r="A714" s="2"/>
      <c r="B714" s="310" t="s">
        <v>115</v>
      </c>
      <c r="C714" s="311" t="s">
        <v>27</v>
      </c>
      <c r="D714" s="687"/>
      <c r="E714" s="688"/>
      <c r="F714" s="312" t="s">
        <v>4455</v>
      </c>
      <c r="G714" s="313">
        <v>44679</v>
      </c>
      <c r="H714" s="624"/>
      <c r="I714" s="625"/>
      <c r="J714" s="626"/>
      <c r="K714" s="627"/>
      <c r="L714" s="628"/>
      <c r="M714" s="629"/>
      <c r="N714" s="627"/>
      <c r="O714" s="628"/>
      <c r="P714" s="630"/>
      <c r="Q714" s="631"/>
      <c r="R714" s="715"/>
      <c r="S714" s="910"/>
      <c r="T714" s="632"/>
      <c r="U714" s="633"/>
      <c r="V714" s="634"/>
      <c r="W714" s="635"/>
      <c r="X714" s="636"/>
      <c r="Y714" s="637"/>
      <c r="Z714" s="726"/>
      <c r="AA714" s="920"/>
      <c r="AB714" s="1056"/>
      <c r="AC714" s="4" t="s">
        <v>4456</v>
      </c>
      <c r="AD714" s="317"/>
      <c r="AE714" s="669">
        <v>44686</v>
      </c>
      <c r="AF714" s="718"/>
      <c r="AG714" s="211"/>
      <c r="AH714" s="210"/>
    </row>
    <row r="715" spans="1:34" s="4" customFormat="1">
      <c r="A715" s="2"/>
      <c r="B715" s="310" t="s">
        <v>115</v>
      </c>
      <c r="C715" s="311" t="s">
        <v>27</v>
      </c>
      <c r="D715" s="687"/>
      <c r="E715" s="688"/>
      <c r="F715" s="312" t="s">
        <v>4457</v>
      </c>
      <c r="G715" s="313">
        <v>44680</v>
      </c>
      <c r="H715" s="624"/>
      <c r="I715" s="625"/>
      <c r="J715" s="626"/>
      <c r="K715" s="627"/>
      <c r="L715" s="628"/>
      <c r="M715" s="629"/>
      <c r="N715" s="627"/>
      <c r="O715" s="628"/>
      <c r="P715" s="630"/>
      <c r="Q715" s="631"/>
      <c r="R715" s="715"/>
      <c r="S715" s="910"/>
      <c r="T715" s="632"/>
      <c r="U715" s="633"/>
      <c r="V715" s="634"/>
      <c r="W715" s="635"/>
      <c r="X715" s="636"/>
      <c r="Y715" s="637"/>
      <c r="Z715" s="725"/>
      <c r="AA715" s="636"/>
      <c r="AB715" s="1056"/>
      <c r="AC715" s="736" t="s">
        <v>4458</v>
      </c>
      <c r="AD715" s="317"/>
      <c r="AE715" s="669">
        <v>44687</v>
      </c>
      <c r="AF715" s="718"/>
      <c r="AG715" s="211"/>
      <c r="AH715" s="210"/>
    </row>
    <row r="716" spans="1:34" s="4" customFormat="1">
      <c r="A716" s="2"/>
      <c r="B716" s="310" t="s">
        <v>115</v>
      </c>
      <c r="C716" s="311" t="s">
        <v>27</v>
      </c>
      <c r="D716" s="687"/>
      <c r="E716" s="688"/>
      <c r="F716" s="312" t="s">
        <v>4459</v>
      </c>
      <c r="G716" s="313">
        <v>44680</v>
      </c>
      <c r="H716" s="624"/>
      <c r="I716" s="625"/>
      <c r="J716" s="626"/>
      <c r="K716" s="627"/>
      <c r="L716" s="628"/>
      <c r="M716" s="629"/>
      <c r="N716" s="627"/>
      <c r="O716" s="628"/>
      <c r="P716" s="630"/>
      <c r="Q716" s="631"/>
      <c r="R716" s="715"/>
      <c r="S716" s="910"/>
      <c r="T716" s="632"/>
      <c r="U716" s="633"/>
      <c r="V716" s="634"/>
      <c r="W716" s="635"/>
      <c r="X716" s="636"/>
      <c r="Y716" s="637"/>
      <c r="Z716" s="725"/>
      <c r="AA716" s="636"/>
      <c r="AB716" s="1056"/>
      <c r="AC716" s="736" t="s">
        <v>4460</v>
      </c>
      <c r="AD716" s="317"/>
      <c r="AE716" s="669">
        <v>44687</v>
      </c>
      <c r="AF716" s="704"/>
      <c r="AG716" s="211"/>
      <c r="AH716" s="210"/>
    </row>
    <row r="717" spans="1:34" s="4" customFormat="1">
      <c r="A717" s="2"/>
      <c r="B717" s="310" t="s">
        <v>115</v>
      </c>
      <c r="C717" s="311" t="s">
        <v>27</v>
      </c>
      <c r="D717" s="687"/>
      <c r="E717" s="688"/>
      <c r="F717" s="312" t="s">
        <v>4461</v>
      </c>
      <c r="G717" s="313">
        <v>44680</v>
      </c>
      <c r="H717" s="624"/>
      <c r="I717" s="625"/>
      <c r="J717" s="626"/>
      <c r="K717" s="627"/>
      <c r="L717" s="628"/>
      <c r="M717" s="629"/>
      <c r="N717" s="627"/>
      <c r="O717" s="628"/>
      <c r="P717" s="630"/>
      <c r="Q717" s="631"/>
      <c r="R717" s="715"/>
      <c r="S717" s="910"/>
      <c r="T717" s="632"/>
      <c r="U717" s="633"/>
      <c r="V717" s="634"/>
      <c r="W717" s="635"/>
      <c r="X717" s="636"/>
      <c r="Y717" s="637"/>
      <c r="Z717" s="725"/>
      <c r="AA717" s="636"/>
      <c r="AB717" s="1056"/>
      <c r="AC717" s="736" t="s">
        <v>4462</v>
      </c>
      <c r="AD717" s="317"/>
      <c r="AE717" s="669">
        <v>44687</v>
      </c>
      <c r="AF717" s="704"/>
      <c r="AG717" s="211"/>
      <c r="AH717" s="210"/>
    </row>
    <row r="718" spans="1:34" s="4" customFormat="1">
      <c r="A718" s="2"/>
      <c r="B718" s="310" t="s">
        <v>115</v>
      </c>
      <c r="C718" s="311" t="s">
        <v>27</v>
      </c>
      <c r="D718" s="687"/>
      <c r="E718" s="688"/>
      <c r="F718" s="312" t="s">
        <v>4463</v>
      </c>
      <c r="G718" s="313">
        <v>44684</v>
      </c>
      <c r="H718" s="624"/>
      <c r="I718" s="625"/>
      <c r="J718" s="626"/>
      <c r="K718" s="627"/>
      <c r="L718" s="628"/>
      <c r="M718" s="629"/>
      <c r="N718" s="627"/>
      <c r="O718" s="628"/>
      <c r="P718" s="630"/>
      <c r="Q718" s="631"/>
      <c r="R718" s="715"/>
      <c r="S718" s="910"/>
      <c r="T718" s="632"/>
      <c r="U718" s="633"/>
      <c r="V718" s="634"/>
      <c r="W718" s="635"/>
      <c r="X718" s="636"/>
      <c r="Y718" s="637"/>
      <c r="Z718" s="725"/>
      <c r="AA718" s="636"/>
      <c r="AB718" s="1056"/>
      <c r="AC718" s="736" t="s">
        <v>4464</v>
      </c>
      <c r="AD718" s="317"/>
      <c r="AE718" s="669">
        <v>44691</v>
      </c>
      <c r="AF718" s="718"/>
      <c r="AG718" s="211"/>
      <c r="AH718" s="210"/>
    </row>
    <row r="719" spans="1:34" s="4" customFormat="1">
      <c r="A719" s="2"/>
      <c r="B719" s="310" t="s">
        <v>115</v>
      </c>
      <c r="C719" s="311" t="s">
        <v>27</v>
      </c>
      <c r="D719" s="687"/>
      <c r="E719" s="688"/>
      <c r="F719" s="312" t="s">
        <v>4465</v>
      </c>
      <c r="G719" s="313">
        <v>44684</v>
      </c>
      <c r="H719" s="624"/>
      <c r="I719" s="625"/>
      <c r="J719" s="626"/>
      <c r="K719" s="627"/>
      <c r="L719" s="628"/>
      <c r="M719" s="629"/>
      <c r="N719" s="627"/>
      <c r="O719" s="628"/>
      <c r="P719" s="630"/>
      <c r="Q719" s="631"/>
      <c r="R719" s="715"/>
      <c r="S719" s="910"/>
      <c r="T719" s="632"/>
      <c r="U719" s="633"/>
      <c r="V719" s="634"/>
      <c r="W719" s="635"/>
      <c r="X719" s="636"/>
      <c r="Y719" s="637"/>
      <c r="Z719" s="725"/>
      <c r="AA719" s="636"/>
      <c r="AB719" s="908"/>
      <c r="AC719" s="314" t="s">
        <v>4466</v>
      </c>
      <c r="AD719" s="317"/>
      <c r="AE719" s="669">
        <v>44691</v>
      </c>
      <c r="AF719" s="718"/>
      <c r="AG719" s="211"/>
      <c r="AH719" s="210"/>
    </row>
    <row r="720" spans="1:34" s="4" customFormat="1">
      <c r="A720" s="2"/>
      <c r="B720" s="310" t="s">
        <v>106</v>
      </c>
      <c r="C720" s="311" t="s">
        <v>33</v>
      </c>
      <c r="D720" s="687" t="s">
        <v>4467</v>
      </c>
      <c r="E720" s="688"/>
      <c r="F720" s="312" t="s">
        <v>4468</v>
      </c>
      <c r="G720" s="313">
        <v>44684</v>
      </c>
      <c r="H720" s="624"/>
      <c r="I720" s="625"/>
      <c r="J720" s="626"/>
      <c r="K720" s="627" t="s">
        <v>4469</v>
      </c>
      <c r="L720" s="628">
        <v>44737</v>
      </c>
      <c r="M720" s="629">
        <v>50000</v>
      </c>
      <c r="N720" s="627" t="s">
        <v>4470</v>
      </c>
      <c r="O720" s="628">
        <v>44741</v>
      </c>
      <c r="P720" s="630" t="s">
        <v>4471</v>
      </c>
      <c r="Q720" s="631">
        <v>44776</v>
      </c>
      <c r="R720" s="715">
        <v>44790</v>
      </c>
      <c r="S720" s="1068"/>
      <c r="T720" s="632">
        <v>34845.910000000003</v>
      </c>
      <c r="U720" s="633" t="s">
        <v>4472</v>
      </c>
      <c r="V720" s="634">
        <v>44792</v>
      </c>
      <c r="W720" s="635" t="s">
        <v>2302</v>
      </c>
      <c r="X720" s="636">
        <v>34845.910000000003</v>
      </c>
      <c r="Y720" s="637">
        <v>34845.910000000003</v>
      </c>
      <c r="Z720" s="733">
        <f t="shared" ref="Z720:Z721" si="39">Y720/X720</f>
        <v>1</v>
      </c>
      <c r="AA720" s="636"/>
      <c r="AB720" s="1055">
        <v>0</v>
      </c>
      <c r="AC720" s="912" t="s">
        <v>4473</v>
      </c>
      <c r="AD720" s="913"/>
      <c r="AE720" s="669">
        <v>44691</v>
      </c>
      <c r="AF720" s="704"/>
      <c r="AG720" s="211"/>
      <c r="AH720" s="210"/>
    </row>
    <row r="721" spans="1:34" s="4" customFormat="1">
      <c r="A721" s="2"/>
      <c r="B721" s="310" t="s">
        <v>106</v>
      </c>
      <c r="C721" s="311" t="s">
        <v>33</v>
      </c>
      <c r="D721" s="687" t="s">
        <v>4474</v>
      </c>
      <c r="E721" s="688"/>
      <c r="F721" s="312" t="s">
        <v>4475</v>
      </c>
      <c r="G721" s="313">
        <v>44684</v>
      </c>
      <c r="H721" s="624"/>
      <c r="I721" s="625"/>
      <c r="J721" s="626"/>
      <c r="K721" s="627" t="s">
        <v>4476</v>
      </c>
      <c r="L721" s="628">
        <v>44733</v>
      </c>
      <c r="M721" s="629">
        <v>9000</v>
      </c>
      <c r="N721" s="627" t="s">
        <v>4477</v>
      </c>
      <c r="O721" s="628">
        <v>44733</v>
      </c>
      <c r="P721" s="630" t="s">
        <v>4478</v>
      </c>
      <c r="Q721" s="631">
        <v>44750</v>
      </c>
      <c r="R721" s="715">
        <v>44764</v>
      </c>
      <c r="S721" s="1068"/>
      <c r="T721" s="632">
        <v>7625.85</v>
      </c>
      <c r="U721" s="633" t="s">
        <v>4479</v>
      </c>
      <c r="V721" s="634">
        <v>44762</v>
      </c>
      <c r="W721" s="635" t="s">
        <v>2302</v>
      </c>
      <c r="X721" s="636">
        <v>7625.85</v>
      </c>
      <c r="Y721" s="637">
        <v>7625.85</v>
      </c>
      <c r="Z721" s="733">
        <f t="shared" si="39"/>
        <v>1</v>
      </c>
      <c r="AA721" s="636"/>
      <c r="AB721" s="1055">
        <v>0</v>
      </c>
      <c r="AC721" s="912" t="s">
        <v>4480</v>
      </c>
      <c r="AD721" s="913"/>
      <c r="AE721" s="669">
        <v>44691</v>
      </c>
      <c r="AF721" s="704"/>
      <c r="AG721" s="211"/>
      <c r="AH721" s="210"/>
    </row>
    <row r="722" spans="1:34" s="4" customFormat="1">
      <c r="A722" s="2"/>
      <c r="B722" s="310" t="s">
        <v>115</v>
      </c>
      <c r="C722" s="311" t="s">
        <v>27</v>
      </c>
      <c r="D722" s="687"/>
      <c r="E722" s="688"/>
      <c r="F722" s="312" t="s">
        <v>4481</v>
      </c>
      <c r="G722" s="313">
        <v>44684</v>
      </c>
      <c r="H722" s="624"/>
      <c r="I722" s="625"/>
      <c r="J722" s="626"/>
      <c r="K722" s="627"/>
      <c r="L722" s="628"/>
      <c r="M722" s="629"/>
      <c r="N722" s="627"/>
      <c r="O722" s="628"/>
      <c r="P722" s="630"/>
      <c r="Q722" s="631"/>
      <c r="R722" s="715"/>
      <c r="S722" s="910"/>
      <c r="T722" s="632"/>
      <c r="U722" s="633"/>
      <c r="V722" s="634"/>
      <c r="W722" s="635"/>
      <c r="X722" s="636"/>
      <c r="Y722" s="637"/>
      <c r="Z722" s="725"/>
      <c r="AA722" s="636"/>
      <c r="AB722" s="908"/>
      <c r="AC722" s="314" t="s">
        <v>4482</v>
      </c>
      <c r="AD722" s="317"/>
      <c r="AE722" s="669">
        <v>44691</v>
      </c>
      <c r="AF722" s="704"/>
      <c r="AG722" s="211"/>
      <c r="AH722" s="210"/>
    </row>
    <row r="723" spans="1:34" s="4" customFormat="1">
      <c r="A723" s="2"/>
      <c r="B723" s="310" t="s">
        <v>115</v>
      </c>
      <c r="C723" s="311" t="s">
        <v>27</v>
      </c>
      <c r="D723" s="687"/>
      <c r="E723" s="688"/>
      <c r="F723" s="312" t="s">
        <v>4483</v>
      </c>
      <c r="G723" s="313">
        <v>44685</v>
      </c>
      <c r="H723" s="624"/>
      <c r="I723" s="625"/>
      <c r="J723" s="626"/>
      <c r="K723" s="627"/>
      <c r="L723" s="628"/>
      <c r="M723" s="629"/>
      <c r="N723" s="627"/>
      <c r="O723" s="628"/>
      <c r="P723" s="630"/>
      <c r="Q723" s="631"/>
      <c r="R723" s="715"/>
      <c r="S723" s="910"/>
      <c r="T723" s="632"/>
      <c r="U723" s="633"/>
      <c r="V723" s="634"/>
      <c r="W723" s="635"/>
      <c r="X723" s="636"/>
      <c r="Y723" s="637"/>
      <c r="Z723" s="725"/>
      <c r="AA723" s="636"/>
      <c r="AB723" s="908"/>
      <c r="AC723" s="314" t="s">
        <v>4484</v>
      </c>
      <c r="AD723" s="317"/>
      <c r="AE723" s="669">
        <v>44692</v>
      </c>
      <c r="AF723" s="704"/>
      <c r="AG723" s="211"/>
      <c r="AH723" s="210"/>
    </row>
    <row r="724" spans="1:34" s="4" customFormat="1">
      <c r="A724" s="2"/>
      <c r="B724" s="310" t="s">
        <v>115</v>
      </c>
      <c r="C724" s="311" t="s">
        <v>27</v>
      </c>
      <c r="D724" s="687"/>
      <c r="E724" s="688"/>
      <c r="F724" s="312" t="s">
        <v>4485</v>
      </c>
      <c r="G724" s="313">
        <v>44685</v>
      </c>
      <c r="H724" s="624"/>
      <c r="I724" s="625"/>
      <c r="J724" s="626"/>
      <c r="K724" s="627"/>
      <c r="L724" s="628"/>
      <c r="M724" s="629"/>
      <c r="N724" s="627"/>
      <c r="O724" s="628"/>
      <c r="P724" s="630"/>
      <c r="Q724" s="631"/>
      <c r="R724" s="715"/>
      <c r="S724" s="910"/>
      <c r="T724" s="632"/>
      <c r="U724" s="633"/>
      <c r="V724" s="634"/>
      <c r="W724" s="635"/>
      <c r="X724" s="636"/>
      <c r="Y724" s="637"/>
      <c r="Z724" s="921"/>
      <c r="AA724" s="636"/>
      <c r="AB724" s="908"/>
      <c r="AC724" s="314" t="s">
        <v>4486</v>
      </c>
      <c r="AD724" s="317"/>
      <c r="AE724" s="669">
        <v>44692</v>
      </c>
      <c r="AF724" s="718"/>
      <c r="AG724" s="211"/>
      <c r="AH724" s="210"/>
    </row>
    <row r="725" spans="1:34" s="4" customFormat="1">
      <c r="A725" s="2"/>
      <c r="B725" s="310" t="s">
        <v>115</v>
      </c>
      <c r="C725" s="311" t="s">
        <v>27</v>
      </c>
      <c r="D725" s="687"/>
      <c r="E725" s="688"/>
      <c r="F725" s="312" t="s">
        <v>4487</v>
      </c>
      <c r="G725" s="313">
        <v>44685</v>
      </c>
      <c r="H725" s="624"/>
      <c r="I725" s="625"/>
      <c r="J725" s="626"/>
      <c r="K725" s="627"/>
      <c r="L725" s="628"/>
      <c r="M725" s="629"/>
      <c r="N725" s="627"/>
      <c r="O725" s="628"/>
      <c r="P725" s="630"/>
      <c r="Q725" s="631"/>
      <c r="R725" s="715"/>
      <c r="S725" s="910"/>
      <c r="T725" s="632"/>
      <c r="U725" s="633"/>
      <c r="V725" s="634"/>
      <c r="W725" s="635"/>
      <c r="X725" s="636"/>
      <c r="Y725" s="637"/>
      <c r="Z725" s="921"/>
      <c r="AA725" s="636"/>
      <c r="AB725" s="908"/>
      <c r="AC725" s="314" t="s">
        <v>4488</v>
      </c>
      <c r="AD725" s="317"/>
      <c r="AE725" s="669">
        <v>44692</v>
      </c>
      <c r="AF725" s="704"/>
      <c r="AG725" s="211"/>
      <c r="AH725" s="210"/>
    </row>
    <row r="726" spans="1:34" s="4" customFormat="1">
      <c r="A726" s="2"/>
      <c r="B726" s="310" t="s">
        <v>115</v>
      </c>
      <c r="C726" s="311" t="s">
        <v>27</v>
      </c>
      <c r="D726" s="687"/>
      <c r="E726" s="688"/>
      <c r="F726" s="312" t="s">
        <v>4489</v>
      </c>
      <c r="G726" s="313">
        <v>44685</v>
      </c>
      <c r="H726" s="624"/>
      <c r="I726" s="625"/>
      <c r="J726" s="626"/>
      <c r="K726" s="627"/>
      <c r="L726" s="628"/>
      <c r="M726" s="629"/>
      <c r="N726" s="627"/>
      <c r="O726" s="628"/>
      <c r="P726" s="630"/>
      <c r="Q726" s="631"/>
      <c r="R726" s="715"/>
      <c r="S726" s="910"/>
      <c r="T726" s="632"/>
      <c r="U726" s="633"/>
      <c r="V726" s="634"/>
      <c r="W726" s="635"/>
      <c r="X726" s="636"/>
      <c r="Y726" s="637"/>
      <c r="Z726" s="921"/>
      <c r="AA726" s="636"/>
      <c r="AB726" s="908"/>
      <c r="AC726" s="314" t="s">
        <v>4490</v>
      </c>
      <c r="AD726" s="317"/>
      <c r="AE726" s="669">
        <v>44692</v>
      </c>
      <c r="AF726" s="704"/>
      <c r="AG726" s="211"/>
      <c r="AH726" s="210"/>
    </row>
    <row r="727" spans="1:34" s="4" customFormat="1">
      <c r="A727" s="2"/>
      <c r="B727" s="310" t="s">
        <v>115</v>
      </c>
      <c r="C727" s="311" t="s">
        <v>27</v>
      </c>
      <c r="D727" s="687"/>
      <c r="E727" s="688"/>
      <c r="F727" s="312" t="s">
        <v>4491</v>
      </c>
      <c r="G727" s="313">
        <v>44685</v>
      </c>
      <c r="H727" s="624"/>
      <c r="I727" s="625"/>
      <c r="J727" s="626"/>
      <c r="K727" s="627"/>
      <c r="L727" s="628"/>
      <c r="M727" s="629"/>
      <c r="N727" s="627"/>
      <c r="O727" s="628"/>
      <c r="P727" s="630"/>
      <c r="Q727" s="631"/>
      <c r="R727" s="715"/>
      <c r="S727" s="910"/>
      <c r="T727" s="632"/>
      <c r="U727" s="633"/>
      <c r="V727" s="634"/>
      <c r="W727" s="635"/>
      <c r="X727" s="636"/>
      <c r="Y727" s="637"/>
      <c r="Z727" s="921"/>
      <c r="AA727" s="636"/>
      <c r="AB727" s="908"/>
      <c r="AC727" s="314" t="s">
        <v>4492</v>
      </c>
      <c r="AD727" s="317"/>
      <c r="AE727" s="669">
        <v>44687</v>
      </c>
      <c r="AF727" s="704"/>
      <c r="AG727" s="211"/>
      <c r="AH727" s="210"/>
    </row>
    <row r="728" spans="1:34" s="4" customFormat="1">
      <c r="A728" s="2"/>
      <c r="B728" s="310" t="s">
        <v>115</v>
      </c>
      <c r="C728" s="311" t="s">
        <v>27</v>
      </c>
      <c r="D728" s="687"/>
      <c r="E728" s="688"/>
      <c r="F728" s="312" t="s">
        <v>4493</v>
      </c>
      <c r="G728" s="313">
        <v>44686</v>
      </c>
      <c r="H728" s="624"/>
      <c r="I728" s="625"/>
      <c r="J728" s="626"/>
      <c r="K728" s="627"/>
      <c r="L728" s="628"/>
      <c r="M728" s="629"/>
      <c r="N728" s="627"/>
      <c r="O728" s="628"/>
      <c r="P728" s="630"/>
      <c r="Q728" s="631"/>
      <c r="R728" s="715"/>
      <c r="S728" s="910"/>
      <c r="T728" s="632"/>
      <c r="U728" s="633"/>
      <c r="V728" s="634"/>
      <c r="W728" s="635"/>
      <c r="X728" s="636"/>
      <c r="Y728" s="637"/>
      <c r="Z728" s="921"/>
      <c r="AA728" s="636"/>
      <c r="AB728" s="908"/>
      <c r="AC728" s="314" t="s">
        <v>4494</v>
      </c>
      <c r="AD728" s="317"/>
      <c r="AE728" s="669">
        <v>44693</v>
      </c>
      <c r="AF728" s="704"/>
      <c r="AG728" s="211"/>
      <c r="AH728" s="210"/>
    </row>
    <row r="729" spans="1:34" s="4" customFormat="1">
      <c r="A729" s="2"/>
      <c r="B729" s="310" t="s">
        <v>115</v>
      </c>
      <c r="C729" s="311" t="s">
        <v>27</v>
      </c>
      <c r="D729" s="687"/>
      <c r="E729" s="688"/>
      <c r="F729" s="312" t="s">
        <v>4495</v>
      </c>
      <c r="G729" s="313">
        <v>44686</v>
      </c>
      <c r="H729" s="624"/>
      <c r="I729" s="625"/>
      <c r="J729" s="626"/>
      <c r="K729" s="627"/>
      <c r="L729" s="628"/>
      <c r="M729" s="629"/>
      <c r="N729" s="627"/>
      <c r="O729" s="628"/>
      <c r="P729" s="630"/>
      <c r="Q729" s="631"/>
      <c r="R729" s="715"/>
      <c r="S729" s="910"/>
      <c r="T729" s="632"/>
      <c r="U729" s="633"/>
      <c r="V729" s="634"/>
      <c r="W729" s="635"/>
      <c r="X729" s="636"/>
      <c r="Y729" s="637"/>
      <c r="Z729" s="921"/>
      <c r="AA729" s="636"/>
      <c r="AB729" s="908"/>
      <c r="AC729" s="314" t="s">
        <v>4496</v>
      </c>
      <c r="AD729" s="317"/>
      <c r="AE729" s="669">
        <v>44693</v>
      </c>
      <c r="AF729" s="704"/>
      <c r="AG729" s="211"/>
      <c r="AH729" s="210"/>
    </row>
    <row r="730" spans="1:34" s="4" customFormat="1">
      <c r="A730" s="2"/>
      <c r="B730" s="310" t="s">
        <v>115</v>
      </c>
      <c r="C730" s="311" t="s">
        <v>27</v>
      </c>
      <c r="D730" s="687"/>
      <c r="E730" s="688"/>
      <c r="F730" s="312" t="s">
        <v>4497</v>
      </c>
      <c r="G730" s="313">
        <v>44690</v>
      </c>
      <c r="H730" s="624"/>
      <c r="I730" s="625"/>
      <c r="J730" s="626"/>
      <c r="K730" s="627"/>
      <c r="L730" s="628"/>
      <c r="M730" s="629"/>
      <c r="N730" s="627"/>
      <c r="O730" s="628"/>
      <c r="P730" s="630"/>
      <c r="Q730" s="631"/>
      <c r="R730" s="715"/>
      <c r="S730" s="910"/>
      <c r="T730" s="632"/>
      <c r="U730" s="633"/>
      <c r="V730" s="634"/>
      <c r="W730" s="635"/>
      <c r="X730" s="636"/>
      <c r="Y730" s="637"/>
      <c r="Z730" s="921"/>
      <c r="AA730" s="636"/>
      <c r="AB730" s="908"/>
      <c r="AC730" s="314" t="s">
        <v>4498</v>
      </c>
      <c r="AD730" s="317"/>
      <c r="AE730" s="669"/>
      <c r="AF730" s="718"/>
      <c r="AG730" s="211"/>
      <c r="AH730" s="210"/>
    </row>
    <row r="731" spans="1:34" s="4" customFormat="1">
      <c r="A731" s="2"/>
      <c r="B731" s="310" t="s">
        <v>115</v>
      </c>
      <c r="C731" s="311" t="s">
        <v>27</v>
      </c>
      <c r="D731" s="687"/>
      <c r="E731" s="688"/>
      <c r="F731" s="312" t="s">
        <v>4499</v>
      </c>
      <c r="G731" s="313">
        <v>44691</v>
      </c>
      <c r="H731" s="624"/>
      <c r="I731" s="625"/>
      <c r="J731" s="626"/>
      <c r="K731" s="627"/>
      <c r="L731" s="628"/>
      <c r="M731" s="629"/>
      <c r="N731" s="627"/>
      <c r="O731" s="628"/>
      <c r="P731" s="630"/>
      <c r="Q731" s="631"/>
      <c r="R731" s="715"/>
      <c r="S731" s="910"/>
      <c r="T731" s="632"/>
      <c r="U731" s="633"/>
      <c r="V731" s="634"/>
      <c r="W731" s="635"/>
      <c r="X731" s="636"/>
      <c r="Y731" s="637"/>
      <c r="Z731" s="921"/>
      <c r="AA731" s="636"/>
      <c r="AB731" s="908"/>
      <c r="AC731" s="314" t="s">
        <v>4500</v>
      </c>
      <c r="AD731" s="317"/>
      <c r="AE731" s="669"/>
      <c r="AF731" s="718"/>
      <c r="AG731" s="211"/>
      <c r="AH731" s="210"/>
    </row>
    <row r="732" spans="1:34" s="4" customFormat="1">
      <c r="A732" s="2"/>
      <c r="B732" s="310" t="s">
        <v>106</v>
      </c>
      <c r="C732" s="311" t="s">
        <v>33</v>
      </c>
      <c r="D732" s="687" t="s">
        <v>4501</v>
      </c>
      <c r="E732" s="688"/>
      <c r="F732" s="312" t="s">
        <v>4502</v>
      </c>
      <c r="G732" s="313">
        <v>44693</v>
      </c>
      <c r="H732" s="624"/>
      <c r="I732" s="625"/>
      <c r="J732" s="626"/>
      <c r="K732" s="627" t="s">
        <v>4503</v>
      </c>
      <c r="L732" s="628">
        <v>44699</v>
      </c>
      <c r="M732" s="629"/>
      <c r="N732" s="627" t="s">
        <v>4504</v>
      </c>
      <c r="O732" s="628">
        <v>44712</v>
      </c>
      <c r="P732" s="630" t="s">
        <v>4505</v>
      </c>
      <c r="Q732" s="631">
        <v>44750</v>
      </c>
      <c r="R732" s="715">
        <v>44764</v>
      </c>
      <c r="S732" s="1068"/>
      <c r="T732" s="632">
        <v>7226.41</v>
      </c>
      <c r="U732" s="633" t="s">
        <v>4506</v>
      </c>
      <c r="V732" s="634">
        <v>44775</v>
      </c>
      <c r="W732" s="635" t="s">
        <v>2302</v>
      </c>
      <c r="X732" s="636">
        <v>7226.41</v>
      </c>
      <c r="Y732" s="637">
        <v>7226.41</v>
      </c>
      <c r="Z732" s="733">
        <f>Y732/X732</f>
        <v>1</v>
      </c>
      <c r="AA732" s="636"/>
      <c r="AB732" s="1055">
        <v>0</v>
      </c>
      <c r="AC732" s="912" t="s">
        <v>4507</v>
      </c>
      <c r="AD732" s="913"/>
      <c r="AE732" s="669"/>
      <c r="AF732" s="718"/>
      <c r="AG732" s="211"/>
      <c r="AH732" s="210"/>
    </row>
    <row r="733" spans="1:34" s="4" customFormat="1">
      <c r="A733" s="2"/>
      <c r="B733" s="310" t="s">
        <v>115</v>
      </c>
      <c r="C733" s="311" t="s">
        <v>27</v>
      </c>
      <c r="D733" s="687"/>
      <c r="E733" s="688"/>
      <c r="F733" s="312" t="s">
        <v>4508</v>
      </c>
      <c r="G733" s="313">
        <v>44693</v>
      </c>
      <c r="H733" s="624"/>
      <c r="I733" s="625"/>
      <c r="J733" s="626"/>
      <c r="K733" s="627"/>
      <c r="L733" s="628"/>
      <c r="M733" s="629"/>
      <c r="N733" s="627"/>
      <c r="O733" s="628"/>
      <c r="P733" s="630"/>
      <c r="Q733" s="631"/>
      <c r="R733" s="715"/>
      <c r="S733" s="910"/>
      <c r="T733" s="632"/>
      <c r="U733" s="633"/>
      <c r="V733" s="634"/>
      <c r="W733" s="635"/>
      <c r="X733" s="636"/>
      <c r="Y733" s="637"/>
      <c r="Z733" s="921"/>
      <c r="AA733" s="636"/>
      <c r="AB733" s="908"/>
      <c r="AC733" s="314" t="s">
        <v>4509</v>
      </c>
      <c r="AD733" s="317"/>
      <c r="AE733" s="669"/>
      <c r="AF733" s="718"/>
      <c r="AG733" s="211"/>
      <c r="AH733" s="210"/>
    </row>
    <row r="734" spans="1:34" s="4" customFormat="1" ht="14.65" thickBot="1">
      <c r="A734" s="2"/>
      <c r="B734" s="310" t="s">
        <v>115</v>
      </c>
      <c r="C734" s="311" t="s">
        <v>27</v>
      </c>
      <c r="D734" s="687"/>
      <c r="E734" s="688"/>
      <c r="F734" s="312" t="s">
        <v>4510</v>
      </c>
      <c r="G734" s="313">
        <v>44694</v>
      </c>
      <c r="H734" s="624"/>
      <c r="I734" s="625"/>
      <c r="J734" s="626"/>
      <c r="K734" s="627"/>
      <c r="L734" s="628"/>
      <c r="M734" s="629"/>
      <c r="N734" s="627"/>
      <c r="O734" s="628"/>
      <c r="P734" s="630"/>
      <c r="Q734" s="631"/>
      <c r="R734" s="715"/>
      <c r="S734" s="910"/>
      <c r="T734" s="632"/>
      <c r="U734" s="633"/>
      <c r="V734" s="634"/>
      <c r="W734" s="635"/>
      <c r="X734" s="636"/>
      <c r="Y734" s="1061"/>
      <c r="Z734" s="921"/>
      <c r="AA734" s="636"/>
      <c r="AB734" s="908"/>
      <c r="AC734" s="314" t="s">
        <v>4511</v>
      </c>
      <c r="AD734" s="317"/>
      <c r="AE734" s="669"/>
      <c r="AF734" s="718"/>
      <c r="AG734" s="211"/>
      <c r="AH734" s="210"/>
    </row>
    <row r="735" spans="1:34" s="4" customFormat="1" ht="14.65" thickBot="1">
      <c r="A735" s="2"/>
      <c r="B735" s="310" t="s">
        <v>106</v>
      </c>
      <c r="C735" s="311" t="s">
        <v>33</v>
      </c>
      <c r="D735" s="687" t="s">
        <v>4512</v>
      </c>
      <c r="E735" s="688"/>
      <c r="F735" s="312" t="s">
        <v>4513</v>
      </c>
      <c r="G735" s="313">
        <v>44694</v>
      </c>
      <c r="H735" s="624"/>
      <c r="I735" s="625"/>
      <c r="J735" s="626"/>
      <c r="K735" s="627" t="s">
        <v>4514</v>
      </c>
      <c r="L735" s="628">
        <v>44711</v>
      </c>
      <c r="M735" s="629">
        <v>9500</v>
      </c>
      <c r="N735" s="627" t="s">
        <v>4515</v>
      </c>
      <c r="O735" s="628">
        <v>44711</v>
      </c>
      <c r="P735" s="630" t="s">
        <v>4516</v>
      </c>
      <c r="Q735" s="631">
        <v>44734</v>
      </c>
      <c r="R735" s="715">
        <v>44749</v>
      </c>
      <c r="S735" s="1068"/>
      <c r="T735" s="632">
        <v>9617.39</v>
      </c>
      <c r="U735" s="633" t="s">
        <v>4517</v>
      </c>
      <c r="V735" s="634">
        <v>44749</v>
      </c>
      <c r="W735" s="635" t="s">
        <v>2302</v>
      </c>
      <c r="X735" s="746">
        <v>9617.39</v>
      </c>
      <c r="Y735" s="1062">
        <v>9617.39</v>
      </c>
      <c r="Z735" s="733">
        <f t="shared" ref="Z735:Z736" si="40">Y735/X735</f>
        <v>1</v>
      </c>
      <c r="AA735" s="636"/>
      <c r="AB735" s="1055">
        <v>0</v>
      </c>
      <c r="AC735" s="912" t="s">
        <v>4518</v>
      </c>
      <c r="AD735" s="913"/>
      <c r="AE735" s="669"/>
      <c r="AF735" s="718"/>
      <c r="AG735" s="211"/>
      <c r="AH735" s="210"/>
    </row>
    <row r="736" spans="1:34" s="4" customFormat="1">
      <c r="A736" s="2"/>
      <c r="B736" s="310" t="s">
        <v>106</v>
      </c>
      <c r="C736" s="311" t="s">
        <v>33</v>
      </c>
      <c r="D736" s="687" t="s">
        <v>4519</v>
      </c>
      <c r="E736" s="688"/>
      <c r="F736" s="312" t="s">
        <v>4520</v>
      </c>
      <c r="G736" s="313">
        <v>44694</v>
      </c>
      <c r="H736" s="624"/>
      <c r="I736" s="625"/>
      <c r="J736" s="626"/>
      <c r="K736" s="627" t="s">
        <v>4521</v>
      </c>
      <c r="L736" s="628">
        <v>44735</v>
      </c>
      <c r="M736" s="629">
        <v>-15000</v>
      </c>
      <c r="N736" s="627" t="s">
        <v>4522</v>
      </c>
      <c r="O736" s="628">
        <v>44736</v>
      </c>
      <c r="P736" s="630" t="s">
        <v>4523</v>
      </c>
      <c r="Q736" s="631">
        <v>44748</v>
      </c>
      <c r="R736" s="715">
        <v>44763</v>
      </c>
      <c r="S736" s="1068"/>
      <c r="T736" s="632">
        <v>-12704.22</v>
      </c>
      <c r="U736" s="633" t="s">
        <v>4524</v>
      </c>
      <c r="V736" s="634">
        <v>44762</v>
      </c>
      <c r="W736" s="635" t="s">
        <v>93</v>
      </c>
      <c r="X736" s="636">
        <v>-12704.22</v>
      </c>
      <c r="Y736" s="1063">
        <v>-12704.22</v>
      </c>
      <c r="Z736" s="733">
        <f t="shared" si="40"/>
        <v>1</v>
      </c>
      <c r="AA736" s="636"/>
      <c r="AB736" s="1055">
        <v>0</v>
      </c>
      <c r="AC736" s="912" t="s">
        <v>4525</v>
      </c>
      <c r="AD736" s="913"/>
      <c r="AE736" s="669"/>
      <c r="AF736" s="718"/>
      <c r="AG736" s="211"/>
      <c r="AH736" s="210"/>
    </row>
    <row r="737" spans="1:34" s="4" customFormat="1">
      <c r="A737" s="2"/>
      <c r="B737" s="310" t="s">
        <v>115</v>
      </c>
      <c r="C737" s="311" t="s">
        <v>27</v>
      </c>
      <c r="D737" s="687"/>
      <c r="E737" s="688"/>
      <c r="F737" s="312" t="s">
        <v>4526</v>
      </c>
      <c r="G737" s="313">
        <v>44697</v>
      </c>
      <c r="H737" s="624"/>
      <c r="I737" s="625"/>
      <c r="J737" s="626"/>
      <c r="K737" s="627"/>
      <c r="L737" s="628"/>
      <c r="M737" s="629"/>
      <c r="N737" s="627"/>
      <c r="O737" s="628"/>
      <c r="P737" s="630"/>
      <c r="Q737" s="631"/>
      <c r="R737" s="715"/>
      <c r="S737" s="910"/>
      <c r="T737" s="632"/>
      <c r="U737" s="633"/>
      <c r="V737" s="634"/>
      <c r="W737" s="635"/>
      <c r="X737" s="636"/>
      <c r="Y737" s="637"/>
      <c r="Z737" s="921"/>
      <c r="AA737" s="636"/>
      <c r="AB737" s="908"/>
      <c r="AC737" s="314" t="s">
        <v>4527</v>
      </c>
      <c r="AD737" s="317"/>
      <c r="AE737" s="669"/>
      <c r="AF737" s="718"/>
      <c r="AG737" s="211"/>
      <c r="AH737" s="210"/>
    </row>
    <row r="738" spans="1:34" s="4" customFormat="1">
      <c r="A738" s="2"/>
      <c r="B738" s="310" t="s">
        <v>115</v>
      </c>
      <c r="C738" s="311" t="s">
        <v>27</v>
      </c>
      <c r="D738" s="687"/>
      <c r="E738" s="688"/>
      <c r="F738" s="312" t="s">
        <v>4528</v>
      </c>
      <c r="G738" s="313">
        <v>44698</v>
      </c>
      <c r="H738" s="624"/>
      <c r="I738" s="625"/>
      <c r="J738" s="626"/>
      <c r="K738" s="627"/>
      <c r="L738" s="628"/>
      <c r="M738" s="629"/>
      <c r="N738" s="627"/>
      <c r="O738" s="628"/>
      <c r="P738" s="630"/>
      <c r="Q738" s="631"/>
      <c r="R738" s="715"/>
      <c r="S738" s="910"/>
      <c r="T738" s="632"/>
      <c r="U738" s="633"/>
      <c r="V738" s="634"/>
      <c r="W738" s="635"/>
      <c r="X738" s="636"/>
      <c r="Y738" s="637"/>
      <c r="Z738" s="921"/>
      <c r="AA738" s="636"/>
      <c r="AB738" s="908"/>
      <c r="AC738" s="314" t="s">
        <v>4529</v>
      </c>
      <c r="AD738" s="317"/>
      <c r="AE738" s="669"/>
      <c r="AF738" s="718"/>
      <c r="AG738" s="211"/>
      <c r="AH738" s="210"/>
    </row>
    <row r="739" spans="1:34" s="4" customFormat="1">
      <c r="A739" s="2"/>
      <c r="B739" s="310" t="s">
        <v>115</v>
      </c>
      <c r="C739" s="311" t="s">
        <v>27</v>
      </c>
      <c r="D739" s="687"/>
      <c r="E739" s="688"/>
      <c r="F739" s="312" t="s">
        <v>4530</v>
      </c>
      <c r="G739" s="313">
        <v>44699</v>
      </c>
      <c r="H739" s="624"/>
      <c r="I739" s="625"/>
      <c r="J739" s="626"/>
      <c r="K739" s="627"/>
      <c r="L739" s="628"/>
      <c r="M739" s="629"/>
      <c r="N739" s="627"/>
      <c r="O739" s="628"/>
      <c r="P739" s="630"/>
      <c r="Q739" s="631"/>
      <c r="R739" s="715"/>
      <c r="S739" s="910"/>
      <c r="T739" s="632"/>
      <c r="U739" s="633"/>
      <c r="V739" s="634"/>
      <c r="W739" s="635"/>
      <c r="X739" s="636"/>
      <c r="Y739" s="637"/>
      <c r="Z739" s="921"/>
      <c r="AA739" s="636"/>
      <c r="AB739" s="908"/>
      <c r="AC739" s="314" t="s">
        <v>4531</v>
      </c>
      <c r="AD739" s="317"/>
      <c r="AE739" s="669"/>
      <c r="AF739" s="718"/>
      <c r="AG739" s="211"/>
      <c r="AH739" s="210"/>
    </row>
    <row r="740" spans="1:34" s="4" customFormat="1">
      <c r="A740" s="2"/>
      <c r="B740" s="310" t="s">
        <v>106</v>
      </c>
      <c r="C740" s="311" t="s">
        <v>33</v>
      </c>
      <c r="D740" s="687" t="s">
        <v>4532</v>
      </c>
      <c r="E740" s="688"/>
      <c r="F740" s="312" t="s">
        <v>4533</v>
      </c>
      <c r="G740" s="313">
        <v>44699</v>
      </c>
      <c r="H740" s="624"/>
      <c r="I740" s="625"/>
      <c r="J740" s="626"/>
      <c r="K740" s="627" t="s">
        <v>4534</v>
      </c>
      <c r="L740" s="628">
        <v>44742</v>
      </c>
      <c r="M740" s="629">
        <v>5000</v>
      </c>
      <c r="N740" s="627" t="s">
        <v>4535</v>
      </c>
      <c r="O740" s="628"/>
      <c r="P740" s="630" t="s">
        <v>4536</v>
      </c>
      <c r="Q740" s="631">
        <v>44776</v>
      </c>
      <c r="R740" s="715">
        <v>44790</v>
      </c>
      <c r="S740" s="1068"/>
      <c r="T740" s="632">
        <v>11103.43</v>
      </c>
      <c r="U740" s="633" t="s">
        <v>4537</v>
      </c>
      <c r="V740" s="634">
        <v>44790</v>
      </c>
      <c r="W740" s="635" t="s">
        <v>105</v>
      </c>
      <c r="X740" s="636">
        <v>11103.43</v>
      </c>
      <c r="Y740" s="637">
        <v>11103.43</v>
      </c>
      <c r="Z740" s="733">
        <f t="shared" ref="Z740:Z741" si="41">Y740/X740</f>
        <v>1</v>
      </c>
      <c r="AA740" s="636"/>
      <c r="AB740" s="1055">
        <v>0</v>
      </c>
      <c r="AC740" s="912" t="s">
        <v>4538</v>
      </c>
      <c r="AD740" s="913"/>
      <c r="AE740" s="669"/>
      <c r="AF740" s="718"/>
      <c r="AG740" s="211"/>
      <c r="AH740" s="210"/>
    </row>
    <row r="741" spans="1:34" s="4" customFormat="1">
      <c r="A741" s="2"/>
      <c r="B741" s="310" t="s">
        <v>106</v>
      </c>
      <c r="C741" s="311" t="s">
        <v>33</v>
      </c>
      <c r="D741" s="687" t="s">
        <v>4539</v>
      </c>
      <c r="E741" s="688"/>
      <c r="F741" s="312" t="s">
        <v>4540</v>
      </c>
      <c r="G741" s="313">
        <v>44700</v>
      </c>
      <c r="H741" s="624"/>
      <c r="I741" s="625"/>
      <c r="J741" s="626"/>
      <c r="K741" s="627" t="s">
        <v>4541</v>
      </c>
      <c r="L741" s="628">
        <v>44736</v>
      </c>
      <c r="M741" s="629">
        <v>8000</v>
      </c>
      <c r="N741" s="627" t="s">
        <v>4542</v>
      </c>
      <c r="O741" s="628">
        <v>44736</v>
      </c>
      <c r="P741" s="630" t="s">
        <v>4543</v>
      </c>
      <c r="Q741" s="631">
        <v>44741</v>
      </c>
      <c r="R741" s="715">
        <v>44756</v>
      </c>
      <c r="S741" s="1068"/>
      <c r="T741" s="632">
        <v>-7417.95</v>
      </c>
      <c r="U741" s="633" t="s">
        <v>4544</v>
      </c>
      <c r="V741" s="634">
        <v>44770</v>
      </c>
      <c r="W741" s="635" t="s">
        <v>101</v>
      </c>
      <c r="X741" s="636">
        <v>-7417.95</v>
      </c>
      <c r="Y741" s="637">
        <v>-7417.95</v>
      </c>
      <c r="Z741" s="733">
        <f t="shared" si="41"/>
        <v>1</v>
      </c>
      <c r="AA741" s="636"/>
      <c r="AB741" s="1055">
        <v>0</v>
      </c>
      <c r="AC741" s="912" t="s">
        <v>4545</v>
      </c>
      <c r="AD741" s="913"/>
      <c r="AE741" s="669"/>
      <c r="AF741" s="718"/>
      <c r="AG741" s="211"/>
      <c r="AH741" s="210"/>
    </row>
    <row r="742" spans="1:34" s="4" customFormat="1">
      <c r="A742" s="2"/>
      <c r="B742" s="310" t="s">
        <v>115</v>
      </c>
      <c r="C742" s="311" t="s">
        <v>27</v>
      </c>
      <c r="D742" s="687"/>
      <c r="E742" s="688"/>
      <c r="F742" s="312" t="s">
        <v>4546</v>
      </c>
      <c r="G742" s="313">
        <v>44700</v>
      </c>
      <c r="H742" s="624"/>
      <c r="I742" s="625"/>
      <c r="J742" s="626"/>
      <c r="K742" s="627"/>
      <c r="L742" s="628"/>
      <c r="M742" s="629"/>
      <c r="N742" s="627"/>
      <c r="O742" s="628"/>
      <c r="P742" s="630"/>
      <c r="Q742" s="631"/>
      <c r="R742" s="715"/>
      <c r="S742" s="910"/>
      <c r="T742" s="632"/>
      <c r="U742" s="633"/>
      <c r="V742" s="634"/>
      <c r="W742" s="635"/>
      <c r="X742" s="636"/>
      <c r="Y742" s="637"/>
      <c r="Z742" s="921"/>
      <c r="AA742" s="636"/>
      <c r="AB742" s="908"/>
      <c r="AC742" s="314" t="s">
        <v>4547</v>
      </c>
      <c r="AD742" s="317"/>
      <c r="AE742" s="669"/>
      <c r="AF742" s="718"/>
      <c r="AG742" s="211"/>
      <c r="AH742" s="210"/>
    </row>
    <row r="743" spans="1:34" s="4" customFormat="1">
      <c r="A743" s="2"/>
      <c r="B743" s="310" t="s">
        <v>115</v>
      </c>
      <c r="C743" s="311" t="s">
        <v>27</v>
      </c>
      <c r="D743" s="687"/>
      <c r="E743" s="688"/>
      <c r="F743" s="312" t="s">
        <v>4548</v>
      </c>
      <c r="G743" s="313">
        <v>44700</v>
      </c>
      <c r="H743" s="624"/>
      <c r="I743" s="625"/>
      <c r="J743" s="626"/>
      <c r="K743" s="627"/>
      <c r="L743" s="628"/>
      <c r="M743" s="629"/>
      <c r="N743" s="627"/>
      <c r="O743" s="628"/>
      <c r="P743" s="630"/>
      <c r="Q743" s="631"/>
      <c r="R743" s="715"/>
      <c r="S743" s="910"/>
      <c r="T743" s="632"/>
      <c r="U743" s="633"/>
      <c r="V743" s="634"/>
      <c r="W743" s="635"/>
      <c r="X743" s="636"/>
      <c r="Y743" s="637"/>
      <c r="Z743" s="921"/>
      <c r="AA743" s="636"/>
      <c r="AB743" s="908"/>
      <c r="AC743" s="314" t="s">
        <v>4549</v>
      </c>
      <c r="AD743" s="317"/>
      <c r="AE743" s="669"/>
      <c r="AF743" s="718"/>
      <c r="AG743" s="211"/>
      <c r="AH743" s="210"/>
    </row>
    <row r="744" spans="1:34" s="4" customFormat="1">
      <c r="A744" s="2"/>
      <c r="B744" s="310" t="s">
        <v>106</v>
      </c>
      <c r="C744" s="311" t="s">
        <v>33</v>
      </c>
      <c r="D744" s="687" t="s">
        <v>4550</v>
      </c>
      <c r="E744" s="688"/>
      <c r="F744" s="312" t="s">
        <v>4551</v>
      </c>
      <c r="G744" s="313">
        <v>44700</v>
      </c>
      <c r="H744" s="624"/>
      <c r="I744" s="625"/>
      <c r="J744" s="626"/>
      <c r="K744" s="627" t="s">
        <v>4552</v>
      </c>
      <c r="L744" s="628">
        <v>44728</v>
      </c>
      <c r="M744" s="629">
        <v>-5000</v>
      </c>
      <c r="N744" s="627" t="s">
        <v>4553</v>
      </c>
      <c r="O744" s="628">
        <v>44729</v>
      </c>
      <c r="P744" s="630" t="s">
        <v>4554</v>
      </c>
      <c r="Q744" s="631"/>
      <c r="R744" s="715"/>
      <c r="S744" s="1068"/>
      <c r="T744" s="632">
        <v>-4748</v>
      </c>
      <c r="U744" s="633" t="s">
        <v>4555</v>
      </c>
      <c r="V744" s="634">
        <v>44736</v>
      </c>
      <c r="W744" s="635" t="s">
        <v>101</v>
      </c>
      <c r="X744" s="636">
        <v>-4748</v>
      </c>
      <c r="Y744" s="637">
        <v>-4748</v>
      </c>
      <c r="Z744" s="733">
        <f>Y744/X744</f>
        <v>1</v>
      </c>
      <c r="AA744" s="636"/>
      <c r="AB744" s="1055">
        <v>0</v>
      </c>
      <c r="AC744" s="912" t="s">
        <v>4556</v>
      </c>
      <c r="AD744" s="913"/>
      <c r="AE744" s="669"/>
      <c r="AF744" s="718"/>
      <c r="AG744" s="211"/>
      <c r="AH744" s="210"/>
    </row>
    <row r="745" spans="1:34" s="4" customFormat="1">
      <c r="A745" s="2"/>
      <c r="B745" s="310" t="s">
        <v>115</v>
      </c>
      <c r="C745" s="311" t="s">
        <v>27</v>
      </c>
      <c r="D745" s="687"/>
      <c r="E745" s="688"/>
      <c r="F745" s="312" t="s">
        <v>4557</v>
      </c>
      <c r="G745" s="313">
        <v>44700</v>
      </c>
      <c r="H745" s="624"/>
      <c r="I745" s="625"/>
      <c r="J745" s="626"/>
      <c r="K745" s="627"/>
      <c r="L745" s="628"/>
      <c r="M745" s="629"/>
      <c r="N745" s="627"/>
      <c r="O745" s="628"/>
      <c r="P745" s="630"/>
      <c r="Q745" s="631"/>
      <c r="R745" s="715"/>
      <c r="S745" s="910"/>
      <c r="T745" s="632"/>
      <c r="U745" s="633"/>
      <c r="V745" s="634"/>
      <c r="W745" s="635"/>
      <c r="X745" s="636"/>
      <c r="Y745" s="637"/>
      <c r="Z745" s="725"/>
      <c r="AA745" s="636"/>
      <c r="AB745" s="908"/>
      <c r="AC745" s="314" t="s">
        <v>4558</v>
      </c>
      <c r="AD745" s="317"/>
      <c r="AE745" s="669"/>
      <c r="AF745" s="718"/>
      <c r="AG745" s="211"/>
      <c r="AH745" s="210"/>
    </row>
    <row r="746" spans="1:34" s="4" customFormat="1">
      <c r="A746" s="2"/>
      <c r="B746" s="310" t="s">
        <v>115</v>
      </c>
      <c r="C746" s="311" t="s">
        <v>27</v>
      </c>
      <c r="D746" s="687"/>
      <c r="E746" s="688"/>
      <c r="F746" s="312" t="s">
        <v>4559</v>
      </c>
      <c r="G746" s="313">
        <v>44701</v>
      </c>
      <c r="H746" s="624"/>
      <c r="I746" s="625"/>
      <c r="J746" s="626"/>
      <c r="K746" s="627"/>
      <c r="L746" s="628"/>
      <c r="M746" s="629"/>
      <c r="N746" s="627"/>
      <c r="O746" s="628"/>
      <c r="P746" s="630"/>
      <c r="Q746" s="631"/>
      <c r="R746" s="715"/>
      <c r="S746" s="910"/>
      <c r="T746" s="632"/>
      <c r="U746" s="633"/>
      <c r="V746" s="634"/>
      <c r="W746" s="635"/>
      <c r="X746" s="636"/>
      <c r="Y746" s="637"/>
      <c r="Z746" s="725"/>
      <c r="AA746" s="636"/>
      <c r="AB746" s="908"/>
      <c r="AC746" s="314" t="s">
        <v>4560</v>
      </c>
      <c r="AD746" s="317"/>
      <c r="AE746" s="669"/>
      <c r="AF746" s="718"/>
      <c r="AG746" s="211"/>
      <c r="AH746" s="210"/>
    </row>
    <row r="747" spans="1:34" s="4" customFormat="1">
      <c r="A747" s="2"/>
      <c r="B747" s="310" t="s">
        <v>115</v>
      </c>
      <c r="C747" s="311" t="s">
        <v>27</v>
      </c>
      <c r="D747" s="687"/>
      <c r="E747" s="688"/>
      <c r="F747" s="312" t="s">
        <v>4561</v>
      </c>
      <c r="G747" s="313">
        <v>44705</v>
      </c>
      <c r="H747" s="624"/>
      <c r="I747" s="625"/>
      <c r="J747" s="626"/>
      <c r="K747" s="627"/>
      <c r="L747" s="628"/>
      <c r="M747" s="629"/>
      <c r="N747" s="627"/>
      <c r="O747" s="628"/>
      <c r="P747" s="630"/>
      <c r="Q747" s="631"/>
      <c r="R747" s="715"/>
      <c r="S747" s="910"/>
      <c r="T747" s="632"/>
      <c r="U747" s="633"/>
      <c r="V747" s="634"/>
      <c r="W747" s="635"/>
      <c r="X747" s="636"/>
      <c r="Y747" s="637"/>
      <c r="Z747" s="725"/>
      <c r="AA747" s="636"/>
      <c r="AB747" s="908"/>
      <c r="AC747" s="314" t="s">
        <v>4562</v>
      </c>
      <c r="AD747" s="317"/>
      <c r="AE747" s="669"/>
      <c r="AF747" s="718"/>
      <c r="AG747" s="211"/>
      <c r="AH747" s="210"/>
    </row>
    <row r="748" spans="1:34" s="4" customFormat="1">
      <c r="A748" s="2"/>
      <c r="B748" s="310" t="s">
        <v>106</v>
      </c>
      <c r="C748" s="311" t="s">
        <v>33</v>
      </c>
      <c r="D748" s="687" t="s">
        <v>4563</v>
      </c>
      <c r="E748" s="688"/>
      <c r="F748" s="312" t="s">
        <v>4564</v>
      </c>
      <c r="G748" s="313">
        <v>44706</v>
      </c>
      <c r="H748" s="624" t="s">
        <v>4565</v>
      </c>
      <c r="I748" s="625">
        <v>44757</v>
      </c>
      <c r="J748" s="626">
        <v>25000</v>
      </c>
      <c r="K748" s="627" t="s">
        <v>4566</v>
      </c>
      <c r="L748" s="628">
        <v>44755</v>
      </c>
      <c r="M748" s="629">
        <v>25000</v>
      </c>
      <c r="N748" s="627" t="s">
        <v>4567</v>
      </c>
      <c r="O748" s="628"/>
      <c r="P748" s="630" t="s">
        <v>4568</v>
      </c>
      <c r="Q748" s="631">
        <v>44769</v>
      </c>
      <c r="R748" s="715">
        <v>44783</v>
      </c>
      <c r="S748" s="1068"/>
      <c r="T748" s="632">
        <v>24972.37</v>
      </c>
      <c r="U748" s="633" t="s">
        <v>4569</v>
      </c>
      <c r="V748" s="634">
        <v>44783</v>
      </c>
      <c r="W748" s="635" t="s">
        <v>2302</v>
      </c>
      <c r="X748" s="636">
        <v>24972.37</v>
      </c>
      <c r="Y748" s="637">
        <v>24972.37</v>
      </c>
      <c r="Z748" s="733">
        <f>Y748/X748</f>
        <v>1</v>
      </c>
      <c r="AA748" s="636"/>
      <c r="AB748" s="1055">
        <v>0</v>
      </c>
      <c r="AC748" s="912" t="s">
        <v>4570</v>
      </c>
      <c r="AD748" s="913"/>
      <c r="AE748" s="669"/>
      <c r="AF748" s="718"/>
      <c r="AG748" s="211"/>
      <c r="AH748" s="210"/>
    </row>
    <row r="749" spans="1:34" s="4" customFormat="1">
      <c r="A749" s="2"/>
      <c r="B749" s="310" t="s">
        <v>115</v>
      </c>
      <c r="C749" s="311" t="s">
        <v>27</v>
      </c>
      <c r="D749" s="687"/>
      <c r="E749" s="688"/>
      <c r="F749" s="312" t="s">
        <v>4571</v>
      </c>
      <c r="G749" s="313">
        <v>44706</v>
      </c>
      <c r="H749" s="624"/>
      <c r="I749" s="625"/>
      <c r="J749" s="626"/>
      <c r="K749" s="627"/>
      <c r="L749" s="628"/>
      <c r="M749" s="629"/>
      <c r="N749" s="627"/>
      <c r="O749" s="628"/>
      <c r="P749" s="630"/>
      <c r="Q749" s="631"/>
      <c r="R749" s="715"/>
      <c r="S749" s="910"/>
      <c r="T749" s="632"/>
      <c r="U749" s="633"/>
      <c r="V749" s="634"/>
      <c r="W749" s="635"/>
      <c r="X749" s="636"/>
      <c r="Y749" s="637"/>
      <c r="Z749" s="725"/>
      <c r="AA749" s="636"/>
      <c r="AB749" s="908"/>
      <c r="AC749" s="314" t="s">
        <v>4572</v>
      </c>
      <c r="AD749" s="317"/>
      <c r="AE749" s="669"/>
      <c r="AF749" s="718"/>
      <c r="AG749" s="211"/>
      <c r="AH749" s="210"/>
    </row>
    <row r="750" spans="1:34" s="4" customFormat="1">
      <c r="A750" s="2"/>
      <c r="B750" s="310" t="s">
        <v>115</v>
      </c>
      <c r="C750" s="311" t="s">
        <v>27</v>
      </c>
      <c r="D750" s="687"/>
      <c r="E750" s="688"/>
      <c r="F750" s="312" t="s">
        <v>4573</v>
      </c>
      <c r="G750" s="313">
        <v>44707</v>
      </c>
      <c r="H750" s="624"/>
      <c r="I750" s="625"/>
      <c r="J750" s="626"/>
      <c r="K750" s="627"/>
      <c r="L750" s="628"/>
      <c r="M750" s="629"/>
      <c r="N750" s="627"/>
      <c r="O750" s="628"/>
      <c r="P750" s="630"/>
      <c r="Q750" s="631"/>
      <c r="R750" s="715"/>
      <c r="S750" s="910"/>
      <c r="T750" s="632"/>
      <c r="U750" s="633"/>
      <c r="V750" s="634"/>
      <c r="W750" s="635"/>
      <c r="X750" s="636"/>
      <c r="Y750" s="637"/>
      <c r="Z750" s="725"/>
      <c r="AA750" s="636"/>
      <c r="AB750" s="908"/>
      <c r="AC750" s="314" t="s">
        <v>4574</v>
      </c>
      <c r="AD750" s="317"/>
      <c r="AE750" s="669"/>
      <c r="AF750" s="718"/>
      <c r="AG750" s="211"/>
      <c r="AH750" s="210"/>
    </row>
    <row r="751" spans="1:34" s="4" customFormat="1">
      <c r="A751" s="2"/>
      <c r="B751" s="310" t="s">
        <v>115</v>
      </c>
      <c r="C751" s="311" t="s">
        <v>27</v>
      </c>
      <c r="D751" s="687"/>
      <c r="E751" s="688"/>
      <c r="F751" s="312" t="s">
        <v>4575</v>
      </c>
      <c r="G751" s="313">
        <v>44707</v>
      </c>
      <c r="H751" s="624"/>
      <c r="I751" s="625"/>
      <c r="J751" s="626"/>
      <c r="K751" s="627"/>
      <c r="L751" s="628"/>
      <c r="M751" s="629"/>
      <c r="N751" s="627"/>
      <c r="O751" s="628"/>
      <c r="P751" s="630"/>
      <c r="Q751" s="631"/>
      <c r="R751" s="715"/>
      <c r="S751" s="910"/>
      <c r="T751" s="632"/>
      <c r="U751" s="633"/>
      <c r="V751" s="634"/>
      <c r="W751" s="635"/>
      <c r="X751" s="636"/>
      <c r="Y751" s="637"/>
      <c r="Z751" s="725"/>
      <c r="AA751" s="636"/>
      <c r="AB751" s="908"/>
      <c r="AC751" s="314" t="s">
        <v>4576</v>
      </c>
      <c r="AD751" s="317"/>
      <c r="AE751" s="669"/>
      <c r="AF751" s="718"/>
      <c r="AG751" s="211"/>
      <c r="AH751" s="210"/>
    </row>
    <row r="752" spans="1:34" s="4" customFormat="1">
      <c r="A752" s="2"/>
      <c r="B752" s="310" t="s">
        <v>115</v>
      </c>
      <c r="C752" s="311" t="s">
        <v>27</v>
      </c>
      <c r="D752" s="687"/>
      <c r="E752" s="688"/>
      <c r="F752" s="312" t="s">
        <v>4577</v>
      </c>
      <c r="G752" s="313">
        <v>44708</v>
      </c>
      <c r="H752" s="624"/>
      <c r="I752" s="625"/>
      <c r="J752" s="626"/>
      <c r="K752" s="627"/>
      <c r="L752" s="628"/>
      <c r="M752" s="629"/>
      <c r="N752" s="627"/>
      <c r="O752" s="628"/>
      <c r="P752" s="630"/>
      <c r="Q752" s="631"/>
      <c r="R752" s="715"/>
      <c r="S752" s="910"/>
      <c r="T752" s="632"/>
      <c r="U752" s="633"/>
      <c r="V752" s="634"/>
      <c r="W752" s="635"/>
      <c r="X752" s="636"/>
      <c r="Y752" s="637"/>
      <c r="Z752" s="725"/>
      <c r="AA752" s="636"/>
      <c r="AB752" s="908"/>
      <c r="AC752" s="314" t="s">
        <v>4578</v>
      </c>
      <c r="AD752" s="317"/>
      <c r="AE752" s="669"/>
      <c r="AF752" s="718"/>
      <c r="AG752" s="211"/>
      <c r="AH752" s="210"/>
    </row>
    <row r="753" spans="1:34" s="4" customFormat="1">
      <c r="A753" s="2"/>
      <c r="B753" s="310" t="s">
        <v>106</v>
      </c>
      <c r="C753" s="311" t="s">
        <v>33</v>
      </c>
      <c r="D753" s="687" t="s">
        <v>4579</v>
      </c>
      <c r="E753" s="688"/>
      <c r="F753" s="312"/>
      <c r="G753" s="313"/>
      <c r="H753" s="624"/>
      <c r="I753" s="625"/>
      <c r="J753" s="626"/>
      <c r="K753" s="627"/>
      <c r="L753" s="628"/>
      <c r="M753" s="629"/>
      <c r="N753" s="627"/>
      <c r="O753" s="628"/>
      <c r="P753" s="630" t="s">
        <v>4580</v>
      </c>
      <c r="Q753" s="631"/>
      <c r="R753" s="715"/>
      <c r="S753" s="1068"/>
      <c r="T753" s="632">
        <v>34162.47</v>
      </c>
      <c r="U753" s="633" t="s">
        <v>4581</v>
      </c>
      <c r="V753" s="634">
        <v>44686</v>
      </c>
      <c r="W753" s="635" t="s">
        <v>84</v>
      </c>
      <c r="X753" s="636">
        <v>34162.47</v>
      </c>
      <c r="Y753" s="636">
        <v>34162.47</v>
      </c>
      <c r="Z753" s="733">
        <f t="shared" ref="Z753:Z754" si="42">Y753/X753</f>
        <v>1</v>
      </c>
      <c r="AA753" s="919"/>
      <c r="AB753" s="1055">
        <v>0</v>
      </c>
      <c r="AD753" s="913"/>
      <c r="AE753" s="669"/>
      <c r="AF753" s="718"/>
      <c r="AG753" s="211"/>
      <c r="AH753" s="210"/>
    </row>
    <row r="754" spans="1:34" s="4" customFormat="1">
      <c r="A754" s="2"/>
      <c r="B754" s="310" t="s">
        <v>106</v>
      </c>
      <c r="C754" s="311" t="s">
        <v>33</v>
      </c>
      <c r="D754" s="687" t="s">
        <v>4582</v>
      </c>
      <c r="E754" s="688"/>
      <c r="F754" s="312"/>
      <c r="G754" s="313"/>
      <c r="H754" s="624"/>
      <c r="I754" s="625"/>
      <c r="J754" s="626"/>
      <c r="K754" s="627"/>
      <c r="L754" s="628"/>
      <c r="M754" s="629"/>
      <c r="N754" s="627"/>
      <c r="O754" s="628"/>
      <c r="P754" s="630" t="s">
        <v>4583</v>
      </c>
      <c r="Q754" s="631"/>
      <c r="R754" s="715"/>
      <c r="S754" s="1068"/>
      <c r="T754" s="632">
        <v>36294.69</v>
      </c>
      <c r="U754" s="633" t="s">
        <v>4584</v>
      </c>
      <c r="V754" s="634">
        <v>44686</v>
      </c>
      <c r="W754" s="635" t="s">
        <v>84</v>
      </c>
      <c r="X754" s="636">
        <v>36294.69</v>
      </c>
      <c r="Y754" s="636">
        <v>36294.69</v>
      </c>
      <c r="Z754" s="733">
        <f t="shared" si="42"/>
        <v>1</v>
      </c>
      <c r="AA754" s="919"/>
      <c r="AB754" s="1055">
        <v>0</v>
      </c>
      <c r="AD754" s="913"/>
      <c r="AE754" s="669"/>
      <c r="AF754" s="718"/>
      <c r="AG754" s="211"/>
      <c r="AH754" s="210"/>
    </row>
    <row r="755" spans="1:34" s="4" customFormat="1">
      <c r="A755" s="2"/>
      <c r="B755" s="310" t="s">
        <v>115</v>
      </c>
      <c r="C755" s="311" t="s">
        <v>27</v>
      </c>
      <c r="D755" s="687"/>
      <c r="E755" s="688"/>
      <c r="F755" s="312" t="s">
        <v>4585</v>
      </c>
      <c r="G755" s="313">
        <v>44711</v>
      </c>
      <c r="H755" s="624"/>
      <c r="I755" s="625"/>
      <c r="J755" s="626"/>
      <c r="K755" s="627"/>
      <c r="L755" s="628"/>
      <c r="M755" s="629"/>
      <c r="N755" s="627"/>
      <c r="O755" s="628"/>
      <c r="P755" s="630"/>
      <c r="Q755" s="631"/>
      <c r="R755" s="715"/>
      <c r="S755" s="910"/>
      <c r="T755" s="632"/>
      <c r="U755" s="633"/>
      <c r="V755" s="634"/>
      <c r="W755" s="635"/>
      <c r="X755" s="636"/>
      <c r="Y755" s="637"/>
      <c r="Z755" s="733"/>
      <c r="AA755" s="919"/>
      <c r="AB755" s="908"/>
      <c r="AC755" s="314" t="s">
        <v>4586</v>
      </c>
      <c r="AD755" s="317"/>
      <c r="AE755" s="669"/>
      <c r="AF755" s="718"/>
      <c r="AG755" s="211"/>
      <c r="AH755" s="210"/>
    </row>
    <row r="756" spans="1:34" s="4" customFormat="1">
      <c r="A756" s="2"/>
      <c r="B756" s="310" t="s">
        <v>115</v>
      </c>
      <c r="C756" s="311" t="s">
        <v>27</v>
      </c>
      <c r="D756" s="687"/>
      <c r="E756" s="688"/>
      <c r="F756" s="312" t="s">
        <v>4587</v>
      </c>
      <c r="G756" s="313">
        <v>44712</v>
      </c>
      <c r="H756" s="624"/>
      <c r="I756" s="625"/>
      <c r="J756" s="626"/>
      <c r="K756" s="627"/>
      <c r="L756" s="628"/>
      <c r="M756" s="629"/>
      <c r="N756" s="627"/>
      <c r="O756" s="628"/>
      <c r="P756" s="630"/>
      <c r="Q756" s="631"/>
      <c r="R756" s="715"/>
      <c r="S756" s="910"/>
      <c r="T756" s="632"/>
      <c r="U756" s="633"/>
      <c r="V756" s="634"/>
      <c r="W756" s="635"/>
      <c r="X756" s="636"/>
      <c r="Y756" s="637"/>
      <c r="Z756" s="733"/>
      <c r="AA756" s="919"/>
      <c r="AB756" s="908"/>
      <c r="AC756" s="314" t="s">
        <v>4588</v>
      </c>
      <c r="AD756" s="317"/>
      <c r="AE756" s="669"/>
      <c r="AF756" s="718"/>
      <c r="AG756" s="211"/>
      <c r="AH756" s="210"/>
    </row>
    <row r="757" spans="1:34" s="4" customFormat="1">
      <c r="A757" s="2"/>
      <c r="B757" s="310" t="s">
        <v>115</v>
      </c>
      <c r="C757" s="311" t="s">
        <v>27</v>
      </c>
      <c r="D757" s="687"/>
      <c r="E757" s="688"/>
      <c r="F757" s="312" t="s">
        <v>4589</v>
      </c>
      <c r="G757" s="313">
        <v>44713</v>
      </c>
      <c r="H757" s="624"/>
      <c r="I757" s="625"/>
      <c r="J757" s="626"/>
      <c r="K757" s="627"/>
      <c r="L757" s="628"/>
      <c r="M757" s="629"/>
      <c r="N757" s="627"/>
      <c r="O757" s="628"/>
      <c r="P757" s="630"/>
      <c r="Q757" s="631"/>
      <c r="R757" s="715"/>
      <c r="S757" s="910"/>
      <c r="T757" s="632"/>
      <c r="U757" s="633"/>
      <c r="V757" s="634"/>
      <c r="W757" s="635"/>
      <c r="X757" s="636"/>
      <c r="Y757" s="637"/>
      <c r="Z757" s="733"/>
      <c r="AA757" s="919"/>
      <c r="AB757" s="908"/>
      <c r="AC757" s="314" t="s">
        <v>4590</v>
      </c>
      <c r="AD757" s="317"/>
      <c r="AE757" s="669"/>
      <c r="AF757" s="718"/>
      <c r="AG757" s="211"/>
      <c r="AH757" s="210"/>
    </row>
    <row r="758" spans="1:34" s="4" customFormat="1">
      <c r="A758" s="2"/>
      <c r="B758" s="310" t="s">
        <v>115</v>
      </c>
      <c r="C758" s="311" t="s">
        <v>27</v>
      </c>
      <c r="D758" s="687"/>
      <c r="E758" s="688"/>
      <c r="F758" s="312" t="s">
        <v>4591</v>
      </c>
      <c r="G758" s="313">
        <v>44713</v>
      </c>
      <c r="H758" s="624"/>
      <c r="I758" s="625"/>
      <c r="J758" s="626"/>
      <c r="K758" s="627"/>
      <c r="L758" s="628"/>
      <c r="M758" s="629"/>
      <c r="N758" s="627"/>
      <c r="O758" s="628"/>
      <c r="P758" s="630"/>
      <c r="Q758" s="631"/>
      <c r="R758" s="715"/>
      <c r="S758" s="910"/>
      <c r="T758" s="632"/>
      <c r="U758" s="633"/>
      <c r="V758" s="634"/>
      <c r="W758" s="635"/>
      <c r="X758" s="636"/>
      <c r="Y758" s="637"/>
      <c r="Z758" s="733"/>
      <c r="AA758" s="919"/>
      <c r="AB758" s="908"/>
      <c r="AC758" s="314" t="s">
        <v>4592</v>
      </c>
      <c r="AD758" s="317"/>
      <c r="AE758" s="669"/>
      <c r="AF758" s="718"/>
      <c r="AG758" s="211"/>
      <c r="AH758" s="210"/>
    </row>
    <row r="759" spans="1:34" s="4" customFormat="1">
      <c r="A759" s="2"/>
      <c r="B759" s="310" t="s">
        <v>115</v>
      </c>
      <c r="C759" s="311" t="s">
        <v>27</v>
      </c>
      <c r="D759" s="687"/>
      <c r="E759" s="688"/>
      <c r="F759" s="312" t="s">
        <v>4593</v>
      </c>
      <c r="G759" s="313">
        <v>44713</v>
      </c>
      <c r="H759" s="624"/>
      <c r="I759" s="625"/>
      <c r="J759" s="626"/>
      <c r="K759" s="627"/>
      <c r="L759" s="628"/>
      <c r="M759" s="629"/>
      <c r="N759" s="627"/>
      <c r="O759" s="628"/>
      <c r="P759" s="630"/>
      <c r="Q759" s="631"/>
      <c r="R759" s="715"/>
      <c r="S759" s="910"/>
      <c r="T759" s="632"/>
      <c r="U759" s="633"/>
      <c r="V759" s="634"/>
      <c r="W759" s="635"/>
      <c r="X759" s="636"/>
      <c r="Y759" s="637"/>
      <c r="Z759" s="733"/>
      <c r="AA759" s="919"/>
      <c r="AB759" s="908"/>
      <c r="AC759" s="314" t="s">
        <v>4594</v>
      </c>
      <c r="AD759" s="317"/>
      <c r="AE759" s="669"/>
      <c r="AF759" s="718"/>
      <c r="AG759" s="211"/>
      <c r="AH759" s="210"/>
    </row>
    <row r="760" spans="1:34" s="4" customFormat="1">
      <c r="A760" s="2"/>
      <c r="B760" s="310" t="s">
        <v>115</v>
      </c>
      <c r="C760" s="311" t="s">
        <v>27</v>
      </c>
      <c r="D760" s="687"/>
      <c r="E760" s="688"/>
      <c r="F760" s="312" t="s">
        <v>4595</v>
      </c>
      <c r="G760" s="313">
        <v>44714</v>
      </c>
      <c r="H760" s="624"/>
      <c r="I760" s="625"/>
      <c r="J760" s="626"/>
      <c r="K760" s="627"/>
      <c r="L760" s="628"/>
      <c r="M760" s="629"/>
      <c r="N760" s="627"/>
      <c r="O760" s="628"/>
      <c r="P760" s="630"/>
      <c r="Q760" s="631"/>
      <c r="R760" s="715"/>
      <c r="S760" s="910"/>
      <c r="T760" s="632"/>
      <c r="U760" s="633"/>
      <c r="V760" s="634"/>
      <c r="W760" s="635"/>
      <c r="X760" s="636"/>
      <c r="Y760" s="637"/>
      <c r="Z760" s="733"/>
      <c r="AA760" s="919"/>
      <c r="AB760" s="908"/>
      <c r="AC760" s="314" t="s">
        <v>4596</v>
      </c>
      <c r="AD760" s="317"/>
      <c r="AE760" s="669"/>
      <c r="AF760" s="718"/>
      <c r="AG760" s="211"/>
      <c r="AH760" s="210"/>
    </row>
    <row r="761" spans="1:34" s="4" customFormat="1">
      <c r="A761" s="2"/>
      <c r="B761" s="310" t="s">
        <v>115</v>
      </c>
      <c r="C761" s="311" t="s">
        <v>27</v>
      </c>
      <c r="D761" s="687"/>
      <c r="E761" s="688"/>
      <c r="F761" s="312" t="s">
        <v>4597</v>
      </c>
      <c r="G761" s="313">
        <v>44714</v>
      </c>
      <c r="H761" s="624"/>
      <c r="I761" s="625"/>
      <c r="J761" s="626"/>
      <c r="K761" s="627"/>
      <c r="L761" s="628"/>
      <c r="M761" s="629"/>
      <c r="N761" s="627"/>
      <c r="O761" s="628"/>
      <c r="P761" s="630"/>
      <c r="Q761" s="631"/>
      <c r="R761" s="715"/>
      <c r="S761" s="910"/>
      <c r="T761" s="632"/>
      <c r="U761" s="633"/>
      <c r="V761" s="634"/>
      <c r="W761" s="635"/>
      <c r="X761" s="636"/>
      <c r="Y761" s="637"/>
      <c r="Z761" s="733"/>
      <c r="AA761" s="919"/>
      <c r="AB761" s="908"/>
      <c r="AC761" s="314" t="s">
        <v>4598</v>
      </c>
      <c r="AD761" s="317"/>
      <c r="AE761" s="669"/>
      <c r="AF761" s="718"/>
      <c r="AG761" s="211"/>
      <c r="AH761" s="210"/>
    </row>
    <row r="762" spans="1:34" s="4" customFormat="1">
      <c r="A762" s="2"/>
      <c r="B762" s="310" t="s">
        <v>115</v>
      </c>
      <c r="C762" s="311" t="s">
        <v>27</v>
      </c>
      <c r="D762" s="687"/>
      <c r="E762" s="688"/>
      <c r="F762" s="312" t="s">
        <v>4599</v>
      </c>
      <c r="G762" s="313">
        <v>44714</v>
      </c>
      <c r="H762" s="624"/>
      <c r="I762" s="625"/>
      <c r="J762" s="626"/>
      <c r="K762" s="627"/>
      <c r="L762" s="628"/>
      <c r="M762" s="629"/>
      <c r="N762" s="627"/>
      <c r="O762" s="628"/>
      <c r="P762" s="630"/>
      <c r="Q762" s="631"/>
      <c r="R762" s="715"/>
      <c r="S762" s="910"/>
      <c r="T762" s="632"/>
      <c r="U762" s="633"/>
      <c r="V762" s="634"/>
      <c r="W762" s="635"/>
      <c r="X762" s="636"/>
      <c r="Y762" s="637"/>
      <c r="Z762" s="733"/>
      <c r="AA762" s="919"/>
      <c r="AB762" s="908"/>
      <c r="AC762" s="314" t="s">
        <v>4600</v>
      </c>
      <c r="AD762" s="317"/>
      <c r="AE762" s="669"/>
      <c r="AF762" s="718"/>
      <c r="AG762" s="211"/>
      <c r="AH762" s="210"/>
    </row>
    <row r="763" spans="1:34" s="4" customFormat="1">
      <c r="A763" s="2"/>
      <c r="B763" s="310" t="s">
        <v>106</v>
      </c>
      <c r="C763" s="311" t="s">
        <v>33</v>
      </c>
      <c r="D763" s="687" t="s">
        <v>4563</v>
      </c>
      <c r="E763" s="688"/>
      <c r="F763" s="312" t="s">
        <v>4601</v>
      </c>
      <c r="G763" s="313">
        <v>44715</v>
      </c>
      <c r="H763" s="624" t="s">
        <v>4602</v>
      </c>
      <c r="I763" s="625"/>
      <c r="J763" s="626"/>
      <c r="K763" s="627" t="s">
        <v>4603</v>
      </c>
      <c r="L763" s="628"/>
      <c r="M763" s="629"/>
      <c r="N763" s="627" t="s">
        <v>4567</v>
      </c>
      <c r="O763" s="628"/>
      <c r="P763" s="630"/>
      <c r="Q763" s="631"/>
      <c r="R763" s="715"/>
      <c r="S763" s="910"/>
      <c r="T763" s="632"/>
      <c r="U763" s="633" t="s">
        <v>4604</v>
      </c>
      <c r="V763" s="634"/>
      <c r="W763" s="635" t="s">
        <v>2302</v>
      </c>
      <c r="X763" s="636"/>
      <c r="Y763" s="637"/>
      <c r="Z763" s="733" t="s">
        <v>268</v>
      </c>
      <c r="AA763" s="919"/>
      <c r="AB763" s="1055">
        <v>0</v>
      </c>
      <c r="AC763" s="912" t="s">
        <v>4605</v>
      </c>
      <c r="AD763" s="913"/>
      <c r="AE763" s="669"/>
      <c r="AF763" s="718"/>
      <c r="AG763" s="211"/>
      <c r="AH763" s="210"/>
    </row>
    <row r="764" spans="1:34" s="4" customFormat="1">
      <c r="A764" s="2"/>
      <c r="B764" s="310" t="s">
        <v>115</v>
      </c>
      <c r="C764" s="311" t="s">
        <v>27</v>
      </c>
      <c r="D764" s="687"/>
      <c r="E764" s="688"/>
      <c r="F764" s="312" t="s">
        <v>4606</v>
      </c>
      <c r="G764" s="313">
        <v>44715</v>
      </c>
      <c r="H764" s="624"/>
      <c r="I764" s="625"/>
      <c r="J764" s="626"/>
      <c r="K764" s="627"/>
      <c r="L764" s="628"/>
      <c r="M764" s="629"/>
      <c r="N764" s="627"/>
      <c r="O764" s="628"/>
      <c r="P764" s="630"/>
      <c r="Q764" s="631"/>
      <c r="R764" s="715"/>
      <c r="S764" s="910"/>
      <c r="T764" s="632"/>
      <c r="U764" s="633"/>
      <c r="V764" s="634"/>
      <c r="W764" s="635"/>
      <c r="X764" s="636"/>
      <c r="Y764" s="637"/>
      <c r="Z764" s="733"/>
      <c r="AA764" s="919"/>
      <c r="AB764" s="908"/>
      <c r="AC764" s="314" t="s">
        <v>4607</v>
      </c>
      <c r="AD764" s="317"/>
      <c r="AE764" s="669"/>
      <c r="AF764" s="718"/>
      <c r="AG764" s="211"/>
      <c r="AH764" s="210"/>
    </row>
    <row r="765" spans="1:34" s="4" customFormat="1">
      <c r="A765" s="2"/>
      <c r="B765" s="310" t="s">
        <v>115</v>
      </c>
      <c r="C765" s="311" t="s">
        <v>27</v>
      </c>
      <c r="D765" s="687"/>
      <c r="E765" s="688"/>
      <c r="F765" s="312" t="s">
        <v>4608</v>
      </c>
      <c r="G765" s="313">
        <v>44718</v>
      </c>
      <c r="H765" s="624"/>
      <c r="I765" s="625"/>
      <c r="J765" s="626"/>
      <c r="K765" s="627"/>
      <c r="L765" s="628"/>
      <c r="M765" s="629"/>
      <c r="N765" s="627"/>
      <c r="O765" s="628"/>
      <c r="P765" s="630"/>
      <c r="Q765" s="631"/>
      <c r="R765" s="715"/>
      <c r="S765" s="910"/>
      <c r="T765" s="632"/>
      <c r="U765" s="633"/>
      <c r="V765" s="634"/>
      <c r="W765" s="635"/>
      <c r="X765" s="636"/>
      <c r="Y765" s="637"/>
      <c r="Z765" s="733"/>
      <c r="AA765" s="919"/>
      <c r="AB765" s="908"/>
      <c r="AC765" s="314" t="s">
        <v>4609</v>
      </c>
      <c r="AD765" s="317"/>
      <c r="AE765" s="669"/>
      <c r="AF765" s="718"/>
      <c r="AG765" s="211"/>
      <c r="AH765" s="210"/>
    </row>
    <row r="766" spans="1:34" s="4" customFormat="1">
      <c r="A766" s="2"/>
      <c r="B766" s="310" t="s">
        <v>115</v>
      </c>
      <c r="C766" s="311" t="s">
        <v>27</v>
      </c>
      <c r="D766" s="687"/>
      <c r="E766" s="688"/>
      <c r="F766" s="312" t="s">
        <v>4610</v>
      </c>
      <c r="G766" s="313">
        <v>44720</v>
      </c>
      <c r="H766" s="624"/>
      <c r="I766" s="625"/>
      <c r="J766" s="626"/>
      <c r="K766" s="627"/>
      <c r="L766" s="628"/>
      <c r="M766" s="629"/>
      <c r="N766" s="627"/>
      <c r="O766" s="628"/>
      <c r="P766" s="630"/>
      <c r="Q766" s="631"/>
      <c r="R766" s="715"/>
      <c r="S766" s="910"/>
      <c r="T766" s="632"/>
      <c r="U766" s="633"/>
      <c r="V766" s="634"/>
      <c r="W766" s="635"/>
      <c r="X766" s="636"/>
      <c r="Y766" s="637"/>
      <c r="Z766" s="733"/>
      <c r="AA766" s="919"/>
      <c r="AB766" s="908"/>
      <c r="AC766" s="314" t="s">
        <v>4611</v>
      </c>
      <c r="AD766" s="317"/>
      <c r="AE766" s="669"/>
      <c r="AF766" s="718"/>
      <c r="AG766" s="211"/>
      <c r="AH766" s="210"/>
    </row>
    <row r="767" spans="1:34" s="4" customFormat="1">
      <c r="A767" s="2"/>
      <c r="B767" s="310" t="s">
        <v>115</v>
      </c>
      <c r="C767" s="311" t="s">
        <v>27</v>
      </c>
      <c r="D767" s="687"/>
      <c r="E767" s="688"/>
      <c r="F767" s="312" t="s">
        <v>4612</v>
      </c>
      <c r="G767" s="313">
        <v>44720</v>
      </c>
      <c r="H767" s="624"/>
      <c r="I767" s="625"/>
      <c r="J767" s="626"/>
      <c r="K767" s="627"/>
      <c r="L767" s="628"/>
      <c r="M767" s="629"/>
      <c r="N767" s="627"/>
      <c r="O767" s="628"/>
      <c r="P767" s="630"/>
      <c r="Q767" s="631"/>
      <c r="R767" s="715"/>
      <c r="S767" s="910"/>
      <c r="T767" s="632"/>
      <c r="U767" s="633"/>
      <c r="V767" s="634"/>
      <c r="W767" s="635"/>
      <c r="X767" s="636"/>
      <c r="Y767" s="637"/>
      <c r="Z767" s="733"/>
      <c r="AA767" s="919"/>
      <c r="AB767" s="908"/>
      <c r="AC767" s="314" t="s">
        <v>4613</v>
      </c>
      <c r="AD767" s="317"/>
      <c r="AE767" s="669"/>
      <c r="AF767" s="718"/>
      <c r="AG767" s="211"/>
      <c r="AH767" s="210"/>
    </row>
    <row r="768" spans="1:34" s="4" customFormat="1">
      <c r="A768" s="2"/>
      <c r="B768" s="310" t="s">
        <v>115</v>
      </c>
      <c r="C768" s="311" t="s">
        <v>27</v>
      </c>
      <c r="D768" s="687"/>
      <c r="E768" s="688"/>
      <c r="F768" s="312" t="s">
        <v>4614</v>
      </c>
      <c r="G768" s="313">
        <v>44721</v>
      </c>
      <c r="H768" s="624"/>
      <c r="I768" s="625"/>
      <c r="J768" s="626"/>
      <c r="K768" s="627"/>
      <c r="L768" s="628"/>
      <c r="M768" s="629"/>
      <c r="N768" s="627"/>
      <c r="O768" s="628"/>
      <c r="P768" s="630"/>
      <c r="Q768" s="631"/>
      <c r="R768" s="715"/>
      <c r="S768" s="910"/>
      <c r="T768" s="632"/>
      <c r="U768" s="633"/>
      <c r="V768" s="634"/>
      <c r="W768" s="635"/>
      <c r="X768" s="636"/>
      <c r="Y768" s="637"/>
      <c r="Z768" s="733"/>
      <c r="AA768" s="919"/>
      <c r="AB768" s="908"/>
      <c r="AC768" s="314" t="s">
        <v>4615</v>
      </c>
      <c r="AD768" s="317"/>
      <c r="AE768" s="669"/>
      <c r="AF768" s="718"/>
      <c r="AG768" s="211"/>
      <c r="AH768" s="210"/>
    </row>
    <row r="769" spans="1:34" s="4" customFormat="1">
      <c r="A769" s="2"/>
      <c r="B769" s="310" t="s">
        <v>115</v>
      </c>
      <c r="C769" s="311" t="s">
        <v>27</v>
      </c>
      <c r="D769" s="687"/>
      <c r="E769" s="688"/>
      <c r="F769" s="312" t="s">
        <v>4616</v>
      </c>
      <c r="G769" s="313">
        <v>44722</v>
      </c>
      <c r="H769" s="624"/>
      <c r="I769" s="625"/>
      <c r="J769" s="626"/>
      <c r="K769" s="627"/>
      <c r="L769" s="628"/>
      <c r="M769" s="629"/>
      <c r="N769" s="627"/>
      <c r="O769" s="628"/>
      <c r="P769" s="630"/>
      <c r="Q769" s="631"/>
      <c r="R769" s="715"/>
      <c r="S769" s="910"/>
      <c r="T769" s="632"/>
      <c r="U769" s="633"/>
      <c r="V769" s="634"/>
      <c r="W769" s="635"/>
      <c r="X769" s="636"/>
      <c r="Y769" s="637"/>
      <c r="Z769" s="733"/>
      <c r="AA769" s="919"/>
      <c r="AB769" s="908"/>
      <c r="AC769" s="314" t="s">
        <v>4617</v>
      </c>
      <c r="AD769" s="317"/>
      <c r="AE769" s="669"/>
      <c r="AF769" s="718"/>
      <c r="AG769" s="211"/>
      <c r="AH769" s="210"/>
    </row>
    <row r="770" spans="1:34" s="4" customFormat="1">
      <c r="A770" s="2"/>
      <c r="B770" s="310" t="s">
        <v>106</v>
      </c>
      <c r="C770" s="311" t="s">
        <v>33</v>
      </c>
      <c r="D770" s="687" t="s">
        <v>4233</v>
      </c>
      <c r="E770" s="688"/>
      <c r="F770" s="312" t="s">
        <v>4618</v>
      </c>
      <c r="G770" s="313">
        <v>44722</v>
      </c>
      <c r="H770" s="624" t="s">
        <v>4619</v>
      </c>
      <c r="I770" s="625"/>
      <c r="J770" s="626"/>
      <c r="K770" s="627" t="s">
        <v>4620</v>
      </c>
      <c r="L770" s="628">
        <v>44699</v>
      </c>
      <c r="M770" s="629"/>
      <c r="N770" s="627" t="s">
        <v>4237</v>
      </c>
      <c r="O770" s="628"/>
      <c r="P770" s="630" t="s">
        <v>4238</v>
      </c>
      <c r="Q770" s="631">
        <v>44767</v>
      </c>
      <c r="R770" s="715">
        <v>44816</v>
      </c>
      <c r="S770" s="910"/>
      <c r="T770" s="632"/>
      <c r="U770" s="633" t="s">
        <v>4621</v>
      </c>
      <c r="V770" s="634"/>
      <c r="W770" s="635" t="s">
        <v>2302</v>
      </c>
      <c r="X770" s="636"/>
      <c r="Y770" s="637"/>
      <c r="Z770" s="733" t="s">
        <v>268</v>
      </c>
      <c r="AA770" s="919"/>
      <c r="AB770" s="1055">
        <v>0</v>
      </c>
      <c r="AC770" s="912" t="s">
        <v>4622</v>
      </c>
      <c r="AD770" s="913"/>
      <c r="AE770" s="669"/>
      <c r="AF770" s="718"/>
      <c r="AG770" s="211"/>
      <c r="AH770" s="210"/>
    </row>
    <row r="771" spans="1:34" s="4" customFormat="1">
      <c r="A771" s="2"/>
      <c r="B771" s="310" t="s">
        <v>106</v>
      </c>
      <c r="C771" s="311" t="s">
        <v>33</v>
      </c>
      <c r="D771" s="687" t="s">
        <v>4623</v>
      </c>
      <c r="E771" s="688"/>
      <c r="F771" s="312"/>
      <c r="G771" s="313"/>
      <c r="H771" s="624"/>
      <c r="I771" s="625"/>
      <c r="J771" s="626"/>
      <c r="K771" s="627" t="s">
        <v>4624</v>
      </c>
      <c r="L771" s="628">
        <v>44670</v>
      </c>
      <c r="M771" s="629">
        <v>10000</v>
      </c>
      <c r="N771" s="627" t="s">
        <v>4625</v>
      </c>
      <c r="O771" s="628">
        <v>44672</v>
      </c>
      <c r="P771" s="630" t="s">
        <v>4626</v>
      </c>
      <c r="Q771" s="631">
        <v>44706</v>
      </c>
      <c r="R771" s="715">
        <v>44844</v>
      </c>
      <c r="S771" s="1068"/>
      <c r="T771" s="632">
        <v>87072.639999999999</v>
      </c>
      <c r="U771" s="633" t="s">
        <v>4627</v>
      </c>
      <c r="V771" s="634">
        <v>44834</v>
      </c>
      <c r="W771" s="635" t="s">
        <v>2302</v>
      </c>
      <c r="X771" s="636">
        <v>56122.04</v>
      </c>
      <c r="Y771" s="637">
        <v>56122.04</v>
      </c>
      <c r="Z771" s="733">
        <f t="shared" ref="Z771:Z774" si="43">Y771/X771</f>
        <v>1</v>
      </c>
      <c r="AA771" s="919"/>
      <c r="AB771" s="1055">
        <v>0</v>
      </c>
      <c r="AC771" s="912"/>
      <c r="AD771" s="913"/>
      <c r="AE771" s="669"/>
      <c r="AF771" s="718"/>
      <c r="AG771" s="211"/>
      <c r="AH771" s="210"/>
    </row>
    <row r="772" spans="1:34" s="4" customFormat="1">
      <c r="A772" s="2"/>
      <c r="B772" s="310" t="s">
        <v>106</v>
      </c>
      <c r="C772" s="311" t="s">
        <v>33</v>
      </c>
      <c r="D772" s="687" t="s">
        <v>4628</v>
      </c>
      <c r="E772" s="688"/>
      <c r="F772" s="312"/>
      <c r="G772" s="313"/>
      <c r="H772" s="624" t="s">
        <v>4629</v>
      </c>
      <c r="I772" s="625">
        <v>44736</v>
      </c>
      <c r="J772" s="626">
        <v>60000</v>
      </c>
      <c r="K772" s="627" t="s">
        <v>4630</v>
      </c>
      <c r="L772" s="628">
        <v>44698</v>
      </c>
      <c r="M772" s="629">
        <v>90000</v>
      </c>
      <c r="N772" s="627" t="s">
        <v>4631</v>
      </c>
      <c r="O772" s="628">
        <v>44760</v>
      </c>
      <c r="P772" s="630" t="s">
        <v>4632</v>
      </c>
      <c r="Q772" s="631">
        <v>44771</v>
      </c>
      <c r="R772" s="715">
        <v>44791</v>
      </c>
      <c r="S772" s="1068"/>
      <c r="T772" s="632">
        <v>128372.95</v>
      </c>
      <c r="U772" s="633" t="s">
        <v>4633</v>
      </c>
      <c r="V772" s="634">
        <v>44799</v>
      </c>
      <c r="W772" s="635" t="s">
        <v>2302</v>
      </c>
      <c r="X772" s="636">
        <v>128372.95</v>
      </c>
      <c r="Y772" s="637">
        <v>128372.95</v>
      </c>
      <c r="Z772" s="733">
        <f t="shared" si="43"/>
        <v>1</v>
      </c>
      <c r="AA772" s="919"/>
      <c r="AB772" s="1055">
        <v>0</v>
      </c>
      <c r="AC772" s="912" t="s">
        <v>4634</v>
      </c>
      <c r="AD772" s="913"/>
      <c r="AE772" s="669"/>
      <c r="AF772" s="718"/>
      <c r="AG772" s="211"/>
      <c r="AH772" s="210"/>
    </row>
    <row r="773" spans="1:34" s="4" customFormat="1">
      <c r="A773" s="2"/>
      <c r="B773" s="310" t="s">
        <v>106</v>
      </c>
      <c r="C773" s="311" t="s">
        <v>33</v>
      </c>
      <c r="D773" s="687" t="s">
        <v>4635</v>
      </c>
      <c r="E773" s="688"/>
      <c r="F773" s="312"/>
      <c r="G773" s="313"/>
      <c r="H773" s="624" t="s">
        <v>4636</v>
      </c>
      <c r="I773" s="625">
        <v>44707</v>
      </c>
      <c r="J773" s="626">
        <v>20000</v>
      </c>
      <c r="K773" s="627" t="s">
        <v>4637</v>
      </c>
      <c r="L773" s="628">
        <v>44699</v>
      </c>
      <c r="M773" s="629">
        <v>3500</v>
      </c>
      <c r="N773" s="627" t="s">
        <v>4638</v>
      </c>
      <c r="O773" s="628">
        <v>44785</v>
      </c>
      <c r="P773" s="630" t="s">
        <v>4639</v>
      </c>
      <c r="Q773" s="631">
        <v>44734</v>
      </c>
      <c r="R773" s="715">
        <v>44895</v>
      </c>
      <c r="S773" s="1068"/>
      <c r="T773" s="632">
        <v>86109.67</v>
      </c>
      <c r="U773" s="633" t="s">
        <v>4640</v>
      </c>
      <c r="V773" s="634">
        <v>44883</v>
      </c>
      <c r="W773" s="635" t="s">
        <v>2302</v>
      </c>
      <c r="X773" s="636">
        <v>86109.67</v>
      </c>
      <c r="Y773" s="637">
        <v>86109.67</v>
      </c>
      <c r="Z773" s="733">
        <f t="shared" si="43"/>
        <v>1</v>
      </c>
      <c r="AA773" s="919"/>
      <c r="AB773" s="1055">
        <v>0</v>
      </c>
      <c r="AC773" s="912"/>
      <c r="AD773" s="913"/>
      <c r="AE773" s="669"/>
      <c r="AF773" s="718"/>
      <c r="AG773" s="211"/>
      <c r="AH773" s="210"/>
    </row>
    <row r="774" spans="1:34" s="4" customFormat="1">
      <c r="A774" s="2"/>
      <c r="B774" s="310" t="s">
        <v>106</v>
      </c>
      <c r="C774" s="311" t="s">
        <v>33</v>
      </c>
      <c r="D774" s="687" t="s">
        <v>4641</v>
      </c>
      <c r="E774" s="688"/>
      <c r="F774" s="312"/>
      <c r="G774" s="313"/>
      <c r="H774" s="624"/>
      <c r="I774" s="625"/>
      <c r="J774" s="626"/>
      <c r="K774" s="627" t="s">
        <v>4642</v>
      </c>
      <c r="L774" s="628">
        <v>44701</v>
      </c>
      <c r="M774" s="629">
        <v>5500</v>
      </c>
      <c r="N774" s="627" t="s">
        <v>4323</v>
      </c>
      <c r="O774" s="628">
        <v>44705</v>
      </c>
      <c r="P774" s="630" t="s">
        <v>4643</v>
      </c>
      <c r="Q774" s="631">
        <v>44750</v>
      </c>
      <c r="R774" s="715">
        <v>44767</v>
      </c>
      <c r="S774" s="1068"/>
      <c r="T774" s="632">
        <v>8659.1200000000008</v>
      </c>
      <c r="U774" s="633" t="s">
        <v>4644</v>
      </c>
      <c r="V774" s="634">
        <v>44763</v>
      </c>
      <c r="W774" s="635" t="s">
        <v>2302</v>
      </c>
      <c r="X774" s="636">
        <v>8659.1200000000008</v>
      </c>
      <c r="Y774" s="637">
        <v>8659.1200000000008</v>
      </c>
      <c r="Z774" s="733">
        <f t="shared" si="43"/>
        <v>1</v>
      </c>
      <c r="AA774" s="919"/>
      <c r="AB774" s="1055">
        <v>0</v>
      </c>
      <c r="AC774" s="912"/>
      <c r="AD774" s="913"/>
      <c r="AE774" s="669"/>
      <c r="AF774" s="718"/>
      <c r="AG774" s="211"/>
      <c r="AH774" s="210"/>
    </row>
    <row r="775" spans="1:34" s="4" customFormat="1">
      <c r="A775" s="2"/>
      <c r="B775" s="310" t="s">
        <v>106</v>
      </c>
      <c r="C775" s="311" t="s">
        <v>33</v>
      </c>
      <c r="D775" s="687" t="s">
        <v>4645</v>
      </c>
      <c r="E775" s="688"/>
      <c r="F775" s="312"/>
      <c r="G775" s="313"/>
      <c r="H775" s="624"/>
      <c r="I775" s="625"/>
      <c r="J775" s="626"/>
      <c r="K775" s="627" t="s">
        <v>4646</v>
      </c>
      <c r="L775" s="628">
        <v>44701</v>
      </c>
      <c r="M775" s="629"/>
      <c r="N775" s="627"/>
      <c r="O775" s="628"/>
      <c r="P775" s="630"/>
      <c r="Q775" s="631"/>
      <c r="R775" s="715"/>
      <c r="S775" s="910"/>
      <c r="T775" s="632"/>
      <c r="U775" s="633"/>
      <c r="V775" s="634"/>
      <c r="W775" s="635"/>
      <c r="X775" s="636"/>
      <c r="Y775" s="637"/>
      <c r="Z775" s="733"/>
      <c r="AA775" s="919"/>
      <c r="AB775" s="908"/>
      <c r="AC775" s="314"/>
      <c r="AD775" s="317"/>
      <c r="AE775" s="669"/>
      <c r="AF775" s="718"/>
      <c r="AG775" s="211"/>
      <c r="AH775" s="210"/>
    </row>
    <row r="776" spans="1:34" s="4" customFormat="1">
      <c r="A776" s="2"/>
      <c r="B776" s="310" t="s">
        <v>106</v>
      </c>
      <c r="C776" s="311" t="s">
        <v>33</v>
      </c>
      <c r="D776" s="1222" t="s">
        <v>4647</v>
      </c>
      <c r="E776" s="1224"/>
      <c r="F776" s="312"/>
      <c r="G776" s="313"/>
      <c r="H776" s="624"/>
      <c r="I776" s="625"/>
      <c r="J776" s="626"/>
      <c r="K776" s="627" t="s">
        <v>4648</v>
      </c>
      <c r="L776" s="628">
        <v>44182</v>
      </c>
      <c r="M776" s="629">
        <v>350000</v>
      </c>
      <c r="N776" s="627" t="s">
        <v>2378</v>
      </c>
      <c r="O776" s="628">
        <v>44182</v>
      </c>
      <c r="P776" s="630" t="s">
        <v>2371</v>
      </c>
      <c r="Q776" s="631"/>
      <c r="R776" s="715"/>
      <c r="S776" s="1068">
        <v>11</v>
      </c>
      <c r="T776" s="632">
        <v>498571.2</v>
      </c>
      <c r="U776" s="633" t="s">
        <v>4649</v>
      </c>
      <c r="V776" s="634">
        <v>44725</v>
      </c>
      <c r="W776" s="635" t="s">
        <v>2302</v>
      </c>
      <c r="X776" s="636">
        <v>498571.2</v>
      </c>
      <c r="Y776" s="637">
        <v>498571.2</v>
      </c>
      <c r="Z776" s="733">
        <f>Y776/X776</f>
        <v>1</v>
      </c>
      <c r="AA776" s="636">
        <f>(212423.31*1.1)+(220000*1.15)</f>
        <v>486665.64099999995</v>
      </c>
      <c r="AB776" s="1055">
        <v>11</v>
      </c>
      <c r="AC776" s="912"/>
      <c r="AD776" s="916" t="s">
        <v>4650</v>
      </c>
      <c r="AE776" s="669"/>
      <c r="AF776" s="718"/>
      <c r="AG776" s="211"/>
      <c r="AH776" s="210"/>
    </row>
    <row r="777" spans="1:34" s="4" customFormat="1">
      <c r="A777" s="2"/>
      <c r="B777" s="310" t="s">
        <v>106</v>
      </c>
      <c r="C777" s="311" t="s">
        <v>33</v>
      </c>
      <c r="D777" s="1225" t="s">
        <v>3128</v>
      </c>
      <c r="E777" s="1226"/>
      <c r="F777" s="312"/>
      <c r="G777" s="313"/>
      <c r="H777" s="624"/>
      <c r="I777" s="625"/>
      <c r="J777" s="626"/>
      <c r="K777" s="627" t="s">
        <v>4651</v>
      </c>
      <c r="L777" s="628">
        <v>44348</v>
      </c>
      <c r="M777" s="629">
        <v>50000</v>
      </c>
      <c r="N777" s="627" t="s">
        <v>3131</v>
      </c>
      <c r="O777" s="628">
        <v>44348</v>
      </c>
      <c r="P777" s="630" t="s">
        <v>3132</v>
      </c>
      <c r="Q777" s="631">
        <v>44370</v>
      </c>
      <c r="R777" s="715"/>
      <c r="S777" s="1068"/>
      <c r="T777" s="632"/>
      <c r="U777" s="633" t="s">
        <v>4652</v>
      </c>
      <c r="V777" s="634">
        <v>44725</v>
      </c>
      <c r="W777" s="635" t="s">
        <v>2302</v>
      </c>
      <c r="X777" s="636">
        <v>25097.84</v>
      </c>
      <c r="Y777" s="637">
        <v>25097.84</v>
      </c>
      <c r="Z777" s="1052">
        <f t="shared" ref="Z777" si="44">Y777/X777</f>
        <v>1</v>
      </c>
      <c r="AA777" s="919"/>
      <c r="AB777" s="1055">
        <v>3</v>
      </c>
      <c r="AC777" s="912"/>
      <c r="AD777" s="913"/>
      <c r="AE777" s="669"/>
      <c r="AF777" s="704"/>
      <c r="AG777" s="211"/>
      <c r="AH777" s="210"/>
    </row>
    <row r="778" spans="1:34" s="4" customFormat="1">
      <c r="A778" s="2"/>
      <c r="B778" s="310" t="s">
        <v>106</v>
      </c>
      <c r="C778" s="311" t="s">
        <v>33</v>
      </c>
      <c r="D778" s="687" t="s">
        <v>4653</v>
      </c>
      <c r="E778" s="688"/>
      <c r="F778" s="312"/>
      <c r="G778" s="313"/>
      <c r="H778" s="624"/>
      <c r="I778" s="625"/>
      <c r="J778" s="626"/>
      <c r="K778" s="627"/>
      <c r="L778" s="628"/>
      <c r="M778" s="629"/>
      <c r="N778" s="627"/>
      <c r="O778" s="628"/>
      <c r="P778" s="630" t="s">
        <v>268</v>
      </c>
      <c r="Q778" s="631"/>
      <c r="R778" s="715"/>
      <c r="S778" s="1068"/>
      <c r="T778" s="632"/>
      <c r="U778" s="633" t="s">
        <v>4654</v>
      </c>
      <c r="V778" s="634">
        <v>44726</v>
      </c>
      <c r="W778" s="635" t="s">
        <v>70</v>
      </c>
      <c r="X778" s="636">
        <v>0</v>
      </c>
      <c r="Y778" s="637"/>
      <c r="Z778" s="733" t="s">
        <v>268</v>
      </c>
      <c r="AA778" s="919"/>
      <c r="AB778" s="1055">
        <v>0</v>
      </c>
      <c r="AC778" s="912"/>
      <c r="AD778" s="913"/>
      <c r="AE778" s="669"/>
      <c r="AF778" s="718"/>
      <c r="AG778" s="211"/>
      <c r="AH778" s="210"/>
    </row>
    <row r="779" spans="1:34" s="4" customFormat="1">
      <c r="A779" s="2"/>
      <c r="B779" s="310" t="s">
        <v>115</v>
      </c>
      <c r="C779" s="311" t="s">
        <v>27</v>
      </c>
      <c r="D779" s="687"/>
      <c r="E779" s="688"/>
      <c r="F779" s="312" t="s">
        <v>4655</v>
      </c>
      <c r="G779" s="313">
        <v>44725</v>
      </c>
      <c r="H779" s="624"/>
      <c r="I779" s="625"/>
      <c r="J779" s="626"/>
      <c r="K779" s="627"/>
      <c r="L779" s="628"/>
      <c r="M779" s="629"/>
      <c r="N779" s="627"/>
      <c r="O779" s="628"/>
      <c r="P779" s="630"/>
      <c r="Q779" s="631"/>
      <c r="R779" s="715"/>
      <c r="S779" s="910"/>
      <c r="T779" s="632"/>
      <c r="U779" s="633"/>
      <c r="V779" s="634"/>
      <c r="W779" s="635"/>
      <c r="X779" s="636"/>
      <c r="Y779" s="637"/>
      <c r="Z779" s="733"/>
      <c r="AA779" s="919"/>
      <c r="AB779" s="1056"/>
      <c r="AC779" s="4" t="s">
        <v>4656</v>
      </c>
      <c r="AD779" s="317"/>
      <c r="AE779" s="669">
        <v>44732</v>
      </c>
      <c r="AF779" s="718"/>
      <c r="AG779" s="211"/>
      <c r="AH779" s="210"/>
    </row>
    <row r="780" spans="1:34" s="4" customFormat="1">
      <c r="A780" s="2"/>
      <c r="B780" s="310" t="s">
        <v>115</v>
      </c>
      <c r="C780" s="311" t="s">
        <v>27</v>
      </c>
      <c r="D780" s="687"/>
      <c r="E780" s="688"/>
      <c r="F780" s="312" t="s">
        <v>4657</v>
      </c>
      <c r="G780" s="313">
        <v>44725</v>
      </c>
      <c r="H780" s="624"/>
      <c r="I780" s="625"/>
      <c r="J780" s="626"/>
      <c r="K780" s="627"/>
      <c r="L780" s="628"/>
      <c r="M780" s="629"/>
      <c r="N780" s="627"/>
      <c r="O780" s="628"/>
      <c r="P780" s="630"/>
      <c r="Q780" s="631"/>
      <c r="R780" s="715"/>
      <c r="S780" s="910"/>
      <c r="T780" s="632"/>
      <c r="U780" s="633"/>
      <c r="V780" s="634"/>
      <c r="W780" s="635"/>
      <c r="X780" s="636"/>
      <c r="Y780" s="637"/>
      <c r="Z780" s="733"/>
      <c r="AA780" s="919"/>
      <c r="AB780" s="908"/>
      <c r="AC780" s="314" t="s">
        <v>4658</v>
      </c>
      <c r="AD780" s="317"/>
      <c r="AE780" s="669">
        <v>44732</v>
      </c>
      <c r="AF780" s="718"/>
      <c r="AG780" s="211"/>
      <c r="AH780" s="210"/>
    </row>
    <row r="781" spans="1:34" s="4" customFormat="1">
      <c r="A781" s="2"/>
      <c r="B781" s="310" t="s">
        <v>115</v>
      </c>
      <c r="C781" s="311" t="s">
        <v>27</v>
      </c>
      <c r="D781" s="687"/>
      <c r="E781" s="688"/>
      <c r="F781" s="312" t="s">
        <v>4659</v>
      </c>
      <c r="G781" s="313">
        <v>44728</v>
      </c>
      <c r="H781" s="624"/>
      <c r="I781" s="625"/>
      <c r="J781" s="626"/>
      <c r="K781" s="627"/>
      <c r="L781" s="628"/>
      <c r="M781" s="629"/>
      <c r="N781" s="627"/>
      <c r="O781" s="628"/>
      <c r="P781" s="630"/>
      <c r="Q781" s="631"/>
      <c r="R781" s="715"/>
      <c r="S781" s="910"/>
      <c r="T781" s="632"/>
      <c r="U781" s="633"/>
      <c r="V781" s="634"/>
      <c r="W781" s="635"/>
      <c r="X781" s="636"/>
      <c r="Y781" s="637"/>
      <c r="Z781" s="733"/>
      <c r="AA781" s="919"/>
      <c r="AB781" s="908"/>
      <c r="AC781" s="314" t="s">
        <v>4660</v>
      </c>
      <c r="AD781" s="317"/>
      <c r="AE781" s="669">
        <v>44735</v>
      </c>
      <c r="AF781" s="718"/>
      <c r="AG781" s="211"/>
      <c r="AH781" s="210"/>
    </row>
    <row r="782" spans="1:34" s="4" customFormat="1">
      <c r="A782" s="2"/>
      <c r="B782" s="310" t="s">
        <v>115</v>
      </c>
      <c r="C782" s="311" t="s">
        <v>27</v>
      </c>
      <c r="D782" s="687"/>
      <c r="E782" s="688"/>
      <c r="F782" s="312" t="s">
        <v>4661</v>
      </c>
      <c r="G782" s="313">
        <v>44732</v>
      </c>
      <c r="H782" s="624"/>
      <c r="I782" s="625"/>
      <c r="J782" s="626"/>
      <c r="K782" s="627"/>
      <c r="L782" s="628"/>
      <c r="M782" s="629"/>
      <c r="N782" s="627"/>
      <c r="O782" s="628"/>
      <c r="P782" s="630"/>
      <c r="Q782" s="631"/>
      <c r="R782" s="715"/>
      <c r="S782" s="910"/>
      <c r="T782" s="632"/>
      <c r="U782" s="633"/>
      <c r="V782" s="634"/>
      <c r="W782" s="635"/>
      <c r="X782" s="636"/>
      <c r="Y782" s="637"/>
      <c r="Z782" s="733"/>
      <c r="AA782" s="919"/>
      <c r="AB782" s="908"/>
      <c r="AC782" s="314" t="s">
        <v>4662</v>
      </c>
      <c r="AD782" s="317" t="s">
        <v>4663</v>
      </c>
      <c r="AE782" s="669">
        <v>44739</v>
      </c>
      <c r="AF782" s="718"/>
      <c r="AG782" s="211"/>
      <c r="AH782" s="210"/>
    </row>
    <row r="783" spans="1:34" s="4" customFormat="1">
      <c r="A783" s="2"/>
      <c r="B783" s="310" t="s">
        <v>115</v>
      </c>
      <c r="C783" s="311" t="s">
        <v>27</v>
      </c>
      <c r="D783" s="687"/>
      <c r="E783" s="688"/>
      <c r="F783" s="312" t="s">
        <v>4664</v>
      </c>
      <c r="G783" s="313">
        <v>44732</v>
      </c>
      <c r="H783" s="624"/>
      <c r="I783" s="625"/>
      <c r="J783" s="626"/>
      <c r="K783" s="627"/>
      <c r="L783" s="628"/>
      <c r="M783" s="629"/>
      <c r="N783" s="627"/>
      <c r="O783" s="628"/>
      <c r="P783" s="630"/>
      <c r="Q783" s="631"/>
      <c r="R783" s="715"/>
      <c r="S783" s="910"/>
      <c r="T783" s="632"/>
      <c r="U783" s="633"/>
      <c r="V783" s="634"/>
      <c r="W783" s="635"/>
      <c r="X783" s="636"/>
      <c r="Y783" s="637"/>
      <c r="Z783" s="733"/>
      <c r="AA783" s="919"/>
      <c r="AB783" s="908"/>
      <c r="AC783" s="314" t="s">
        <v>4665</v>
      </c>
      <c r="AD783" s="317"/>
      <c r="AE783" s="669">
        <v>44739</v>
      </c>
      <c r="AF783" s="718"/>
      <c r="AG783" s="211"/>
      <c r="AH783" s="210"/>
    </row>
    <row r="784" spans="1:34" s="4" customFormat="1">
      <c r="A784" s="2"/>
      <c r="B784" s="310" t="s">
        <v>115</v>
      </c>
      <c r="C784" s="311" t="s">
        <v>27</v>
      </c>
      <c r="D784" s="687"/>
      <c r="E784" s="688"/>
      <c r="F784" s="312" t="s">
        <v>4666</v>
      </c>
      <c r="G784" s="313">
        <v>44733</v>
      </c>
      <c r="H784" s="624"/>
      <c r="I784" s="625"/>
      <c r="J784" s="626"/>
      <c r="K784" s="627"/>
      <c r="L784" s="628"/>
      <c r="M784" s="629"/>
      <c r="N784" s="627"/>
      <c r="O784" s="628"/>
      <c r="P784" s="630"/>
      <c r="Q784" s="631"/>
      <c r="R784" s="715"/>
      <c r="S784" s="910"/>
      <c r="T784" s="632"/>
      <c r="U784" s="633"/>
      <c r="V784" s="634"/>
      <c r="W784" s="635"/>
      <c r="X784" s="636"/>
      <c r="Y784" s="637"/>
      <c r="Z784" s="733"/>
      <c r="AA784" s="919"/>
      <c r="AB784" s="908"/>
      <c r="AC784" s="314" t="s">
        <v>4667</v>
      </c>
      <c r="AD784" s="317"/>
      <c r="AE784" s="669">
        <v>44740</v>
      </c>
      <c r="AF784" s="718"/>
      <c r="AG784" s="211"/>
      <c r="AH784" s="210"/>
    </row>
    <row r="785" spans="1:34" s="4" customFormat="1">
      <c r="A785" s="2"/>
      <c r="B785" s="310" t="s">
        <v>115</v>
      </c>
      <c r="C785" s="311" t="s">
        <v>27</v>
      </c>
      <c r="D785" s="687"/>
      <c r="E785" s="688"/>
      <c r="F785" s="312" t="s">
        <v>4668</v>
      </c>
      <c r="G785" s="313">
        <v>44734</v>
      </c>
      <c r="H785" s="624"/>
      <c r="I785" s="625"/>
      <c r="J785" s="626"/>
      <c r="K785" s="627"/>
      <c r="L785" s="628"/>
      <c r="M785" s="629"/>
      <c r="N785" s="627"/>
      <c r="O785" s="628"/>
      <c r="P785" s="630"/>
      <c r="Q785" s="631"/>
      <c r="R785" s="715"/>
      <c r="S785" s="910"/>
      <c r="T785" s="632"/>
      <c r="U785" s="633"/>
      <c r="V785" s="634"/>
      <c r="W785" s="635"/>
      <c r="X785" s="636"/>
      <c r="Y785" s="637"/>
      <c r="Z785" s="733"/>
      <c r="AA785" s="919"/>
      <c r="AB785" s="908"/>
      <c r="AC785" s="314" t="s">
        <v>4669</v>
      </c>
      <c r="AD785" s="317"/>
      <c r="AE785" s="669">
        <v>44740</v>
      </c>
      <c r="AF785" s="718"/>
      <c r="AG785" s="211"/>
      <c r="AH785" s="210"/>
    </row>
    <row r="786" spans="1:34" s="4" customFormat="1">
      <c r="A786" s="2"/>
      <c r="B786" s="310" t="s">
        <v>115</v>
      </c>
      <c r="C786" s="311" t="s">
        <v>27</v>
      </c>
      <c r="D786" s="687"/>
      <c r="E786" s="688"/>
      <c r="F786" s="312" t="s">
        <v>4670</v>
      </c>
      <c r="G786" s="313">
        <v>44734</v>
      </c>
      <c r="H786" s="624"/>
      <c r="I786" s="625"/>
      <c r="J786" s="626"/>
      <c r="K786" s="627"/>
      <c r="L786" s="628"/>
      <c r="M786" s="629"/>
      <c r="N786" s="627"/>
      <c r="O786" s="628"/>
      <c r="P786" s="630"/>
      <c r="Q786" s="631"/>
      <c r="R786" s="715"/>
      <c r="S786" s="910"/>
      <c r="T786" s="632"/>
      <c r="U786" s="633"/>
      <c r="V786" s="634"/>
      <c r="W786" s="635"/>
      <c r="X786" s="636"/>
      <c r="Y786" s="637"/>
      <c r="Z786" s="733"/>
      <c r="AA786" s="919"/>
      <c r="AB786" s="908"/>
      <c r="AC786" s="314" t="s">
        <v>4671</v>
      </c>
      <c r="AD786" s="317"/>
      <c r="AE786" s="669">
        <v>44741</v>
      </c>
      <c r="AF786" s="718"/>
      <c r="AG786" s="211"/>
      <c r="AH786" s="210"/>
    </row>
    <row r="787" spans="1:34" s="4" customFormat="1">
      <c r="A787" s="2"/>
      <c r="B787" s="310" t="s">
        <v>115</v>
      </c>
      <c r="C787" s="311" t="s">
        <v>27</v>
      </c>
      <c r="D787" s="687"/>
      <c r="E787" s="688"/>
      <c r="F787" s="312" t="s">
        <v>4672</v>
      </c>
      <c r="G787" s="313">
        <v>44734</v>
      </c>
      <c r="H787" s="624"/>
      <c r="I787" s="625"/>
      <c r="J787" s="626"/>
      <c r="K787" s="627"/>
      <c r="L787" s="628"/>
      <c r="M787" s="629"/>
      <c r="N787" s="627"/>
      <c r="O787" s="628"/>
      <c r="P787" s="630"/>
      <c r="Q787" s="631"/>
      <c r="R787" s="715"/>
      <c r="S787" s="910"/>
      <c r="T787" s="632"/>
      <c r="U787" s="633"/>
      <c r="V787" s="634"/>
      <c r="W787" s="635"/>
      <c r="X787" s="636"/>
      <c r="Y787" s="637"/>
      <c r="Z787" s="733"/>
      <c r="AA787" s="919"/>
      <c r="AB787" s="908"/>
      <c r="AC787" s="314" t="s">
        <v>4673</v>
      </c>
      <c r="AD787" s="317"/>
      <c r="AE787" s="669">
        <v>44741</v>
      </c>
      <c r="AF787" s="718"/>
      <c r="AG787" s="211"/>
      <c r="AH787" s="210"/>
    </row>
    <row r="788" spans="1:34" s="4" customFormat="1">
      <c r="A788" s="2"/>
      <c r="B788" s="310" t="s">
        <v>115</v>
      </c>
      <c r="C788" s="311" t="s">
        <v>27</v>
      </c>
      <c r="D788" s="687"/>
      <c r="E788" s="688"/>
      <c r="F788" s="312" t="s">
        <v>4674</v>
      </c>
      <c r="G788" s="313">
        <v>44735</v>
      </c>
      <c r="H788" s="624"/>
      <c r="I788" s="625"/>
      <c r="J788" s="626"/>
      <c r="K788" s="627"/>
      <c r="L788" s="628"/>
      <c r="M788" s="629"/>
      <c r="N788" s="627"/>
      <c r="O788" s="628"/>
      <c r="P788" s="630"/>
      <c r="Q788" s="631"/>
      <c r="R788" s="715"/>
      <c r="S788" s="910"/>
      <c r="T788" s="632"/>
      <c r="U788" s="633"/>
      <c r="V788" s="634"/>
      <c r="W788" s="635"/>
      <c r="X788" s="636"/>
      <c r="Y788" s="637"/>
      <c r="Z788" s="733"/>
      <c r="AA788" s="919"/>
      <c r="AB788" s="908"/>
      <c r="AC788" s="314" t="s">
        <v>4675</v>
      </c>
      <c r="AD788" s="317"/>
      <c r="AE788" s="669">
        <v>44742</v>
      </c>
      <c r="AF788" s="718"/>
      <c r="AG788" s="211"/>
      <c r="AH788" s="210"/>
    </row>
    <row r="789" spans="1:34" s="4" customFormat="1">
      <c r="A789" s="2"/>
      <c r="B789" s="310" t="s">
        <v>115</v>
      </c>
      <c r="C789" s="311" t="s">
        <v>27</v>
      </c>
      <c r="D789" s="687"/>
      <c r="E789" s="688"/>
      <c r="F789" s="312" t="s">
        <v>4676</v>
      </c>
      <c r="G789" s="313">
        <v>44735</v>
      </c>
      <c r="H789" s="624"/>
      <c r="I789" s="625"/>
      <c r="J789" s="626"/>
      <c r="K789" s="627"/>
      <c r="L789" s="628"/>
      <c r="M789" s="629"/>
      <c r="N789" s="627"/>
      <c r="O789" s="628"/>
      <c r="P789" s="630"/>
      <c r="Q789" s="631"/>
      <c r="R789" s="715"/>
      <c r="S789" s="910"/>
      <c r="T789" s="632"/>
      <c r="U789" s="633"/>
      <c r="V789" s="634"/>
      <c r="W789" s="635"/>
      <c r="X789" s="636"/>
      <c r="Y789" s="637"/>
      <c r="Z789" s="733"/>
      <c r="AA789" s="919"/>
      <c r="AB789" s="908"/>
      <c r="AC789" s="314" t="s">
        <v>4677</v>
      </c>
      <c r="AD789" s="317"/>
      <c r="AE789" s="669">
        <v>44732</v>
      </c>
      <c r="AF789" s="718"/>
      <c r="AG789" s="211"/>
      <c r="AH789" s="210"/>
    </row>
    <row r="790" spans="1:34" s="4" customFormat="1">
      <c r="A790" s="2"/>
      <c r="B790" s="310" t="s">
        <v>115</v>
      </c>
      <c r="C790" s="311" t="s">
        <v>27</v>
      </c>
      <c r="D790" s="687"/>
      <c r="E790" s="688"/>
      <c r="F790" s="312" t="s">
        <v>4678</v>
      </c>
      <c r="G790" s="313">
        <v>44735</v>
      </c>
      <c r="H790" s="624"/>
      <c r="I790" s="625"/>
      <c r="J790" s="626"/>
      <c r="K790" s="627"/>
      <c r="L790" s="628"/>
      <c r="M790" s="629"/>
      <c r="N790" s="627"/>
      <c r="O790" s="628"/>
      <c r="P790" s="630"/>
      <c r="Q790" s="631"/>
      <c r="R790" s="715"/>
      <c r="S790" s="910"/>
      <c r="T790" s="632"/>
      <c r="U790" s="633"/>
      <c r="V790" s="634"/>
      <c r="W790" s="635"/>
      <c r="X790" s="636"/>
      <c r="Y790" s="637"/>
      <c r="Z790" s="733"/>
      <c r="AA790" s="919"/>
      <c r="AB790" s="908"/>
      <c r="AC790" s="314" t="s">
        <v>4679</v>
      </c>
      <c r="AD790" s="317"/>
      <c r="AE790" s="669">
        <v>44732</v>
      </c>
      <c r="AF790" s="718"/>
      <c r="AG790" s="211"/>
      <c r="AH790" s="210"/>
    </row>
    <row r="791" spans="1:34" s="4" customFormat="1">
      <c r="A791" s="2"/>
      <c r="B791" s="310" t="s">
        <v>106</v>
      </c>
      <c r="C791" s="311" t="s">
        <v>33</v>
      </c>
      <c r="D791" s="687" t="s">
        <v>4680</v>
      </c>
      <c r="E791" s="688"/>
      <c r="F791" s="312" t="s">
        <v>4681</v>
      </c>
      <c r="G791" s="313">
        <v>44735</v>
      </c>
      <c r="H791" s="624"/>
      <c r="I791" s="625"/>
      <c r="J791" s="626"/>
      <c r="K791" s="627" t="s">
        <v>4682</v>
      </c>
      <c r="L791" s="628">
        <v>44753</v>
      </c>
      <c r="M791" s="629">
        <v>12000</v>
      </c>
      <c r="N791" s="627" t="s">
        <v>4683</v>
      </c>
      <c r="O791" s="628">
        <v>44754</v>
      </c>
      <c r="P791" s="630" t="s">
        <v>4684</v>
      </c>
      <c r="Q791" s="631">
        <v>44769</v>
      </c>
      <c r="R791" s="715">
        <v>44783</v>
      </c>
      <c r="S791" s="1068"/>
      <c r="T791" s="632">
        <v>20926.29</v>
      </c>
      <c r="U791" s="633" t="s">
        <v>4685</v>
      </c>
      <c r="V791" s="634">
        <v>44795</v>
      </c>
      <c r="W791" s="635" t="s">
        <v>2302</v>
      </c>
      <c r="X791" s="636">
        <v>20926.29</v>
      </c>
      <c r="Y791" s="636">
        <v>20926.29</v>
      </c>
      <c r="Z791" s="1052">
        <f t="shared" ref="Z791" si="45">Y791/X791</f>
        <v>1</v>
      </c>
      <c r="AA791" s="919"/>
      <c r="AB791" s="1055">
        <v>0</v>
      </c>
      <c r="AC791" s="70" t="s">
        <v>4686</v>
      </c>
      <c r="AD791" s="913"/>
      <c r="AE791" s="669">
        <v>44743</v>
      </c>
      <c r="AF791" s="718"/>
      <c r="AG791" s="211"/>
      <c r="AH791" s="210"/>
    </row>
    <row r="792" spans="1:34" s="4" customFormat="1">
      <c r="A792" s="2"/>
      <c r="B792" s="310" t="s">
        <v>115</v>
      </c>
      <c r="C792" s="311" t="s">
        <v>27</v>
      </c>
      <c r="D792" s="687" t="s">
        <v>4680</v>
      </c>
      <c r="E792" s="688"/>
      <c r="F792" s="312" t="s">
        <v>4687</v>
      </c>
      <c r="G792" s="313">
        <v>44735</v>
      </c>
      <c r="H792" s="624"/>
      <c r="I792" s="625"/>
      <c r="J792" s="626"/>
      <c r="K792" s="627" t="s">
        <v>4688</v>
      </c>
      <c r="L792" s="628"/>
      <c r="M792" s="629"/>
      <c r="N792" s="627"/>
      <c r="O792" s="628"/>
      <c r="P792" s="630"/>
      <c r="Q792" s="631"/>
      <c r="R792" s="715"/>
      <c r="S792" s="910"/>
      <c r="T792" s="632"/>
      <c r="U792" s="633"/>
      <c r="V792" s="634"/>
      <c r="W792" s="635"/>
      <c r="X792" s="636"/>
      <c r="Y792" s="636"/>
      <c r="Z792" s="987"/>
      <c r="AA792" s="919"/>
      <c r="AB792" s="908"/>
      <c r="AC792" s="314" t="s">
        <v>4689</v>
      </c>
      <c r="AD792" s="317"/>
      <c r="AE792" s="669">
        <v>44747</v>
      </c>
      <c r="AF792" s="718"/>
      <c r="AG792" s="211"/>
      <c r="AH792" s="210"/>
    </row>
    <row r="793" spans="1:34" s="4" customFormat="1">
      <c r="A793" s="2"/>
      <c r="B793" s="310" t="s">
        <v>119</v>
      </c>
      <c r="C793" s="311" t="s">
        <v>27</v>
      </c>
      <c r="D793" s="687" t="s">
        <v>4690</v>
      </c>
      <c r="E793" s="688"/>
      <c r="F793" s="312" t="s">
        <v>4691</v>
      </c>
      <c r="G793" s="313">
        <v>44900</v>
      </c>
      <c r="H793" s="624"/>
      <c r="I793" s="625"/>
      <c r="J793" s="626"/>
      <c r="K793" s="627"/>
      <c r="L793" s="628"/>
      <c r="M793" s="629"/>
      <c r="N793" s="627"/>
      <c r="O793" s="628"/>
      <c r="P793" s="630"/>
      <c r="Q793" s="631"/>
      <c r="R793" s="715"/>
      <c r="S793" s="910"/>
      <c r="T793" s="632"/>
      <c r="U793" s="633"/>
      <c r="V793" s="634"/>
      <c r="W793" s="635"/>
      <c r="X793" s="636"/>
      <c r="Y793" s="637"/>
      <c r="Z793" s="987"/>
      <c r="AA793" s="919"/>
      <c r="AB793" s="908"/>
      <c r="AC793" s="314"/>
      <c r="AD793" s="317"/>
      <c r="AE793" s="669"/>
      <c r="AF793" s="718"/>
      <c r="AG793" s="211"/>
      <c r="AH793" s="210"/>
    </row>
    <row r="794" spans="1:34" s="4" customFormat="1">
      <c r="A794" s="2"/>
      <c r="B794" s="310" t="s">
        <v>115</v>
      </c>
      <c r="C794" s="311" t="s">
        <v>27</v>
      </c>
      <c r="D794" s="687"/>
      <c r="E794" s="688"/>
      <c r="F794" s="312" t="s">
        <v>4692</v>
      </c>
      <c r="G794" s="313">
        <v>44739</v>
      </c>
      <c r="H794" s="624"/>
      <c r="I794" s="625"/>
      <c r="J794" s="626"/>
      <c r="K794" s="627"/>
      <c r="L794" s="628"/>
      <c r="M794" s="629"/>
      <c r="N794" s="627"/>
      <c r="O794" s="628"/>
      <c r="P794" s="630"/>
      <c r="Q794" s="631"/>
      <c r="R794" s="715"/>
      <c r="S794" s="910"/>
      <c r="T794" s="632"/>
      <c r="U794" s="633"/>
      <c r="V794" s="634"/>
      <c r="W794" s="635"/>
      <c r="X794" s="636"/>
      <c r="Y794" s="637"/>
      <c r="Z794" s="987"/>
      <c r="AA794" s="919"/>
      <c r="AB794" s="908"/>
      <c r="AC794" s="314" t="s">
        <v>4693</v>
      </c>
      <c r="AD794" s="317"/>
      <c r="AE794" s="669">
        <v>44746</v>
      </c>
      <c r="AF794" s="718"/>
      <c r="AG794" s="211"/>
      <c r="AH794" s="210"/>
    </row>
    <row r="795" spans="1:34" s="4" customFormat="1">
      <c r="A795" s="2"/>
      <c r="B795" s="310" t="s">
        <v>115</v>
      </c>
      <c r="C795" s="311" t="s">
        <v>27</v>
      </c>
      <c r="D795" s="687"/>
      <c r="E795" s="688"/>
      <c r="F795" s="312" t="s">
        <v>4694</v>
      </c>
      <c r="G795" s="313">
        <v>44740</v>
      </c>
      <c r="H795" s="624"/>
      <c r="I795" s="625"/>
      <c r="J795" s="626"/>
      <c r="K795" s="627"/>
      <c r="L795" s="628"/>
      <c r="M795" s="629"/>
      <c r="N795" s="627"/>
      <c r="O795" s="628"/>
      <c r="P795" s="630"/>
      <c r="Q795" s="631"/>
      <c r="R795" s="715"/>
      <c r="S795" s="910"/>
      <c r="T795" s="632"/>
      <c r="U795" s="633"/>
      <c r="V795" s="634"/>
      <c r="W795" s="635"/>
      <c r="X795" s="636"/>
      <c r="Y795" s="637"/>
      <c r="Z795" s="987"/>
      <c r="AA795" s="919"/>
      <c r="AB795" s="908"/>
      <c r="AC795" s="314" t="s">
        <v>4695</v>
      </c>
      <c r="AD795" s="317"/>
      <c r="AE795" s="669" t="s">
        <v>4696</v>
      </c>
      <c r="AF795" s="718"/>
      <c r="AG795" s="211"/>
      <c r="AH795" s="210"/>
    </row>
    <row r="796" spans="1:34" s="4" customFormat="1">
      <c r="A796" s="2"/>
      <c r="B796" s="310" t="s">
        <v>106</v>
      </c>
      <c r="C796" s="311" t="s">
        <v>33</v>
      </c>
      <c r="D796" s="687" t="s">
        <v>4697</v>
      </c>
      <c r="E796" s="688"/>
      <c r="F796" s="312" t="s">
        <v>4698</v>
      </c>
      <c r="G796" s="313">
        <v>44741</v>
      </c>
      <c r="H796" s="624"/>
      <c r="I796" s="625"/>
      <c r="J796" s="626"/>
      <c r="K796" s="627" t="s">
        <v>4699</v>
      </c>
      <c r="L796" s="628">
        <v>44812</v>
      </c>
      <c r="M796" s="629">
        <v>17000</v>
      </c>
      <c r="N796" s="627" t="s">
        <v>4700</v>
      </c>
      <c r="O796" s="628">
        <v>44813</v>
      </c>
      <c r="P796" s="630" t="s">
        <v>4701</v>
      </c>
      <c r="Q796" s="631">
        <v>44818</v>
      </c>
      <c r="R796" s="715">
        <v>44828</v>
      </c>
      <c r="S796" s="1068"/>
      <c r="T796" s="632">
        <v>32869.9</v>
      </c>
      <c r="U796" s="633" t="s">
        <v>4702</v>
      </c>
      <c r="V796" s="634">
        <v>44841</v>
      </c>
      <c r="W796" s="635" t="s">
        <v>2302</v>
      </c>
      <c r="X796" s="636">
        <v>32869.9</v>
      </c>
      <c r="Y796" s="636">
        <v>32869.9</v>
      </c>
      <c r="Z796" s="1052">
        <f t="shared" ref="Z796" si="46">Y796/X796</f>
        <v>1</v>
      </c>
      <c r="AA796" s="919"/>
      <c r="AB796" s="1055">
        <v>0</v>
      </c>
      <c r="AC796" s="912" t="s">
        <v>4703</v>
      </c>
      <c r="AD796" s="913"/>
      <c r="AE796" s="669">
        <v>44748</v>
      </c>
      <c r="AF796" s="718"/>
      <c r="AG796" s="211"/>
      <c r="AH796" s="210"/>
    </row>
    <row r="797" spans="1:34" s="4" customFormat="1">
      <c r="A797" s="2"/>
      <c r="B797" s="310" t="s">
        <v>115</v>
      </c>
      <c r="C797" s="311" t="s">
        <v>27</v>
      </c>
      <c r="D797" s="687"/>
      <c r="E797" s="688"/>
      <c r="F797" s="312" t="s">
        <v>4704</v>
      </c>
      <c r="G797" s="313">
        <v>44771</v>
      </c>
      <c r="H797" s="624"/>
      <c r="I797" s="625"/>
      <c r="J797" s="626"/>
      <c r="K797" s="627"/>
      <c r="L797" s="628"/>
      <c r="M797" s="629"/>
      <c r="N797" s="627"/>
      <c r="O797" s="628"/>
      <c r="P797" s="630"/>
      <c r="Q797" s="631"/>
      <c r="R797" s="715"/>
      <c r="S797" s="910"/>
      <c r="T797" s="632"/>
      <c r="U797" s="633"/>
      <c r="V797" s="634"/>
      <c r="W797" s="635"/>
      <c r="X797" s="636"/>
      <c r="Y797" s="637"/>
      <c r="Z797" s="987"/>
      <c r="AA797" s="919"/>
      <c r="AB797" s="908"/>
      <c r="AC797" s="314" t="s">
        <v>4705</v>
      </c>
      <c r="AD797" s="317"/>
      <c r="AE797" s="669"/>
      <c r="AF797" s="718"/>
      <c r="AG797" s="211"/>
      <c r="AH797" s="210"/>
    </row>
    <row r="798" spans="1:34" s="4" customFormat="1">
      <c r="A798" s="2"/>
      <c r="B798" s="310" t="s">
        <v>115</v>
      </c>
      <c r="C798" s="311" t="s">
        <v>27</v>
      </c>
      <c r="D798" s="687"/>
      <c r="E798" s="688"/>
      <c r="F798" s="312" t="s">
        <v>4706</v>
      </c>
      <c r="G798" s="313">
        <v>44746</v>
      </c>
      <c r="H798" s="624"/>
      <c r="I798" s="625"/>
      <c r="J798" s="626"/>
      <c r="K798" s="627"/>
      <c r="L798" s="628"/>
      <c r="M798" s="629"/>
      <c r="N798" s="627"/>
      <c r="O798" s="628"/>
      <c r="P798" s="630"/>
      <c r="Q798" s="631"/>
      <c r="R798" s="715"/>
      <c r="S798" s="910"/>
      <c r="T798" s="632"/>
      <c r="U798" s="633"/>
      <c r="V798" s="634"/>
      <c r="W798" s="635"/>
      <c r="X798" s="636"/>
      <c r="Y798" s="637"/>
      <c r="Z798" s="987"/>
      <c r="AA798" s="919"/>
      <c r="AB798" s="908"/>
      <c r="AC798" s="314" t="s">
        <v>4707</v>
      </c>
      <c r="AD798" s="317"/>
      <c r="AE798" s="669"/>
      <c r="AF798" s="718"/>
      <c r="AG798" s="211"/>
      <c r="AH798" s="210"/>
    </row>
    <row r="799" spans="1:34" s="4" customFormat="1">
      <c r="A799" s="2"/>
      <c r="B799" s="310" t="s">
        <v>115</v>
      </c>
      <c r="C799" s="311" t="s">
        <v>27</v>
      </c>
      <c r="D799" s="687"/>
      <c r="E799" s="688"/>
      <c r="F799" s="312" t="s">
        <v>4708</v>
      </c>
      <c r="G799" s="313">
        <v>44747</v>
      </c>
      <c r="H799" s="624"/>
      <c r="I799" s="625"/>
      <c r="J799" s="626"/>
      <c r="K799" s="627"/>
      <c r="L799" s="628"/>
      <c r="M799" s="629"/>
      <c r="N799" s="627"/>
      <c r="O799" s="628"/>
      <c r="P799" s="630"/>
      <c r="Q799" s="631"/>
      <c r="R799" s="715"/>
      <c r="S799" s="910"/>
      <c r="T799" s="632"/>
      <c r="U799" s="633"/>
      <c r="V799" s="634"/>
      <c r="W799" s="635"/>
      <c r="X799" s="636"/>
      <c r="Y799" s="637"/>
      <c r="Z799" s="987"/>
      <c r="AA799" s="919"/>
      <c r="AB799" s="908"/>
      <c r="AC799" s="314" t="s">
        <v>4709</v>
      </c>
      <c r="AD799" s="317"/>
      <c r="AE799" s="669"/>
      <c r="AF799" s="718"/>
      <c r="AG799" s="211"/>
      <c r="AH799" s="210"/>
    </row>
    <row r="800" spans="1:34" s="4" customFormat="1">
      <c r="A800" s="2"/>
      <c r="B800" s="310" t="s">
        <v>106</v>
      </c>
      <c r="C800" s="311" t="s">
        <v>33</v>
      </c>
      <c r="D800" s="687" t="s">
        <v>4710</v>
      </c>
      <c r="E800" s="688"/>
      <c r="F800" s="312" t="s">
        <v>4711</v>
      </c>
      <c r="G800" s="313">
        <v>44748</v>
      </c>
      <c r="H800" s="624"/>
      <c r="I800" s="625"/>
      <c r="J800" s="626"/>
      <c r="K800" s="627" t="s">
        <v>4712</v>
      </c>
      <c r="L800" s="628">
        <v>44812</v>
      </c>
      <c r="M800" s="629"/>
      <c r="N800" s="627" t="s">
        <v>4700</v>
      </c>
      <c r="O800" s="628">
        <v>44813</v>
      </c>
      <c r="P800" s="630" t="s">
        <v>4701</v>
      </c>
      <c r="Q800" s="631">
        <v>44818</v>
      </c>
      <c r="R800" s="715">
        <v>44828</v>
      </c>
      <c r="S800" s="910"/>
      <c r="T800" s="632"/>
      <c r="U800" s="633" t="s">
        <v>4713</v>
      </c>
      <c r="V800" s="634">
        <v>44841</v>
      </c>
      <c r="W800" s="635" t="s">
        <v>2302</v>
      </c>
      <c r="X800" s="636"/>
      <c r="Y800" s="637"/>
      <c r="Z800" s="987" t="s">
        <v>268</v>
      </c>
      <c r="AA800" s="919"/>
      <c r="AB800" s="1055">
        <v>0</v>
      </c>
      <c r="AC800" s="912" t="s">
        <v>4714</v>
      </c>
      <c r="AD800" s="913"/>
      <c r="AE800" s="669"/>
      <c r="AF800" s="718"/>
      <c r="AG800" s="211"/>
      <c r="AH800" s="210"/>
    </row>
    <row r="801" spans="1:34" s="4" customFormat="1">
      <c r="A801" s="2"/>
      <c r="B801" s="310" t="s">
        <v>106</v>
      </c>
      <c r="C801" s="311" t="s">
        <v>33</v>
      </c>
      <c r="D801" s="687" t="s">
        <v>4715</v>
      </c>
      <c r="E801" s="688"/>
      <c r="F801" s="312" t="s">
        <v>4716</v>
      </c>
      <c r="G801" s="313">
        <v>44750</v>
      </c>
      <c r="H801" s="624" t="s">
        <v>4717</v>
      </c>
      <c r="I801" s="625">
        <v>44813</v>
      </c>
      <c r="J801" s="626">
        <v>30000</v>
      </c>
      <c r="K801" s="627" t="s">
        <v>4718</v>
      </c>
      <c r="L801" s="628">
        <v>44799</v>
      </c>
      <c r="M801" s="629">
        <v>16000</v>
      </c>
      <c r="N801" s="627" t="s">
        <v>4719</v>
      </c>
      <c r="O801" s="628">
        <v>44799</v>
      </c>
      <c r="P801" s="630" t="s">
        <v>4720</v>
      </c>
      <c r="Q801" s="631">
        <v>44818</v>
      </c>
      <c r="R801" s="715">
        <v>44840</v>
      </c>
      <c r="S801" s="1068"/>
      <c r="T801" s="632">
        <v>34365.589999999997</v>
      </c>
      <c r="U801" s="633" t="s">
        <v>4721</v>
      </c>
      <c r="V801" s="634">
        <v>44864</v>
      </c>
      <c r="W801" s="635" t="s">
        <v>105</v>
      </c>
      <c r="X801" s="636">
        <v>34365.589999999997</v>
      </c>
      <c r="Y801" s="636">
        <v>34365.589999999997</v>
      </c>
      <c r="Z801" s="987">
        <f>Y801/X801</f>
        <v>1</v>
      </c>
      <c r="AA801" s="919"/>
      <c r="AB801" s="1055">
        <v>0</v>
      </c>
      <c r="AC801" s="912" t="s">
        <v>4722</v>
      </c>
      <c r="AD801" s="913"/>
      <c r="AE801" s="669"/>
      <c r="AF801" s="718"/>
      <c r="AG801" s="211"/>
      <c r="AH801" s="210"/>
    </row>
    <row r="802" spans="1:34" s="4" customFormat="1">
      <c r="A802" s="2"/>
      <c r="B802" s="310" t="s">
        <v>106</v>
      </c>
      <c r="C802" s="311" t="s">
        <v>33</v>
      </c>
      <c r="D802" s="687" t="s">
        <v>4723</v>
      </c>
      <c r="E802" s="688"/>
      <c r="F802" s="312" t="s">
        <v>4724</v>
      </c>
      <c r="G802" s="313">
        <v>44750</v>
      </c>
      <c r="H802" s="624"/>
      <c r="I802" s="625"/>
      <c r="J802" s="626"/>
      <c r="K802" s="627" t="s">
        <v>4725</v>
      </c>
      <c r="L802" s="628">
        <v>44900</v>
      </c>
      <c r="M802" s="629">
        <v>8800</v>
      </c>
      <c r="N802" s="627" t="s">
        <v>4726</v>
      </c>
      <c r="O802" s="628">
        <v>44900</v>
      </c>
      <c r="P802" s="630" t="s">
        <v>4727</v>
      </c>
      <c r="Q802" s="631">
        <v>44950</v>
      </c>
      <c r="R802" s="715">
        <v>44964</v>
      </c>
      <c r="S802" s="1068"/>
      <c r="T802" s="632">
        <v>14656.64</v>
      </c>
      <c r="U802" s="633" t="s">
        <v>4728</v>
      </c>
      <c r="V802" s="634">
        <v>44960</v>
      </c>
      <c r="W802" s="635" t="s">
        <v>96</v>
      </c>
      <c r="X802" s="636">
        <v>14656.64</v>
      </c>
      <c r="Y802" s="636">
        <v>14656.64</v>
      </c>
      <c r="Z802" s="987">
        <f t="shared" ref="Z802:Z803" si="47">Y802/X802</f>
        <v>1</v>
      </c>
      <c r="AA802" s="919"/>
      <c r="AB802" s="1055">
        <v>0</v>
      </c>
      <c r="AC802" s="912" t="s">
        <v>4729</v>
      </c>
      <c r="AD802" s="913"/>
      <c r="AE802" s="669"/>
      <c r="AF802" s="718"/>
      <c r="AG802" s="211"/>
      <c r="AH802" s="210"/>
    </row>
    <row r="803" spans="1:34" s="4" customFormat="1">
      <c r="A803" s="2"/>
      <c r="B803" s="310" t="s">
        <v>106</v>
      </c>
      <c r="C803" s="311" t="s">
        <v>33</v>
      </c>
      <c r="D803" s="687" t="s">
        <v>4730</v>
      </c>
      <c r="E803" s="688"/>
      <c r="F803" s="312" t="s">
        <v>4731</v>
      </c>
      <c r="G803" s="313">
        <v>44753</v>
      </c>
      <c r="H803" s="624"/>
      <c r="I803" s="625"/>
      <c r="J803" s="626"/>
      <c r="K803" s="627" t="s">
        <v>4732</v>
      </c>
      <c r="L803" s="628">
        <v>44762</v>
      </c>
      <c r="M803" s="629">
        <v>2400</v>
      </c>
      <c r="N803" s="627" t="s">
        <v>4733</v>
      </c>
      <c r="O803" s="628">
        <v>44762</v>
      </c>
      <c r="P803" s="630" t="s">
        <v>4734</v>
      </c>
      <c r="Q803" s="631">
        <v>44769</v>
      </c>
      <c r="R803" s="715">
        <v>44783</v>
      </c>
      <c r="S803" s="1068"/>
      <c r="T803" s="632">
        <v>12882.49</v>
      </c>
      <c r="U803" s="633" t="s">
        <v>4735</v>
      </c>
      <c r="V803" s="634">
        <v>44778</v>
      </c>
      <c r="W803" s="635" t="s">
        <v>2302</v>
      </c>
      <c r="X803" s="636">
        <v>12882.49</v>
      </c>
      <c r="Y803" s="636">
        <v>12882.49</v>
      </c>
      <c r="Z803" s="987">
        <f t="shared" si="47"/>
        <v>1</v>
      </c>
      <c r="AA803" s="919"/>
      <c r="AB803" s="1055">
        <v>0</v>
      </c>
      <c r="AC803" s="912" t="s">
        <v>4736</v>
      </c>
      <c r="AD803" s="913"/>
      <c r="AE803" s="669"/>
      <c r="AF803" s="718"/>
      <c r="AG803" s="211"/>
      <c r="AH803" s="210"/>
    </row>
    <row r="804" spans="1:34" s="4" customFormat="1">
      <c r="A804" s="2"/>
      <c r="B804" s="310" t="s">
        <v>115</v>
      </c>
      <c r="C804" s="311" t="s">
        <v>27</v>
      </c>
      <c r="D804" s="687"/>
      <c r="E804" s="688"/>
      <c r="F804" s="312" t="s">
        <v>4737</v>
      </c>
      <c r="G804" s="313">
        <v>44755</v>
      </c>
      <c r="H804" s="624"/>
      <c r="I804" s="625"/>
      <c r="J804" s="626"/>
      <c r="K804" s="627"/>
      <c r="L804" s="628"/>
      <c r="M804" s="629"/>
      <c r="N804" s="627"/>
      <c r="O804" s="628"/>
      <c r="P804" s="630"/>
      <c r="Q804" s="631"/>
      <c r="R804" s="715"/>
      <c r="S804" s="910"/>
      <c r="T804" s="632"/>
      <c r="U804" s="633"/>
      <c r="V804" s="634"/>
      <c r="W804" s="635"/>
      <c r="X804" s="636"/>
      <c r="Y804" s="637"/>
      <c r="Z804" s="987"/>
      <c r="AA804" s="919"/>
      <c r="AB804" s="1056"/>
      <c r="AC804" s="4" t="s">
        <v>4738</v>
      </c>
      <c r="AD804" s="317"/>
      <c r="AE804" s="669"/>
      <c r="AF804" s="718"/>
      <c r="AG804" s="211"/>
      <c r="AH804" s="210"/>
    </row>
    <row r="805" spans="1:34" s="4" customFormat="1">
      <c r="A805" s="2"/>
      <c r="B805" s="310" t="s">
        <v>115</v>
      </c>
      <c r="C805" s="311" t="s">
        <v>27</v>
      </c>
      <c r="D805" s="687"/>
      <c r="E805" s="688"/>
      <c r="F805" s="312" t="s">
        <v>4739</v>
      </c>
      <c r="G805" s="313">
        <v>44756</v>
      </c>
      <c r="H805" s="624"/>
      <c r="I805" s="625"/>
      <c r="J805" s="626"/>
      <c r="K805" s="627"/>
      <c r="L805" s="628"/>
      <c r="M805" s="629"/>
      <c r="N805" s="627"/>
      <c r="O805" s="628"/>
      <c r="P805" s="630"/>
      <c r="Q805" s="631"/>
      <c r="R805" s="715"/>
      <c r="S805" s="910"/>
      <c r="T805" s="632"/>
      <c r="U805" s="633"/>
      <c r="V805" s="634"/>
      <c r="W805" s="635"/>
      <c r="X805" s="636"/>
      <c r="Y805" s="637"/>
      <c r="Z805" s="987"/>
      <c r="AA805" s="919"/>
      <c r="AB805" s="1056"/>
      <c r="AC805" s="736" t="s">
        <v>4740</v>
      </c>
      <c r="AD805" s="317"/>
      <c r="AE805" s="669"/>
      <c r="AF805" s="718"/>
      <c r="AG805" s="211"/>
      <c r="AH805" s="210"/>
    </row>
    <row r="806" spans="1:34" s="4" customFormat="1">
      <c r="A806" s="2"/>
      <c r="B806" s="310" t="s">
        <v>106</v>
      </c>
      <c r="C806" s="311" t="s">
        <v>33</v>
      </c>
      <c r="D806" s="687" t="s">
        <v>1704</v>
      </c>
      <c r="E806" s="688"/>
      <c r="F806" s="312"/>
      <c r="G806" s="313"/>
      <c r="H806" s="624"/>
      <c r="I806" s="625"/>
      <c r="J806" s="626"/>
      <c r="K806" s="627"/>
      <c r="L806" s="628"/>
      <c r="M806" s="629"/>
      <c r="N806" s="627"/>
      <c r="O806" s="628"/>
      <c r="P806" s="630" t="s">
        <v>268</v>
      </c>
      <c r="Q806" s="631"/>
      <c r="R806" s="715"/>
      <c r="S806" s="1068"/>
      <c r="T806" s="632"/>
      <c r="U806" s="633" t="s">
        <v>4741</v>
      </c>
      <c r="V806" s="634">
        <v>44735</v>
      </c>
      <c r="W806" s="635" t="s">
        <v>74</v>
      </c>
      <c r="X806" s="636">
        <v>0</v>
      </c>
      <c r="Y806" s="637"/>
      <c r="Z806" s="987" t="s">
        <v>268</v>
      </c>
      <c r="AA806" s="919"/>
      <c r="AB806" s="1055">
        <v>0</v>
      </c>
      <c r="AC806" s="4" t="s">
        <v>4742</v>
      </c>
      <c r="AD806" s="913"/>
      <c r="AE806" s="669"/>
      <c r="AF806" s="718"/>
      <c r="AG806" s="211"/>
      <c r="AH806" s="210"/>
    </row>
    <row r="807" spans="1:34" s="4" customFormat="1">
      <c r="A807" s="2"/>
      <c r="B807" s="310" t="s">
        <v>115</v>
      </c>
      <c r="C807" s="311" t="s">
        <v>27</v>
      </c>
      <c r="D807" s="687"/>
      <c r="E807" s="688"/>
      <c r="F807" s="312" t="s">
        <v>4743</v>
      </c>
      <c r="G807" s="313">
        <v>44756</v>
      </c>
      <c r="H807" s="624"/>
      <c r="I807" s="625"/>
      <c r="J807" s="626"/>
      <c r="K807" s="627"/>
      <c r="L807" s="628"/>
      <c r="M807" s="629"/>
      <c r="N807" s="627"/>
      <c r="O807" s="628"/>
      <c r="P807" s="630"/>
      <c r="Q807" s="631"/>
      <c r="R807" s="715"/>
      <c r="S807" s="910"/>
      <c r="T807" s="632"/>
      <c r="U807" s="633"/>
      <c r="V807" s="634"/>
      <c r="W807" s="635"/>
      <c r="X807" s="636"/>
      <c r="Y807" s="637"/>
      <c r="Z807" s="987"/>
      <c r="AA807" s="919"/>
      <c r="AB807" s="1056"/>
      <c r="AC807" s="4" t="s">
        <v>4744</v>
      </c>
      <c r="AD807" s="317"/>
      <c r="AE807" s="669"/>
      <c r="AF807" s="718"/>
      <c r="AG807" s="211"/>
      <c r="AH807" s="210"/>
    </row>
    <row r="808" spans="1:34" s="4" customFormat="1">
      <c r="A808" s="2"/>
      <c r="B808" s="310" t="s">
        <v>110</v>
      </c>
      <c r="C808" s="311" t="s">
        <v>27</v>
      </c>
      <c r="D808" s="687" t="s">
        <v>4745</v>
      </c>
      <c r="E808" s="688"/>
      <c r="F808" s="312" t="s">
        <v>4746</v>
      </c>
      <c r="G808" s="313">
        <v>44756</v>
      </c>
      <c r="H808" s="624"/>
      <c r="I808" s="625"/>
      <c r="J808" s="626"/>
      <c r="K808" s="627" t="s">
        <v>4747</v>
      </c>
      <c r="L808" s="628">
        <v>44768</v>
      </c>
      <c r="M808" s="629">
        <v>0</v>
      </c>
      <c r="N808" s="627"/>
      <c r="O808" s="628"/>
      <c r="P808" s="630"/>
      <c r="Q808" s="631"/>
      <c r="R808" s="715"/>
      <c r="S808" s="910"/>
      <c r="T808" s="632"/>
      <c r="U808" s="633"/>
      <c r="V808" s="634"/>
      <c r="W808" s="635" t="s">
        <v>105</v>
      </c>
      <c r="X808" s="636"/>
      <c r="Y808" s="637"/>
      <c r="Z808" s="987"/>
      <c r="AA808" s="919"/>
      <c r="AB808" s="1056"/>
      <c r="AC808" s="4" t="s">
        <v>4748</v>
      </c>
      <c r="AD808" s="317"/>
      <c r="AE808" s="669"/>
      <c r="AF808" s="718"/>
      <c r="AG808" s="211"/>
      <c r="AH808" s="210"/>
    </row>
    <row r="809" spans="1:34" s="4" customFormat="1">
      <c r="A809" s="2"/>
      <c r="B809" s="310" t="s">
        <v>115</v>
      </c>
      <c r="C809" s="311" t="s">
        <v>27</v>
      </c>
      <c r="D809" s="687"/>
      <c r="E809" s="688"/>
      <c r="F809" s="312" t="s">
        <v>4749</v>
      </c>
      <c r="G809" s="313">
        <v>44757</v>
      </c>
      <c r="H809" s="624"/>
      <c r="I809" s="625"/>
      <c r="J809" s="626"/>
      <c r="K809" s="627"/>
      <c r="L809" s="628"/>
      <c r="M809" s="629"/>
      <c r="N809" s="627"/>
      <c r="O809" s="628"/>
      <c r="P809" s="630"/>
      <c r="Q809" s="631"/>
      <c r="R809" s="715"/>
      <c r="S809" s="910"/>
      <c r="T809" s="632"/>
      <c r="U809" s="633"/>
      <c r="V809" s="634"/>
      <c r="W809" s="635"/>
      <c r="X809" s="636"/>
      <c r="Y809" s="637"/>
      <c r="Z809" s="987"/>
      <c r="AA809" s="919"/>
      <c r="AB809" s="1056"/>
      <c r="AC809" s="736" t="s">
        <v>4750</v>
      </c>
      <c r="AD809" s="317"/>
      <c r="AE809" s="669"/>
      <c r="AF809" s="718"/>
      <c r="AG809" s="211"/>
      <c r="AH809" s="210"/>
    </row>
    <row r="810" spans="1:34" s="4" customFormat="1">
      <c r="A810" s="2"/>
      <c r="B810" s="310" t="s">
        <v>115</v>
      </c>
      <c r="C810" s="311" t="s">
        <v>27</v>
      </c>
      <c r="D810" s="687"/>
      <c r="E810" s="688"/>
      <c r="F810" s="312" t="s">
        <v>4751</v>
      </c>
      <c r="G810" s="313">
        <v>44757</v>
      </c>
      <c r="H810" s="624"/>
      <c r="I810" s="625"/>
      <c r="J810" s="626"/>
      <c r="K810" s="627"/>
      <c r="L810" s="628"/>
      <c r="M810" s="629"/>
      <c r="N810" s="627"/>
      <c r="O810" s="628"/>
      <c r="P810" s="630"/>
      <c r="Q810" s="631"/>
      <c r="R810" s="715"/>
      <c r="S810" s="910"/>
      <c r="T810" s="632"/>
      <c r="U810" s="633"/>
      <c r="V810" s="634"/>
      <c r="W810" s="635"/>
      <c r="X810" s="636"/>
      <c r="Y810" s="637"/>
      <c r="Z810" s="987"/>
      <c r="AA810" s="919"/>
      <c r="AB810" s="1056"/>
      <c r="AC810" s="736" t="s">
        <v>4752</v>
      </c>
      <c r="AD810" s="317"/>
      <c r="AE810" s="669"/>
      <c r="AF810" s="718"/>
      <c r="AG810" s="211"/>
      <c r="AH810" s="210"/>
    </row>
    <row r="811" spans="1:34" s="4" customFormat="1">
      <c r="A811" s="2"/>
      <c r="B811" s="310" t="s">
        <v>115</v>
      </c>
      <c r="C811" s="311" t="s">
        <v>27</v>
      </c>
      <c r="D811" s="687"/>
      <c r="E811" s="688"/>
      <c r="F811" s="312" t="s">
        <v>4753</v>
      </c>
      <c r="G811" s="313">
        <v>44761</v>
      </c>
      <c r="H811" s="624"/>
      <c r="I811" s="625"/>
      <c r="J811" s="626"/>
      <c r="K811" s="627"/>
      <c r="L811" s="628"/>
      <c r="M811" s="629"/>
      <c r="N811" s="627"/>
      <c r="O811" s="628"/>
      <c r="P811" s="630"/>
      <c r="Q811" s="631"/>
      <c r="R811" s="715"/>
      <c r="S811" s="910"/>
      <c r="T811" s="632"/>
      <c r="U811" s="633"/>
      <c r="V811" s="634"/>
      <c r="W811" s="635"/>
      <c r="X811" s="636"/>
      <c r="Y811" s="637"/>
      <c r="Z811" s="987"/>
      <c r="AA811" s="919"/>
      <c r="AB811" s="908"/>
      <c r="AC811" s="314" t="s">
        <v>4754</v>
      </c>
      <c r="AD811" s="317"/>
      <c r="AE811" s="669"/>
      <c r="AF811" s="718"/>
      <c r="AG811" s="211"/>
      <c r="AH811" s="210"/>
    </row>
    <row r="812" spans="1:34" s="4" customFormat="1">
      <c r="A812" s="2"/>
      <c r="B812" s="310" t="s">
        <v>115</v>
      </c>
      <c r="C812" s="311" t="s">
        <v>27</v>
      </c>
      <c r="D812" s="687"/>
      <c r="E812" s="688"/>
      <c r="F812" s="312" t="s">
        <v>4755</v>
      </c>
      <c r="G812" s="313">
        <v>44761</v>
      </c>
      <c r="H812" s="624"/>
      <c r="I812" s="625"/>
      <c r="J812" s="626"/>
      <c r="K812" s="627"/>
      <c r="L812" s="628"/>
      <c r="M812" s="629"/>
      <c r="N812" s="627"/>
      <c r="O812" s="628"/>
      <c r="P812" s="630"/>
      <c r="Q812" s="631"/>
      <c r="R812" s="715"/>
      <c r="S812" s="910"/>
      <c r="T812" s="632"/>
      <c r="U812" s="633"/>
      <c r="V812" s="634"/>
      <c r="W812" s="635"/>
      <c r="X812" s="636"/>
      <c r="Y812" s="637"/>
      <c r="Z812" s="987"/>
      <c r="AA812" s="919"/>
      <c r="AB812" s="908"/>
      <c r="AC812" s="314" t="s">
        <v>4756</v>
      </c>
      <c r="AD812" s="317"/>
      <c r="AE812" s="669"/>
      <c r="AF812" s="718"/>
      <c r="AG812" s="211"/>
      <c r="AH812" s="210"/>
    </row>
    <row r="813" spans="1:34" s="4" customFormat="1">
      <c r="A813" s="2"/>
      <c r="B813" s="310" t="s">
        <v>115</v>
      </c>
      <c r="C813" s="311" t="s">
        <v>27</v>
      </c>
      <c r="D813" s="687"/>
      <c r="E813" s="688"/>
      <c r="F813" s="312" t="s">
        <v>4757</v>
      </c>
      <c r="G813" s="313">
        <v>44762</v>
      </c>
      <c r="H813" s="624"/>
      <c r="I813" s="625"/>
      <c r="J813" s="626"/>
      <c r="K813" s="627"/>
      <c r="L813" s="628"/>
      <c r="M813" s="629"/>
      <c r="N813" s="627"/>
      <c r="O813" s="628"/>
      <c r="P813" s="630"/>
      <c r="Q813" s="631"/>
      <c r="R813" s="715"/>
      <c r="S813" s="910"/>
      <c r="T813" s="632"/>
      <c r="U813" s="633"/>
      <c r="V813" s="634"/>
      <c r="W813" s="635"/>
      <c r="X813" s="636"/>
      <c r="Y813" s="637"/>
      <c r="Z813" s="987"/>
      <c r="AA813" s="919"/>
      <c r="AB813" s="908"/>
      <c r="AC813" s="314" t="s">
        <v>4758</v>
      </c>
      <c r="AD813" s="317"/>
      <c r="AE813" s="669"/>
      <c r="AF813" s="718"/>
      <c r="AG813" s="211"/>
      <c r="AH813" s="210"/>
    </row>
    <row r="814" spans="1:34" s="4" customFormat="1">
      <c r="A814" s="2"/>
      <c r="B814" s="310" t="s">
        <v>110</v>
      </c>
      <c r="C814" s="311" t="s">
        <v>27</v>
      </c>
      <c r="D814" s="687" t="s">
        <v>4759</v>
      </c>
      <c r="E814" s="688"/>
      <c r="F814" s="312"/>
      <c r="G814" s="313"/>
      <c r="H814" s="624"/>
      <c r="I814" s="625"/>
      <c r="J814" s="626"/>
      <c r="K814" s="627" t="s">
        <v>4760</v>
      </c>
      <c r="L814" s="628"/>
      <c r="M814" s="629"/>
      <c r="N814" s="627" t="s">
        <v>4761</v>
      </c>
      <c r="O814" s="628">
        <v>44756</v>
      </c>
      <c r="P814" s="630"/>
      <c r="Q814" s="631"/>
      <c r="R814" s="715"/>
      <c r="S814" s="910"/>
      <c r="T814" s="632"/>
      <c r="U814" s="633"/>
      <c r="V814" s="634"/>
      <c r="W814" s="635" t="s">
        <v>96</v>
      </c>
      <c r="X814" s="636"/>
      <c r="Y814" s="637"/>
      <c r="Z814" s="987"/>
      <c r="AA814" s="919"/>
      <c r="AB814" s="908"/>
      <c r="AC814" s="314"/>
      <c r="AD814" s="317"/>
      <c r="AE814" s="669"/>
      <c r="AF814" s="718"/>
      <c r="AG814" s="211"/>
      <c r="AH814" s="210"/>
    </row>
    <row r="815" spans="1:34" s="4" customFormat="1">
      <c r="A815" s="2"/>
      <c r="B815" s="310" t="s">
        <v>106</v>
      </c>
      <c r="C815" s="311" t="s">
        <v>33</v>
      </c>
      <c r="D815" s="687" t="s">
        <v>4762</v>
      </c>
      <c r="E815" s="688"/>
      <c r="F815" s="312"/>
      <c r="G815" s="313"/>
      <c r="H815" s="624"/>
      <c r="I815" s="625"/>
      <c r="J815" s="626"/>
      <c r="K815" s="627" t="s">
        <v>4763</v>
      </c>
      <c r="L815" s="628">
        <v>44851</v>
      </c>
      <c r="M815" s="629">
        <v>-100000</v>
      </c>
      <c r="N815" s="627" t="s">
        <v>2418</v>
      </c>
      <c r="O815" s="628">
        <v>44762</v>
      </c>
      <c r="P815" s="630" t="s">
        <v>4764</v>
      </c>
      <c r="Q815" s="631">
        <v>44813</v>
      </c>
      <c r="R815" s="715">
        <v>44837</v>
      </c>
      <c r="S815" s="1068"/>
      <c r="T815" s="632">
        <v>8435.7199999999993</v>
      </c>
      <c r="U815" s="633" t="s">
        <v>4765</v>
      </c>
      <c r="V815" s="634">
        <v>44837</v>
      </c>
      <c r="W815" s="635" t="s">
        <v>2302</v>
      </c>
      <c r="X815" s="636">
        <v>8435.7199999999993</v>
      </c>
      <c r="Y815" s="636">
        <v>8435.7199999999993</v>
      </c>
      <c r="Z815" s="987">
        <f>Y815/X815</f>
        <v>1</v>
      </c>
      <c r="AA815" s="919"/>
      <c r="AB815" s="1055">
        <v>0</v>
      </c>
      <c r="AC815" s="912"/>
      <c r="AD815" s="913"/>
      <c r="AE815" s="669"/>
      <c r="AF815" s="718"/>
      <c r="AG815" s="211"/>
      <c r="AH815" s="210"/>
    </row>
    <row r="816" spans="1:34" s="4" customFormat="1">
      <c r="A816" s="2"/>
      <c r="B816" s="310" t="s">
        <v>106</v>
      </c>
      <c r="C816" s="311" t="s">
        <v>33</v>
      </c>
      <c r="D816" s="687" t="s">
        <v>4766</v>
      </c>
      <c r="E816" s="688"/>
      <c r="F816" s="312"/>
      <c r="G816" s="313"/>
      <c r="H816" s="624"/>
      <c r="I816" s="625"/>
      <c r="J816" s="626"/>
      <c r="K816" s="627" t="s">
        <v>4767</v>
      </c>
      <c r="L816" s="628">
        <v>44741</v>
      </c>
      <c r="M816" s="629">
        <v>65000</v>
      </c>
      <c r="N816" s="627" t="s">
        <v>4768</v>
      </c>
      <c r="O816" s="628">
        <v>44741</v>
      </c>
      <c r="P816" s="630" t="s">
        <v>4769</v>
      </c>
      <c r="Q816" s="631">
        <v>44769</v>
      </c>
      <c r="R816" s="715">
        <v>44791</v>
      </c>
      <c r="S816" s="1068"/>
      <c r="T816" s="632">
        <v>138833.17000000001</v>
      </c>
      <c r="U816" s="633" t="s">
        <v>4770</v>
      </c>
      <c r="V816" s="634">
        <v>44797</v>
      </c>
      <c r="W816" s="635" t="s">
        <v>109</v>
      </c>
      <c r="X816" s="636">
        <v>138833.17000000001</v>
      </c>
      <c r="Y816" s="636">
        <v>138833.17000000001</v>
      </c>
      <c r="Z816" s="987">
        <f>Y816/X816</f>
        <v>1</v>
      </c>
      <c r="AA816" s="919"/>
      <c r="AB816" s="1055">
        <v>0</v>
      </c>
      <c r="AC816" s="912"/>
      <c r="AD816" s="913"/>
      <c r="AE816" s="669"/>
      <c r="AF816" s="718"/>
      <c r="AG816" s="211"/>
      <c r="AH816" s="210"/>
    </row>
    <row r="817" spans="1:34" s="4" customFormat="1">
      <c r="A817" s="2"/>
      <c r="B817" s="310" t="s">
        <v>115</v>
      </c>
      <c r="C817" s="311" t="s">
        <v>27</v>
      </c>
      <c r="D817" s="687"/>
      <c r="E817" s="688"/>
      <c r="F817" s="312" t="s">
        <v>4771</v>
      </c>
      <c r="G817" s="313">
        <v>44767</v>
      </c>
      <c r="H817" s="624"/>
      <c r="I817" s="625"/>
      <c r="J817" s="626"/>
      <c r="K817" s="627"/>
      <c r="L817" s="628"/>
      <c r="M817" s="629"/>
      <c r="N817" s="627"/>
      <c r="O817" s="628"/>
      <c r="P817" s="630"/>
      <c r="Q817" s="631"/>
      <c r="R817" s="715"/>
      <c r="S817" s="910"/>
      <c r="T817" s="632"/>
      <c r="U817" s="633"/>
      <c r="V817" s="634"/>
      <c r="W817" s="635"/>
      <c r="X817" s="636"/>
      <c r="Y817" s="637"/>
      <c r="Z817" s="987"/>
      <c r="AA817" s="919"/>
      <c r="AB817" s="908"/>
      <c r="AC817" s="914" t="s">
        <v>4772</v>
      </c>
      <c r="AD817" s="317"/>
      <c r="AE817" s="669"/>
      <c r="AF817" s="718"/>
      <c r="AG817" s="211"/>
      <c r="AH817" s="210"/>
    </row>
    <row r="818" spans="1:34" s="4" customFormat="1">
      <c r="A818" s="2"/>
      <c r="B818" s="310" t="s">
        <v>115</v>
      </c>
      <c r="C818" s="311" t="s">
        <v>27</v>
      </c>
      <c r="D818" s="687"/>
      <c r="E818" s="688"/>
      <c r="F818" s="312" t="s">
        <v>4773</v>
      </c>
      <c r="G818" s="313">
        <v>44768</v>
      </c>
      <c r="H818" s="624"/>
      <c r="I818" s="625"/>
      <c r="J818" s="626"/>
      <c r="K818" s="627"/>
      <c r="L818" s="628"/>
      <c r="M818" s="629"/>
      <c r="N818" s="627"/>
      <c r="O818" s="628"/>
      <c r="P818" s="630"/>
      <c r="Q818" s="631"/>
      <c r="R818" s="715"/>
      <c r="S818" s="910"/>
      <c r="T818" s="632"/>
      <c r="U818" s="633"/>
      <c r="V818" s="634"/>
      <c r="W818" s="635"/>
      <c r="X818" s="636"/>
      <c r="Y818" s="637"/>
      <c r="Z818" s="987"/>
      <c r="AA818" s="919"/>
      <c r="AB818" s="908"/>
      <c r="AC818" s="314" t="s">
        <v>4774</v>
      </c>
      <c r="AD818" s="317"/>
      <c r="AE818" s="669"/>
      <c r="AF818" s="718"/>
      <c r="AG818" s="211"/>
      <c r="AH818" s="210"/>
    </row>
    <row r="819" spans="1:34" s="4" customFormat="1">
      <c r="A819" s="2"/>
      <c r="B819" s="310" t="s">
        <v>115</v>
      </c>
      <c r="C819" s="311" t="s">
        <v>27</v>
      </c>
      <c r="D819" s="687"/>
      <c r="E819" s="688"/>
      <c r="F819" s="312" t="s">
        <v>4775</v>
      </c>
      <c r="G819" s="313">
        <v>44768</v>
      </c>
      <c r="H819" s="624"/>
      <c r="I819" s="625"/>
      <c r="J819" s="626"/>
      <c r="K819" s="627"/>
      <c r="L819" s="628"/>
      <c r="M819" s="629"/>
      <c r="N819" s="627"/>
      <c r="O819" s="628"/>
      <c r="P819" s="630" t="s">
        <v>4776</v>
      </c>
      <c r="Q819" s="631"/>
      <c r="R819" s="715"/>
      <c r="S819" s="910"/>
      <c r="T819" s="632"/>
      <c r="U819" s="633"/>
      <c r="V819" s="634"/>
      <c r="W819" s="635"/>
      <c r="X819" s="636"/>
      <c r="Y819" s="637"/>
      <c r="Z819" s="987"/>
      <c r="AA819" s="919"/>
      <c r="AB819" s="908"/>
      <c r="AC819" s="314" t="s">
        <v>4777</v>
      </c>
      <c r="AD819" s="317"/>
      <c r="AE819" s="669"/>
      <c r="AF819" s="718"/>
      <c r="AG819" s="211"/>
      <c r="AH819" s="210"/>
    </row>
    <row r="820" spans="1:34" s="4" customFormat="1">
      <c r="A820" s="2"/>
      <c r="B820" s="310" t="s">
        <v>115</v>
      </c>
      <c r="C820" s="311" t="s">
        <v>27</v>
      </c>
      <c r="D820" s="687"/>
      <c r="E820" s="688"/>
      <c r="F820" s="312" t="s">
        <v>4778</v>
      </c>
      <c r="G820" s="313">
        <v>44768</v>
      </c>
      <c r="H820" s="624"/>
      <c r="I820" s="625"/>
      <c r="J820" s="626"/>
      <c r="K820" s="627"/>
      <c r="L820" s="628"/>
      <c r="M820" s="629"/>
      <c r="N820" s="627"/>
      <c r="O820" s="628"/>
      <c r="P820" s="630"/>
      <c r="Q820" s="631"/>
      <c r="R820" s="715"/>
      <c r="S820" s="910"/>
      <c r="T820" s="632"/>
      <c r="U820" s="633"/>
      <c r="V820" s="634"/>
      <c r="W820" s="635"/>
      <c r="X820" s="636"/>
      <c r="Y820" s="637"/>
      <c r="Z820" s="987"/>
      <c r="AA820" s="919"/>
      <c r="AB820" s="908"/>
      <c r="AC820" s="314" t="s">
        <v>4779</v>
      </c>
      <c r="AD820" s="317"/>
      <c r="AE820" s="669"/>
      <c r="AF820" s="718"/>
      <c r="AG820" s="211"/>
      <c r="AH820" s="210"/>
    </row>
    <row r="821" spans="1:34" s="4" customFormat="1">
      <c r="A821" s="2"/>
      <c r="B821" s="310" t="s">
        <v>106</v>
      </c>
      <c r="C821" s="311" t="s">
        <v>33</v>
      </c>
      <c r="D821" s="687" t="s">
        <v>4780</v>
      </c>
      <c r="E821" s="688"/>
      <c r="F821" s="312" t="s">
        <v>4781</v>
      </c>
      <c r="G821" s="313">
        <v>44769</v>
      </c>
      <c r="H821" s="624" t="s">
        <v>4782</v>
      </c>
      <c r="I821" s="625"/>
      <c r="J821" s="626"/>
      <c r="K821" s="627" t="s">
        <v>4783</v>
      </c>
      <c r="L821" s="628">
        <v>44825</v>
      </c>
      <c r="M821" s="629">
        <v>7000</v>
      </c>
      <c r="N821" s="627" t="s">
        <v>4784</v>
      </c>
      <c r="O821" s="628">
        <v>44825</v>
      </c>
      <c r="P821" s="630" t="s">
        <v>4785</v>
      </c>
      <c r="Q821" s="631">
        <v>44841</v>
      </c>
      <c r="R821" s="715">
        <v>44851</v>
      </c>
      <c r="S821" s="910"/>
      <c r="T821" s="632">
        <v>29113.22</v>
      </c>
      <c r="U821" s="633" t="s">
        <v>4786</v>
      </c>
      <c r="V821" s="634"/>
      <c r="W821" s="635" t="s">
        <v>2302</v>
      </c>
      <c r="X821" s="636"/>
      <c r="Y821" s="637"/>
      <c r="Z821" s="987" t="s">
        <v>268</v>
      </c>
      <c r="AA821" s="919"/>
      <c r="AB821" s="1055">
        <v>0</v>
      </c>
      <c r="AC821" s="912"/>
      <c r="AD821" s="913"/>
      <c r="AE821" s="669"/>
      <c r="AF821" s="718"/>
      <c r="AG821" s="211"/>
      <c r="AH821" s="210"/>
    </row>
    <row r="822" spans="1:34" s="4" customFormat="1">
      <c r="A822" s="2"/>
      <c r="B822" s="310" t="s">
        <v>106</v>
      </c>
      <c r="C822" s="311" t="s">
        <v>33</v>
      </c>
      <c r="D822" s="687" t="s">
        <v>4787</v>
      </c>
      <c r="E822" s="688"/>
      <c r="F822" s="312" t="s">
        <v>4788</v>
      </c>
      <c r="G822" s="313">
        <v>44770</v>
      </c>
      <c r="H822" s="624"/>
      <c r="I822" s="625"/>
      <c r="J822" s="626"/>
      <c r="K822" s="627" t="s">
        <v>4789</v>
      </c>
      <c r="L822" s="628">
        <v>44778</v>
      </c>
      <c r="M822" s="629">
        <v>6000</v>
      </c>
      <c r="N822" s="627" t="s">
        <v>4790</v>
      </c>
      <c r="O822" s="628">
        <v>44778</v>
      </c>
      <c r="P822" s="630" t="s">
        <v>4791</v>
      </c>
      <c r="Q822" s="631">
        <v>44789</v>
      </c>
      <c r="R822" s="715">
        <v>44816</v>
      </c>
      <c r="S822" s="1068"/>
      <c r="T822" s="632">
        <v>6946.08</v>
      </c>
      <c r="U822" s="633" t="s">
        <v>4792</v>
      </c>
      <c r="V822" s="634">
        <v>44813</v>
      </c>
      <c r="W822" s="635" t="s">
        <v>109</v>
      </c>
      <c r="X822" s="636">
        <v>6946.08</v>
      </c>
      <c r="Y822" s="636">
        <v>6946.08</v>
      </c>
      <c r="Z822" s="987">
        <f>Y822/X822</f>
        <v>1</v>
      </c>
      <c r="AA822" s="919"/>
      <c r="AB822" s="1055">
        <v>0</v>
      </c>
      <c r="AC822" s="912"/>
      <c r="AD822" s="913"/>
      <c r="AE822" s="669"/>
      <c r="AF822" s="718"/>
      <c r="AG822" s="211"/>
      <c r="AH822" s="210"/>
    </row>
    <row r="823" spans="1:34" s="4" customFormat="1">
      <c r="A823" s="2"/>
      <c r="B823" s="310" t="s">
        <v>115</v>
      </c>
      <c r="C823" s="311" t="s">
        <v>27</v>
      </c>
      <c r="D823" s="687"/>
      <c r="E823" s="688"/>
      <c r="F823" s="312" t="s">
        <v>4793</v>
      </c>
      <c r="G823" s="313">
        <v>44771</v>
      </c>
      <c r="H823" s="624"/>
      <c r="I823" s="625"/>
      <c r="J823" s="626"/>
      <c r="K823" s="627"/>
      <c r="L823" s="628"/>
      <c r="M823" s="629"/>
      <c r="N823" s="627"/>
      <c r="O823" s="628"/>
      <c r="P823" s="630"/>
      <c r="Q823" s="631"/>
      <c r="R823" s="715"/>
      <c r="S823" s="910"/>
      <c r="T823" s="632"/>
      <c r="U823" s="633"/>
      <c r="V823" s="634"/>
      <c r="W823" s="635"/>
      <c r="X823" s="636"/>
      <c r="Y823" s="637"/>
      <c r="Z823" s="987"/>
      <c r="AA823" s="919"/>
      <c r="AB823" s="908"/>
      <c r="AC823" s="314" t="s">
        <v>4794</v>
      </c>
      <c r="AD823" s="317"/>
      <c r="AE823" s="669"/>
      <c r="AF823" s="718"/>
      <c r="AG823" s="211"/>
      <c r="AH823" s="210"/>
    </row>
    <row r="824" spans="1:34" s="4" customFormat="1">
      <c r="A824" s="2"/>
      <c r="B824" s="310" t="s">
        <v>115</v>
      </c>
      <c r="C824" s="311" t="s">
        <v>27</v>
      </c>
      <c r="D824" s="687"/>
      <c r="E824" s="688"/>
      <c r="F824" s="312" t="s">
        <v>4795</v>
      </c>
      <c r="G824" s="313">
        <v>44776</v>
      </c>
      <c r="H824" s="624"/>
      <c r="I824" s="625"/>
      <c r="J824" s="626"/>
      <c r="K824" s="627"/>
      <c r="L824" s="628"/>
      <c r="M824" s="629"/>
      <c r="N824" s="627"/>
      <c r="O824" s="628"/>
      <c r="P824" s="630"/>
      <c r="Q824" s="631"/>
      <c r="R824" s="715"/>
      <c r="S824" s="910"/>
      <c r="T824" s="632"/>
      <c r="U824" s="633"/>
      <c r="V824" s="634"/>
      <c r="W824" s="635"/>
      <c r="X824" s="636"/>
      <c r="Y824" s="637"/>
      <c r="Z824" s="987"/>
      <c r="AA824" s="919"/>
      <c r="AB824" s="908"/>
      <c r="AC824" s="314" t="s">
        <v>4796</v>
      </c>
      <c r="AD824" s="317"/>
      <c r="AE824" s="669"/>
      <c r="AF824" s="718"/>
      <c r="AG824" s="211"/>
      <c r="AH824" s="210"/>
    </row>
    <row r="825" spans="1:34" s="4" customFormat="1">
      <c r="A825" s="2"/>
      <c r="B825" s="310" t="s">
        <v>115</v>
      </c>
      <c r="C825" s="311" t="s">
        <v>27</v>
      </c>
      <c r="D825" s="687"/>
      <c r="E825" s="688"/>
      <c r="F825" s="312" t="s">
        <v>4797</v>
      </c>
      <c r="G825" s="313">
        <v>44776</v>
      </c>
      <c r="H825" s="624"/>
      <c r="I825" s="625"/>
      <c r="J825" s="626"/>
      <c r="K825" s="627"/>
      <c r="L825" s="628"/>
      <c r="M825" s="629"/>
      <c r="N825" s="627"/>
      <c r="O825" s="628"/>
      <c r="P825" s="630"/>
      <c r="Q825" s="631"/>
      <c r="R825" s="715"/>
      <c r="S825" s="910"/>
      <c r="T825" s="632"/>
      <c r="U825" s="633"/>
      <c r="V825" s="634"/>
      <c r="W825" s="635"/>
      <c r="X825" s="636"/>
      <c r="Y825" s="637"/>
      <c r="Z825" s="987"/>
      <c r="AA825" s="919"/>
      <c r="AB825" s="908"/>
      <c r="AC825" s="314" t="s">
        <v>4798</v>
      </c>
      <c r="AD825" s="317"/>
      <c r="AE825" s="669"/>
      <c r="AF825" s="718"/>
      <c r="AG825" s="211"/>
      <c r="AH825" s="210"/>
    </row>
    <row r="826" spans="1:34" s="4" customFormat="1">
      <c r="A826" s="2"/>
      <c r="B826" s="310" t="s">
        <v>115</v>
      </c>
      <c r="C826" s="311" t="s">
        <v>27</v>
      </c>
      <c r="D826" s="687"/>
      <c r="E826" s="688"/>
      <c r="F826" s="312" t="s">
        <v>4799</v>
      </c>
      <c r="G826" s="313">
        <v>44776</v>
      </c>
      <c r="H826" s="624"/>
      <c r="I826" s="625"/>
      <c r="J826" s="626"/>
      <c r="K826" s="627"/>
      <c r="L826" s="628"/>
      <c r="M826" s="629"/>
      <c r="N826" s="627"/>
      <c r="O826" s="628"/>
      <c r="P826" s="630"/>
      <c r="Q826" s="631"/>
      <c r="R826" s="715"/>
      <c r="S826" s="910"/>
      <c r="T826" s="632"/>
      <c r="U826" s="633"/>
      <c r="V826" s="634"/>
      <c r="W826" s="635"/>
      <c r="X826" s="636"/>
      <c r="Y826" s="637"/>
      <c r="Z826" s="987"/>
      <c r="AA826" s="919"/>
      <c r="AB826" s="908"/>
      <c r="AC826" s="314" t="s">
        <v>4800</v>
      </c>
      <c r="AD826" s="317"/>
      <c r="AE826" s="669"/>
      <c r="AF826" s="718"/>
      <c r="AG826" s="211"/>
      <c r="AH826" s="210"/>
    </row>
    <row r="827" spans="1:34" s="4" customFormat="1">
      <c r="A827" s="2"/>
      <c r="B827" s="310" t="s">
        <v>115</v>
      </c>
      <c r="C827" s="311" t="s">
        <v>27</v>
      </c>
      <c r="D827" s="687"/>
      <c r="E827" s="688"/>
      <c r="F827" s="312" t="s">
        <v>4801</v>
      </c>
      <c r="G827" s="313">
        <v>44776</v>
      </c>
      <c r="H827" s="624"/>
      <c r="I827" s="625"/>
      <c r="J827" s="626"/>
      <c r="K827" s="627"/>
      <c r="L827" s="628"/>
      <c r="M827" s="629"/>
      <c r="N827" s="627"/>
      <c r="O827" s="628"/>
      <c r="P827" s="630"/>
      <c r="Q827" s="631"/>
      <c r="R827" s="715"/>
      <c r="S827" s="910"/>
      <c r="T827" s="632"/>
      <c r="U827" s="633"/>
      <c r="V827" s="634"/>
      <c r="W827" s="635"/>
      <c r="X827" s="636"/>
      <c r="Y827" s="637"/>
      <c r="Z827" s="987"/>
      <c r="AA827" s="919"/>
      <c r="AB827" s="908"/>
      <c r="AC827" s="314" t="s">
        <v>4802</v>
      </c>
      <c r="AD827" s="317"/>
      <c r="AE827" s="669"/>
      <c r="AF827" s="718"/>
      <c r="AG827" s="211"/>
      <c r="AH827" s="210"/>
    </row>
    <row r="828" spans="1:34" s="4" customFormat="1">
      <c r="A828" s="2"/>
      <c r="B828" s="310" t="s">
        <v>119</v>
      </c>
      <c r="C828" s="311" t="s">
        <v>27</v>
      </c>
      <c r="D828" s="687"/>
      <c r="E828" s="688"/>
      <c r="F828" s="312" t="s">
        <v>4803</v>
      </c>
      <c r="G828" s="313">
        <v>44818</v>
      </c>
      <c r="H828" s="624"/>
      <c r="I828" s="625"/>
      <c r="J828" s="626"/>
      <c r="K828" s="627"/>
      <c r="L828" s="628"/>
      <c r="M828" s="629"/>
      <c r="N828" s="627"/>
      <c r="O828" s="628"/>
      <c r="P828" s="630"/>
      <c r="Q828" s="631"/>
      <c r="R828" s="715"/>
      <c r="S828" s="910"/>
      <c r="T828" s="632"/>
      <c r="U828" s="633"/>
      <c r="V828" s="634"/>
      <c r="W828" s="635"/>
      <c r="X828" s="636"/>
      <c r="Y828" s="637"/>
      <c r="Z828" s="987"/>
      <c r="AA828" s="919"/>
      <c r="AB828" s="908"/>
      <c r="AC828" s="314" t="s">
        <v>4804</v>
      </c>
      <c r="AD828" s="317"/>
      <c r="AE828" s="669"/>
      <c r="AF828" s="718"/>
      <c r="AG828" s="211"/>
      <c r="AH828" s="210"/>
    </row>
    <row r="829" spans="1:34" s="4" customFormat="1">
      <c r="A829" s="2"/>
      <c r="B829" s="310" t="s">
        <v>115</v>
      </c>
      <c r="C829" s="311" t="s">
        <v>27</v>
      </c>
      <c r="D829" s="687"/>
      <c r="E829" s="688"/>
      <c r="F829" s="312" t="s">
        <v>4805</v>
      </c>
      <c r="G829" s="313">
        <v>44778</v>
      </c>
      <c r="H829" s="624"/>
      <c r="I829" s="625"/>
      <c r="J829" s="626"/>
      <c r="K829" s="627"/>
      <c r="L829" s="628"/>
      <c r="M829" s="629"/>
      <c r="N829" s="627"/>
      <c r="O829" s="628"/>
      <c r="P829" s="630"/>
      <c r="Q829" s="631"/>
      <c r="R829" s="715"/>
      <c r="S829" s="910"/>
      <c r="T829" s="632"/>
      <c r="U829" s="633"/>
      <c r="V829" s="634"/>
      <c r="W829" s="635"/>
      <c r="X829" s="636"/>
      <c r="Y829" s="637"/>
      <c r="Z829" s="987"/>
      <c r="AA829" s="919"/>
      <c r="AB829" s="908"/>
      <c r="AC829" s="314" t="s">
        <v>4806</v>
      </c>
      <c r="AD829" s="317"/>
      <c r="AE829" s="669"/>
      <c r="AF829" s="718"/>
      <c r="AG829" s="211"/>
      <c r="AH829" s="210"/>
    </row>
    <row r="830" spans="1:34" s="4" customFormat="1">
      <c r="A830" s="2"/>
      <c r="B830" s="310" t="s">
        <v>115</v>
      </c>
      <c r="C830" s="311" t="s">
        <v>27</v>
      </c>
      <c r="D830" s="687"/>
      <c r="E830" s="688"/>
      <c r="F830" s="312" t="s">
        <v>4807</v>
      </c>
      <c r="G830" s="313">
        <v>44782</v>
      </c>
      <c r="H830" s="624"/>
      <c r="I830" s="625"/>
      <c r="J830" s="626"/>
      <c r="K830" s="627"/>
      <c r="L830" s="628"/>
      <c r="M830" s="629"/>
      <c r="N830" s="627"/>
      <c r="O830" s="628"/>
      <c r="P830" s="630"/>
      <c r="Q830" s="631"/>
      <c r="R830" s="715"/>
      <c r="S830" s="910"/>
      <c r="T830" s="632"/>
      <c r="U830" s="633"/>
      <c r="V830" s="634"/>
      <c r="W830" s="635"/>
      <c r="X830" s="636"/>
      <c r="Y830" s="637"/>
      <c r="Z830" s="987"/>
      <c r="AA830" s="919"/>
      <c r="AB830" s="908"/>
      <c r="AC830" s="314" t="s">
        <v>4808</v>
      </c>
      <c r="AD830" s="317"/>
      <c r="AE830" s="669"/>
      <c r="AF830" s="718"/>
      <c r="AG830" s="211"/>
      <c r="AH830" s="210"/>
    </row>
    <row r="831" spans="1:34" s="4" customFormat="1">
      <c r="A831" s="2"/>
      <c r="B831" s="310" t="s">
        <v>115</v>
      </c>
      <c r="C831" s="311" t="s">
        <v>27</v>
      </c>
      <c r="D831" s="687"/>
      <c r="E831" s="688"/>
      <c r="F831" s="312" t="s">
        <v>4809</v>
      </c>
      <c r="G831" s="313">
        <v>44783</v>
      </c>
      <c r="H831" s="624"/>
      <c r="I831" s="625"/>
      <c r="J831" s="626"/>
      <c r="K831" s="627"/>
      <c r="L831" s="628"/>
      <c r="M831" s="629"/>
      <c r="N831" s="627"/>
      <c r="O831" s="628"/>
      <c r="P831" s="630"/>
      <c r="Q831" s="631"/>
      <c r="R831" s="715"/>
      <c r="S831" s="910"/>
      <c r="T831" s="632"/>
      <c r="U831" s="633"/>
      <c r="V831" s="634"/>
      <c r="W831" s="635"/>
      <c r="X831" s="636"/>
      <c r="Y831" s="637"/>
      <c r="Z831" s="987"/>
      <c r="AA831" s="919"/>
      <c r="AB831" s="908"/>
      <c r="AC831" s="314" t="s">
        <v>4810</v>
      </c>
      <c r="AD831" s="317"/>
      <c r="AE831" s="669"/>
      <c r="AF831" s="718"/>
      <c r="AG831" s="211"/>
      <c r="AH831" s="210"/>
    </row>
    <row r="832" spans="1:34" s="4" customFormat="1">
      <c r="A832" s="2"/>
      <c r="B832" s="310" t="s">
        <v>115</v>
      </c>
      <c r="C832" s="311" t="s">
        <v>27</v>
      </c>
      <c r="D832" s="687"/>
      <c r="E832" s="688"/>
      <c r="F832" s="312" t="s">
        <v>4811</v>
      </c>
      <c r="G832" s="313">
        <v>44783</v>
      </c>
      <c r="H832" s="624"/>
      <c r="I832" s="625"/>
      <c r="J832" s="626"/>
      <c r="K832" s="627"/>
      <c r="L832" s="628"/>
      <c r="M832" s="629"/>
      <c r="N832" s="627"/>
      <c r="O832" s="628"/>
      <c r="P832" s="630"/>
      <c r="Q832" s="631"/>
      <c r="R832" s="715"/>
      <c r="S832" s="910"/>
      <c r="T832" s="632"/>
      <c r="U832" s="633"/>
      <c r="V832" s="634"/>
      <c r="W832" s="635"/>
      <c r="X832" s="636"/>
      <c r="Y832" s="637"/>
      <c r="Z832" s="987"/>
      <c r="AA832" s="919"/>
      <c r="AB832" s="908"/>
      <c r="AC832" s="314" t="s">
        <v>4812</v>
      </c>
      <c r="AD832" s="317"/>
      <c r="AE832" s="669"/>
      <c r="AF832" s="718"/>
      <c r="AG832" s="211"/>
      <c r="AH832" s="210"/>
    </row>
    <row r="833" spans="1:34" s="4" customFormat="1">
      <c r="A833" s="2"/>
      <c r="B833" s="310" t="s">
        <v>115</v>
      </c>
      <c r="C833" s="311" t="s">
        <v>27</v>
      </c>
      <c r="D833" s="687"/>
      <c r="E833" s="688"/>
      <c r="F833" s="312" t="s">
        <v>4813</v>
      </c>
      <c r="G833" s="313">
        <v>44783</v>
      </c>
      <c r="H833" s="624"/>
      <c r="I833" s="625"/>
      <c r="J833" s="626"/>
      <c r="K833" s="627"/>
      <c r="L833" s="628"/>
      <c r="M833" s="629"/>
      <c r="N833" s="627"/>
      <c r="O833" s="628"/>
      <c r="P833" s="630"/>
      <c r="Q833" s="631"/>
      <c r="R833" s="715"/>
      <c r="S833" s="910"/>
      <c r="T833" s="632"/>
      <c r="U833" s="633"/>
      <c r="V833" s="634"/>
      <c r="W833" s="635"/>
      <c r="X833" s="636"/>
      <c r="Y833" s="637"/>
      <c r="Z833" s="987"/>
      <c r="AA833" s="919"/>
      <c r="AB833" s="908"/>
      <c r="AC833" s="314" t="s">
        <v>4814</v>
      </c>
      <c r="AD833" s="317"/>
      <c r="AE833" s="669"/>
      <c r="AF833" s="718"/>
      <c r="AG833" s="211"/>
      <c r="AH833" s="210"/>
    </row>
    <row r="834" spans="1:34" s="4" customFormat="1">
      <c r="A834" s="2"/>
      <c r="B834" s="310" t="s">
        <v>115</v>
      </c>
      <c r="C834" s="311" t="s">
        <v>27</v>
      </c>
      <c r="D834" s="687"/>
      <c r="E834" s="688"/>
      <c r="F834" s="312" t="s">
        <v>4815</v>
      </c>
      <c r="G834" s="313">
        <v>44784</v>
      </c>
      <c r="H834" s="624"/>
      <c r="I834" s="625"/>
      <c r="J834" s="626"/>
      <c r="K834" s="627"/>
      <c r="L834" s="628"/>
      <c r="M834" s="629"/>
      <c r="N834" s="627"/>
      <c r="O834" s="628"/>
      <c r="P834" s="630"/>
      <c r="Q834" s="631"/>
      <c r="R834" s="715"/>
      <c r="S834" s="910"/>
      <c r="T834" s="632"/>
      <c r="U834" s="633"/>
      <c r="V834" s="634"/>
      <c r="W834" s="635"/>
      <c r="X834" s="636"/>
      <c r="Y834" s="637"/>
      <c r="Z834" s="987"/>
      <c r="AA834" s="919"/>
      <c r="AB834" s="908"/>
      <c r="AC834" s="314" t="s">
        <v>4816</v>
      </c>
      <c r="AD834" s="317"/>
      <c r="AE834" s="669"/>
      <c r="AF834" s="718"/>
      <c r="AG834" s="211"/>
      <c r="AH834" s="210"/>
    </row>
    <row r="835" spans="1:34" s="4" customFormat="1">
      <c r="A835" s="2"/>
      <c r="B835" s="310" t="s">
        <v>115</v>
      </c>
      <c r="C835" s="311" t="s">
        <v>27</v>
      </c>
      <c r="D835" s="687"/>
      <c r="E835" s="688"/>
      <c r="F835" s="312" t="s">
        <v>4817</v>
      </c>
      <c r="G835" s="313">
        <v>44784</v>
      </c>
      <c r="H835" s="624"/>
      <c r="I835" s="625"/>
      <c r="J835" s="626"/>
      <c r="K835" s="627"/>
      <c r="L835" s="628"/>
      <c r="M835" s="629"/>
      <c r="N835" s="627"/>
      <c r="O835" s="628"/>
      <c r="P835" s="630"/>
      <c r="Q835" s="631"/>
      <c r="R835" s="715"/>
      <c r="S835" s="910"/>
      <c r="T835" s="632"/>
      <c r="U835" s="633"/>
      <c r="V835" s="634"/>
      <c r="W835" s="635"/>
      <c r="X835" s="636"/>
      <c r="Y835" s="637"/>
      <c r="Z835" s="987"/>
      <c r="AA835" s="919"/>
      <c r="AB835" s="908"/>
      <c r="AC835" s="314" t="s">
        <v>4818</v>
      </c>
      <c r="AD835" s="317"/>
      <c r="AE835" s="669"/>
      <c r="AF835" s="718"/>
      <c r="AG835" s="211"/>
      <c r="AH835" s="210"/>
    </row>
    <row r="836" spans="1:34" s="4" customFormat="1">
      <c r="A836" s="2"/>
      <c r="B836" s="310" t="s">
        <v>106</v>
      </c>
      <c r="C836" s="311" t="s">
        <v>33</v>
      </c>
      <c r="D836" s="687" t="s">
        <v>4819</v>
      </c>
      <c r="E836" s="688"/>
      <c r="F836" s="312" t="s">
        <v>4820</v>
      </c>
      <c r="G836" s="313">
        <v>44788</v>
      </c>
      <c r="H836" s="624"/>
      <c r="I836" s="625"/>
      <c r="J836" s="626"/>
      <c r="K836" s="627" t="s">
        <v>4821</v>
      </c>
      <c r="L836" s="628">
        <v>44812</v>
      </c>
      <c r="M836" s="629"/>
      <c r="N836" s="627" t="s">
        <v>4700</v>
      </c>
      <c r="O836" s="628">
        <v>44813</v>
      </c>
      <c r="P836" s="630" t="s">
        <v>4701</v>
      </c>
      <c r="Q836" s="631">
        <v>44818</v>
      </c>
      <c r="R836" s="715">
        <v>44828</v>
      </c>
      <c r="S836" s="910"/>
      <c r="T836" s="632"/>
      <c r="U836" s="633" t="s">
        <v>4822</v>
      </c>
      <c r="V836" s="634">
        <v>44841</v>
      </c>
      <c r="W836" s="635" t="s">
        <v>2302</v>
      </c>
      <c r="X836" s="636"/>
      <c r="Y836" s="637"/>
      <c r="Z836" s="987" t="s">
        <v>268</v>
      </c>
      <c r="AA836" s="919"/>
      <c r="AB836" s="1055">
        <v>0</v>
      </c>
      <c r="AC836" s="912" t="s">
        <v>4823</v>
      </c>
      <c r="AD836" s="913"/>
      <c r="AE836" s="669"/>
      <c r="AF836" s="718"/>
      <c r="AG836" s="211"/>
      <c r="AH836" s="210"/>
    </row>
    <row r="837" spans="1:34" s="4" customFormat="1">
      <c r="A837" s="2"/>
      <c r="B837" s="310" t="s">
        <v>115</v>
      </c>
      <c r="C837" s="311" t="s">
        <v>27</v>
      </c>
      <c r="D837" s="687" t="s">
        <v>4824</v>
      </c>
      <c r="E837" s="688"/>
      <c r="F837" s="312" t="s">
        <v>4825</v>
      </c>
      <c r="G837" s="313">
        <v>44788</v>
      </c>
      <c r="H837" s="624"/>
      <c r="I837" s="625"/>
      <c r="J837" s="626"/>
      <c r="K837" s="627"/>
      <c r="L837" s="628"/>
      <c r="M837" s="629"/>
      <c r="N837" s="627"/>
      <c r="O837" s="628"/>
      <c r="P837" s="630"/>
      <c r="Q837" s="631"/>
      <c r="R837" s="715"/>
      <c r="S837" s="910"/>
      <c r="T837" s="632"/>
      <c r="U837" s="633"/>
      <c r="V837" s="634"/>
      <c r="W837" s="635"/>
      <c r="X837" s="636"/>
      <c r="Y837" s="637"/>
      <c r="Z837" s="987"/>
      <c r="AA837" s="919"/>
      <c r="AB837" s="908"/>
      <c r="AC837" s="314" t="s">
        <v>4826</v>
      </c>
      <c r="AD837" s="317"/>
      <c r="AE837" s="669"/>
      <c r="AF837" s="718"/>
      <c r="AG837" s="211"/>
      <c r="AH837" s="210"/>
    </row>
    <row r="838" spans="1:34" s="4" customFormat="1">
      <c r="A838" s="2"/>
      <c r="B838" s="310" t="s">
        <v>115</v>
      </c>
      <c r="C838" s="311" t="s">
        <v>27</v>
      </c>
      <c r="D838" s="687" t="s">
        <v>4827</v>
      </c>
      <c r="E838" s="688"/>
      <c r="F838" s="312" t="s">
        <v>4828</v>
      </c>
      <c r="G838" s="313">
        <v>44790</v>
      </c>
      <c r="H838" s="624"/>
      <c r="I838" s="625"/>
      <c r="J838" s="626"/>
      <c r="K838" s="627"/>
      <c r="L838" s="628"/>
      <c r="M838" s="629"/>
      <c r="N838" s="627"/>
      <c r="O838" s="628"/>
      <c r="P838" s="630"/>
      <c r="Q838" s="631"/>
      <c r="R838" s="715"/>
      <c r="S838" s="910"/>
      <c r="T838" s="632"/>
      <c r="U838" s="633"/>
      <c r="V838" s="634"/>
      <c r="W838" s="635"/>
      <c r="X838" s="636"/>
      <c r="Y838" s="637"/>
      <c r="Z838" s="987"/>
      <c r="AA838" s="919"/>
      <c r="AB838" s="908"/>
      <c r="AC838" s="314" t="s">
        <v>4829</v>
      </c>
      <c r="AD838" s="317"/>
      <c r="AE838" s="669"/>
      <c r="AF838" s="718"/>
      <c r="AG838" s="211"/>
      <c r="AH838" s="210"/>
    </row>
    <row r="839" spans="1:34" s="4" customFormat="1">
      <c r="A839" s="2"/>
      <c r="B839" s="310" t="s">
        <v>115</v>
      </c>
      <c r="C839" s="311" t="s">
        <v>27</v>
      </c>
      <c r="D839" s="687" t="s">
        <v>4830</v>
      </c>
      <c r="E839" s="688"/>
      <c r="F839" s="312" t="s">
        <v>4831</v>
      </c>
      <c r="G839" s="313">
        <v>44790</v>
      </c>
      <c r="H839" s="624"/>
      <c r="I839" s="625"/>
      <c r="J839" s="626"/>
      <c r="K839" s="627"/>
      <c r="L839" s="628"/>
      <c r="M839" s="629"/>
      <c r="N839" s="627"/>
      <c r="O839" s="628"/>
      <c r="P839" s="630"/>
      <c r="Q839" s="631"/>
      <c r="R839" s="715"/>
      <c r="S839" s="910"/>
      <c r="T839" s="632"/>
      <c r="U839" s="633"/>
      <c r="V839" s="634"/>
      <c r="W839" s="635"/>
      <c r="X839" s="636"/>
      <c r="Y839" s="637"/>
      <c r="Z839" s="987"/>
      <c r="AA839" s="919"/>
      <c r="AB839" s="908"/>
      <c r="AC839" s="314" t="s">
        <v>4832</v>
      </c>
      <c r="AD839" s="317"/>
      <c r="AE839" s="669"/>
      <c r="AF839" s="718"/>
      <c r="AG839" s="211"/>
      <c r="AH839" s="210"/>
    </row>
    <row r="840" spans="1:34" s="4" customFormat="1">
      <c r="A840" s="2"/>
      <c r="B840" s="310" t="s">
        <v>106</v>
      </c>
      <c r="C840" s="311" t="s">
        <v>33</v>
      </c>
      <c r="D840" s="687" t="s">
        <v>4833</v>
      </c>
      <c r="E840" s="688"/>
      <c r="F840" s="312" t="s">
        <v>4834</v>
      </c>
      <c r="G840" s="313">
        <v>44790</v>
      </c>
      <c r="H840" s="624"/>
      <c r="I840" s="625"/>
      <c r="J840" s="626"/>
      <c r="K840" s="627" t="s">
        <v>4835</v>
      </c>
      <c r="L840" s="628">
        <v>44858</v>
      </c>
      <c r="M840" s="629">
        <v>10000</v>
      </c>
      <c r="N840" s="627" t="s">
        <v>4836</v>
      </c>
      <c r="O840" s="628">
        <v>44949</v>
      </c>
      <c r="P840" s="630" t="s">
        <v>4837</v>
      </c>
      <c r="Q840" s="631">
        <v>44887</v>
      </c>
      <c r="R840" s="715">
        <v>44605</v>
      </c>
      <c r="S840" s="1068"/>
      <c r="T840" s="632">
        <v>21473.38</v>
      </c>
      <c r="U840" s="633" t="s">
        <v>4838</v>
      </c>
      <c r="V840" s="634">
        <v>44960</v>
      </c>
      <c r="W840" s="635" t="s">
        <v>96</v>
      </c>
      <c r="X840" s="636">
        <v>21473.38</v>
      </c>
      <c r="Y840" s="636">
        <v>21473.38</v>
      </c>
      <c r="Z840" s="987">
        <f>Y840/X840</f>
        <v>1</v>
      </c>
      <c r="AA840" s="919"/>
      <c r="AB840" s="1055">
        <v>0</v>
      </c>
      <c r="AC840" s="912" t="s">
        <v>4839</v>
      </c>
      <c r="AD840" s="913"/>
      <c r="AE840" s="669"/>
      <c r="AF840" s="718"/>
      <c r="AG840" s="211"/>
      <c r="AH840" s="210"/>
    </row>
    <row r="841" spans="1:34" s="4" customFormat="1">
      <c r="A841" s="2"/>
      <c r="B841" s="310" t="s">
        <v>115</v>
      </c>
      <c r="C841" s="311" t="s">
        <v>27</v>
      </c>
      <c r="D841" s="687" t="s">
        <v>4840</v>
      </c>
      <c r="E841" s="688"/>
      <c r="F841" s="312" t="s">
        <v>4841</v>
      </c>
      <c r="G841" s="313">
        <v>44791</v>
      </c>
      <c r="H841" s="624"/>
      <c r="I841" s="625"/>
      <c r="J841" s="626"/>
      <c r="K841" s="627"/>
      <c r="L841" s="628"/>
      <c r="M841" s="629"/>
      <c r="N841" s="627"/>
      <c r="O841" s="628"/>
      <c r="P841" s="630"/>
      <c r="Q841" s="631"/>
      <c r="R841" s="715"/>
      <c r="S841" s="910"/>
      <c r="T841" s="632"/>
      <c r="U841" s="633"/>
      <c r="V841" s="634"/>
      <c r="W841" s="635"/>
      <c r="X841" s="636"/>
      <c r="Y841" s="637"/>
      <c r="Z841" s="733"/>
      <c r="AA841" s="919"/>
      <c r="AB841" s="908"/>
      <c r="AC841" s="314" t="s">
        <v>4842</v>
      </c>
      <c r="AD841" s="317"/>
      <c r="AE841" s="669"/>
      <c r="AF841" s="718"/>
      <c r="AG841" s="211"/>
      <c r="AH841" s="210"/>
    </row>
    <row r="842" spans="1:34" s="4" customFormat="1">
      <c r="A842" s="2"/>
      <c r="B842" s="310" t="s">
        <v>115</v>
      </c>
      <c r="C842" s="311" t="s">
        <v>27</v>
      </c>
      <c r="D842" s="687" t="s">
        <v>4843</v>
      </c>
      <c r="E842" s="688"/>
      <c r="F842" s="312" t="s">
        <v>4844</v>
      </c>
      <c r="G842" s="313">
        <v>44791</v>
      </c>
      <c r="H842" s="624"/>
      <c r="I842" s="625"/>
      <c r="J842" s="626"/>
      <c r="K842" s="627"/>
      <c r="L842" s="628"/>
      <c r="M842" s="629"/>
      <c r="N842" s="627"/>
      <c r="O842" s="628"/>
      <c r="P842" s="630"/>
      <c r="Q842" s="631"/>
      <c r="R842" s="715"/>
      <c r="S842" s="910"/>
      <c r="T842" s="632"/>
      <c r="U842" s="633"/>
      <c r="V842" s="634"/>
      <c r="W842" s="635"/>
      <c r="X842" s="636"/>
      <c r="Y842" s="637"/>
      <c r="Z842" s="733"/>
      <c r="AA842" s="919"/>
      <c r="AB842" s="908"/>
      <c r="AC842" s="314" t="s">
        <v>4845</v>
      </c>
      <c r="AD842" s="317"/>
      <c r="AE842" s="669"/>
      <c r="AF842" s="718"/>
      <c r="AG842" s="211"/>
      <c r="AH842" s="210"/>
    </row>
    <row r="843" spans="1:34" s="4" customFormat="1">
      <c r="A843" s="2"/>
      <c r="B843" s="310" t="s">
        <v>115</v>
      </c>
      <c r="C843" s="311" t="s">
        <v>27</v>
      </c>
      <c r="D843" s="687" t="s">
        <v>4846</v>
      </c>
      <c r="E843" s="688"/>
      <c r="F843" s="312" t="s">
        <v>4847</v>
      </c>
      <c r="G843" s="313">
        <v>44792</v>
      </c>
      <c r="H843" s="624"/>
      <c r="I843" s="625"/>
      <c r="J843" s="626"/>
      <c r="K843" s="627"/>
      <c r="L843" s="628"/>
      <c r="M843" s="629"/>
      <c r="N843" s="627"/>
      <c r="O843" s="628"/>
      <c r="P843" s="630"/>
      <c r="Q843" s="631"/>
      <c r="R843" s="715"/>
      <c r="S843" s="910"/>
      <c r="T843" s="632"/>
      <c r="U843" s="633"/>
      <c r="V843" s="634"/>
      <c r="W843" s="635"/>
      <c r="X843" s="636"/>
      <c r="Y843" s="637"/>
      <c r="Z843" s="733"/>
      <c r="AA843" s="919"/>
      <c r="AB843" s="908"/>
      <c r="AC843" s="314" t="s">
        <v>4848</v>
      </c>
      <c r="AD843" s="317"/>
      <c r="AE843" s="669"/>
      <c r="AF843" s="718"/>
      <c r="AG843" s="211"/>
      <c r="AH843" s="210"/>
    </row>
    <row r="844" spans="1:34" s="4" customFormat="1">
      <c r="A844" s="2"/>
      <c r="B844" s="310" t="s">
        <v>115</v>
      </c>
      <c r="C844" s="311" t="s">
        <v>27</v>
      </c>
      <c r="D844" s="687" t="s">
        <v>4849</v>
      </c>
      <c r="E844" s="688"/>
      <c r="F844" s="312" t="s">
        <v>4850</v>
      </c>
      <c r="G844" s="313">
        <v>44795</v>
      </c>
      <c r="H844" s="624"/>
      <c r="I844" s="625"/>
      <c r="J844" s="626"/>
      <c r="K844" s="627"/>
      <c r="L844" s="628"/>
      <c r="M844" s="629"/>
      <c r="N844" s="627"/>
      <c r="O844" s="628"/>
      <c r="P844" s="630"/>
      <c r="Q844" s="631"/>
      <c r="R844" s="715"/>
      <c r="S844" s="910"/>
      <c r="T844" s="632"/>
      <c r="U844" s="633"/>
      <c r="V844" s="634"/>
      <c r="W844" s="635"/>
      <c r="X844" s="636"/>
      <c r="Y844" s="637"/>
      <c r="Z844" s="733"/>
      <c r="AA844" s="919"/>
      <c r="AB844" s="908"/>
      <c r="AC844" s="314" t="s">
        <v>4851</v>
      </c>
      <c r="AD844" s="317"/>
      <c r="AE844" s="669"/>
      <c r="AF844" s="718"/>
      <c r="AG844" s="211"/>
      <c r="AH844" s="210"/>
    </row>
    <row r="845" spans="1:34" s="4" customFormat="1">
      <c r="A845" s="2"/>
      <c r="B845" s="310" t="s">
        <v>115</v>
      </c>
      <c r="C845" s="311" t="s">
        <v>27</v>
      </c>
      <c r="D845" s="687" t="s">
        <v>4852</v>
      </c>
      <c r="E845" s="688"/>
      <c r="F845" s="312" t="s">
        <v>4853</v>
      </c>
      <c r="G845" s="313">
        <v>44796</v>
      </c>
      <c r="H845" s="624"/>
      <c r="I845" s="625"/>
      <c r="J845" s="626"/>
      <c r="K845" s="627"/>
      <c r="L845" s="628"/>
      <c r="M845" s="629"/>
      <c r="N845" s="627"/>
      <c r="O845" s="628"/>
      <c r="P845" s="630"/>
      <c r="Q845" s="631"/>
      <c r="R845" s="715"/>
      <c r="S845" s="910"/>
      <c r="T845" s="632"/>
      <c r="U845" s="633"/>
      <c r="V845" s="634"/>
      <c r="W845" s="635"/>
      <c r="X845" s="636"/>
      <c r="Y845" s="637"/>
      <c r="Z845" s="733"/>
      <c r="AA845" s="919"/>
      <c r="AB845" s="908"/>
      <c r="AC845" s="314" t="s">
        <v>4854</v>
      </c>
      <c r="AD845" s="317"/>
      <c r="AE845" s="669"/>
      <c r="AF845" s="718"/>
      <c r="AG845" s="211"/>
      <c r="AH845" s="210"/>
    </row>
    <row r="846" spans="1:34" s="4" customFormat="1">
      <c r="A846" s="2"/>
      <c r="B846" s="310" t="s">
        <v>106</v>
      </c>
      <c r="C846" s="311" t="s">
        <v>33</v>
      </c>
      <c r="D846" s="687" t="s">
        <v>4855</v>
      </c>
      <c r="E846" s="688"/>
      <c r="F846" s="312" t="s">
        <v>268</v>
      </c>
      <c r="G846" s="313"/>
      <c r="H846" s="624"/>
      <c r="I846" s="625"/>
      <c r="J846" s="626"/>
      <c r="K846" s="627" t="s">
        <v>4856</v>
      </c>
      <c r="L846" s="628">
        <v>44785</v>
      </c>
      <c r="M846" s="629">
        <v>26000</v>
      </c>
      <c r="N846" s="627" t="s">
        <v>4857</v>
      </c>
      <c r="O846" s="628">
        <v>44788</v>
      </c>
      <c r="P846" s="630" t="s">
        <v>4858</v>
      </c>
      <c r="Q846" s="631">
        <v>44804</v>
      </c>
      <c r="R846" s="715">
        <v>44819</v>
      </c>
      <c r="S846" s="1068"/>
      <c r="T846" s="632">
        <v>40436.49</v>
      </c>
      <c r="U846" s="633" t="s">
        <v>4859</v>
      </c>
      <c r="V846" s="634">
        <v>44817</v>
      </c>
      <c r="W846" s="635" t="s">
        <v>2302</v>
      </c>
      <c r="X846" s="636">
        <v>40436.49</v>
      </c>
      <c r="Y846" s="636">
        <v>40436.49</v>
      </c>
      <c r="Z846" s="987">
        <f>Y846/X846</f>
        <v>1</v>
      </c>
      <c r="AA846" s="919"/>
      <c r="AB846" s="1055">
        <v>0</v>
      </c>
      <c r="AC846" s="912"/>
      <c r="AD846" s="913"/>
      <c r="AE846" s="669"/>
      <c r="AF846" s="718"/>
      <c r="AG846" s="211"/>
      <c r="AH846" s="210"/>
    </row>
    <row r="847" spans="1:34" s="4" customFormat="1">
      <c r="A847" s="2"/>
      <c r="B847" s="310" t="s">
        <v>119</v>
      </c>
      <c r="C847" s="311" t="s">
        <v>27</v>
      </c>
      <c r="D847" s="687" t="s">
        <v>4860</v>
      </c>
      <c r="E847" s="688"/>
      <c r="F847" s="312" t="s">
        <v>4861</v>
      </c>
      <c r="G847" s="313">
        <v>44662</v>
      </c>
      <c r="H847" s="624"/>
      <c r="I847" s="625"/>
      <c r="J847" s="626"/>
      <c r="K847" s="627"/>
      <c r="L847" s="628"/>
      <c r="M847" s="629"/>
      <c r="N847" s="627"/>
      <c r="O847" s="628"/>
      <c r="P847" s="630"/>
      <c r="Q847" s="631"/>
      <c r="R847" s="715"/>
      <c r="S847" s="910"/>
      <c r="T847" s="632"/>
      <c r="U847" s="633"/>
      <c r="V847" s="634"/>
      <c r="W847" s="635"/>
      <c r="X847" s="636"/>
      <c r="Y847" s="637"/>
      <c r="Z847" s="733"/>
      <c r="AA847" s="919"/>
      <c r="AB847" s="908"/>
      <c r="AC847" s="314"/>
      <c r="AD847" s="317"/>
      <c r="AE847" s="669"/>
      <c r="AF847" s="718"/>
      <c r="AG847" s="211"/>
      <c r="AH847" s="210"/>
    </row>
    <row r="848" spans="1:34" s="4" customFormat="1">
      <c r="A848" s="2"/>
      <c r="B848" s="310" t="s">
        <v>119</v>
      </c>
      <c r="C848" s="311" t="s">
        <v>27</v>
      </c>
      <c r="D848" s="687" t="s">
        <v>4862</v>
      </c>
      <c r="E848" s="688"/>
      <c r="F848" s="312" t="s">
        <v>4863</v>
      </c>
      <c r="G848" s="313">
        <v>44673</v>
      </c>
      <c r="H848" s="624"/>
      <c r="I848" s="625"/>
      <c r="J848" s="626"/>
      <c r="K848" s="627"/>
      <c r="L848" s="628"/>
      <c r="M848" s="629"/>
      <c r="N848" s="627"/>
      <c r="O848" s="628"/>
      <c r="P848" s="630"/>
      <c r="Q848" s="631"/>
      <c r="R848" s="715"/>
      <c r="S848" s="910"/>
      <c r="T848" s="632"/>
      <c r="U848" s="633"/>
      <c r="V848" s="634"/>
      <c r="W848" s="635"/>
      <c r="X848" s="636"/>
      <c r="Y848" s="637"/>
      <c r="Z848" s="733"/>
      <c r="AA848" s="919"/>
      <c r="AB848" s="908"/>
      <c r="AC848" s="314"/>
      <c r="AD848" s="317"/>
      <c r="AE848" s="669"/>
      <c r="AF848" s="718"/>
      <c r="AG848" s="211"/>
      <c r="AH848" s="210"/>
    </row>
    <row r="849" spans="1:34" s="4" customFormat="1">
      <c r="A849" s="2"/>
      <c r="B849" s="310" t="s">
        <v>119</v>
      </c>
      <c r="C849" s="311" t="s">
        <v>27</v>
      </c>
      <c r="D849" s="687" t="s">
        <v>4864</v>
      </c>
      <c r="E849" s="688"/>
      <c r="F849" s="312" t="s">
        <v>4865</v>
      </c>
      <c r="G849" s="313">
        <v>44683</v>
      </c>
      <c r="H849" s="624"/>
      <c r="I849" s="625"/>
      <c r="J849" s="626"/>
      <c r="K849" s="627"/>
      <c r="L849" s="628"/>
      <c r="M849" s="629"/>
      <c r="N849" s="627"/>
      <c r="O849" s="628"/>
      <c r="P849" s="630"/>
      <c r="Q849" s="631"/>
      <c r="R849" s="715"/>
      <c r="S849" s="910"/>
      <c r="T849" s="632"/>
      <c r="U849" s="633"/>
      <c r="V849" s="634"/>
      <c r="W849" s="635"/>
      <c r="X849" s="636"/>
      <c r="Y849" s="637"/>
      <c r="Z849" s="733"/>
      <c r="AA849" s="919"/>
      <c r="AB849" s="908"/>
      <c r="AC849" s="314"/>
      <c r="AD849" s="317"/>
      <c r="AE849" s="669"/>
      <c r="AF849" s="718"/>
      <c r="AG849" s="211"/>
      <c r="AH849" s="210"/>
    </row>
    <row r="850" spans="1:34" s="4" customFormat="1">
      <c r="A850" s="2"/>
      <c r="B850" s="310" t="s">
        <v>119</v>
      </c>
      <c r="C850" s="311" t="s">
        <v>27</v>
      </c>
      <c r="D850" s="687" t="s">
        <v>3412</v>
      </c>
      <c r="E850" s="688"/>
      <c r="F850" s="312" t="s">
        <v>4866</v>
      </c>
      <c r="G850" s="313">
        <v>44684</v>
      </c>
      <c r="H850" s="624"/>
      <c r="I850" s="625"/>
      <c r="J850" s="626"/>
      <c r="K850" s="627"/>
      <c r="L850" s="628"/>
      <c r="M850" s="629"/>
      <c r="N850" s="627"/>
      <c r="O850" s="628"/>
      <c r="P850" s="630"/>
      <c r="Q850" s="631"/>
      <c r="R850" s="715"/>
      <c r="S850" s="910"/>
      <c r="T850" s="632"/>
      <c r="U850" s="633"/>
      <c r="V850" s="634"/>
      <c r="W850" s="635"/>
      <c r="X850" s="636"/>
      <c r="Y850" s="637"/>
      <c r="Z850" s="733"/>
      <c r="AA850" s="919"/>
      <c r="AB850" s="908"/>
      <c r="AC850" s="314"/>
      <c r="AD850" s="317"/>
      <c r="AE850" s="669"/>
      <c r="AF850" s="718"/>
      <c r="AG850" s="211"/>
      <c r="AH850" s="210"/>
    </row>
    <row r="851" spans="1:34" s="4" customFormat="1">
      <c r="A851" s="2"/>
      <c r="B851" s="310" t="s">
        <v>119</v>
      </c>
      <c r="C851" s="311" t="s">
        <v>27</v>
      </c>
      <c r="D851" s="687" t="s">
        <v>4867</v>
      </c>
      <c r="E851" s="688"/>
      <c r="F851" s="312" t="s">
        <v>4868</v>
      </c>
      <c r="G851" s="313">
        <v>44693</v>
      </c>
      <c r="H851" s="624"/>
      <c r="I851" s="625"/>
      <c r="J851" s="626"/>
      <c r="K851" s="627"/>
      <c r="L851" s="628"/>
      <c r="M851" s="629"/>
      <c r="N851" s="627"/>
      <c r="O851" s="628"/>
      <c r="P851" s="630"/>
      <c r="Q851" s="631"/>
      <c r="R851" s="715"/>
      <c r="S851" s="910"/>
      <c r="T851" s="632"/>
      <c r="U851" s="633"/>
      <c r="V851" s="634"/>
      <c r="W851" s="635"/>
      <c r="X851" s="636"/>
      <c r="Y851" s="637"/>
      <c r="Z851" s="733"/>
      <c r="AA851" s="919"/>
      <c r="AB851" s="908"/>
      <c r="AC851" s="314"/>
      <c r="AD851" s="317"/>
      <c r="AE851" s="669"/>
      <c r="AF851" s="718"/>
      <c r="AG851" s="211"/>
      <c r="AH851" s="210"/>
    </row>
    <row r="852" spans="1:34" s="4" customFormat="1">
      <c r="A852" s="2"/>
      <c r="B852" s="310" t="s">
        <v>119</v>
      </c>
      <c r="C852" s="311" t="s">
        <v>27</v>
      </c>
      <c r="D852" s="687" t="s">
        <v>4869</v>
      </c>
      <c r="E852" s="688"/>
      <c r="F852" s="312" t="s">
        <v>4870</v>
      </c>
      <c r="G852" s="313">
        <v>44694</v>
      </c>
      <c r="H852" s="624"/>
      <c r="I852" s="625"/>
      <c r="J852" s="626"/>
      <c r="K852" s="627"/>
      <c r="L852" s="628"/>
      <c r="M852" s="629"/>
      <c r="N852" s="627"/>
      <c r="O852" s="628"/>
      <c r="P852" s="630"/>
      <c r="Q852" s="631"/>
      <c r="R852" s="715"/>
      <c r="S852" s="910"/>
      <c r="T852" s="632"/>
      <c r="U852" s="633"/>
      <c r="V852" s="634"/>
      <c r="W852" s="635"/>
      <c r="X852" s="636"/>
      <c r="Y852" s="637"/>
      <c r="Z852" s="733"/>
      <c r="AA852" s="919"/>
      <c r="AB852" s="908"/>
      <c r="AC852" s="314"/>
      <c r="AD852" s="317"/>
      <c r="AE852" s="669"/>
      <c r="AF852" s="718"/>
      <c r="AG852" s="211"/>
      <c r="AH852" s="210"/>
    </row>
    <row r="853" spans="1:34" s="4" customFormat="1">
      <c r="A853" s="2"/>
      <c r="B853" s="310" t="s">
        <v>119</v>
      </c>
      <c r="C853" s="311" t="s">
        <v>27</v>
      </c>
      <c r="D853" s="687" t="s">
        <v>4871</v>
      </c>
      <c r="E853" s="688"/>
      <c r="F853" s="312" t="s">
        <v>4872</v>
      </c>
      <c r="G853" s="313">
        <v>44698</v>
      </c>
      <c r="H853" s="624"/>
      <c r="I853" s="625"/>
      <c r="J853" s="626"/>
      <c r="K853" s="627"/>
      <c r="L853" s="628"/>
      <c r="M853" s="629"/>
      <c r="N853" s="627"/>
      <c r="O853" s="628"/>
      <c r="P853" s="630"/>
      <c r="Q853" s="631"/>
      <c r="R853" s="715"/>
      <c r="S853" s="910"/>
      <c r="T853" s="632"/>
      <c r="U853" s="633"/>
      <c r="V853" s="634"/>
      <c r="W853" s="635"/>
      <c r="X853" s="636"/>
      <c r="Y853" s="637"/>
      <c r="Z853" s="733"/>
      <c r="AA853" s="919"/>
      <c r="AB853" s="908"/>
      <c r="AC853" s="314"/>
      <c r="AD853" s="317"/>
      <c r="AE853" s="669"/>
      <c r="AF853" s="718"/>
      <c r="AG853" s="211"/>
      <c r="AH853" s="210"/>
    </row>
    <row r="854" spans="1:34" s="4" customFormat="1">
      <c r="A854" s="2"/>
      <c r="B854" s="310" t="s">
        <v>119</v>
      </c>
      <c r="C854" s="311" t="s">
        <v>27</v>
      </c>
      <c r="D854" s="1220" t="s">
        <v>4873</v>
      </c>
      <c r="E854" s="1221"/>
      <c r="F854" s="312" t="s">
        <v>4874</v>
      </c>
      <c r="G854" s="313">
        <v>44712</v>
      </c>
      <c r="H854" s="624"/>
      <c r="I854" s="625"/>
      <c r="J854" s="626"/>
      <c r="K854" s="627"/>
      <c r="L854" s="628"/>
      <c r="M854" s="629"/>
      <c r="N854" s="627"/>
      <c r="O854" s="628"/>
      <c r="P854" s="630"/>
      <c r="Q854" s="631"/>
      <c r="R854" s="715"/>
      <c r="S854" s="910"/>
      <c r="T854" s="632"/>
      <c r="U854" s="633"/>
      <c r="V854" s="634"/>
      <c r="W854" s="635"/>
      <c r="X854" s="636"/>
      <c r="Y854" s="637"/>
      <c r="Z854" s="733"/>
      <c r="AA854" s="919"/>
      <c r="AB854" s="908"/>
      <c r="AC854" s="314"/>
      <c r="AD854" s="317"/>
      <c r="AE854" s="669"/>
      <c r="AF854" s="718"/>
      <c r="AG854" s="211"/>
      <c r="AH854" s="210"/>
    </row>
    <row r="855" spans="1:34" s="4" customFormat="1">
      <c r="A855" s="2"/>
      <c r="B855" s="310" t="s">
        <v>119</v>
      </c>
      <c r="C855" s="311" t="s">
        <v>27</v>
      </c>
      <c r="D855" s="1220" t="s">
        <v>4875</v>
      </c>
      <c r="E855" s="1221"/>
      <c r="F855" s="312" t="s">
        <v>4876</v>
      </c>
      <c r="G855" s="313">
        <v>44728</v>
      </c>
      <c r="H855" s="624"/>
      <c r="I855" s="625"/>
      <c r="J855" s="626"/>
      <c r="K855" s="627"/>
      <c r="L855" s="628"/>
      <c r="M855" s="629"/>
      <c r="N855" s="627"/>
      <c r="O855" s="628"/>
      <c r="P855" s="630"/>
      <c r="Q855" s="631"/>
      <c r="R855" s="715"/>
      <c r="S855" s="910"/>
      <c r="T855" s="632"/>
      <c r="U855" s="633"/>
      <c r="V855" s="634"/>
      <c r="W855" s="635"/>
      <c r="X855" s="636"/>
      <c r="Y855" s="637"/>
      <c r="Z855" s="733"/>
      <c r="AA855" s="919"/>
      <c r="AB855" s="908"/>
      <c r="AC855" s="314"/>
      <c r="AD855" s="317"/>
      <c r="AE855" s="669"/>
      <c r="AF855" s="718"/>
      <c r="AG855" s="211"/>
      <c r="AH855" s="210"/>
    </row>
    <row r="856" spans="1:34" s="4" customFormat="1">
      <c r="A856" s="2"/>
      <c r="B856" s="310" t="s">
        <v>119</v>
      </c>
      <c r="C856" s="311" t="s">
        <v>27</v>
      </c>
      <c r="D856" s="1220" t="s">
        <v>4877</v>
      </c>
      <c r="E856" s="1221"/>
      <c r="F856" s="312" t="s">
        <v>4878</v>
      </c>
      <c r="G856" s="313">
        <v>44733</v>
      </c>
      <c r="H856" s="624"/>
      <c r="I856" s="625"/>
      <c r="J856" s="626"/>
      <c r="K856" s="627"/>
      <c r="L856" s="628"/>
      <c r="M856" s="629"/>
      <c r="N856" s="627"/>
      <c r="O856" s="628"/>
      <c r="P856" s="630"/>
      <c r="Q856" s="631"/>
      <c r="R856" s="715"/>
      <c r="S856" s="910"/>
      <c r="T856" s="632"/>
      <c r="U856" s="633"/>
      <c r="V856" s="634"/>
      <c r="W856" s="635"/>
      <c r="X856" s="636"/>
      <c r="Y856" s="637"/>
      <c r="Z856" s="733"/>
      <c r="AA856" s="919"/>
      <c r="AB856" s="908"/>
      <c r="AC856" s="314"/>
      <c r="AD856" s="317"/>
      <c r="AE856" s="669"/>
      <c r="AF856" s="718"/>
      <c r="AG856" s="211"/>
      <c r="AH856" s="210"/>
    </row>
    <row r="857" spans="1:34" s="4" customFormat="1">
      <c r="A857" s="2"/>
      <c r="B857" s="310" t="s">
        <v>119</v>
      </c>
      <c r="C857" s="311" t="s">
        <v>27</v>
      </c>
      <c r="D857" s="1220" t="s">
        <v>4879</v>
      </c>
      <c r="E857" s="1221"/>
      <c r="F857" s="312" t="s">
        <v>4880</v>
      </c>
      <c r="G857" s="313">
        <v>44734</v>
      </c>
      <c r="H857" s="624"/>
      <c r="I857" s="625"/>
      <c r="J857" s="626"/>
      <c r="K857" s="627"/>
      <c r="L857" s="628"/>
      <c r="M857" s="629"/>
      <c r="N857" s="627"/>
      <c r="O857" s="628"/>
      <c r="P857" s="630"/>
      <c r="Q857" s="631"/>
      <c r="R857" s="715"/>
      <c r="S857" s="910"/>
      <c r="T857" s="632"/>
      <c r="U857" s="633"/>
      <c r="V857" s="634"/>
      <c r="W857" s="635"/>
      <c r="X857" s="636"/>
      <c r="Y857" s="637"/>
      <c r="Z857" s="733"/>
      <c r="AA857" s="919"/>
      <c r="AB857" s="908"/>
      <c r="AC857" s="314"/>
      <c r="AD857" s="317"/>
      <c r="AE857" s="669"/>
      <c r="AF857" s="718"/>
      <c r="AG857" s="211"/>
      <c r="AH857" s="210"/>
    </row>
    <row r="858" spans="1:34" s="4" customFormat="1">
      <c r="A858" s="2"/>
      <c r="B858" s="310" t="s">
        <v>106</v>
      </c>
      <c r="C858" s="311" t="s">
        <v>33</v>
      </c>
      <c r="D858" s="687" t="s">
        <v>4881</v>
      </c>
      <c r="E858" s="688"/>
      <c r="F858" s="312" t="s">
        <v>4882</v>
      </c>
      <c r="G858" s="313">
        <v>44755</v>
      </c>
      <c r="H858" s="624"/>
      <c r="I858" s="625"/>
      <c r="J858" s="626"/>
      <c r="K858" s="627"/>
      <c r="L858" s="628"/>
      <c r="M858" s="629"/>
      <c r="N858" s="627" t="s">
        <v>4883</v>
      </c>
      <c r="O858" s="628"/>
      <c r="P858" s="630"/>
      <c r="Q858" s="631"/>
      <c r="R858" s="715"/>
      <c r="S858" s="910"/>
      <c r="T858" s="632"/>
      <c r="U858" s="633"/>
      <c r="V858" s="634"/>
      <c r="W858" s="635"/>
      <c r="X858" s="636"/>
      <c r="Y858" s="637"/>
      <c r="Z858" s="733"/>
      <c r="AA858" s="919"/>
      <c r="AB858" s="908"/>
      <c r="AC858" s="314"/>
      <c r="AD858" s="317"/>
      <c r="AE858" s="669"/>
      <c r="AF858" s="718"/>
      <c r="AG858" s="211"/>
      <c r="AH858" s="210"/>
    </row>
    <row r="859" spans="1:34" s="4" customFormat="1">
      <c r="A859" s="2"/>
      <c r="B859" s="310" t="s">
        <v>119</v>
      </c>
      <c r="C859" s="311" t="s">
        <v>27</v>
      </c>
      <c r="D859" s="687" t="s">
        <v>4884</v>
      </c>
      <c r="E859" s="688"/>
      <c r="F859" s="312" t="s">
        <v>4885</v>
      </c>
      <c r="G859" s="313">
        <v>44768</v>
      </c>
      <c r="H859" s="624"/>
      <c r="I859" s="625"/>
      <c r="J859" s="626"/>
      <c r="K859" s="627"/>
      <c r="L859" s="628"/>
      <c r="M859" s="629"/>
      <c r="N859" s="627"/>
      <c r="O859" s="628"/>
      <c r="P859" s="630"/>
      <c r="Q859" s="631"/>
      <c r="R859" s="715"/>
      <c r="S859" s="910"/>
      <c r="T859" s="632"/>
      <c r="U859" s="633"/>
      <c r="V859" s="634"/>
      <c r="W859" s="635"/>
      <c r="X859" s="636"/>
      <c r="Y859" s="637"/>
      <c r="Z859" s="733"/>
      <c r="AA859" s="919"/>
      <c r="AB859" s="908"/>
      <c r="AC859" s="314"/>
      <c r="AD859" s="317"/>
      <c r="AE859" s="669"/>
      <c r="AF859" s="718"/>
      <c r="AG859" s="211"/>
      <c r="AH859" s="210"/>
    </row>
    <row r="860" spans="1:34" s="4" customFormat="1">
      <c r="A860" s="2"/>
      <c r="B860" s="310" t="s">
        <v>119</v>
      </c>
      <c r="C860" s="311" t="s">
        <v>27</v>
      </c>
      <c r="D860" s="687" t="s">
        <v>4886</v>
      </c>
      <c r="E860" s="688"/>
      <c r="F860" s="312" t="s">
        <v>4887</v>
      </c>
      <c r="G860" s="313">
        <v>44790</v>
      </c>
      <c r="H860" s="624"/>
      <c r="I860" s="625"/>
      <c r="J860" s="626"/>
      <c r="K860" s="627"/>
      <c r="L860" s="628"/>
      <c r="M860" s="629"/>
      <c r="N860" s="627"/>
      <c r="O860" s="628"/>
      <c r="P860" s="630"/>
      <c r="Q860" s="631"/>
      <c r="R860" s="715"/>
      <c r="S860" s="910"/>
      <c r="T860" s="632"/>
      <c r="U860" s="633"/>
      <c r="V860" s="634"/>
      <c r="W860" s="635"/>
      <c r="X860" s="636"/>
      <c r="Y860" s="637"/>
      <c r="Z860" s="733"/>
      <c r="AA860" s="919"/>
      <c r="AB860" s="908"/>
      <c r="AC860" s="314"/>
      <c r="AD860" s="317"/>
      <c r="AE860" s="669"/>
      <c r="AF860" s="718"/>
      <c r="AG860" s="211"/>
      <c r="AH860" s="210"/>
    </row>
    <row r="861" spans="1:34" s="4" customFormat="1">
      <c r="A861" s="2"/>
      <c r="B861" s="310" t="s">
        <v>106</v>
      </c>
      <c r="C861" s="311" t="s">
        <v>33</v>
      </c>
      <c r="D861" s="687" t="s">
        <v>4888</v>
      </c>
      <c r="E861" s="688"/>
      <c r="F861" s="312"/>
      <c r="G861" s="313"/>
      <c r="H861" s="624"/>
      <c r="I861" s="625"/>
      <c r="J861" s="626"/>
      <c r="K861" s="627" t="s">
        <v>4889</v>
      </c>
      <c r="L861" s="628"/>
      <c r="M861" s="629"/>
      <c r="N861" s="627"/>
      <c r="O861" s="628"/>
      <c r="P861" s="630"/>
      <c r="Q861" s="631"/>
      <c r="R861" s="715"/>
      <c r="S861" s="910"/>
      <c r="T861" s="632"/>
      <c r="U861" s="633" t="s">
        <v>4890</v>
      </c>
      <c r="V861" s="634">
        <v>44799</v>
      </c>
      <c r="W861" s="635" t="s">
        <v>109</v>
      </c>
      <c r="X861" s="636"/>
      <c r="Y861" s="637"/>
      <c r="Z861" s="733" t="s">
        <v>268</v>
      </c>
      <c r="AA861" s="919"/>
      <c r="AB861" s="1055">
        <v>0</v>
      </c>
      <c r="AC861" s="912" t="s">
        <v>4891</v>
      </c>
      <c r="AD861" s="913"/>
      <c r="AE861" s="669"/>
      <c r="AF861" s="718"/>
      <c r="AG861" s="211"/>
      <c r="AH861" s="210"/>
    </row>
    <row r="862" spans="1:34" s="4" customFormat="1">
      <c r="A862" s="2"/>
      <c r="B862" s="310" t="s">
        <v>115</v>
      </c>
      <c r="C862" s="311" t="s">
        <v>27</v>
      </c>
      <c r="D862" s="687"/>
      <c r="E862" s="688"/>
      <c r="F862" s="312" t="s">
        <v>4892</v>
      </c>
      <c r="G862" s="313">
        <v>44797</v>
      </c>
      <c r="H862" s="624"/>
      <c r="I862" s="625"/>
      <c r="J862" s="626"/>
      <c r="K862" s="627"/>
      <c r="L862" s="628"/>
      <c r="M862" s="629"/>
      <c r="N862" s="627"/>
      <c r="O862" s="628"/>
      <c r="P862" s="630"/>
      <c r="Q862" s="631"/>
      <c r="R862" s="715"/>
      <c r="S862" s="910"/>
      <c r="T862" s="632"/>
      <c r="U862" s="633"/>
      <c r="V862" s="634"/>
      <c r="W862" s="635"/>
      <c r="X862" s="636"/>
      <c r="Y862" s="637"/>
      <c r="Z862" s="733"/>
      <c r="AA862" s="919"/>
      <c r="AB862" s="908"/>
      <c r="AC862" s="314" t="s">
        <v>4893</v>
      </c>
      <c r="AD862" s="317"/>
      <c r="AE862" s="669"/>
      <c r="AF862" s="718"/>
      <c r="AG862" s="211"/>
      <c r="AH862" s="210"/>
    </row>
    <row r="863" spans="1:34" s="4" customFormat="1">
      <c r="A863" s="2"/>
      <c r="B863" s="310" t="s">
        <v>115</v>
      </c>
      <c r="C863" s="311" t="s">
        <v>27</v>
      </c>
      <c r="D863" s="687"/>
      <c r="E863" s="688"/>
      <c r="F863" s="312" t="s">
        <v>4894</v>
      </c>
      <c r="G863" s="313">
        <v>44797</v>
      </c>
      <c r="H863" s="624"/>
      <c r="I863" s="625"/>
      <c r="J863" s="626"/>
      <c r="K863" s="627"/>
      <c r="L863" s="628"/>
      <c r="M863" s="629"/>
      <c r="N863" s="627"/>
      <c r="O863" s="628"/>
      <c r="P863" s="630"/>
      <c r="Q863" s="631"/>
      <c r="R863" s="715"/>
      <c r="S863" s="910"/>
      <c r="T863" s="632"/>
      <c r="U863" s="633"/>
      <c r="V863" s="634"/>
      <c r="W863" s="635"/>
      <c r="X863" s="636"/>
      <c r="Y863" s="637"/>
      <c r="Z863" s="733"/>
      <c r="AA863" s="919"/>
      <c r="AB863" s="908"/>
      <c r="AC863" s="314" t="s">
        <v>4895</v>
      </c>
      <c r="AD863" s="317"/>
      <c r="AE863" s="669"/>
      <c r="AF863" s="718"/>
      <c r="AG863" s="211"/>
      <c r="AH863" s="210"/>
    </row>
    <row r="864" spans="1:34" s="4" customFormat="1">
      <c r="A864" s="2"/>
      <c r="B864" s="310" t="s">
        <v>106</v>
      </c>
      <c r="C864" s="311" t="s">
        <v>33</v>
      </c>
      <c r="D864" s="687" t="s">
        <v>4896</v>
      </c>
      <c r="E864" s="688"/>
      <c r="F864" s="312" t="s">
        <v>4897</v>
      </c>
      <c r="G864" s="313">
        <v>44799</v>
      </c>
      <c r="H864" s="624"/>
      <c r="I864" s="625"/>
      <c r="J864" s="626"/>
      <c r="K864" s="627" t="s">
        <v>4898</v>
      </c>
      <c r="L864" s="628">
        <v>44812</v>
      </c>
      <c r="M864" s="629"/>
      <c r="N864" s="627" t="s">
        <v>4700</v>
      </c>
      <c r="O864" s="628">
        <v>44813</v>
      </c>
      <c r="P864" s="630" t="s">
        <v>4701</v>
      </c>
      <c r="Q864" s="631">
        <v>44818</v>
      </c>
      <c r="R864" s="715">
        <v>44828</v>
      </c>
      <c r="S864" s="910"/>
      <c r="T864" s="632"/>
      <c r="U864" s="633" t="s">
        <v>4899</v>
      </c>
      <c r="V864" s="634">
        <v>44841</v>
      </c>
      <c r="W864" s="635" t="s">
        <v>2302</v>
      </c>
      <c r="X864" s="636"/>
      <c r="Y864" s="637"/>
      <c r="Z864" s="733" t="s">
        <v>268</v>
      </c>
      <c r="AA864" s="919"/>
      <c r="AB864" s="1055">
        <v>0</v>
      </c>
      <c r="AC864" s="912" t="s">
        <v>4900</v>
      </c>
      <c r="AD864" s="913"/>
      <c r="AE864" s="669"/>
      <c r="AF864" s="718"/>
      <c r="AG864" s="211"/>
      <c r="AH864" s="210"/>
    </row>
    <row r="865" spans="1:34" s="4" customFormat="1">
      <c r="A865" s="2"/>
      <c r="B865" s="310" t="s">
        <v>106</v>
      </c>
      <c r="C865" s="311" t="s">
        <v>33</v>
      </c>
      <c r="D865" s="687" t="s">
        <v>4901</v>
      </c>
      <c r="E865" s="688"/>
      <c r="F865" s="312" t="s">
        <v>4902</v>
      </c>
      <c r="G865" s="313">
        <v>44802</v>
      </c>
      <c r="H865" s="624"/>
      <c r="I865" s="625"/>
      <c r="J865" s="626"/>
      <c r="K865" s="627" t="s">
        <v>4903</v>
      </c>
      <c r="L865" s="628">
        <v>44894</v>
      </c>
      <c r="M865" s="629">
        <v>50000</v>
      </c>
      <c r="N865" s="627" t="s">
        <v>4904</v>
      </c>
      <c r="O865" s="628">
        <v>44837</v>
      </c>
      <c r="P865" s="630" t="s">
        <v>4905</v>
      </c>
      <c r="Q865" s="631">
        <v>44881</v>
      </c>
      <c r="R865" s="715">
        <v>44896</v>
      </c>
      <c r="S865" s="1068"/>
      <c r="T865" s="632">
        <v>28619.49</v>
      </c>
      <c r="U865" s="633" t="s">
        <v>4906</v>
      </c>
      <c r="V865" s="634">
        <v>44917</v>
      </c>
      <c r="W865" s="635" t="s">
        <v>2302</v>
      </c>
      <c r="X865" s="636">
        <v>28619.49</v>
      </c>
      <c r="Y865" s="636">
        <v>28619.49</v>
      </c>
      <c r="Z865" s="987">
        <f>Y865/X865</f>
        <v>1</v>
      </c>
      <c r="AA865" s="919"/>
      <c r="AB865" s="1055">
        <v>0</v>
      </c>
      <c r="AC865" s="912" t="s">
        <v>4907</v>
      </c>
      <c r="AD865" s="913"/>
      <c r="AE865" s="669"/>
      <c r="AF865" s="718"/>
      <c r="AG865" s="211"/>
      <c r="AH865" s="210"/>
    </row>
    <row r="866" spans="1:34" s="4" customFormat="1">
      <c r="A866" s="2"/>
      <c r="B866" s="310" t="s">
        <v>115</v>
      </c>
      <c r="C866" s="311" t="s">
        <v>27</v>
      </c>
      <c r="D866" s="687" t="s">
        <v>4908</v>
      </c>
      <c r="E866" s="688"/>
      <c r="F866" s="312" t="s">
        <v>4909</v>
      </c>
      <c r="G866" s="313">
        <v>44802</v>
      </c>
      <c r="H866" s="624"/>
      <c r="I866" s="625"/>
      <c r="J866" s="626"/>
      <c r="K866" s="627"/>
      <c r="L866" s="628"/>
      <c r="M866" s="629"/>
      <c r="N866" s="627"/>
      <c r="O866" s="628"/>
      <c r="P866" s="630"/>
      <c r="Q866" s="631"/>
      <c r="R866" s="715"/>
      <c r="S866" s="910"/>
      <c r="T866" s="632"/>
      <c r="U866" s="633"/>
      <c r="V866" s="634"/>
      <c r="W866" s="635"/>
      <c r="X866" s="636"/>
      <c r="Y866" s="636"/>
      <c r="Z866" s="987"/>
      <c r="AA866" s="919"/>
      <c r="AB866" s="908"/>
      <c r="AC866" s="314" t="s">
        <v>4910</v>
      </c>
      <c r="AD866" s="317"/>
      <c r="AE866" s="669"/>
      <c r="AF866" s="718"/>
      <c r="AG866" s="211"/>
      <c r="AH866" s="210"/>
    </row>
    <row r="867" spans="1:34" s="4" customFormat="1">
      <c r="A867" s="2"/>
      <c r="B867" s="310" t="s">
        <v>115</v>
      </c>
      <c r="C867" s="311" t="s">
        <v>27</v>
      </c>
      <c r="D867" s="687" t="s">
        <v>4911</v>
      </c>
      <c r="E867" s="688"/>
      <c r="F867" s="312" t="s">
        <v>4912</v>
      </c>
      <c r="G867" s="313">
        <v>44805</v>
      </c>
      <c r="H867" s="624"/>
      <c r="I867" s="625"/>
      <c r="J867" s="626"/>
      <c r="K867" s="627"/>
      <c r="L867" s="628"/>
      <c r="M867" s="629"/>
      <c r="N867" s="627"/>
      <c r="O867" s="628"/>
      <c r="P867" s="630"/>
      <c r="Q867" s="631"/>
      <c r="R867" s="715"/>
      <c r="S867" s="910"/>
      <c r="T867" s="632"/>
      <c r="U867" s="633"/>
      <c r="V867" s="634"/>
      <c r="W867" s="635"/>
      <c r="X867" s="636"/>
      <c r="Y867" s="636"/>
      <c r="Z867" s="987"/>
      <c r="AA867" s="919"/>
      <c r="AB867" s="908"/>
      <c r="AC867" s="314" t="s">
        <v>4913</v>
      </c>
      <c r="AD867" s="317"/>
      <c r="AE867" s="669"/>
      <c r="AF867" s="718"/>
      <c r="AG867" s="211"/>
      <c r="AH867" s="210"/>
    </row>
    <row r="868" spans="1:34" s="4" customFormat="1">
      <c r="A868" s="2"/>
      <c r="B868" s="310" t="s">
        <v>115</v>
      </c>
      <c r="C868" s="311" t="s">
        <v>27</v>
      </c>
      <c r="D868" s="687" t="s">
        <v>4914</v>
      </c>
      <c r="E868" s="688"/>
      <c r="F868" s="312" t="s">
        <v>4915</v>
      </c>
      <c r="G868" s="313">
        <v>44805</v>
      </c>
      <c r="H868" s="624"/>
      <c r="I868" s="625"/>
      <c r="J868" s="626"/>
      <c r="K868" s="627"/>
      <c r="L868" s="628"/>
      <c r="M868" s="629"/>
      <c r="N868" s="627"/>
      <c r="O868" s="628"/>
      <c r="P868" s="630"/>
      <c r="Q868" s="631"/>
      <c r="R868" s="715"/>
      <c r="S868" s="910"/>
      <c r="T868" s="632"/>
      <c r="U868" s="633"/>
      <c r="V868" s="634"/>
      <c r="W868" s="635"/>
      <c r="X868" s="636"/>
      <c r="Y868" s="636"/>
      <c r="Z868" s="987"/>
      <c r="AA868" s="919"/>
      <c r="AB868" s="908"/>
      <c r="AC868" s="314" t="s">
        <v>4914</v>
      </c>
      <c r="AD868" s="317"/>
      <c r="AE868" s="669"/>
      <c r="AF868" s="718"/>
      <c r="AG868" s="211"/>
      <c r="AH868" s="210"/>
    </row>
    <row r="869" spans="1:34" s="4" customFormat="1">
      <c r="A869" s="2"/>
      <c r="B869" s="310" t="s">
        <v>115</v>
      </c>
      <c r="C869" s="311" t="s">
        <v>27</v>
      </c>
      <c r="D869" s="687" t="s">
        <v>4916</v>
      </c>
      <c r="E869" s="688"/>
      <c r="F869" s="312" t="s">
        <v>4917</v>
      </c>
      <c r="G869" s="313">
        <v>44806</v>
      </c>
      <c r="H869" s="624"/>
      <c r="I869" s="625"/>
      <c r="J869" s="626"/>
      <c r="K869" s="627"/>
      <c r="L869" s="628"/>
      <c r="M869" s="629"/>
      <c r="N869" s="627"/>
      <c r="O869" s="628"/>
      <c r="P869" s="630"/>
      <c r="Q869" s="631"/>
      <c r="R869" s="715"/>
      <c r="S869" s="910"/>
      <c r="T869" s="632"/>
      <c r="U869" s="633"/>
      <c r="V869" s="634"/>
      <c r="W869" s="635"/>
      <c r="X869" s="636"/>
      <c r="Y869" s="636"/>
      <c r="Z869" s="987"/>
      <c r="AA869" s="919"/>
      <c r="AB869" s="908"/>
      <c r="AC869" s="314" t="s">
        <v>4918</v>
      </c>
      <c r="AD869" s="317"/>
      <c r="AE869" s="669"/>
      <c r="AF869" s="718"/>
      <c r="AG869" s="211"/>
      <c r="AH869" s="210"/>
    </row>
    <row r="870" spans="1:34" s="4" customFormat="1">
      <c r="A870" s="2"/>
      <c r="B870" s="310" t="s">
        <v>115</v>
      </c>
      <c r="C870" s="311" t="s">
        <v>27</v>
      </c>
      <c r="D870" s="687" t="s">
        <v>4919</v>
      </c>
      <c r="E870" s="688"/>
      <c r="F870" s="312" t="s">
        <v>4920</v>
      </c>
      <c r="G870" s="313">
        <v>44806</v>
      </c>
      <c r="H870" s="624"/>
      <c r="I870" s="625"/>
      <c r="J870" s="626"/>
      <c r="K870" s="627"/>
      <c r="L870" s="628"/>
      <c r="M870" s="629"/>
      <c r="N870" s="627"/>
      <c r="O870" s="628"/>
      <c r="P870" s="630"/>
      <c r="Q870" s="631"/>
      <c r="R870" s="715"/>
      <c r="S870" s="910"/>
      <c r="T870" s="632"/>
      <c r="U870" s="633"/>
      <c r="V870" s="634"/>
      <c r="W870" s="635"/>
      <c r="X870" s="636"/>
      <c r="Y870" s="636"/>
      <c r="Z870" s="987"/>
      <c r="AA870" s="919"/>
      <c r="AB870" s="908"/>
      <c r="AC870" s="314" t="s">
        <v>4921</v>
      </c>
      <c r="AD870" s="317"/>
      <c r="AE870" s="669"/>
      <c r="AF870" s="718"/>
      <c r="AG870" s="211"/>
      <c r="AH870" s="210"/>
    </row>
    <row r="871" spans="1:34" s="4" customFormat="1">
      <c r="A871" s="2"/>
      <c r="B871" s="310" t="s">
        <v>115</v>
      </c>
      <c r="C871" s="311" t="s">
        <v>27</v>
      </c>
      <c r="D871" s="687" t="s">
        <v>4922</v>
      </c>
      <c r="E871" s="688"/>
      <c r="F871" s="312" t="s">
        <v>4923</v>
      </c>
      <c r="G871" s="313">
        <v>44806</v>
      </c>
      <c r="H871" s="624"/>
      <c r="I871" s="625"/>
      <c r="J871" s="626"/>
      <c r="K871" s="627"/>
      <c r="L871" s="628"/>
      <c r="M871" s="629"/>
      <c r="N871" s="627"/>
      <c r="O871" s="628"/>
      <c r="P871" s="630"/>
      <c r="Q871" s="631"/>
      <c r="R871" s="715"/>
      <c r="S871" s="910"/>
      <c r="T871" s="632"/>
      <c r="U871" s="633"/>
      <c r="V871" s="634"/>
      <c r="W871" s="635"/>
      <c r="X871" s="636"/>
      <c r="Y871" s="637"/>
      <c r="Z871" s="987"/>
      <c r="AA871" s="919"/>
      <c r="AB871" s="908"/>
      <c r="AC871" s="314" t="s">
        <v>4924</v>
      </c>
      <c r="AD871" s="317"/>
      <c r="AE871" s="669"/>
      <c r="AF871" s="718"/>
      <c r="AG871" s="211"/>
      <c r="AH871" s="210"/>
    </row>
    <row r="872" spans="1:34" s="4" customFormat="1">
      <c r="A872" s="2"/>
      <c r="B872" s="310" t="s">
        <v>115</v>
      </c>
      <c r="C872" s="311" t="s">
        <v>27</v>
      </c>
      <c r="D872" s="687" t="s">
        <v>4925</v>
      </c>
      <c r="E872" s="688"/>
      <c r="F872" s="312" t="s">
        <v>4926</v>
      </c>
      <c r="G872" s="313">
        <v>44810</v>
      </c>
      <c r="H872" s="624"/>
      <c r="I872" s="625"/>
      <c r="J872" s="626"/>
      <c r="K872" s="627"/>
      <c r="L872" s="628"/>
      <c r="M872" s="629"/>
      <c r="N872" s="627"/>
      <c r="O872" s="628"/>
      <c r="P872" s="630"/>
      <c r="Q872" s="631"/>
      <c r="R872" s="715"/>
      <c r="S872" s="910"/>
      <c r="T872" s="632"/>
      <c r="U872" s="633"/>
      <c r="V872" s="634"/>
      <c r="W872" s="635"/>
      <c r="X872" s="636"/>
      <c r="Y872" s="637"/>
      <c r="Z872" s="987"/>
      <c r="AA872" s="919"/>
      <c r="AB872" s="908"/>
      <c r="AC872" s="314" t="s">
        <v>4927</v>
      </c>
      <c r="AD872" s="317"/>
      <c r="AE872" s="669"/>
      <c r="AF872" s="718"/>
      <c r="AG872" s="211"/>
      <c r="AH872" s="210"/>
    </row>
    <row r="873" spans="1:34" s="4" customFormat="1">
      <c r="A873" s="2"/>
      <c r="B873" s="310" t="s">
        <v>115</v>
      </c>
      <c r="C873" s="311" t="s">
        <v>27</v>
      </c>
      <c r="D873" s="687" t="s">
        <v>4928</v>
      </c>
      <c r="E873" s="688"/>
      <c r="F873" s="312" t="s">
        <v>4929</v>
      </c>
      <c r="G873" s="313">
        <v>44811</v>
      </c>
      <c r="H873" s="624"/>
      <c r="I873" s="625"/>
      <c r="J873" s="626"/>
      <c r="K873" s="627"/>
      <c r="L873" s="628"/>
      <c r="M873" s="629"/>
      <c r="N873" s="627"/>
      <c r="O873" s="628"/>
      <c r="P873" s="630"/>
      <c r="Q873" s="631"/>
      <c r="R873" s="715"/>
      <c r="S873" s="910"/>
      <c r="T873" s="632"/>
      <c r="U873" s="633"/>
      <c r="V873" s="634"/>
      <c r="W873" s="635"/>
      <c r="X873" s="636"/>
      <c r="Y873" s="637"/>
      <c r="Z873" s="987"/>
      <c r="AA873" s="919"/>
      <c r="AB873" s="908"/>
      <c r="AC873" s="314" t="s">
        <v>4930</v>
      </c>
      <c r="AD873" s="317"/>
      <c r="AE873" s="669"/>
      <c r="AF873" s="718"/>
      <c r="AG873" s="211"/>
      <c r="AH873" s="210"/>
    </row>
    <row r="874" spans="1:34" s="4" customFormat="1">
      <c r="A874" s="2"/>
      <c r="B874" s="310" t="s">
        <v>106</v>
      </c>
      <c r="C874" s="311" t="s">
        <v>33</v>
      </c>
      <c r="D874" s="687" t="s">
        <v>4931</v>
      </c>
      <c r="E874" s="688"/>
      <c r="F874" s="312" t="s">
        <v>4932</v>
      </c>
      <c r="G874" s="313">
        <v>44812</v>
      </c>
      <c r="H874" s="624" t="s">
        <v>4933</v>
      </c>
      <c r="I874" s="625">
        <v>44834</v>
      </c>
      <c r="J874" s="626">
        <v>30000</v>
      </c>
      <c r="K874" s="627" t="s">
        <v>4934</v>
      </c>
      <c r="L874" s="628">
        <v>44825</v>
      </c>
      <c r="M874" s="629">
        <v>7000</v>
      </c>
      <c r="N874" s="627" t="s">
        <v>4784</v>
      </c>
      <c r="O874" s="628">
        <v>44825</v>
      </c>
      <c r="P874" s="630" t="s">
        <v>4785</v>
      </c>
      <c r="Q874" s="631">
        <v>44841</v>
      </c>
      <c r="R874" s="715">
        <v>44851</v>
      </c>
      <c r="S874" s="1068"/>
      <c r="T874" s="632">
        <v>29113.22</v>
      </c>
      <c r="U874" s="633" t="s">
        <v>4935</v>
      </c>
      <c r="V874" s="634">
        <v>44855</v>
      </c>
      <c r="W874" s="635" t="s">
        <v>2302</v>
      </c>
      <c r="X874" s="636">
        <v>29113.22</v>
      </c>
      <c r="Y874" s="636">
        <v>29113.22</v>
      </c>
      <c r="Z874" s="987">
        <f>Y874/X874</f>
        <v>1</v>
      </c>
      <c r="AA874" s="919"/>
      <c r="AB874" s="1055">
        <v>0</v>
      </c>
      <c r="AC874" s="912" t="s">
        <v>4936</v>
      </c>
      <c r="AD874" s="913"/>
      <c r="AE874" s="669"/>
      <c r="AF874" s="718"/>
      <c r="AG874" s="211"/>
      <c r="AH874" s="210"/>
    </row>
    <row r="875" spans="1:34" s="4" customFormat="1">
      <c r="A875" s="2"/>
      <c r="B875" s="310" t="s">
        <v>115</v>
      </c>
      <c r="C875" s="311" t="s">
        <v>27</v>
      </c>
      <c r="D875" s="687" t="s">
        <v>4937</v>
      </c>
      <c r="E875" s="688"/>
      <c r="F875" s="312" t="s">
        <v>4938</v>
      </c>
      <c r="G875" s="313">
        <v>44812</v>
      </c>
      <c r="H875" s="624"/>
      <c r="I875" s="625"/>
      <c r="J875" s="626"/>
      <c r="K875" s="627"/>
      <c r="L875" s="628"/>
      <c r="M875" s="629"/>
      <c r="N875" s="627"/>
      <c r="O875" s="628"/>
      <c r="P875" s="630"/>
      <c r="Q875" s="631"/>
      <c r="R875" s="715"/>
      <c r="S875" s="910"/>
      <c r="T875" s="632"/>
      <c r="U875" s="633"/>
      <c r="V875" s="634"/>
      <c r="W875" s="635"/>
      <c r="X875" s="636"/>
      <c r="Y875" s="637"/>
      <c r="Z875" s="987"/>
      <c r="AA875" s="919"/>
      <c r="AB875" s="908"/>
      <c r="AC875" s="314" t="s">
        <v>4939</v>
      </c>
      <c r="AD875" s="317"/>
      <c r="AE875" s="669"/>
      <c r="AF875" s="718"/>
      <c r="AG875" s="211"/>
      <c r="AH875" s="210"/>
    </row>
    <row r="876" spans="1:34" s="4" customFormat="1">
      <c r="A876" s="2"/>
      <c r="B876" s="310" t="s">
        <v>115</v>
      </c>
      <c r="C876" s="311" t="s">
        <v>27</v>
      </c>
      <c r="D876" s="687" t="s">
        <v>4940</v>
      </c>
      <c r="E876" s="688"/>
      <c r="F876" s="312" t="s">
        <v>4941</v>
      </c>
      <c r="G876" s="313">
        <v>44817</v>
      </c>
      <c r="H876" s="624"/>
      <c r="I876" s="625"/>
      <c r="J876" s="626"/>
      <c r="K876" s="627"/>
      <c r="L876" s="628"/>
      <c r="M876" s="629"/>
      <c r="N876" s="627"/>
      <c r="O876" s="628"/>
      <c r="P876" s="630"/>
      <c r="Q876" s="631"/>
      <c r="R876" s="715"/>
      <c r="S876" s="910"/>
      <c r="T876" s="632"/>
      <c r="U876" s="633"/>
      <c r="V876" s="634"/>
      <c r="W876" s="635"/>
      <c r="X876" s="636"/>
      <c r="Y876" s="637"/>
      <c r="Z876" s="987"/>
      <c r="AA876" s="919"/>
      <c r="AB876" s="908"/>
      <c r="AC876" s="314" t="s">
        <v>4942</v>
      </c>
      <c r="AD876" s="317"/>
      <c r="AE876" s="669"/>
      <c r="AF876" s="718"/>
      <c r="AG876" s="211"/>
      <c r="AH876" s="210"/>
    </row>
    <row r="877" spans="1:34" s="4" customFormat="1">
      <c r="A877" s="2"/>
      <c r="B877" s="310" t="s">
        <v>115</v>
      </c>
      <c r="C877" s="311" t="s">
        <v>27</v>
      </c>
      <c r="D877" s="687" t="s">
        <v>4943</v>
      </c>
      <c r="E877" s="688"/>
      <c r="F877" s="312" t="s">
        <v>4944</v>
      </c>
      <c r="G877" s="313">
        <v>44818</v>
      </c>
      <c r="H877" s="624"/>
      <c r="I877" s="625"/>
      <c r="J877" s="626"/>
      <c r="K877" s="627"/>
      <c r="L877" s="628"/>
      <c r="M877" s="629"/>
      <c r="N877" s="627"/>
      <c r="O877" s="628"/>
      <c r="P877" s="630"/>
      <c r="Q877" s="631"/>
      <c r="R877" s="715"/>
      <c r="S877" s="910"/>
      <c r="T877" s="632"/>
      <c r="U877" s="633"/>
      <c r="V877" s="634"/>
      <c r="W877" s="635"/>
      <c r="X877" s="636"/>
      <c r="Y877" s="637"/>
      <c r="Z877" s="987"/>
      <c r="AA877" s="919"/>
      <c r="AB877" s="908"/>
      <c r="AC877" s="314" t="s">
        <v>4945</v>
      </c>
      <c r="AD877" s="317"/>
      <c r="AE877" s="669"/>
      <c r="AF877" s="718"/>
      <c r="AG877" s="211"/>
      <c r="AH877" s="210"/>
    </row>
    <row r="878" spans="1:34" s="4" customFormat="1">
      <c r="A878" s="2"/>
      <c r="B878" s="310" t="s">
        <v>115</v>
      </c>
      <c r="C878" s="311" t="s">
        <v>27</v>
      </c>
      <c r="D878" s="687" t="s">
        <v>4946</v>
      </c>
      <c r="E878" s="688"/>
      <c r="F878" s="312" t="s">
        <v>4947</v>
      </c>
      <c r="G878" s="313">
        <v>44819</v>
      </c>
      <c r="H878" s="624"/>
      <c r="I878" s="625"/>
      <c r="J878" s="626"/>
      <c r="K878" s="627"/>
      <c r="L878" s="628"/>
      <c r="M878" s="629"/>
      <c r="N878" s="627"/>
      <c r="O878" s="628"/>
      <c r="P878" s="630"/>
      <c r="Q878" s="631"/>
      <c r="R878" s="715"/>
      <c r="S878" s="910"/>
      <c r="T878" s="632"/>
      <c r="U878" s="633"/>
      <c r="V878" s="634"/>
      <c r="W878" s="635"/>
      <c r="X878" s="636"/>
      <c r="Y878" s="637"/>
      <c r="Z878" s="987"/>
      <c r="AA878" s="919"/>
      <c r="AB878" s="908"/>
      <c r="AC878" s="314" t="s">
        <v>4948</v>
      </c>
      <c r="AD878" s="317"/>
      <c r="AE878" s="669"/>
      <c r="AF878" s="718"/>
      <c r="AG878" s="211"/>
      <c r="AH878" s="210"/>
    </row>
    <row r="879" spans="1:34" s="4" customFormat="1">
      <c r="A879" s="2"/>
      <c r="B879" s="310" t="s">
        <v>115</v>
      </c>
      <c r="C879" s="311" t="s">
        <v>27</v>
      </c>
      <c r="D879" s="1220" t="s">
        <v>4949</v>
      </c>
      <c r="E879" s="1221"/>
      <c r="F879" s="312" t="s">
        <v>4950</v>
      </c>
      <c r="G879" s="313">
        <v>44820</v>
      </c>
      <c r="H879" s="624"/>
      <c r="I879" s="625"/>
      <c r="J879" s="626"/>
      <c r="K879" s="627"/>
      <c r="L879" s="628"/>
      <c r="M879" s="629"/>
      <c r="N879" s="627"/>
      <c r="O879" s="628"/>
      <c r="P879" s="630"/>
      <c r="Q879" s="631"/>
      <c r="R879" s="715"/>
      <c r="S879" s="910"/>
      <c r="T879" s="632"/>
      <c r="U879" s="633"/>
      <c r="V879" s="634"/>
      <c r="W879" s="635"/>
      <c r="X879" s="636"/>
      <c r="Y879" s="637"/>
      <c r="Z879" s="987"/>
      <c r="AA879" s="919"/>
      <c r="AB879" s="908"/>
      <c r="AC879" s="314" t="s">
        <v>4951</v>
      </c>
      <c r="AD879" s="317"/>
      <c r="AE879" s="669"/>
      <c r="AF879" s="718"/>
      <c r="AG879" s="211"/>
      <c r="AH879" s="210"/>
    </row>
    <row r="880" spans="1:34" s="4" customFormat="1">
      <c r="A880" s="2"/>
      <c r="B880" s="310" t="s">
        <v>115</v>
      </c>
      <c r="C880" s="311" t="s">
        <v>27</v>
      </c>
      <c r="D880" s="1220" t="s">
        <v>4952</v>
      </c>
      <c r="E880" s="1221"/>
      <c r="F880" s="312" t="s">
        <v>4953</v>
      </c>
      <c r="G880" s="313">
        <v>44820</v>
      </c>
      <c r="H880" s="624"/>
      <c r="I880" s="625"/>
      <c r="J880" s="626"/>
      <c r="K880" s="627"/>
      <c r="L880" s="628"/>
      <c r="M880" s="629"/>
      <c r="N880" s="627"/>
      <c r="O880" s="628"/>
      <c r="P880" s="630"/>
      <c r="Q880" s="631"/>
      <c r="R880" s="715"/>
      <c r="S880" s="910"/>
      <c r="T880" s="632"/>
      <c r="U880" s="633"/>
      <c r="V880" s="634"/>
      <c r="W880" s="635"/>
      <c r="X880" s="636"/>
      <c r="Y880" s="637"/>
      <c r="Z880" s="987"/>
      <c r="AA880" s="919"/>
      <c r="AB880" s="908"/>
      <c r="AC880" s="314" t="s">
        <v>4954</v>
      </c>
      <c r="AD880" s="317"/>
      <c r="AE880" s="669"/>
      <c r="AF880" s="718"/>
      <c r="AG880" s="211"/>
      <c r="AH880" s="210"/>
    </row>
    <row r="881" spans="1:34" s="4" customFormat="1">
      <c r="A881" s="2"/>
      <c r="B881" s="310" t="s">
        <v>115</v>
      </c>
      <c r="C881" s="311" t="s">
        <v>27</v>
      </c>
      <c r="D881" s="1220" t="s">
        <v>4955</v>
      </c>
      <c r="E881" s="1221"/>
      <c r="F881" s="312" t="s">
        <v>4956</v>
      </c>
      <c r="G881" s="313">
        <v>44823</v>
      </c>
      <c r="H881" s="624"/>
      <c r="I881" s="625"/>
      <c r="J881" s="626"/>
      <c r="K881" s="627"/>
      <c r="L881" s="628"/>
      <c r="M881" s="629"/>
      <c r="N881" s="627"/>
      <c r="O881" s="628"/>
      <c r="P881" s="630"/>
      <c r="Q881" s="631"/>
      <c r="R881" s="715"/>
      <c r="S881" s="910"/>
      <c r="T881" s="632"/>
      <c r="U881" s="633"/>
      <c r="V881" s="634"/>
      <c r="W881" s="635"/>
      <c r="X881" s="636"/>
      <c r="Y881" s="637"/>
      <c r="Z881" s="987"/>
      <c r="AA881" s="919"/>
      <c r="AB881" s="908"/>
      <c r="AC881" s="314" t="s">
        <v>4957</v>
      </c>
      <c r="AD881" s="317"/>
      <c r="AE881" s="669"/>
      <c r="AF881" s="718"/>
      <c r="AG881" s="211"/>
      <c r="AH881" s="210"/>
    </row>
    <row r="882" spans="1:34" s="4" customFormat="1">
      <c r="A882" s="2"/>
      <c r="B882" s="310" t="s">
        <v>115</v>
      </c>
      <c r="C882" s="311" t="s">
        <v>27</v>
      </c>
      <c r="D882" s="1220" t="s">
        <v>4958</v>
      </c>
      <c r="E882" s="1221"/>
      <c r="F882" s="312" t="s">
        <v>4959</v>
      </c>
      <c r="G882" s="313">
        <v>44823</v>
      </c>
      <c r="H882" s="624"/>
      <c r="I882" s="625"/>
      <c r="J882" s="626"/>
      <c r="K882" s="627"/>
      <c r="L882" s="628"/>
      <c r="M882" s="629"/>
      <c r="N882" s="627"/>
      <c r="O882" s="628"/>
      <c r="P882" s="630"/>
      <c r="Q882" s="631"/>
      <c r="R882" s="715"/>
      <c r="S882" s="910"/>
      <c r="T882" s="632"/>
      <c r="U882" s="633"/>
      <c r="V882" s="634"/>
      <c r="W882" s="635"/>
      <c r="X882" s="636"/>
      <c r="Y882" s="637"/>
      <c r="Z882" s="987"/>
      <c r="AA882" s="919"/>
      <c r="AB882" s="908"/>
      <c r="AC882" s="314" t="s">
        <v>4960</v>
      </c>
      <c r="AD882" s="317"/>
      <c r="AE882" s="669"/>
      <c r="AF882" s="718"/>
      <c r="AG882" s="211"/>
      <c r="AH882" s="210"/>
    </row>
    <row r="883" spans="1:34" s="4" customFormat="1">
      <c r="A883" s="2"/>
      <c r="B883" s="310" t="s">
        <v>115</v>
      </c>
      <c r="C883" s="311" t="s">
        <v>27</v>
      </c>
      <c r="D883" s="687" t="s">
        <v>4961</v>
      </c>
      <c r="E883" s="688"/>
      <c r="F883" s="312" t="s">
        <v>4962</v>
      </c>
      <c r="G883" s="313">
        <v>44824</v>
      </c>
      <c r="H883" s="624"/>
      <c r="I883" s="625"/>
      <c r="J883" s="626"/>
      <c r="K883" s="627"/>
      <c r="L883" s="628"/>
      <c r="M883" s="629"/>
      <c r="N883" s="627"/>
      <c r="O883" s="628"/>
      <c r="P883" s="630"/>
      <c r="Q883" s="631"/>
      <c r="R883" s="715"/>
      <c r="S883" s="910"/>
      <c r="T883" s="632"/>
      <c r="U883" s="633"/>
      <c r="V883" s="634"/>
      <c r="W883" s="635"/>
      <c r="X883" s="636"/>
      <c r="Y883" s="637"/>
      <c r="Z883" s="987"/>
      <c r="AA883" s="919"/>
      <c r="AB883" s="908"/>
      <c r="AC883" s="314" t="s">
        <v>4963</v>
      </c>
      <c r="AD883" s="317"/>
      <c r="AE883" s="669"/>
      <c r="AF883" s="718"/>
      <c r="AG883" s="211"/>
      <c r="AH883" s="210"/>
    </row>
    <row r="884" spans="1:34" s="4" customFormat="1">
      <c r="A884" s="2"/>
      <c r="B884" s="310" t="s">
        <v>106</v>
      </c>
      <c r="C884" s="311" t="s">
        <v>33</v>
      </c>
      <c r="D884" s="687" t="s">
        <v>4964</v>
      </c>
      <c r="E884" s="688"/>
      <c r="F884" s="312"/>
      <c r="G884" s="313"/>
      <c r="H884" s="624"/>
      <c r="I884" s="625"/>
      <c r="J884" s="626"/>
      <c r="K884" s="627" t="s">
        <v>4965</v>
      </c>
      <c r="L884" s="628">
        <v>44813</v>
      </c>
      <c r="M884" s="629">
        <v>20000</v>
      </c>
      <c r="N884" s="627" t="s">
        <v>4966</v>
      </c>
      <c r="O884" s="628">
        <v>44813</v>
      </c>
      <c r="P884" s="630" t="s">
        <v>4967</v>
      </c>
      <c r="Q884" s="631">
        <v>44846</v>
      </c>
      <c r="R884" s="715">
        <v>44869</v>
      </c>
      <c r="S884" s="1068"/>
      <c r="T884" s="632">
        <v>39092.519999999997</v>
      </c>
      <c r="U884" s="633" t="s">
        <v>4968</v>
      </c>
      <c r="V884" s="634">
        <v>44889</v>
      </c>
      <c r="W884" s="635" t="s">
        <v>2302</v>
      </c>
      <c r="X884" s="636">
        <v>39092.519999999997</v>
      </c>
      <c r="Y884" s="636">
        <v>39092.519999999997</v>
      </c>
      <c r="Z884" s="987">
        <f t="shared" ref="Z884:Z885" si="48">Y884/X884</f>
        <v>1</v>
      </c>
      <c r="AA884" s="919"/>
      <c r="AB884" s="1055">
        <v>0</v>
      </c>
      <c r="AC884" s="912"/>
      <c r="AD884" s="913"/>
      <c r="AE884" s="669"/>
      <c r="AF884" s="718"/>
      <c r="AG884" s="211"/>
      <c r="AH884" s="210"/>
    </row>
    <row r="885" spans="1:34" s="4" customFormat="1">
      <c r="A885" s="2"/>
      <c r="B885" s="310" t="s">
        <v>106</v>
      </c>
      <c r="C885" s="311" t="s">
        <v>33</v>
      </c>
      <c r="D885" s="687" t="s">
        <v>4969</v>
      </c>
      <c r="E885" s="688"/>
      <c r="F885" s="312"/>
      <c r="G885" s="313"/>
      <c r="H885" s="624"/>
      <c r="I885" s="625"/>
      <c r="J885" s="626"/>
      <c r="K885" s="627" t="s">
        <v>4970</v>
      </c>
      <c r="L885" s="628">
        <v>44817</v>
      </c>
      <c r="M885" s="629">
        <v>20000</v>
      </c>
      <c r="N885" s="627" t="s">
        <v>4971</v>
      </c>
      <c r="O885" s="628">
        <v>44818</v>
      </c>
      <c r="P885" s="630" t="s">
        <v>4972</v>
      </c>
      <c r="Q885" s="631">
        <v>44838</v>
      </c>
      <c r="R885" s="715">
        <v>44848</v>
      </c>
      <c r="S885" s="1068"/>
      <c r="T885" s="632">
        <v>59436.67</v>
      </c>
      <c r="U885" s="633" t="s">
        <v>4973</v>
      </c>
      <c r="V885" s="634">
        <v>44841</v>
      </c>
      <c r="W885" s="635" t="s">
        <v>109</v>
      </c>
      <c r="X885" s="636">
        <v>59436.67</v>
      </c>
      <c r="Y885" s="636">
        <v>59436.67</v>
      </c>
      <c r="Z885" s="987">
        <f t="shared" si="48"/>
        <v>1</v>
      </c>
      <c r="AA885" s="919"/>
      <c r="AB885" s="1055">
        <v>0</v>
      </c>
      <c r="AC885" s="912"/>
      <c r="AD885" s="913"/>
      <c r="AE885" s="669"/>
      <c r="AF885" s="718"/>
      <c r="AG885" s="211"/>
      <c r="AH885" s="210"/>
    </row>
    <row r="886" spans="1:34" s="4" customFormat="1">
      <c r="A886" s="2"/>
      <c r="B886" s="310" t="s">
        <v>110</v>
      </c>
      <c r="C886" s="311" t="s">
        <v>27</v>
      </c>
      <c r="D886" s="687" t="s">
        <v>4974</v>
      </c>
      <c r="E886" s="688"/>
      <c r="F886" s="312"/>
      <c r="G886" s="313"/>
      <c r="H886" s="624"/>
      <c r="I886" s="625"/>
      <c r="J886" s="626"/>
      <c r="K886" s="627" t="s">
        <v>4975</v>
      </c>
      <c r="L886" s="628">
        <v>44823</v>
      </c>
      <c r="M886" s="629"/>
      <c r="N886" s="627" t="s">
        <v>4976</v>
      </c>
      <c r="O886" s="628">
        <v>44824</v>
      </c>
      <c r="P886" s="630"/>
      <c r="Q886" s="631"/>
      <c r="R886" s="715"/>
      <c r="S886" s="910"/>
      <c r="T886" s="632"/>
      <c r="U886" s="633"/>
      <c r="V886" s="634"/>
      <c r="W886" s="635"/>
      <c r="X886" s="636"/>
      <c r="Y886" s="637"/>
      <c r="Z886" s="987"/>
      <c r="AA886" s="919"/>
      <c r="AB886" s="908"/>
      <c r="AC886" s="314"/>
      <c r="AD886" s="317"/>
      <c r="AE886" s="669"/>
      <c r="AF886" s="718"/>
      <c r="AG886" s="211"/>
      <c r="AH886" s="210"/>
    </row>
    <row r="887" spans="1:34" s="4" customFormat="1">
      <c r="A887" s="2"/>
      <c r="B887" s="310" t="s">
        <v>115</v>
      </c>
      <c r="C887" s="311" t="s">
        <v>27</v>
      </c>
      <c r="D887" s="687" t="s">
        <v>4977</v>
      </c>
      <c r="E887" s="688"/>
      <c r="F887" s="312" t="s">
        <v>4978</v>
      </c>
      <c r="G887" s="313">
        <v>44824</v>
      </c>
      <c r="H887" s="624"/>
      <c r="I887" s="625"/>
      <c r="J887" s="626"/>
      <c r="K887" s="627"/>
      <c r="L887" s="628"/>
      <c r="M887" s="629"/>
      <c r="N887" s="627"/>
      <c r="O887" s="628"/>
      <c r="P887" s="630"/>
      <c r="Q887" s="631"/>
      <c r="R887" s="715"/>
      <c r="S887" s="910"/>
      <c r="T887" s="632"/>
      <c r="U887" s="633"/>
      <c r="V887" s="634"/>
      <c r="W887" s="635"/>
      <c r="X887" s="636"/>
      <c r="Y887" s="637"/>
      <c r="Z887" s="987"/>
      <c r="AA887" s="919"/>
      <c r="AB887" s="908"/>
      <c r="AC887" s="314" t="s">
        <v>4979</v>
      </c>
      <c r="AD887" s="317"/>
      <c r="AE887" s="669"/>
      <c r="AF887" s="718"/>
      <c r="AG887" s="211"/>
      <c r="AH887" s="210"/>
    </row>
    <row r="888" spans="1:34" s="4" customFormat="1">
      <c r="A888" s="2"/>
      <c r="B888" s="310" t="s">
        <v>115</v>
      </c>
      <c r="C888" s="311" t="s">
        <v>27</v>
      </c>
      <c r="D888" s="687" t="s">
        <v>4980</v>
      </c>
      <c r="E888" s="688"/>
      <c r="F888" s="312" t="s">
        <v>4981</v>
      </c>
      <c r="G888" s="313">
        <v>44830</v>
      </c>
      <c r="H888" s="624"/>
      <c r="I888" s="625"/>
      <c r="J888" s="626"/>
      <c r="K888" s="627"/>
      <c r="L888" s="628"/>
      <c r="M888" s="629"/>
      <c r="N888" s="627"/>
      <c r="O888" s="628"/>
      <c r="P888" s="630"/>
      <c r="Q888" s="631"/>
      <c r="R888" s="715"/>
      <c r="S888" s="910"/>
      <c r="T888" s="632"/>
      <c r="U888" s="633"/>
      <c r="V888" s="634"/>
      <c r="W888" s="635"/>
      <c r="X888" s="636"/>
      <c r="Y888" s="637"/>
      <c r="Z888" s="987"/>
      <c r="AA888" s="919"/>
      <c r="AB888" s="908"/>
      <c r="AC888" s="314" t="s">
        <v>4982</v>
      </c>
      <c r="AD888" s="317"/>
      <c r="AE888" s="669"/>
      <c r="AF888" s="718"/>
      <c r="AG888" s="211"/>
      <c r="AH888" s="210"/>
    </row>
    <row r="889" spans="1:34" s="4" customFormat="1">
      <c r="A889" s="2"/>
      <c r="B889" s="310" t="s">
        <v>115</v>
      </c>
      <c r="C889" s="311" t="s">
        <v>27</v>
      </c>
      <c r="D889" s="687" t="s">
        <v>4983</v>
      </c>
      <c r="E889" s="688"/>
      <c r="F889" s="312" t="s">
        <v>4984</v>
      </c>
      <c r="G889" s="313">
        <v>44831</v>
      </c>
      <c r="H889" s="624"/>
      <c r="I889" s="625"/>
      <c r="J889" s="626"/>
      <c r="K889" s="627"/>
      <c r="L889" s="628"/>
      <c r="M889" s="629"/>
      <c r="N889" s="627"/>
      <c r="O889" s="628"/>
      <c r="P889" s="630"/>
      <c r="Q889" s="631"/>
      <c r="R889" s="715"/>
      <c r="S889" s="910"/>
      <c r="T889" s="632"/>
      <c r="U889" s="633"/>
      <c r="V889" s="634"/>
      <c r="W889" s="635"/>
      <c r="X889" s="636"/>
      <c r="Y889" s="637"/>
      <c r="Z889" s="987"/>
      <c r="AA889" s="919"/>
      <c r="AB889" s="908"/>
      <c r="AC889" s="314" t="s">
        <v>4985</v>
      </c>
      <c r="AD889" s="317"/>
      <c r="AE889" s="669"/>
      <c r="AF889" s="718"/>
      <c r="AG889" s="211"/>
      <c r="AH889" s="210"/>
    </row>
    <row r="890" spans="1:34" s="4" customFormat="1">
      <c r="A890" s="2"/>
      <c r="B890" s="310" t="s">
        <v>115</v>
      </c>
      <c r="C890" s="311" t="s">
        <v>27</v>
      </c>
      <c r="D890" s="687" t="s">
        <v>4986</v>
      </c>
      <c r="E890" s="688"/>
      <c r="F890" s="312" t="s">
        <v>4987</v>
      </c>
      <c r="G890" s="313">
        <v>44831</v>
      </c>
      <c r="H890" s="624"/>
      <c r="I890" s="625"/>
      <c r="J890" s="626"/>
      <c r="K890" s="627"/>
      <c r="L890" s="628"/>
      <c r="M890" s="629"/>
      <c r="N890" s="627"/>
      <c r="O890" s="628"/>
      <c r="P890" s="630"/>
      <c r="Q890" s="631"/>
      <c r="R890" s="715"/>
      <c r="S890" s="910"/>
      <c r="T890" s="632"/>
      <c r="U890" s="633"/>
      <c r="V890" s="634"/>
      <c r="W890" s="635"/>
      <c r="X890" s="636"/>
      <c r="Y890" s="637"/>
      <c r="Z890" s="987"/>
      <c r="AA890" s="919"/>
      <c r="AB890" s="908"/>
      <c r="AC890" s="314" t="s">
        <v>4988</v>
      </c>
      <c r="AD890" s="317"/>
      <c r="AE890" s="669"/>
      <c r="AF890" s="718"/>
      <c r="AG890" s="211"/>
      <c r="AH890" s="210"/>
    </row>
    <row r="891" spans="1:34" s="4" customFormat="1">
      <c r="A891" s="2"/>
      <c r="B891" s="310" t="s">
        <v>115</v>
      </c>
      <c r="C891" s="311" t="s">
        <v>27</v>
      </c>
      <c r="D891" s="687" t="s">
        <v>4989</v>
      </c>
      <c r="E891" s="688"/>
      <c r="F891" s="312" t="s">
        <v>4990</v>
      </c>
      <c r="G891" s="313">
        <v>44831</v>
      </c>
      <c r="H891" s="624"/>
      <c r="I891" s="625"/>
      <c r="J891" s="626"/>
      <c r="K891" s="627"/>
      <c r="L891" s="628"/>
      <c r="M891" s="629"/>
      <c r="N891" s="627"/>
      <c r="O891" s="628"/>
      <c r="P891" s="630"/>
      <c r="Q891" s="631"/>
      <c r="R891" s="715"/>
      <c r="S891" s="910"/>
      <c r="T891" s="632"/>
      <c r="U891" s="633"/>
      <c r="V891" s="634"/>
      <c r="W891" s="635"/>
      <c r="X891" s="636"/>
      <c r="Y891" s="637"/>
      <c r="Z891" s="987"/>
      <c r="AA891" s="919"/>
      <c r="AB891" s="908"/>
      <c r="AC891" s="314" t="s">
        <v>4989</v>
      </c>
      <c r="AD891" s="317"/>
      <c r="AE891" s="669"/>
      <c r="AF891" s="718"/>
      <c r="AG891" s="211"/>
      <c r="AH891" s="210"/>
    </row>
    <row r="892" spans="1:34" s="4" customFormat="1">
      <c r="A892" s="2"/>
      <c r="B892" s="310" t="s">
        <v>119</v>
      </c>
      <c r="C892" s="311" t="s">
        <v>27</v>
      </c>
      <c r="D892" s="687" t="s">
        <v>4991</v>
      </c>
      <c r="E892" s="688"/>
      <c r="F892" s="312" t="s">
        <v>4992</v>
      </c>
      <c r="G892" s="313">
        <v>44804</v>
      </c>
      <c r="H892" s="624"/>
      <c r="I892" s="625"/>
      <c r="J892" s="626"/>
      <c r="K892" s="627"/>
      <c r="L892" s="628"/>
      <c r="M892" s="629"/>
      <c r="N892" s="627"/>
      <c r="O892" s="628"/>
      <c r="P892" s="630"/>
      <c r="Q892" s="631"/>
      <c r="R892" s="715"/>
      <c r="S892" s="910"/>
      <c r="T892" s="632"/>
      <c r="U892" s="633"/>
      <c r="V892" s="634"/>
      <c r="W892" s="635"/>
      <c r="X892" s="636"/>
      <c r="Y892" s="637"/>
      <c r="Z892" s="987"/>
      <c r="AA892" s="919"/>
      <c r="AB892" s="908"/>
      <c r="AC892" s="314" t="s">
        <v>4993</v>
      </c>
      <c r="AD892" s="317"/>
      <c r="AE892" s="669"/>
      <c r="AF892" s="718"/>
      <c r="AG892" s="211"/>
      <c r="AH892" s="210"/>
    </row>
    <row r="893" spans="1:34" s="4" customFormat="1">
      <c r="A893" s="2"/>
      <c r="B893" s="310" t="s">
        <v>119</v>
      </c>
      <c r="C893" s="311" t="s">
        <v>27</v>
      </c>
      <c r="D893" s="687" t="s">
        <v>4994</v>
      </c>
      <c r="E893" s="688"/>
      <c r="F893" s="312" t="s">
        <v>4995</v>
      </c>
      <c r="G893" s="313">
        <v>44830</v>
      </c>
      <c r="H893" s="624"/>
      <c r="I893" s="625"/>
      <c r="J893" s="626"/>
      <c r="K893" s="627"/>
      <c r="L893" s="628"/>
      <c r="M893" s="629"/>
      <c r="N893" s="627"/>
      <c r="O893" s="628"/>
      <c r="P893" s="630"/>
      <c r="Q893" s="631"/>
      <c r="R893" s="715"/>
      <c r="S893" s="910"/>
      <c r="T893" s="632"/>
      <c r="U893" s="633"/>
      <c r="V893" s="634"/>
      <c r="W893" s="635"/>
      <c r="X893" s="636"/>
      <c r="Y893" s="637"/>
      <c r="Z893" s="987"/>
      <c r="AA893" s="919"/>
      <c r="AB893" s="908"/>
      <c r="AC893" s="314" t="s">
        <v>4996</v>
      </c>
      <c r="AD893" s="317"/>
      <c r="AE893" s="669"/>
      <c r="AF893" s="718"/>
      <c r="AG893" s="211"/>
      <c r="AH893" s="210"/>
    </row>
    <row r="894" spans="1:34" s="4" customFormat="1">
      <c r="A894" s="2"/>
      <c r="B894" s="310" t="s">
        <v>119</v>
      </c>
      <c r="C894" s="311" t="s">
        <v>27</v>
      </c>
      <c r="D894" s="687" t="s">
        <v>4997</v>
      </c>
      <c r="E894" s="688"/>
      <c r="F894" s="312" t="s">
        <v>4998</v>
      </c>
      <c r="G894" s="313">
        <v>44830</v>
      </c>
      <c r="H894" s="624"/>
      <c r="I894" s="625"/>
      <c r="J894" s="626"/>
      <c r="K894" s="627"/>
      <c r="L894" s="628"/>
      <c r="M894" s="629"/>
      <c r="N894" s="627"/>
      <c r="O894" s="628"/>
      <c r="P894" s="630"/>
      <c r="Q894" s="631"/>
      <c r="R894" s="715"/>
      <c r="S894" s="910"/>
      <c r="T894" s="632"/>
      <c r="U894" s="633"/>
      <c r="V894" s="634"/>
      <c r="W894" s="635"/>
      <c r="X894" s="636"/>
      <c r="Y894" s="637"/>
      <c r="Z894" s="987"/>
      <c r="AA894" s="919"/>
      <c r="AB894" s="908"/>
      <c r="AC894" s="314" t="s">
        <v>4999</v>
      </c>
      <c r="AD894" s="317"/>
      <c r="AE894" s="669"/>
      <c r="AF894" s="718"/>
      <c r="AG894" s="211"/>
      <c r="AH894" s="210"/>
    </row>
    <row r="895" spans="1:34" s="4" customFormat="1">
      <c r="A895" s="2"/>
      <c r="B895" s="310" t="s">
        <v>106</v>
      </c>
      <c r="C895" s="311" t="s">
        <v>33</v>
      </c>
      <c r="D895" s="687" t="s">
        <v>4986</v>
      </c>
      <c r="E895" s="688"/>
      <c r="F895" s="312" t="s">
        <v>5000</v>
      </c>
      <c r="G895" s="313">
        <v>44837</v>
      </c>
      <c r="H895" s="624"/>
      <c r="I895" s="625"/>
      <c r="J895" s="626"/>
      <c r="K895" s="627" t="s">
        <v>5001</v>
      </c>
      <c r="L895" s="628">
        <v>44930</v>
      </c>
      <c r="M895" s="629">
        <v>13000</v>
      </c>
      <c r="N895" s="627" t="s">
        <v>5002</v>
      </c>
      <c r="O895" s="628">
        <v>44930</v>
      </c>
      <c r="P895" s="630" t="s">
        <v>5003</v>
      </c>
      <c r="Q895" s="631">
        <v>44945</v>
      </c>
      <c r="R895" s="715">
        <v>44959</v>
      </c>
      <c r="S895" s="1068"/>
      <c r="T895" s="632">
        <v>37967.79</v>
      </c>
      <c r="U895" s="633" t="s">
        <v>5004</v>
      </c>
      <c r="V895" s="634">
        <v>44964</v>
      </c>
      <c r="W895" s="635" t="s">
        <v>96</v>
      </c>
      <c r="X895" s="636">
        <v>37967.79</v>
      </c>
      <c r="Y895" s="636">
        <v>37967.79</v>
      </c>
      <c r="Z895" s="987">
        <f>Y895/X895</f>
        <v>1</v>
      </c>
      <c r="AA895" s="919"/>
      <c r="AB895" s="1055">
        <v>0</v>
      </c>
      <c r="AC895" s="912"/>
      <c r="AD895" s="913"/>
      <c r="AE895" s="669"/>
      <c r="AF895" s="718"/>
      <c r="AG895" s="211"/>
      <c r="AH895" s="210"/>
    </row>
    <row r="896" spans="1:34" s="4" customFormat="1">
      <c r="A896" s="2"/>
      <c r="B896" s="310" t="s">
        <v>115</v>
      </c>
      <c r="C896" s="311" t="s">
        <v>27</v>
      </c>
      <c r="D896" s="687" t="s">
        <v>5005</v>
      </c>
      <c r="E896" s="688"/>
      <c r="F896" s="312" t="s">
        <v>5006</v>
      </c>
      <c r="G896" s="313">
        <v>44838</v>
      </c>
      <c r="H896" s="624"/>
      <c r="I896" s="625"/>
      <c r="J896" s="626"/>
      <c r="K896" s="627"/>
      <c r="L896" s="628"/>
      <c r="M896" s="629"/>
      <c r="N896" s="627"/>
      <c r="O896" s="628"/>
      <c r="P896" s="630"/>
      <c r="Q896" s="631"/>
      <c r="R896" s="715"/>
      <c r="S896" s="910"/>
      <c r="T896" s="632"/>
      <c r="U896" s="633"/>
      <c r="V896" s="634"/>
      <c r="W896" s="635"/>
      <c r="X896" s="636"/>
      <c r="Y896" s="637"/>
      <c r="Z896" s="987"/>
      <c r="AA896" s="919"/>
      <c r="AB896" s="908"/>
      <c r="AC896" s="314"/>
      <c r="AD896" s="317"/>
      <c r="AE896" s="669"/>
      <c r="AF896" s="718"/>
      <c r="AG896" s="211"/>
      <c r="AH896" s="210"/>
    </row>
    <row r="897" spans="1:34" s="4" customFormat="1">
      <c r="A897" s="2"/>
      <c r="B897" s="310" t="s">
        <v>115</v>
      </c>
      <c r="C897" s="311"/>
      <c r="D897" s="687" t="s">
        <v>5007</v>
      </c>
      <c r="E897" s="688"/>
      <c r="F897" s="312" t="s">
        <v>5008</v>
      </c>
      <c r="G897" s="313">
        <v>44838</v>
      </c>
      <c r="H897" s="624"/>
      <c r="I897" s="625"/>
      <c r="J897" s="626"/>
      <c r="K897" s="627"/>
      <c r="L897" s="628"/>
      <c r="M897" s="629"/>
      <c r="N897" s="627"/>
      <c r="O897" s="628"/>
      <c r="P897" s="630"/>
      <c r="Q897" s="631"/>
      <c r="R897" s="715"/>
      <c r="S897" s="910"/>
      <c r="T897" s="632"/>
      <c r="U897" s="633"/>
      <c r="V897" s="634"/>
      <c r="W897" s="635"/>
      <c r="X897" s="636"/>
      <c r="Y897" s="637"/>
      <c r="Z897" s="987"/>
      <c r="AA897" s="919"/>
      <c r="AB897" s="908"/>
      <c r="AC897" s="314"/>
      <c r="AD897" s="317"/>
      <c r="AE897" s="669"/>
      <c r="AF897" s="718"/>
      <c r="AG897" s="211"/>
      <c r="AH897" s="210"/>
    </row>
    <row r="898" spans="1:34" s="4" customFormat="1">
      <c r="A898" s="2"/>
      <c r="B898" s="310" t="s">
        <v>115</v>
      </c>
      <c r="C898" s="311"/>
      <c r="D898" s="687" t="s">
        <v>5009</v>
      </c>
      <c r="E898" s="688"/>
      <c r="F898" s="312" t="s">
        <v>5010</v>
      </c>
      <c r="G898" s="313">
        <v>44838</v>
      </c>
      <c r="H898" s="624"/>
      <c r="I898" s="625"/>
      <c r="J898" s="626"/>
      <c r="K898" s="627"/>
      <c r="L898" s="628"/>
      <c r="M898" s="629"/>
      <c r="N898" s="627"/>
      <c r="O898" s="628"/>
      <c r="P898" s="630"/>
      <c r="Q898" s="631"/>
      <c r="R898" s="715"/>
      <c r="S898" s="910"/>
      <c r="T898" s="632"/>
      <c r="U898" s="633"/>
      <c r="V898" s="634"/>
      <c r="W898" s="635"/>
      <c r="X898" s="636"/>
      <c r="Y898" s="637"/>
      <c r="Z898" s="987"/>
      <c r="AA898" s="919"/>
      <c r="AB898" s="908"/>
      <c r="AC898" s="314"/>
      <c r="AD898" s="317"/>
      <c r="AE898" s="669"/>
      <c r="AF898" s="718"/>
      <c r="AG898" s="211"/>
      <c r="AH898" s="210"/>
    </row>
    <row r="899" spans="1:34" s="4" customFormat="1">
      <c r="A899" s="2"/>
      <c r="B899" s="310" t="s">
        <v>115</v>
      </c>
      <c r="C899" s="311"/>
      <c r="D899" s="687" t="s">
        <v>5011</v>
      </c>
      <c r="E899" s="688"/>
      <c r="F899" s="312" t="s">
        <v>5012</v>
      </c>
      <c r="G899" s="313">
        <v>44839</v>
      </c>
      <c r="H899" s="624"/>
      <c r="I899" s="625"/>
      <c r="J899" s="626"/>
      <c r="K899" s="627"/>
      <c r="L899" s="628"/>
      <c r="M899" s="629"/>
      <c r="N899" s="627"/>
      <c r="O899" s="628"/>
      <c r="P899" s="630"/>
      <c r="Q899" s="631"/>
      <c r="R899" s="715"/>
      <c r="S899" s="910"/>
      <c r="T899" s="632"/>
      <c r="U899" s="633"/>
      <c r="V899" s="634"/>
      <c r="W899" s="635"/>
      <c r="X899" s="636"/>
      <c r="Y899" s="637"/>
      <c r="Z899" s="987"/>
      <c r="AA899" s="919"/>
      <c r="AB899" s="908"/>
      <c r="AC899" s="314"/>
      <c r="AD899" s="317"/>
      <c r="AE899" s="669"/>
      <c r="AF899" s="718"/>
      <c r="AG899" s="211"/>
      <c r="AH899" s="210"/>
    </row>
    <row r="900" spans="1:34" s="4" customFormat="1">
      <c r="A900" s="2"/>
      <c r="B900" s="310" t="s">
        <v>115</v>
      </c>
      <c r="C900" s="311"/>
      <c r="D900" s="687" t="s">
        <v>5013</v>
      </c>
      <c r="E900" s="688"/>
      <c r="F900" s="312" t="s">
        <v>5014</v>
      </c>
      <c r="G900" s="313">
        <v>44839</v>
      </c>
      <c r="H900" s="624"/>
      <c r="I900" s="625"/>
      <c r="J900" s="626"/>
      <c r="K900" s="627"/>
      <c r="L900" s="628"/>
      <c r="M900" s="629"/>
      <c r="N900" s="627"/>
      <c r="O900" s="628"/>
      <c r="P900" s="630"/>
      <c r="Q900" s="631"/>
      <c r="R900" s="715"/>
      <c r="S900" s="910"/>
      <c r="T900" s="632"/>
      <c r="U900" s="633"/>
      <c r="V900" s="634"/>
      <c r="W900" s="635"/>
      <c r="X900" s="636"/>
      <c r="Y900" s="637"/>
      <c r="Z900" s="987"/>
      <c r="AA900" s="919"/>
      <c r="AB900" s="908"/>
      <c r="AC900" s="314"/>
      <c r="AD900" s="317"/>
      <c r="AE900" s="669"/>
      <c r="AF900" s="718"/>
      <c r="AG900" s="211"/>
      <c r="AH900" s="210"/>
    </row>
    <row r="901" spans="1:34" s="4" customFormat="1">
      <c r="A901" s="2"/>
      <c r="B901" s="310" t="s">
        <v>115</v>
      </c>
      <c r="C901" s="311"/>
      <c r="D901" s="687" t="s">
        <v>5015</v>
      </c>
      <c r="E901" s="688"/>
      <c r="F901" s="312" t="s">
        <v>5016</v>
      </c>
      <c r="G901" s="313">
        <v>44839</v>
      </c>
      <c r="H901" s="624"/>
      <c r="I901" s="625"/>
      <c r="J901" s="626"/>
      <c r="K901" s="627"/>
      <c r="L901" s="628"/>
      <c r="M901" s="629"/>
      <c r="N901" s="627"/>
      <c r="O901" s="628"/>
      <c r="P901" s="630"/>
      <c r="Q901" s="631"/>
      <c r="R901" s="715"/>
      <c r="S901" s="910"/>
      <c r="T901" s="632"/>
      <c r="U901" s="633"/>
      <c r="V901" s="634"/>
      <c r="W901" s="635"/>
      <c r="X901" s="636"/>
      <c r="Y901" s="637"/>
      <c r="Z901" s="987"/>
      <c r="AA901" s="919"/>
      <c r="AB901" s="908"/>
      <c r="AC901" s="314"/>
      <c r="AD901" s="317"/>
      <c r="AE901" s="669"/>
      <c r="AF901" s="718"/>
      <c r="AG901" s="211"/>
      <c r="AH901" s="210"/>
    </row>
    <row r="902" spans="1:34" s="4" customFormat="1">
      <c r="A902" s="2"/>
      <c r="B902" s="310" t="s">
        <v>115</v>
      </c>
      <c r="C902" s="311"/>
      <c r="D902" s="687" t="s">
        <v>5017</v>
      </c>
      <c r="E902" s="688"/>
      <c r="F902" s="312" t="s">
        <v>5018</v>
      </c>
      <c r="G902" s="313">
        <v>44840</v>
      </c>
      <c r="H902" s="624"/>
      <c r="I902" s="625"/>
      <c r="J902" s="626"/>
      <c r="K902" s="627"/>
      <c r="L902" s="628"/>
      <c r="M902" s="629"/>
      <c r="N902" s="627"/>
      <c r="O902" s="628"/>
      <c r="P902" s="630"/>
      <c r="Q902" s="631"/>
      <c r="R902" s="715"/>
      <c r="S902" s="910"/>
      <c r="T902" s="632"/>
      <c r="U902" s="633"/>
      <c r="V902" s="634"/>
      <c r="W902" s="635"/>
      <c r="X902" s="636"/>
      <c r="Y902" s="637"/>
      <c r="Z902" s="987"/>
      <c r="AA902" s="919"/>
      <c r="AB902" s="908"/>
      <c r="AC902" s="314"/>
      <c r="AD902" s="317"/>
      <c r="AE902" s="669"/>
      <c r="AF902" s="718"/>
      <c r="AG902" s="211"/>
      <c r="AH902" s="210"/>
    </row>
    <row r="903" spans="1:34" s="4" customFormat="1">
      <c r="A903" s="2"/>
      <c r="B903" s="310" t="s">
        <v>115</v>
      </c>
      <c r="C903" s="311"/>
      <c r="D903" s="687" t="s">
        <v>5019</v>
      </c>
      <c r="E903" s="688"/>
      <c r="F903" s="312" t="s">
        <v>5020</v>
      </c>
      <c r="G903" s="313">
        <v>44841</v>
      </c>
      <c r="H903" s="624"/>
      <c r="I903" s="625"/>
      <c r="J903" s="626"/>
      <c r="K903" s="627"/>
      <c r="L903" s="628"/>
      <c r="M903" s="629"/>
      <c r="N903" s="627"/>
      <c r="O903" s="628"/>
      <c r="P903" s="630"/>
      <c r="Q903" s="631"/>
      <c r="R903" s="715"/>
      <c r="S903" s="910"/>
      <c r="T903" s="632"/>
      <c r="U903" s="633"/>
      <c r="V903" s="634"/>
      <c r="W903" s="635"/>
      <c r="X903" s="636"/>
      <c r="Y903" s="637"/>
      <c r="Z903" s="987"/>
      <c r="AA903" s="919"/>
      <c r="AB903" s="908"/>
      <c r="AC903" s="314"/>
      <c r="AD903" s="317"/>
      <c r="AE903" s="669"/>
      <c r="AF903" s="718"/>
      <c r="AG903" s="211"/>
      <c r="AH903" s="210"/>
    </row>
    <row r="904" spans="1:34" s="4" customFormat="1">
      <c r="A904" s="2"/>
      <c r="B904" s="310" t="s">
        <v>115</v>
      </c>
      <c r="C904" s="311"/>
      <c r="D904" s="687" t="s">
        <v>5021</v>
      </c>
      <c r="E904" s="688"/>
      <c r="F904" s="312" t="s">
        <v>5022</v>
      </c>
      <c r="G904" s="313">
        <v>44841</v>
      </c>
      <c r="H904" s="624"/>
      <c r="I904" s="625"/>
      <c r="J904" s="626"/>
      <c r="K904" s="627"/>
      <c r="L904" s="628"/>
      <c r="M904" s="629"/>
      <c r="N904" s="627"/>
      <c r="O904" s="628"/>
      <c r="P904" s="630"/>
      <c r="Q904" s="631"/>
      <c r="R904" s="715"/>
      <c r="S904" s="910"/>
      <c r="T904" s="632"/>
      <c r="U904" s="633"/>
      <c r="V904" s="634"/>
      <c r="W904" s="635"/>
      <c r="X904" s="636"/>
      <c r="Y904" s="637"/>
      <c r="Z904" s="987"/>
      <c r="AA904" s="919"/>
      <c r="AB904" s="908"/>
      <c r="AC904" s="314"/>
      <c r="AD904" s="317"/>
      <c r="AE904" s="669"/>
      <c r="AF904" s="718"/>
      <c r="AG904" s="211"/>
      <c r="AH904" s="210"/>
    </row>
    <row r="905" spans="1:34" s="4" customFormat="1">
      <c r="A905" s="2"/>
      <c r="B905" s="310" t="s">
        <v>119</v>
      </c>
      <c r="C905" s="311" t="s">
        <v>27</v>
      </c>
      <c r="D905" s="687" t="s">
        <v>5023</v>
      </c>
      <c r="E905" s="688"/>
      <c r="F905" s="312" t="s">
        <v>5024</v>
      </c>
      <c r="G905" s="313">
        <v>44854</v>
      </c>
      <c r="H905" s="624"/>
      <c r="I905" s="625"/>
      <c r="J905" s="626"/>
      <c r="K905" s="627"/>
      <c r="L905" s="628"/>
      <c r="M905" s="629"/>
      <c r="N905" s="627"/>
      <c r="O905" s="628"/>
      <c r="P905" s="630"/>
      <c r="Q905" s="631"/>
      <c r="R905" s="715"/>
      <c r="S905" s="910"/>
      <c r="T905" s="632"/>
      <c r="U905" s="633"/>
      <c r="V905" s="634"/>
      <c r="W905" s="635"/>
      <c r="X905" s="636"/>
      <c r="Y905" s="637"/>
      <c r="Z905" s="987"/>
      <c r="AA905" s="919"/>
      <c r="AB905" s="908"/>
      <c r="AC905" s="314"/>
      <c r="AD905" s="317"/>
      <c r="AE905" s="669"/>
      <c r="AF905" s="718"/>
      <c r="AG905" s="211"/>
      <c r="AH905" s="210"/>
    </row>
    <row r="906" spans="1:34" s="4" customFormat="1">
      <c r="A906" s="2"/>
      <c r="B906" s="310" t="s">
        <v>119</v>
      </c>
      <c r="C906" s="311" t="s">
        <v>27</v>
      </c>
      <c r="D906" s="687" t="s">
        <v>5025</v>
      </c>
      <c r="E906" s="688"/>
      <c r="F906" s="312" t="s">
        <v>5026</v>
      </c>
      <c r="G906" s="313">
        <v>44860</v>
      </c>
      <c r="H906" s="624"/>
      <c r="I906" s="625"/>
      <c r="J906" s="626"/>
      <c r="K906" s="627"/>
      <c r="L906" s="628"/>
      <c r="M906" s="629"/>
      <c r="N906" s="627"/>
      <c r="O906" s="628"/>
      <c r="P906" s="630"/>
      <c r="Q906" s="631"/>
      <c r="R906" s="715"/>
      <c r="S906" s="910"/>
      <c r="T906" s="632"/>
      <c r="U906" s="633"/>
      <c r="V906" s="634"/>
      <c r="W906" s="635"/>
      <c r="X906" s="636"/>
      <c r="Y906" s="637"/>
      <c r="Z906" s="987"/>
      <c r="AA906" s="919"/>
      <c r="AB906" s="908"/>
      <c r="AC906" s="314"/>
      <c r="AD906" s="317"/>
      <c r="AE906" s="669"/>
      <c r="AF906" s="718"/>
      <c r="AG906" s="211"/>
      <c r="AH906" s="210"/>
    </row>
    <row r="907" spans="1:34" s="4" customFormat="1">
      <c r="A907" s="2"/>
      <c r="B907" s="310"/>
      <c r="C907" s="311"/>
      <c r="D907" s="687"/>
      <c r="E907" s="688"/>
      <c r="F907" s="312" t="s">
        <v>5027</v>
      </c>
      <c r="G907" s="313"/>
      <c r="H907" s="624"/>
      <c r="I907" s="625"/>
      <c r="J907" s="626"/>
      <c r="K907" s="627"/>
      <c r="L907" s="628"/>
      <c r="M907" s="629"/>
      <c r="N907" s="627"/>
      <c r="O907" s="628"/>
      <c r="P907" s="630"/>
      <c r="Q907" s="631"/>
      <c r="R907" s="715"/>
      <c r="S907" s="910"/>
      <c r="T907" s="632"/>
      <c r="U907" s="633"/>
      <c r="V907" s="634"/>
      <c r="W907" s="635"/>
      <c r="X907" s="636"/>
      <c r="Y907" s="637"/>
      <c r="Z907" s="987"/>
      <c r="AA907" s="919"/>
      <c r="AB907" s="908"/>
      <c r="AC907" s="314"/>
      <c r="AD907" s="317"/>
      <c r="AE907" s="669"/>
      <c r="AF907" s="718"/>
      <c r="AG907" s="211"/>
      <c r="AH907" s="210"/>
    </row>
    <row r="908" spans="1:34" s="4" customFormat="1">
      <c r="A908" s="2"/>
      <c r="B908" s="310" t="s">
        <v>119</v>
      </c>
      <c r="C908" s="311" t="s">
        <v>27</v>
      </c>
      <c r="D908" s="687" t="s">
        <v>5028</v>
      </c>
      <c r="E908" s="688"/>
      <c r="F908" s="312" t="s">
        <v>5029</v>
      </c>
      <c r="G908" s="313">
        <v>44860</v>
      </c>
      <c r="H908" s="624"/>
      <c r="I908" s="625"/>
      <c r="J908" s="626"/>
      <c r="K908" s="627"/>
      <c r="L908" s="628"/>
      <c r="M908" s="629"/>
      <c r="N908" s="627"/>
      <c r="O908" s="628"/>
      <c r="P908" s="630"/>
      <c r="Q908" s="631"/>
      <c r="R908" s="715"/>
      <c r="S908" s="910"/>
      <c r="T908" s="632"/>
      <c r="U908" s="633"/>
      <c r="V908" s="634"/>
      <c r="W908" s="635"/>
      <c r="X908" s="636"/>
      <c r="Y908" s="637"/>
      <c r="Z908" s="987"/>
      <c r="AA908" s="919"/>
      <c r="AB908" s="908"/>
      <c r="AC908" s="314"/>
      <c r="AD908" s="317"/>
      <c r="AE908" s="669"/>
      <c r="AF908" s="718"/>
      <c r="AG908" s="211"/>
      <c r="AH908" s="210"/>
    </row>
    <row r="909" spans="1:34" s="4" customFormat="1">
      <c r="A909" s="2"/>
      <c r="B909" s="310" t="s">
        <v>119</v>
      </c>
      <c r="C909" s="311" t="s">
        <v>27</v>
      </c>
      <c r="D909" s="688" t="s">
        <v>5030</v>
      </c>
      <c r="F909" s="312" t="s">
        <v>5031</v>
      </c>
      <c r="G909" s="313">
        <v>44860</v>
      </c>
      <c r="H909" s="624"/>
      <c r="I909" s="625"/>
      <c r="J909" s="626"/>
      <c r="K909" s="627"/>
      <c r="L909" s="628"/>
      <c r="M909" s="629"/>
      <c r="N909" s="627"/>
      <c r="O909" s="628"/>
      <c r="P909" s="630"/>
      <c r="Q909" s="631"/>
      <c r="R909" s="715"/>
      <c r="S909" s="910"/>
      <c r="T909" s="632"/>
      <c r="U909" s="633"/>
      <c r="V909" s="634"/>
      <c r="W909" s="635"/>
      <c r="X909" s="636"/>
      <c r="Y909" s="637"/>
      <c r="Z909" s="987"/>
      <c r="AA909" s="919"/>
      <c r="AB909" s="908"/>
      <c r="AC909" s="314"/>
      <c r="AD909" s="317"/>
      <c r="AE909" s="669"/>
      <c r="AF909" s="718"/>
      <c r="AG909" s="211"/>
      <c r="AH909" s="210"/>
    </row>
    <row r="910" spans="1:34" s="4" customFormat="1">
      <c r="A910" s="2"/>
      <c r="B910" s="310" t="s">
        <v>115</v>
      </c>
      <c r="C910" s="311" t="s">
        <v>27</v>
      </c>
      <c r="D910" s="687"/>
      <c r="E910" s="688"/>
      <c r="F910" s="312" t="s">
        <v>5032</v>
      </c>
      <c r="G910" s="768">
        <v>44846</v>
      </c>
      <c r="H910" s="624"/>
      <c r="I910" s="625"/>
      <c r="J910" s="626"/>
      <c r="K910" s="627"/>
      <c r="L910" s="628"/>
      <c r="M910" s="629"/>
      <c r="N910" s="627"/>
      <c r="O910" s="628"/>
      <c r="P910" s="630"/>
      <c r="Q910" s="631"/>
      <c r="R910" s="715"/>
      <c r="S910" s="910"/>
      <c r="T910" s="632"/>
      <c r="U910" s="633"/>
      <c r="V910" s="634"/>
      <c r="W910" s="635"/>
      <c r="X910" s="636"/>
      <c r="Y910" s="637"/>
      <c r="Z910" s="987"/>
      <c r="AA910" s="919"/>
      <c r="AB910" s="908"/>
      <c r="AC910" s="314" t="s">
        <v>5033</v>
      </c>
      <c r="AD910" s="317"/>
      <c r="AE910" s="669"/>
      <c r="AF910" s="718"/>
      <c r="AG910" s="211"/>
      <c r="AH910" s="210"/>
    </row>
    <row r="911" spans="1:34" s="4" customFormat="1">
      <c r="A911" s="2"/>
      <c r="B911" s="310" t="s">
        <v>115</v>
      </c>
      <c r="C911" s="311" t="s">
        <v>27</v>
      </c>
      <c r="D911" s="687"/>
      <c r="E911" s="688"/>
      <c r="F911" s="312" t="s">
        <v>5034</v>
      </c>
      <c r="G911" s="313">
        <v>44851</v>
      </c>
      <c r="H911" s="624"/>
      <c r="I911" s="625"/>
      <c r="J911" s="626"/>
      <c r="K911" s="627"/>
      <c r="L911" s="628"/>
      <c r="M911" s="629"/>
      <c r="N911" s="627"/>
      <c r="O911" s="628"/>
      <c r="P911" s="630"/>
      <c r="Q911" s="631"/>
      <c r="R911" s="715"/>
      <c r="S911" s="910"/>
      <c r="T911" s="632"/>
      <c r="U911" s="633"/>
      <c r="V911" s="634"/>
      <c r="W911" s="635"/>
      <c r="X911" s="636"/>
      <c r="Y911" s="637"/>
      <c r="Z911" s="987"/>
      <c r="AA911" s="919"/>
      <c r="AB911" s="908"/>
      <c r="AC911" s="314" t="s">
        <v>5035</v>
      </c>
      <c r="AD911" s="317"/>
      <c r="AE911" s="669"/>
      <c r="AF911" s="718"/>
      <c r="AG911" s="211"/>
      <c r="AH911" s="210"/>
    </row>
    <row r="912" spans="1:34" s="4" customFormat="1">
      <c r="A912" s="2"/>
      <c r="B912" s="310" t="s">
        <v>106</v>
      </c>
      <c r="C912" s="311" t="s">
        <v>33</v>
      </c>
      <c r="D912" s="687" t="s">
        <v>5036</v>
      </c>
      <c r="E912" s="688"/>
      <c r="F912" s="312" t="s">
        <v>5037</v>
      </c>
      <c r="G912" s="313">
        <v>44852</v>
      </c>
      <c r="H912" s="624"/>
      <c r="I912" s="625"/>
      <c r="J912" s="626"/>
      <c r="K912" s="627" t="s">
        <v>5038</v>
      </c>
      <c r="L912" s="628"/>
      <c r="M912" s="629"/>
      <c r="N912" s="627"/>
      <c r="O912" s="628"/>
      <c r="P912" s="630" t="s">
        <v>5039</v>
      </c>
      <c r="Q912" s="631">
        <v>44965</v>
      </c>
      <c r="R912" s="715">
        <v>44979</v>
      </c>
      <c r="S912" s="1068"/>
      <c r="T912" s="632">
        <v>27007</v>
      </c>
      <c r="U912" s="633" t="s">
        <v>5040</v>
      </c>
      <c r="V912" s="634">
        <v>44966</v>
      </c>
      <c r="W912" s="635" t="s">
        <v>2302</v>
      </c>
      <c r="X912" s="636">
        <v>27007</v>
      </c>
      <c r="Y912" s="636">
        <v>27007</v>
      </c>
      <c r="Z912" s="987">
        <f>Y912/X912</f>
        <v>1</v>
      </c>
      <c r="AA912" s="919"/>
      <c r="AB912" s="1055">
        <v>0</v>
      </c>
      <c r="AC912" s="912" t="s">
        <v>5041</v>
      </c>
      <c r="AD912" s="913"/>
      <c r="AE912" s="669"/>
      <c r="AF912" s="718"/>
      <c r="AG912" s="211"/>
      <c r="AH912" s="210"/>
    </row>
    <row r="913" spans="1:34" s="4" customFormat="1">
      <c r="A913" s="2"/>
      <c r="B913" s="310" t="s">
        <v>115</v>
      </c>
      <c r="C913" s="311" t="s">
        <v>27</v>
      </c>
      <c r="D913" s="687"/>
      <c r="E913" s="688"/>
      <c r="F913" s="312" t="s">
        <v>5042</v>
      </c>
      <c r="G913" s="313">
        <v>44852</v>
      </c>
      <c r="H913" s="624"/>
      <c r="I913" s="625"/>
      <c r="J913" s="626"/>
      <c r="K913" s="627"/>
      <c r="L913" s="628"/>
      <c r="M913" s="629"/>
      <c r="N913" s="627"/>
      <c r="O913" s="628"/>
      <c r="P913" s="630"/>
      <c r="Q913" s="631"/>
      <c r="R913" s="715"/>
      <c r="S913" s="910"/>
      <c r="T913" s="632"/>
      <c r="U913" s="633"/>
      <c r="V913" s="634"/>
      <c r="W913" s="635"/>
      <c r="X913" s="636"/>
      <c r="Y913" s="637"/>
      <c r="Z913" s="987"/>
      <c r="AA913" s="919"/>
      <c r="AB913" s="908"/>
      <c r="AC913" s="314" t="s">
        <v>5043</v>
      </c>
      <c r="AD913" s="317"/>
      <c r="AE913" s="669"/>
      <c r="AF913" s="718"/>
      <c r="AG913" s="211"/>
      <c r="AH913" s="210"/>
    </row>
    <row r="914" spans="1:34" s="4" customFormat="1">
      <c r="A914" s="2"/>
      <c r="B914" s="310" t="s">
        <v>115</v>
      </c>
      <c r="C914" s="311" t="s">
        <v>27</v>
      </c>
      <c r="D914" s="687"/>
      <c r="E914" s="688"/>
      <c r="F914" s="312" t="s">
        <v>5044</v>
      </c>
      <c r="G914" s="313">
        <v>44853</v>
      </c>
      <c r="H914" s="624"/>
      <c r="I914" s="625"/>
      <c r="J914" s="626"/>
      <c r="K914" s="627"/>
      <c r="L914" s="628"/>
      <c r="M914" s="629"/>
      <c r="N914" s="627"/>
      <c r="O914" s="628"/>
      <c r="P914" s="630"/>
      <c r="Q914" s="631"/>
      <c r="R914" s="715"/>
      <c r="S914" s="910"/>
      <c r="T914" s="632"/>
      <c r="U914" s="633"/>
      <c r="V914" s="634"/>
      <c r="W914" s="635"/>
      <c r="X914" s="636"/>
      <c r="Y914" s="637"/>
      <c r="Z914" s="987"/>
      <c r="AA914" s="919"/>
      <c r="AB914" s="908"/>
      <c r="AC914" s="314" t="s">
        <v>5045</v>
      </c>
      <c r="AD914" s="317"/>
      <c r="AE914" s="669"/>
      <c r="AF914" s="718"/>
      <c r="AG914" s="211"/>
      <c r="AH914" s="210"/>
    </row>
    <row r="915" spans="1:34" s="4" customFormat="1">
      <c r="A915" s="2"/>
      <c r="B915" s="310" t="s">
        <v>106</v>
      </c>
      <c r="C915" s="311" t="s">
        <v>33</v>
      </c>
      <c r="D915" s="687" t="s">
        <v>5046</v>
      </c>
      <c r="E915" s="688"/>
      <c r="F915" s="312" t="s">
        <v>5047</v>
      </c>
      <c r="G915" s="313">
        <v>44853</v>
      </c>
      <c r="H915" s="624"/>
      <c r="I915" s="625"/>
      <c r="J915" s="626"/>
      <c r="K915" s="627" t="s">
        <v>5048</v>
      </c>
      <c r="L915" s="628">
        <v>44868</v>
      </c>
      <c r="M915" s="629">
        <v>40000</v>
      </c>
      <c r="N915" s="627" t="s">
        <v>5049</v>
      </c>
      <c r="O915" s="628">
        <v>44868</v>
      </c>
      <c r="P915" s="630" t="s">
        <v>5050</v>
      </c>
      <c r="Q915" s="631">
        <v>44890</v>
      </c>
      <c r="R915" s="715">
        <v>44949</v>
      </c>
      <c r="S915" s="1068"/>
      <c r="T915" s="632">
        <v>39976.58</v>
      </c>
      <c r="U915" s="633" t="s">
        <v>5051</v>
      </c>
      <c r="V915" s="634">
        <v>44937</v>
      </c>
      <c r="W915" s="635" t="s">
        <v>2302</v>
      </c>
      <c r="X915" s="636">
        <v>39976.58</v>
      </c>
      <c r="Y915" s="636">
        <v>39976.58</v>
      </c>
      <c r="Z915" s="987">
        <f>Y915/X915</f>
        <v>1</v>
      </c>
      <c r="AA915" s="919"/>
      <c r="AB915" s="1055">
        <v>0</v>
      </c>
      <c r="AC915" s="912" t="s">
        <v>5052</v>
      </c>
      <c r="AD915" s="913"/>
      <c r="AE915" s="669"/>
      <c r="AF915" s="718"/>
      <c r="AG915" s="211"/>
      <c r="AH915" s="210"/>
    </row>
    <row r="916" spans="1:34" s="4" customFormat="1">
      <c r="A916" s="2"/>
      <c r="B916" s="310" t="s">
        <v>115</v>
      </c>
      <c r="C916" s="311" t="s">
        <v>27</v>
      </c>
      <c r="D916" s="687"/>
      <c r="E916" s="688"/>
      <c r="F916" s="312" t="s">
        <v>5053</v>
      </c>
      <c r="G916" s="313">
        <v>44855</v>
      </c>
      <c r="H916" s="624"/>
      <c r="I916" s="625"/>
      <c r="J916" s="626"/>
      <c r="K916" s="627"/>
      <c r="L916" s="628"/>
      <c r="M916" s="629"/>
      <c r="N916" s="627"/>
      <c r="O916" s="628"/>
      <c r="P916" s="630"/>
      <c r="Q916" s="631"/>
      <c r="R916" s="715"/>
      <c r="S916" s="910"/>
      <c r="T916" s="632"/>
      <c r="U916" s="633"/>
      <c r="V916" s="634"/>
      <c r="W916" s="635"/>
      <c r="X916" s="636"/>
      <c r="Y916" s="637"/>
      <c r="Z916" s="987"/>
      <c r="AA916" s="919"/>
      <c r="AB916" s="908"/>
      <c r="AC916" s="314" t="s">
        <v>5054</v>
      </c>
      <c r="AD916" s="317"/>
      <c r="AE916" s="669"/>
      <c r="AF916" s="718"/>
      <c r="AG916" s="211"/>
      <c r="AH916" s="210"/>
    </row>
    <row r="917" spans="1:34" s="4" customFormat="1">
      <c r="A917" s="2"/>
      <c r="B917" s="310" t="s">
        <v>115</v>
      </c>
      <c r="C917" s="311" t="s">
        <v>27</v>
      </c>
      <c r="D917" s="687"/>
      <c r="E917" s="688"/>
      <c r="F917" s="312" t="s">
        <v>5055</v>
      </c>
      <c r="G917" s="313">
        <v>44855</v>
      </c>
      <c r="H917" s="624"/>
      <c r="I917" s="625"/>
      <c r="J917" s="626"/>
      <c r="K917" s="627"/>
      <c r="L917" s="628"/>
      <c r="M917" s="629"/>
      <c r="N917" s="627"/>
      <c r="O917" s="628"/>
      <c r="P917" s="630"/>
      <c r="Q917" s="631"/>
      <c r="R917" s="715"/>
      <c r="S917" s="910"/>
      <c r="T917" s="632"/>
      <c r="U917" s="633"/>
      <c r="V917" s="634"/>
      <c r="W917" s="635"/>
      <c r="X917" s="636"/>
      <c r="Y917" s="637"/>
      <c r="Z917" s="987"/>
      <c r="AA917" s="919"/>
      <c r="AB917" s="908"/>
      <c r="AC917" s="314" t="s">
        <v>5056</v>
      </c>
      <c r="AD917" s="317"/>
      <c r="AE917" s="669"/>
      <c r="AF917" s="718"/>
      <c r="AG917" s="211"/>
      <c r="AH917" s="210"/>
    </row>
    <row r="918" spans="1:34" s="4" customFormat="1">
      <c r="A918" s="2"/>
      <c r="B918" s="310" t="s">
        <v>115</v>
      </c>
      <c r="C918" s="311" t="s">
        <v>27</v>
      </c>
      <c r="D918" s="687"/>
      <c r="E918" s="688"/>
      <c r="F918" s="312" t="s">
        <v>5057</v>
      </c>
      <c r="G918" s="313">
        <v>44858</v>
      </c>
      <c r="H918" s="624"/>
      <c r="I918" s="625"/>
      <c r="J918" s="626"/>
      <c r="K918" s="627"/>
      <c r="L918" s="628"/>
      <c r="M918" s="629"/>
      <c r="N918" s="627"/>
      <c r="O918" s="628"/>
      <c r="P918" s="630"/>
      <c r="Q918" s="631"/>
      <c r="R918" s="715"/>
      <c r="S918" s="910"/>
      <c r="T918" s="632"/>
      <c r="U918" s="633"/>
      <c r="V918" s="634"/>
      <c r="W918" s="635"/>
      <c r="X918" s="636"/>
      <c r="Y918" s="637"/>
      <c r="Z918" s="987"/>
      <c r="AA918" s="919"/>
      <c r="AB918" s="908"/>
      <c r="AC918" s="314" t="s">
        <v>5058</v>
      </c>
      <c r="AD918" s="317"/>
      <c r="AE918" s="669"/>
      <c r="AF918" s="718"/>
      <c r="AG918" s="211"/>
      <c r="AH918" s="210"/>
    </row>
    <row r="919" spans="1:34" s="4" customFormat="1">
      <c r="A919" s="2"/>
      <c r="B919" s="310" t="s">
        <v>115</v>
      </c>
      <c r="C919" s="311" t="s">
        <v>27</v>
      </c>
      <c r="D919" s="687"/>
      <c r="E919" s="688"/>
      <c r="F919" s="312" t="s">
        <v>5059</v>
      </c>
      <c r="G919" s="313">
        <v>44859</v>
      </c>
      <c r="H919" s="624"/>
      <c r="I919" s="625"/>
      <c r="J919" s="626"/>
      <c r="K919" s="627"/>
      <c r="L919" s="628"/>
      <c r="M919" s="629"/>
      <c r="N919" s="627"/>
      <c r="O919" s="628"/>
      <c r="P919" s="630"/>
      <c r="Q919" s="631"/>
      <c r="R919" s="715"/>
      <c r="S919" s="910"/>
      <c r="T919" s="632"/>
      <c r="U919" s="633"/>
      <c r="V919" s="634"/>
      <c r="W919" s="635"/>
      <c r="X919" s="636"/>
      <c r="Y919" s="637"/>
      <c r="Z919" s="987"/>
      <c r="AA919" s="919"/>
      <c r="AB919" s="908"/>
      <c r="AC919" s="314" t="s">
        <v>5060</v>
      </c>
      <c r="AD919" s="317"/>
      <c r="AE919" s="669"/>
      <c r="AF919" s="718"/>
      <c r="AG919" s="211"/>
      <c r="AH919" s="210"/>
    </row>
    <row r="920" spans="1:34" s="4" customFormat="1">
      <c r="A920" s="2"/>
      <c r="B920" s="310" t="s">
        <v>115</v>
      </c>
      <c r="C920" s="311" t="s">
        <v>27</v>
      </c>
      <c r="D920" s="687"/>
      <c r="E920" s="688"/>
      <c r="F920" s="312" t="s">
        <v>5061</v>
      </c>
      <c r="G920" s="313">
        <v>44862</v>
      </c>
      <c r="H920" s="624"/>
      <c r="I920" s="625"/>
      <c r="J920" s="626"/>
      <c r="K920" s="627"/>
      <c r="L920" s="628"/>
      <c r="M920" s="629"/>
      <c r="N920" s="627"/>
      <c r="O920" s="628"/>
      <c r="P920" s="630"/>
      <c r="Q920" s="631"/>
      <c r="R920" s="715"/>
      <c r="S920" s="910"/>
      <c r="T920" s="632"/>
      <c r="U920" s="633"/>
      <c r="V920" s="634"/>
      <c r="W920" s="635"/>
      <c r="X920" s="636"/>
      <c r="Y920" s="637"/>
      <c r="Z920" s="987"/>
      <c r="AA920" s="919"/>
      <c r="AB920" s="908"/>
      <c r="AC920" s="314" t="s">
        <v>5062</v>
      </c>
      <c r="AD920" s="317"/>
      <c r="AE920" s="669"/>
      <c r="AF920" s="718"/>
      <c r="AG920" s="211"/>
      <c r="AH920" s="210"/>
    </row>
    <row r="921" spans="1:34" s="4" customFormat="1">
      <c r="A921" s="2"/>
      <c r="B921" s="310" t="s">
        <v>115</v>
      </c>
      <c r="C921" s="311" t="s">
        <v>27</v>
      </c>
      <c r="D921" s="687"/>
      <c r="E921" s="688"/>
      <c r="F921" s="312" t="s">
        <v>5063</v>
      </c>
      <c r="G921" s="313">
        <v>44862</v>
      </c>
      <c r="H921" s="624"/>
      <c r="I921" s="625"/>
      <c r="J921" s="626"/>
      <c r="K921" s="627"/>
      <c r="L921" s="628"/>
      <c r="M921" s="629"/>
      <c r="N921" s="627"/>
      <c r="O921" s="628"/>
      <c r="P921" s="630"/>
      <c r="Q921" s="631"/>
      <c r="R921" s="715"/>
      <c r="S921" s="910"/>
      <c r="T921" s="632"/>
      <c r="U921" s="633"/>
      <c r="V921" s="634"/>
      <c r="W921" s="635"/>
      <c r="X921" s="636"/>
      <c r="Y921" s="637"/>
      <c r="Z921" s="987"/>
      <c r="AA921" s="919"/>
      <c r="AB921" s="908"/>
      <c r="AC921" s="314" t="s">
        <v>5064</v>
      </c>
      <c r="AD921" s="317"/>
      <c r="AE921" s="669"/>
      <c r="AF921" s="718"/>
      <c r="AG921" s="211"/>
      <c r="AH921" s="210"/>
    </row>
    <row r="922" spans="1:34" s="4" customFormat="1">
      <c r="A922" s="2"/>
      <c r="B922" s="310" t="s">
        <v>115</v>
      </c>
      <c r="C922" s="311" t="s">
        <v>27</v>
      </c>
      <c r="D922" s="687"/>
      <c r="E922" s="688"/>
      <c r="F922" s="312" t="s">
        <v>5065</v>
      </c>
      <c r="G922" s="313">
        <v>44865</v>
      </c>
      <c r="H922" s="624"/>
      <c r="I922" s="625"/>
      <c r="J922" s="626"/>
      <c r="K922" s="627"/>
      <c r="L922" s="628"/>
      <c r="M922" s="629"/>
      <c r="N922" s="627"/>
      <c r="O922" s="628"/>
      <c r="P922" s="630"/>
      <c r="Q922" s="631"/>
      <c r="R922" s="715"/>
      <c r="S922" s="910"/>
      <c r="T922" s="632"/>
      <c r="U922" s="633"/>
      <c r="V922" s="634"/>
      <c r="W922" s="635"/>
      <c r="X922" s="636"/>
      <c r="Y922" s="637"/>
      <c r="Z922" s="987"/>
      <c r="AA922" s="919"/>
      <c r="AB922" s="908"/>
      <c r="AC922" s="314" t="s">
        <v>5066</v>
      </c>
      <c r="AD922" s="317"/>
      <c r="AE922" s="669"/>
      <c r="AF922" s="718"/>
      <c r="AG922" s="211"/>
      <c r="AH922" s="210"/>
    </row>
    <row r="923" spans="1:34" s="4" customFormat="1">
      <c r="A923" s="2"/>
      <c r="B923" s="310" t="s">
        <v>119</v>
      </c>
      <c r="C923" s="311" t="s">
        <v>27</v>
      </c>
      <c r="D923" s="687" t="s">
        <v>5067</v>
      </c>
      <c r="E923" s="688"/>
      <c r="F923" s="312" t="s">
        <v>5068</v>
      </c>
      <c r="G923" s="313">
        <v>44890</v>
      </c>
      <c r="H923" s="624"/>
      <c r="I923" s="625"/>
      <c r="J923" s="626"/>
      <c r="K923" s="627"/>
      <c r="L923" s="628"/>
      <c r="M923" s="629"/>
      <c r="N923" s="627"/>
      <c r="O923" s="628"/>
      <c r="P923" s="630"/>
      <c r="Q923" s="631"/>
      <c r="R923" s="715"/>
      <c r="S923" s="910"/>
      <c r="T923" s="632"/>
      <c r="U923" s="633"/>
      <c r="V923" s="634"/>
      <c r="W923" s="635"/>
      <c r="X923" s="636"/>
      <c r="Y923" s="637"/>
      <c r="Z923" s="987"/>
      <c r="AA923" s="919"/>
      <c r="AB923" s="908"/>
      <c r="AC923" s="314"/>
      <c r="AD923" s="317"/>
      <c r="AE923" s="669"/>
      <c r="AF923" s="718"/>
      <c r="AG923" s="211"/>
      <c r="AH923" s="210"/>
    </row>
    <row r="924" spans="1:34" s="4" customFormat="1">
      <c r="A924" s="2"/>
      <c r="B924" s="310" t="s">
        <v>106</v>
      </c>
      <c r="C924" s="311" t="s">
        <v>33</v>
      </c>
      <c r="D924" s="687" t="s">
        <v>5069</v>
      </c>
      <c r="E924" s="688"/>
      <c r="F924" s="312" t="s">
        <v>5070</v>
      </c>
      <c r="G924" s="313">
        <v>44865</v>
      </c>
      <c r="H924" s="624"/>
      <c r="I924" s="625"/>
      <c r="J924" s="626"/>
      <c r="K924" s="627" t="s">
        <v>5071</v>
      </c>
      <c r="L924" s="628">
        <v>44879</v>
      </c>
      <c r="M924" s="629">
        <v>4900</v>
      </c>
      <c r="N924" s="627" t="s">
        <v>5072</v>
      </c>
      <c r="O924" s="628">
        <v>44879</v>
      </c>
      <c r="P924" s="630" t="s">
        <v>5073</v>
      </c>
      <c r="Q924" s="631">
        <v>44909</v>
      </c>
      <c r="R924" s="715">
        <v>44923</v>
      </c>
      <c r="S924" s="1068"/>
      <c r="T924" s="632">
        <v>9723.06</v>
      </c>
      <c r="U924" s="633" t="s">
        <v>5074</v>
      </c>
      <c r="V924" s="634">
        <v>44917</v>
      </c>
      <c r="W924" s="635" t="s">
        <v>96</v>
      </c>
      <c r="X924" s="636">
        <v>9723.06</v>
      </c>
      <c r="Y924" s="636">
        <v>9723.06</v>
      </c>
      <c r="Z924" s="987">
        <f t="shared" ref="Z924:Z925" si="49">Y924/X924</f>
        <v>1</v>
      </c>
      <c r="AA924" s="919"/>
      <c r="AB924" s="1055">
        <v>0</v>
      </c>
      <c r="AC924" s="912" t="s">
        <v>5075</v>
      </c>
      <c r="AD924" s="913"/>
      <c r="AE924" s="669"/>
      <c r="AF924" s="718"/>
      <c r="AG924" s="211"/>
      <c r="AH924" s="210"/>
    </row>
    <row r="925" spans="1:34" s="4" customFormat="1">
      <c r="A925" s="2"/>
      <c r="B925" s="310" t="s">
        <v>106</v>
      </c>
      <c r="C925" s="311" t="s">
        <v>33</v>
      </c>
      <c r="D925" s="687" t="s">
        <v>5076</v>
      </c>
      <c r="E925" s="688"/>
      <c r="F925" s="312" t="s">
        <v>5077</v>
      </c>
      <c r="G925" s="313">
        <v>44865</v>
      </c>
      <c r="H925" s="624"/>
      <c r="I925" s="625"/>
      <c r="J925" s="626"/>
      <c r="K925" s="627" t="s">
        <v>5078</v>
      </c>
      <c r="L925" s="628">
        <v>44880</v>
      </c>
      <c r="M925" s="629">
        <v>50000</v>
      </c>
      <c r="N925" s="627" t="s">
        <v>5079</v>
      </c>
      <c r="O925" s="628">
        <v>44880</v>
      </c>
      <c r="P925" s="630" t="s">
        <v>5080</v>
      </c>
      <c r="Q925" s="631">
        <v>44986</v>
      </c>
      <c r="R925" s="715">
        <v>45047</v>
      </c>
      <c r="S925" s="1068"/>
      <c r="T925" s="632">
        <v>43767.44</v>
      </c>
      <c r="U925" s="633" t="s">
        <v>5081</v>
      </c>
      <c r="V925" s="634">
        <v>45043</v>
      </c>
      <c r="W925" s="635" t="s">
        <v>2302</v>
      </c>
      <c r="X925" s="636">
        <v>43767.44</v>
      </c>
      <c r="Y925" s="636">
        <v>43767.44</v>
      </c>
      <c r="Z925" s="987">
        <f t="shared" si="49"/>
        <v>1</v>
      </c>
      <c r="AA925" s="919"/>
      <c r="AB925" s="1055">
        <v>0</v>
      </c>
      <c r="AC925" s="912" t="s">
        <v>5082</v>
      </c>
      <c r="AD925" s="913"/>
      <c r="AE925" s="669"/>
      <c r="AF925" s="718"/>
      <c r="AG925" s="211"/>
      <c r="AH925" s="210"/>
    </row>
    <row r="926" spans="1:34" s="4" customFormat="1">
      <c r="A926" s="2"/>
      <c r="B926" s="310" t="s">
        <v>115</v>
      </c>
      <c r="C926" s="311" t="s">
        <v>27</v>
      </c>
      <c r="D926" s="687"/>
      <c r="E926" s="688"/>
      <c r="F926" s="312" t="s">
        <v>5083</v>
      </c>
      <c r="G926" s="313">
        <v>44865</v>
      </c>
      <c r="H926" s="624"/>
      <c r="I926" s="625"/>
      <c r="J926" s="626"/>
      <c r="K926" s="627"/>
      <c r="L926" s="628"/>
      <c r="M926" s="629"/>
      <c r="N926" s="627"/>
      <c r="O926" s="628"/>
      <c r="P926" s="630"/>
      <c r="Q926" s="631"/>
      <c r="R926" s="715"/>
      <c r="S926" s="910"/>
      <c r="T926" s="632"/>
      <c r="U926" s="633"/>
      <c r="V926" s="634"/>
      <c r="W926" s="635"/>
      <c r="X926" s="636"/>
      <c r="Y926" s="637"/>
      <c r="Z926" s="987"/>
      <c r="AA926" s="919"/>
      <c r="AB926" s="908"/>
      <c r="AC926" s="314" t="s">
        <v>5084</v>
      </c>
      <c r="AD926" s="317"/>
      <c r="AE926" s="669"/>
      <c r="AF926" s="718"/>
      <c r="AG926" s="211"/>
      <c r="AH926" s="210"/>
    </row>
    <row r="927" spans="1:34" s="4" customFormat="1">
      <c r="A927" s="2"/>
      <c r="B927" s="310" t="s">
        <v>115</v>
      </c>
      <c r="C927" s="311" t="s">
        <v>27</v>
      </c>
      <c r="D927" s="687"/>
      <c r="E927" s="688"/>
      <c r="F927" s="312" t="s">
        <v>5085</v>
      </c>
      <c r="G927" s="313">
        <v>44866</v>
      </c>
      <c r="H927" s="624"/>
      <c r="I927" s="625"/>
      <c r="J927" s="626"/>
      <c r="K927" s="627"/>
      <c r="L927" s="628"/>
      <c r="M927" s="629"/>
      <c r="N927" s="627"/>
      <c r="O927" s="628"/>
      <c r="P927" s="630"/>
      <c r="Q927" s="631"/>
      <c r="R927" s="715"/>
      <c r="S927" s="910"/>
      <c r="T927" s="632"/>
      <c r="U927" s="633"/>
      <c r="V927" s="634"/>
      <c r="W927" s="635"/>
      <c r="X927" s="636"/>
      <c r="Y927" s="637"/>
      <c r="Z927" s="987"/>
      <c r="AA927" s="919"/>
      <c r="AB927" s="908"/>
      <c r="AC927" s="314" t="s">
        <v>5086</v>
      </c>
      <c r="AD927" s="317"/>
      <c r="AE927" s="669"/>
      <c r="AF927" s="718"/>
      <c r="AG927" s="211"/>
      <c r="AH927" s="210"/>
    </row>
    <row r="928" spans="1:34" s="4" customFormat="1">
      <c r="A928" s="2"/>
      <c r="B928" s="310" t="s">
        <v>115</v>
      </c>
      <c r="C928" s="311" t="s">
        <v>27</v>
      </c>
      <c r="D928" s="687"/>
      <c r="E928" s="688"/>
      <c r="F928" s="312" t="s">
        <v>5087</v>
      </c>
      <c r="G928" s="313">
        <v>44866</v>
      </c>
      <c r="H928" s="624"/>
      <c r="I928" s="625"/>
      <c r="J928" s="626"/>
      <c r="K928" s="627"/>
      <c r="L928" s="628"/>
      <c r="M928" s="629"/>
      <c r="N928" s="627"/>
      <c r="O928" s="628"/>
      <c r="P928" s="630"/>
      <c r="Q928" s="631"/>
      <c r="R928" s="715"/>
      <c r="S928" s="910"/>
      <c r="T928" s="632"/>
      <c r="U928" s="633"/>
      <c r="V928" s="634"/>
      <c r="W928" s="635"/>
      <c r="X928" s="636"/>
      <c r="Y928" s="637"/>
      <c r="Z928" s="987"/>
      <c r="AA928" s="919"/>
      <c r="AB928" s="908"/>
      <c r="AC928" s="314" t="s">
        <v>5088</v>
      </c>
      <c r="AD928" s="317"/>
      <c r="AE928" s="669"/>
      <c r="AF928" s="718"/>
      <c r="AG928" s="211"/>
      <c r="AH928" s="210"/>
    </row>
    <row r="929" spans="1:34" s="4" customFormat="1">
      <c r="A929" s="2"/>
      <c r="B929" s="310" t="s">
        <v>115</v>
      </c>
      <c r="C929" s="311" t="s">
        <v>27</v>
      </c>
      <c r="D929" s="687"/>
      <c r="E929" s="688"/>
      <c r="F929" s="312" t="s">
        <v>5089</v>
      </c>
      <c r="G929" s="313">
        <v>44867</v>
      </c>
      <c r="H929" s="624"/>
      <c r="I929" s="625"/>
      <c r="J929" s="626"/>
      <c r="K929" s="627"/>
      <c r="L929" s="628"/>
      <c r="M929" s="629"/>
      <c r="N929" s="627"/>
      <c r="O929" s="628"/>
      <c r="P929" s="630"/>
      <c r="Q929" s="631"/>
      <c r="R929" s="715"/>
      <c r="S929" s="910"/>
      <c r="T929" s="632"/>
      <c r="U929" s="633"/>
      <c r="V929" s="634"/>
      <c r="W929" s="635"/>
      <c r="X929" s="636"/>
      <c r="Y929" s="637"/>
      <c r="Z929" s="987"/>
      <c r="AA929" s="919"/>
      <c r="AB929" s="908"/>
      <c r="AC929" s="314" t="s">
        <v>5090</v>
      </c>
      <c r="AD929" s="317"/>
      <c r="AE929" s="669"/>
      <c r="AF929" s="718"/>
      <c r="AG929" s="211"/>
      <c r="AH929" s="210"/>
    </row>
    <row r="930" spans="1:34" s="4" customFormat="1">
      <c r="A930" s="2"/>
      <c r="B930" s="310" t="s">
        <v>115</v>
      </c>
      <c r="C930" s="311" t="s">
        <v>27</v>
      </c>
      <c r="D930" s="687"/>
      <c r="E930" s="688"/>
      <c r="F930" s="312" t="s">
        <v>5091</v>
      </c>
      <c r="G930" s="313">
        <v>44872</v>
      </c>
      <c r="H930" s="624"/>
      <c r="I930" s="625"/>
      <c r="J930" s="626"/>
      <c r="K930" s="627"/>
      <c r="L930" s="628"/>
      <c r="M930" s="629"/>
      <c r="N930" s="627"/>
      <c r="O930" s="628"/>
      <c r="P930" s="630"/>
      <c r="Q930" s="631"/>
      <c r="R930" s="715"/>
      <c r="S930" s="910"/>
      <c r="T930" s="632"/>
      <c r="U930" s="633"/>
      <c r="V930" s="634"/>
      <c r="W930" s="635"/>
      <c r="X930" s="636"/>
      <c r="Y930" s="637"/>
      <c r="Z930" s="987"/>
      <c r="AA930" s="919"/>
      <c r="AB930" s="908"/>
      <c r="AC930" s="314" t="s">
        <v>5092</v>
      </c>
      <c r="AD930" s="317"/>
      <c r="AE930" s="669"/>
      <c r="AF930" s="718"/>
      <c r="AG930" s="211"/>
      <c r="AH930" s="210"/>
    </row>
    <row r="931" spans="1:34" s="4" customFormat="1">
      <c r="A931" s="2"/>
      <c r="B931" s="310" t="s">
        <v>115</v>
      </c>
      <c r="C931" s="311" t="s">
        <v>27</v>
      </c>
      <c r="D931" s="687"/>
      <c r="E931" s="688"/>
      <c r="F931" s="312" t="s">
        <v>5093</v>
      </c>
      <c r="G931" s="313">
        <v>44872</v>
      </c>
      <c r="H931" s="624"/>
      <c r="I931" s="625"/>
      <c r="J931" s="626"/>
      <c r="K931" s="627"/>
      <c r="L931" s="628"/>
      <c r="M931" s="629"/>
      <c r="N931" s="627"/>
      <c r="O931" s="628"/>
      <c r="P931" s="630"/>
      <c r="Q931" s="631"/>
      <c r="R931" s="715"/>
      <c r="S931" s="910"/>
      <c r="T931" s="632"/>
      <c r="U931" s="633"/>
      <c r="V931" s="634"/>
      <c r="W931" s="635"/>
      <c r="X931" s="636"/>
      <c r="Y931" s="637"/>
      <c r="Z931" s="987"/>
      <c r="AA931" s="919"/>
      <c r="AB931" s="908"/>
      <c r="AC931" s="314" t="s">
        <v>5094</v>
      </c>
      <c r="AD931" s="317"/>
      <c r="AE931" s="669"/>
      <c r="AF931" s="718"/>
      <c r="AG931" s="211"/>
      <c r="AH931" s="210"/>
    </row>
    <row r="932" spans="1:34" s="4" customFormat="1">
      <c r="A932" s="2"/>
      <c r="B932" s="310" t="s">
        <v>115</v>
      </c>
      <c r="C932" s="311" t="s">
        <v>27</v>
      </c>
      <c r="D932" s="687"/>
      <c r="E932" s="688"/>
      <c r="F932" s="312" t="s">
        <v>5095</v>
      </c>
      <c r="G932" s="313">
        <v>44873</v>
      </c>
      <c r="H932" s="624"/>
      <c r="I932" s="625"/>
      <c r="J932" s="626"/>
      <c r="K932" s="627"/>
      <c r="L932" s="628"/>
      <c r="M932" s="629"/>
      <c r="N932" s="627"/>
      <c r="O932" s="628"/>
      <c r="P932" s="630"/>
      <c r="Q932" s="631"/>
      <c r="R932" s="715"/>
      <c r="S932" s="910"/>
      <c r="T932" s="632"/>
      <c r="U932" s="633"/>
      <c r="V932" s="634"/>
      <c r="W932" s="635"/>
      <c r="X932" s="636"/>
      <c r="Y932" s="637"/>
      <c r="Z932" s="987"/>
      <c r="AA932" s="919"/>
      <c r="AB932" s="908"/>
      <c r="AC932" s="314" t="s">
        <v>5096</v>
      </c>
      <c r="AD932" s="317"/>
      <c r="AE932" s="669"/>
      <c r="AF932" s="718"/>
      <c r="AG932" s="211"/>
      <c r="AH932" s="210"/>
    </row>
    <row r="933" spans="1:34" s="4" customFormat="1">
      <c r="A933" s="2"/>
      <c r="B933" s="310" t="s">
        <v>115</v>
      </c>
      <c r="C933" s="311" t="s">
        <v>27</v>
      </c>
      <c r="D933" s="687"/>
      <c r="E933" s="688"/>
      <c r="F933" s="312" t="s">
        <v>5097</v>
      </c>
      <c r="G933" s="313">
        <v>44874</v>
      </c>
      <c r="H933" s="624"/>
      <c r="I933" s="625"/>
      <c r="J933" s="626"/>
      <c r="K933" s="627"/>
      <c r="L933" s="628"/>
      <c r="M933" s="629"/>
      <c r="N933" s="627"/>
      <c r="O933" s="628"/>
      <c r="P933" s="630"/>
      <c r="Q933" s="631"/>
      <c r="R933" s="715"/>
      <c r="S933" s="910"/>
      <c r="T933" s="632"/>
      <c r="U933" s="633"/>
      <c r="V933" s="634"/>
      <c r="W933" s="635"/>
      <c r="X933" s="636"/>
      <c r="Y933" s="637"/>
      <c r="Z933" s="987"/>
      <c r="AA933" s="919"/>
      <c r="AB933" s="908"/>
      <c r="AC933" s="314" t="s">
        <v>5098</v>
      </c>
      <c r="AD933" s="317"/>
      <c r="AE933" s="669"/>
      <c r="AF933" s="718"/>
      <c r="AG933" s="211"/>
      <c r="AH933" s="210"/>
    </row>
    <row r="934" spans="1:34" s="4" customFormat="1">
      <c r="A934" s="2"/>
      <c r="B934" s="310" t="s">
        <v>115</v>
      </c>
      <c r="C934" s="311" t="s">
        <v>27</v>
      </c>
      <c r="D934" s="687"/>
      <c r="E934" s="688"/>
      <c r="F934" s="312" t="s">
        <v>5099</v>
      </c>
      <c r="G934" s="313">
        <v>44874</v>
      </c>
      <c r="H934" s="624"/>
      <c r="I934" s="625"/>
      <c r="J934" s="626"/>
      <c r="K934" s="627"/>
      <c r="L934" s="628"/>
      <c r="M934" s="629"/>
      <c r="N934" s="627"/>
      <c r="O934" s="628"/>
      <c r="P934" s="630"/>
      <c r="Q934" s="631"/>
      <c r="R934" s="715"/>
      <c r="S934" s="910"/>
      <c r="T934" s="632"/>
      <c r="U934" s="633"/>
      <c r="V934" s="634"/>
      <c r="W934" s="635"/>
      <c r="X934" s="636"/>
      <c r="Y934" s="637"/>
      <c r="Z934" s="987"/>
      <c r="AA934" s="919"/>
      <c r="AB934" s="908"/>
      <c r="AC934" s="314" t="s">
        <v>5100</v>
      </c>
      <c r="AD934" s="317"/>
      <c r="AE934" s="669"/>
      <c r="AF934" s="718"/>
      <c r="AG934" s="211"/>
      <c r="AH934" s="210"/>
    </row>
    <row r="935" spans="1:34" s="4" customFormat="1">
      <c r="A935" s="2"/>
      <c r="B935" s="310" t="s">
        <v>106</v>
      </c>
      <c r="C935" s="311" t="s">
        <v>33</v>
      </c>
      <c r="D935" s="687" t="s">
        <v>5101</v>
      </c>
      <c r="E935" s="688"/>
      <c r="F935" s="312" t="s">
        <v>5102</v>
      </c>
      <c r="G935" s="313">
        <v>44874</v>
      </c>
      <c r="H935" s="624"/>
      <c r="I935" s="625"/>
      <c r="J935" s="626"/>
      <c r="K935" s="627" t="s">
        <v>5103</v>
      </c>
      <c r="L935" s="628">
        <v>44903</v>
      </c>
      <c r="M935" s="629">
        <v>6000</v>
      </c>
      <c r="N935" s="627" t="s">
        <v>5104</v>
      </c>
      <c r="O935" s="628">
        <v>44904</v>
      </c>
      <c r="P935" s="630" t="s">
        <v>5105</v>
      </c>
      <c r="Q935" s="631">
        <v>44937</v>
      </c>
      <c r="R935" s="715">
        <v>44958</v>
      </c>
      <c r="S935" s="1068"/>
      <c r="T935" s="632">
        <v>22283.8</v>
      </c>
      <c r="U935" s="633" t="s">
        <v>5106</v>
      </c>
      <c r="V935" s="634">
        <v>44988</v>
      </c>
      <c r="W935" s="635" t="s">
        <v>2302</v>
      </c>
      <c r="X935" s="636">
        <v>22283.8</v>
      </c>
      <c r="Y935" s="636">
        <v>22283.8</v>
      </c>
      <c r="Z935" s="987">
        <f>Y935/X935</f>
        <v>1</v>
      </c>
      <c r="AA935" s="919"/>
      <c r="AB935" s="1055">
        <v>0</v>
      </c>
      <c r="AC935" s="912" t="s">
        <v>5107</v>
      </c>
      <c r="AD935" s="913"/>
      <c r="AE935" s="669"/>
      <c r="AF935" s="718"/>
      <c r="AG935" s="211"/>
      <c r="AH935" s="210"/>
    </row>
    <row r="936" spans="1:34" s="4" customFormat="1">
      <c r="A936" s="2"/>
      <c r="B936" s="310" t="s">
        <v>115</v>
      </c>
      <c r="C936" s="311" t="s">
        <v>27</v>
      </c>
      <c r="D936" s="687"/>
      <c r="E936" s="688"/>
      <c r="F936" s="312" t="s">
        <v>5108</v>
      </c>
      <c r="G936" s="313">
        <v>44875</v>
      </c>
      <c r="H936" s="624"/>
      <c r="I936" s="625"/>
      <c r="J936" s="626"/>
      <c r="K936" s="627"/>
      <c r="L936" s="628"/>
      <c r="M936" s="629"/>
      <c r="N936" s="627"/>
      <c r="O936" s="628"/>
      <c r="P936" s="630"/>
      <c r="Q936" s="631"/>
      <c r="R936" s="715"/>
      <c r="S936" s="910"/>
      <c r="T936" s="632"/>
      <c r="U936" s="633"/>
      <c r="V936" s="634"/>
      <c r="W936" s="635"/>
      <c r="X936" s="636"/>
      <c r="Y936" s="637"/>
      <c r="Z936" s="987"/>
      <c r="AA936" s="919"/>
      <c r="AB936" s="908"/>
      <c r="AC936" s="314" t="s">
        <v>5109</v>
      </c>
      <c r="AD936" s="317"/>
      <c r="AE936" s="669"/>
      <c r="AF936" s="718"/>
      <c r="AG936" s="211"/>
      <c r="AH936" s="210"/>
    </row>
    <row r="937" spans="1:34" s="4" customFormat="1">
      <c r="A937" s="2"/>
      <c r="B937" s="310" t="s">
        <v>106</v>
      </c>
      <c r="C937" s="311" t="s">
        <v>33</v>
      </c>
      <c r="D937" s="687" t="s">
        <v>5110</v>
      </c>
      <c r="E937" s="688"/>
      <c r="F937" s="312" t="s">
        <v>5111</v>
      </c>
      <c r="G937" s="313">
        <v>44875</v>
      </c>
      <c r="H937" s="624"/>
      <c r="I937" s="625"/>
      <c r="J937" s="626"/>
      <c r="K937" s="627" t="s">
        <v>5112</v>
      </c>
      <c r="L937" s="628">
        <v>44979</v>
      </c>
      <c r="M937" s="629"/>
      <c r="N937" s="627" t="s">
        <v>5113</v>
      </c>
      <c r="O937" s="628">
        <v>44979</v>
      </c>
      <c r="P937" s="630"/>
      <c r="Q937" s="631"/>
      <c r="R937" s="715"/>
      <c r="S937" s="910"/>
      <c r="T937" s="632"/>
      <c r="U937" s="633" t="s">
        <v>5114</v>
      </c>
      <c r="V937" s="634"/>
      <c r="W937" s="635" t="s">
        <v>2302</v>
      </c>
      <c r="X937" s="636"/>
      <c r="Y937" s="637"/>
      <c r="Z937" s="987" t="s">
        <v>268</v>
      </c>
      <c r="AA937" s="919"/>
      <c r="AB937" s="1056"/>
      <c r="AC937" s="736" t="s">
        <v>5115</v>
      </c>
      <c r="AD937" s="317"/>
      <c r="AE937" s="669"/>
      <c r="AF937" s="718"/>
      <c r="AG937" s="211"/>
      <c r="AH937" s="210"/>
    </row>
    <row r="938" spans="1:34" s="4" customFormat="1">
      <c r="A938" s="2"/>
      <c r="B938" s="310" t="s">
        <v>115</v>
      </c>
      <c r="C938" s="311" t="s">
        <v>27</v>
      </c>
      <c r="D938" s="687"/>
      <c r="E938" s="688"/>
      <c r="F938" s="312" t="s">
        <v>5116</v>
      </c>
      <c r="G938" s="313">
        <v>44879</v>
      </c>
      <c r="H938" s="624"/>
      <c r="I938" s="625"/>
      <c r="J938" s="626"/>
      <c r="K938" s="627"/>
      <c r="L938" s="628"/>
      <c r="M938" s="629"/>
      <c r="N938" s="627"/>
      <c r="O938" s="628"/>
      <c r="P938" s="630"/>
      <c r="Q938" s="631"/>
      <c r="R938" s="715"/>
      <c r="S938" s="910"/>
      <c r="T938" s="632"/>
      <c r="U938" s="633"/>
      <c r="V938" s="634"/>
      <c r="W938" s="635"/>
      <c r="X938" s="636"/>
      <c r="Y938" s="637"/>
      <c r="Z938" s="987"/>
      <c r="AA938" s="919"/>
      <c r="AB938" s="908"/>
      <c r="AC938" s="314" t="s">
        <v>5117</v>
      </c>
      <c r="AD938" s="317"/>
      <c r="AE938" s="669"/>
      <c r="AF938" s="718"/>
      <c r="AG938" s="211"/>
      <c r="AH938" s="210"/>
    </row>
    <row r="939" spans="1:34" s="4" customFormat="1">
      <c r="A939" s="2"/>
      <c r="B939" s="310" t="s">
        <v>115</v>
      </c>
      <c r="C939" s="311" t="s">
        <v>27</v>
      </c>
      <c r="D939" s="687"/>
      <c r="E939" s="688"/>
      <c r="F939" s="312" t="s">
        <v>5118</v>
      </c>
      <c r="G939" s="313">
        <v>44880</v>
      </c>
      <c r="H939" s="624"/>
      <c r="I939" s="625"/>
      <c r="J939" s="626"/>
      <c r="K939" s="627"/>
      <c r="L939" s="628"/>
      <c r="M939" s="629"/>
      <c r="N939" s="627"/>
      <c r="O939" s="628"/>
      <c r="P939" s="630"/>
      <c r="Q939" s="631"/>
      <c r="R939" s="715"/>
      <c r="S939" s="910"/>
      <c r="T939" s="632"/>
      <c r="U939" s="633"/>
      <c r="V939" s="634"/>
      <c r="W939" s="635"/>
      <c r="X939" s="636"/>
      <c r="Y939" s="637"/>
      <c r="Z939" s="987"/>
      <c r="AA939" s="919"/>
      <c r="AB939" s="908"/>
      <c r="AC939" s="314" t="s">
        <v>5119</v>
      </c>
      <c r="AD939" s="317"/>
      <c r="AE939" s="669"/>
      <c r="AF939" s="718"/>
      <c r="AG939" s="211"/>
      <c r="AH939" s="210"/>
    </row>
    <row r="940" spans="1:34" s="4" customFormat="1">
      <c r="A940" s="2"/>
      <c r="B940" s="310" t="s">
        <v>106</v>
      </c>
      <c r="C940" s="311" t="s">
        <v>33</v>
      </c>
      <c r="D940" s="687" t="s">
        <v>5120</v>
      </c>
      <c r="E940" s="688"/>
      <c r="F940" s="312" t="s">
        <v>5121</v>
      </c>
      <c r="G940" s="313">
        <v>44880</v>
      </c>
      <c r="H940" s="624"/>
      <c r="I940" s="625"/>
      <c r="J940" s="626"/>
      <c r="K940" s="627" t="s">
        <v>5122</v>
      </c>
      <c r="L940" s="628">
        <v>44895</v>
      </c>
      <c r="M940" s="629"/>
      <c r="N940" s="627" t="s">
        <v>5123</v>
      </c>
      <c r="O940" s="628">
        <v>44895</v>
      </c>
      <c r="P940" s="630" t="s">
        <v>5124</v>
      </c>
      <c r="Q940" s="631">
        <v>44943</v>
      </c>
      <c r="R940" s="715">
        <v>44959</v>
      </c>
      <c r="S940" s="1068"/>
      <c r="T940" s="632">
        <v>8772.4</v>
      </c>
      <c r="U940" s="633" t="s">
        <v>5125</v>
      </c>
      <c r="V940" s="634">
        <v>44953</v>
      </c>
      <c r="W940" s="635" t="s">
        <v>2302</v>
      </c>
      <c r="X940" s="636">
        <v>8772.4</v>
      </c>
      <c r="Y940" s="636">
        <v>8772.4</v>
      </c>
      <c r="Z940" s="987">
        <f>Y940/X940</f>
        <v>1</v>
      </c>
      <c r="AA940" s="919"/>
      <c r="AB940" s="1055">
        <v>0</v>
      </c>
      <c r="AC940" s="912" t="s">
        <v>5126</v>
      </c>
      <c r="AD940" s="913"/>
      <c r="AE940" s="669"/>
      <c r="AF940" s="718"/>
      <c r="AG940" s="211"/>
      <c r="AH940" s="210"/>
    </row>
    <row r="941" spans="1:34" s="4" customFormat="1">
      <c r="A941" s="2"/>
      <c r="B941" s="310" t="s">
        <v>115</v>
      </c>
      <c r="C941" s="311" t="s">
        <v>27</v>
      </c>
      <c r="D941" s="687"/>
      <c r="E941" s="688"/>
      <c r="F941" s="312" t="s">
        <v>5127</v>
      </c>
      <c r="G941" s="313">
        <v>44880</v>
      </c>
      <c r="H941" s="624"/>
      <c r="I941" s="625"/>
      <c r="J941" s="626"/>
      <c r="K941" s="627"/>
      <c r="L941" s="628"/>
      <c r="M941" s="629"/>
      <c r="N941" s="627"/>
      <c r="O941" s="628"/>
      <c r="P941" s="630"/>
      <c r="Q941" s="631"/>
      <c r="R941" s="715"/>
      <c r="S941" s="910"/>
      <c r="T941" s="632"/>
      <c r="U941" s="633"/>
      <c r="V941" s="634"/>
      <c r="W941" s="635"/>
      <c r="X941" s="636"/>
      <c r="Y941" s="637"/>
      <c r="Z941" s="987"/>
      <c r="AA941" s="919"/>
      <c r="AB941" s="908"/>
      <c r="AC941" s="314" t="s">
        <v>5128</v>
      </c>
      <c r="AD941" s="317"/>
      <c r="AE941" s="669"/>
      <c r="AF941" s="718"/>
      <c r="AG941" s="211"/>
      <c r="AH941" s="210"/>
    </row>
    <row r="942" spans="1:34" s="4" customFormat="1">
      <c r="A942" s="2"/>
      <c r="B942" s="310" t="s">
        <v>115</v>
      </c>
      <c r="C942" s="311" t="s">
        <v>27</v>
      </c>
      <c r="D942" s="687"/>
      <c r="E942" s="688"/>
      <c r="F942" s="312" t="s">
        <v>5129</v>
      </c>
      <c r="G942" s="313">
        <v>44881</v>
      </c>
      <c r="H942" s="624"/>
      <c r="I942" s="625"/>
      <c r="J942" s="626"/>
      <c r="K942" s="627"/>
      <c r="L942" s="628"/>
      <c r="M942" s="629"/>
      <c r="N942" s="627"/>
      <c r="O942" s="628"/>
      <c r="P942" s="630"/>
      <c r="Q942" s="631"/>
      <c r="R942" s="715"/>
      <c r="S942" s="910"/>
      <c r="T942" s="632"/>
      <c r="U942" s="633"/>
      <c r="V942" s="634"/>
      <c r="W942" s="635"/>
      <c r="X942" s="636"/>
      <c r="Y942" s="637"/>
      <c r="Z942" s="987"/>
      <c r="AA942" s="919"/>
      <c r="AB942" s="908"/>
      <c r="AC942" s="314" t="s">
        <v>5130</v>
      </c>
      <c r="AD942" s="317"/>
      <c r="AE942" s="669"/>
      <c r="AF942" s="718"/>
      <c r="AG942" s="211"/>
      <c r="AH942" s="210"/>
    </row>
    <row r="943" spans="1:34" s="4" customFormat="1">
      <c r="A943" s="2"/>
      <c r="B943" s="310" t="s">
        <v>119</v>
      </c>
      <c r="C943" s="311" t="s">
        <v>27</v>
      </c>
      <c r="D943" s="687" t="s">
        <v>5131</v>
      </c>
      <c r="E943" s="688"/>
      <c r="F943" s="312" t="s">
        <v>5132</v>
      </c>
      <c r="G943" s="313">
        <v>44893</v>
      </c>
      <c r="H943" s="624"/>
      <c r="I943" s="625"/>
      <c r="J943" s="626"/>
      <c r="K943" s="627"/>
      <c r="L943" s="628"/>
      <c r="M943" s="629"/>
      <c r="N943" s="627"/>
      <c r="O943" s="628"/>
      <c r="P943" s="630"/>
      <c r="Q943" s="631"/>
      <c r="R943" s="715"/>
      <c r="S943" s="910"/>
      <c r="T943" s="632"/>
      <c r="U943" s="633"/>
      <c r="V943" s="634"/>
      <c r="W943" s="635"/>
      <c r="X943" s="636"/>
      <c r="Y943" s="637"/>
      <c r="Z943" s="987"/>
      <c r="AA943" s="919"/>
      <c r="AB943" s="908"/>
      <c r="AC943" s="314"/>
      <c r="AD943" s="317"/>
      <c r="AE943" s="669"/>
      <c r="AF943" s="718"/>
      <c r="AG943" s="211"/>
      <c r="AH943" s="210"/>
    </row>
    <row r="944" spans="1:34" s="4" customFormat="1">
      <c r="A944" s="2"/>
      <c r="B944" s="310" t="s">
        <v>115</v>
      </c>
      <c r="C944" s="311" t="s">
        <v>27</v>
      </c>
      <c r="D944" s="687"/>
      <c r="E944" s="688"/>
      <c r="F944" s="312" t="s">
        <v>5133</v>
      </c>
      <c r="G944" s="313">
        <v>44881</v>
      </c>
      <c r="H944" s="624"/>
      <c r="I944" s="625"/>
      <c r="J944" s="626"/>
      <c r="K944" s="627"/>
      <c r="L944" s="628"/>
      <c r="M944" s="629"/>
      <c r="N944" s="627"/>
      <c r="O944" s="628"/>
      <c r="P944" s="630"/>
      <c r="Q944" s="631"/>
      <c r="R944" s="715"/>
      <c r="S944" s="910"/>
      <c r="T944" s="632"/>
      <c r="U944" s="633"/>
      <c r="V944" s="634"/>
      <c r="W944" s="635"/>
      <c r="X944" s="636"/>
      <c r="Y944" s="637"/>
      <c r="Z944" s="987"/>
      <c r="AA944" s="919"/>
      <c r="AB944" s="908"/>
      <c r="AC944" s="314" t="s">
        <v>5134</v>
      </c>
      <c r="AD944" s="317"/>
      <c r="AE944" s="669"/>
      <c r="AF944" s="718"/>
      <c r="AG944" s="211"/>
      <c r="AH944" s="210"/>
    </row>
    <row r="945" spans="1:34" s="4" customFormat="1">
      <c r="A945" s="2"/>
      <c r="B945" s="310" t="s">
        <v>115</v>
      </c>
      <c r="C945" s="311" t="s">
        <v>27</v>
      </c>
      <c r="D945" s="687"/>
      <c r="E945" s="688"/>
      <c r="F945" s="312" t="s">
        <v>5135</v>
      </c>
      <c r="G945" s="313">
        <v>44881</v>
      </c>
      <c r="H945" s="624"/>
      <c r="I945" s="625"/>
      <c r="J945" s="626"/>
      <c r="K945" s="627"/>
      <c r="L945" s="628"/>
      <c r="M945" s="629"/>
      <c r="N945" s="627"/>
      <c r="O945" s="628"/>
      <c r="P945" s="630"/>
      <c r="Q945" s="631"/>
      <c r="R945" s="715"/>
      <c r="S945" s="910"/>
      <c r="T945" s="632"/>
      <c r="U945" s="633"/>
      <c r="V945" s="634"/>
      <c r="W945" s="635"/>
      <c r="X945" s="636"/>
      <c r="Y945" s="637"/>
      <c r="Z945" s="987"/>
      <c r="AA945" s="919"/>
      <c r="AB945" s="908"/>
      <c r="AC945" s="314" t="s">
        <v>5136</v>
      </c>
      <c r="AD945" s="317"/>
      <c r="AE945" s="669"/>
      <c r="AF945" s="718"/>
      <c r="AG945" s="211"/>
      <c r="AH945" s="210"/>
    </row>
    <row r="946" spans="1:34" s="4" customFormat="1">
      <c r="A946" s="2"/>
      <c r="B946" s="310" t="s">
        <v>106</v>
      </c>
      <c r="C946" s="311" t="s">
        <v>33</v>
      </c>
      <c r="D946" s="687" t="s">
        <v>5137</v>
      </c>
      <c r="E946" s="688"/>
      <c r="F946" s="312" t="s">
        <v>5138</v>
      </c>
      <c r="G946" s="313">
        <v>44881</v>
      </c>
      <c r="H946" s="624"/>
      <c r="I946" s="625"/>
      <c r="J946" s="626"/>
      <c r="K946" s="627"/>
      <c r="L946" s="628"/>
      <c r="M946" s="629"/>
      <c r="N946" s="627"/>
      <c r="O946" s="628"/>
      <c r="P946" s="630"/>
      <c r="Q946" s="631"/>
      <c r="R946" s="715"/>
      <c r="S946" s="910"/>
      <c r="T946" s="632"/>
      <c r="U946" s="633" t="s">
        <v>5139</v>
      </c>
      <c r="V946" s="634"/>
      <c r="W946" s="635" t="s">
        <v>2302</v>
      </c>
      <c r="X946" s="636"/>
      <c r="Y946" s="637"/>
      <c r="Z946" s="987" t="s">
        <v>268</v>
      </c>
      <c r="AA946" s="919"/>
      <c r="AB946" s="1056"/>
      <c r="AC946" s="736" t="s">
        <v>5140</v>
      </c>
      <c r="AD946" s="317"/>
      <c r="AE946" s="669"/>
      <c r="AF946" s="718"/>
      <c r="AG946" s="211"/>
      <c r="AH946" s="210"/>
    </row>
    <row r="947" spans="1:34" s="4" customFormat="1">
      <c r="A947" s="2"/>
      <c r="B947" s="310" t="s">
        <v>115</v>
      </c>
      <c r="C947" s="311" t="s">
        <v>27</v>
      </c>
      <c r="D947" s="687"/>
      <c r="E947" s="688"/>
      <c r="F947" s="312" t="s">
        <v>5141</v>
      </c>
      <c r="G947" s="313">
        <v>44881</v>
      </c>
      <c r="H947" s="624"/>
      <c r="I947" s="625"/>
      <c r="J947" s="626"/>
      <c r="K947" s="627"/>
      <c r="L947" s="628"/>
      <c r="M947" s="629"/>
      <c r="N947" s="627"/>
      <c r="O947" s="628"/>
      <c r="P947" s="630"/>
      <c r="Q947" s="631"/>
      <c r="R947" s="715"/>
      <c r="S947" s="910"/>
      <c r="T947" s="632"/>
      <c r="U947" s="633"/>
      <c r="V947" s="634"/>
      <c r="W947" s="635"/>
      <c r="X947" s="636"/>
      <c r="Y947" s="637"/>
      <c r="Z947" s="987"/>
      <c r="AA947" s="919"/>
      <c r="AB947" s="908"/>
      <c r="AC947" s="314" t="s">
        <v>5142</v>
      </c>
      <c r="AD947" s="317"/>
      <c r="AE947" s="669"/>
      <c r="AF947" s="718"/>
      <c r="AG947" s="211"/>
      <c r="AH947" s="210"/>
    </row>
    <row r="948" spans="1:34" s="4" customFormat="1">
      <c r="A948" s="2"/>
      <c r="B948" s="310" t="s">
        <v>115</v>
      </c>
      <c r="C948" s="311" t="s">
        <v>27</v>
      </c>
      <c r="D948" s="687"/>
      <c r="E948" s="688"/>
      <c r="F948" s="312" t="s">
        <v>5143</v>
      </c>
      <c r="G948" s="313">
        <v>44883</v>
      </c>
      <c r="H948" s="624"/>
      <c r="I948" s="625"/>
      <c r="J948" s="626"/>
      <c r="K948" s="627"/>
      <c r="L948" s="628"/>
      <c r="M948" s="629"/>
      <c r="N948" s="627"/>
      <c r="O948" s="628"/>
      <c r="P948" s="630"/>
      <c r="Q948" s="631"/>
      <c r="R948" s="715"/>
      <c r="S948" s="910"/>
      <c r="T948" s="632"/>
      <c r="U948" s="633"/>
      <c r="V948" s="634"/>
      <c r="W948" s="635"/>
      <c r="X948" s="636"/>
      <c r="Y948" s="637"/>
      <c r="Z948" s="987"/>
      <c r="AA948" s="919"/>
      <c r="AB948" s="908"/>
      <c r="AC948" s="314" t="s">
        <v>5144</v>
      </c>
      <c r="AD948" s="317"/>
      <c r="AE948" s="669"/>
      <c r="AF948" s="718"/>
      <c r="AG948" s="211"/>
      <c r="AH948" s="210"/>
    </row>
    <row r="949" spans="1:34" s="4" customFormat="1">
      <c r="A949" s="2"/>
      <c r="B949" s="310" t="s">
        <v>115</v>
      </c>
      <c r="C949" s="311" t="s">
        <v>27</v>
      </c>
      <c r="D949" s="687"/>
      <c r="E949" s="688"/>
      <c r="F949" s="312" t="s">
        <v>5145</v>
      </c>
      <c r="G949" s="313">
        <v>44887</v>
      </c>
      <c r="H949" s="624"/>
      <c r="I949" s="625"/>
      <c r="J949" s="626"/>
      <c r="K949" s="627"/>
      <c r="L949" s="628"/>
      <c r="M949" s="629"/>
      <c r="N949" s="627"/>
      <c r="O949" s="628"/>
      <c r="P949" s="630"/>
      <c r="Q949" s="631"/>
      <c r="R949" s="715"/>
      <c r="S949" s="910"/>
      <c r="T949" s="632"/>
      <c r="U949" s="633"/>
      <c r="V949" s="634"/>
      <c r="W949" s="635"/>
      <c r="X949" s="636"/>
      <c r="Y949" s="637"/>
      <c r="Z949" s="987"/>
      <c r="AA949" s="919"/>
      <c r="AB949" s="908"/>
      <c r="AC949" s="314" t="s">
        <v>5146</v>
      </c>
      <c r="AD949" s="317"/>
      <c r="AE949" s="669"/>
      <c r="AF949" s="718"/>
      <c r="AG949" s="211"/>
      <c r="AH949" s="210"/>
    </row>
    <row r="950" spans="1:34" s="4" customFormat="1">
      <c r="A950" s="2"/>
      <c r="B950" s="310" t="s">
        <v>115</v>
      </c>
      <c r="C950" s="311" t="s">
        <v>27</v>
      </c>
      <c r="D950" s="687"/>
      <c r="E950" s="688"/>
      <c r="F950" s="312" t="s">
        <v>5147</v>
      </c>
      <c r="G950" s="313">
        <v>44887</v>
      </c>
      <c r="H950" s="624"/>
      <c r="I950" s="625"/>
      <c r="J950" s="626"/>
      <c r="K950" s="627"/>
      <c r="L950" s="628"/>
      <c r="M950" s="629"/>
      <c r="N950" s="627"/>
      <c r="O950" s="628"/>
      <c r="P950" s="630"/>
      <c r="Q950" s="631"/>
      <c r="R950" s="715"/>
      <c r="S950" s="910"/>
      <c r="T950" s="632"/>
      <c r="U950" s="633"/>
      <c r="V950" s="634"/>
      <c r="W950" s="635"/>
      <c r="X950" s="636"/>
      <c r="Y950" s="637"/>
      <c r="Z950" s="987"/>
      <c r="AA950" s="919"/>
      <c r="AB950" s="908"/>
      <c r="AC950" s="314" t="s">
        <v>5148</v>
      </c>
      <c r="AD950" s="317"/>
      <c r="AE950" s="669"/>
      <c r="AF950" s="718"/>
      <c r="AG950" s="211"/>
      <c r="AH950" s="210"/>
    </row>
    <row r="951" spans="1:34" s="4" customFormat="1">
      <c r="A951" s="2"/>
      <c r="B951" s="310" t="s">
        <v>110</v>
      </c>
      <c r="C951" s="311" t="s">
        <v>27</v>
      </c>
      <c r="D951" s="687" t="s">
        <v>5149</v>
      </c>
      <c r="E951" s="688"/>
      <c r="F951" s="312"/>
      <c r="G951" s="313"/>
      <c r="H951" s="624"/>
      <c r="I951" s="625"/>
      <c r="J951" s="626"/>
      <c r="K951" s="627" t="s">
        <v>5150</v>
      </c>
      <c r="L951" s="628">
        <v>44854</v>
      </c>
      <c r="M951" s="629">
        <v>100000</v>
      </c>
      <c r="N951" s="627" t="s">
        <v>5151</v>
      </c>
      <c r="O951" s="628">
        <v>44854</v>
      </c>
      <c r="P951" s="630" t="s">
        <v>5152</v>
      </c>
      <c r="Q951" s="631">
        <v>45252</v>
      </c>
      <c r="R951" s="715">
        <v>45001</v>
      </c>
      <c r="S951" s="910"/>
      <c r="T951" s="632">
        <v>6656.64</v>
      </c>
      <c r="U951" s="633" t="s">
        <v>5153</v>
      </c>
      <c r="V951" s="634"/>
      <c r="W951" s="635" t="s">
        <v>109</v>
      </c>
      <c r="X951" s="636">
        <v>0</v>
      </c>
      <c r="Y951" s="637"/>
      <c r="Z951" s="987" t="s">
        <v>268</v>
      </c>
      <c r="AA951" s="919"/>
      <c r="AB951" s="1012">
        <v>0</v>
      </c>
      <c r="AC951" s="912"/>
      <c r="AD951" s="913"/>
      <c r="AE951" s="669"/>
      <c r="AF951" s="718"/>
      <c r="AG951" s="211"/>
      <c r="AH951" s="210"/>
    </row>
    <row r="952" spans="1:34" s="4" customFormat="1">
      <c r="A952" s="2"/>
      <c r="B952" s="310" t="s">
        <v>106</v>
      </c>
      <c r="C952" s="311" t="s">
        <v>33</v>
      </c>
      <c r="D952" s="687" t="s">
        <v>5154</v>
      </c>
      <c r="E952" s="688"/>
      <c r="F952" s="312"/>
      <c r="G952" s="313"/>
      <c r="H952" s="624"/>
      <c r="I952" s="625"/>
      <c r="J952" s="626"/>
      <c r="K952" s="627" t="s">
        <v>5155</v>
      </c>
      <c r="L952" s="628">
        <v>44865</v>
      </c>
      <c r="M952" s="629">
        <v>1500</v>
      </c>
      <c r="N952" s="627" t="s">
        <v>5156</v>
      </c>
      <c r="O952" s="628">
        <v>44865</v>
      </c>
      <c r="P952" s="630" t="s">
        <v>5157</v>
      </c>
      <c r="Q952" s="631">
        <v>44915</v>
      </c>
      <c r="R952" s="715">
        <v>44930</v>
      </c>
      <c r="S952" s="1068"/>
      <c r="T952" s="632">
        <v>7488.27</v>
      </c>
      <c r="U952" s="633" t="s">
        <v>5158</v>
      </c>
      <c r="V952" s="634">
        <v>44931</v>
      </c>
      <c r="W952" s="635" t="s">
        <v>2302</v>
      </c>
      <c r="X952" s="636">
        <v>7488.27</v>
      </c>
      <c r="Y952" s="636">
        <v>7488.27</v>
      </c>
      <c r="Z952" s="987">
        <f>Y952/X952</f>
        <v>1</v>
      </c>
      <c r="AA952" s="919"/>
      <c r="AB952" s="1055">
        <v>0</v>
      </c>
      <c r="AC952" s="912"/>
      <c r="AD952" s="913"/>
      <c r="AE952" s="669"/>
      <c r="AF952" s="718"/>
      <c r="AG952" s="211"/>
      <c r="AH952" s="210"/>
    </row>
    <row r="953" spans="1:34" s="4" customFormat="1">
      <c r="A953" s="2"/>
      <c r="B953" s="310" t="s">
        <v>106</v>
      </c>
      <c r="C953" s="311" t="s">
        <v>33</v>
      </c>
      <c r="D953" s="687" t="s">
        <v>5159</v>
      </c>
      <c r="E953" s="688"/>
      <c r="F953" s="312"/>
      <c r="G953" s="313"/>
      <c r="H953" s="624"/>
      <c r="I953" s="625"/>
      <c r="J953" s="626"/>
      <c r="K953" s="627" t="s">
        <v>5160</v>
      </c>
      <c r="L953" s="628">
        <v>44867</v>
      </c>
      <c r="M953" s="629">
        <v>8350</v>
      </c>
      <c r="N953" s="627" t="s">
        <v>5161</v>
      </c>
      <c r="O953" s="628">
        <v>44868</v>
      </c>
      <c r="P953" s="630" t="s">
        <v>5162</v>
      </c>
      <c r="Q953" s="631">
        <v>44883</v>
      </c>
      <c r="R953" s="715">
        <v>44900</v>
      </c>
      <c r="S953" s="1068"/>
      <c r="T953" s="632">
        <v>25297.58</v>
      </c>
      <c r="U953" s="633" t="s">
        <v>5163</v>
      </c>
      <c r="V953" s="634">
        <v>44900</v>
      </c>
      <c r="W953" s="635" t="s">
        <v>2302</v>
      </c>
      <c r="X953" s="636">
        <v>25297.58</v>
      </c>
      <c r="Y953" s="636">
        <v>25297.58</v>
      </c>
      <c r="Z953" s="987">
        <f t="shared" ref="Z953:Z957" si="50">Y953/X953</f>
        <v>1</v>
      </c>
      <c r="AA953" s="919"/>
      <c r="AB953" s="1055">
        <v>0</v>
      </c>
      <c r="AC953" s="912"/>
      <c r="AD953" s="913"/>
      <c r="AE953" s="669"/>
      <c r="AF953" s="718"/>
      <c r="AG953" s="211"/>
      <c r="AH953" s="210"/>
    </row>
    <row r="954" spans="1:34" s="4" customFormat="1">
      <c r="A954" s="2"/>
      <c r="B954" s="310" t="s">
        <v>106</v>
      </c>
      <c r="C954" s="311" t="s">
        <v>33</v>
      </c>
      <c r="D954" s="687" t="s">
        <v>5164</v>
      </c>
      <c r="E954" s="688"/>
      <c r="F954" s="312"/>
      <c r="G954" s="313"/>
      <c r="H954" s="624"/>
      <c r="I954" s="625"/>
      <c r="J954" s="626"/>
      <c r="K954" s="627" t="s">
        <v>5165</v>
      </c>
      <c r="L954" s="628">
        <v>44873</v>
      </c>
      <c r="M954" s="629">
        <v>12000</v>
      </c>
      <c r="N954" s="627" t="s">
        <v>5166</v>
      </c>
      <c r="O954" s="628">
        <v>44873</v>
      </c>
      <c r="P954" s="630" t="s">
        <v>5167</v>
      </c>
      <c r="Q954" s="631">
        <v>44909</v>
      </c>
      <c r="R954" s="715">
        <v>44923</v>
      </c>
      <c r="S954" s="1068"/>
      <c r="T954" s="632">
        <v>24672.35</v>
      </c>
      <c r="U954" s="633" t="s">
        <v>5168</v>
      </c>
      <c r="V954" s="634">
        <v>44952</v>
      </c>
      <c r="W954" s="635" t="s">
        <v>96</v>
      </c>
      <c r="X954" s="636">
        <v>24672.35</v>
      </c>
      <c r="Y954" s="636">
        <v>24672.35</v>
      </c>
      <c r="Z954" s="987">
        <f t="shared" si="50"/>
        <v>1</v>
      </c>
      <c r="AA954" s="919"/>
      <c r="AB954" s="1055">
        <v>0</v>
      </c>
      <c r="AC954" s="912"/>
      <c r="AD954" s="913"/>
      <c r="AE954" s="669"/>
      <c r="AF954" s="718"/>
      <c r="AG954" s="211"/>
      <c r="AH954" s="210"/>
    </row>
    <row r="955" spans="1:34" s="4" customFormat="1">
      <c r="A955" s="2"/>
      <c r="B955" s="310" t="s">
        <v>106</v>
      </c>
      <c r="C955" s="311" t="s">
        <v>33</v>
      </c>
      <c r="D955" s="687" t="s">
        <v>5169</v>
      </c>
      <c r="E955" s="688"/>
      <c r="F955" s="312"/>
      <c r="G955" s="313"/>
      <c r="H955" s="624"/>
      <c r="I955" s="625"/>
      <c r="J955" s="626"/>
      <c r="K955" s="627" t="s">
        <v>5170</v>
      </c>
      <c r="L955" s="628">
        <v>44881</v>
      </c>
      <c r="M955" s="629">
        <v>-3500</v>
      </c>
      <c r="N955" s="627" t="s">
        <v>5171</v>
      </c>
      <c r="O955" s="628">
        <v>44881</v>
      </c>
      <c r="P955" s="630" t="s">
        <v>5172</v>
      </c>
      <c r="Q955" s="631">
        <v>44932</v>
      </c>
      <c r="R955" s="715">
        <v>44946</v>
      </c>
      <c r="S955" s="1068"/>
      <c r="T955" s="632">
        <v>-1564.2</v>
      </c>
      <c r="U955" s="633" t="s">
        <v>5173</v>
      </c>
      <c r="V955" s="634">
        <v>44936</v>
      </c>
      <c r="W955" s="635" t="s">
        <v>105</v>
      </c>
      <c r="X955" s="636">
        <v>-1564.2</v>
      </c>
      <c r="Y955" s="636">
        <v>-1564.2</v>
      </c>
      <c r="Z955" s="987">
        <f t="shared" si="50"/>
        <v>1</v>
      </c>
      <c r="AA955" s="919"/>
      <c r="AB955" s="1055">
        <v>0</v>
      </c>
      <c r="AC955" s="912"/>
      <c r="AD955" s="913"/>
      <c r="AE955" s="669"/>
      <c r="AF955" s="718"/>
      <c r="AG955" s="211"/>
      <c r="AH955" s="210"/>
    </row>
    <row r="956" spans="1:34" s="4" customFormat="1">
      <c r="A956" s="2"/>
      <c r="B956" s="310" t="s">
        <v>106</v>
      </c>
      <c r="C956" s="311" t="s">
        <v>33</v>
      </c>
      <c r="D956" s="687" t="s">
        <v>5174</v>
      </c>
      <c r="E956" s="688"/>
      <c r="F956" s="312"/>
      <c r="G956" s="313"/>
      <c r="H956" s="624"/>
      <c r="I956" s="625"/>
      <c r="J956" s="626"/>
      <c r="K956" s="627" t="s">
        <v>5175</v>
      </c>
      <c r="L956" s="628">
        <v>44886</v>
      </c>
      <c r="M956" s="629">
        <v>9550</v>
      </c>
      <c r="N956" s="627" t="s">
        <v>167</v>
      </c>
      <c r="O956" s="628"/>
      <c r="P956" s="630" t="s">
        <v>5176</v>
      </c>
      <c r="Q956" s="631">
        <v>44867</v>
      </c>
      <c r="R956" s="715">
        <v>44882</v>
      </c>
      <c r="S956" s="1068"/>
      <c r="T956" s="632">
        <v>9550.35</v>
      </c>
      <c r="U956" s="633" t="s">
        <v>5177</v>
      </c>
      <c r="V956" s="634">
        <v>44886</v>
      </c>
      <c r="W956" s="635" t="s">
        <v>105</v>
      </c>
      <c r="X956" s="636">
        <v>9550.35</v>
      </c>
      <c r="Y956" s="636">
        <v>9550.35</v>
      </c>
      <c r="Z956" s="987">
        <f t="shared" si="50"/>
        <v>1</v>
      </c>
      <c r="AA956" s="919"/>
      <c r="AB956" s="1055">
        <v>0</v>
      </c>
      <c r="AC956" s="912"/>
      <c r="AD956" s="913"/>
      <c r="AE956" s="669"/>
      <c r="AF956" s="718"/>
      <c r="AG956" s="211"/>
      <c r="AH956" s="210"/>
    </row>
    <row r="957" spans="1:34" s="4" customFormat="1">
      <c r="A957" s="2"/>
      <c r="B957" s="310" t="s">
        <v>106</v>
      </c>
      <c r="C957" s="311" t="s">
        <v>33</v>
      </c>
      <c r="D957" s="687" t="s">
        <v>5178</v>
      </c>
      <c r="E957" s="688"/>
      <c r="F957" s="312"/>
      <c r="G957" s="313"/>
      <c r="H957" s="624"/>
      <c r="I957" s="625"/>
      <c r="J957" s="626"/>
      <c r="K957" s="627" t="s">
        <v>5179</v>
      </c>
      <c r="L957" s="628">
        <v>44888</v>
      </c>
      <c r="M957" s="629">
        <v>4500</v>
      </c>
      <c r="N957" s="627" t="s">
        <v>5180</v>
      </c>
      <c r="O957" s="628">
        <v>44888</v>
      </c>
      <c r="P957" s="630" t="s">
        <v>5181</v>
      </c>
      <c r="Q957" s="631"/>
      <c r="R957" s="715"/>
      <c r="S957" s="1068"/>
      <c r="T957" s="632">
        <v>18288.689999999999</v>
      </c>
      <c r="U957" s="633" t="s">
        <v>5182</v>
      </c>
      <c r="V957" s="634">
        <v>45099</v>
      </c>
      <c r="W957" s="635" t="s">
        <v>109</v>
      </c>
      <c r="X957" s="636">
        <v>18288.689999999999</v>
      </c>
      <c r="Y957" s="636">
        <v>18288.689999999999</v>
      </c>
      <c r="Z957" s="987">
        <f t="shared" si="50"/>
        <v>1</v>
      </c>
      <c r="AA957" s="919"/>
      <c r="AB957" s="1055">
        <v>0</v>
      </c>
      <c r="AC957" s="912"/>
      <c r="AD957" s="913"/>
      <c r="AE957" s="669"/>
      <c r="AF957" s="718"/>
      <c r="AG957" s="211"/>
      <c r="AH957" s="210"/>
    </row>
    <row r="958" spans="1:34" s="4" customFormat="1">
      <c r="A958" s="2"/>
      <c r="B958" s="310" t="s">
        <v>115</v>
      </c>
      <c r="C958" s="311" t="s">
        <v>27</v>
      </c>
      <c r="D958" s="687"/>
      <c r="E958" s="688"/>
      <c r="F958" s="312" t="s">
        <v>5183</v>
      </c>
      <c r="G958" s="313">
        <v>44894</v>
      </c>
      <c r="H958" s="624"/>
      <c r="I958" s="625"/>
      <c r="J958" s="626"/>
      <c r="K958" s="627"/>
      <c r="L958" s="628"/>
      <c r="M958" s="629"/>
      <c r="N958" s="627"/>
      <c r="O958" s="628"/>
      <c r="P958" s="630"/>
      <c r="Q958" s="631"/>
      <c r="R958" s="715"/>
      <c r="S958" s="910"/>
      <c r="T958" s="632"/>
      <c r="U958" s="633"/>
      <c r="V958" s="634"/>
      <c r="W958" s="635"/>
      <c r="X958" s="636"/>
      <c r="Y958" s="637"/>
      <c r="Z958" s="987"/>
      <c r="AA958" s="919"/>
      <c r="AB958" s="908"/>
      <c r="AC958" s="314" t="s">
        <v>5184</v>
      </c>
      <c r="AD958" s="317"/>
      <c r="AE958" s="669">
        <v>44902</v>
      </c>
      <c r="AF958" s="718"/>
      <c r="AG958" s="211"/>
      <c r="AH958" s="210"/>
    </row>
    <row r="959" spans="1:34" s="4" customFormat="1">
      <c r="A959" s="2"/>
      <c r="B959" s="310" t="s">
        <v>106</v>
      </c>
      <c r="C959" s="311" t="s">
        <v>33</v>
      </c>
      <c r="D959" s="687" t="s">
        <v>5185</v>
      </c>
      <c r="E959" s="688"/>
      <c r="F959" s="312" t="s">
        <v>5186</v>
      </c>
      <c r="G959" s="313">
        <v>44895</v>
      </c>
      <c r="H959" s="624"/>
      <c r="I959" s="625"/>
      <c r="J959" s="626"/>
      <c r="K959" s="627" t="s">
        <v>5187</v>
      </c>
      <c r="L959" s="628"/>
      <c r="M959" s="629"/>
      <c r="N959" s="627"/>
      <c r="O959" s="628"/>
      <c r="P959" s="630"/>
      <c r="Q959" s="631"/>
      <c r="R959" s="715"/>
      <c r="S959" s="910"/>
      <c r="T959" s="632"/>
      <c r="U959" s="633"/>
      <c r="V959" s="634"/>
      <c r="W959" s="635"/>
      <c r="X959" s="636"/>
      <c r="Y959" s="637"/>
      <c r="Z959" s="987"/>
      <c r="AA959" s="919"/>
      <c r="AB959" s="908"/>
      <c r="AC959" s="314" t="s">
        <v>5188</v>
      </c>
      <c r="AD959" s="317"/>
      <c r="AE959" s="669">
        <v>44902</v>
      </c>
      <c r="AF959" s="718"/>
      <c r="AG959" s="211"/>
      <c r="AH959" s="210"/>
    </row>
    <row r="960" spans="1:34" s="4" customFormat="1">
      <c r="A960" s="2"/>
      <c r="B960" s="310" t="s">
        <v>115</v>
      </c>
      <c r="C960" s="311" t="s">
        <v>27</v>
      </c>
      <c r="D960" s="687"/>
      <c r="E960" s="688"/>
      <c r="F960" s="312" t="s">
        <v>5189</v>
      </c>
      <c r="G960" s="313">
        <v>44901</v>
      </c>
      <c r="H960" s="624"/>
      <c r="I960" s="625"/>
      <c r="J960" s="626"/>
      <c r="K960" s="627"/>
      <c r="L960" s="628"/>
      <c r="M960" s="629"/>
      <c r="N960" s="627"/>
      <c r="O960" s="628"/>
      <c r="P960" s="630"/>
      <c r="Q960" s="631"/>
      <c r="R960" s="715"/>
      <c r="S960" s="910"/>
      <c r="T960" s="632"/>
      <c r="U960" s="633"/>
      <c r="V960" s="634"/>
      <c r="W960" s="635"/>
      <c r="X960" s="636"/>
      <c r="Y960" s="637"/>
      <c r="Z960" s="987"/>
      <c r="AA960" s="919"/>
      <c r="AB960" s="908"/>
      <c r="AC960" s="314" t="s">
        <v>5190</v>
      </c>
      <c r="AD960" s="317"/>
      <c r="AE960" s="669">
        <v>44908</v>
      </c>
      <c r="AF960" s="718"/>
      <c r="AG960" s="211"/>
      <c r="AH960" s="210"/>
    </row>
    <row r="961" spans="1:34" s="4" customFormat="1">
      <c r="A961" s="2"/>
      <c r="B961" s="310" t="s">
        <v>115</v>
      </c>
      <c r="C961" s="311" t="s">
        <v>27</v>
      </c>
      <c r="D961" s="687"/>
      <c r="E961" s="688"/>
      <c r="F961" s="312" t="s">
        <v>5191</v>
      </c>
      <c r="G961" s="313">
        <v>44903</v>
      </c>
      <c r="H961" s="624"/>
      <c r="I961" s="625"/>
      <c r="J961" s="626"/>
      <c r="K961" s="627"/>
      <c r="L961" s="628"/>
      <c r="M961" s="629"/>
      <c r="N961" s="627"/>
      <c r="O961" s="628"/>
      <c r="P961" s="630"/>
      <c r="Q961" s="631"/>
      <c r="R961" s="715"/>
      <c r="S961" s="910"/>
      <c r="T961" s="632"/>
      <c r="U961" s="633"/>
      <c r="V961" s="634"/>
      <c r="W961" s="635"/>
      <c r="X961" s="636"/>
      <c r="Y961" s="637"/>
      <c r="Z961" s="987"/>
      <c r="AA961" s="919"/>
      <c r="AB961" s="908"/>
      <c r="AC961" s="314" t="s">
        <v>5192</v>
      </c>
      <c r="AD961" s="317"/>
      <c r="AE961" s="669"/>
      <c r="AF961" s="718"/>
      <c r="AG961" s="211"/>
      <c r="AH961" s="210"/>
    </row>
    <row r="962" spans="1:34" s="4" customFormat="1">
      <c r="A962" s="2"/>
      <c r="B962" s="310" t="s">
        <v>115</v>
      </c>
      <c r="C962" s="311" t="s">
        <v>27</v>
      </c>
      <c r="D962" s="687"/>
      <c r="E962" s="688"/>
      <c r="F962" s="312" t="s">
        <v>5193</v>
      </c>
      <c r="G962" s="313">
        <v>44903</v>
      </c>
      <c r="H962" s="624"/>
      <c r="I962" s="625"/>
      <c r="J962" s="626"/>
      <c r="K962" s="627"/>
      <c r="L962" s="628"/>
      <c r="M962" s="629"/>
      <c r="N962" s="627"/>
      <c r="O962" s="628"/>
      <c r="P962" s="630"/>
      <c r="Q962" s="631"/>
      <c r="R962" s="715"/>
      <c r="S962" s="910"/>
      <c r="T962" s="632"/>
      <c r="U962" s="633"/>
      <c r="V962" s="634"/>
      <c r="W962" s="635"/>
      <c r="X962" s="636"/>
      <c r="Y962" s="637"/>
      <c r="Z962" s="987"/>
      <c r="AA962" s="919"/>
      <c r="AB962" s="908"/>
      <c r="AC962" s="314" t="s">
        <v>5194</v>
      </c>
      <c r="AD962" s="317"/>
      <c r="AE962" s="669"/>
      <c r="AF962" s="718"/>
      <c r="AG962" s="211"/>
      <c r="AH962" s="210"/>
    </row>
    <row r="963" spans="1:34" s="4" customFormat="1">
      <c r="A963" s="2"/>
      <c r="B963" s="310" t="s">
        <v>115</v>
      </c>
      <c r="C963" s="311" t="s">
        <v>27</v>
      </c>
      <c r="D963" s="687"/>
      <c r="E963" s="688"/>
      <c r="F963" s="312" t="s">
        <v>5195</v>
      </c>
      <c r="G963" s="313">
        <v>44903</v>
      </c>
      <c r="H963" s="624"/>
      <c r="I963" s="625"/>
      <c r="J963" s="626"/>
      <c r="K963" s="627"/>
      <c r="L963" s="628"/>
      <c r="M963" s="629"/>
      <c r="N963" s="627"/>
      <c r="O963" s="628"/>
      <c r="P963" s="630"/>
      <c r="Q963" s="631"/>
      <c r="R963" s="715"/>
      <c r="S963" s="910"/>
      <c r="T963" s="632"/>
      <c r="U963" s="633"/>
      <c r="V963" s="634"/>
      <c r="W963" s="635"/>
      <c r="X963" s="636"/>
      <c r="Y963" s="637"/>
      <c r="Z963" s="987"/>
      <c r="AA963" s="919"/>
      <c r="AB963" s="908"/>
      <c r="AC963" s="314" t="s">
        <v>5196</v>
      </c>
      <c r="AD963" s="317"/>
      <c r="AE963" s="669"/>
      <c r="AF963" s="718"/>
      <c r="AG963" s="211"/>
      <c r="AH963" s="210"/>
    </row>
    <row r="964" spans="1:34" s="4" customFormat="1">
      <c r="A964" s="2"/>
      <c r="B964" s="310" t="s">
        <v>106</v>
      </c>
      <c r="C964" s="311" t="s">
        <v>33</v>
      </c>
      <c r="D964" s="687" t="s">
        <v>5197</v>
      </c>
      <c r="E964" s="688"/>
      <c r="F964" s="312"/>
      <c r="G964" s="313"/>
      <c r="H964" s="624"/>
      <c r="I964" s="625"/>
      <c r="J964" s="626"/>
      <c r="K964" s="627"/>
      <c r="L964" s="628"/>
      <c r="M964" s="629"/>
      <c r="N964" s="627"/>
      <c r="O964" s="628"/>
      <c r="P964" s="630" t="s">
        <v>268</v>
      </c>
      <c r="Q964" s="631"/>
      <c r="R964" s="715"/>
      <c r="S964" s="1068"/>
      <c r="T964" s="632"/>
      <c r="U964" s="633" t="s">
        <v>5198</v>
      </c>
      <c r="V964" s="634">
        <v>44910</v>
      </c>
      <c r="W964" s="635" t="s">
        <v>84</v>
      </c>
      <c r="X964" s="636">
        <v>-2500000</v>
      </c>
      <c r="Y964" s="636">
        <v>-2500000</v>
      </c>
      <c r="Z964" s="987">
        <f t="shared" ref="Z964:Z966" si="51">Y964/X964</f>
        <v>1</v>
      </c>
      <c r="AA964" s="919"/>
      <c r="AB964" s="1055">
        <v>0</v>
      </c>
      <c r="AC964" s="912"/>
      <c r="AD964" s="913"/>
      <c r="AE964" s="669"/>
      <c r="AF964" s="718"/>
      <c r="AG964" s="211"/>
      <c r="AH964" s="210"/>
    </row>
    <row r="965" spans="1:34" s="4" customFormat="1">
      <c r="A965" s="2"/>
      <c r="B965" s="310" t="s">
        <v>106</v>
      </c>
      <c r="C965" s="311" t="s">
        <v>33</v>
      </c>
      <c r="D965" s="687" t="s">
        <v>5199</v>
      </c>
      <c r="E965" s="688"/>
      <c r="F965" s="312"/>
      <c r="G965" s="313"/>
      <c r="H965" s="624"/>
      <c r="I965" s="625"/>
      <c r="J965" s="626"/>
      <c r="K965" s="627"/>
      <c r="L965" s="628"/>
      <c r="M965" s="629"/>
      <c r="N965" s="627"/>
      <c r="O965" s="628"/>
      <c r="P965" s="630" t="s">
        <v>268</v>
      </c>
      <c r="Q965" s="631"/>
      <c r="R965" s="715"/>
      <c r="S965" s="1068"/>
      <c r="T965" s="632"/>
      <c r="U965" s="633" t="s">
        <v>5200</v>
      </c>
      <c r="V965" s="634">
        <v>44916</v>
      </c>
      <c r="W965" s="635" t="s">
        <v>84</v>
      </c>
      <c r="X965" s="636">
        <v>-25000</v>
      </c>
      <c r="Y965" s="636">
        <v>-25000</v>
      </c>
      <c r="Z965" s="987">
        <f t="shared" si="51"/>
        <v>1</v>
      </c>
      <c r="AA965" s="919"/>
      <c r="AB965" s="1055">
        <v>0</v>
      </c>
      <c r="AC965" s="912"/>
      <c r="AD965" s="913"/>
      <c r="AE965" s="669"/>
      <c r="AF965" s="718"/>
      <c r="AG965" s="211"/>
      <c r="AH965" s="210"/>
    </row>
    <row r="966" spans="1:34" s="4" customFormat="1">
      <c r="A966" s="2"/>
      <c r="B966" s="310" t="s">
        <v>106</v>
      </c>
      <c r="C966" s="311" t="s">
        <v>33</v>
      </c>
      <c r="D966" s="687" t="s">
        <v>5201</v>
      </c>
      <c r="E966" s="688"/>
      <c r="F966" s="312"/>
      <c r="G966" s="313"/>
      <c r="H966" s="624"/>
      <c r="I966" s="625"/>
      <c r="J966" s="626"/>
      <c r="K966" s="627"/>
      <c r="L966" s="628"/>
      <c r="M966" s="629"/>
      <c r="N966" s="627"/>
      <c r="O966" s="628"/>
      <c r="P966" s="630" t="s">
        <v>268</v>
      </c>
      <c r="Q966" s="631"/>
      <c r="R966" s="715"/>
      <c r="S966" s="1068"/>
      <c r="T966" s="632"/>
      <c r="U966" s="633" t="s">
        <v>5202</v>
      </c>
      <c r="V966" s="634">
        <v>44917</v>
      </c>
      <c r="W966" s="635" t="s">
        <v>84</v>
      </c>
      <c r="X966" s="636">
        <v>-350000</v>
      </c>
      <c r="Y966" s="636">
        <v>-350000</v>
      </c>
      <c r="Z966" s="987">
        <f t="shared" si="51"/>
        <v>1</v>
      </c>
      <c r="AA966" s="919"/>
      <c r="AB966" s="1055">
        <v>0</v>
      </c>
      <c r="AC966" s="912"/>
      <c r="AD966" s="913"/>
      <c r="AE966" s="669"/>
      <c r="AF966" s="718"/>
      <c r="AG966" s="211"/>
      <c r="AH966" s="210"/>
    </row>
    <row r="967" spans="1:34" s="4" customFormat="1">
      <c r="A967" s="2"/>
      <c r="B967" s="310" t="s">
        <v>115</v>
      </c>
      <c r="C967" s="311" t="s">
        <v>27</v>
      </c>
      <c r="D967" s="687"/>
      <c r="E967" s="688"/>
      <c r="F967" s="312" t="s">
        <v>5203</v>
      </c>
      <c r="G967" s="313">
        <v>44909</v>
      </c>
      <c r="H967" s="624"/>
      <c r="I967" s="625"/>
      <c r="J967" s="626"/>
      <c r="K967" s="627"/>
      <c r="L967" s="628"/>
      <c r="M967" s="629"/>
      <c r="N967" s="627"/>
      <c r="O967" s="628"/>
      <c r="P967" s="630"/>
      <c r="Q967" s="631"/>
      <c r="R967" s="715"/>
      <c r="S967" s="910"/>
      <c r="T967" s="632"/>
      <c r="U967" s="633"/>
      <c r="V967" s="634"/>
      <c r="W967" s="635"/>
      <c r="X967" s="636"/>
      <c r="Y967" s="637"/>
      <c r="Z967" s="987"/>
      <c r="AA967" s="919"/>
      <c r="AB967" s="908"/>
      <c r="AC967" s="314" t="s">
        <v>5204</v>
      </c>
      <c r="AD967" s="317"/>
      <c r="AE967" s="669"/>
      <c r="AF967" s="718"/>
      <c r="AG967" s="211"/>
      <c r="AH967" s="210"/>
    </row>
    <row r="968" spans="1:34" s="4" customFormat="1">
      <c r="A968" s="2"/>
      <c r="B968" s="310" t="s">
        <v>115</v>
      </c>
      <c r="C968" s="311" t="s">
        <v>27</v>
      </c>
      <c r="D968" s="687"/>
      <c r="E968" s="688"/>
      <c r="F968" s="312" t="s">
        <v>5205</v>
      </c>
      <c r="G968" s="313">
        <v>44909</v>
      </c>
      <c r="H968" s="624"/>
      <c r="I968" s="625"/>
      <c r="J968" s="626"/>
      <c r="K968" s="627"/>
      <c r="L968" s="628"/>
      <c r="M968" s="629"/>
      <c r="N968" s="627"/>
      <c r="O968" s="628"/>
      <c r="P968" s="630"/>
      <c r="Q968" s="631"/>
      <c r="R968" s="715"/>
      <c r="S968" s="910"/>
      <c r="T968" s="632"/>
      <c r="U968" s="633"/>
      <c r="V968" s="634"/>
      <c r="W968" s="635"/>
      <c r="X968" s="636"/>
      <c r="Y968" s="637"/>
      <c r="Z968" s="987"/>
      <c r="AA968" s="919"/>
      <c r="AB968" s="908"/>
      <c r="AC968" s="314" t="s">
        <v>5206</v>
      </c>
      <c r="AD968" s="317"/>
      <c r="AE968" s="669"/>
      <c r="AF968" s="718"/>
      <c r="AG968" s="211"/>
      <c r="AH968" s="210"/>
    </row>
    <row r="969" spans="1:34" s="4" customFormat="1">
      <c r="A969" s="2"/>
      <c r="B969" s="310" t="s">
        <v>115</v>
      </c>
      <c r="C969" s="311" t="s">
        <v>27</v>
      </c>
      <c r="D969" s="687"/>
      <c r="E969" s="688"/>
      <c r="F969" s="312" t="s">
        <v>5207</v>
      </c>
      <c r="G969" s="313">
        <v>44909</v>
      </c>
      <c r="H969" s="624"/>
      <c r="I969" s="625"/>
      <c r="J969" s="626"/>
      <c r="K969" s="627"/>
      <c r="L969" s="628"/>
      <c r="M969" s="629"/>
      <c r="N969" s="627"/>
      <c r="O969" s="628"/>
      <c r="P969" s="630"/>
      <c r="Q969" s="631"/>
      <c r="R969" s="715"/>
      <c r="S969" s="910"/>
      <c r="T969" s="632"/>
      <c r="U969" s="633"/>
      <c r="V969" s="634"/>
      <c r="W969" s="635"/>
      <c r="X969" s="636"/>
      <c r="Y969" s="637"/>
      <c r="Z969" s="987"/>
      <c r="AA969" s="919"/>
      <c r="AB969" s="908"/>
      <c r="AC969" s="314" t="s">
        <v>5208</v>
      </c>
      <c r="AD969" s="317"/>
      <c r="AE969" s="669">
        <v>44916</v>
      </c>
      <c r="AF969" s="718"/>
      <c r="AG969" s="211"/>
      <c r="AH969" s="210"/>
    </row>
    <row r="970" spans="1:34" s="4" customFormat="1" ht="69.95">
      <c r="A970" s="2"/>
      <c r="B970" s="310" t="s">
        <v>106</v>
      </c>
      <c r="C970" s="311" t="s">
        <v>33</v>
      </c>
      <c r="D970" s="1006" t="s">
        <v>5209</v>
      </c>
      <c r="E970" s="688"/>
      <c r="F970" s="312" t="s">
        <v>5210</v>
      </c>
      <c r="G970" s="313">
        <v>44914</v>
      </c>
      <c r="H970" s="624"/>
      <c r="I970" s="625"/>
      <c r="J970" s="626"/>
      <c r="K970" s="627" t="s">
        <v>5211</v>
      </c>
      <c r="L970" s="628">
        <v>44939</v>
      </c>
      <c r="M970" s="629">
        <v>4500</v>
      </c>
      <c r="N970" s="627" t="s">
        <v>5212</v>
      </c>
      <c r="O970" s="628">
        <v>44942</v>
      </c>
      <c r="P970" s="630" t="s">
        <v>5213</v>
      </c>
      <c r="Q970" s="631"/>
      <c r="R970" s="715"/>
      <c r="S970" s="1068"/>
      <c r="T970" s="632">
        <v>37712.67</v>
      </c>
      <c r="U970" s="633" t="s">
        <v>5214</v>
      </c>
      <c r="V970" s="634">
        <v>45099</v>
      </c>
      <c r="W970" s="635" t="s">
        <v>2302</v>
      </c>
      <c r="X970" s="636">
        <v>37712.67</v>
      </c>
      <c r="Y970" s="636">
        <v>37712.67</v>
      </c>
      <c r="Z970" s="987">
        <f>Y970/X970</f>
        <v>1</v>
      </c>
      <c r="AA970" s="919"/>
      <c r="AB970" s="1055">
        <v>0</v>
      </c>
      <c r="AC970" s="912" t="s">
        <v>5215</v>
      </c>
      <c r="AD970" s="913"/>
      <c r="AE970" s="669">
        <v>44921</v>
      </c>
      <c r="AF970" s="718"/>
      <c r="AG970" s="211"/>
      <c r="AH970" s="210"/>
    </row>
    <row r="971" spans="1:34" s="4" customFormat="1">
      <c r="A971" s="2"/>
      <c r="B971" s="310" t="s">
        <v>115</v>
      </c>
      <c r="C971" s="311" t="s">
        <v>27</v>
      </c>
      <c r="D971" s="687"/>
      <c r="E971" s="688"/>
      <c r="F971" s="312" t="s">
        <v>5216</v>
      </c>
      <c r="G971" s="313">
        <v>44914</v>
      </c>
      <c r="H971" s="624"/>
      <c r="I971" s="625"/>
      <c r="J971" s="626"/>
      <c r="K971" s="627"/>
      <c r="L971" s="628"/>
      <c r="M971" s="629"/>
      <c r="N971" s="627"/>
      <c r="O971" s="628"/>
      <c r="P971" s="630"/>
      <c r="Q971" s="631"/>
      <c r="R971" s="715"/>
      <c r="S971" s="910"/>
      <c r="T971" s="632"/>
      <c r="U971" s="633"/>
      <c r="V971" s="634"/>
      <c r="W971" s="635"/>
      <c r="X971" s="636"/>
      <c r="Y971" s="637"/>
      <c r="Z971" s="987"/>
      <c r="AA971" s="919"/>
      <c r="AB971" s="908"/>
      <c r="AC971" s="314" t="s">
        <v>5217</v>
      </c>
      <c r="AD971" s="317"/>
      <c r="AE971" s="669">
        <v>44921</v>
      </c>
      <c r="AF971" s="718"/>
      <c r="AG971" s="211"/>
      <c r="AH971" s="210"/>
    </row>
    <row r="972" spans="1:34" s="4" customFormat="1">
      <c r="A972" s="2"/>
      <c r="B972" s="310" t="s">
        <v>106</v>
      </c>
      <c r="C972" s="311" t="s">
        <v>33</v>
      </c>
      <c r="D972" s="687" t="s">
        <v>5218</v>
      </c>
      <c r="E972" s="688"/>
      <c r="F972" s="312" t="s">
        <v>5219</v>
      </c>
      <c r="G972" s="313">
        <v>44915</v>
      </c>
      <c r="H972" s="624"/>
      <c r="I972" s="625"/>
      <c r="J972" s="626"/>
      <c r="K972" s="627" t="s">
        <v>5220</v>
      </c>
      <c r="L972" s="628">
        <v>44932</v>
      </c>
      <c r="M972" s="629">
        <v>11000</v>
      </c>
      <c r="N972" s="627" t="s">
        <v>5221</v>
      </c>
      <c r="O972" s="628">
        <v>44935</v>
      </c>
      <c r="P972" s="630" t="s">
        <v>5222</v>
      </c>
      <c r="Q972" s="631">
        <v>44956</v>
      </c>
      <c r="R972" s="715">
        <v>44971</v>
      </c>
      <c r="S972" s="1068"/>
      <c r="T972" s="632">
        <v>14501.68</v>
      </c>
      <c r="U972" s="633" t="s">
        <v>5223</v>
      </c>
      <c r="V972" s="634">
        <v>44967</v>
      </c>
      <c r="W972" s="635" t="s">
        <v>2302</v>
      </c>
      <c r="X972" s="636">
        <v>14501.68</v>
      </c>
      <c r="Y972" s="636">
        <v>14501.68</v>
      </c>
      <c r="Z972" s="987">
        <f>Y972/X972</f>
        <v>1</v>
      </c>
      <c r="AA972" s="919"/>
      <c r="AB972" s="1055">
        <v>0</v>
      </c>
      <c r="AC972" s="912" t="s">
        <v>5224</v>
      </c>
      <c r="AD972" s="913"/>
      <c r="AE972" s="669">
        <v>44922</v>
      </c>
      <c r="AF972" s="718"/>
      <c r="AG972" s="211"/>
      <c r="AH972" s="210"/>
    </row>
    <row r="973" spans="1:34" s="4" customFormat="1">
      <c r="A973" s="2"/>
      <c r="B973" s="310" t="s">
        <v>115</v>
      </c>
      <c r="C973" s="311" t="s">
        <v>27</v>
      </c>
      <c r="D973" s="687"/>
      <c r="E973" s="688"/>
      <c r="F973" s="312" t="s">
        <v>5225</v>
      </c>
      <c r="G973" s="313">
        <v>44915</v>
      </c>
      <c r="H973" s="624"/>
      <c r="I973" s="625"/>
      <c r="J973" s="626"/>
      <c r="K973" s="627"/>
      <c r="L973" s="628"/>
      <c r="M973" s="629"/>
      <c r="N973" s="627"/>
      <c r="O973" s="628"/>
      <c r="P973" s="630"/>
      <c r="Q973" s="631"/>
      <c r="R973" s="715"/>
      <c r="S973" s="910"/>
      <c r="T973" s="632"/>
      <c r="U973" s="633"/>
      <c r="V973" s="634"/>
      <c r="W973" s="635"/>
      <c r="X973" s="636"/>
      <c r="Y973" s="636"/>
      <c r="Z973" s="987"/>
      <c r="AA973" s="919"/>
      <c r="AB973" s="908"/>
      <c r="AC973" s="314" t="s">
        <v>5226</v>
      </c>
      <c r="AD973" s="317"/>
      <c r="AE973" s="669">
        <v>44922</v>
      </c>
      <c r="AF973" s="718"/>
      <c r="AG973" s="211"/>
      <c r="AH973" s="210"/>
    </row>
    <row r="974" spans="1:34" s="4" customFormat="1">
      <c r="A974" s="2"/>
      <c r="B974" s="310" t="s">
        <v>115</v>
      </c>
      <c r="C974" s="311" t="s">
        <v>27</v>
      </c>
      <c r="D974" s="687"/>
      <c r="E974" s="688"/>
      <c r="F974" s="312" t="s">
        <v>5227</v>
      </c>
      <c r="G974" s="313">
        <v>44916</v>
      </c>
      <c r="H974" s="624"/>
      <c r="I974" s="625"/>
      <c r="J974" s="626"/>
      <c r="K974" s="627"/>
      <c r="L974" s="628"/>
      <c r="M974" s="629"/>
      <c r="N974" s="627"/>
      <c r="O974" s="628"/>
      <c r="P974" s="630"/>
      <c r="Q974" s="631"/>
      <c r="R974" s="715"/>
      <c r="S974" s="910"/>
      <c r="T974" s="632"/>
      <c r="U974" s="633"/>
      <c r="V974" s="634"/>
      <c r="W974" s="635"/>
      <c r="X974" s="636"/>
      <c r="Y974" s="636"/>
      <c r="Z974" s="987"/>
      <c r="AA974" s="919"/>
      <c r="AB974" s="908"/>
      <c r="AC974" s="314" t="s">
        <v>5228</v>
      </c>
      <c r="AD974" s="317"/>
      <c r="AE974" s="669">
        <v>44923</v>
      </c>
      <c r="AF974" s="718"/>
      <c r="AG974" s="211"/>
      <c r="AH974" s="210"/>
    </row>
    <row r="975" spans="1:34" s="4" customFormat="1">
      <c r="A975" s="2"/>
      <c r="B975" s="310" t="s">
        <v>115</v>
      </c>
      <c r="C975" s="311" t="s">
        <v>27</v>
      </c>
      <c r="D975" s="687"/>
      <c r="E975" s="688"/>
      <c r="F975" s="312" t="s">
        <v>5229</v>
      </c>
      <c r="G975" s="313">
        <v>44929</v>
      </c>
      <c r="H975" s="624"/>
      <c r="I975" s="625"/>
      <c r="J975" s="626"/>
      <c r="K975" s="627"/>
      <c r="L975" s="628"/>
      <c r="M975" s="629"/>
      <c r="N975" s="627"/>
      <c r="O975" s="628"/>
      <c r="P975" s="630"/>
      <c r="Q975" s="631"/>
      <c r="R975" s="715"/>
      <c r="S975" s="910"/>
      <c r="T975" s="632"/>
      <c r="U975" s="633"/>
      <c r="V975" s="634"/>
      <c r="W975" s="635"/>
      <c r="X975" s="636"/>
      <c r="Y975" s="637"/>
      <c r="Z975" s="987"/>
      <c r="AA975" s="919"/>
      <c r="AB975" s="908"/>
      <c r="AC975" s="314" t="s">
        <v>5230</v>
      </c>
      <c r="AD975" s="317"/>
      <c r="AE975" s="669">
        <v>44936</v>
      </c>
      <c r="AF975" s="718"/>
      <c r="AG975" s="211"/>
      <c r="AH975" s="210"/>
    </row>
    <row r="976" spans="1:34" s="4" customFormat="1">
      <c r="A976" s="2"/>
      <c r="B976" s="310" t="s">
        <v>110</v>
      </c>
      <c r="C976" s="311" t="s">
        <v>27</v>
      </c>
      <c r="D976" s="687" t="s">
        <v>5231</v>
      </c>
      <c r="E976" s="688"/>
      <c r="F976" s="312" t="s">
        <v>5232</v>
      </c>
      <c r="G976" s="313">
        <v>44930</v>
      </c>
      <c r="H976" s="624"/>
      <c r="I976" s="625"/>
      <c r="J976" s="626"/>
      <c r="K976" s="627" t="s">
        <v>5233</v>
      </c>
      <c r="L976" s="628">
        <v>44978</v>
      </c>
      <c r="M976" s="629">
        <v>5000</v>
      </c>
      <c r="N976" s="627" t="s">
        <v>5234</v>
      </c>
      <c r="O976" s="628">
        <v>44978</v>
      </c>
      <c r="P976" s="630"/>
      <c r="Q976" s="631"/>
      <c r="R976" s="715"/>
      <c r="S976" s="910"/>
      <c r="T976" s="632"/>
      <c r="U976" s="633"/>
      <c r="V976" s="634"/>
      <c r="W976" s="635" t="s">
        <v>2302</v>
      </c>
      <c r="X976" s="636"/>
      <c r="Y976" s="637"/>
      <c r="Z976" s="987"/>
      <c r="AA976" s="919"/>
      <c r="AB976" s="908"/>
      <c r="AC976" s="314" t="s">
        <v>5235</v>
      </c>
      <c r="AD976" s="317"/>
      <c r="AE976" s="669">
        <v>44937</v>
      </c>
      <c r="AF976" s="718"/>
      <c r="AG976" s="211"/>
      <c r="AH976" s="210"/>
    </row>
    <row r="977" spans="1:34" s="4" customFormat="1">
      <c r="A977" s="2"/>
      <c r="B977" s="310" t="s">
        <v>119</v>
      </c>
      <c r="C977" s="311" t="s">
        <v>27</v>
      </c>
      <c r="D977" s="687" t="s">
        <v>5236</v>
      </c>
      <c r="E977" s="688"/>
      <c r="F977" s="312" t="s">
        <v>5237</v>
      </c>
      <c r="G977" s="313">
        <v>45034</v>
      </c>
      <c r="H977" s="624"/>
      <c r="I977" s="625"/>
      <c r="J977" s="626"/>
      <c r="K977" s="627"/>
      <c r="L977" s="628"/>
      <c r="M977" s="629"/>
      <c r="N977" s="627"/>
      <c r="O977" s="628"/>
      <c r="P977" s="630"/>
      <c r="Q977" s="631"/>
      <c r="R977" s="715"/>
      <c r="S977" s="910"/>
      <c r="T977" s="632"/>
      <c r="U977" s="633"/>
      <c r="V977" s="634"/>
      <c r="W977" s="635"/>
      <c r="X977" s="636"/>
      <c r="Y977" s="637"/>
      <c r="Z977" s="987"/>
      <c r="AA977" s="919"/>
      <c r="AB977" s="908"/>
      <c r="AC977" s="314"/>
      <c r="AD977" s="317"/>
      <c r="AE977" s="669"/>
      <c r="AF977" s="718"/>
      <c r="AG977" s="211"/>
      <c r="AH977" s="210"/>
    </row>
    <row r="978" spans="1:34" s="4" customFormat="1">
      <c r="A978" s="2"/>
      <c r="B978" s="310" t="s">
        <v>106</v>
      </c>
      <c r="C978" s="311" t="s">
        <v>33</v>
      </c>
      <c r="D978" s="687" t="s">
        <v>5238</v>
      </c>
      <c r="E978" s="688"/>
      <c r="F978" s="312" t="s">
        <v>5239</v>
      </c>
      <c r="G978" s="313">
        <v>44931</v>
      </c>
      <c r="H978" s="624"/>
      <c r="I978" s="625"/>
      <c r="J978" s="626"/>
      <c r="K978" s="627" t="s">
        <v>5240</v>
      </c>
      <c r="L978" s="628">
        <v>44573</v>
      </c>
      <c r="M978" s="629">
        <v>11500</v>
      </c>
      <c r="N978" s="627" t="s">
        <v>5241</v>
      </c>
      <c r="O978" s="628">
        <v>44939</v>
      </c>
      <c r="P978" s="630" t="s">
        <v>5242</v>
      </c>
      <c r="Q978" s="631">
        <v>44956</v>
      </c>
      <c r="R978" s="715">
        <v>44971</v>
      </c>
      <c r="S978" s="1068"/>
      <c r="T978" s="632">
        <v>12032</v>
      </c>
      <c r="U978" s="633" t="s">
        <v>5243</v>
      </c>
      <c r="V978" s="634">
        <v>44967</v>
      </c>
      <c r="W978" s="635" t="s">
        <v>2302</v>
      </c>
      <c r="X978" s="636">
        <v>12032</v>
      </c>
      <c r="Y978" s="636">
        <v>12032</v>
      </c>
      <c r="Z978" s="987">
        <f>Y978/X978</f>
        <v>1</v>
      </c>
      <c r="AA978" s="919"/>
      <c r="AB978" s="1055">
        <v>0</v>
      </c>
      <c r="AC978" s="912" t="s">
        <v>5244</v>
      </c>
      <c r="AD978" s="913"/>
      <c r="AE978" s="669">
        <v>44938</v>
      </c>
      <c r="AF978" s="718"/>
      <c r="AG978" s="211"/>
      <c r="AH978" s="210"/>
    </row>
    <row r="979" spans="1:34" s="4" customFormat="1">
      <c r="A979" s="2"/>
      <c r="B979" s="310" t="s">
        <v>115</v>
      </c>
      <c r="C979" s="311" t="s">
        <v>27</v>
      </c>
      <c r="D979" s="687"/>
      <c r="E979" s="688"/>
      <c r="F979" s="312" t="s">
        <v>5245</v>
      </c>
      <c r="G979" s="313">
        <v>44935</v>
      </c>
      <c r="H979" s="624"/>
      <c r="I979" s="625"/>
      <c r="J979" s="626"/>
      <c r="K979" s="627"/>
      <c r="L979" s="628"/>
      <c r="M979" s="629"/>
      <c r="N979" s="627"/>
      <c r="O979" s="628"/>
      <c r="P979" s="630"/>
      <c r="Q979" s="631"/>
      <c r="R979" s="715"/>
      <c r="S979" s="910"/>
      <c r="T979" s="632"/>
      <c r="U979" s="633"/>
      <c r="V979" s="634"/>
      <c r="W979" s="635"/>
      <c r="X979" s="636"/>
      <c r="Y979" s="637"/>
      <c r="Z979" s="987"/>
      <c r="AA979" s="919"/>
      <c r="AB979" s="908"/>
      <c r="AC979" s="314" t="s">
        <v>5246</v>
      </c>
      <c r="AD979" s="317"/>
      <c r="AE979" s="669">
        <v>44942</v>
      </c>
      <c r="AF979" s="718"/>
      <c r="AG979" s="211"/>
      <c r="AH979" s="210"/>
    </row>
    <row r="980" spans="1:34" s="4" customFormat="1">
      <c r="A980" s="2"/>
      <c r="B980" s="310" t="s">
        <v>106</v>
      </c>
      <c r="C980" s="311" t="s">
        <v>33</v>
      </c>
      <c r="D980" s="687" t="s">
        <v>5247</v>
      </c>
      <c r="E980" s="688"/>
      <c r="F980" s="312"/>
      <c r="G980" s="313"/>
      <c r="H980" s="624"/>
      <c r="I980" s="625"/>
      <c r="J980" s="626"/>
      <c r="K980" s="627" t="s">
        <v>5248</v>
      </c>
      <c r="L980" s="628">
        <v>44893</v>
      </c>
      <c r="M980" s="629">
        <v>6000</v>
      </c>
      <c r="N980" s="627" t="s">
        <v>5249</v>
      </c>
      <c r="O980" s="628">
        <v>44893</v>
      </c>
      <c r="P980" s="630" t="s">
        <v>5250</v>
      </c>
      <c r="Q980" s="631">
        <v>44904</v>
      </c>
      <c r="R980" s="715">
        <v>44922</v>
      </c>
      <c r="S980" s="1068"/>
      <c r="T980" s="632">
        <v>13642.18</v>
      </c>
      <c r="U980" s="633" t="s">
        <v>5251</v>
      </c>
      <c r="V980" s="634">
        <v>44937</v>
      </c>
      <c r="W980" s="635" t="s">
        <v>2302</v>
      </c>
      <c r="X980" s="636">
        <v>13642.18</v>
      </c>
      <c r="Y980" s="636">
        <v>13642.18</v>
      </c>
      <c r="Z980" s="987">
        <f t="shared" ref="Z980" si="52">Y980/X980</f>
        <v>1</v>
      </c>
      <c r="AA980" s="919"/>
      <c r="AB980" s="1055">
        <v>0</v>
      </c>
      <c r="AC980" s="912"/>
      <c r="AD980" s="913" t="s">
        <v>5252</v>
      </c>
      <c r="AE980" s="669"/>
      <c r="AF980" s="718"/>
      <c r="AG980" s="211"/>
      <c r="AH980" s="210"/>
    </row>
    <row r="981" spans="1:34" s="4" customFormat="1">
      <c r="A981" s="2"/>
      <c r="B981" s="310" t="s">
        <v>106</v>
      </c>
      <c r="C981" s="311" t="s">
        <v>33</v>
      </c>
      <c r="D981" s="687" t="s">
        <v>5253</v>
      </c>
      <c r="E981" s="688"/>
      <c r="F981" s="312"/>
      <c r="G981" s="313"/>
      <c r="H981" s="624"/>
      <c r="I981" s="625"/>
      <c r="J981" s="626"/>
      <c r="K981" s="627"/>
      <c r="L981" s="628"/>
      <c r="M981" s="629"/>
      <c r="N981" s="627"/>
      <c r="O981" s="628"/>
      <c r="P981" s="630" t="s">
        <v>268</v>
      </c>
      <c r="Q981" s="631"/>
      <c r="R981" s="715"/>
      <c r="S981" s="1068"/>
      <c r="T981" s="1074"/>
      <c r="U981" s="633" t="s">
        <v>5254</v>
      </c>
      <c r="V981" s="634">
        <v>44938</v>
      </c>
      <c r="W981" s="635" t="s">
        <v>74</v>
      </c>
      <c r="X981" s="636">
        <v>0</v>
      </c>
      <c r="Y981" s="637"/>
      <c r="Z981" s="987" t="s">
        <v>268</v>
      </c>
      <c r="AA981" s="919"/>
      <c r="AB981" s="1055">
        <v>0</v>
      </c>
      <c r="AC981" s="912"/>
      <c r="AD981" s="913"/>
      <c r="AE981" s="669"/>
      <c r="AF981" s="718"/>
      <c r="AG981" s="211"/>
      <c r="AH981" s="210"/>
    </row>
    <row r="982" spans="1:34" s="4" customFormat="1">
      <c r="A982" s="2"/>
      <c r="B982" s="310" t="s">
        <v>115</v>
      </c>
      <c r="C982" s="311" t="s">
        <v>27</v>
      </c>
      <c r="D982" s="687"/>
      <c r="E982" s="688"/>
      <c r="F982" s="312" t="s">
        <v>5255</v>
      </c>
      <c r="G982" s="313">
        <v>44937</v>
      </c>
      <c r="H982" s="624"/>
      <c r="I982" s="625"/>
      <c r="J982" s="626"/>
      <c r="K982" s="627"/>
      <c r="L982" s="628"/>
      <c r="M982" s="629"/>
      <c r="N982" s="627"/>
      <c r="O982" s="628"/>
      <c r="P982" s="630"/>
      <c r="Q982" s="631"/>
      <c r="R982" s="715"/>
      <c r="S982" s="910"/>
      <c r="T982" s="632"/>
      <c r="U982" s="633"/>
      <c r="V982" s="634"/>
      <c r="W982" s="635"/>
      <c r="X982" s="636"/>
      <c r="Y982" s="637"/>
      <c r="Z982" s="987"/>
      <c r="AA982" s="919"/>
      <c r="AB982" s="908"/>
      <c r="AC982" s="314" t="s">
        <v>5256</v>
      </c>
      <c r="AD982" s="317"/>
      <c r="AE982" s="669"/>
      <c r="AF982" s="718"/>
      <c r="AG982" s="211"/>
      <c r="AH982" s="210"/>
    </row>
    <row r="983" spans="1:34" s="4" customFormat="1">
      <c r="A983" s="2"/>
      <c r="B983" s="310" t="s">
        <v>115</v>
      </c>
      <c r="C983" s="311" t="s">
        <v>27</v>
      </c>
      <c r="D983" s="687"/>
      <c r="E983" s="688"/>
      <c r="F983" s="312" t="s">
        <v>5257</v>
      </c>
      <c r="G983" s="313">
        <v>44938</v>
      </c>
      <c r="H983" s="624"/>
      <c r="I983" s="625"/>
      <c r="J983" s="626"/>
      <c r="K983" s="627"/>
      <c r="L983" s="628"/>
      <c r="M983" s="629"/>
      <c r="N983" s="627"/>
      <c r="O983" s="628"/>
      <c r="P983" s="630"/>
      <c r="Q983" s="631"/>
      <c r="R983" s="715"/>
      <c r="S983" s="910"/>
      <c r="T983" s="632"/>
      <c r="U983" s="633"/>
      <c r="V983" s="634"/>
      <c r="W983" s="635"/>
      <c r="X983" s="636"/>
      <c r="Y983" s="637"/>
      <c r="Z983" s="987"/>
      <c r="AA983" s="919"/>
      <c r="AB983" s="908"/>
      <c r="AC983" s="314" t="s">
        <v>5258</v>
      </c>
      <c r="AD983" s="317"/>
      <c r="AE983" s="669"/>
      <c r="AF983" s="718"/>
      <c r="AG983" s="211"/>
      <c r="AH983" s="210"/>
    </row>
    <row r="984" spans="1:34" s="4" customFormat="1">
      <c r="A984" s="2"/>
      <c r="B984" s="310" t="s">
        <v>106</v>
      </c>
      <c r="C984" s="311" t="s">
        <v>33</v>
      </c>
      <c r="D984" s="687" t="s">
        <v>5259</v>
      </c>
      <c r="E984" s="688"/>
      <c r="F984" s="312" t="s">
        <v>5260</v>
      </c>
      <c r="G984" s="313">
        <v>44938</v>
      </c>
      <c r="H984" s="624"/>
      <c r="I984" s="625"/>
      <c r="J984" s="626"/>
      <c r="K984" s="627" t="s">
        <v>5261</v>
      </c>
      <c r="L984" s="628">
        <v>44988</v>
      </c>
      <c r="M984" s="629">
        <v>8000</v>
      </c>
      <c r="N984" s="627" t="s">
        <v>5262</v>
      </c>
      <c r="O984" s="628"/>
      <c r="P984" s="630" t="s">
        <v>5263</v>
      </c>
      <c r="Q984" s="631">
        <v>45002</v>
      </c>
      <c r="R984" s="715">
        <v>45016</v>
      </c>
      <c r="S984" s="1068"/>
      <c r="T984" s="632">
        <v>12603.91</v>
      </c>
      <c r="U984" s="633" t="s">
        <v>5264</v>
      </c>
      <c r="V984" s="634">
        <v>45117</v>
      </c>
      <c r="W984" s="635" t="s">
        <v>96</v>
      </c>
      <c r="X984" s="636">
        <v>12603.91</v>
      </c>
      <c r="Y984" s="636">
        <v>12603.91</v>
      </c>
      <c r="Z984" s="987">
        <f t="shared" ref="Z984:Z985" si="53">Y984/X984</f>
        <v>1</v>
      </c>
      <c r="AA984" s="919"/>
      <c r="AB984" s="1055">
        <v>0</v>
      </c>
      <c r="AC984" s="912" t="s">
        <v>5265</v>
      </c>
      <c r="AD984" s="913"/>
      <c r="AE984" s="669"/>
      <c r="AF984" s="718"/>
      <c r="AG984" s="211"/>
      <c r="AH984" s="210"/>
    </row>
    <row r="985" spans="1:34" s="4" customFormat="1">
      <c r="A985" s="2"/>
      <c r="B985" s="310" t="s">
        <v>106</v>
      </c>
      <c r="C985" s="311" t="s">
        <v>33</v>
      </c>
      <c r="D985" s="687" t="s">
        <v>5266</v>
      </c>
      <c r="E985" s="688"/>
      <c r="F985" s="312" t="s">
        <v>5267</v>
      </c>
      <c r="G985" s="313">
        <v>44938</v>
      </c>
      <c r="H985" s="624"/>
      <c r="I985" s="625"/>
      <c r="J985" s="626"/>
      <c r="K985" s="627" t="s">
        <v>5268</v>
      </c>
      <c r="L985" s="628">
        <v>45040</v>
      </c>
      <c r="M985" s="629"/>
      <c r="N985" s="627" t="s">
        <v>5269</v>
      </c>
      <c r="O985" s="628"/>
      <c r="P985" s="630" t="s">
        <v>5270</v>
      </c>
      <c r="Q985" s="631"/>
      <c r="R985" s="715"/>
      <c r="S985" s="1068">
        <v>2</v>
      </c>
      <c r="T985" s="632">
        <v>19146.310000000001</v>
      </c>
      <c r="U985" s="633" t="s">
        <v>5271</v>
      </c>
      <c r="V985" s="634">
        <v>45079</v>
      </c>
      <c r="W985" s="635" t="s">
        <v>2302</v>
      </c>
      <c r="X985" s="636">
        <v>33499.089999999997</v>
      </c>
      <c r="Y985" s="636">
        <v>33499.089999999997</v>
      </c>
      <c r="Z985" s="987">
        <f t="shared" si="53"/>
        <v>1</v>
      </c>
      <c r="AA985" s="919"/>
      <c r="AB985" s="1055">
        <v>0</v>
      </c>
      <c r="AC985" s="912" t="s">
        <v>5272</v>
      </c>
      <c r="AD985" s="917" t="s">
        <v>5273</v>
      </c>
      <c r="AE985" s="669"/>
      <c r="AF985" s="718"/>
      <c r="AG985" s="211"/>
      <c r="AH985" s="210"/>
    </row>
    <row r="986" spans="1:34" s="4" customFormat="1">
      <c r="A986" s="2"/>
      <c r="B986" s="310" t="s">
        <v>115</v>
      </c>
      <c r="C986" s="311" t="s">
        <v>27</v>
      </c>
      <c r="D986" s="687"/>
      <c r="E986" s="688"/>
      <c r="F986" s="312" t="s">
        <v>5274</v>
      </c>
      <c r="G986" s="313">
        <v>44938</v>
      </c>
      <c r="H986" s="624"/>
      <c r="I986" s="625"/>
      <c r="J986" s="626"/>
      <c r="K986" s="627"/>
      <c r="L986" s="628"/>
      <c r="M986" s="629"/>
      <c r="N986" s="627"/>
      <c r="O986" s="628"/>
      <c r="P986" s="630"/>
      <c r="Q986" s="631"/>
      <c r="R986" s="715"/>
      <c r="S986" s="910"/>
      <c r="T986" s="632"/>
      <c r="U986" s="633"/>
      <c r="V986" s="634"/>
      <c r="W986" s="635"/>
      <c r="X986" s="636"/>
      <c r="Y986" s="636"/>
      <c r="Z986" s="987"/>
      <c r="AA986" s="919"/>
      <c r="AB986" s="908"/>
      <c r="AC986" s="314" t="s">
        <v>5275</v>
      </c>
      <c r="AD986" s="317"/>
      <c r="AE986" s="669"/>
      <c r="AF986" s="718"/>
      <c r="AG986" s="211"/>
      <c r="AH986" s="210"/>
    </row>
    <row r="987" spans="1:34" s="4" customFormat="1">
      <c r="A987" s="2"/>
      <c r="B987" s="310" t="s">
        <v>115</v>
      </c>
      <c r="C987" s="311" t="s">
        <v>27</v>
      </c>
      <c r="D987" s="687"/>
      <c r="E987" s="688"/>
      <c r="F987" s="312" t="s">
        <v>5276</v>
      </c>
      <c r="G987" s="313">
        <v>44939</v>
      </c>
      <c r="H987" s="624"/>
      <c r="I987" s="625"/>
      <c r="J987" s="626"/>
      <c r="K987" s="627"/>
      <c r="L987" s="628"/>
      <c r="M987" s="629"/>
      <c r="N987" s="627"/>
      <c r="O987" s="628"/>
      <c r="P987" s="630"/>
      <c r="Q987" s="631"/>
      <c r="R987" s="715"/>
      <c r="S987" s="910"/>
      <c r="T987" s="632"/>
      <c r="U987" s="633"/>
      <c r="V987" s="634"/>
      <c r="W987" s="635"/>
      <c r="X987" s="636"/>
      <c r="Y987" s="636"/>
      <c r="Z987" s="987"/>
      <c r="AA987" s="919"/>
      <c r="AB987" s="908"/>
      <c r="AC987" s="314" t="s">
        <v>5277</v>
      </c>
      <c r="AD987" s="317"/>
      <c r="AE987" s="669"/>
      <c r="AF987" s="718"/>
      <c r="AG987" s="211"/>
      <c r="AH987" s="210"/>
    </row>
    <row r="988" spans="1:34" s="4" customFormat="1">
      <c r="A988" s="2"/>
      <c r="B988" s="310" t="s">
        <v>115</v>
      </c>
      <c r="C988" s="311" t="s">
        <v>27</v>
      </c>
      <c r="D988" s="687"/>
      <c r="E988" s="688"/>
      <c r="F988" s="312" t="s">
        <v>5278</v>
      </c>
      <c r="G988" s="313">
        <v>44942</v>
      </c>
      <c r="H988" s="624"/>
      <c r="I988" s="625"/>
      <c r="J988" s="626"/>
      <c r="K988" s="627"/>
      <c r="L988" s="628"/>
      <c r="M988" s="629"/>
      <c r="N988" s="627"/>
      <c r="O988" s="628"/>
      <c r="P988" s="630"/>
      <c r="Q988" s="631"/>
      <c r="R988" s="715"/>
      <c r="S988" s="910"/>
      <c r="T988" s="632"/>
      <c r="U988" s="633"/>
      <c r="V988" s="634"/>
      <c r="W988" s="635"/>
      <c r="X988" s="636"/>
      <c r="Y988" s="637"/>
      <c r="Z988" s="987"/>
      <c r="AA988" s="919"/>
      <c r="AB988" s="908"/>
      <c r="AC988" s="314" t="s">
        <v>5279</v>
      </c>
      <c r="AD988" s="317"/>
      <c r="AE988" s="669"/>
      <c r="AF988" s="718"/>
      <c r="AG988" s="211"/>
      <c r="AH988" s="210"/>
    </row>
    <row r="989" spans="1:34" s="4" customFormat="1">
      <c r="A989" s="2"/>
      <c r="B989" s="310" t="s">
        <v>115</v>
      </c>
      <c r="C989" s="311" t="s">
        <v>27</v>
      </c>
      <c r="D989" s="687"/>
      <c r="E989" s="688"/>
      <c r="F989" s="312" t="s">
        <v>5280</v>
      </c>
      <c r="G989" s="313">
        <v>44942</v>
      </c>
      <c r="H989" s="624"/>
      <c r="I989" s="625"/>
      <c r="J989" s="626"/>
      <c r="K989" s="627"/>
      <c r="L989" s="628"/>
      <c r="M989" s="629"/>
      <c r="N989" s="627"/>
      <c r="O989" s="628"/>
      <c r="P989" s="630"/>
      <c r="Q989" s="631"/>
      <c r="R989" s="715"/>
      <c r="S989" s="910"/>
      <c r="T989" s="632"/>
      <c r="U989" s="633"/>
      <c r="V989" s="634"/>
      <c r="W989" s="635"/>
      <c r="X989" s="636"/>
      <c r="Y989" s="637"/>
      <c r="Z989" s="987"/>
      <c r="AA989" s="919"/>
      <c r="AB989" s="908"/>
      <c r="AC989" s="314" t="s">
        <v>5281</v>
      </c>
      <c r="AD989" s="317"/>
      <c r="AE989" s="669"/>
      <c r="AF989" s="718"/>
      <c r="AG989" s="211"/>
      <c r="AH989" s="210"/>
    </row>
    <row r="990" spans="1:34" s="4" customFormat="1">
      <c r="A990" s="2"/>
      <c r="B990" s="310" t="s">
        <v>115</v>
      </c>
      <c r="C990" s="311" t="s">
        <v>27</v>
      </c>
      <c r="D990" s="687"/>
      <c r="E990" s="688"/>
      <c r="F990" s="312" t="s">
        <v>5282</v>
      </c>
      <c r="G990" s="313">
        <v>44944</v>
      </c>
      <c r="H990" s="624"/>
      <c r="I990" s="625"/>
      <c r="J990" s="626"/>
      <c r="K990" s="627"/>
      <c r="L990" s="628"/>
      <c r="M990" s="629"/>
      <c r="N990" s="627"/>
      <c r="O990" s="628"/>
      <c r="P990" s="630"/>
      <c r="Q990" s="631"/>
      <c r="R990" s="715"/>
      <c r="S990" s="910"/>
      <c r="T990" s="632"/>
      <c r="U990" s="633"/>
      <c r="V990" s="634"/>
      <c r="W990" s="635"/>
      <c r="X990" s="636"/>
      <c r="Y990" s="637"/>
      <c r="Z990" s="987"/>
      <c r="AA990" s="919"/>
      <c r="AB990" s="908"/>
      <c r="AC990" s="314" t="s">
        <v>5283</v>
      </c>
      <c r="AD990" s="317"/>
      <c r="AE990" s="669"/>
      <c r="AF990" s="718"/>
      <c r="AG990" s="211"/>
      <c r="AH990" s="210"/>
    </row>
    <row r="991" spans="1:34" s="4" customFormat="1">
      <c r="A991" s="2"/>
      <c r="B991" s="310" t="s">
        <v>115</v>
      </c>
      <c r="C991" s="311" t="s">
        <v>27</v>
      </c>
      <c r="D991" s="687"/>
      <c r="E991" s="688"/>
      <c r="F991" s="312" t="s">
        <v>5284</v>
      </c>
      <c r="G991" s="313">
        <v>44945</v>
      </c>
      <c r="H991" s="624"/>
      <c r="I991" s="625"/>
      <c r="J991" s="626"/>
      <c r="K991" s="627"/>
      <c r="L991" s="628"/>
      <c r="M991" s="629"/>
      <c r="N991" s="627"/>
      <c r="O991" s="628"/>
      <c r="P991" s="630"/>
      <c r="Q991" s="631"/>
      <c r="R991" s="715"/>
      <c r="S991" s="910"/>
      <c r="T991" s="632"/>
      <c r="U991" s="633"/>
      <c r="V991" s="634"/>
      <c r="W991" s="635"/>
      <c r="X991" s="636"/>
      <c r="Y991" s="637"/>
      <c r="Z991" s="987"/>
      <c r="AA991" s="919"/>
      <c r="AB991" s="908"/>
      <c r="AC991" s="314" t="s">
        <v>5285</v>
      </c>
      <c r="AD991" s="317"/>
      <c r="AE991" s="669"/>
      <c r="AF991" s="718"/>
      <c r="AG991" s="211"/>
      <c r="AH991" s="210"/>
    </row>
    <row r="992" spans="1:34" s="4" customFormat="1">
      <c r="A992" s="2"/>
      <c r="B992" s="310" t="s">
        <v>115</v>
      </c>
      <c r="C992" s="311" t="s">
        <v>27</v>
      </c>
      <c r="D992" s="687"/>
      <c r="E992" s="688"/>
      <c r="F992" s="312" t="s">
        <v>5286</v>
      </c>
      <c r="G992" s="313">
        <v>44946</v>
      </c>
      <c r="H992" s="624"/>
      <c r="I992" s="625"/>
      <c r="J992" s="626"/>
      <c r="K992" s="627"/>
      <c r="L992" s="628"/>
      <c r="M992" s="629"/>
      <c r="N992" s="627"/>
      <c r="O992" s="628"/>
      <c r="P992" s="630"/>
      <c r="Q992" s="631"/>
      <c r="R992" s="715"/>
      <c r="S992" s="910"/>
      <c r="T992" s="632"/>
      <c r="U992" s="633"/>
      <c r="V992" s="634"/>
      <c r="W992" s="635"/>
      <c r="X992" s="636"/>
      <c r="Y992" s="637"/>
      <c r="Z992" s="987"/>
      <c r="AA992" s="919"/>
      <c r="AB992" s="908"/>
      <c r="AC992" s="314" t="s">
        <v>5287</v>
      </c>
      <c r="AD992" s="317"/>
      <c r="AE992" s="669"/>
      <c r="AF992" s="718"/>
      <c r="AG992" s="211"/>
      <c r="AH992" s="210"/>
    </row>
    <row r="993" spans="1:34" s="4" customFormat="1">
      <c r="A993" s="2"/>
      <c r="B993" s="310" t="s">
        <v>115</v>
      </c>
      <c r="C993" s="311" t="s">
        <v>27</v>
      </c>
      <c r="D993" s="687"/>
      <c r="E993" s="688"/>
      <c r="F993" s="312" t="s">
        <v>5288</v>
      </c>
      <c r="G993" s="313">
        <v>44950</v>
      </c>
      <c r="H993" s="624"/>
      <c r="I993" s="625"/>
      <c r="J993" s="626"/>
      <c r="K993" s="627"/>
      <c r="L993" s="628"/>
      <c r="M993" s="629"/>
      <c r="N993" s="627"/>
      <c r="O993" s="628"/>
      <c r="P993" s="630"/>
      <c r="Q993" s="631"/>
      <c r="R993" s="715"/>
      <c r="S993" s="910"/>
      <c r="T993" s="632"/>
      <c r="U993" s="633"/>
      <c r="V993" s="634"/>
      <c r="W993" s="635"/>
      <c r="X993" s="636"/>
      <c r="Y993" s="637"/>
      <c r="Z993" s="987"/>
      <c r="AA993" s="919"/>
      <c r="AB993" s="908"/>
      <c r="AC993" s="314" t="s">
        <v>5289</v>
      </c>
      <c r="AD993" s="317"/>
      <c r="AE993" s="669"/>
      <c r="AF993" s="718"/>
      <c r="AG993" s="211"/>
      <c r="AH993" s="210"/>
    </row>
    <row r="994" spans="1:34" s="4" customFormat="1">
      <c r="A994" s="2"/>
      <c r="B994" s="310" t="s">
        <v>115</v>
      </c>
      <c r="C994" s="311" t="s">
        <v>27</v>
      </c>
      <c r="D994" s="687"/>
      <c r="E994" s="688"/>
      <c r="F994" s="312" t="s">
        <v>5290</v>
      </c>
      <c r="G994" s="313">
        <v>44950</v>
      </c>
      <c r="H994" s="624"/>
      <c r="I994" s="625"/>
      <c r="J994" s="626"/>
      <c r="K994" s="627"/>
      <c r="L994" s="628"/>
      <c r="M994" s="629"/>
      <c r="N994" s="627"/>
      <c r="O994" s="628"/>
      <c r="P994" s="630"/>
      <c r="Q994" s="631"/>
      <c r="R994" s="715"/>
      <c r="S994" s="910"/>
      <c r="T994" s="632"/>
      <c r="U994" s="633"/>
      <c r="V994" s="634"/>
      <c r="W994" s="635"/>
      <c r="X994" s="636"/>
      <c r="Y994" s="637"/>
      <c r="Z994" s="987"/>
      <c r="AA994" s="919"/>
      <c r="AB994" s="908"/>
      <c r="AC994" s="314" t="s">
        <v>5291</v>
      </c>
      <c r="AD994" s="317"/>
      <c r="AE994" s="669"/>
      <c r="AF994" s="718"/>
      <c r="AG994" s="211"/>
      <c r="AH994" s="210"/>
    </row>
    <row r="995" spans="1:34" s="4" customFormat="1">
      <c r="A995" s="2"/>
      <c r="B995" s="310" t="s">
        <v>115</v>
      </c>
      <c r="C995" s="311" t="s">
        <v>27</v>
      </c>
      <c r="D995" s="687"/>
      <c r="E995" s="688"/>
      <c r="F995" s="312" t="s">
        <v>5292</v>
      </c>
      <c r="G995" s="313">
        <v>44952</v>
      </c>
      <c r="H995" s="624"/>
      <c r="I995" s="625"/>
      <c r="J995" s="626"/>
      <c r="K995" s="627"/>
      <c r="L995" s="628"/>
      <c r="M995" s="629"/>
      <c r="N995" s="627"/>
      <c r="O995" s="628"/>
      <c r="P995" s="630"/>
      <c r="Q995" s="631"/>
      <c r="R995" s="715"/>
      <c r="S995" s="910"/>
      <c r="T995" s="632"/>
      <c r="U995" s="633"/>
      <c r="V995" s="634"/>
      <c r="W995" s="635"/>
      <c r="X995" s="636"/>
      <c r="Y995" s="637"/>
      <c r="Z995" s="987"/>
      <c r="AA995" s="919"/>
      <c r="AB995" s="908"/>
      <c r="AC995" s="314" t="s">
        <v>5293</v>
      </c>
      <c r="AD995" s="317"/>
      <c r="AE995" s="669"/>
      <c r="AF995" s="718"/>
      <c r="AG995" s="211"/>
      <c r="AH995" s="210"/>
    </row>
    <row r="996" spans="1:34" s="4" customFormat="1">
      <c r="A996" s="2"/>
      <c r="B996" s="310" t="s">
        <v>115</v>
      </c>
      <c r="C996" s="311" t="s">
        <v>27</v>
      </c>
      <c r="D996" s="687"/>
      <c r="E996" s="688"/>
      <c r="F996" s="312" t="s">
        <v>5294</v>
      </c>
      <c r="G996" s="313">
        <v>44953</v>
      </c>
      <c r="H996" s="624"/>
      <c r="I996" s="625"/>
      <c r="J996" s="626"/>
      <c r="K996" s="627"/>
      <c r="L996" s="628"/>
      <c r="M996" s="629"/>
      <c r="N996" s="627"/>
      <c r="O996" s="628"/>
      <c r="P996" s="630"/>
      <c r="Q996" s="631"/>
      <c r="R996" s="715"/>
      <c r="S996" s="910"/>
      <c r="T996" s="632"/>
      <c r="U996" s="633"/>
      <c r="V996" s="634"/>
      <c r="W996" s="635"/>
      <c r="X996" s="636"/>
      <c r="Y996" s="637"/>
      <c r="Z996" s="987"/>
      <c r="AA996" s="919"/>
      <c r="AB996" s="908"/>
      <c r="AC996" s="314" t="s">
        <v>5295</v>
      </c>
      <c r="AD996" s="317"/>
      <c r="AE996" s="669"/>
      <c r="AF996" s="718"/>
      <c r="AG996" s="211"/>
      <c r="AH996" s="210"/>
    </row>
    <row r="997" spans="1:34" s="4" customFormat="1">
      <c r="A997" s="2"/>
      <c r="B997" s="310" t="s">
        <v>119</v>
      </c>
      <c r="C997" s="311" t="s">
        <v>27</v>
      </c>
      <c r="D997" s="687" t="s">
        <v>5296</v>
      </c>
      <c r="E997" s="688"/>
      <c r="F997" s="312" t="s">
        <v>5297</v>
      </c>
      <c r="G997" s="313">
        <v>45020</v>
      </c>
      <c r="H997" s="624"/>
      <c r="I997" s="625"/>
      <c r="J997" s="626"/>
      <c r="K997" s="627"/>
      <c r="L997" s="628"/>
      <c r="M997" s="629"/>
      <c r="N997" s="627"/>
      <c r="O997" s="628"/>
      <c r="P997" s="630"/>
      <c r="Q997" s="631"/>
      <c r="R997" s="715"/>
      <c r="S997" s="910"/>
      <c r="T997" s="632"/>
      <c r="U997" s="633"/>
      <c r="V997" s="634"/>
      <c r="W997" s="635"/>
      <c r="X997" s="636"/>
      <c r="Y997" s="637"/>
      <c r="Z997" s="987"/>
      <c r="AA997" s="919"/>
      <c r="AB997" s="908"/>
      <c r="AC997" s="314"/>
      <c r="AD997" s="317"/>
      <c r="AE997" s="669"/>
      <c r="AF997" s="718"/>
      <c r="AG997" s="211"/>
      <c r="AH997" s="210"/>
    </row>
    <row r="998" spans="1:34" s="4" customFormat="1">
      <c r="A998" s="2"/>
      <c r="B998" s="310" t="s">
        <v>115</v>
      </c>
      <c r="C998" s="311" t="s">
        <v>27</v>
      </c>
      <c r="D998" s="687"/>
      <c r="E998" s="688"/>
      <c r="F998" s="312" t="s">
        <v>5298</v>
      </c>
      <c r="G998" s="313">
        <v>44953</v>
      </c>
      <c r="H998" s="624"/>
      <c r="I998" s="625"/>
      <c r="J998" s="626"/>
      <c r="K998" s="627"/>
      <c r="L998" s="628"/>
      <c r="M998" s="629"/>
      <c r="N998" s="627"/>
      <c r="O998" s="628"/>
      <c r="P998" s="630"/>
      <c r="Q998" s="631"/>
      <c r="R998" s="715"/>
      <c r="S998" s="910"/>
      <c r="T998" s="632"/>
      <c r="U998" s="633"/>
      <c r="V998" s="634"/>
      <c r="W998" s="635"/>
      <c r="X998" s="636"/>
      <c r="Y998" s="637"/>
      <c r="Z998" s="987"/>
      <c r="AA998" s="919"/>
      <c r="AB998" s="908"/>
      <c r="AC998" s="314" t="s">
        <v>5299</v>
      </c>
      <c r="AD998" s="317"/>
      <c r="AE998" s="669"/>
      <c r="AF998" s="718"/>
      <c r="AG998" s="211"/>
      <c r="AH998" s="210"/>
    </row>
    <row r="999" spans="1:34" s="4" customFormat="1">
      <c r="A999" s="2"/>
      <c r="B999" s="310" t="s">
        <v>106</v>
      </c>
      <c r="C999" s="311" t="s">
        <v>33</v>
      </c>
      <c r="D999" s="687" t="s">
        <v>5300</v>
      </c>
      <c r="E999" s="688"/>
      <c r="F999" s="312" t="s">
        <v>5301</v>
      </c>
      <c r="G999" s="313">
        <v>44953</v>
      </c>
      <c r="H999" s="624"/>
      <c r="I999" s="625"/>
      <c r="J999" s="626"/>
      <c r="K999" s="627" t="s">
        <v>5302</v>
      </c>
      <c r="L999" s="628">
        <v>44991</v>
      </c>
      <c r="M999" s="629">
        <v>30000</v>
      </c>
      <c r="N999" s="627" t="s">
        <v>5303</v>
      </c>
      <c r="O999" s="628">
        <v>44999</v>
      </c>
      <c r="P999" s="630" t="s">
        <v>5304</v>
      </c>
      <c r="Q999" s="631"/>
      <c r="R999" s="715"/>
      <c r="S999" s="1068"/>
      <c r="T999" s="632"/>
      <c r="U999" s="633" t="s">
        <v>5305</v>
      </c>
      <c r="V999" s="634">
        <v>45042</v>
      </c>
      <c r="W999" s="635" t="s">
        <v>96</v>
      </c>
      <c r="X999" s="636">
        <v>41762.769999999997</v>
      </c>
      <c r="Y999" s="636">
        <v>41762.769999999997</v>
      </c>
      <c r="Z999" s="987">
        <f t="shared" ref="Z999:Z1001" si="54">Y999/X999</f>
        <v>1</v>
      </c>
      <c r="AA999" s="919"/>
      <c r="AB999" s="1055">
        <v>0</v>
      </c>
      <c r="AC999" s="912" t="s">
        <v>5306</v>
      </c>
      <c r="AD999" s="913"/>
      <c r="AE999" s="669"/>
      <c r="AF999" s="718"/>
      <c r="AG999" s="211"/>
      <c r="AH999" s="210"/>
    </row>
    <row r="1000" spans="1:34" s="4" customFormat="1">
      <c r="A1000" s="2"/>
      <c r="B1000" s="310" t="s">
        <v>106</v>
      </c>
      <c r="C1000" s="311" t="s">
        <v>33</v>
      </c>
      <c r="D1000" s="687" t="s">
        <v>5307</v>
      </c>
      <c r="E1000" s="688"/>
      <c r="F1000" s="312" t="s">
        <v>5308</v>
      </c>
      <c r="G1000" s="313">
        <v>44953</v>
      </c>
      <c r="H1000" s="624"/>
      <c r="I1000" s="625"/>
      <c r="J1000" s="626"/>
      <c r="K1000" s="627" t="s">
        <v>5309</v>
      </c>
      <c r="L1000" s="628">
        <v>45015</v>
      </c>
      <c r="M1000" s="629">
        <v>15000</v>
      </c>
      <c r="N1000" s="627" t="s">
        <v>5310</v>
      </c>
      <c r="O1000" s="628">
        <v>45015</v>
      </c>
      <c r="P1000" s="630" t="s">
        <v>5311</v>
      </c>
      <c r="Q1000" s="631">
        <v>45055</v>
      </c>
      <c r="R1000" s="715"/>
      <c r="S1000" s="1068"/>
      <c r="T1000" s="632">
        <v>31474.880000000001</v>
      </c>
      <c r="U1000" s="633" t="s">
        <v>5312</v>
      </c>
      <c r="V1000" s="634">
        <v>45070</v>
      </c>
      <c r="W1000" s="635" t="s">
        <v>2302</v>
      </c>
      <c r="X1000" s="636">
        <v>31474.880000000001</v>
      </c>
      <c r="Y1000" s="636">
        <v>31474.880000000001</v>
      </c>
      <c r="Z1000" s="987">
        <f t="shared" si="54"/>
        <v>1</v>
      </c>
      <c r="AA1000" s="919"/>
      <c r="AB1000" s="1055">
        <v>0</v>
      </c>
      <c r="AC1000" s="912" t="s">
        <v>5313</v>
      </c>
      <c r="AD1000" s="913"/>
      <c r="AE1000" s="669"/>
      <c r="AF1000" s="718"/>
      <c r="AG1000" s="211"/>
      <c r="AH1000" s="210"/>
    </row>
    <row r="1001" spans="1:34" s="4" customFormat="1">
      <c r="A1001" s="2"/>
      <c r="B1001" s="310" t="s">
        <v>106</v>
      </c>
      <c r="C1001" s="311" t="s">
        <v>33</v>
      </c>
      <c r="D1001" s="687" t="s">
        <v>5314</v>
      </c>
      <c r="E1001" s="688"/>
      <c r="F1001" s="312" t="s">
        <v>5315</v>
      </c>
      <c r="G1001" s="313">
        <v>44956</v>
      </c>
      <c r="H1001" s="624"/>
      <c r="I1001" s="625"/>
      <c r="J1001" s="626"/>
      <c r="K1001" s="627" t="s">
        <v>5316</v>
      </c>
      <c r="L1001" s="628">
        <v>44966</v>
      </c>
      <c r="M1001" s="629">
        <v>2000</v>
      </c>
      <c r="N1001" s="627" t="s">
        <v>5317</v>
      </c>
      <c r="O1001" s="628">
        <v>44966</v>
      </c>
      <c r="P1001" s="630" t="s">
        <v>5318</v>
      </c>
      <c r="Q1001" s="631">
        <v>45014</v>
      </c>
      <c r="R1001" s="715">
        <v>45029</v>
      </c>
      <c r="S1001" s="1068"/>
      <c r="T1001" s="632">
        <v>2745.12</v>
      </c>
      <c r="U1001" s="633" t="s">
        <v>5319</v>
      </c>
      <c r="V1001" s="634">
        <v>45113</v>
      </c>
      <c r="W1001" s="635" t="s">
        <v>109</v>
      </c>
      <c r="X1001" s="636">
        <v>9401.76</v>
      </c>
      <c r="Y1001" s="636">
        <v>9401.76</v>
      </c>
      <c r="Z1001" s="987">
        <f t="shared" si="54"/>
        <v>1</v>
      </c>
      <c r="AA1001" s="919"/>
      <c r="AB1001" s="1055">
        <v>0</v>
      </c>
      <c r="AC1001" s="912" t="s">
        <v>5320</v>
      </c>
      <c r="AD1001" s="913"/>
      <c r="AE1001" s="669"/>
      <c r="AF1001" s="718"/>
      <c r="AG1001" s="211"/>
      <c r="AH1001" s="210"/>
    </row>
    <row r="1002" spans="1:34" s="4" customFormat="1">
      <c r="A1002" s="2"/>
      <c r="B1002" s="310" t="s">
        <v>115</v>
      </c>
      <c r="C1002" s="311" t="s">
        <v>27</v>
      </c>
      <c r="D1002" s="687"/>
      <c r="E1002" s="688"/>
      <c r="F1002" s="312" t="s">
        <v>5321</v>
      </c>
      <c r="G1002" s="313">
        <v>44956</v>
      </c>
      <c r="H1002" s="624"/>
      <c r="I1002" s="625"/>
      <c r="J1002" s="626"/>
      <c r="K1002" s="627"/>
      <c r="L1002" s="628"/>
      <c r="M1002" s="629"/>
      <c r="N1002" s="627"/>
      <c r="O1002" s="628"/>
      <c r="P1002" s="630"/>
      <c r="Q1002" s="631"/>
      <c r="R1002" s="715"/>
      <c r="S1002" s="910"/>
      <c r="T1002" s="632"/>
      <c r="U1002" s="633"/>
      <c r="V1002" s="634"/>
      <c r="W1002" s="635"/>
      <c r="X1002" s="636"/>
      <c r="Y1002" s="637"/>
      <c r="Z1002" s="987"/>
      <c r="AA1002" s="919"/>
      <c r="AB1002" s="908"/>
      <c r="AC1002" s="314" t="s">
        <v>5322</v>
      </c>
      <c r="AD1002" s="317"/>
      <c r="AE1002" s="669"/>
      <c r="AF1002" s="718"/>
      <c r="AG1002" s="211"/>
      <c r="AH1002" s="210"/>
    </row>
    <row r="1003" spans="1:34" s="4" customFormat="1">
      <c r="A1003" s="2"/>
      <c r="B1003" s="310" t="s">
        <v>115</v>
      </c>
      <c r="C1003" s="311" t="s">
        <v>27</v>
      </c>
      <c r="D1003" s="687"/>
      <c r="E1003" s="688"/>
      <c r="F1003" s="312" t="s">
        <v>5323</v>
      </c>
      <c r="G1003" s="313">
        <v>44959</v>
      </c>
      <c r="H1003" s="624"/>
      <c r="I1003" s="625"/>
      <c r="J1003" s="626"/>
      <c r="K1003" s="627"/>
      <c r="L1003" s="628"/>
      <c r="M1003" s="629"/>
      <c r="N1003" s="627"/>
      <c r="O1003" s="628"/>
      <c r="P1003" s="630"/>
      <c r="Q1003" s="631"/>
      <c r="R1003" s="715"/>
      <c r="S1003" s="910"/>
      <c r="T1003" s="632"/>
      <c r="U1003" s="633"/>
      <c r="V1003" s="634"/>
      <c r="W1003" s="635"/>
      <c r="X1003" s="636"/>
      <c r="Y1003" s="637"/>
      <c r="Z1003" s="987"/>
      <c r="AA1003" s="919"/>
      <c r="AB1003" s="908"/>
      <c r="AC1003" s="314" t="s">
        <v>5324</v>
      </c>
      <c r="AD1003" s="317"/>
      <c r="AE1003" s="669"/>
      <c r="AF1003" s="718"/>
      <c r="AG1003" s="211"/>
      <c r="AH1003" s="210"/>
    </row>
    <row r="1004" spans="1:34" s="4" customFormat="1">
      <c r="A1004" s="2"/>
      <c r="B1004" s="310" t="s">
        <v>115</v>
      </c>
      <c r="C1004" s="311" t="s">
        <v>27</v>
      </c>
      <c r="D1004" s="687"/>
      <c r="E1004" s="688"/>
      <c r="F1004" s="312" t="s">
        <v>5325</v>
      </c>
      <c r="G1004" s="313">
        <v>44959</v>
      </c>
      <c r="H1004" s="624"/>
      <c r="I1004" s="625"/>
      <c r="J1004" s="626"/>
      <c r="K1004" s="627"/>
      <c r="L1004" s="628"/>
      <c r="M1004" s="629"/>
      <c r="N1004" s="627"/>
      <c r="O1004" s="628"/>
      <c r="P1004" s="630"/>
      <c r="Q1004" s="631"/>
      <c r="R1004" s="715"/>
      <c r="S1004" s="910"/>
      <c r="T1004" s="632"/>
      <c r="U1004" s="633"/>
      <c r="V1004" s="634"/>
      <c r="W1004" s="635"/>
      <c r="X1004" s="636"/>
      <c r="Y1004" s="637"/>
      <c r="Z1004" s="987"/>
      <c r="AA1004" s="919"/>
      <c r="AB1004" s="908"/>
      <c r="AC1004" s="314" t="s">
        <v>5326</v>
      </c>
      <c r="AD1004" s="317"/>
      <c r="AE1004" s="669"/>
      <c r="AF1004" s="718"/>
      <c r="AG1004" s="211"/>
      <c r="AH1004" s="210"/>
    </row>
    <row r="1005" spans="1:34" s="4" customFormat="1">
      <c r="A1005" s="2"/>
      <c r="B1005" s="310" t="s">
        <v>115</v>
      </c>
      <c r="C1005" s="311" t="s">
        <v>27</v>
      </c>
      <c r="D1005" s="687"/>
      <c r="E1005" s="688"/>
      <c r="F1005" s="312" t="s">
        <v>5327</v>
      </c>
      <c r="G1005" s="313">
        <v>44963</v>
      </c>
      <c r="H1005" s="624"/>
      <c r="I1005" s="625"/>
      <c r="J1005" s="626"/>
      <c r="K1005" s="627"/>
      <c r="L1005" s="628"/>
      <c r="M1005" s="629"/>
      <c r="N1005" s="627"/>
      <c r="O1005" s="628"/>
      <c r="P1005" s="630"/>
      <c r="Q1005" s="631"/>
      <c r="R1005" s="715"/>
      <c r="S1005" s="910"/>
      <c r="T1005" s="632"/>
      <c r="U1005" s="633"/>
      <c r="V1005" s="634"/>
      <c r="W1005" s="635"/>
      <c r="X1005" s="636"/>
      <c r="Y1005" s="637"/>
      <c r="Z1005" s="987"/>
      <c r="AA1005" s="919"/>
      <c r="AB1005" s="908"/>
      <c r="AC1005" s="314" t="s">
        <v>5328</v>
      </c>
      <c r="AD1005" s="317"/>
      <c r="AE1005" s="669"/>
      <c r="AF1005" s="718"/>
      <c r="AG1005" s="211"/>
      <c r="AH1005" s="210"/>
    </row>
    <row r="1006" spans="1:34" s="4" customFormat="1">
      <c r="A1006" s="2"/>
      <c r="B1006" s="310" t="s">
        <v>115</v>
      </c>
      <c r="C1006" s="311" t="s">
        <v>27</v>
      </c>
      <c r="D1006" s="687"/>
      <c r="E1006" s="688"/>
      <c r="F1006" s="312" t="s">
        <v>5329</v>
      </c>
      <c r="G1006" s="313">
        <v>44963</v>
      </c>
      <c r="H1006" s="624"/>
      <c r="I1006" s="625"/>
      <c r="J1006" s="626"/>
      <c r="K1006" s="627"/>
      <c r="L1006" s="628"/>
      <c r="M1006" s="629"/>
      <c r="N1006" s="627"/>
      <c r="O1006" s="628"/>
      <c r="P1006" s="630"/>
      <c r="Q1006" s="631"/>
      <c r="R1006" s="715"/>
      <c r="S1006" s="910"/>
      <c r="T1006" s="632"/>
      <c r="U1006" s="633"/>
      <c r="V1006" s="634"/>
      <c r="W1006" s="635"/>
      <c r="X1006" s="636"/>
      <c r="Y1006" s="637"/>
      <c r="Z1006" s="987"/>
      <c r="AA1006" s="919"/>
      <c r="AB1006" s="908"/>
      <c r="AC1006" s="314" t="s">
        <v>5330</v>
      </c>
      <c r="AD1006" s="317"/>
      <c r="AE1006" s="669"/>
      <c r="AF1006" s="718"/>
      <c r="AG1006" s="211"/>
      <c r="AH1006" s="210"/>
    </row>
    <row r="1007" spans="1:34" s="4" customFormat="1">
      <c r="A1007" s="2"/>
      <c r="B1007" s="310" t="s">
        <v>115</v>
      </c>
      <c r="C1007" s="311" t="s">
        <v>27</v>
      </c>
      <c r="D1007" s="687"/>
      <c r="E1007" s="688"/>
      <c r="F1007" s="312" t="s">
        <v>5331</v>
      </c>
      <c r="G1007" s="313">
        <v>44964</v>
      </c>
      <c r="H1007" s="624"/>
      <c r="I1007" s="625"/>
      <c r="J1007" s="626"/>
      <c r="K1007" s="627"/>
      <c r="L1007" s="628"/>
      <c r="M1007" s="629"/>
      <c r="N1007" s="627"/>
      <c r="O1007" s="628"/>
      <c r="P1007" s="630"/>
      <c r="Q1007" s="631"/>
      <c r="R1007" s="715"/>
      <c r="S1007" s="910"/>
      <c r="T1007" s="632"/>
      <c r="U1007" s="633"/>
      <c r="V1007" s="634"/>
      <c r="W1007" s="635"/>
      <c r="X1007" s="636"/>
      <c r="Y1007" s="637"/>
      <c r="Z1007" s="987"/>
      <c r="AA1007" s="919"/>
      <c r="AB1007" s="908"/>
      <c r="AC1007" s="314" t="s">
        <v>5332</v>
      </c>
      <c r="AD1007" s="317"/>
      <c r="AE1007" s="669"/>
      <c r="AF1007" s="718"/>
      <c r="AG1007" s="211"/>
      <c r="AH1007" s="210"/>
    </row>
    <row r="1008" spans="1:34" s="4" customFormat="1">
      <c r="A1008" s="2"/>
      <c r="B1008" s="310" t="s">
        <v>115</v>
      </c>
      <c r="C1008" s="311" t="s">
        <v>27</v>
      </c>
      <c r="D1008" s="687"/>
      <c r="E1008" s="688"/>
      <c r="F1008" s="312" t="s">
        <v>5333</v>
      </c>
      <c r="G1008" s="313">
        <v>44964</v>
      </c>
      <c r="H1008" s="624"/>
      <c r="I1008" s="625"/>
      <c r="J1008" s="626"/>
      <c r="K1008" s="627"/>
      <c r="L1008" s="628"/>
      <c r="M1008" s="629"/>
      <c r="N1008" s="627"/>
      <c r="O1008" s="628"/>
      <c r="P1008" s="630"/>
      <c r="Q1008" s="631"/>
      <c r="R1008" s="715"/>
      <c r="S1008" s="910"/>
      <c r="T1008" s="632"/>
      <c r="U1008" s="633"/>
      <c r="V1008" s="634"/>
      <c r="W1008" s="635"/>
      <c r="X1008" s="636"/>
      <c r="Y1008" s="637"/>
      <c r="Z1008" s="987"/>
      <c r="AA1008" s="919"/>
      <c r="AB1008" s="908"/>
      <c r="AC1008" s="314" t="s">
        <v>5334</v>
      </c>
      <c r="AD1008" s="317"/>
      <c r="AE1008" s="669"/>
      <c r="AF1008" s="718"/>
      <c r="AG1008" s="211"/>
      <c r="AH1008" s="210"/>
    </row>
    <row r="1009" spans="1:34" s="4" customFormat="1">
      <c r="A1009" s="2"/>
      <c r="B1009" s="310" t="s">
        <v>119</v>
      </c>
      <c r="C1009" s="311" t="s">
        <v>27</v>
      </c>
      <c r="D1009" s="687" t="s">
        <v>5335</v>
      </c>
      <c r="E1009" s="688"/>
      <c r="F1009" s="312" t="s">
        <v>5336</v>
      </c>
      <c r="G1009" s="313">
        <v>44988</v>
      </c>
      <c r="H1009" s="624"/>
      <c r="I1009" s="625"/>
      <c r="J1009" s="626"/>
      <c r="K1009" s="627"/>
      <c r="L1009" s="628"/>
      <c r="M1009" s="629"/>
      <c r="N1009" s="627"/>
      <c r="O1009" s="628"/>
      <c r="P1009" s="630"/>
      <c r="Q1009" s="631"/>
      <c r="R1009" s="715"/>
      <c r="S1009" s="910"/>
      <c r="T1009" s="632"/>
      <c r="U1009" s="633"/>
      <c r="V1009" s="634"/>
      <c r="W1009" s="635"/>
      <c r="X1009" s="636"/>
      <c r="Y1009" s="637"/>
      <c r="Z1009" s="987"/>
      <c r="AA1009" s="919"/>
      <c r="AB1009" s="908"/>
      <c r="AC1009" s="314"/>
      <c r="AD1009" s="317"/>
      <c r="AE1009" s="669"/>
      <c r="AF1009" s="718"/>
      <c r="AG1009" s="211"/>
      <c r="AH1009" s="210"/>
    </row>
    <row r="1010" spans="1:34" s="4" customFormat="1">
      <c r="A1010" s="2"/>
      <c r="B1010" s="310" t="s">
        <v>106</v>
      </c>
      <c r="C1010" s="311" t="s">
        <v>33</v>
      </c>
      <c r="D1010" s="687" t="s">
        <v>5337</v>
      </c>
      <c r="E1010" s="688"/>
      <c r="F1010" s="312" t="s">
        <v>5338</v>
      </c>
      <c r="G1010" s="313">
        <v>44964</v>
      </c>
      <c r="H1010" s="624"/>
      <c r="I1010" s="625"/>
      <c r="J1010" s="626"/>
      <c r="K1010" s="627" t="s">
        <v>5339</v>
      </c>
      <c r="L1010" s="628">
        <v>44995</v>
      </c>
      <c r="M1010" s="629">
        <v>1900</v>
      </c>
      <c r="N1010" s="627" t="s">
        <v>5340</v>
      </c>
      <c r="O1010" s="628"/>
      <c r="P1010" s="630" t="s">
        <v>5341</v>
      </c>
      <c r="Q1010" s="631"/>
      <c r="R1010" s="715"/>
      <c r="S1010" s="1068"/>
      <c r="T1010" s="632"/>
      <c r="U1010" s="633" t="s">
        <v>5342</v>
      </c>
      <c r="V1010" s="634">
        <v>45037</v>
      </c>
      <c r="W1010" s="635" t="s">
        <v>96</v>
      </c>
      <c r="X1010" s="636">
        <v>5042.24</v>
      </c>
      <c r="Y1010" s="636">
        <v>5042.24</v>
      </c>
      <c r="Z1010" s="987">
        <f>Y1010/X1010</f>
        <v>1</v>
      </c>
      <c r="AA1010" s="919"/>
      <c r="AB1010" s="1055">
        <v>0</v>
      </c>
      <c r="AC1010" s="912" t="s">
        <v>5343</v>
      </c>
      <c r="AD1010" s="913"/>
      <c r="AE1010" s="669"/>
      <c r="AF1010" s="718"/>
      <c r="AG1010" s="211"/>
      <c r="AH1010" s="210"/>
    </row>
    <row r="1011" spans="1:34" s="4" customFormat="1">
      <c r="A1011" s="2"/>
      <c r="B1011" s="310" t="s">
        <v>115</v>
      </c>
      <c r="C1011" s="311" t="s">
        <v>27</v>
      </c>
      <c r="D1011" s="687"/>
      <c r="E1011" s="688"/>
      <c r="F1011" s="312" t="s">
        <v>5344</v>
      </c>
      <c r="G1011" s="313">
        <v>44965</v>
      </c>
      <c r="H1011" s="624"/>
      <c r="I1011" s="625"/>
      <c r="J1011" s="626"/>
      <c r="K1011" s="627"/>
      <c r="L1011" s="628"/>
      <c r="M1011" s="629"/>
      <c r="N1011" s="627"/>
      <c r="O1011" s="628"/>
      <c r="P1011" s="630"/>
      <c r="Q1011" s="631"/>
      <c r="R1011" s="715"/>
      <c r="S1011" s="910"/>
      <c r="T1011" s="632"/>
      <c r="U1011" s="633"/>
      <c r="V1011" s="634"/>
      <c r="W1011" s="635"/>
      <c r="X1011" s="636"/>
      <c r="Y1011" s="637"/>
      <c r="Z1011" s="987"/>
      <c r="AA1011" s="919"/>
      <c r="AB1011" s="908"/>
      <c r="AC1011" s="314" t="s">
        <v>5345</v>
      </c>
      <c r="AD1011" s="317"/>
      <c r="AE1011" s="669"/>
      <c r="AF1011" s="718"/>
      <c r="AG1011" s="211"/>
      <c r="AH1011" s="210"/>
    </row>
    <row r="1012" spans="1:34" s="4" customFormat="1">
      <c r="A1012" s="2"/>
      <c r="B1012" s="310" t="s">
        <v>115</v>
      </c>
      <c r="C1012" s="311" t="s">
        <v>27</v>
      </c>
      <c r="D1012" s="687"/>
      <c r="E1012" s="688"/>
      <c r="F1012" s="312" t="s">
        <v>5346</v>
      </c>
      <c r="G1012" s="313">
        <v>44965</v>
      </c>
      <c r="H1012" s="624"/>
      <c r="I1012" s="625"/>
      <c r="J1012" s="626"/>
      <c r="K1012" s="627"/>
      <c r="L1012" s="628"/>
      <c r="M1012" s="629"/>
      <c r="N1012" s="627"/>
      <c r="O1012" s="628"/>
      <c r="P1012" s="630"/>
      <c r="Q1012" s="631"/>
      <c r="R1012" s="715"/>
      <c r="S1012" s="910"/>
      <c r="T1012" s="632"/>
      <c r="U1012" s="633"/>
      <c r="V1012" s="634"/>
      <c r="W1012" s="635"/>
      <c r="X1012" s="636"/>
      <c r="Y1012" s="637"/>
      <c r="Z1012" s="987"/>
      <c r="AA1012" s="919"/>
      <c r="AB1012" s="908"/>
      <c r="AC1012" s="314" t="s">
        <v>5347</v>
      </c>
      <c r="AD1012" s="317"/>
      <c r="AE1012" s="669"/>
      <c r="AF1012" s="718"/>
      <c r="AG1012" s="211"/>
      <c r="AH1012" s="210"/>
    </row>
    <row r="1013" spans="1:34" s="4" customFormat="1">
      <c r="A1013" s="2"/>
      <c r="B1013" s="310" t="s">
        <v>106</v>
      </c>
      <c r="C1013" s="311" t="s">
        <v>33</v>
      </c>
      <c r="D1013" s="687" t="s">
        <v>5348</v>
      </c>
      <c r="E1013" s="688"/>
      <c r="F1013" s="312"/>
      <c r="G1013" s="313"/>
      <c r="H1013" s="624"/>
      <c r="I1013" s="625"/>
      <c r="J1013" s="626"/>
      <c r="K1013" s="627" t="s">
        <v>5349</v>
      </c>
      <c r="L1013" s="628">
        <v>44951</v>
      </c>
      <c r="M1013" s="629">
        <v>4000</v>
      </c>
      <c r="N1013" s="627" t="s">
        <v>5350</v>
      </c>
      <c r="O1013" s="628">
        <v>44952</v>
      </c>
      <c r="P1013" s="630" t="s">
        <v>5351</v>
      </c>
      <c r="Q1013" s="631"/>
      <c r="R1013" s="715"/>
      <c r="S1013" s="1068"/>
      <c r="T1013" s="632"/>
      <c r="U1013" s="633" t="s">
        <v>5352</v>
      </c>
      <c r="V1013" s="634">
        <v>45042</v>
      </c>
      <c r="W1013" s="635" t="s">
        <v>2302</v>
      </c>
      <c r="X1013" s="636">
        <v>12822.07</v>
      </c>
      <c r="Y1013" s="636">
        <v>12822.07</v>
      </c>
      <c r="Z1013" s="987">
        <f t="shared" ref="Z1013:Z1014" si="55">Y1013/X1013</f>
        <v>1</v>
      </c>
      <c r="AA1013" s="919"/>
      <c r="AB1013" s="1055">
        <v>0</v>
      </c>
      <c r="AC1013" s="912"/>
      <c r="AD1013" s="913"/>
      <c r="AE1013" s="669"/>
      <c r="AF1013" s="718"/>
      <c r="AG1013" s="211"/>
      <c r="AH1013" s="210"/>
    </row>
    <row r="1014" spans="1:34" s="4" customFormat="1">
      <c r="A1014" s="2"/>
      <c r="B1014" s="310" t="s">
        <v>106</v>
      </c>
      <c r="C1014" s="311" t="s">
        <v>33</v>
      </c>
      <c r="D1014" s="687" t="s">
        <v>5353</v>
      </c>
      <c r="E1014" s="688"/>
      <c r="F1014" s="312"/>
      <c r="G1014" s="313"/>
      <c r="H1014" s="624"/>
      <c r="I1014" s="625"/>
      <c r="J1014" s="626"/>
      <c r="K1014" s="627" t="s">
        <v>5354</v>
      </c>
      <c r="L1014" s="628">
        <v>44958</v>
      </c>
      <c r="M1014" s="629">
        <v>110000</v>
      </c>
      <c r="N1014" s="627" t="s">
        <v>5355</v>
      </c>
      <c r="O1014" s="628">
        <v>44959</v>
      </c>
      <c r="P1014" s="630" t="s">
        <v>5356</v>
      </c>
      <c r="Q1014" s="631"/>
      <c r="R1014" s="715"/>
      <c r="S1014" s="1068"/>
      <c r="T1014" s="632">
        <v>6125.96</v>
      </c>
      <c r="U1014" s="633" t="s">
        <v>5357</v>
      </c>
      <c r="V1014" s="634">
        <v>45061</v>
      </c>
      <c r="W1014" s="635" t="s">
        <v>109</v>
      </c>
      <c r="X1014" s="636">
        <v>6125.96</v>
      </c>
      <c r="Y1014" s="636">
        <v>6125.96</v>
      </c>
      <c r="Z1014" s="987">
        <f t="shared" si="55"/>
        <v>1</v>
      </c>
      <c r="AA1014" s="919"/>
      <c r="AB1014" s="1055">
        <v>0</v>
      </c>
      <c r="AC1014" s="912"/>
      <c r="AD1014" s="913"/>
      <c r="AE1014" s="669"/>
      <c r="AF1014" s="718"/>
      <c r="AG1014" s="211"/>
      <c r="AH1014" s="210"/>
    </row>
    <row r="1015" spans="1:34" s="4" customFormat="1">
      <c r="A1015" s="2"/>
      <c r="B1015" s="310" t="s">
        <v>115</v>
      </c>
      <c r="C1015" s="311" t="s">
        <v>27</v>
      </c>
      <c r="D1015" s="687"/>
      <c r="E1015" s="688"/>
      <c r="F1015" s="312" t="s">
        <v>5358</v>
      </c>
      <c r="G1015" s="313">
        <v>44965</v>
      </c>
      <c r="H1015" s="624"/>
      <c r="I1015" s="625"/>
      <c r="J1015" s="626"/>
      <c r="K1015" s="627"/>
      <c r="L1015" s="628"/>
      <c r="M1015" s="629"/>
      <c r="N1015" s="627"/>
      <c r="O1015" s="628"/>
      <c r="P1015" s="630"/>
      <c r="Q1015" s="631"/>
      <c r="R1015" s="715"/>
      <c r="S1015" s="910"/>
      <c r="T1015" s="632"/>
      <c r="U1015" s="633"/>
      <c r="V1015" s="634"/>
      <c r="W1015" s="635"/>
      <c r="X1015" s="636"/>
      <c r="Y1015" s="637"/>
      <c r="Z1015" s="987"/>
      <c r="AA1015" s="919"/>
      <c r="AB1015" s="908"/>
      <c r="AC1015" s="314" t="s">
        <v>5359</v>
      </c>
      <c r="AD1015" s="317"/>
      <c r="AE1015" s="669"/>
      <c r="AF1015" s="718"/>
      <c r="AG1015" s="211"/>
      <c r="AH1015" s="210"/>
    </row>
    <row r="1016" spans="1:34" s="4" customFormat="1">
      <c r="A1016" s="2"/>
      <c r="B1016" s="310" t="s">
        <v>119</v>
      </c>
      <c r="C1016" s="311" t="s">
        <v>27</v>
      </c>
      <c r="D1016" s="687" t="s">
        <v>5360</v>
      </c>
      <c r="E1016" s="688"/>
      <c r="F1016" s="312" t="s">
        <v>5361</v>
      </c>
      <c r="G1016" s="313">
        <v>44974</v>
      </c>
      <c r="H1016" s="624"/>
      <c r="I1016" s="625"/>
      <c r="J1016" s="626"/>
      <c r="K1016" s="627"/>
      <c r="L1016" s="628"/>
      <c r="M1016" s="629"/>
      <c r="N1016" s="627"/>
      <c r="O1016" s="628"/>
      <c r="P1016" s="630"/>
      <c r="Q1016" s="631"/>
      <c r="R1016" s="715"/>
      <c r="S1016" s="910"/>
      <c r="T1016" s="632"/>
      <c r="U1016" s="633"/>
      <c r="V1016" s="634"/>
      <c r="W1016" s="635"/>
      <c r="X1016" s="636"/>
      <c r="Y1016" s="637"/>
      <c r="Z1016" s="987"/>
      <c r="AA1016" s="919"/>
      <c r="AB1016" s="908"/>
      <c r="AC1016" s="314"/>
      <c r="AD1016" s="317"/>
      <c r="AE1016" s="669"/>
      <c r="AF1016" s="718"/>
      <c r="AG1016" s="211"/>
      <c r="AH1016" s="210"/>
    </row>
    <row r="1017" spans="1:34" s="4" customFormat="1">
      <c r="A1017" s="2"/>
      <c r="B1017" s="310" t="s">
        <v>115</v>
      </c>
      <c r="C1017" s="311" t="s">
        <v>27</v>
      </c>
      <c r="D1017" s="687"/>
      <c r="E1017" s="688"/>
      <c r="F1017" s="312" t="s">
        <v>5362</v>
      </c>
      <c r="G1017" s="313">
        <v>44966</v>
      </c>
      <c r="H1017" s="624"/>
      <c r="I1017" s="625"/>
      <c r="J1017" s="626"/>
      <c r="K1017" s="627"/>
      <c r="L1017" s="628"/>
      <c r="M1017" s="629"/>
      <c r="N1017" s="627"/>
      <c r="O1017" s="628"/>
      <c r="P1017" s="630"/>
      <c r="Q1017" s="631"/>
      <c r="R1017" s="715"/>
      <c r="S1017" s="910"/>
      <c r="T1017" s="632"/>
      <c r="U1017" s="633"/>
      <c r="V1017" s="634"/>
      <c r="W1017" s="635"/>
      <c r="X1017" s="636"/>
      <c r="Y1017" s="637"/>
      <c r="Z1017" s="987"/>
      <c r="AA1017" s="919"/>
      <c r="AB1017" s="908"/>
      <c r="AC1017" s="314" t="s">
        <v>5363</v>
      </c>
      <c r="AD1017" s="317"/>
      <c r="AE1017" s="669"/>
      <c r="AF1017" s="718"/>
      <c r="AG1017" s="211"/>
      <c r="AH1017" s="210"/>
    </row>
    <row r="1018" spans="1:34" s="4" customFormat="1">
      <c r="A1018" s="2"/>
      <c r="B1018" s="310" t="s">
        <v>115</v>
      </c>
      <c r="C1018" s="311" t="s">
        <v>27</v>
      </c>
      <c r="D1018" s="687"/>
      <c r="E1018" s="688"/>
      <c r="F1018" s="312" t="s">
        <v>5364</v>
      </c>
      <c r="G1018" s="313">
        <v>44966</v>
      </c>
      <c r="H1018" s="624"/>
      <c r="I1018" s="625"/>
      <c r="J1018" s="626"/>
      <c r="K1018" s="627"/>
      <c r="L1018" s="628"/>
      <c r="M1018" s="629"/>
      <c r="N1018" s="627"/>
      <c r="O1018" s="628"/>
      <c r="P1018" s="630"/>
      <c r="Q1018" s="631"/>
      <c r="R1018" s="715"/>
      <c r="S1018" s="910"/>
      <c r="T1018" s="632"/>
      <c r="U1018" s="633"/>
      <c r="V1018" s="634"/>
      <c r="W1018" s="635"/>
      <c r="X1018" s="636"/>
      <c r="Y1018" s="637"/>
      <c r="Z1018" s="987"/>
      <c r="AA1018" s="919"/>
      <c r="AB1018" s="908"/>
      <c r="AC1018" s="314" t="s">
        <v>5365</v>
      </c>
      <c r="AD1018" s="317"/>
      <c r="AE1018" s="669"/>
      <c r="AF1018" s="718"/>
      <c r="AG1018" s="211"/>
      <c r="AH1018" s="210"/>
    </row>
    <row r="1019" spans="1:34" s="4" customFormat="1">
      <c r="A1019" s="2"/>
      <c r="B1019" s="310" t="s">
        <v>115</v>
      </c>
      <c r="C1019" s="311" t="s">
        <v>27</v>
      </c>
      <c r="D1019" s="687"/>
      <c r="E1019" s="688"/>
      <c r="F1019" s="312" t="s">
        <v>5366</v>
      </c>
      <c r="G1019" s="313">
        <v>44966</v>
      </c>
      <c r="H1019" s="624"/>
      <c r="I1019" s="625"/>
      <c r="J1019" s="626"/>
      <c r="K1019" s="627"/>
      <c r="L1019" s="628"/>
      <c r="M1019" s="629"/>
      <c r="N1019" s="627"/>
      <c r="O1019" s="628"/>
      <c r="P1019" s="630"/>
      <c r="Q1019" s="631"/>
      <c r="R1019" s="715"/>
      <c r="S1019" s="910"/>
      <c r="T1019" s="632"/>
      <c r="U1019" s="633"/>
      <c r="V1019" s="634"/>
      <c r="W1019" s="635"/>
      <c r="X1019" s="636"/>
      <c r="Y1019" s="637"/>
      <c r="Z1019" s="987"/>
      <c r="AA1019" s="919"/>
      <c r="AB1019" s="908"/>
      <c r="AC1019" s="314" t="s">
        <v>5367</v>
      </c>
      <c r="AD1019" s="317"/>
      <c r="AE1019" s="669"/>
      <c r="AF1019" s="718"/>
      <c r="AG1019" s="211"/>
      <c r="AH1019" s="210"/>
    </row>
    <row r="1020" spans="1:34" s="4" customFormat="1">
      <c r="A1020" s="2"/>
      <c r="B1020" s="310" t="s">
        <v>115</v>
      </c>
      <c r="C1020" s="311" t="s">
        <v>27</v>
      </c>
      <c r="D1020" s="687"/>
      <c r="E1020" s="688"/>
      <c r="F1020" s="312" t="s">
        <v>5368</v>
      </c>
      <c r="G1020" s="313">
        <v>44966</v>
      </c>
      <c r="H1020" s="624"/>
      <c r="I1020" s="625"/>
      <c r="J1020" s="626"/>
      <c r="K1020" s="627"/>
      <c r="L1020" s="628"/>
      <c r="M1020" s="629"/>
      <c r="N1020" s="627"/>
      <c r="O1020" s="628"/>
      <c r="P1020" s="630"/>
      <c r="Q1020" s="631"/>
      <c r="R1020" s="715"/>
      <c r="S1020" s="910"/>
      <c r="T1020" s="632"/>
      <c r="U1020" s="633"/>
      <c r="V1020" s="634"/>
      <c r="W1020" s="635"/>
      <c r="X1020" s="636"/>
      <c r="Y1020" s="637"/>
      <c r="Z1020" s="987"/>
      <c r="AA1020" s="919"/>
      <c r="AB1020" s="908"/>
      <c r="AC1020" s="314" t="s">
        <v>5369</v>
      </c>
      <c r="AD1020" s="317"/>
      <c r="AE1020" s="669"/>
      <c r="AF1020" s="718"/>
      <c r="AG1020" s="211"/>
      <c r="AH1020" s="210"/>
    </row>
    <row r="1021" spans="1:34" s="4" customFormat="1">
      <c r="A1021" s="2"/>
      <c r="B1021" s="310" t="s">
        <v>115</v>
      </c>
      <c r="C1021" s="311" t="s">
        <v>27</v>
      </c>
      <c r="D1021" s="687"/>
      <c r="E1021" s="688"/>
      <c r="F1021" s="312" t="s">
        <v>5370</v>
      </c>
      <c r="G1021" s="313">
        <v>44970</v>
      </c>
      <c r="H1021" s="624"/>
      <c r="I1021" s="625"/>
      <c r="J1021" s="626"/>
      <c r="K1021" s="627"/>
      <c r="L1021" s="628"/>
      <c r="M1021" s="629"/>
      <c r="N1021" s="627"/>
      <c r="O1021" s="628"/>
      <c r="P1021" s="630"/>
      <c r="Q1021" s="631"/>
      <c r="R1021" s="715"/>
      <c r="S1021" s="910"/>
      <c r="T1021" s="632"/>
      <c r="U1021" s="633"/>
      <c r="V1021" s="634"/>
      <c r="W1021" s="635"/>
      <c r="X1021" s="636"/>
      <c r="Y1021" s="637"/>
      <c r="Z1021" s="987"/>
      <c r="AA1021" s="919"/>
      <c r="AB1021" s="908"/>
      <c r="AC1021" s="314" t="s">
        <v>5371</v>
      </c>
      <c r="AD1021" s="317"/>
      <c r="AE1021" s="669"/>
      <c r="AF1021" s="718"/>
      <c r="AG1021" s="211"/>
      <c r="AH1021" s="210"/>
    </row>
    <row r="1022" spans="1:34" s="4" customFormat="1">
      <c r="A1022" s="2"/>
      <c r="B1022" s="310" t="s">
        <v>115</v>
      </c>
      <c r="C1022" s="311" t="s">
        <v>27</v>
      </c>
      <c r="D1022" s="687"/>
      <c r="E1022" s="688"/>
      <c r="F1022" s="312" t="s">
        <v>5372</v>
      </c>
      <c r="G1022" s="313">
        <v>44970</v>
      </c>
      <c r="H1022" s="624"/>
      <c r="I1022" s="625"/>
      <c r="J1022" s="626"/>
      <c r="K1022" s="627"/>
      <c r="L1022" s="628"/>
      <c r="M1022" s="629"/>
      <c r="N1022" s="627"/>
      <c r="O1022" s="628"/>
      <c r="P1022" s="630"/>
      <c r="Q1022" s="631"/>
      <c r="R1022" s="715"/>
      <c r="S1022" s="910"/>
      <c r="T1022" s="632"/>
      <c r="U1022" s="633"/>
      <c r="V1022" s="634"/>
      <c r="W1022" s="635"/>
      <c r="X1022" s="636"/>
      <c r="Y1022" s="637"/>
      <c r="Z1022" s="987"/>
      <c r="AA1022" s="919"/>
      <c r="AB1022" s="908"/>
      <c r="AC1022" s="314" t="s">
        <v>5373</v>
      </c>
      <c r="AD1022" s="317"/>
      <c r="AE1022" s="669"/>
      <c r="AF1022" s="718"/>
      <c r="AG1022" s="211"/>
      <c r="AH1022" s="210"/>
    </row>
    <row r="1023" spans="1:34" s="4" customFormat="1">
      <c r="A1023" s="2"/>
      <c r="B1023" s="310" t="s">
        <v>115</v>
      </c>
      <c r="C1023" s="311" t="s">
        <v>27</v>
      </c>
      <c r="D1023" s="687" t="s">
        <v>5374</v>
      </c>
      <c r="E1023" s="688"/>
      <c r="F1023" s="312" t="s">
        <v>5375</v>
      </c>
      <c r="G1023" s="313">
        <v>44970</v>
      </c>
      <c r="H1023" s="624"/>
      <c r="I1023" s="625"/>
      <c r="J1023" s="626"/>
      <c r="K1023" s="627" t="s">
        <v>5376</v>
      </c>
      <c r="L1023" s="628">
        <v>45001</v>
      </c>
      <c r="M1023" s="629">
        <v>14000</v>
      </c>
      <c r="N1023" s="627"/>
      <c r="O1023" s="628"/>
      <c r="P1023" s="630"/>
      <c r="Q1023" s="631"/>
      <c r="R1023" s="715"/>
      <c r="S1023" s="910"/>
      <c r="T1023" s="632"/>
      <c r="U1023" s="633"/>
      <c r="V1023" s="634"/>
      <c r="W1023" s="635" t="s">
        <v>2302</v>
      </c>
      <c r="X1023" s="636"/>
      <c r="Y1023" s="637"/>
      <c r="Z1023" s="987"/>
      <c r="AA1023" s="919"/>
      <c r="AB1023" s="908"/>
      <c r="AC1023" s="314" t="s">
        <v>5377</v>
      </c>
      <c r="AD1023" s="317"/>
      <c r="AE1023" s="669"/>
      <c r="AF1023" s="718"/>
      <c r="AG1023" s="211"/>
      <c r="AH1023" s="210"/>
    </row>
    <row r="1024" spans="1:34" s="4" customFormat="1">
      <c r="A1024" s="2"/>
      <c r="B1024" s="310" t="s">
        <v>115</v>
      </c>
      <c r="C1024" s="311" t="s">
        <v>27</v>
      </c>
      <c r="D1024" s="687"/>
      <c r="E1024" s="688"/>
      <c r="F1024" s="312" t="s">
        <v>5378</v>
      </c>
      <c r="G1024" s="313">
        <v>44971</v>
      </c>
      <c r="H1024" s="624"/>
      <c r="I1024" s="625"/>
      <c r="J1024" s="626"/>
      <c r="K1024" s="627"/>
      <c r="L1024" s="628"/>
      <c r="M1024" s="629"/>
      <c r="N1024" s="627"/>
      <c r="O1024" s="628"/>
      <c r="P1024" s="630"/>
      <c r="Q1024" s="631"/>
      <c r="R1024" s="715"/>
      <c r="S1024" s="910"/>
      <c r="T1024" s="632"/>
      <c r="U1024" s="633"/>
      <c r="V1024" s="634"/>
      <c r="W1024" s="635"/>
      <c r="X1024" s="636"/>
      <c r="Y1024" s="637"/>
      <c r="Z1024" s="987"/>
      <c r="AA1024" s="919"/>
      <c r="AB1024" s="908"/>
      <c r="AC1024" s="314" t="s">
        <v>5379</v>
      </c>
      <c r="AD1024" s="317"/>
      <c r="AE1024" s="669"/>
      <c r="AF1024" s="718"/>
      <c r="AG1024" s="211"/>
      <c r="AH1024" s="210"/>
    </row>
    <row r="1025" spans="1:34" s="4" customFormat="1">
      <c r="A1025" s="2"/>
      <c r="B1025" s="310" t="s">
        <v>115</v>
      </c>
      <c r="C1025" s="311" t="s">
        <v>27</v>
      </c>
      <c r="D1025" s="687"/>
      <c r="E1025" s="688"/>
      <c r="F1025" s="312" t="s">
        <v>5380</v>
      </c>
      <c r="G1025" s="313">
        <v>44974</v>
      </c>
      <c r="H1025" s="624"/>
      <c r="I1025" s="625"/>
      <c r="J1025" s="626"/>
      <c r="K1025" s="627"/>
      <c r="L1025" s="628"/>
      <c r="M1025" s="629"/>
      <c r="N1025" s="627"/>
      <c r="O1025" s="628"/>
      <c r="P1025" s="630"/>
      <c r="Q1025" s="631"/>
      <c r="R1025" s="715"/>
      <c r="S1025" s="910"/>
      <c r="T1025" s="632"/>
      <c r="U1025" s="633"/>
      <c r="V1025" s="634"/>
      <c r="W1025" s="635"/>
      <c r="X1025" s="636"/>
      <c r="Y1025" s="637"/>
      <c r="Z1025" s="987"/>
      <c r="AA1025" s="919"/>
      <c r="AB1025" s="908"/>
      <c r="AC1025" s="314" t="s">
        <v>5381</v>
      </c>
      <c r="AD1025" s="317"/>
      <c r="AE1025" s="669"/>
      <c r="AF1025" s="718"/>
      <c r="AG1025" s="211"/>
      <c r="AH1025" s="210"/>
    </row>
    <row r="1026" spans="1:34" s="4" customFormat="1">
      <c r="A1026" s="2"/>
      <c r="B1026" s="310" t="s">
        <v>115</v>
      </c>
      <c r="C1026" s="311" t="s">
        <v>27</v>
      </c>
      <c r="D1026" s="687"/>
      <c r="E1026" s="688"/>
      <c r="F1026" s="312" t="s">
        <v>5382</v>
      </c>
      <c r="G1026" s="313">
        <v>44974</v>
      </c>
      <c r="H1026" s="624"/>
      <c r="I1026" s="625"/>
      <c r="J1026" s="626"/>
      <c r="K1026" s="627"/>
      <c r="L1026" s="628"/>
      <c r="M1026" s="629"/>
      <c r="N1026" s="627"/>
      <c r="O1026" s="628"/>
      <c r="P1026" s="630"/>
      <c r="Q1026" s="631"/>
      <c r="R1026" s="715"/>
      <c r="S1026" s="910"/>
      <c r="T1026" s="632"/>
      <c r="U1026" s="633"/>
      <c r="V1026" s="634"/>
      <c r="W1026" s="635"/>
      <c r="X1026" s="636"/>
      <c r="Y1026" s="637"/>
      <c r="Z1026" s="987"/>
      <c r="AA1026" s="919"/>
      <c r="AB1026" s="908"/>
      <c r="AC1026" s="314" t="s">
        <v>5383</v>
      </c>
      <c r="AD1026" s="317"/>
      <c r="AE1026" s="669"/>
      <c r="AF1026" s="718"/>
      <c r="AG1026" s="211"/>
      <c r="AH1026" s="210"/>
    </row>
    <row r="1027" spans="1:34" s="4" customFormat="1">
      <c r="A1027" s="2"/>
      <c r="B1027" s="310" t="s">
        <v>115</v>
      </c>
      <c r="C1027" s="311" t="s">
        <v>27</v>
      </c>
      <c r="D1027" s="687"/>
      <c r="E1027" s="688"/>
      <c r="F1027" s="312" t="s">
        <v>5384</v>
      </c>
      <c r="G1027" s="313">
        <v>44974</v>
      </c>
      <c r="H1027" s="624"/>
      <c r="I1027" s="625"/>
      <c r="J1027" s="626"/>
      <c r="K1027" s="627"/>
      <c r="L1027" s="628"/>
      <c r="M1027" s="629"/>
      <c r="N1027" s="627"/>
      <c r="O1027" s="628"/>
      <c r="P1027" s="630"/>
      <c r="Q1027" s="631"/>
      <c r="R1027" s="715"/>
      <c r="S1027" s="910"/>
      <c r="T1027" s="632"/>
      <c r="U1027" s="633"/>
      <c r="V1027" s="634"/>
      <c r="W1027" s="635"/>
      <c r="X1027" s="636"/>
      <c r="Y1027" s="637"/>
      <c r="Z1027" s="987"/>
      <c r="AA1027" s="919"/>
      <c r="AB1027" s="908"/>
      <c r="AC1027" s="314" t="s">
        <v>5385</v>
      </c>
      <c r="AD1027" s="317"/>
      <c r="AE1027" s="669"/>
      <c r="AF1027" s="718"/>
      <c r="AG1027" s="211"/>
      <c r="AH1027" s="210"/>
    </row>
    <row r="1028" spans="1:34" s="4" customFormat="1">
      <c r="A1028" s="2"/>
      <c r="B1028" s="310" t="s">
        <v>106</v>
      </c>
      <c r="C1028" s="311" t="s">
        <v>33</v>
      </c>
      <c r="D1028" s="687" t="s">
        <v>5386</v>
      </c>
      <c r="E1028" s="688"/>
      <c r="F1028" s="312" t="s">
        <v>5387</v>
      </c>
      <c r="G1028" s="313">
        <v>44978</v>
      </c>
      <c r="H1028" s="624"/>
      <c r="I1028" s="625"/>
      <c r="J1028" s="626"/>
      <c r="K1028" s="627" t="s">
        <v>5388</v>
      </c>
      <c r="L1028" s="628">
        <v>45005</v>
      </c>
      <c r="M1028" s="629">
        <v>3500</v>
      </c>
      <c r="N1028" s="627" t="s">
        <v>5389</v>
      </c>
      <c r="O1028" s="628"/>
      <c r="P1028" s="630" t="s">
        <v>5390</v>
      </c>
      <c r="Q1028" s="631"/>
      <c r="R1028" s="715"/>
      <c r="S1028" s="1068"/>
      <c r="T1028" s="632"/>
      <c r="U1028" s="633" t="s">
        <v>5391</v>
      </c>
      <c r="V1028" s="634">
        <v>45035</v>
      </c>
      <c r="W1028" s="635" t="s">
        <v>2302</v>
      </c>
      <c r="X1028" s="636">
        <v>7767.62</v>
      </c>
      <c r="Y1028" s="636">
        <v>7767.62</v>
      </c>
      <c r="Z1028" s="987">
        <f>Y1028/X1028</f>
        <v>1</v>
      </c>
      <c r="AA1028" s="919"/>
      <c r="AB1028" s="1055">
        <v>0</v>
      </c>
      <c r="AC1028" s="912" t="s">
        <v>5392</v>
      </c>
      <c r="AD1028" s="913"/>
      <c r="AE1028" s="669"/>
      <c r="AF1028" s="718"/>
      <c r="AG1028" s="211"/>
      <c r="AH1028" s="210"/>
    </row>
    <row r="1029" spans="1:34" s="4" customFormat="1">
      <c r="A1029" s="2"/>
      <c r="B1029" s="310" t="s">
        <v>115</v>
      </c>
      <c r="C1029" s="311" t="s">
        <v>27</v>
      </c>
      <c r="D1029" s="687"/>
      <c r="E1029" s="688"/>
      <c r="F1029" s="312" t="s">
        <v>5393</v>
      </c>
      <c r="G1029" s="313">
        <v>44978</v>
      </c>
      <c r="H1029" s="624"/>
      <c r="I1029" s="625"/>
      <c r="J1029" s="626"/>
      <c r="K1029" s="627"/>
      <c r="L1029" s="628"/>
      <c r="M1029" s="629"/>
      <c r="N1029" s="627"/>
      <c r="O1029" s="628"/>
      <c r="P1029" s="630"/>
      <c r="Q1029" s="631"/>
      <c r="R1029" s="715"/>
      <c r="S1029" s="910"/>
      <c r="T1029" s="632"/>
      <c r="U1029" s="633"/>
      <c r="V1029" s="634"/>
      <c r="W1029" s="635"/>
      <c r="X1029" s="636"/>
      <c r="Y1029" s="637"/>
      <c r="Z1029" s="987"/>
      <c r="AA1029" s="919"/>
      <c r="AB1029" s="908"/>
      <c r="AC1029" s="314" t="s">
        <v>5394</v>
      </c>
      <c r="AD1029" s="317"/>
      <c r="AE1029" s="669"/>
      <c r="AF1029" s="718"/>
      <c r="AG1029" s="211"/>
      <c r="AH1029" s="210"/>
    </row>
    <row r="1030" spans="1:34" s="4" customFormat="1">
      <c r="A1030" s="2"/>
      <c r="B1030" s="310" t="s">
        <v>106</v>
      </c>
      <c r="C1030" s="311" t="s">
        <v>33</v>
      </c>
      <c r="D1030" s="687" t="s">
        <v>5395</v>
      </c>
      <c r="E1030" s="688"/>
      <c r="F1030" s="312" t="s">
        <v>5396</v>
      </c>
      <c r="G1030" s="313">
        <v>44978</v>
      </c>
      <c r="H1030" s="624"/>
      <c r="I1030" s="625"/>
      <c r="J1030" s="626"/>
      <c r="K1030" s="627" t="s">
        <v>5397</v>
      </c>
      <c r="L1030" s="628">
        <v>44995</v>
      </c>
      <c r="M1030" s="629">
        <v>-6000</v>
      </c>
      <c r="N1030" s="627" t="s">
        <v>5398</v>
      </c>
      <c r="O1030" s="628"/>
      <c r="P1030" s="630" t="s">
        <v>5399</v>
      </c>
      <c r="Q1030" s="631"/>
      <c r="R1030" s="715"/>
      <c r="S1030" s="1068"/>
      <c r="T1030" s="632">
        <v>-8775.5400000000009</v>
      </c>
      <c r="U1030" s="633" t="s">
        <v>5400</v>
      </c>
      <c r="V1030" s="634">
        <v>45043</v>
      </c>
      <c r="W1030" s="635" t="s">
        <v>2302</v>
      </c>
      <c r="X1030" s="636">
        <v>-8775.5400000000009</v>
      </c>
      <c r="Y1030" s="636">
        <v>-8775.5400000000009</v>
      </c>
      <c r="Z1030" s="987">
        <f t="shared" ref="Z1030:Z1035" si="56">Y1030/X1030</f>
        <v>1</v>
      </c>
      <c r="AA1030" s="919"/>
      <c r="AB1030" s="1055">
        <v>0</v>
      </c>
      <c r="AC1030" s="912" t="s">
        <v>5401</v>
      </c>
      <c r="AD1030" s="913" t="s">
        <v>5402</v>
      </c>
      <c r="AE1030" s="669"/>
      <c r="AF1030" s="718"/>
      <c r="AG1030" s="211"/>
      <c r="AH1030" s="210"/>
    </row>
    <row r="1031" spans="1:34" s="4" customFormat="1">
      <c r="A1031" s="2"/>
      <c r="B1031" s="310" t="s">
        <v>106</v>
      </c>
      <c r="C1031" s="311" t="s">
        <v>33</v>
      </c>
      <c r="D1031" s="687" t="s">
        <v>5403</v>
      </c>
      <c r="E1031" s="688"/>
      <c r="F1031" s="312" t="s">
        <v>5404</v>
      </c>
      <c r="G1031" s="313">
        <v>44979</v>
      </c>
      <c r="H1031" s="624"/>
      <c r="I1031" s="625"/>
      <c r="J1031" s="626"/>
      <c r="K1031" s="627" t="s">
        <v>5405</v>
      </c>
      <c r="L1031" s="628">
        <v>45008</v>
      </c>
      <c r="M1031" s="629"/>
      <c r="N1031" s="627" t="s">
        <v>5406</v>
      </c>
      <c r="O1031" s="628">
        <v>45009</v>
      </c>
      <c r="P1031" s="630" t="s">
        <v>5407</v>
      </c>
      <c r="Q1031" s="631">
        <v>45029</v>
      </c>
      <c r="R1031" s="715">
        <v>45048</v>
      </c>
      <c r="S1031" s="1068">
        <v>17</v>
      </c>
      <c r="T1031" s="632">
        <v>10831.19</v>
      </c>
      <c r="U1031" s="633" t="s">
        <v>5408</v>
      </c>
      <c r="V1031" s="634">
        <v>45047</v>
      </c>
      <c r="W1031" s="635" t="s">
        <v>2302</v>
      </c>
      <c r="X1031" s="636">
        <v>10831.19</v>
      </c>
      <c r="Y1031" s="636">
        <v>10831.19</v>
      </c>
      <c r="Z1031" s="987">
        <f t="shared" si="56"/>
        <v>1</v>
      </c>
      <c r="AA1031" s="919"/>
      <c r="AB1031" s="1055">
        <v>0</v>
      </c>
      <c r="AC1031" s="912" t="s">
        <v>5409</v>
      </c>
      <c r="AD1031" s="917" t="s">
        <v>5273</v>
      </c>
      <c r="AE1031" s="669"/>
      <c r="AF1031" s="718"/>
      <c r="AG1031" s="211"/>
      <c r="AH1031" s="210"/>
    </row>
    <row r="1032" spans="1:34" s="4" customFormat="1">
      <c r="A1032" s="2"/>
      <c r="B1032" s="310" t="s">
        <v>106</v>
      </c>
      <c r="C1032" s="311" t="s">
        <v>33</v>
      </c>
      <c r="D1032" s="687" t="s">
        <v>5410</v>
      </c>
      <c r="E1032" s="688"/>
      <c r="F1032" s="312"/>
      <c r="G1032" s="313"/>
      <c r="H1032" s="624"/>
      <c r="I1032" s="625"/>
      <c r="J1032" s="626"/>
      <c r="K1032" s="627" t="s">
        <v>5411</v>
      </c>
      <c r="L1032" s="628">
        <v>44974</v>
      </c>
      <c r="M1032" s="629">
        <v>5000</v>
      </c>
      <c r="N1032" s="627" t="s">
        <v>5412</v>
      </c>
      <c r="O1032" s="628">
        <v>44974</v>
      </c>
      <c r="P1032" s="630"/>
      <c r="Q1032" s="631"/>
      <c r="R1032" s="715"/>
      <c r="S1032" s="910"/>
      <c r="T1032" s="632"/>
      <c r="U1032" s="633" t="s">
        <v>5413</v>
      </c>
      <c r="V1032" s="634"/>
      <c r="W1032" s="635" t="s">
        <v>96</v>
      </c>
      <c r="X1032" s="636"/>
      <c r="Y1032" s="637"/>
      <c r="Z1032" s="987" t="s">
        <v>268</v>
      </c>
      <c r="AA1032" s="919"/>
      <c r="AB1032" s="908"/>
      <c r="AC1032" s="314"/>
      <c r="AD1032" s="317"/>
      <c r="AE1032" s="669"/>
      <c r="AF1032" s="718"/>
      <c r="AG1032" s="211"/>
      <c r="AH1032" s="210"/>
    </row>
    <row r="1033" spans="1:34" s="4" customFormat="1">
      <c r="A1033" s="2"/>
      <c r="B1033" s="310" t="s">
        <v>106</v>
      </c>
      <c r="C1033" s="311" t="s">
        <v>33</v>
      </c>
      <c r="D1033" s="687" t="s">
        <v>5414</v>
      </c>
      <c r="E1033" s="688"/>
      <c r="F1033" s="312"/>
      <c r="G1033" s="313"/>
      <c r="H1033" s="624"/>
      <c r="I1033" s="625"/>
      <c r="J1033" s="626"/>
      <c r="K1033" s="627" t="s">
        <v>5415</v>
      </c>
      <c r="L1033" s="628">
        <v>44974</v>
      </c>
      <c r="M1033" s="629">
        <v>0</v>
      </c>
      <c r="N1033" s="627" t="s">
        <v>5416</v>
      </c>
      <c r="O1033" s="628">
        <v>44974</v>
      </c>
      <c r="P1033" s="630" t="s">
        <v>5417</v>
      </c>
      <c r="Q1033" s="631"/>
      <c r="R1033" s="715"/>
      <c r="S1033" s="1068"/>
      <c r="T1033" s="632"/>
      <c r="U1033" s="633" t="s">
        <v>5418</v>
      </c>
      <c r="V1033" s="634">
        <v>45037</v>
      </c>
      <c r="W1033" s="635" t="s">
        <v>109</v>
      </c>
      <c r="X1033" s="636">
        <v>-5611.49</v>
      </c>
      <c r="Y1033" s="636">
        <v>-5611.49</v>
      </c>
      <c r="Z1033" s="987">
        <f t="shared" si="56"/>
        <v>1</v>
      </c>
      <c r="AA1033" s="919"/>
      <c r="AB1033" s="1055">
        <v>0</v>
      </c>
      <c r="AC1033" s="912"/>
      <c r="AD1033" s="913"/>
      <c r="AE1033" s="669"/>
      <c r="AF1033" s="718"/>
      <c r="AG1033" s="211"/>
      <c r="AH1033" s="210"/>
    </row>
    <row r="1034" spans="1:34" s="4" customFormat="1">
      <c r="A1034" s="2"/>
      <c r="B1034" s="310" t="s">
        <v>106</v>
      </c>
      <c r="C1034" s="311" t="s">
        <v>33</v>
      </c>
      <c r="D1034" s="687" t="s">
        <v>5419</v>
      </c>
      <c r="E1034" s="688"/>
      <c r="F1034" s="312"/>
      <c r="G1034" s="313"/>
      <c r="H1034" s="624"/>
      <c r="I1034" s="625"/>
      <c r="J1034" s="626"/>
      <c r="K1034" s="627" t="s">
        <v>5420</v>
      </c>
      <c r="L1034" s="628">
        <v>44890</v>
      </c>
      <c r="M1034" s="629">
        <v>150000</v>
      </c>
      <c r="N1034" s="627" t="s">
        <v>5421</v>
      </c>
      <c r="O1034" s="628">
        <v>44893</v>
      </c>
      <c r="P1034" s="630" t="s">
        <v>5422</v>
      </c>
      <c r="Q1034" s="631">
        <v>44916</v>
      </c>
      <c r="R1034" s="715">
        <v>44959</v>
      </c>
      <c r="S1034" s="1068"/>
      <c r="T1034" s="632">
        <v>88835.04</v>
      </c>
      <c r="U1034" s="633" t="s">
        <v>5423</v>
      </c>
      <c r="V1034" s="634">
        <v>44960</v>
      </c>
      <c r="W1034" s="635" t="s">
        <v>96</v>
      </c>
      <c r="X1034" s="636">
        <v>88835.04</v>
      </c>
      <c r="Y1034" s="636">
        <v>88835.04</v>
      </c>
      <c r="Z1034" s="987">
        <f t="shared" si="56"/>
        <v>1</v>
      </c>
      <c r="AA1034" s="919"/>
      <c r="AB1034" s="1055">
        <v>0</v>
      </c>
      <c r="AC1034" s="912"/>
      <c r="AD1034" s="913"/>
      <c r="AE1034" s="669"/>
      <c r="AF1034" s="718"/>
      <c r="AG1034" s="211"/>
      <c r="AH1034" s="210"/>
    </row>
    <row r="1035" spans="1:34" s="4" customFormat="1">
      <c r="A1035" s="2"/>
      <c r="B1035" s="310" t="s">
        <v>106</v>
      </c>
      <c r="C1035" s="311" t="s">
        <v>33</v>
      </c>
      <c r="D1035" s="687" t="s">
        <v>5424</v>
      </c>
      <c r="E1035" s="688"/>
      <c r="F1035" s="312"/>
      <c r="G1035" s="313"/>
      <c r="H1035" s="624"/>
      <c r="I1035" s="625"/>
      <c r="J1035" s="626"/>
      <c r="K1035" s="627"/>
      <c r="L1035" s="628"/>
      <c r="M1035" s="629"/>
      <c r="N1035" s="627"/>
      <c r="O1035" s="628"/>
      <c r="P1035" s="630" t="s">
        <v>268</v>
      </c>
      <c r="Q1035" s="631"/>
      <c r="R1035" s="715"/>
      <c r="S1035" s="1068"/>
      <c r="T1035" s="1074"/>
      <c r="U1035" s="633" t="s">
        <v>5425</v>
      </c>
      <c r="V1035" s="634">
        <v>45016</v>
      </c>
      <c r="W1035" s="635" t="s">
        <v>84</v>
      </c>
      <c r="X1035" s="636">
        <v>-5000</v>
      </c>
      <c r="Y1035" s="636">
        <v>-5000</v>
      </c>
      <c r="Z1035" s="987">
        <f t="shared" si="56"/>
        <v>1</v>
      </c>
      <c r="AA1035" s="919"/>
      <c r="AB1035" s="1055">
        <v>0</v>
      </c>
      <c r="AC1035" s="912" t="s">
        <v>5426</v>
      </c>
      <c r="AD1035" s="913"/>
      <c r="AE1035" s="669"/>
      <c r="AF1035" s="718"/>
      <c r="AG1035" s="211"/>
      <c r="AH1035" s="210"/>
    </row>
    <row r="1036" spans="1:34" s="4" customFormat="1">
      <c r="A1036" s="2"/>
      <c r="B1036" s="310" t="s">
        <v>115</v>
      </c>
      <c r="C1036" s="311" t="s">
        <v>27</v>
      </c>
      <c r="D1036" s="687"/>
      <c r="E1036" s="688"/>
      <c r="F1036" s="312" t="s">
        <v>5427</v>
      </c>
      <c r="G1036" s="313">
        <v>44980</v>
      </c>
      <c r="H1036" s="624"/>
      <c r="I1036" s="625"/>
      <c r="J1036" s="626"/>
      <c r="K1036" s="627"/>
      <c r="L1036" s="628"/>
      <c r="M1036" s="629"/>
      <c r="N1036" s="627"/>
      <c r="O1036" s="628"/>
      <c r="P1036" s="630"/>
      <c r="Q1036" s="631"/>
      <c r="R1036" s="715"/>
      <c r="S1036" s="910"/>
      <c r="T1036" s="632"/>
      <c r="U1036" s="633"/>
      <c r="V1036" s="634"/>
      <c r="W1036" s="635"/>
      <c r="X1036" s="636"/>
      <c r="Y1036" s="637"/>
      <c r="Z1036" s="987"/>
      <c r="AA1036" s="919"/>
      <c r="AB1036" s="908"/>
      <c r="AC1036" s="314" t="s">
        <v>5428</v>
      </c>
      <c r="AD1036" s="317"/>
      <c r="AE1036" s="669">
        <v>44987</v>
      </c>
      <c r="AF1036" s="718"/>
      <c r="AG1036" s="211"/>
      <c r="AH1036" s="210"/>
    </row>
    <row r="1037" spans="1:34" s="4" customFormat="1">
      <c r="A1037" s="2"/>
      <c r="B1037" s="310" t="s">
        <v>115</v>
      </c>
      <c r="C1037" s="311" t="s">
        <v>27</v>
      </c>
      <c r="D1037" s="687"/>
      <c r="E1037" s="688"/>
      <c r="F1037" s="312" t="s">
        <v>5429</v>
      </c>
      <c r="G1037" s="313">
        <v>44981</v>
      </c>
      <c r="H1037" s="624"/>
      <c r="I1037" s="625"/>
      <c r="J1037" s="626"/>
      <c r="K1037" s="627"/>
      <c r="L1037" s="628"/>
      <c r="M1037" s="629"/>
      <c r="N1037" s="627"/>
      <c r="O1037" s="628"/>
      <c r="P1037" s="630"/>
      <c r="Q1037" s="631"/>
      <c r="R1037" s="715"/>
      <c r="S1037" s="910"/>
      <c r="T1037" s="632"/>
      <c r="U1037" s="633"/>
      <c r="V1037" s="634"/>
      <c r="W1037" s="635"/>
      <c r="X1037" s="636"/>
      <c r="Y1037" s="637"/>
      <c r="Z1037" s="987"/>
      <c r="AA1037" s="919"/>
      <c r="AB1037" s="908"/>
      <c r="AC1037" s="314" t="s">
        <v>5430</v>
      </c>
      <c r="AD1037" s="317"/>
      <c r="AE1037" s="669">
        <v>44988</v>
      </c>
      <c r="AF1037" s="718"/>
      <c r="AG1037" s="211"/>
      <c r="AH1037" s="210"/>
    </row>
    <row r="1038" spans="1:34" s="4" customFormat="1">
      <c r="A1038" s="2"/>
      <c r="B1038" s="310" t="s">
        <v>115</v>
      </c>
      <c r="C1038" s="311" t="s">
        <v>27</v>
      </c>
      <c r="D1038" s="687"/>
      <c r="E1038" s="688"/>
      <c r="F1038" s="312" t="s">
        <v>5431</v>
      </c>
      <c r="G1038" s="313">
        <v>44985</v>
      </c>
      <c r="H1038" s="624"/>
      <c r="I1038" s="625"/>
      <c r="J1038" s="626"/>
      <c r="K1038" s="627"/>
      <c r="L1038" s="628"/>
      <c r="M1038" s="629"/>
      <c r="N1038" s="627"/>
      <c r="O1038" s="628"/>
      <c r="P1038" s="630"/>
      <c r="Q1038" s="631"/>
      <c r="R1038" s="715"/>
      <c r="S1038" s="910"/>
      <c r="T1038" s="632"/>
      <c r="U1038" s="633"/>
      <c r="V1038" s="634"/>
      <c r="W1038" s="635"/>
      <c r="X1038" s="636"/>
      <c r="Y1038" s="637"/>
      <c r="Z1038" s="987"/>
      <c r="AA1038" s="919"/>
      <c r="AB1038" s="908"/>
      <c r="AC1038" s="314" t="s">
        <v>5432</v>
      </c>
      <c r="AD1038" s="317"/>
      <c r="AE1038" s="669">
        <v>44992</v>
      </c>
      <c r="AF1038" s="718"/>
      <c r="AG1038" s="211"/>
      <c r="AH1038" s="210"/>
    </row>
    <row r="1039" spans="1:34" s="4" customFormat="1">
      <c r="A1039" s="2"/>
      <c r="B1039" s="310" t="s">
        <v>115</v>
      </c>
      <c r="C1039" s="311" t="s">
        <v>27</v>
      </c>
      <c r="D1039" s="687"/>
      <c r="E1039" s="688"/>
      <c r="F1039" s="312" t="s">
        <v>5433</v>
      </c>
      <c r="G1039" s="313">
        <v>44985</v>
      </c>
      <c r="H1039" s="624"/>
      <c r="I1039" s="625"/>
      <c r="J1039" s="626"/>
      <c r="K1039" s="627"/>
      <c r="L1039" s="628"/>
      <c r="M1039" s="629"/>
      <c r="N1039" s="627"/>
      <c r="O1039" s="628"/>
      <c r="P1039" s="630"/>
      <c r="Q1039" s="631"/>
      <c r="R1039" s="715"/>
      <c r="S1039" s="910"/>
      <c r="T1039" s="632"/>
      <c r="U1039" s="633"/>
      <c r="V1039" s="634"/>
      <c r="W1039" s="635"/>
      <c r="X1039" s="636"/>
      <c r="Y1039" s="637"/>
      <c r="Z1039" s="987"/>
      <c r="AA1039" s="919"/>
      <c r="AB1039" s="908"/>
      <c r="AC1039" s="314" t="s">
        <v>5434</v>
      </c>
      <c r="AD1039" s="317"/>
      <c r="AE1039" s="669">
        <v>44992</v>
      </c>
      <c r="AF1039" s="718"/>
      <c r="AG1039" s="211"/>
      <c r="AH1039" s="210"/>
    </row>
    <row r="1040" spans="1:34" s="4" customFormat="1">
      <c r="A1040" s="2"/>
      <c r="B1040" s="310" t="s">
        <v>115</v>
      </c>
      <c r="C1040" s="311" t="s">
        <v>27</v>
      </c>
      <c r="D1040" s="687"/>
      <c r="E1040" s="688"/>
      <c r="F1040" s="312" t="s">
        <v>5435</v>
      </c>
      <c r="G1040" s="313">
        <v>44986</v>
      </c>
      <c r="H1040" s="624"/>
      <c r="I1040" s="625"/>
      <c r="J1040" s="626"/>
      <c r="K1040" s="627"/>
      <c r="L1040" s="628"/>
      <c r="M1040" s="629"/>
      <c r="N1040" s="627"/>
      <c r="O1040" s="628"/>
      <c r="P1040" s="630"/>
      <c r="Q1040" s="631"/>
      <c r="R1040" s="715"/>
      <c r="S1040" s="910"/>
      <c r="T1040" s="632"/>
      <c r="U1040" s="633"/>
      <c r="V1040" s="634"/>
      <c r="W1040" s="635"/>
      <c r="X1040" s="636"/>
      <c r="Y1040" s="637"/>
      <c r="Z1040" s="987"/>
      <c r="AA1040" s="919"/>
      <c r="AB1040" s="908"/>
      <c r="AC1040" s="314" t="s">
        <v>5436</v>
      </c>
      <c r="AD1040" s="317"/>
      <c r="AE1040" s="669">
        <v>44993</v>
      </c>
      <c r="AF1040" s="718"/>
      <c r="AG1040" s="211"/>
      <c r="AH1040" s="210"/>
    </row>
    <row r="1041" spans="1:34" s="4" customFormat="1">
      <c r="A1041" s="2"/>
      <c r="B1041" s="310" t="s">
        <v>106</v>
      </c>
      <c r="C1041" s="311" t="s">
        <v>33</v>
      </c>
      <c r="D1041" s="687" t="s">
        <v>5437</v>
      </c>
      <c r="E1041" s="688"/>
      <c r="F1041" s="312" t="s">
        <v>5438</v>
      </c>
      <c r="G1041" s="313">
        <v>44991</v>
      </c>
      <c r="H1041" s="624"/>
      <c r="I1041" s="625"/>
      <c r="J1041" s="626"/>
      <c r="K1041" s="627" t="s">
        <v>5439</v>
      </c>
      <c r="L1041" s="628"/>
      <c r="M1041" s="629"/>
      <c r="N1041" s="627" t="s">
        <v>5269</v>
      </c>
      <c r="O1041" s="628"/>
      <c r="P1041" s="630" t="s">
        <v>5440</v>
      </c>
      <c r="Q1041" s="631"/>
      <c r="R1041" s="715"/>
      <c r="S1041" s="910"/>
      <c r="T1041" s="632"/>
      <c r="U1041" s="633" t="s">
        <v>5441</v>
      </c>
      <c r="V1041" s="634"/>
      <c r="W1041" s="635"/>
      <c r="X1041" s="636"/>
      <c r="Y1041" s="637"/>
      <c r="Z1041" s="987" t="s">
        <v>268</v>
      </c>
      <c r="AA1041" s="919"/>
      <c r="AB1041" s="909">
        <v>0</v>
      </c>
      <c r="AC1041" s="917" t="s">
        <v>5442</v>
      </c>
      <c r="AD1041" s="913"/>
      <c r="AE1041" s="669">
        <v>44998</v>
      </c>
      <c r="AF1041" s="718"/>
      <c r="AG1041" s="211"/>
      <c r="AH1041" s="210"/>
    </row>
    <row r="1042" spans="1:34" s="4" customFormat="1">
      <c r="A1042" s="2"/>
      <c r="B1042" s="310" t="s">
        <v>106</v>
      </c>
      <c r="C1042" s="311" t="s">
        <v>33</v>
      </c>
      <c r="D1042" s="687" t="s">
        <v>5443</v>
      </c>
      <c r="E1042" s="688"/>
      <c r="F1042" s="312" t="s">
        <v>5444</v>
      </c>
      <c r="G1042" s="313">
        <v>44993</v>
      </c>
      <c r="H1042" s="624"/>
      <c r="I1042" s="625"/>
      <c r="J1042" s="626"/>
      <c r="K1042" s="627" t="s">
        <v>5445</v>
      </c>
      <c r="L1042" s="628">
        <v>45098</v>
      </c>
      <c r="M1042" s="629">
        <v>3046.8</v>
      </c>
      <c r="N1042" s="627" t="s">
        <v>5446</v>
      </c>
      <c r="O1042" s="628"/>
      <c r="P1042" s="630" t="s">
        <v>5447</v>
      </c>
      <c r="Q1042" s="631">
        <v>45120</v>
      </c>
      <c r="R1042" s="715">
        <v>45135</v>
      </c>
      <c r="S1042" s="1068"/>
      <c r="T1042" s="632">
        <v>3154.66</v>
      </c>
      <c r="U1042" s="633" t="s">
        <v>5448</v>
      </c>
      <c r="V1042" s="634">
        <v>45127</v>
      </c>
      <c r="W1042" s="635" t="s">
        <v>84</v>
      </c>
      <c r="X1042" s="636">
        <v>3154.66</v>
      </c>
      <c r="Y1042" s="636">
        <v>3154.66</v>
      </c>
      <c r="Z1042" s="987">
        <f t="shared" ref="Z1042:Z1043" si="57">Y1042/X1042</f>
        <v>1</v>
      </c>
      <c r="AA1042" s="919"/>
      <c r="AB1042" s="1055">
        <v>0</v>
      </c>
      <c r="AC1042" s="912" t="s">
        <v>5449</v>
      </c>
      <c r="AD1042" s="913"/>
      <c r="AE1042" s="669">
        <v>45000</v>
      </c>
      <c r="AF1042" s="718"/>
      <c r="AG1042" s="211"/>
      <c r="AH1042" s="210"/>
    </row>
    <row r="1043" spans="1:34" s="4" customFormat="1">
      <c r="A1043" s="2"/>
      <c r="B1043" s="310" t="s">
        <v>106</v>
      </c>
      <c r="C1043" s="311" t="s">
        <v>33</v>
      </c>
      <c r="D1043" s="687" t="s">
        <v>5450</v>
      </c>
      <c r="E1043" s="688"/>
      <c r="F1043" s="312" t="s">
        <v>5451</v>
      </c>
      <c r="G1043" s="313">
        <v>44993</v>
      </c>
      <c r="H1043" s="624"/>
      <c r="I1043" s="625"/>
      <c r="J1043" s="626"/>
      <c r="K1043" s="627" t="s">
        <v>5452</v>
      </c>
      <c r="L1043" s="628">
        <v>45012</v>
      </c>
      <c r="M1043" s="629">
        <v>6000</v>
      </c>
      <c r="N1043" s="627" t="s">
        <v>5453</v>
      </c>
      <c r="O1043" s="628"/>
      <c r="P1043" s="630" t="s">
        <v>5454</v>
      </c>
      <c r="Q1043" s="631"/>
      <c r="R1043" s="715"/>
      <c r="S1043" s="1068"/>
      <c r="T1043" s="632">
        <v>19621.38</v>
      </c>
      <c r="U1043" s="633" t="s">
        <v>5455</v>
      </c>
      <c r="V1043" s="634">
        <v>45063</v>
      </c>
      <c r="W1043" s="635" t="s">
        <v>2302</v>
      </c>
      <c r="X1043" s="636">
        <v>19621.38</v>
      </c>
      <c r="Y1043" s="636">
        <v>19621.38</v>
      </c>
      <c r="Z1043" s="987">
        <f t="shared" si="57"/>
        <v>1</v>
      </c>
      <c r="AA1043" s="919"/>
      <c r="AB1043" s="1055">
        <v>0</v>
      </c>
      <c r="AC1043" s="912" t="s">
        <v>5456</v>
      </c>
      <c r="AD1043" s="913" t="s">
        <v>5457</v>
      </c>
      <c r="AE1043" s="669">
        <v>45000</v>
      </c>
      <c r="AF1043" s="718"/>
      <c r="AG1043" s="211"/>
      <c r="AH1043" s="210"/>
    </row>
    <row r="1044" spans="1:34" s="4" customFormat="1">
      <c r="A1044" s="2"/>
      <c r="B1044" s="310" t="s">
        <v>115</v>
      </c>
      <c r="C1044" s="311" t="s">
        <v>27</v>
      </c>
      <c r="D1044" s="687"/>
      <c r="E1044" s="688"/>
      <c r="F1044" s="312" t="s">
        <v>5458</v>
      </c>
      <c r="G1044" s="313">
        <v>44993</v>
      </c>
      <c r="H1044" s="624"/>
      <c r="I1044" s="625"/>
      <c r="J1044" s="626"/>
      <c r="K1044" s="627"/>
      <c r="L1044" s="628"/>
      <c r="M1044" s="629"/>
      <c r="N1044" s="627"/>
      <c r="O1044" s="628"/>
      <c r="P1044" s="630"/>
      <c r="Q1044" s="631"/>
      <c r="R1044" s="715"/>
      <c r="S1044" s="910"/>
      <c r="T1044" s="632"/>
      <c r="U1044" s="633"/>
      <c r="V1044" s="634"/>
      <c r="W1044" s="635"/>
      <c r="X1044" s="636"/>
      <c r="Y1044" s="636"/>
      <c r="Z1044" s="987"/>
      <c r="AA1044" s="919"/>
      <c r="AB1044" s="908"/>
      <c r="AC1044" s="314" t="s">
        <v>5459</v>
      </c>
      <c r="AD1044" s="317"/>
      <c r="AE1044" s="669">
        <v>45000</v>
      </c>
      <c r="AF1044" s="718"/>
      <c r="AG1044" s="211"/>
      <c r="AH1044" s="210"/>
    </row>
    <row r="1045" spans="1:34" s="4" customFormat="1">
      <c r="A1045" s="2"/>
      <c r="B1045" s="310" t="s">
        <v>115</v>
      </c>
      <c r="C1045" s="311" t="s">
        <v>27</v>
      </c>
      <c r="D1045" s="687"/>
      <c r="E1045" s="688"/>
      <c r="F1045" s="312" t="s">
        <v>5460</v>
      </c>
      <c r="G1045" s="313">
        <v>45000</v>
      </c>
      <c r="H1045" s="624"/>
      <c r="I1045" s="625"/>
      <c r="J1045" s="626"/>
      <c r="K1045" s="627"/>
      <c r="L1045" s="628"/>
      <c r="M1045" s="629"/>
      <c r="N1045" s="627"/>
      <c r="O1045" s="628"/>
      <c r="P1045" s="630"/>
      <c r="Q1045" s="631"/>
      <c r="R1045" s="715"/>
      <c r="S1045" s="910"/>
      <c r="T1045" s="632"/>
      <c r="U1045" s="633"/>
      <c r="V1045" s="634"/>
      <c r="W1045" s="635"/>
      <c r="X1045" s="636"/>
      <c r="Y1045" s="636"/>
      <c r="Z1045" s="987"/>
      <c r="AA1045" s="919"/>
      <c r="AB1045" s="908"/>
      <c r="AC1045" s="314" t="s">
        <v>5461</v>
      </c>
      <c r="AD1045" s="317"/>
      <c r="AE1045" s="669">
        <v>45002</v>
      </c>
      <c r="AF1045" s="718"/>
      <c r="AG1045" s="211"/>
      <c r="AH1045" s="210"/>
    </row>
    <row r="1046" spans="1:34" s="4" customFormat="1">
      <c r="A1046" s="2"/>
      <c r="B1046" s="310" t="s">
        <v>115</v>
      </c>
      <c r="C1046" s="311" t="s">
        <v>27</v>
      </c>
      <c r="D1046" s="687"/>
      <c r="E1046" s="688"/>
      <c r="F1046" s="312" t="s">
        <v>5462</v>
      </c>
      <c r="G1046" s="313">
        <v>45000</v>
      </c>
      <c r="H1046" s="624"/>
      <c r="I1046" s="625"/>
      <c r="J1046" s="626"/>
      <c r="K1046" s="627"/>
      <c r="L1046" s="628"/>
      <c r="M1046" s="629"/>
      <c r="N1046" s="627"/>
      <c r="O1046" s="628"/>
      <c r="P1046" s="630"/>
      <c r="Q1046" s="631"/>
      <c r="R1046" s="715"/>
      <c r="S1046" s="910"/>
      <c r="T1046" s="632"/>
      <c r="U1046" s="633"/>
      <c r="V1046" s="634"/>
      <c r="W1046" s="635"/>
      <c r="X1046" s="636"/>
      <c r="Y1046" s="637"/>
      <c r="Z1046" s="987"/>
      <c r="AA1046" s="919"/>
      <c r="AB1046" s="908"/>
      <c r="AC1046" s="314" t="s">
        <v>5463</v>
      </c>
      <c r="AD1046" s="317"/>
      <c r="AE1046" s="669">
        <v>45007</v>
      </c>
      <c r="AF1046" s="718"/>
      <c r="AG1046" s="211"/>
      <c r="AH1046" s="210"/>
    </row>
    <row r="1047" spans="1:34" s="4" customFormat="1">
      <c r="A1047" s="2"/>
      <c r="B1047" s="310" t="s">
        <v>115</v>
      </c>
      <c r="C1047" s="311" t="s">
        <v>27</v>
      </c>
      <c r="D1047" s="687"/>
      <c r="E1047" s="688"/>
      <c r="F1047" s="312" t="s">
        <v>5464</v>
      </c>
      <c r="G1047" s="313">
        <v>45005</v>
      </c>
      <c r="H1047" s="624"/>
      <c r="I1047" s="625"/>
      <c r="J1047" s="626"/>
      <c r="K1047" s="627"/>
      <c r="L1047" s="628"/>
      <c r="M1047" s="629"/>
      <c r="N1047" s="627"/>
      <c r="O1047" s="628"/>
      <c r="P1047" s="630"/>
      <c r="Q1047" s="631"/>
      <c r="R1047" s="715"/>
      <c r="S1047" s="910"/>
      <c r="T1047" s="632"/>
      <c r="U1047" s="633"/>
      <c r="V1047" s="634"/>
      <c r="W1047" s="635"/>
      <c r="X1047" s="636"/>
      <c r="Y1047" s="637"/>
      <c r="Z1047" s="987"/>
      <c r="AA1047" s="919"/>
      <c r="AB1047" s="908"/>
      <c r="AC1047" s="314" t="s">
        <v>5465</v>
      </c>
      <c r="AD1047" s="317"/>
      <c r="AE1047" s="669">
        <v>45012</v>
      </c>
      <c r="AF1047" s="718"/>
      <c r="AG1047" s="211"/>
      <c r="AH1047" s="210"/>
    </row>
    <row r="1048" spans="1:34" s="4" customFormat="1">
      <c r="A1048" s="2"/>
      <c r="B1048" s="310" t="s">
        <v>115</v>
      </c>
      <c r="C1048" s="311" t="s">
        <v>27</v>
      </c>
      <c r="D1048" s="687"/>
      <c r="E1048" s="688"/>
      <c r="F1048" s="312" t="s">
        <v>5466</v>
      </c>
      <c r="G1048" s="313">
        <v>45007</v>
      </c>
      <c r="H1048" s="624"/>
      <c r="I1048" s="625"/>
      <c r="J1048" s="626"/>
      <c r="K1048" s="627"/>
      <c r="L1048" s="628"/>
      <c r="M1048" s="629"/>
      <c r="N1048" s="627"/>
      <c r="O1048" s="628"/>
      <c r="P1048" s="630"/>
      <c r="Q1048" s="631"/>
      <c r="R1048" s="715"/>
      <c r="S1048" s="910"/>
      <c r="T1048" s="632"/>
      <c r="U1048" s="633"/>
      <c r="V1048" s="634"/>
      <c r="W1048" s="635"/>
      <c r="X1048" s="636"/>
      <c r="Y1048" s="637"/>
      <c r="Z1048" s="987"/>
      <c r="AA1048" s="919"/>
      <c r="AB1048" s="908"/>
      <c r="AC1048" s="314" t="s">
        <v>5467</v>
      </c>
      <c r="AD1048" s="317"/>
      <c r="AE1048" s="669">
        <v>45014</v>
      </c>
      <c r="AF1048" s="718"/>
      <c r="AG1048" s="211"/>
      <c r="AH1048" s="210"/>
    </row>
    <row r="1049" spans="1:34" s="4" customFormat="1">
      <c r="A1049" s="2"/>
      <c r="B1049" s="310" t="s">
        <v>115</v>
      </c>
      <c r="C1049" s="311" t="s">
        <v>27</v>
      </c>
      <c r="D1049" s="687"/>
      <c r="E1049" s="688"/>
      <c r="F1049" s="312" t="s">
        <v>5468</v>
      </c>
      <c r="G1049" s="313">
        <v>45007</v>
      </c>
      <c r="H1049" s="624"/>
      <c r="I1049" s="625"/>
      <c r="J1049" s="626"/>
      <c r="K1049" s="627"/>
      <c r="L1049" s="628"/>
      <c r="M1049" s="629"/>
      <c r="N1049" s="627"/>
      <c r="O1049" s="628"/>
      <c r="P1049" s="630"/>
      <c r="Q1049" s="631"/>
      <c r="R1049" s="715"/>
      <c r="S1049" s="910"/>
      <c r="T1049" s="632"/>
      <c r="U1049" s="633"/>
      <c r="V1049" s="634"/>
      <c r="W1049" s="635"/>
      <c r="X1049" s="636"/>
      <c r="Y1049" s="637"/>
      <c r="Z1049" s="987"/>
      <c r="AA1049" s="919"/>
      <c r="AB1049" s="908"/>
      <c r="AC1049" s="314" t="s">
        <v>5469</v>
      </c>
      <c r="AD1049" s="317"/>
      <c r="AE1049" s="669">
        <v>45014</v>
      </c>
      <c r="AF1049" s="718"/>
      <c r="AG1049" s="211"/>
      <c r="AH1049" s="210"/>
    </row>
    <row r="1050" spans="1:34" s="4" customFormat="1">
      <c r="A1050" s="2"/>
      <c r="B1050" s="310" t="s">
        <v>106</v>
      </c>
      <c r="C1050" s="311" t="s">
        <v>33</v>
      </c>
      <c r="D1050" s="687" t="s">
        <v>5470</v>
      </c>
      <c r="E1050" s="688"/>
      <c r="F1050" s="312" t="s">
        <v>5471</v>
      </c>
      <c r="G1050" s="313">
        <v>45008</v>
      </c>
      <c r="H1050" s="624"/>
      <c r="I1050" s="625"/>
      <c r="J1050" s="626"/>
      <c r="K1050" s="627" t="s">
        <v>5472</v>
      </c>
      <c r="L1050" s="628">
        <v>45035</v>
      </c>
      <c r="M1050" s="629"/>
      <c r="N1050" s="627" t="s">
        <v>5473</v>
      </c>
      <c r="O1050" s="628"/>
      <c r="P1050" s="630" t="s">
        <v>5474</v>
      </c>
      <c r="Q1050" s="631"/>
      <c r="R1050" s="715"/>
      <c r="S1050" s="1068"/>
      <c r="T1050" s="632">
        <v>32332.799999999999</v>
      </c>
      <c r="U1050" s="633" t="s">
        <v>5475</v>
      </c>
      <c r="V1050" s="634">
        <v>45078</v>
      </c>
      <c r="W1050" s="635" t="s">
        <v>2302</v>
      </c>
      <c r="X1050" s="636">
        <v>32332.799999999999</v>
      </c>
      <c r="Y1050" s="636">
        <v>32332.799999999999</v>
      </c>
      <c r="Z1050" s="987">
        <f t="shared" ref="Z1050" si="58">Y1050/X1050</f>
        <v>1</v>
      </c>
      <c r="AA1050" s="919"/>
      <c r="AB1050" s="1055">
        <v>0</v>
      </c>
      <c r="AC1050" s="912" t="s">
        <v>5476</v>
      </c>
      <c r="AD1050" s="913"/>
      <c r="AE1050" s="669">
        <v>45015</v>
      </c>
      <c r="AF1050" s="718"/>
      <c r="AG1050" s="211"/>
      <c r="AH1050" s="210"/>
    </row>
    <row r="1051" spans="1:34" s="4" customFormat="1">
      <c r="A1051" s="2"/>
      <c r="B1051" s="310" t="s">
        <v>115</v>
      </c>
      <c r="C1051" s="311" t="s">
        <v>27</v>
      </c>
      <c r="D1051" s="687"/>
      <c r="E1051" s="688"/>
      <c r="F1051" s="312" t="s">
        <v>5477</v>
      </c>
      <c r="G1051" s="313">
        <v>45008</v>
      </c>
      <c r="H1051" s="624"/>
      <c r="I1051" s="625"/>
      <c r="J1051" s="626"/>
      <c r="K1051" s="627"/>
      <c r="L1051" s="628"/>
      <c r="M1051" s="629"/>
      <c r="N1051" s="627"/>
      <c r="O1051" s="628"/>
      <c r="P1051" s="630"/>
      <c r="Q1051" s="631"/>
      <c r="R1051" s="715"/>
      <c r="S1051" s="910"/>
      <c r="T1051" s="632"/>
      <c r="U1051" s="633"/>
      <c r="V1051" s="634"/>
      <c r="W1051" s="635"/>
      <c r="X1051" s="636"/>
      <c r="Y1051" s="637"/>
      <c r="Z1051" s="987"/>
      <c r="AA1051" s="919"/>
      <c r="AB1051" s="908"/>
      <c r="AC1051" s="314" t="s">
        <v>5478</v>
      </c>
      <c r="AD1051" s="317"/>
      <c r="AE1051" s="669">
        <v>45015</v>
      </c>
      <c r="AF1051" s="718"/>
      <c r="AG1051" s="211"/>
      <c r="AH1051" s="210"/>
    </row>
    <row r="1052" spans="1:34" s="4" customFormat="1">
      <c r="A1052" s="2"/>
      <c r="B1052" s="310" t="s">
        <v>115</v>
      </c>
      <c r="C1052" s="311" t="s">
        <v>27</v>
      </c>
      <c r="D1052" s="687"/>
      <c r="E1052" s="688"/>
      <c r="F1052" s="312" t="s">
        <v>5479</v>
      </c>
      <c r="G1052" s="313">
        <v>45009</v>
      </c>
      <c r="H1052" s="624"/>
      <c r="I1052" s="625"/>
      <c r="J1052" s="626"/>
      <c r="K1052" s="627"/>
      <c r="L1052" s="628"/>
      <c r="M1052" s="629"/>
      <c r="N1052" s="627"/>
      <c r="O1052" s="628"/>
      <c r="P1052" s="630"/>
      <c r="Q1052" s="631"/>
      <c r="R1052" s="715"/>
      <c r="S1052" s="910"/>
      <c r="T1052" s="632"/>
      <c r="U1052" s="633"/>
      <c r="V1052" s="634"/>
      <c r="W1052" s="635"/>
      <c r="X1052" s="636"/>
      <c r="Y1052" s="637"/>
      <c r="Z1052" s="987"/>
      <c r="AA1052" s="919"/>
      <c r="AB1052" s="908"/>
      <c r="AC1052" s="314" t="s">
        <v>5480</v>
      </c>
      <c r="AD1052" s="317"/>
      <c r="AE1052" s="669">
        <v>45013</v>
      </c>
      <c r="AF1052" s="718"/>
      <c r="AG1052" s="211"/>
      <c r="AH1052" s="210"/>
    </row>
    <row r="1053" spans="1:34" s="4" customFormat="1">
      <c r="A1053" s="2"/>
      <c r="B1053" s="310" t="s">
        <v>119</v>
      </c>
      <c r="C1053" s="311" t="s">
        <v>27</v>
      </c>
      <c r="D1053" s="687" t="s">
        <v>5481</v>
      </c>
      <c r="E1053" s="688"/>
      <c r="F1053" s="312" t="s">
        <v>5482</v>
      </c>
      <c r="G1053" s="313">
        <v>45071</v>
      </c>
      <c r="H1053" s="624"/>
      <c r="I1053" s="625"/>
      <c r="J1053" s="626"/>
      <c r="K1053" s="627"/>
      <c r="L1053" s="628"/>
      <c r="M1053" s="629"/>
      <c r="N1053" s="627"/>
      <c r="O1053" s="628"/>
      <c r="P1053" s="630"/>
      <c r="Q1053" s="631"/>
      <c r="R1053" s="715"/>
      <c r="S1053" s="910"/>
      <c r="T1053" s="632"/>
      <c r="U1053" s="633"/>
      <c r="V1053" s="634"/>
      <c r="W1053" s="635"/>
      <c r="X1053" s="636"/>
      <c r="Y1053" s="637"/>
      <c r="Z1053" s="987"/>
      <c r="AA1053" s="919"/>
      <c r="AB1053" s="908"/>
      <c r="AC1053" s="314"/>
      <c r="AD1053" s="317"/>
      <c r="AE1053" s="669"/>
      <c r="AF1053" s="718"/>
      <c r="AG1053" s="211"/>
      <c r="AH1053" s="210"/>
    </row>
    <row r="1054" spans="1:34" s="4" customFormat="1">
      <c r="A1054" s="2"/>
      <c r="B1054" s="310" t="s">
        <v>115</v>
      </c>
      <c r="C1054" s="311" t="s">
        <v>27</v>
      </c>
      <c r="D1054" s="687"/>
      <c r="E1054" s="688"/>
      <c r="F1054" s="312" t="s">
        <v>5483</v>
      </c>
      <c r="G1054" s="313">
        <v>45009</v>
      </c>
      <c r="H1054" s="624"/>
      <c r="I1054" s="625"/>
      <c r="J1054" s="626"/>
      <c r="K1054" s="627"/>
      <c r="L1054" s="628"/>
      <c r="M1054" s="629"/>
      <c r="N1054" s="627"/>
      <c r="O1054" s="628"/>
      <c r="P1054" s="630"/>
      <c r="Q1054" s="631"/>
      <c r="R1054" s="715"/>
      <c r="S1054" s="910"/>
      <c r="T1054" s="632"/>
      <c r="U1054" s="633"/>
      <c r="V1054" s="634"/>
      <c r="W1054" s="635"/>
      <c r="X1054" s="636"/>
      <c r="Y1054" s="637"/>
      <c r="Z1054" s="987"/>
      <c r="AA1054" s="919"/>
      <c r="AB1054" s="908"/>
      <c r="AC1054" s="314" t="s">
        <v>5484</v>
      </c>
      <c r="AD1054" s="317"/>
      <c r="AE1054" s="669">
        <v>45016</v>
      </c>
      <c r="AF1054" s="718"/>
      <c r="AG1054" s="211"/>
      <c r="AH1054" s="210"/>
    </row>
    <row r="1055" spans="1:34" s="4" customFormat="1">
      <c r="A1055" s="2"/>
      <c r="B1055" s="310" t="s">
        <v>115</v>
      </c>
      <c r="C1055" s="311" t="s">
        <v>27</v>
      </c>
      <c r="D1055" s="687"/>
      <c r="E1055" s="688"/>
      <c r="F1055" s="312" t="s">
        <v>5485</v>
      </c>
      <c r="G1055" s="313">
        <v>45012</v>
      </c>
      <c r="H1055" s="624"/>
      <c r="I1055" s="625"/>
      <c r="J1055" s="626"/>
      <c r="K1055" s="627"/>
      <c r="L1055" s="628"/>
      <c r="M1055" s="629"/>
      <c r="N1055" s="627"/>
      <c r="O1055" s="628"/>
      <c r="P1055" s="630"/>
      <c r="Q1055" s="631"/>
      <c r="R1055" s="715"/>
      <c r="S1055" s="910"/>
      <c r="T1055" s="632"/>
      <c r="U1055" s="633"/>
      <c r="V1055" s="634"/>
      <c r="W1055" s="635"/>
      <c r="X1055" s="636"/>
      <c r="Y1055" s="637"/>
      <c r="Z1055" s="987"/>
      <c r="AA1055" s="919"/>
      <c r="AB1055" s="908"/>
      <c r="AC1055" s="314" t="s">
        <v>5486</v>
      </c>
      <c r="AD1055" s="317"/>
      <c r="AE1055" s="669">
        <v>45019</v>
      </c>
      <c r="AF1055" s="718"/>
      <c r="AG1055" s="211"/>
      <c r="AH1055" s="210"/>
    </row>
    <row r="1056" spans="1:34" s="4" customFormat="1">
      <c r="A1056" s="2"/>
      <c r="B1056" s="310" t="s">
        <v>106</v>
      </c>
      <c r="C1056" s="311" t="s">
        <v>33</v>
      </c>
      <c r="D1056" s="687" t="s">
        <v>5487</v>
      </c>
      <c r="E1056" s="688"/>
      <c r="F1056" s="312" t="s">
        <v>5488</v>
      </c>
      <c r="G1056" s="313">
        <v>45014</v>
      </c>
      <c r="H1056" s="624"/>
      <c r="I1056" s="625"/>
      <c r="J1056" s="626"/>
      <c r="K1056" s="627" t="s">
        <v>5489</v>
      </c>
      <c r="L1056" s="628">
        <v>45149</v>
      </c>
      <c r="M1056" s="629">
        <v>17000</v>
      </c>
      <c r="N1056" s="627" t="s">
        <v>5490</v>
      </c>
      <c r="O1056" s="628">
        <v>45149</v>
      </c>
      <c r="P1056" s="630" t="s">
        <v>5491</v>
      </c>
      <c r="Q1056" s="631">
        <v>45176</v>
      </c>
      <c r="R1056" s="715">
        <v>45190</v>
      </c>
      <c r="S1056" s="1068"/>
      <c r="T1056" s="632">
        <v>60884</v>
      </c>
      <c r="U1056" s="633" t="s">
        <v>5492</v>
      </c>
      <c r="V1056" s="634">
        <v>45191</v>
      </c>
      <c r="W1056" s="635" t="s">
        <v>2302</v>
      </c>
      <c r="X1056" s="636">
        <v>60884</v>
      </c>
      <c r="Y1056" s="636">
        <v>60884</v>
      </c>
      <c r="Z1056" s="987">
        <f t="shared" ref="Z1056" si="59">Y1056/X1056</f>
        <v>1</v>
      </c>
      <c r="AA1056" s="919"/>
      <c r="AB1056" s="1055">
        <v>0</v>
      </c>
      <c r="AC1056" s="736" t="s">
        <v>5493</v>
      </c>
      <c r="AD1056" s="317"/>
      <c r="AE1056" s="669">
        <v>45019</v>
      </c>
      <c r="AF1056" s="718"/>
      <c r="AG1056" s="211"/>
      <c r="AH1056" s="210"/>
    </row>
    <row r="1057" spans="1:34" s="4" customFormat="1">
      <c r="A1057" s="2"/>
      <c r="B1057" s="310" t="s">
        <v>115</v>
      </c>
      <c r="C1057" s="311" t="s">
        <v>27</v>
      </c>
      <c r="D1057" s="687"/>
      <c r="E1057" s="688"/>
      <c r="F1057" s="312" t="s">
        <v>5494</v>
      </c>
      <c r="G1057" s="313">
        <v>45016</v>
      </c>
      <c r="H1057" s="624"/>
      <c r="I1057" s="625"/>
      <c r="J1057" s="626"/>
      <c r="K1057" s="627"/>
      <c r="L1057" s="628"/>
      <c r="M1057" s="629"/>
      <c r="N1057" s="627"/>
      <c r="O1057" s="628"/>
      <c r="P1057" s="630"/>
      <c r="Q1057" s="631"/>
      <c r="R1057" s="715"/>
      <c r="S1057" s="910"/>
      <c r="T1057" s="632"/>
      <c r="U1057" s="633"/>
      <c r="V1057" s="634"/>
      <c r="W1057" s="635"/>
      <c r="X1057" s="636"/>
      <c r="Y1057" s="637"/>
      <c r="Z1057" s="987"/>
      <c r="AA1057" s="919"/>
      <c r="AB1057" s="908"/>
      <c r="AC1057" s="314" t="s">
        <v>5495</v>
      </c>
      <c r="AD1057" s="317"/>
      <c r="AE1057" s="669">
        <v>45021</v>
      </c>
      <c r="AF1057" s="718"/>
      <c r="AG1057" s="211"/>
      <c r="AH1057" s="210"/>
    </row>
    <row r="1058" spans="1:34" s="4" customFormat="1">
      <c r="A1058" s="2"/>
      <c r="B1058" s="310" t="s">
        <v>106</v>
      </c>
      <c r="C1058" s="311" t="s">
        <v>33</v>
      </c>
      <c r="D1058" s="687" t="s">
        <v>5496</v>
      </c>
      <c r="E1058" s="688"/>
      <c r="F1058" s="312"/>
      <c r="G1058" s="313"/>
      <c r="H1058" s="624"/>
      <c r="I1058" s="625"/>
      <c r="J1058" s="626"/>
      <c r="K1058" s="627" t="s">
        <v>5497</v>
      </c>
      <c r="L1058" s="628">
        <v>45047</v>
      </c>
      <c r="M1058" s="629">
        <v>4250</v>
      </c>
      <c r="N1058" s="627" t="s">
        <v>5498</v>
      </c>
      <c r="O1058" s="628"/>
      <c r="P1058" s="630" t="s">
        <v>5499</v>
      </c>
      <c r="Q1058" s="631">
        <v>45056</v>
      </c>
      <c r="R1058" s="715"/>
      <c r="S1058" s="1068"/>
      <c r="T1058" s="632">
        <v>11413.86</v>
      </c>
      <c r="U1058" s="633" t="s">
        <v>5500</v>
      </c>
      <c r="V1058" s="634">
        <v>45070</v>
      </c>
      <c r="W1058" s="635" t="s">
        <v>2302</v>
      </c>
      <c r="X1058" s="636">
        <v>11413.86</v>
      </c>
      <c r="Y1058" s="636">
        <v>11413.86</v>
      </c>
      <c r="Z1058" s="987">
        <f t="shared" ref="Z1058" si="60">Y1058/X1058</f>
        <v>1</v>
      </c>
      <c r="AA1058" s="919"/>
      <c r="AB1058" s="1055">
        <v>0</v>
      </c>
      <c r="AC1058" s="912"/>
      <c r="AD1058" s="913" t="s">
        <v>5457</v>
      </c>
      <c r="AE1058" s="669"/>
      <c r="AF1058" s="718"/>
      <c r="AG1058" s="211"/>
      <c r="AH1058" s="210"/>
    </row>
    <row r="1059" spans="1:34" s="4" customFormat="1">
      <c r="A1059" s="2"/>
      <c r="B1059" s="310" t="s">
        <v>115</v>
      </c>
      <c r="C1059" s="311" t="s">
        <v>27</v>
      </c>
      <c r="D1059" s="687"/>
      <c r="E1059" s="688"/>
      <c r="F1059" s="312" t="s">
        <v>5501</v>
      </c>
      <c r="G1059" s="313">
        <v>45016</v>
      </c>
      <c r="H1059" s="624"/>
      <c r="I1059" s="625"/>
      <c r="J1059" s="626"/>
      <c r="K1059" s="627"/>
      <c r="L1059" s="628"/>
      <c r="M1059" s="629"/>
      <c r="N1059" s="627"/>
      <c r="O1059" s="628"/>
      <c r="P1059" s="630"/>
      <c r="Q1059" s="631"/>
      <c r="R1059" s="715"/>
      <c r="S1059" s="910"/>
      <c r="T1059" s="632"/>
      <c r="U1059" s="633"/>
      <c r="V1059" s="634"/>
      <c r="W1059" s="635"/>
      <c r="X1059" s="636"/>
      <c r="Y1059" s="637"/>
      <c r="Z1059" s="987"/>
      <c r="AA1059" s="919"/>
      <c r="AB1059" s="908"/>
      <c r="AC1059" s="314" t="s">
        <v>5502</v>
      </c>
      <c r="AD1059" s="317"/>
      <c r="AE1059" s="669">
        <v>45023</v>
      </c>
      <c r="AF1059" s="718"/>
      <c r="AG1059" s="211"/>
      <c r="AH1059" s="210"/>
    </row>
    <row r="1060" spans="1:34" s="4" customFormat="1">
      <c r="A1060" s="2"/>
      <c r="B1060" s="310" t="s">
        <v>115</v>
      </c>
      <c r="C1060" s="311" t="s">
        <v>27</v>
      </c>
      <c r="D1060" s="687"/>
      <c r="E1060" s="688"/>
      <c r="F1060" s="312" t="s">
        <v>5503</v>
      </c>
      <c r="G1060" s="313">
        <v>45016</v>
      </c>
      <c r="H1060" s="624"/>
      <c r="I1060" s="625"/>
      <c r="J1060" s="626"/>
      <c r="K1060" s="627"/>
      <c r="L1060" s="628"/>
      <c r="M1060" s="629"/>
      <c r="N1060" s="627"/>
      <c r="O1060" s="628"/>
      <c r="P1060" s="630"/>
      <c r="Q1060" s="631"/>
      <c r="R1060" s="715"/>
      <c r="S1060" s="910"/>
      <c r="T1060" s="632"/>
      <c r="U1060" s="633"/>
      <c r="V1060" s="634"/>
      <c r="W1060" s="635"/>
      <c r="X1060" s="636"/>
      <c r="Y1060" s="637"/>
      <c r="Z1060" s="987"/>
      <c r="AA1060" s="919"/>
      <c r="AB1060" s="908"/>
      <c r="AC1060" s="314" t="s">
        <v>5504</v>
      </c>
      <c r="AD1060" s="317"/>
      <c r="AE1060" s="669">
        <v>45023</v>
      </c>
      <c r="AF1060" s="718"/>
      <c r="AG1060" s="211"/>
      <c r="AH1060" s="210"/>
    </row>
    <row r="1061" spans="1:34" s="4" customFormat="1">
      <c r="A1061" s="2"/>
      <c r="B1061" s="310" t="s">
        <v>110</v>
      </c>
      <c r="C1061" s="311" t="s">
        <v>33</v>
      </c>
      <c r="D1061" s="687" t="s">
        <v>5505</v>
      </c>
      <c r="E1061" s="688"/>
      <c r="F1061" s="312" t="s">
        <v>5506</v>
      </c>
      <c r="G1061" s="313">
        <v>45016</v>
      </c>
      <c r="H1061" s="624"/>
      <c r="I1061" s="625"/>
      <c r="J1061" s="626"/>
      <c r="K1061" s="627" t="s">
        <v>5507</v>
      </c>
      <c r="L1061" s="628">
        <v>45047</v>
      </c>
      <c r="M1061" s="629"/>
      <c r="N1061" s="627" t="s">
        <v>5508</v>
      </c>
      <c r="O1061" s="628">
        <v>45047</v>
      </c>
      <c r="P1061" s="630"/>
      <c r="Q1061" s="631"/>
      <c r="R1061" s="715"/>
      <c r="S1061" s="910"/>
      <c r="T1061" s="632"/>
      <c r="U1061" s="633"/>
      <c r="V1061" s="634"/>
      <c r="W1061" s="635" t="s">
        <v>2302</v>
      </c>
      <c r="X1061" s="636"/>
      <c r="Y1061" s="637"/>
      <c r="Z1061" s="987"/>
      <c r="AA1061" s="919"/>
      <c r="AB1061" s="908"/>
      <c r="AC1061" s="314" t="s">
        <v>5509</v>
      </c>
      <c r="AD1061" s="317"/>
      <c r="AE1061" s="669">
        <v>45023</v>
      </c>
      <c r="AF1061" s="718"/>
      <c r="AG1061" s="211"/>
      <c r="AH1061" s="210"/>
    </row>
    <row r="1062" spans="1:34" s="4" customFormat="1">
      <c r="A1062" s="2"/>
      <c r="B1062" s="310" t="s">
        <v>119</v>
      </c>
      <c r="C1062" s="311" t="s">
        <v>27</v>
      </c>
      <c r="D1062" s="687" t="s">
        <v>5505</v>
      </c>
      <c r="E1062" s="688"/>
      <c r="F1062" s="312" t="s">
        <v>5510</v>
      </c>
      <c r="G1062" s="313">
        <v>45049</v>
      </c>
      <c r="H1062" s="624"/>
      <c r="I1062" s="625"/>
      <c r="J1062" s="626"/>
      <c r="K1062" s="627"/>
      <c r="L1062" s="628"/>
      <c r="M1062" s="629"/>
      <c r="N1062" s="627"/>
      <c r="O1062" s="628"/>
      <c r="P1062" s="630"/>
      <c r="Q1062" s="631"/>
      <c r="R1062" s="715"/>
      <c r="S1062" s="910"/>
      <c r="T1062" s="632"/>
      <c r="U1062" s="633"/>
      <c r="V1062" s="634"/>
      <c r="W1062" s="635"/>
      <c r="X1062" s="636"/>
      <c r="Y1062" s="637"/>
      <c r="Z1062" s="987"/>
      <c r="AA1062" s="919"/>
      <c r="AB1062" s="908"/>
      <c r="AC1062" s="314"/>
      <c r="AD1062" s="317"/>
      <c r="AE1062" s="669"/>
      <c r="AF1062" s="718"/>
      <c r="AG1062" s="211"/>
      <c r="AH1062" s="210"/>
    </row>
    <row r="1063" spans="1:34" s="4" customFormat="1">
      <c r="A1063" s="2"/>
      <c r="B1063" s="310" t="s">
        <v>115</v>
      </c>
      <c r="C1063" s="311" t="s">
        <v>27</v>
      </c>
      <c r="D1063" s="687"/>
      <c r="E1063" s="688"/>
      <c r="F1063" s="312" t="s">
        <v>5511</v>
      </c>
      <c r="G1063" s="313">
        <v>45016</v>
      </c>
      <c r="H1063" s="624"/>
      <c r="I1063" s="625"/>
      <c r="J1063" s="626"/>
      <c r="K1063" s="627"/>
      <c r="L1063" s="628"/>
      <c r="M1063" s="629"/>
      <c r="N1063" s="627"/>
      <c r="O1063" s="628"/>
      <c r="P1063" s="630"/>
      <c r="Q1063" s="631"/>
      <c r="R1063" s="715"/>
      <c r="S1063" s="910"/>
      <c r="T1063" s="632"/>
      <c r="U1063" s="633"/>
      <c r="V1063" s="634"/>
      <c r="W1063" s="635"/>
      <c r="X1063" s="636"/>
      <c r="Y1063" s="637"/>
      <c r="Z1063" s="987"/>
      <c r="AA1063" s="919"/>
      <c r="AB1063" s="908"/>
      <c r="AC1063" s="314" t="s">
        <v>5512</v>
      </c>
      <c r="AD1063" s="317"/>
      <c r="AE1063" s="669">
        <v>45023</v>
      </c>
      <c r="AF1063" s="718"/>
      <c r="AG1063" s="211"/>
      <c r="AH1063" s="210"/>
    </row>
    <row r="1064" spans="1:34" s="4" customFormat="1">
      <c r="A1064" s="2"/>
      <c r="B1064" s="310" t="s">
        <v>115</v>
      </c>
      <c r="C1064" s="311" t="s">
        <v>27</v>
      </c>
      <c r="D1064" s="687"/>
      <c r="E1064" s="688"/>
      <c r="F1064" s="312" t="s">
        <v>5513</v>
      </c>
      <c r="G1064" s="313">
        <v>45019</v>
      </c>
      <c r="H1064" s="624"/>
      <c r="I1064" s="625"/>
      <c r="J1064" s="626"/>
      <c r="K1064" s="627"/>
      <c r="L1064" s="628"/>
      <c r="M1064" s="629"/>
      <c r="N1064" s="627"/>
      <c r="O1064" s="628"/>
      <c r="P1064" s="630"/>
      <c r="Q1064" s="631"/>
      <c r="R1064" s="715"/>
      <c r="S1064" s="910"/>
      <c r="T1064" s="632"/>
      <c r="U1064" s="633"/>
      <c r="V1064" s="634"/>
      <c r="W1064" s="635"/>
      <c r="X1064" s="636"/>
      <c r="Y1064" s="637"/>
      <c r="Z1064" s="987"/>
      <c r="AA1064" s="919"/>
      <c r="AB1064" s="908"/>
      <c r="AC1064" s="314" t="s">
        <v>5514</v>
      </c>
      <c r="AD1064" s="317"/>
      <c r="AE1064" s="669">
        <v>45026</v>
      </c>
      <c r="AF1064" s="718"/>
      <c r="AG1064" s="211"/>
      <c r="AH1064" s="210"/>
    </row>
    <row r="1065" spans="1:34" s="4" customFormat="1">
      <c r="A1065" s="2"/>
      <c r="B1065" s="310" t="s">
        <v>115</v>
      </c>
      <c r="C1065" s="311" t="s">
        <v>27</v>
      </c>
      <c r="D1065" s="687"/>
      <c r="E1065" s="688"/>
      <c r="F1065" s="312" t="s">
        <v>5515</v>
      </c>
      <c r="G1065" s="313">
        <v>45019</v>
      </c>
      <c r="H1065" s="624"/>
      <c r="I1065" s="625"/>
      <c r="J1065" s="626"/>
      <c r="K1065" s="627"/>
      <c r="L1065" s="628"/>
      <c r="M1065" s="629"/>
      <c r="N1065" s="627"/>
      <c r="O1065" s="628"/>
      <c r="P1065" s="630"/>
      <c r="Q1065" s="631"/>
      <c r="R1065" s="715"/>
      <c r="S1065" s="910"/>
      <c r="T1065" s="632"/>
      <c r="U1065" s="633"/>
      <c r="V1065" s="634"/>
      <c r="W1065" s="635"/>
      <c r="X1065" s="636"/>
      <c r="Y1065" s="637"/>
      <c r="Z1065" s="987"/>
      <c r="AA1065" s="919"/>
      <c r="AB1065" s="908"/>
      <c r="AC1065" s="314" t="s">
        <v>5516</v>
      </c>
      <c r="AD1065" s="317"/>
      <c r="AE1065" s="669">
        <v>45028</v>
      </c>
      <c r="AF1065" s="718"/>
      <c r="AG1065" s="211"/>
      <c r="AH1065" s="210"/>
    </row>
    <row r="1066" spans="1:34" s="4" customFormat="1">
      <c r="A1066" s="2"/>
      <c r="B1066" s="310" t="s">
        <v>106</v>
      </c>
      <c r="C1066" s="311" t="s">
        <v>33</v>
      </c>
      <c r="D1066" s="687" t="s">
        <v>5517</v>
      </c>
      <c r="E1066" s="688"/>
      <c r="F1066" s="312" t="s">
        <v>5518</v>
      </c>
      <c r="G1066" s="313">
        <v>45021</v>
      </c>
      <c r="H1066" s="624"/>
      <c r="I1066" s="625"/>
      <c r="J1066" s="626"/>
      <c r="K1066" s="627" t="s">
        <v>5519</v>
      </c>
      <c r="L1066" s="628">
        <v>45114</v>
      </c>
      <c r="M1066" s="629">
        <v>10000</v>
      </c>
      <c r="N1066" s="627" t="s">
        <v>5520</v>
      </c>
      <c r="O1066" s="628">
        <v>45118</v>
      </c>
      <c r="P1066" s="630" t="s">
        <v>5521</v>
      </c>
      <c r="Q1066" s="631">
        <v>45140</v>
      </c>
      <c r="R1066" s="715">
        <v>45155</v>
      </c>
      <c r="S1066" s="1068"/>
      <c r="T1066" s="632">
        <v>18029.13</v>
      </c>
      <c r="U1066" s="633" t="s">
        <v>5522</v>
      </c>
      <c r="V1066" s="634">
        <v>45148</v>
      </c>
      <c r="W1066" s="635" t="s">
        <v>109</v>
      </c>
      <c r="X1066" s="636">
        <v>18029.13</v>
      </c>
      <c r="Y1066" s="636">
        <v>18029.13</v>
      </c>
      <c r="Z1066" s="987">
        <f t="shared" ref="Z1066" si="61">Y1066/X1066</f>
        <v>1</v>
      </c>
      <c r="AA1066" s="919"/>
      <c r="AB1066" s="1056"/>
      <c r="AC1066" s="736" t="s">
        <v>5523</v>
      </c>
      <c r="AD1066" s="317"/>
      <c r="AE1066" s="669">
        <v>45027</v>
      </c>
      <c r="AF1066" s="718"/>
      <c r="AG1066" s="211"/>
      <c r="AH1066" s="210"/>
    </row>
    <row r="1067" spans="1:34" s="4" customFormat="1">
      <c r="A1067" s="2"/>
      <c r="B1067" s="310" t="s">
        <v>110</v>
      </c>
      <c r="C1067" s="311" t="s">
        <v>33</v>
      </c>
      <c r="D1067" s="687" t="s">
        <v>5524</v>
      </c>
      <c r="E1067" s="688"/>
      <c r="F1067" s="312" t="s">
        <v>5525</v>
      </c>
      <c r="G1067" s="313">
        <v>45022</v>
      </c>
      <c r="H1067" s="624"/>
      <c r="I1067" s="625"/>
      <c r="J1067" s="626"/>
      <c r="K1067" s="627"/>
      <c r="L1067" s="628"/>
      <c r="M1067" s="629"/>
      <c r="N1067" s="627" t="s">
        <v>5526</v>
      </c>
      <c r="O1067" s="628"/>
      <c r="P1067" s="630"/>
      <c r="Q1067" s="631"/>
      <c r="R1067" s="715"/>
      <c r="S1067" s="910"/>
      <c r="T1067" s="632"/>
      <c r="U1067" s="633"/>
      <c r="V1067" s="634"/>
      <c r="W1067" s="635"/>
      <c r="X1067" s="636"/>
      <c r="Y1067" s="637"/>
      <c r="Z1067" s="987"/>
      <c r="AA1067" s="919"/>
      <c r="AB1067" s="908"/>
      <c r="AC1067" s="314"/>
      <c r="AD1067" s="317"/>
      <c r="AE1067" s="669">
        <v>45033</v>
      </c>
      <c r="AF1067" s="718"/>
      <c r="AG1067" s="211"/>
      <c r="AH1067" s="210"/>
    </row>
    <row r="1068" spans="1:34" s="4" customFormat="1">
      <c r="A1068" s="2"/>
      <c r="B1068" s="310" t="s">
        <v>119</v>
      </c>
      <c r="C1068" s="311" t="s">
        <v>27</v>
      </c>
      <c r="D1068" s="687" t="s">
        <v>5527</v>
      </c>
      <c r="E1068" s="688"/>
      <c r="F1068" s="312" t="s">
        <v>5528</v>
      </c>
      <c r="G1068" s="313">
        <v>45072</v>
      </c>
      <c r="H1068" s="624"/>
      <c r="I1068" s="625"/>
      <c r="J1068" s="626"/>
      <c r="K1068" s="627"/>
      <c r="L1068" s="628"/>
      <c r="M1068" s="629"/>
      <c r="N1068" s="627"/>
      <c r="O1068" s="628"/>
      <c r="P1068" s="630"/>
      <c r="Q1068" s="631"/>
      <c r="R1068" s="715"/>
      <c r="S1068" s="910"/>
      <c r="T1068" s="632"/>
      <c r="U1068" s="633"/>
      <c r="V1068" s="634"/>
      <c r="W1068" s="635"/>
      <c r="X1068" s="636"/>
      <c r="Y1068" s="637"/>
      <c r="Z1068" s="987"/>
      <c r="AA1068" s="919"/>
      <c r="AB1068" s="908"/>
      <c r="AC1068" s="314"/>
      <c r="AD1068" s="317"/>
      <c r="AE1068" s="669"/>
      <c r="AF1068" s="718"/>
      <c r="AG1068" s="211"/>
      <c r="AH1068" s="210"/>
    </row>
    <row r="1069" spans="1:34" s="4" customFormat="1">
      <c r="A1069" s="2"/>
      <c r="B1069" s="310" t="s">
        <v>115</v>
      </c>
      <c r="C1069" s="311" t="s">
        <v>27</v>
      </c>
      <c r="D1069" s="687"/>
      <c r="E1069" s="688"/>
      <c r="F1069" s="312" t="s">
        <v>5529</v>
      </c>
      <c r="G1069" s="313">
        <v>45026</v>
      </c>
      <c r="H1069" s="624"/>
      <c r="I1069" s="625"/>
      <c r="J1069" s="626"/>
      <c r="K1069" s="627"/>
      <c r="L1069" s="628"/>
      <c r="M1069" s="629"/>
      <c r="N1069" s="627"/>
      <c r="O1069" s="628"/>
      <c r="P1069" s="630"/>
      <c r="Q1069" s="631"/>
      <c r="R1069" s="715"/>
      <c r="S1069" s="910"/>
      <c r="T1069" s="632"/>
      <c r="U1069" s="633"/>
      <c r="V1069" s="634"/>
      <c r="W1069" s="635"/>
      <c r="X1069" s="636"/>
      <c r="Y1069" s="637"/>
      <c r="Z1069" s="987"/>
      <c r="AA1069" s="919"/>
      <c r="AB1069" s="908"/>
      <c r="AC1069" s="314" t="s">
        <v>5530</v>
      </c>
      <c r="AD1069" s="317"/>
      <c r="AE1069" s="669">
        <v>45033</v>
      </c>
      <c r="AF1069" s="718"/>
      <c r="AG1069" s="211"/>
      <c r="AH1069" s="210"/>
    </row>
    <row r="1070" spans="1:34" s="4" customFormat="1">
      <c r="A1070" s="2"/>
      <c r="B1070" s="310" t="s">
        <v>115</v>
      </c>
      <c r="C1070" s="311" t="s">
        <v>27</v>
      </c>
      <c r="D1070" s="687"/>
      <c r="E1070" s="688"/>
      <c r="F1070" s="312" t="s">
        <v>5531</v>
      </c>
      <c r="G1070" s="313">
        <v>45026</v>
      </c>
      <c r="H1070" s="624"/>
      <c r="I1070" s="625"/>
      <c r="J1070" s="626"/>
      <c r="K1070" s="627"/>
      <c r="L1070" s="628"/>
      <c r="M1070" s="629"/>
      <c r="N1070" s="627"/>
      <c r="O1070" s="628"/>
      <c r="P1070" s="630"/>
      <c r="Q1070" s="631"/>
      <c r="R1070" s="715"/>
      <c r="S1070" s="910"/>
      <c r="T1070" s="632"/>
      <c r="U1070" s="633"/>
      <c r="V1070" s="634"/>
      <c r="W1070" s="635"/>
      <c r="X1070" s="636"/>
      <c r="Y1070" s="637"/>
      <c r="Z1070" s="987"/>
      <c r="AA1070" s="919"/>
      <c r="AB1070" s="908"/>
      <c r="AC1070" s="314" t="s">
        <v>5532</v>
      </c>
      <c r="AD1070" s="317"/>
      <c r="AE1070" s="669">
        <v>45033</v>
      </c>
      <c r="AF1070" s="718"/>
      <c r="AG1070" s="211"/>
      <c r="AH1070" s="210"/>
    </row>
    <row r="1071" spans="1:34" s="4" customFormat="1">
      <c r="A1071" s="2"/>
      <c r="B1071" s="310" t="s">
        <v>115</v>
      </c>
      <c r="C1071" s="311" t="s">
        <v>27</v>
      </c>
      <c r="D1071" s="687"/>
      <c r="E1071" s="688"/>
      <c r="F1071" s="312" t="s">
        <v>5533</v>
      </c>
      <c r="G1071" s="313">
        <v>45028</v>
      </c>
      <c r="H1071" s="624"/>
      <c r="I1071" s="625"/>
      <c r="J1071" s="626"/>
      <c r="K1071" s="627"/>
      <c r="L1071" s="628"/>
      <c r="M1071" s="629"/>
      <c r="N1071" s="627"/>
      <c r="O1071" s="628"/>
      <c r="P1071" s="630"/>
      <c r="Q1071" s="631"/>
      <c r="R1071" s="715"/>
      <c r="S1071" s="910"/>
      <c r="T1071" s="632"/>
      <c r="U1071" s="633"/>
      <c r="V1071" s="634"/>
      <c r="W1071" s="635"/>
      <c r="X1071" s="636"/>
      <c r="Y1071" s="637"/>
      <c r="Z1071" s="987"/>
      <c r="AA1071" s="919"/>
      <c r="AB1071" s="908"/>
      <c r="AC1071" s="314" t="s">
        <v>5534</v>
      </c>
      <c r="AD1071" s="317"/>
      <c r="AE1071" s="669">
        <v>45029</v>
      </c>
      <c r="AF1071" s="718"/>
      <c r="AG1071" s="211"/>
      <c r="AH1071" s="210"/>
    </row>
    <row r="1072" spans="1:34" s="4" customFormat="1">
      <c r="A1072" s="2"/>
      <c r="B1072" s="310" t="s">
        <v>106</v>
      </c>
      <c r="C1072" s="311" t="s">
        <v>33</v>
      </c>
      <c r="D1072" s="687" t="s">
        <v>5535</v>
      </c>
      <c r="E1072" s="688"/>
      <c r="F1072" s="312" t="s">
        <v>5536</v>
      </c>
      <c r="G1072" s="313">
        <v>45030</v>
      </c>
      <c r="H1072" s="624"/>
      <c r="I1072" s="625"/>
      <c r="J1072" s="626"/>
      <c r="K1072" s="627" t="s">
        <v>5537</v>
      </c>
      <c r="L1072" s="628">
        <v>45070</v>
      </c>
      <c r="M1072" s="629"/>
      <c r="N1072" s="627" t="s">
        <v>5538</v>
      </c>
      <c r="O1072" s="628"/>
      <c r="P1072" s="630" t="s">
        <v>5539</v>
      </c>
      <c r="Q1072" s="631"/>
      <c r="R1072" s="715"/>
      <c r="S1072" s="1068"/>
      <c r="T1072" s="632">
        <v>9179.6200000000008</v>
      </c>
      <c r="U1072" s="633" t="s">
        <v>5540</v>
      </c>
      <c r="V1072" s="634">
        <v>45082</v>
      </c>
      <c r="W1072" s="635" t="s">
        <v>2302</v>
      </c>
      <c r="X1072" s="636">
        <v>9179.6200000000008</v>
      </c>
      <c r="Y1072" s="636">
        <v>9179.6200000000008</v>
      </c>
      <c r="Z1072" s="987">
        <f t="shared" ref="Z1072:Z1073" si="62">Y1072/X1072</f>
        <v>1</v>
      </c>
      <c r="AA1072" s="919"/>
      <c r="AB1072" s="1055">
        <v>0</v>
      </c>
      <c r="AC1072" s="912" t="s">
        <v>5541</v>
      </c>
      <c r="AD1072" s="913"/>
      <c r="AE1072" s="669">
        <v>45037</v>
      </c>
      <c r="AF1072" s="718"/>
      <c r="AG1072" s="211"/>
      <c r="AH1072" s="210"/>
    </row>
    <row r="1073" spans="1:34" s="4" customFormat="1">
      <c r="A1073" s="2"/>
      <c r="B1073" s="310" t="s">
        <v>106</v>
      </c>
      <c r="C1073" s="311" t="s">
        <v>33</v>
      </c>
      <c r="D1073" s="687" t="s">
        <v>5542</v>
      </c>
      <c r="E1073" s="688"/>
      <c r="F1073" s="312"/>
      <c r="G1073" s="313"/>
      <c r="H1073" s="624"/>
      <c r="I1073" s="625"/>
      <c r="J1073" s="626"/>
      <c r="K1073" s="627" t="s">
        <v>5543</v>
      </c>
      <c r="L1073" s="628">
        <v>45009</v>
      </c>
      <c r="M1073" s="629">
        <v>15000</v>
      </c>
      <c r="N1073" s="627" t="s">
        <v>5544</v>
      </c>
      <c r="O1073" s="628">
        <v>45009</v>
      </c>
      <c r="P1073" s="630" t="s">
        <v>5545</v>
      </c>
      <c r="Q1073" s="631"/>
      <c r="R1073" s="715"/>
      <c r="S1073" s="1068"/>
      <c r="T1073" s="632"/>
      <c r="U1073" s="633" t="s">
        <v>5546</v>
      </c>
      <c r="V1073" s="634">
        <v>45040</v>
      </c>
      <c r="W1073" s="635" t="s">
        <v>84</v>
      </c>
      <c r="X1073" s="636">
        <v>6999.97</v>
      </c>
      <c r="Y1073" s="636">
        <v>6999.97</v>
      </c>
      <c r="Z1073" s="987">
        <f t="shared" si="62"/>
        <v>1</v>
      </c>
      <c r="AA1073" s="919"/>
      <c r="AB1073" s="1055">
        <v>0</v>
      </c>
      <c r="AC1073" s="912"/>
      <c r="AD1073" s="913"/>
      <c r="AE1073" s="669"/>
      <c r="AF1073" s="718"/>
      <c r="AG1073" s="211"/>
      <c r="AH1073" s="210"/>
    </row>
    <row r="1074" spans="1:34" s="4" customFormat="1">
      <c r="A1074" s="2"/>
      <c r="B1074" s="310" t="s">
        <v>115</v>
      </c>
      <c r="C1074" s="311" t="s">
        <v>27</v>
      </c>
      <c r="D1074" s="687"/>
      <c r="E1074" s="688"/>
      <c r="F1074" s="312" t="s">
        <v>5547</v>
      </c>
      <c r="G1074" s="313">
        <v>45033</v>
      </c>
      <c r="H1074" s="624"/>
      <c r="I1074" s="625"/>
      <c r="J1074" s="626"/>
      <c r="K1074" s="627"/>
      <c r="L1074" s="628"/>
      <c r="M1074" s="629"/>
      <c r="N1074" s="627"/>
      <c r="O1074" s="628"/>
      <c r="P1074" s="630"/>
      <c r="Q1074" s="631"/>
      <c r="R1074" s="715"/>
      <c r="S1074" s="910"/>
      <c r="T1074" s="632"/>
      <c r="U1074" s="633"/>
      <c r="V1074" s="634"/>
      <c r="W1074" s="635"/>
      <c r="X1074" s="636"/>
      <c r="Y1074" s="637"/>
      <c r="Z1074" s="987"/>
      <c r="AA1074" s="919"/>
      <c r="AB1074" s="908"/>
      <c r="AC1074" s="314" t="s">
        <v>5548</v>
      </c>
      <c r="AD1074" s="317"/>
      <c r="AE1074" s="669">
        <v>45040</v>
      </c>
      <c r="AF1074" s="718"/>
      <c r="AG1074" s="211"/>
      <c r="AH1074" s="210"/>
    </row>
    <row r="1075" spans="1:34" s="4" customFormat="1">
      <c r="A1075" s="2"/>
      <c r="B1075" s="310" t="s">
        <v>106</v>
      </c>
      <c r="C1075" s="311" t="s">
        <v>33</v>
      </c>
      <c r="D1075" s="687" t="s">
        <v>5549</v>
      </c>
      <c r="E1075" s="688"/>
      <c r="F1075" s="312" t="s">
        <v>5550</v>
      </c>
      <c r="G1075" s="313">
        <v>45033</v>
      </c>
      <c r="H1075" s="624"/>
      <c r="I1075" s="625"/>
      <c r="J1075" s="626"/>
      <c r="K1075" s="627" t="s">
        <v>5551</v>
      </c>
      <c r="L1075" s="628">
        <v>45078</v>
      </c>
      <c r="M1075" s="629">
        <v>1250</v>
      </c>
      <c r="N1075" s="627" t="s">
        <v>5552</v>
      </c>
      <c r="O1075" s="628">
        <v>45078</v>
      </c>
      <c r="P1075" s="630" t="s">
        <v>5553</v>
      </c>
      <c r="Q1075" s="631">
        <v>45128</v>
      </c>
      <c r="R1075" s="715">
        <v>45161</v>
      </c>
      <c r="S1075" s="1068"/>
      <c r="T1075" s="632">
        <v>15660.32</v>
      </c>
      <c r="U1075" s="633" t="s">
        <v>5554</v>
      </c>
      <c r="V1075" s="634">
        <v>45170</v>
      </c>
      <c r="W1075" s="635" t="s">
        <v>2302</v>
      </c>
      <c r="X1075" s="636">
        <v>15660.32</v>
      </c>
      <c r="Y1075" s="636">
        <v>15660.32</v>
      </c>
      <c r="Z1075" s="987">
        <f t="shared" ref="Z1075:Z1077" si="63">Y1075/X1075</f>
        <v>1</v>
      </c>
      <c r="AA1075" s="919"/>
      <c r="AB1075" s="1055">
        <v>0</v>
      </c>
      <c r="AC1075" s="736" t="s">
        <v>5555</v>
      </c>
      <c r="AD1075" s="317"/>
      <c r="AE1075" s="669">
        <v>45040</v>
      </c>
      <c r="AF1075" s="718"/>
      <c r="AG1075" s="211"/>
      <c r="AH1075" s="210"/>
    </row>
    <row r="1076" spans="1:34" s="4" customFormat="1">
      <c r="A1076" s="2"/>
      <c r="B1076" s="310" t="s">
        <v>106</v>
      </c>
      <c r="C1076" s="311" t="s">
        <v>33</v>
      </c>
      <c r="D1076" s="687" t="s">
        <v>5556</v>
      </c>
      <c r="E1076" s="688"/>
      <c r="F1076" s="312" t="s">
        <v>5557</v>
      </c>
      <c r="G1076" s="313">
        <v>45035</v>
      </c>
      <c r="H1076" s="624"/>
      <c r="I1076" s="625"/>
      <c r="J1076" s="626"/>
      <c r="K1076" s="627" t="s">
        <v>5558</v>
      </c>
      <c r="L1076" s="628">
        <v>45105</v>
      </c>
      <c r="M1076" s="629">
        <v>20000</v>
      </c>
      <c r="N1076" s="627" t="s">
        <v>5559</v>
      </c>
      <c r="O1076" s="628">
        <v>45112</v>
      </c>
      <c r="P1076" s="630" t="s">
        <v>5560</v>
      </c>
      <c r="Q1076" s="631">
        <v>45188</v>
      </c>
      <c r="R1076" s="715">
        <v>45222</v>
      </c>
      <c r="S1076" s="1068"/>
      <c r="T1076" s="632">
        <v>129427.1</v>
      </c>
      <c r="U1076" s="633" t="s">
        <v>5561</v>
      </c>
      <c r="V1076" s="634">
        <v>45222</v>
      </c>
      <c r="W1076" s="635" t="s">
        <v>96</v>
      </c>
      <c r="X1076" s="636">
        <v>129427.1</v>
      </c>
      <c r="Y1076" s="636">
        <v>129427.1</v>
      </c>
      <c r="Z1076" s="987">
        <f t="shared" si="63"/>
        <v>1</v>
      </c>
      <c r="AA1076" s="919"/>
      <c r="AB1076" s="1056"/>
      <c r="AC1076" s="736" t="s">
        <v>5562</v>
      </c>
      <c r="AD1076" s="317"/>
      <c r="AE1076" s="669">
        <v>45042</v>
      </c>
      <c r="AF1076" s="718"/>
      <c r="AG1076" s="211"/>
      <c r="AH1076" s="210"/>
    </row>
    <row r="1077" spans="1:34" s="4" customFormat="1">
      <c r="A1077" s="2"/>
      <c r="B1077" s="310" t="s">
        <v>106</v>
      </c>
      <c r="C1077" s="311" t="s">
        <v>33</v>
      </c>
      <c r="D1077" s="687" t="s">
        <v>5563</v>
      </c>
      <c r="E1077" s="688"/>
      <c r="F1077" s="312" t="s">
        <v>5564</v>
      </c>
      <c r="G1077" s="313">
        <v>45035</v>
      </c>
      <c r="H1077" s="624"/>
      <c r="I1077" s="625"/>
      <c r="J1077" s="626"/>
      <c r="K1077" s="627" t="s">
        <v>5565</v>
      </c>
      <c r="L1077" s="628">
        <v>45050</v>
      </c>
      <c r="M1077" s="629"/>
      <c r="N1077" s="627" t="s">
        <v>5566</v>
      </c>
      <c r="O1077" s="628"/>
      <c r="P1077" s="630" t="s">
        <v>5567</v>
      </c>
      <c r="Q1077" s="631"/>
      <c r="R1077" s="715"/>
      <c r="S1077" s="1068"/>
      <c r="T1077" s="632">
        <v>11121.4</v>
      </c>
      <c r="U1077" s="633" t="s">
        <v>5568</v>
      </c>
      <c r="V1077" s="634">
        <v>45078</v>
      </c>
      <c r="W1077" s="635" t="s">
        <v>2302</v>
      </c>
      <c r="X1077" s="636">
        <v>11121.4</v>
      </c>
      <c r="Y1077" s="636">
        <v>11121.4</v>
      </c>
      <c r="Z1077" s="987">
        <f t="shared" si="63"/>
        <v>1</v>
      </c>
      <c r="AA1077" s="919"/>
      <c r="AB1077" s="1055">
        <v>0</v>
      </c>
      <c r="AC1077" s="912" t="s">
        <v>5569</v>
      </c>
      <c r="AD1077" s="913"/>
      <c r="AE1077" s="669">
        <v>45042</v>
      </c>
      <c r="AF1077" s="718"/>
      <c r="AG1077" s="211"/>
      <c r="AH1077" s="210"/>
    </row>
    <row r="1078" spans="1:34" s="4" customFormat="1">
      <c r="A1078" s="2"/>
      <c r="B1078" s="310" t="s">
        <v>115</v>
      </c>
      <c r="C1078" s="311" t="s">
        <v>27</v>
      </c>
      <c r="D1078" s="687"/>
      <c r="E1078" s="688"/>
      <c r="F1078" s="312" t="s">
        <v>5570</v>
      </c>
      <c r="G1078" s="313">
        <v>45037</v>
      </c>
      <c r="H1078" s="624"/>
      <c r="I1078" s="625"/>
      <c r="J1078" s="626"/>
      <c r="K1078" s="627"/>
      <c r="L1078" s="628"/>
      <c r="M1078" s="629"/>
      <c r="N1078" s="627"/>
      <c r="O1078" s="628"/>
      <c r="P1078" s="630"/>
      <c r="Q1078" s="631"/>
      <c r="R1078" s="715"/>
      <c r="S1078" s="910"/>
      <c r="T1078" s="632"/>
      <c r="U1078" s="633"/>
      <c r="V1078" s="634"/>
      <c r="W1078" s="635"/>
      <c r="X1078" s="636"/>
      <c r="Y1078" s="637"/>
      <c r="Z1078" s="987"/>
      <c r="AA1078" s="919"/>
      <c r="AB1078" s="908"/>
      <c r="AC1078" s="314" t="s">
        <v>5571</v>
      </c>
      <c r="AD1078" s="317"/>
      <c r="AE1078" s="669">
        <v>45044</v>
      </c>
      <c r="AF1078" s="718"/>
      <c r="AG1078" s="211"/>
      <c r="AH1078" s="210"/>
    </row>
    <row r="1079" spans="1:34" s="4" customFormat="1">
      <c r="A1079" s="2"/>
      <c r="B1079" s="310" t="s">
        <v>115</v>
      </c>
      <c r="C1079" s="311" t="s">
        <v>27</v>
      </c>
      <c r="D1079" s="687"/>
      <c r="E1079" s="688"/>
      <c r="F1079" s="312" t="s">
        <v>5572</v>
      </c>
      <c r="G1079" s="313">
        <v>45037</v>
      </c>
      <c r="H1079" s="624"/>
      <c r="I1079" s="625"/>
      <c r="J1079" s="626"/>
      <c r="K1079" s="627"/>
      <c r="L1079" s="628"/>
      <c r="M1079" s="629"/>
      <c r="N1079" s="627"/>
      <c r="O1079" s="628"/>
      <c r="P1079" s="630"/>
      <c r="Q1079" s="631"/>
      <c r="R1079" s="715"/>
      <c r="S1079" s="910"/>
      <c r="T1079" s="632"/>
      <c r="U1079" s="633"/>
      <c r="V1079" s="634"/>
      <c r="W1079" s="635"/>
      <c r="X1079" s="636"/>
      <c r="Y1079" s="637"/>
      <c r="Z1079" s="987"/>
      <c r="AA1079" s="919"/>
      <c r="AB1079" s="908"/>
      <c r="AC1079" s="314" t="s">
        <v>5573</v>
      </c>
      <c r="AD1079" s="317"/>
      <c r="AE1079" s="669">
        <v>45044</v>
      </c>
      <c r="AF1079" s="718"/>
      <c r="AG1079" s="211"/>
      <c r="AH1079" s="210"/>
    </row>
    <row r="1080" spans="1:34" s="4" customFormat="1">
      <c r="A1080" s="2"/>
      <c r="B1080" s="310" t="s">
        <v>115</v>
      </c>
      <c r="C1080" s="311" t="s">
        <v>27</v>
      </c>
      <c r="D1080" s="687"/>
      <c r="E1080" s="688"/>
      <c r="F1080" s="312" t="s">
        <v>5574</v>
      </c>
      <c r="G1080" s="313">
        <v>45037</v>
      </c>
      <c r="H1080" s="624"/>
      <c r="I1080" s="625"/>
      <c r="J1080" s="626"/>
      <c r="K1080" s="627"/>
      <c r="L1080" s="628"/>
      <c r="M1080" s="629"/>
      <c r="N1080" s="627"/>
      <c r="O1080" s="628"/>
      <c r="P1080" s="630"/>
      <c r="Q1080" s="631"/>
      <c r="R1080" s="715"/>
      <c r="S1080" s="910"/>
      <c r="T1080" s="632"/>
      <c r="U1080" s="633"/>
      <c r="V1080" s="634"/>
      <c r="W1080" s="635"/>
      <c r="X1080" s="636"/>
      <c r="Y1080" s="637"/>
      <c r="Z1080" s="987"/>
      <c r="AA1080" s="919"/>
      <c r="AB1080" s="908"/>
      <c r="AC1080" s="314" t="s">
        <v>5575</v>
      </c>
      <c r="AD1080" s="317"/>
      <c r="AE1080" s="669">
        <v>45044</v>
      </c>
      <c r="AF1080" s="718"/>
      <c r="AG1080" s="211"/>
      <c r="AH1080" s="210"/>
    </row>
    <row r="1081" spans="1:34" s="4" customFormat="1">
      <c r="A1081" s="2"/>
      <c r="B1081" s="310" t="s">
        <v>115</v>
      </c>
      <c r="C1081" s="311" t="s">
        <v>27</v>
      </c>
      <c r="D1081" s="687"/>
      <c r="E1081" s="688"/>
      <c r="F1081" s="312" t="s">
        <v>5576</v>
      </c>
      <c r="G1081" s="313">
        <v>45040</v>
      </c>
      <c r="H1081" s="624"/>
      <c r="I1081" s="625"/>
      <c r="J1081" s="626"/>
      <c r="K1081" s="627"/>
      <c r="L1081" s="628"/>
      <c r="M1081" s="629"/>
      <c r="N1081" s="627"/>
      <c r="O1081" s="628"/>
      <c r="P1081" s="630"/>
      <c r="Q1081" s="631"/>
      <c r="R1081" s="715"/>
      <c r="S1081" s="910"/>
      <c r="T1081" s="632"/>
      <c r="U1081" s="633"/>
      <c r="V1081" s="634"/>
      <c r="W1081" s="635"/>
      <c r="X1081" s="636"/>
      <c r="Y1081" s="637"/>
      <c r="Z1081" s="987"/>
      <c r="AA1081" s="919"/>
      <c r="AB1081" s="908"/>
      <c r="AC1081" s="314" t="s">
        <v>5577</v>
      </c>
      <c r="AD1081" s="317"/>
      <c r="AE1081" s="669">
        <v>45047</v>
      </c>
      <c r="AF1081" s="718"/>
      <c r="AG1081" s="211"/>
      <c r="AH1081" s="210"/>
    </row>
    <row r="1082" spans="1:34" s="4" customFormat="1">
      <c r="A1082" s="2"/>
      <c r="B1082" s="310" t="s">
        <v>115</v>
      </c>
      <c r="C1082" s="311" t="s">
        <v>27</v>
      </c>
      <c r="D1082" s="687"/>
      <c r="E1082" s="688"/>
      <c r="F1082" s="312" t="s">
        <v>5578</v>
      </c>
      <c r="G1082" s="313">
        <v>45040</v>
      </c>
      <c r="H1082" s="624"/>
      <c r="I1082" s="625"/>
      <c r="J1082" s="626"/>
      <c r="K1082" s="627"/>
      <c r="L1082" s="628"/>
      <c r="M1082" s="629"/>
      <c r="N1082" s="627"/>
      <c r="O1082" s="628"/>
      <c r="P1082" s="630"/>
      <c r="Q1082" s="631"/>
      <c r="R1082" s="715"/>
      <c r="S1082" s="910"/>
      <c r="T1082" s="632"/>
      <c r="U1082" s="633"/>
      <c r="V1082" s="634"/>
      <c r="W1082" s="635"/>
      <c r="X1082" s="636"/>
      <c r="Y1082" s="637"/>
      <c r="Z1082" s="987"/>
      <c r="AA1082" s="919"/>
      <c r="AB1082" s="908"/>
      <c r="AC1082" s="314" t="s">
        <v>5579</v>
      </c>
      <c r="AD1082" s="317"/>
      <c r="AE1082" s="669">
        <v>45047</v>
      </c>
      <c r="AF1082" s="718"/>
      <c r="AG1082" s="211"/>
      <c r="AH1082" s="210"/>
    </row>
    <row r="1083" spans="1:34" s="4" customFormat="1">
      <c r="A1083" s="2"/>
      <c r="B1083" s="310" t="s">
        <v>115</v>
      </c>
      <c r="C1083" s="311" t="s">
        <v>27</v>
      </c>
      <c r="D1083" s="687"/>
      <c r="E1083" s="688"/>
      <c r="F1083" s="312" t="s">
        <v>5580</v>
      </c>
      <c r="G1083" s="313">
        <v>45041</v>
      </c>
      <c r="H1083" s="624"/>
      <c r="I1083" s="625"/>
      <c r="J1083" s="626"/>
      <c r="K1083" s="627"/>
      <c r="L1083" s="628"/>
      <c r="M1083" s="629"/>
      <c r="N1083" s="627"/>
      <c r="O1083" s="628"/>
      <c r="P1083" s="630"/>
      <c r="Q1083" s="631"/>
      <c r="R1083" s="715"/>
      <c r="S1083" s="910"/>
      <c r="T1083" s="632"/>
      <c r="U1083" s="633"/>
      <c r="V1083" s="634"/>
      <c r="W1083" s="635"/>
      <c r="X1083" s="636"/>
      <c r="Y1083" s="637"/>
      <c r="Z1083" s="987"/>
      <c r="AA1083" s="919"/>
      <c r="AB1083" s="908"/>
      <c r="AC1083" s="314" t="s">
        <v>5581</v>
      </c>
      <c r="AD1083" s="317"/>
      <c r="AE1083" s="669">
        <v>45048</v>
      </c>
      <c r="AF1083" s="718"/>
      <c r="AG1083" s="211"/>
      <c r="AH1083" s="210"/>
    </row>
    <row r="1084" spans="1:34" s="4" customFormat="1">
      <c r="A1084" s="2"/>
      <c r="B1084" s="310" t="s">
        <v>115</v>
      </c>
      <c r="C1084" s="311" t="s">
        <v>27</v>
      </c>
      <c r="D1084" s="687"/>
      <c r="E1084" s="688"/>
      <c r="F1084" s="312" t="s">
        <v>5582</v>
      </c>
      <c r="G1084" s="313">
        <v>45041</v>
      </c>
      <c r="H1084" s="624"/>
      <c r="I1084" s="625"/>
      <c r="J1084" s="626"/>
      <c r="K1084" s="627"/>
      <c r="L1084" s="628"/>
      <c r="M1084" s="629"/>
      <c r="N1084" s="627"/>
      <c r="O1084" s="628"/>
      <c r="P1084" s="630"/>
      <c r="Q1084" s="631"/>
      <c r="R1084" s="715"/>
      <c r="S1084" s="910"/>
      <c r="T1084" s="632"/>
      <c r="U1084" s="633"/>
      <c r="V1084" s="634"/>
      <c r="W1084" s="635"/>
      <c r="X1084" s="636"/>
      <c r="Y1084" s="637"/>
      <c r="Z1084" s="987"/>
      <c r="AA1084" s="919"/>
      <c r="AB1084" s="908"/>
      <c r="AC1084" s="314" t="s">
        <v>5583</v>
      </c>
      <c r="AD1084" s="317"/>
      <c r="AE1084" s="669">
        <v>45048</v>
      </c>
      <c r="AF1084" s="718"/>
      <c r="AG1084" s="211"/>
      <c r="AH1084" s="210"/>
    </row>
    <row r="1085" spans="1:34" s="4" customFormat="1">
      <c r="A1085" s="2"/>
      <c r="B1085" s="310" t="s">
        <v>115</v>
      </c>
      <c r="C1085" s="311" t="s">
        <v>27</v>
      </c>
      <c r="D1085" s="687"/>
      <c r="E1085" s="688"/>
      <c r="F1085" s="312" t="s">
        <v>5584</v>
      </c>
      <c r="G1085" s="313">
        <v>45042</v>
      </c>
      <c r="H1085" s="624"/>
      <c r="I1085" s="625"/>
      <c r="J1085" s="626"/>
      <c r="K1085" s="627"/>
      <c r="L1085" s="628"/>
      <c r="M1085" s="629"/>
      <c r="N1085" s="627"/>
      <c r="O1085" s="628"/>
      <c r="P1085" s="630"/>
      <c r="Q1085" s="631"/>
      <c r="R1085" s="715"/>
      <c r="S1085" s="910"/>
      <c r="T1085" s="632"/>
      <c r="U1085" s="633"/>
      <c r="V1085" s="634"/>
      <c r="W1085" s="635"/>
      <c r="X1085" s="636"/>
      <c r="Y1085" s="637"/>
      <c r="Z1085" s="987"/>
      <c r="AA1085" s="919"/>
      <c r="AB1085" s="908"/>
      <c r="AC1085" s="314" t="s">
        <v>5585</v>
      </c>
      <c r="AD1085" s="317"/>
      <c r="AE1085" s="669">
        <v>45049</v>
      </c>
      <c r="AF1085" s="718"/>
      <c r="AG1085" s="211"/>
      <c r="AH1085" s="210"/>
    </row>
    <row r="1086" spans="1:34" s="4" customFormat="1">
      <c r="A1086" s="2"/>
      <c r="B1086" s="310" t="s">
        <v>106</v>
      </c>
      <c r="C1086" s="311" t="s">
        <v>33</v>
      </c>
      <c r="D1086" s="687" t="s">
        <v>5586</v>
      </c>
      <c r="E1086" s="688"/>
      <c r="F1086" s="312" t="s">
        <v>5587</v>
      </c>
      <c r="G1086" s="313">
        <v>45042</v>
      </c>
      <c r="H1086" s="624"/>
      <c r="I1086" s="625"/>
      <c r="J1086" s="626"/>
      <c r="K1086" s="627" t="s">
        <v>5588</v>
      </c>
      <c r="L1086" s="628">
        <v>45055</v>
      </c>
      <c r="M1086" s="629"/>
      <c r="N1086" s="627" t="s">
        <v>5589</v>
      </c>
      <c r="O1086" s="628"/>
      <c r="P1086" s="630" t="s">
        <v>5590</v>
      </c>
      <c r="Q1086" s="631"/>
      <c r="R1086" s="715"/>
      <c r="S1086" s="910"/>
      <c r="T1086" s="632"/>
      <c r="U1086" s="633" t="s">
        <v>5591</v>
      </c>
      <c r="V1086" s="634"/>
      <c r="W1086" s="635" t="s">
        <v>96</v>
      </c>
      <c r="X1086" s="636"/>
      <c r="Y1086" s="637"/>
      <c r="Z1086" s="987" t="s">
        <v>268</v>
      </c>
      <c r="AA1086" s="919"/>
      <c r="AB1086" s="1012">
        <v>0</v>
      </c>
      <c r="AC1086" s="912" t="s">
        <v>5592</v>
      </c>
      <c r="AD1086" s="913"/>
      <c r="AE1086" s="669">
        <v>45049</v>
      </c>
      <c r="AF1086" s="718"/>
      <c r="AG1086" s="211"/>
      <c r="AH1086" s="210"/>
    </row>
    <row r="1087" spans="1:34" s="4" customFormat="1">
      <c r="A1087" s="2"/>
      <c r="B1087" s="310" t="s">
        <v>115</v>
      </c>
      <c r="C1087" s="311" t="s">
        <v>27</v>
      </c>
      <c r="D1087" s="687"/>
      <c r="E1087" s="688"/>
      <c r="F1087" s="312" t="s">
        <v>5593</v>
      </c>
      <c r="G1087" s="313">
        <v>45047</v>
      </c>
      <c r="H1087" s="624"/>
      <c r="I1087" s="625"/>
      <c r="J1087" s="626"/>
      <c r="K1087" s="627"/>
      <c r="L1087" s="628"/>
      <c r="M1087" s="629"/>
      <c r="N1087" s="627"/>
      <c r="O1087" s="628"/>
      <c r="P1087" s="630"/>
      <c r="Q1087" s="631"/>
      <c r="R1087" s="715"/>
      <c r="S1087" s="910"/>
      <c r="T1087" s="632"/>
      <c r="U1087" s="633"/>
      <c r="V1087" s="634"/>
      <c r="W1087" s="635"/>
      <c r="X1087" s="636"/>
      <c r="Y1087" s="637"/>
      <c r="Z1087" s="987"/>
      <c r="AA1087" s="919"/>
      <c r="AB1087" s="908"/>
      <c r="AC1087" s="314" t="s">
        <v>5594</v>
      </c>
      <c r="AD1087" s="317"/>
      <c r="AE1087" s="669">
        <v>45054</v>
      </c>
      <c r="AF1087" s="718"/>
      <c r="AG1087" s="211"/>
      <c r="AH1087" s="210"/>
    </row>
    <row r="1088" spans="1:34" s="4" customFormat="1">
      <c r="A1088" s="2"/>
      <c r="B1088" s="310" t="s">
        <v>106</v>
      </c>
      <c r="C1088" s="311" t="s">
        <v>33</v>
      </c>
      <c r="D1088" s="687" t="s">
        <v>5595</v>
      </c>
      <c r="E1088" s="688"/>
      <c r="F1088" s="312" t="s">
        <v>5596</v>
      </c>
      <c r="G1088" s="313">
        <v>45048</v>
      </c>
      <c r="H1088" s="624"/>
      <c r="I1088" s="625"/>
      <c r="J1088" s="626"/>
      <c r="K1088" s="627" t="s">
        <v>5597</v>
      </c>
      <c r="L1088" s="628">
        <v>45056</v>
      </c>
      <c r="M1088" s="629"/>
      <c r="N1088" s="627" t="s">
        <v>5598</v>
      </c>
      <c r="O1088" s="628"/>
      <c r="P1088" s="630" t="s">
        <v>5440</v>
      </c>
      <c r="Q1088" s="631"/>
      <c r="R1088" s="715"/>
      <c r="S1088" s="910"/>
      <c r="T1088" s="632"/>
      <c r="U1088" s="633" t="s">
        <v>5599</v>
      </c>
      <c r="V1088" s="634"/>
      <c r="W1088" s="635" t="s">
        <v>2302</v>
      </c>
      <c r="X1088" s="636"/>
      <c r="Y1088" s="637"/>
      <c r="Z1088" s="987" t="s">
        <v>268</v>
      </c>
      <c r="AA1088" s="919"/>
      <c r="AB1088" s="1055">
        <v>0</v>
      </c>
      <c r="AC1088" s="912" t="s">
        <v>5600</v>
      </c>
      <c r="AD1088" s="913"/>
      <c r="AE1088" s="669">
        <v>45055</v>
      </c>
      <c r="AF1088" s="718"/>
      <c r="AG1088" s="211"/>
      <c r="AH1088" s="210"/>
    </row>
    <row r="1089" spans="1:34" s="4" customFormat="1">
      <c r="A1089" s="2"/>
      <c r="B1089" s="310" t="s">
        <v>115</v>
      </c>
      <c r="C1089" s="311" t="s">
        <v>27</v>
      </c>
      <c r="D1089" s="687"/>
      <c r="E1089" s="688"/>
      <c r="F1089" s="312" t="s">
        <v>5601</v>
      </c>
      <c r="G1089" s="313">
        <v>45049</v>
      </c>
      <c r="H1089" s="624"/>
      <c r="I1089" s="625"/>
      <c r="J1089" s="626"/>
      <c r="K1089" s="627"/>
      <c r="L1089" s="628"/>
      <c r="M1089" s="629"/>
      <c r="N1089" s="627"/>
      <c r="O1089" s="628"/>
      <c r="P1089" s="630"/>
      <c r="Q1089" s="631"/>
      <c r="R1089" s="715"/>
      <c r="S1089" s="910"/>
      <c r="T1089" s="632"/>
      <c r="U1089" s="633"/>
      <c r="V1089" s="634"/>
      <c r="W1089" s="635"/>
      <c r="X1089" s="636"/>
      <c r="Y1089" s="637"/>
      <c r="Z1089" s="987"/>
      <c r="AA1089" s="919"/>
      <c r="AB1089" s="908"/>
      <c r="AC1089" s="314" t="s">
        <v>5602</v>
      </c>
      <c r="AD1089" s="317"/>
      <c r="AE1089" s="669">
        <v>45056</v>
      </c>
      <c r="AF1089" s="718"/>
      <c r="AG1089" s="211"/>
      <c r="AH1089" s="210"/>
    </row>
    <row r="1090" spans="1:34" s="4" customFormat="1">
      <c r="A1090" s="2"/>
      <c r="B1090" s="310" t="s">
        <v>115</v>
      </c>
      <c r="C1090" s="311" t="s">
        <v>27</v>
      </c>
      <c r="D1090" s="687"/>
      <c r="E1090" s="688"/>
      <c r="F1090" s="312" t="s">
        <v>5603</v>
      </c>
      <c r="G1090" s="313">
        <v>45049</v>
      </c>
      <c r="H1090" s="624"/>
      <c r="I1090" s="625"/>
      <c r="J1090" s="626"/>
      <c r="K1090" s="627"/>
      <c r="L1090" s="628"/>
      <c r="M1090" s="629"/>
      <c r="N1090" s="627"/>
      <c r="O1090" s="628"/>
      <c r="P1090" s="630"/>
      <c r="Q1090" s="631"/>
      <c r="R1090" s="715"/>
      <c r="S1090" s="910"/>
      <c r="T1090" s="632"/>
      <c r="U1090" s="633"/>
      <c r="V1090" s="634"/>
      <c r="W1090" s="635"/>
      <c r="X1090" s="636"/>
      <c r="Y1090" s="637"/>
      <c r="Z1090" s="987"/>
      <c r="AA1090" s="919"/>
      <c r="AB1090" s="908"/>
      <c r="AC1090" s="314" t="s">
        <v>5604</v>
      </c>
      <c r="AD1090" s="317"/>
      <c r="AE1090" s="669">
        <v>45056</v>
      </c>
      <c r="AF1090" s="718"/>
      <c r="AG1090" s="211"/>
      <c r="AH1090" s="210"/>
    </row>
    <row r="1091" spans="1:34" s="4" customFormat="1">
      <c r="A1091" s="2"/>
      <c r="B1091" s="310" t="s">
        <v>115</v>
      </c>
      <c r="C1091" s="311" t="s">
        <v>27</v>
      </c>
      <c r="D1091" s="687"/>
      <c r="E1091" s="688"/>
      <c r="F1091" s="312" t="s">
        <v>5605</v>
      </c>
      <c r="G1091" s="313">
        <v>45050</v>
      </c>
      <c r="H1091" s="624"/>
      <c r="I1091" s="625"/>
      <c r="J1091" s="626"/>
      <c r="K1091" s="627"/>
      <c r="L1091" s="628"/>
      <c r="M1091" s="629"/>
      <c r="N1091" s="627"/>
      <c r="O1091" s="628"/>
      <c r="P1091" s="630"/>
      <c r="Q1091" s="631"/>
      <c r="R1091" s="715"/>
      <c r="S1091" s="910"/>
      <c r="T1091" s="632"/>
      <c r="U1091" s="633"/>
      <c r="V1091" s="634"/>
      <c r="W1091" s="635"/>
      <c r="X1091" s="636"/>
      <c r="Y1091" s="637"/>
      <c r="Z1091" s="987"/>
      <c r="AA1091" s="919"/>
      <c r="AB1091" s="908"/>
      <c r="AC1091" s="314" t="s">
        <v>5606</v>
      </c>
      <c r="AD1091" s="317"/>
      <c r="AE1091" s="669">
        <v>45057</v>
      </c>
      <c r="AF1091" s="718"/>
      <c r="AG1091" s="211"/>
      <c r="AH1091" s="210"/>
    </row>
    <row r="1092" spans="1:34" s="4" customFormat="1">
      <c r="A1092" s="2"/>
      <c r="B1092" s="310" t="s">
        <v>119</v>
      </c>
      <c r="C1092" s="311" t="s">
        <v>27</v>
      </c>
      <c r="D1092" s="687" t="s">
        <v>5607</v>
      </c>
      <c r="E1092" s="688"/>
      <c r="F1092" s="312" t="s">
        <v>5608</v>
      </c>
      <c r="G1092" s="313">
        <v>45064</v>
      </c>
      <c r="H1092" s="624"/>
      <c r="I1092" s="625"/>
      <c r="J1092" s="626"/>
      <c r="K1092" s="627"/>
      <c r="L1092" s="628"/>
      <c r="M1092" s="629"/>
      <c r="N1092" s="627"/>
      <c r="O1092" s="628"/>
      <c r="P1092" s="630"/>
      <c r="Q1092" s="631"/>
      <c r="R1092" s="715"/>
      <c r="S1092" s="910"/>
      <c r="T1092" s="632"/>
      <c r="U1092" s="633"/>
      <c r="V1092" s="634"/>
      <c r="W1092" s="635"/>
      <c r="X1092" s="636"/>
      <c r="Y1092" s="637"/>
      <c r="Z1092" s="987"/>
      <c r="AA1092" s="919"/>
      <c r="AB1092" s="908"/>
      <c r="AC1092" s="314"/>
      <c r="AD1092" s="317"/>
      <c r="AE1092" s="669"/>
      <c r="AF1092" s="718"/>
      <c r="AG1092" s="211"/>
      <c r="AH1092" s="210"/>
    </row>
    <row r="1093" spans="1:34" s="4" customFormat="1">
      <c r="A1093" s="2"/>
      <c r="B1093" s="310" t="s">
        <v>115</v>
      </c>
      <c r="C1093" s="311" t="s">
        <v>27</v>
      </c>
      <c r="D1093" s="687"/>
      <c r="E1093" s="688"/>
      <c r="F1093" s="312" t="s">
        <v>5609</v>
      </c>
      <c r="G1093" s="313">
        <v>45050</v>
      </c>
      <c r="H1093" s="624"/>
      <c r="I1093" s="625"/>
      <c r="J1093" s="626"/>
      <c r="K1093" s="627"/>
      <c r="L1093" s="628"/>
      <c r="M1093" s="629"/>
      <c r="N1093" s="627"/>
      <c r="O1093" s="628"/>
      <c r="P1093" s="630"/>
      <c r="Q1093" s="631"/>
      <c r="R1093" s="715"/>
      <c r="S1093" s="910"/>
      <c r="T1093" s="632"/>
      <c r="U1093" s="633"/>
      <c r="V1093" s="634"/>
      <c r="W1093" s="635"/>
      <c r="X1093" s="636"/>
      <c r="Y1093" s="637"/>
      <c r="Z1093" s="987"/>
      <c r="AA1093" s="919"/>
      <c r="AB1093" s="908"/>
      <c r="AC1093" s="314" t="s">
        <v>5610</v>
      </c>
      <c r="AD1093" s="317"/>
      <c r="AE1093" s="669">
        <v>45057</v>
      </c>
      <c r="AF1093" s="718"/>
      <c r="AG1093" s="211"/>
      <c r="AH1093" s="210"/>
    </row>
    <row r="1094" spans="1:34" s="4" customFormat="1">
      <c r="A1094" s="2"/>
      <c r="B1094" s="310" t="s">
        <v>115</v>
      </c>
      <c r="C1094" s="311" t="s">
        <v>27</v>
      </c>
      <c r="D1094" s="687"/>
      <c r="E1094" s="688"/>
      <c r="F1094" s="312" t="s">
        <v>5611</v>
      </c>
      <c r="G1094" s="313">
        <v>45050</v>
      </c>
      <c r="H1094" s="624"/>
      <c r="I1094" s="625"/>
      <c r="J1094" s="626"/>
      <c r="K1094" s="627"/>
      <c r="L1094" s="628"/>
      <c r="M1094" s="629"/>
      <c r="N1094" s="627"/>
      <c r="O1094" s="628"/>
      <c r="P1094" s="630"/>
      <c r="Q1094" s="631"/>
      <c r="R1094" s="715"/>
      <c r="S1094" s="910"/>
      <c r="T1094" s="632"/>
      <c r="U1094" s="633"/>
      <c r="V1094" s="634"/>
      <c r="W1094" s="635"/>
      <c r="X1094" s="636"/>
      <c r="Y1094" s="637"/>
      <c r="Z1094" s="987"/>
      <c r="AA1094" s="919"/>
      <c r="AB1094" s="908"/>
      <c r="AC1094" s="314" t="s">
        <v>5612</v>
      </c>
      <c r="AD1094" s="317"/>
      <c r="AE1094" s="669">
        <v>45057</v>
      </c>
      <c r="AF1094" s="718"/>
      <c r="AG1094" s="211"/>
      <c r="AH1094" s="210"/>
    </row>
    <row r="1095" spans="1:34" s="4" customFormat="1">
      <c r="A1095" s="2"/>
      <c r="B1095" s="310" t="s">
        <v>115</v>
      </c>
      <c r="C1095" s="311" t="s">
        <v>27</v>
      </c>
      <c r="D1095" s="687"/>
      <c r="E1095" s="688"/>
      <c r="F1095" s="312" t="s">
        <v>5613</v>
      </c>
      <c r="G1095" s="313">
        <v>45054</v>
      </c>
      <c r="H1095" s="624"/>
      <c r="I1095" s="625"/>
      <c r="J1095" s="626"/>
      <c r="K1095" s="627"/>
      <c r="L1095" s="628"/>
      <c r="M1095" s="629"/>
      <c r="N1095" s="627"/>
      <c r="O1095" s="628"/>
      <c r="P1095" s="630"/>
      <c r="Q1095" s="631"/>
      <c r="R1095" s="715"/>
      <c r="S1095" s="910"/>
      <c r="T1095" s="632"/>
      <c r="U1095" s="633"/>
      <c r="V1095" s="634"/>
      <c r="W1095" s="635"/>
      <c r="X1095" s="636"/>
      <c r="Y1095" s="637"/>
      <c r="Z1095" s="987"/>
      <c r="AA1095" s="919"/>
      <c r="AB1095" s="908"/>
      <c r="AC1095" s="314" t="s">
        <v>5614</v>
      </c>
      <c r="AD1095" s="317"/>
      <c r="AE1095" s="669">
        <v>45061</v>
      </c>
      <c r="AF1095" s="718"/>
      <c r="AG1095" s="211"/>
      <c r="AH1095" s="210"/>
    </row>
    <row r="1096" spans="1:34" s="4" customFormat="1">
      <c r="A1096" s="2"/>
      <c r="B1096" s="310" t="s">
        <v>115</v>
      </c>
      <c r="C1096" s="311" t="s">
        <v>27</v>
      </c>
      <c r="D1096" s="687"/>
      <c r="E1096" s="688"/>
      <c r="F1096" s="312" t="s">
        <v>5615</v>
      </c>
      <c r="G1096" s="313">
        <v>45054</v>
      </c>
      <c r="H1096" s="624"/>
      <c r="I1096" s="625"/>
      <c r="J1096" s="626"/>
      <c r="K1096" s="627"/>
      <c r="L1096" s="628"/>
      <c r="M1096" s="629"/>
      <c r="N1096" s="627"/>
      <c r="O1096" s="628"/>
      <c r="P1096" s="630"/>
      <c r="Q1096" s="631"/>
      <c r="R1096" s="715"/>
      <c r="S1096" s="910"/>
      <c r="T1096" s="632"/>
      <c r="U1096" s="633"/>
      <c r="V1096" s="634"/>
      <c r="W1096" s="635"/>
      <c r="X1096" s="636"/>
      <c r="Y1096" s="637"/>
      <c r="Z1096" s="987"/>
      <c r="AA1096" s="919"/>
      <c r="AB1096" s="908"/>
      <c r="AC1096" s="314" t="s">
        <v>5616</v>
      </c>
      <c r="AD1096" s="317"/>
      <c r="AE1096" s="669">
        <v>45061</v>
      </c>
      <c r="AF1096" s="718"/>
      <c r="AG1096" s="211"/>
      <c r="AH1096" s="210"/>
    </row>
    <row r="1097" spans="1:34" s="4" customFormat="1">
      <c r="A1097" s="2"/>
      <c r="B1097" s="310" t="s">
        <v>115</v>
      </c>
      <c r="C1097" s="311" t="s">
        <v>27</v>
      </c>
      <c r="D1097" s="687"/>
      <c r="E1097" s="688"/>
      <c r="F1097" s="312" t="s">
        <v>5617</v>
      </c>
      <c r="G1097" s="313">
        <v>45054</v>
      </c>
      <c r="H1097" s="624"/>
      <c r="I1097" s="625"/>
      <c r="J1097" s="626"/>
      <c r="K1097" s="627"/>
      <c r="L1097" s="628"/>
      <c r="M1097" s="629"/>
      <c r="N1097" s="627"/>
      <c r="O1097" s="628"/>
      <c r="P1097" s="630"/>
      <c r="Q1097" s="631"/>
      <c r="R1097" s="715"/>
      <c r="S1097" s="910"/>
      <c r="T1097" s="632"/>
      <c r="U1097" s="633"/>
      <c r="V1097" s="634"/>
      <c r="W1097" s="635"/>
      <c r="X1097" s="636"/>
      <c r="Y1097" s="637"/>
      <c r="Z1097" s="987"/>
      <c r="AA1097" s="919"/>
      <c r="AB1097" s="908"/>
      <c r="AC1097" s="314" t="s">
        <v>5618</v>
      </c>
      <c r="AD1097" s="317"/>
      <c r="AE1097" s="669">
        <v>45061</v>
      </c>
      <c r="AF1097" s="718"/>
      <c r="AG1097" s="211"/>
      <c r="AH1097" s="210"/>
    </row>
    <row r="1098" spans="1:34" s="4" customFormat="1">
      <c r="A1098" s="2"/>
      <c r="B1098" s="310" t="s">
        <v>115</v>
      </c>
      <c r="C1098" s="311" t="s">
        <v>27</v>
      </c>
      <c r="D1098" s="687"/>
      <c r="E1098" s="688"/>
      <c r="F1098" s="312" t="s">
        <v>5619</v>
      </c>
      <c r="G1098" s="313">
        <v>45055</v>
      </c>
      <c r="H1098" s="624"/>
      <c r="I1098" s="625"/>
      <c r="J1098" s="626"/>
      <c r="K1098" s="627"/>
      <c r="L1098" s="628"/>
      <c r="M1098" s="629"/>
      <c r="N1098" s="627"/>
      <c r="O1098" s="628"/>
      <c r="P1098" s="630"/>
      <c r="Q1098" s="631"/>
      <c r="R1098" s="715"/>
      <c r="S1098" s="910"/>
      <c r="T1098" s="632"/>
      <c r="U1098" s="633"/>
      <c r="V1098" s="634"/>
      <c r="W1098" s="635"/>
      <c r="X1098" s="636"/>
      <c r="Y1098" s="637"/>
      <c r="Z1098" s="987"/>
      <c r="AA1098" s="919"/>
      <c r="AB1098" s="908"/>
      <c r="AC1098" s="314" t="s">
        <v>5620</v>
      </c>
      <c r="AD1098" s="317"/>
      <c r="AE1098" s="669">
        <v>45065</v>
      </c>
      <c r="AF1098" s="718"/>
      <c r="AG1098" s="211"/>
      <c r="AH1098" s="210"/>
    </row>
    <row r="1099" spans="1:34" s="4" customFormat="1">
      <c r="A1099" s="2"/>
      <c r="B1099" s="310" t="s">
        <v>115</v>
      </c>
      <c r="C1099" s="311" t="s">
        <v>27</v>
      </c>
      <c r="D1099" s="687"/>
      <c r="E1099" s="688"/>
      <c r="F1099" s="312" t="s">
        <v>5621</v>
      </c>
      <c r="G1099" s="313">
        <v>45057</v>
      </c>
      <c r="H1099" s="624"/>
      <c r="I1099" s="625"/>
      <c r="J1099" s="626"/>
      <c r="K1099" s="627"/>
      <c r="L1099" s="628"/>
      <c r="M1099" s="629"/>
      <c r="N1099" s="627"/>
      <c r="O1099" s="628"/>
      <c r="P1099" s="630"/>
      <c r="Q1099" s="631"/>
      <c r="R1099" s="715"/>
      <c r="S1099" s="910"/>
      <c r="T1099" s="632"/>
      <c r="U1099" s="633"/>
      <c r="V1099" s="634"/>
      <c r="W1099" s="635"/>
      <c r="X1099" s="636"/>
      <c r="Y1099" s="637"/>
      <c r="Z1099" s="987"/>
      <c r="AA1099" s="919"/>
      <c r="AB1099" s="908"/>
      <c r="AC1099" s="314" t="s">
        <v>5622</v>
      </c>
      <c r="AD1099" s="317"/>
      <c r="AE1099" s="669">
        <v>45064</v>
      </c>
      <c r="AF1099" s="718"/>
      <c r="AG1099" s="211"/>
      <c r="AH1099" s="210"/>
    </row>
    <row r="1100" spans="1:34" s="4" customFormat="1">
      <c r="A1100" s="2"/>
      <c r="B1100" s="310" t="s">
        <v>115</v>
      </c>
      <c r="C1100" s="311" t="s">
        <v>27</v>
      </c>
      <c r="D1100" s="687"/>
      <c r="E1100" s="688"/>
      <c r="F1100" s="312" t="s">
        <v>5623</v>
      </c>
      <c r="G1100" s="313">
        <v>45061</v>
      </c>
      <c r="H1100" s="624"/>
      <c r="I1100" s="625"/>
      <c r="J1100" s="626"/>
      <c r="K1100" s="627"/>
      <c r="L1100" s="628"/>
      <c r="M1100" s="629"/>
      <c r="N1100" s="627"/>
      <c r="O1100" s="628"/>
      <c r="P1100" s="630"/>
      <c r="Q1100" s="631"/>
      <c r="R1100" s="715"/>
      <c r="S1100" s="910"/>
      <c r="T1100" s="632"/>
      <c r="U1100" s="633"/>
      <c r="V1100" s="634"/>
      <c r="W1100" s="635"/>
      <c r="X1100" s="636"/>
      <c r="Y1100" s="637"/>
      <c r="Z1100" s="987"/>
      <c r="AA1100" s="919"/>
      <c r="AB1100" s="908"/>
      <c r="AC1100" s="314" t="s">
        <v>5624</v>
      </c>
      <c r="AD1100" s="317"/>
      <c r="AE1100" s="669">
        <v>45068</v>
      </c>
      <c r="AF1100" s="718"/>
      <c r="AG1100" s="211"/>
      <c r="AH1100" s="210"/>
    </row>
    <row r="1101" spans="1:34" s="4" customFormat="1">
      <c r="A1101" s="2"/>
      <c r="B1101" s="310" t="s">
        <v>115</v>
      </c>
      <c r="C1101" s="311" t="s">
        <v>27</v>
      </c>
      <c r="D1101" s="687"/>
      <c r="E1101" s="688"/>
      <c r="F1101" s="312" t="s">
        <v>5625</v>
      </c>
      <c r="G1101" s="313">
        <v>45061</v>
      </c>
      <c r="H1101" s="624"/>
      <c r="I1101" s="625"/>
      <c r="J1101" s="626"/>
      <c r="K1101" s="627"/>
      <c r="L1101" s="628"/>
      <c r="M1101" s="629"/>
      <c r="N1101" s="627"/>
      <c r="O1101" s="628"/>
      <c r="P1101" s="630"/>
      <c r="Q1101" s="631"/>
      <c r="R1101" s="715"/>
      <c r="S1101" s="910"/>
      <c r="T1101" s="632"/>
      <c r="U1101" s="633"/>
      <c r="V1101" s="634"/>
      <c r="W1101" s="635"/>
      <c r="X1101" s="636"/>
      <c r="Y1101" s="637"/>
      <c r="Z1101" s="987"/>
      <c r="AA1101" s="919"/>
      <c r="AB1101" s="908"/>
      <c r="AC1101" s="314" t="s">
        <v>5626</v>
      </c>
      <c r="AD1101" s="317"/>
      <c r="AE1101" s="669">
        <v>45068</v>
      </c>
      <c r="AF1101" s="718"/>
      <c r="AG1101" s="211"/>
      <c r="AH1101" s="210"/>
    </row>
    <row r="1102" spans="1:34" s="4" customFormat="1">
      <c r="A1102" s="2"/>
      <c r="B1102" s="310" t="s">
        <v>106</v>
      </c>
      <c r="C1102" s="311" t="s">
        <v>33</v>
      </c>
      <c r="D1102" s="687" t="s">
        <v>5627</v>
      </c>
      <c r="E1102" s="688"/>
      <c r="F1102" s="312" t="s">
        <v>5628</v>
      </c>
      <c r="G1102" s="313">
        <v>45062</v>
      </c>
      <c r="H1102" s="624" t="s">
        <v>5629</v>
      </c>
      <c r="I1102" s="625">
        <v>45103</v>
      </c>
      <c r="J1102" s="626">
        <v>72500</v>
      </c>
      <c r="K1102" s="627" t="s">
        <v>5630</v>
      </c>
      <c r="L1102" s="628">
        <v>45101</v>
      </c>
      <c r="M1102" s="629">
        <v>8500</v>
      </c>
      <c r="N1102" s="627" t="s">
        <v>5631</v>
      </c>
      <c r="O1102" s="628">
        <v>45119</v>
      </c>
      <c r="P1102" s="630" t="s">
        <v>5632</v>
      </c>
      <c r="Q1102" s="631">
        <v>45119</v>
      </c>
      <c r="R1102" s="715">
        <v>45133</v>
      </c>
      <c r="S1102" s="1068">
        <v>72</v>
      </c>
      <c r="T1102" s="632">
        <v>69241.56</v>
      </c>
      <c r="U1102" s="633" t="s">
        <v>5633</v>
      </c>
      <c r="V1102" s="634">
        <v>45139</v>
      </c>
      <c r="W1102" s="635" t="s">
        <v>2302</v>
      </c>
      <c r="X1102" s="636">
        <v>69241.56</v>
      </c>
      <c r="Y1102" s="636">
        <v>69241.56</v>
      </c>
      <c r="Z1102" s="987">
        <f t="shared" ref="Z1102" si="64">Y1102/X1102</f>
        <v>1</v>
      </c>
      <c r="AA1102" s="919"/>
      <c r="AB1102" s="1055">
        <v>0</v>
      </c>
      <c r="AC1102" s="912" t="s">
        <v>5634</v>
      </c>
      <c r="AD1102" s="917" t="s">
        <v>5273</v>
      </c>
      <c r="AE1102" s="669">
        <v>45069</v>
      </c>
      <c r="AF1102" s="718"/>
      <c r="AG1102" s="211"/>
      <c r="AH1102" s="210"/>
    </row>
    <row r="1103" spans="1:34" s="4" customFormat="1">
      <c r="A1103" s="2"/>
      <c r="B1103" s="310" t="s">
        <v>115</v>
      </c>
      <c r="C1103" s="311" t="s">
        <v>27</v>
      </c>
      <c r="D1103" s="687"/>
      <c r="E1103" s="688"/>
      <c r="F1103" s="312" t="s">
        <v>5635</v>
      </c>
      <c r="G1103" s="313">
        <v>45062</v>
      </c>
      <c r="H1103" s="624"/>
      <c r="I1103" s="625"/>
      <c r="J1103" s="626"/>
      <c r="K1103" s="627"/>
      <c r="L1103" s="628"/>
      <c r="M1103" s="629"/>
      <c r="N1103" s="627"/>
      <c r="O1103" s="628"/>
      <c r="P1103" s="630"/>
      <c r="Q1103" s="631"/>
      <c r="R1103" s="715"/>
      <c r="S1103" s="910"/>
      <c r="T1103" s="632"/>
      <c r="U1103" s="633"/>
      <c r="V1103" s="634"/>
      <c r="W1103" s="635"/>
      <c r="X1103" s="636"/>
      <c r="Y1103" s="637"/>
      <c r="Z1103" s="987"/>
      <c r="AA1103" s="919"/>
      <c r="AB1103" s="908"/>
      <c r="AC1103" s="314" t="s">
        <v>5636</v>
      </c>
      <c r="AD1103" s="317"/>
      <c r="AE1103" s="669">
        <v>45069</v>
      </c>
      <c r="AF1103" s="718"/>
      <c r="AG1103" s="211"/>
      <c r="AH1103" s="210"/>
    </row>
    <row r="1104" spans="1:34" s="4" customFormat="1">
      <c r="A1104" s="2"/>
      <c r="B1104" s="310" t="s">
        <v>106</v>
      </c>
      <c r="C1104" s="311" t="s">
        <v>33</v>
      </c>
      <c r="D1104" s="687" t="s">
        <v>5637</v>
      </c>
      <c r="E1104" s="688"/>
      <c r="F1104" s="312" t="s">
        <v>5638</v>
      </c>
      <c r="G1104" s="313">
        <v>45062</v>
      </c>
      <c r="H1104" s="624"/>
      <c r="I1104" s="625"/>
      <c r="J1104" s="626"/>
      <c r="K1104" s="627" t="s">
        <v>5639</v>
      </c>
      <c r="L1104" s="628">
        <v>45184</v>
      </c>
      <c r="M1104" s="629">
        <v>-15000</v>
      </c>
      <c r="N1104" s="627" t="s">
        <v>5640</v>
      </c>
      <c r="O1104" s="628">
        <v>45189</v>
      </c>
      <c r="P1104" s="630" t="s">
        <v>5641</v>
      </c>
      <c r="Q1104" s="631">
        <v>45209</v>
      </c>
      <c r="R1104" s="715">
        <v>45223</v>
      </c>
      <c r="S1104" s="1068"/>
      <c r="T1104" s="632">
        <v>-25406.959999999999</v>
      </c>
      <c r="U1104" s="633" t="s">
        <v>5642</v>
      </c>
      <c r="V1104" s="634">
        <v>45219</v>
      </c>
      <c r="W1104" s="635" t="s">
        <v>96</v>
      </c>
      <c r="X1104" s="636">
        <v>-25406.959999999999</v>
      </c>
      <c r="Y1104" s="636">
        <v>-25406.959999999999</v>
      </c>
      <c r="Z1104" s="987">
        <f t="shared" ref="Z1104" si="65">Y1104/X1104</f>
        <v>1</v>
      </c>
      <c r="AA1104" s="919"/>
      <c r="AB1104" s="1056"/>
      <c r="AC1104" s="736" t="s">
        <v>5643</v>
      </c>
      <c r="AD1104" s="317"/>
      <c r="AE1104" s="669">
        <v>45069</v>
      </c>
      <c r="AF1104" s="718"/>
      <c r="AG1104" s="211"/>
      <c r="AH1104" s="210"/>
    </row>
    <row r="1105" spans="1:34" s="4" customFormat="1">
      <c r="A1105" s="2"/>
      <c r="B1105" s="310" t="s">
        <v>115</v>
      </c>
      <c r="C1105" s="311" t="s">
        <v>27</v>
      </c>
      <c r="D1105" s="687"/>
      <c r="E1105" s="688"/>
      <c r="F1105" s="312" t="s">
        <v>5644</v>
      </c>
      <c r="G1105" s="313">
        <v>45062</v>
      </c>
      <c r="H1105" s="624"/>
      <c r="I1105" s="625"/>
      <c r="J1105" s="626"/>
      <c r="K1105" s="627"/>
      <c r="L1105" s="628"/>
      <c r="M1105" s="629"/>
      <c r="N1105" s="627"/>
      <c r="O1105" s="628"/>
      <c r="P1105" s="630"/>
      <c r="Q1105" s="631"/>
      <c r="R1105" s="715"/>
      <c r="S1105" s="910"/>
      <c r="T1105" s="632"/>
      <c r="U1105" s="633"/>
      <c r="V1105" s="634"/>
      <c r="W1105" s="635"/>
      <c r="X1105" s="636"/>
      <c r="Y1105" s="636"/>
      <c r="Z1105" s="987"/>
      <c r="AA1105" s="919"/>
      <c r="AB1105" s="908"/>
      <c r="AC1105" s="314" t="s">
        <v>5645</v>
      </c>
      <c r="AD1105" s="317"/>
      <c r="AE1105" s="669">
        <v>45069</v>
      </c>
      <c r="AF1105" s="718"/>
      <c r="AG1105" s="211"/>
      <c r="AH1105" s="210"/>
    </row>
    <row r="1106" spans="1:34" s="4" customFormat="1">
      <c r="A1106" s="2"/>
      <c r="B1106" s="310" t="s">
        <v>115</v>
      </c>
      <c r="C1106" s="311" t="s">
        <v>27</v>
      </c>
      <c r="D1106" s="687"/>
      <c r="E1106" s="688"/>
      <c r="F1106" s="312" t="s">
        <v>5646</v>
      </c>
      <c r="G1106" s="313">
        <v>45062</v>
      </c>
      <c r="H1106" s="624"/>
      <c r="I1106" s="625"/>
      <c r="J1106" s="626"/>
      <c r="K1106" s="627"/>
      <c r="L1106" s="628"/>
      <c r="M1106" s="629"/>
      <c r="N1106" s="627"/>
      <c r="O1106" s="628"/>
      <c r="P1106" s="630"/>
      <c r="Q1106" s="631"/>
      <c r="R1106" s="715"/>
      <c r="S1106" s="910"/>
      <c r="T1106" s="632"/>
      <c r="U1106" s="633"/>
      <c r="V1106" s="634"/>
      <c r="W1106" s="635"/>
      <c r="X1106" s="636"/>
      <c r="Y1106" s="636"/>
      <c r="Z1106" s="987"/>
      <c r="AA1106" s="919"/>
      <c r="AB1106" s="908"/>
      <c r="AC1106" s="314" t="s">
        <v>5647</v>
      </c>
      <c r="AD1106" s="317"/>
      <c r="AE1106" s="669">
        <v>45069</v>
      </c>
      <c r="AF1106" s="718"/>
      <c r="AG1106" s="211"/>
      <c r="AH1106" s="210"/>
    </row>
    <row r="1107" spans="1:34" s="4" customFormat="1">
      <c r="A1107" s="2"/>
      <c r="B1107" s="310" t="s">
        <v>115</v>
      </c>
      <c r="C1107" s="311" t="s">
        <v>27</v>
      </c>
      <c r="D1107" s="687"/>
      <c r="E1107" s="688"/>
      <c r="F1107" s="312" t="s">
        <v>5648</v>
      </c>
      <c r="G1107" s="313">
        <v>45063</v>
      </c>
      <c r="H1107" s="624"/>
      <c r="I1107" s="625"/>
      <c r="J1107" s="626"/>
      <c r="K1107" s="627"/>
      <c r="L1107" s="628"/>
      <c r="M1107" s="629"/>
      <c r="N1107" s="627"/>
      <c r="O1107" s="628"/>
      <c r="P1107" s="630"/>
      <c r="Q1107" s="631"/>
      <c r="R1107" s="715"/>
      <c r="S1107" s="910"/>
      <c r="T1107" s="632"/>
      <c r="U1107" s="633"/>
      <c r="V1107" s="634"/>
      <c r="W1107" s="635"/>
      <c r="X1107" s="636"/>
      <c r="Y1107" s="637"/>
      <c r="Z1107" s="987"/>
      <c r="AA1107" s="919"/>
      <c r="AB1107" s="908"/>
      <c r="AC1107" s="314" t="s">
        <v>5649</v>
      </c>
      <c r="AD1107" s="317"/>
      <c r="AE1107" s="669">
        <v>45070</v>
      </c>
      <c r="AF1107" s="718"/>
      <c r="AG1107" s="211"/>
      <c r="AH1107" s="210"/>
    </row>
    <row r="1108" spans="1:34" s="4" customFormat="1">
      <c r="A1108" s="2"/>
      <c r="B1108" s="310" t="s">
        <v>115</v>
      </c>
      <c r="C1108" s="311" t="s">
        <v>27</v>
      </c>
      <c r="D1108" s="687"/>
      <c r="E1108" s="688"/>
      <c r="F1108" s="312" t="s">
        <v>5650</v>
      </c>
      <c r="G1108" s="313">
        <v>45064</v>
      </c>
      <c r="H1108" s="624"/>
      <c r="I1108" s="625"/>
      <c r="J1108" s="626"/>
      <c r="K1108" s="627"/>
      <c r="L1108" s="628"/>
      <c r="M1108" s="629"/>
      <c r="N1108" s="627"/>
      <c r="O1108" s="628"/>
      <c r="P1108" s="630"/>
      <c r="Q1108" s="631"/>
      <c r="R1108" s="715"/>
      <c r="S1108" s="910"/>
      <c r="T1108" s="632"/>
      <c r="U1108" s="633"/>
      <c r="V1108" s="634"/>
      <c r="W1108" s="635"/>
      <c r="X1108" s="636"/>
      <c r="Y1108" s="637"/>
      <c r="Z1108" s="987"/>
      <c r="AA1108" s="919"/>
      <c r="AB1108" s="908"/>
      <c r="AC1108" s="314" t="s">
        <v>5651</v>
      </c>
      <c r="AD1108" s="317"/>
      <c r="AE1108" s="669">
        <v>45071</v>
      </c>
      <c r="AF1108" s="718"/>
      <c r="AG1108" s="211"/>
      <c r="AH1108" s="210"/>
    </row>
    <row r="1109" spans="1:34" s="4" customFormat="1">
      <c r="A1109" s="2"/>
      <c r="B1109" s="310" t="s">
        <v>115</v>
      </c>
      <c r="C1109" s="311" t="s">
        <v>27</v>
      </c>
      <c r="D1109" s="687"/>
      <c r="E1109" s="688"/>
      <c r="F1109" s="312" t="s">
        <v>5652</v>
      </c>
      <c r="G1109" s="313">
        <v>45069</v>
      </c>
      <c r="H1109" s="624"/>
      <c r="I1109" s="625"/>
      <c r="J1109" s="626"/>
      <c r="K1109" s="627"/>
      <c r="L1109" s="628"/>
      <c r="M1109" s="629"/>
      <c r="N1109" s="627"/>
      <c r="O1109" s="628"/>
      <c r="P1109" s="630"/>
      <c r="Q1109" s="631"/>
      <c r="R1109" s="715"/>
      <c r="S1109" s="910"/>
      <c r="T1109" s="632"/>
      <c r="U1109" s="633"/>
      <c r="V1109" s="634"/>
      <c r="W1109" s="635"/>
      <c r="X1109" s="636"/>
      <c r="Y1109" s="637"/>
      <c r="Z1109" s="987"/>
      <c r="AA1109" s="919"/>
      <c r="AB1109" s="908"/>
      <c r="AC1109" s="314" t="s">
        <v>5653</v>
      </c>
      <c r="AD1109" s="317"/>
      <c r="AE1109" s="669">
        <v>45076</v>
      </c>
      <c r="AF1109" s="718"/>
      <c r="AG1109" s="211"/>
      <c r="AH1109" s="210"/>
    </row>
    <row r="1110" spans="1:34" s="4" customFormat="1">
      <c r="A1110" s="2"/>
      <c r="B1110" s="310" t="s">
        <v>106</v>
      </c>
      <c r="C1110" s="311" t="s">
        <v>33</v>
      </c>
      <c r="D1110" s="687" t="s">
        <v>5654</v>
      </c>
      <c r="E1110" s="688"/>
      <c r="F1110" s="312" t="s">
        <v>5655</v>
      </c>
      <c r="G1110" s="313">
        <v>45070</v>
      </c>
      <c r="H1110" s="624"/>
      <c r="I1110" s="625"/>
      <c r="J1110" s="626"/>
      <c r="K1110" s="627"/>
      <c r="L1110" s="628"/>
      <c r="M1110" s="629"/>
      <c r="N1110" s="627" t="s">
        <v>5656</v>
      </c>
      <c r="O1110" s="628">
        <v>45072</v>
      </c>
      <c r="P1110" s="630" t="s">
        <v>5657</v>
      </c>
      <c r="Q1110" s="631"/>
      <c r="R1110" s="715"/>
      <c r="S1110" s="1068"/>
      <c r="T1110" s="632">
        <v>9464.57</v>
      </c>
      <c r="U1110" s="633" t="s">
        <v>5658</v>
      </c>
      <c r="V1110" s="634">
        <v>45084</v>
      </c>
      <c r="W1110" s="635" t="s">
        <v>93</v>
      </c>
      <c r="X1110" s="636">
        <v>9464.57</v>
      </c>
      <c r="Y1110" s="636">
        <v>9464.57</v>
      </c>
      <c r="Z1110" s="987">
        <f t="shared" ref="Z1110" si="66">Y1110/X1110</f>
        <v>1</v>
      </c>
      <c r="AA1110" s="919"/>
      <c r="AB1110" s="1055">
        <v>0</v>
      </c>
      <c r="AC1110" s="912" t="s">
        <v>5659</v>
      </c>
      <c r="AD1110" s="913"/>
      <c r="AE1110" s="669">
        <v>45072</v>
      </c>
      <c r="AF1110" s="718"/>
      <c r="AG1110" s="211"/>
      <c r="AH1110" s="210"/>
    </row>
    <row r="1111" spans="1:34" s="4" customFormat="1">
      <c r="A1111" s="2"/>
      <c r="B1111" s="310" t="s">
        <v>115</v>
      </c>
      <c r="C1111" s="311" t="s">
        <v>27</v>
      </c>
      <c r="D1111" s="687"/>
      <c r="E1111" s="688"/>
      <c r="F1111" s="312" t="s">
        <v>5660</v>
      </c>
      <c r="G1111" s="313">
        <v>45071</v>
      </c>
      <c r="H1111" s="624"/>
      <c r="I1111" s="625"/>
      <c r="J1111" s="626"/>
      <c r="K1111" s="627"/>
      <c r="L1111" s="628"/>
      <c r="M1111" s="629"/>
      <c r="N1111" s="627"/>
      <c r="O1111" s="628"/>
      <c r="P1111" s="630"/>
      <c r="Q1111" s="631"/>
      <c r="R1111" s="715"/>
      <c r="S1111" s="910"/>
      <c r="T1111" s="632"/>
      <c r="U1111" s="633"/>
      <c r="V1111" s="634"/>
      <c r="W1111" s="635"/>
      <c r="X1111" s="636"/>
      <c r="Y1111" s="637"/>
      <c r="Z1111" s="987"/>
      <c r="AA1111" s="919"/>
      <c r="AB1111" s="908"/>
      <c r="AC1111" s="314" t="s">
        <v>5661</v>
      </c>
      <c r="AD1111" s="317"/>
      <c r="AE1111" s="669">
        <v>45078</v>
      </c>
      <c r="AF1111" s="718"/>
      <c r="AG1111" s="211"/>
      <c r="AH1111" s="210"/>
    </row>
    <row r="1112" spans="1:34" s="4" customFormat="1">
      <c r="A1112" s="2"/>
      <c r="B1112" s="310" t="s">
        <v>115</v>
      </c>
      <c r="C1112" s="311" t="s">
        <v>27</v>
      </c>
      <c r="D1112" s="687"/>
      <c r="E1112" s="688"/>
      <c r="F1112" s="312" t="s">
        <v>5662</v>
      </c>
      <c r="G1112" s="313">
        <v>45071</v>
      </c>
      <c r="H1112" s="624"/>
      <c r="I1112" s="625"/>
      <c r="J1112" s="626"/>
      <c r="K1112" s="627"/>
      <c r="L1112" s="628"/>
      <c r="M1112" s="629"/>
      <c r="N1112" s="627"/>
      <c r="O1112" s="628"/>
      <c r="P1112" s="630"/>
      <c r="Q1112" s="631"/>
      <c r="R1112" s="715"/>
      <c r="S1112" s="910"/>
      <c r="T1112" s="632"/>
      <c r="U1112" s="633"/>
      <c r="V1112" s="634"/>
      <c r="W1112" s="635"/>
      <c r="X1112" s="636"/>
      <c r="Y1112" s="637"/>
      <c r="Z1112" s="987"/>
      <c r="AA1112" s="919"/>
      <c r="AB1112" s="908"/>
      <c r="AC1112" s="314" t="s">
        <v>5663</v>
      </c>
      <c r="AD1112" s="317"/>
      <c r="AE1112" s="669">
        <v>45078</v>
      </c>
      <c r="AF1112" s="718"/>
      <c r="AG1112" s="211"/>
      <c r="AH1112" s="210"/>
    </row>
    <row r="1113" spans="1:34" s="4" customFormat="1">
      <c r="A1113" s="2"/>
      <c r="B1113" s="310" t="s">
        <v>115</v>
      </c>
      <c r="C1113" s="311" t="s">
        <v>27</v>
      </c>
      <c r="D1113" s="687"/>
      <c r="E1113" s="688"/>
      <c r="F1113" s="312" t="s">
        <v>5664</v>
      </c>
      <c r="G1113" s="313">
        <v>45071</v>
      </c>
      <c r="H1113" s="624"/>
      <c r="I1113" s="625"/>
      <c r="J1113" s="626"/>
      <c r="K1113" s="627"/>
      <c r="L1113" s="628"/>
      <c r="M1113" s="629"/>
      <c r="N1113" s="627"/>
      <c r="O1113" s="628"/>
      <c r="P1113" s="630"/>
      <c r="Q1113" s="631"/>
      <c r="R1113" s="715"/>
      <c r="S1113" s="910"/>
      <c r="T1113" s="632"/>
      <c r="U1113" s="633"/>
      <c r="V1113" s="634"/>
      <c r="W1113" s="635"/>
      <c r="X1113" s="636"/>
      <c r="Y1113" s="637"/>
      <c r="Z1113" s="987"/>
      <c r="AA1113" s="919"/>
      <c r="AB1113" s="908"/>
      <c r="AC1113" s="314" t="s">
        <v>5665</v>
      </c>
      <c r="AD1113" s="317"/>
      <c r="AE1113" s="669">
        <v>45078</v>
      </c>
      <c r="AF1113" s="718"/>
      <c r="AG1113" s="211"/>
      <c r="AH1113" s="210"/>
    </row>
    <row r="1114" spans="1:34" s="4" customFormat="1">
      <c r="A1114" s="2"/>
      <c r="B1114" s="310" t="s">
        <v>115</v>
      </c>
      <c r="C1114" s="311" t="s">
        <v>27</v>
      </c>
      <c r="D1114" s="687"/>
      <c r="E1114" s="688"/>
      <c r="F1114" s="312" t="s">
        <v>5666</v>
      </c>
      <c r="G1114" s="313">
        <v>45071</v>
      </c>
      <c r="H1114" s="624"/>
      <c r="I1114" s="625"/>
      <c r="J1114" s="626"/>
      <c r="K1114" s="627"/>
      <c r="L1114" s="628"/>
      <c r="M1114" s="629"/>
      <c r="N1114" s="627"/>
      <c r="O1114" s="628"/>
      <c r="P1114" s="630"/>
      <c r="Q1114" s="631"/>
      <c r="R1114" s="715"/>
      <c r="S1114" s="910"/>
      <c r="T1114" s="632"/>
      <c r="U1114" s="633"/>
      <c r="V1114" s="634"/>
      <c r="W1114" s="635"/>
      <c r="X1114" s="636"/>
      <c r="Y1114" s="637"/>
      <c r="Z1114" s="987"/>
      <c r="AA1114" s="919"/>
      <c r="AB1114" s="908"/>
      <c r="AC1114" s="314" t="s">
        <v>5667</v>
      </c>
      <c r="AD1114" s="317"/>
      <c r="AE1114" s="669">
        <v>45078</v>
      </c>
      <c r="AF1114" s="718"/>
      <c r="AG1114" s="211"/>
      <c r="AH1114" s="210"/>
    </row>
    <row r="1115" spans="1:34" s="4" customFormat="1">
      <c r="A1115" s="2"/>
      <c r="B1115" s="310" t="s">
        <v>106</v>
      </c>
      <c r="C1115" s="311" t="s">
        <v>33</v>
      </c>
      <c r="D1115" s="687" t="s">
        <v>5668</v>
      </c>
      <c r="E1115" s="688"/>
      <c r="F1115" s="312" t="s">
        <v>5669</v>
      </c>
      <c r="G1115" s="313">
        <v>45072</v>
      </c>
      <c r="H1115" s="624"/>
      <c r="I1115" s="625"/>
      <c r="J1115" s="626"/>
      <c r="K1115" s="627" t="s">
        <v>5670</v>
      </c>
      <c r="L1115" s="628">
        <v>45086</v>
      </c>
      <c r="M1115" s="629">
        <v>-10000</v>
      </c>
      <c r="N1115" s="627" t="s">
        <v>5671</v>
      </c>
      <c r="O1115" s="628"/>
      <c r="P1115" s="630" t="s">
        <v>5672</v>
      </c>
      <c r="Q1115" s="631">
        <v>45114</v>
      </c>
      <c r="R1115" s="715">
        <v>45128</v>
      </c>
      <c r="S1115" s="1068"/>
      <c r="T1115" s="632">
        <v>-8255.27</v>
      </c>
      <c r="U1115" s="633" t="s">
        <v>5673</v>
      </c>
      <c r="V1115" s="634">
        <v>45120</v>
      </c>
      <c r="W1115" s="635" t="s">
        <v>101</v>
      </c>
      <c r="X1115" s="636">
        <v>-8255.27</v>
      </c>
      <c r="Y1115" s="636">
        <v>-8255.27</v>
      </c>
      <c r="Z1115" s="987">
        <f t="shared" ref="Z1115" si="67">Y1115/X1115</f>
        <v>1</v>
      </c>
      <c r="AA1115" s="919"/>
      <c r="AB1115" s="1055">
        <v>0</v>
      </c>
      <c r="AC1115" s="912" t="s">
        <v>5674</v>
      </c>
      <c r="AD1115" s="913"/>
      <c r="AE1115" s="669">
        <v>45079</v>
      </c>
      <c r="AF1115" s="718"/>
      <c r="AG1115" s="211"/>
      <c r="AH1115" s="210"/>
    </row>
    <row r="1116" spans="1:34" s="4" customFormat="1">
      <c r="A1116" s="2"/>
      <c r="B1116" s="310" t="s">
        <v>119</v>
      </c>
      <c r="C1116" s="311" t="s">
        <v>27</v>
      </c>
      <c r="D1116" s="687" t="s">
        <v>5675</v>
      </c>
      <c r="E1116" s="688"/>
      <c r="F1116" s="312" t="s">
        <v>5676</v>
      </c>
      <c r="G1116" s="313">
        <v>44867</v>
      </c>
      <c r="H1116" s="624"/>
      <c r="I1116" s="625"/>
      <c r="J1116" s="626"/>
      <c r="K1116" s="627"/>
      <c r="L1116" s="628"/>
      <c r="M1116" s="629"/>
      <c r="N1116" s="627"/>
      <c r="O1116" s="628"/>
      <c r="P1116" s="630"/>
      <c r="Q1116" s="631"/>
      <c r="R1116" s="715"/>
      <c r="S1116" s="910"/>
      <c r="T1116" s="632"/>
      <c r="U1116" s="633"/>
      <c r="V1116" s="634"/>
      <c r="W1116" s="635"/>
      <c r="X1116" s="636"/>
      <c r="Y1116" s="637"/>
      <c r="Z1116" s="987"/>
      <c r="AA1116" s="919"/>
      <c r="AB1116" s="908"/>
      <c r="AC1116" s="314"/>
      <c r="AD1116" s="317"/>
      <c r="AE1116" s="669"/>
      <c r="AF1116" s="718"/>
      <c r="AG1116" s="211"/>
      <c r="AH1116" s="210"/>
    </row>
    <row r="1117" spans="1:34" s="4" customFormat="1">
      <c r="A1117" s="2"/>
      <c r="B1117" s="310" t="s">
        <v>119</v>
      </c>
      <c r="C1117" s="311" t="s">
        <v>27</v>
      </c>
      <c r="D1117" s="687" t="s">
        <v>5677</v>
      </c>
      <c r="E1117" s="688"/>
      <c r="F1117" s="312" t="s">
        <v>5678</v>
      </c>
      <c r="G1117" s="313">
        <v>44896</v>
      </c>
      <c r="H1117" s="624"/>
      <c r="I1117" s="625"/>
      <c r="J1117" s="626"/>
      <c r="K1117" s="627"/>
      <c r="L1117" s="628"/>
      <c r="M1117" s="629"/>
      <c r="N1117" s="627"/>
      <c r="O1117" s="628"/>
      <c r="P1117" s="630"/>
      <c r="Q1117" s="631"/>
      <c r="R1117" s="715"/>
      <c r="S1117" s="910"/>
      <c r="T1117" s="632"/>
      <c r="U1117" s="633"/>
      <c r="V1117" s="634"/>
      <c r="W1117" s="635"/>
      <c r="X1117" s="636"/>
      <c r="Y1117" s="637"/>
      <c r="Z1117" s="987"/>
      <c r="AA1117" s="919"/>
      <c r="AB1117" s="908"/>
      <c r="AC1117" s="314"/>
      <c r="AD1117" s="317"/>
      <c r="AE1117" s="669"/>
      <c r="AF1117" s="718"/>
      <c r="AG1117" s="211"/>
      <c r="AH1117" s="210"/>
    </row>
    <row r="1118" spans="1:34" s="4" customFormat="1">
      <c r="A1118" s="2"/>
      <c r="B1118" s="310" t="s">
        <v>119</v>
      </c>
      <c r="C1118" s="311" t="s">
        <v>27</v>
      </c>
      <c r="D1118" s="687" t="s">
        <v>5679</v>
      </c>
      <c r="E1118" s="688"/>
      <c r="F1118" s="312" t="s">
        <v>5680</v>
      </c>
      <c r="G1118" s="313">
        <v>44901</v>
      </c>
      <c r="H1118" s="624"/>
      <c r="I1118" s="625"/>
      <c r="J1118" s="626"/>
      <c r="K1118" s="627"/>
      <c r="L1118" s="628"/>
      <c r="M1118" s="629"/>
      <c r="N1118" s="627"/>
      <c r="O1118" s="628"/>
      <c r="P1118" s="630"/>
      <c r="Q1118" s="631"/>
      <c r="R1118" s="715"/>
      <c r="S1118" s="910"/>
      <c r="T1118" s="632"/>
      <c r="U1118" s="633"/>
      <c r="V1118" s="634"/>
      <c r="W1118" s="635"/>
      <c r="X1118" s="636"/>
      <c r="Y1118" s="637"/>
      <c r="Z1118" s="987"/>
      <c r="AA1118" s="919"/>
      <c r="AB1118" s="908"/>
      <c r="AC1118" s="314"/>
      <c r="AD1118" s="317"/>
      <c r="AE1118" s="669"/>
      <c r="AF1118" s="718"/>
      <c r="AG1118" s="211"/>
      <c r="AH1118" s="210"/>
    </row>
    <row r="1119" spans="1:34" s="4" customFormat="1">
      <c r="A1119" s="2"/>
      <c r="B1119" s="310" t="s">
        <v>119</v>
      </c>
      <c r="C1119" s="311" t="s">
        <v>27</v>
      </c>
      <c r="D1119" s="687" t="s">
        <v>5681</v>
      </c>
      <c r="E1119" s="688"/>
      <c r="F1119" s="312" t="s">
        <v>5682</v>
      </c>
      <c r="G1119" s="313">
        <v>44972</v>
      </c>
      <c r="H1119" s="624"/>
      <c r="I1119" s="625"/>
      <c r="J1119" s="626"/>
      <c r="K1119" s="627"/>
      <c r="L1119" s="628"/>
      <c r="M1119" s="629"/>
      <c r="N1119" s="627"/>
      <c r="O1119" s="628"/>
      <c r="P1119" s="630"/>
      <c r="Q1119" s="631"/>
      <c r="R1119" s="715"/>
      <c r="S1119" s="910"/>
      <c r="T1119" s="632"/>
      <c r="U1119" s="633"/>
      <c r="V1119" s="634"/>
      <c r="W1119" s="635"/>
      <c r="X1119" s="636"/>
      <c r="Y1119" s="637"/>
      <c r="Z1119" s="987"/>
      <c r="AA1119" s="919"/>
      <c r="AB1119" s="908"/>
      <c r="AC1119" s="314"/>
      <c r="AD1119" s="317"/>
      <c r="AE1119" s="669"/>
      <c r="AF1119" s="718"/>
      <c r="AG1119" s="211"/>
      <c r="AH1119" s="210"/>
    </row>
    <row r="1120" spans="1:34" s="4" customFormat="1" ht="16.149999999999999" customHeight="1">
      <c r="A1120" s="2"/>
      <c r="B1120" s="310" t="s">
        <v>119</v>
      </c>
      <c r="C1120" s="311" t="s">
        <v>27</v>
      </c>
      <c r="D1120" s="687" t="s">
        <v>5681</v>
      </c>
      <c r="E1120" s="688"/>
      <c r="F1120" s="312" t="s">
        <v>5683</v>
      </c>
      <c r="G1120" s="313">
        <v>45156</v>
      </c>
      <c r="H1120" s="624"/>
      <c r="I1120" s="625"/>
      <c r="J1120" s="626"/>
      <c r="K1120" s="627"/>
      <c r="L1120" s="628"/>
      <c r="M1120" s="629"/>
      <c r="N1120" s="627"/>
      <c r="O1120" s="628"/>
      <c r="P1120" s="630"/>
      <c r="Q1120" s="631"/>
      <c r="R1120" s="715"/>
      <c r="S1120" s="910"/>
      <c r="T1120" s="632"/>
      <c r="U1120" s="633"/>
      <c r="V1120" s="634"/>
      <c r="W1120" s="635"/>
      <c r="X1120" s="636"/>
      <c r="Y1120" s="637"/>
      <c r="Z1120" s="733"/>
      <c r="AA1120" s="919"/>
      <c r="AB1120" s="908"/>
      <c r="AC1120" s="911"/>
      <c r="AD1120" s="913"/>
      <c r="AE1120" s="669"/>
      <c r="AF1120" s="718"/>
      <c r="AG1120" s="211"/>
      <c r="AH1120" s="210"/>
    </row>
    <row r="1121" spans="1:34" s="4" customFormat="1">
      <c r="A1121" s="2"/>
      <c r="B1121" s="310" t="s">
        <v>119</v>
      </c>
      <c r="C1121" s="311" t="s">
        <v>27</v>
      </c>
      <c r="D1121" s="687" t="s">
        <v>5684</v>
      </c>
      <c r="E1121" s="688"/>
      <c r="F1121" s="312" t="s">
        <v>5685</v>
      </c>
      <c r="G1121" s="313">
        <v>45002</v>
      </c>
      <c r="H1121" s="624"/>
      <c r="I1121" s="625"/>
      <c r="J1121" s="626"/>
      <c r="K1121" s="627"/>
      <c r="L1121" s="628"/>
      <c r="M1121" s="629"/>
      <c r="N1121" s="627"/>
      <c r="O1121" s="628"/>
      <c r="P1121" s="630"/>
      <c r="Q1121" s="631"/>
      <c r="R1121" s="715"/>
      <c r="S1121" s="910"/>
      <c r="T1121" s="632"/>
      <c r="U1121" s="633"/>
      <c r="V1121" s="634"/>
      <c r="W1121" s="635"/>
      <c r="X1121" s="636"/>
      <c r="Y1121" s="637"/>
      <c r="Z1121" s="987"/>
      <c r="AA1121" s="919"/>
      <c r="AB1121" s="908"/>
      <c r="AC1121" s="314"/>
      <c r="AD1121" s="317"/>
      <c r="AE1121" s="669"/>
      <c r="AF1121" s="718"/>
      <c r="AG1121" s="211"/>
      <c r="AH1121" s="210"/>
    </row>
    <row r="1122" spans="1:34" s="4" customFormat="1">
      <c r="A1122" s="2"/>
      <c r="B1122" s="310" t="s">
        <v>119</v>
      </c>
      <c r="C1122" s="311" t="s">
        <v>27</v>
      </c>
      <c r="D1122" s="687" t="s">
        <v>5686</v>
      </c>
      <c r="E1122" s="688"/>
      <c r="F1122" s="312" t="s">
        <v>5687</v>
      </c>
      <c r="G1122" s="313">
        <v>45016</v>
      </c>
      <c r="H1122" s="624"/>
      <c r="I1122" s="625"/>
      <c r="J1122" s="626"/>
      <c r="K1122" s="627"/>
      <c r="L1122" s="628"/>
      <c r="M1122" s="629"/>
      <c r="N1122" s="627"/>
      <c r="O1122" s="628"/>
      <c r="P1122" s="630"/>
      <c r="Q1122" s="631"/>
      <c r="R1122" s="715"/>
      <c r="S1122" s="910"/>
      <c r="T1122" s="632"/>
      <c r="U1122" s="633"/>
      <c r="V1122" s="634"/>
      <c r="W1122" s="635"/>
      <c r="X1122" s="636"/>
      <c r="Y1122" s="637"/>
      <c r="Z1122" s="987"/>
      <c r="AA1122" s="919"/>
      <c r="AB1122" s="908"/>
      <c r="AC1122" s="314"/>
      <c r="AD1122" s="317"/>
      <c r="AE1122" s="669"/>
      <c r="AF1122" s="718"/>
      <c r="AG1122" s="211"/>
      <c r="AH1122" s="210"/>
    </row>
    <row r="1123" spans="1:34" s="4" customFormat="1">
      <c r="A1123" s="2"/>
      <c r="B1123" s="310" t="s">
        <v>119</v>
      </c>
      <c r="C1123" s="311" t="s">
        <v>27</v>
      </c>
      <c r="D1123" s="687" t="s">
        <v>5688</v>
      </c>
      <c r="E1123" s="688"/>
      <c r="F1123" s="312" t="s">
        <v>5689</v>
      </c>
      <c r="G1123" s="313">
        <v>45020</v>
      </c>
      <c r="H1123" s="624"/>
      <c r="I1123" s="625"/>
      <c r="J1123" s="626"/>
      <c r="K1123" s="627"/>
      <c r="L1123" s="628"/>
      <c r="M1123" s="629"/>
      <c r="N1123" s="627"/>
      <c r="O1123" s="628"/>
      <c r="P1123" s="630"/>
      <c r="Q1123" s="631"/>
      <c r="R1123" s="715"/>
      <c r="S1123" s="910"/>
      <c r="T1123" s="632"/>
      <c r="U1123" s="633"/>
      <c r="V1123" s="634"/>
      <c r="W1123" s="635"/>
      <c r="X1123" s="636"/>
      <c r="Y1123" s="637"/>
      <c r="Z1123" s="987"/>
      <c r="AA1123" s="919"/>
      <c r="AB1123" s="908"/>
      <c r="AC1123" s="314"/>
      <c r="AD1123" s="317"/>
      <c r="AE1123" s="669"/>
      <c r="AF1123" s="718"/>
      <c r="AG1123" s="211"/>
      <c r="AH1123" s="210"/>
    </row>
    <row r="1124" spans="1:34" s="4" customFormat="1">
      <c r="A1124" s="2"/>
      <c r="B1124" s="310" t="s">
        <v>119</v>
      </c>
      <c r="C1124" s="311" t="s">
        <v>27</v>
      </c>
      <c r="D1124" s="687" t="s">
        <v>5690</v>
      </c>
      <c r="E1124" s="688"/>
      <c r="F1124" s="312" t="s">
        <v>5691</v>
      </c>
      <c r="G1124" s="313">
        <v>45029</v>
      </c>
      <c r="H1124" s="624"/>
      <c r="I1124" s="625"/>
      <c r="J1124" s="626"/>
      <c r="K1124" s="627"/>
      <c r="L1124" s="628"/>
      <c r="M1124" s="629"/>
      <c r="N1124" s="627"/>
      <c r="O1124" s="628"/>
      <c r="P1124" s="630"/>
      <c r="Q1124" s="631"/>
      <c r="R1124" s="715"/>
      <c r="S1124" s="910"/>
      <c r="T1124" s="632"/>
      <c r="U1124" s="633"/>
      <c r="V1124" s="634"/>
      <c r="W1124" s="635"/>
      <c r="X1124" s="636"/>
      <c r="Y1124" s="637"/>
      <c r="Z1124" s="987"/>
      <c r="AA1124" s="919"/>
      <c r="AB1124" s="908"/>
      <c r="AC1124" s="314"/>
      <c r="AD1124" s="317"/>
      <c r="AE1124" s="669"/>
      <c r="AF1124" s="718"/>
      <c r="AG1124" s="211"/>
      <c r="AH1124" s="210"/>
    </row>
    <row r="1125" spans="1:34" s="4" customFormat="1">
      <c r="A1125" s="2"/>
      <c r="B1125" s="310" t="s">
        <v>119</v>
      </c>
      <c r="C1125" s="311" t="s">
        <v>27</v>
      </c>
      <c r="D1125" s="687" t="s">
        <v>5692</v>
      </c>
      <c r="E1125" s="688"/>
      <c r="F1125" s="312" t="s">
        <v>5693</v>
      </c>
      <c r="G1125" s="313">
        <v>45037</v>
      </c>
      <c r="H1125" s="624"/>
      <c r="I1125" s="625"/>
      <c r="J1125" s="626"/>
      <c r="K1125" s="627"/>
      <c r="L1125" s="628"/>
      <c r="M1125" s="629"/>
      <c r="N1125" s="627"/>
      <c r="O1125" s="628"/>
      <c r="P1125" s="630"/>
      <c r="Q1125" s="631"/>
      <c r="R1125" s="715"/>
      <c r="S1125" s="910"/>
      <c r="T1125" s="632"/>
      <c r="U1125" s="633"/>
      <c r="V1125" s="634"/>
      <c r="W1125" s="635"/>
      <c r="X1125" s="636"/>
      <c r="Y1125" s="637"/>
      <c r="Z1125" s="987"/>
      <c r="AA1125" s="919"/>
      <c r="AB1125" s="908"/>
      <c r="AC1125" s="314"/>
      <c r="AD1125" s="317"/>
      <c r="AE1125" s="669"/>
      <c r="AF1125" s="718"/>
      <c r="AG1125" s="211"/>
      <c r="AH1125" s="210"/>
    </row>
    <row r="1126" spans="1:34" s="4" customFormat="1">
      <c r="A1126" s="2"/>
      <c r="B1126" s="310" t="s">
        <v>119</v>
      </c>
      <c r="C1126" s="311" t="s">
        <v>27</v>
      </c>
      <c r="D1126" s="687" t="s">
        <v>5694</v>
      </c>
      <c r="E1126" s="688"/>
      <c r="F1126" s="312" t="s">
        <v>5695</v>
      </c>
      <c r="G1126" s="313">
        <v>45063</v>
      </c>
      <c r="H1126" s="624"/>
      <c r="I1126" s="625"/>
      <c r="J1126" s="626"/>
      <c r="K1126" s="627"/>
      <c r="L1126" s="628"/>
      <c r="M1126" s="629"/>
      <c r="N1126" s="627"/>
      <c r="O1126" s="628"/>
      <c r="P1126" s="630"/>
      <c r="Q1126" s="631"/>
      <c r="R1126" s="715"/>
      <c r="S1126" s="910"/>
      <c r="T1126" s="632"/>
      <c r="U1126" s="633"/>
      <c r="V1126" s="634"/>
      <c r="W1126" s="635"/>
      <c r="X1126" s="636"/>
      <c r="Y1126" s="637"/>
      <c r="Z1126" s="987"/>
      <c r="AA1126" s="919"/>
      <c r="AB1126" s="908"/>
      <c r="AC1126" s="314"/>
      <c r="AD1126" s="317"/>
      <c r="AE1126" s="669"/>
      <c r="AF1126" s="718"/>
      <c r="AG1126" s="211"/>
      <c r="AH1126" s="210"/>
    </row>
    <row r="1127" spans="1:34" s="4" customFormat="1">
      <c r="A1127" s="2"/>
      <c r="B1127" s="310" t="s">
        <v>119</v>
      </c>
      <c r="C1127" s="311" t="s">
        <v>27</v>
      </c>
      <c r="D1127" s="687" t="s">
        <v>5696</v>
      </c>
      <c r="E1127" s="688"/>
      <c r="F1127" s="312" t="s">
        <v>5697</v>
      </c>
      <c r="G1127" s="313">
        <v>45050</v>
      </c>
      <c r="H1127" s="624"/>
      <c r="I1127" s="625"/>
      <c r="J1127" s="626"/>
      <c r="K1127" s="627"/>
      <c r="L1127" s="628"/>
      <c r="M1127" s="629"/>
      <c r="N1127" s="627"/>
      <c r="O1127" s="628"/>
      <c r="P1127" s="630"/>
      <c r="Q1127" s="631"/>
      <c r="R1127" s="715"/>
      <c r="S1127" s="910"/>
      <c r="T1127" s="632"/>
      <c r="U1127" s="633"/>
      <c r="V1127" s="634"/>
      <c r="W1127" s="635"/>
      <c r="X1127" s="636"/>
      <c r="Y1127" s="637"/>
      <c r="Z1127" s="987"/>
      <c r="AA1127" s="919"/>
      <c r="AB1127" s="908"/>
      <c r="AC1127" s="314"/>
      <c r="AD1127" s="317"/>
      <c r="AE1127" s="669"/>
      <c r="AF1127" s="718"/>
      <c r="AG1127" s="211"/>
      <c r="AH1127" s="210"/>
    </row>
    <row r="1128" spans="1:34" s="4" customFormat="1">
      <c r="A1128" s="2"/>
      <c r="B1128" s="310" t="s">
        <v>119</v>
      </c>
      <c r="C1128" s="311" t="s">
        <v>27</v>
      </c>
      <c r="D1128" s="687" t="s">
        <v>5698</v>
      </c>
      <c r="E1128" s="688"/>
      <c r="F1128" s="312" t="s">
        <v>5699</v>
      </c>
      <c r="G1128" s="313">
        <v>45057</v>
      </c>
      <c r="H1128" s="624"/>
      <c r="I1128" s="625"/>
      <c r="J1128" s="626"/>
      <c r="K1128" s="627"/>
      <c r="L1128" s="628"/>
      <c r="M1128" s="629"/>
      <c r="N1128" s="627"/>
      <c r="O1128" s="628"/>
      <c r="P1128" s="630"/>
      <c r="Q1128" s="631"/>
      <c r="R1128" s="715"/>
      <c r="S1128" s="910"/>
      <c r="T1128" s="632"/>
      <c r="U1128" s="633"/>
      <c r="V1128" s="634"/>
      <c r="W1128" s="635"/>
      <c r="X1128" s="636"/>
      <c r="Y1128" s="637"/>
      <c r="Z1128" s="987"/>
      <c r="AA1128" s="919"/>
      <c r="AB1128" s="908"/>
      <c r="AC1128" s="314"/>
      <c r="AD1128" s="317"/>
      <c r="AE1128" s="669"/>
      <c r="AF1128" s="718"/>
      <c r="AG1128" s="211"/>
      <c r="AH1128" s="210"/>
    </row>
    <row r="1129" spans="1:34" s="4" customFormat="1">
      <c r="A1129" s="2"/>
      <c r="B1129" s="310" t="s">
        <v>119</v>
      </c>
      <c r="C1129" s="311" t="s">
        <v>27</v>
      </c>
      <c r="D1129" s="687" t="s">
        <v>5700</v>
      </c>
      <c r="E1129" s="688"/>
      <c r="F1129" s="312" t="s">
        <v>5701</v>
      </c>
      <c r="G1129" s="313">
        <v>45063</v>
      </c>
      <c r="H1129" s="624"/>
      <c r="I1129" s="625"/>
      <c r="J1129" s="626"/>
      <c r="K1129" s="627"/>
      <c r="L1129" s="628"/>
      <c r="M1129" s="629"/>
      <c r="N1129" s="627"/>
      <c r="O1129" s="628"/>
      <c r="P1129" s="630"/>
      <c r="Q1129" s="631"/>
      <c r="R1129" s="715"/>
      <c r="S1129" s="910"/>
      <c r="T1129" s="632"/>
      <c r="U1129" s="633"/>
      <c r="V1129" s="634"/>
      <c r="W1129" s="635"/>
      <c r="X1129" s="636"/>
      <c r="Y1129" s="637"/>
      <c r="Z1129" s="987"/>
      <c r="AA1129" s="919"/>
      <c r="AB1129" s="908"/>
      <c r="AC1129" s="314"/>
      <c r="AD1129" s="317"/>
      <c r="AE1129" s="669"/>
      <c r="AF1129" s="718"/>
      <c r="AG1129" s="211"/>
      <c r="AH1129" s="210"/>
    </row>
    <row r="1130" spans="1:34" s="4" customFormat="1">
      <c r="A1130" s="2"/>
      <c r="B1130" s="310" t="s">
        <v>119</v>
      </c>
      <c r="C1130" s="311" t="s">
        <v>27</v>
      </c>
      <c r="D1130" s="687" t="s">
        <v>5702</v>
      </c>
      <c r="E1130" s="688"/>
      <c r="F1130" s="312" t="s">
        <v>5703</v>
      </c>
      <c r="G1130" s="313">
        <v>45072</v>
      </c>
      <c r="H1130" s="624"/>
      <c r="I1130" s="625"/>
      <c r="J1130" s="626"/>
      <c r="K1130" s="627"/>
      <c r="L1130" s="628"/>
      <c r="M1130" s="629"/>
      <c r="N1130" s="627"/>
      <c r="O1130" s="628"/>
      <c r="P1130" s="630"/>
      <c r="Q1130" s="631"/>
      <c r="R1130" s="715"/>
      <c r="S1130" s="910"/>
      <c r="T1130" s="632"/>
      <c r="U1130" s="633"/>
      <c r="V1130" s="634"/>
      <c r="W1130" s="635"/>
      <c r="X1130" s="636"/>
      <c r="Y1130" s="637"/>
      <c r="Z1130" s="987"/>
      <c r="AA1130" s="919"/>
      <c r="AB1130" s="908"/>
      <c r="AC1130" s="314"/>
      <c r="AD1130" s="317"/>
      <c r="AE1130" s="669"/>
      <c r="AF1130" s="718"/>
      <c r="AG1130" s="211"/>
      <c r="AH1130" s="210"/>
    </row>
    <row r="1131" spans="1:34" s="4" customFormat="1">
      <c r="A1131" s="2"/>
      <c r="B1131" s="310" t="s">
        <v>110</v>
      </c>
      <c r="C1131" s="311" t="s">
        <v>27</v>
      </c>
      <c r="D1131" s="4" t="s">
        <v>5704</v>
      </c>
      <c r="E1131" s="688"/>
      <c r="F1131" s="312"/>
      <c r="G1131" s="313"/>
      <c r="H1131" s="624"/>
      <c r="I1131" s="625"/>
      <c r="J1131" s="626"/>
      <c r="K1131" s="627" t="s">
        <v>5705</v>
      </c>
      <c r="L1131" s="628">
        <v>45074</v>
      </c>
      <c r="M1131" s="629"/>
      <c r="N1131" s="627" t="s">
        <v>5656</v>
      </c>
      <c r="O1131" s="628"/>
      <c r="P1131" s="630" t="s">
        <v>5706</v>
      </c>
      <c r="Q1131" s="631"/>
      <c r="R1131" s="715"/>
      <c r="S1131" s="910"/>
      <c r="T1131" s="632"/>
      <c r="U1131" s="633"/>
      <c r="V1131" s="634"/>
      <c r="W1131" s="635" t="s">
        <v>96</v>
      </c>
      <c r="X1131" s="636"/>
      <c r="Y1131" s="637"/>
      <c r="Z1131" s="987"/>
      <c r="AA1131" s="919"/>
      <c r="AB1131" s="908"/>
      <c r="AC1131" s="314"/>
      <c r="AD1131" s="317"/>
      <c r="AE1131" s="669"/>
      <c r="AF1131" s="718"/>
      <c r="AG1131" s="211"/>
      <c r="AH1131" s="210"/>
    </row>
    <row r="1132" spans="1:34" s="4" customFormat="1">
      <c r="A1132" s="2"/>
      <c r="B1132" s="310" t="s">
        <v>106</v>
      </c>
      <c r="C1132" s="311" t="s">
        <v>33</v>
      </c>
      <c r="D1132" s="687" t="s">
        <v>5707</v>
      </c>
      <c r="E1132" s="688"/>
      <c r="F1132" s="312"/>
      <c r="G1132" s="313"/>
      <c r="H1132" s="624"/>
      <c r="I1132" s="625"/>
      <c r="J1132" s="626"/>
      <c r="K1132" s="627" t="s">
        <v>5708</v>
      </c>
      <c r="L1132" s="628">
        <v>45061</v>
      </c>
      <c r="M1132" s="629"/>
      <c r="N1132" s="627" t="s">
        <v>5709</v>
      </c>
      <c r="O1132" s="628"/>
      <c r="P1132" s="630" t="s">
        <v>5710</v>
      </c>
      <c r="Q1132" s="631"/>
      <c r="R1132" s="715"/>
      <c r="S1132" s="1068"/>
      <c r="T1132" s="632">
        <v>8545.36</v>
      </c>
      <c r="U1132" s="633" t="s">
        <v>5711</v>
      </c>
      <c r="V1132" s="634">
        <v>45085</v>
      </c>
      <c r="W1132" s="635" t="s">
        <v>2302</v>
      </c>
      <c r="X1132" s="636">
        <v>8545.36</v>
      </c>
      <c r="Y1132" s="636">
        <v>8545.36</v>
      </c>
      <c r="Z1132" s="987">
        <f t="shared" ref="Z1132:Z1133" si="68">Y1132/X1132</f>
        <v>1</v>
      </c>
      <c r="AA1132" s="919"/>
      <c r="AB1132" s="1055">
        <v>0</v>
      </c>
      <c r="AC1132" s="912"/>
      <c r="AD1132" s="913"/>
      <c r="AE1132" s="669"/>
      <c r="AF1132" s="718"/>
      <c r="AG1132" s="211"/>
      <c r="AH1132" s="210"/>
    </row>
    <row r="1133" spans="1:34" s="4" customFormat="1">
      <c r="A1133" s="2"/>
      <c r="B1133" s="310" t="s">
        <v>106</v>
      </c>
      <c r="C1133" s="311" t="s">
        <v>33</v>
      </c>
      <c r="D1133" s="687" t="s">
        <v>5688</v>
      </c>
      <c r="E1133" s="688"/>
      <c r="F1133" s="312"/>
      <c r="G1133" s="313"/>
      <c r="H1133" s="624"/>
      <c r="I1133" s="625"/>
      <c r="J1133" s="626"/>
      <c r="K1133" s="627" t="s">
        <v>5712</v>
      </c>
      <c r="L1133" s="628">
        <v>45043</v>
      </c>
      <c r="M1133" s="629">
        <v>2000</v>
      </c>
      <c r="N1133" s="627" t="s">
        <v>5713</v>
      </c>
      <c r="O1133" s="628"/>
      <c r="P1133" s="630" t="s">
        <v>5714</v>
      </c>
      <c r="Q1133" s="631">
        <v>45097</v>
      </c>
      <c r="R1133" s="715">
        <v>45128</v>
      </c>
      <c r="S1133" s="1068">
        <v>58</v>
      </c>
      <c r="T1133" s="632">
        <v>12653.8</v>
      </c>
      <c r="U1133" s="633" t="s">
        <v>5715</v>
      </c>
      <c r="V1133" s="634">
        <v>45120</v>
      </c>
      <c r="W1133" s="635" t="s">
        <v>2302</v>
      </c>
      <c r="X1133" s="636">
        <v>12653.8</v>
      </c>
      <c r="Y1133" s="636">
        <v>12653.8</v>
      </c>
      <c r="Z1133" s="987">
        <f t="shared" si="68"/>
        <v>1</v>
      </c>
      <c r="AA1133" s="919"/>
      <c r="AB1133" s="1055">
        <v>0</v>
      </c>
      <c r="AC1133" s="912"/>
      <c r="AD1133" s="917" t="s">
        <v>5716</v>
      </c>
      <c r="AE1133" s="669"/>
      <c r="AF1133" s="718"/>
      <c r="AG1133" s="211"/>
      <c r="AH1133" s="210"/>
    </row>
    <row r="1134" spans="1:34" s="4" customFormat="1">
      <c r="A1134" s="2"/>
      <c r="B1134" s="310" t="s">
        <v>110</v>
      </c>
      <c r="C1134" s="311" t="s">
        <v>33</v>
      </c>
      <c r="D1134" s="687" t="s">
        <v>5527</v>
      </c>
      <c r="E1134" s="688"/>
      <c r="F1134" s="312"/>
      <c r="G1134" s="313"/>
      <c r="H1134" s="624"/>
      <c r="I1134" s="625"/>
      <c r="J1134" s="626"/>
      <c r="K1134" s="627" t="s">
        <v>5717</v>
      </c>
      <c r="L1134" s="628">
        <v>45042</v>
      </c>
      <c r="M1134" s="629"/>
      <c r="N1134" s="627" t="s">
        <v>5718</v>
      </c>
      <c r="O1134" s="628">
        <v>45043</v>
      </c>
      <c r="P1134" s="630"/>
      <c r="Q1134" s="631"/>
      <c r="R1134" s="715"/>
      <c r="S1134" s="910"/>
      <c r="T1134" s="632"/>
      <c r="U1134" s="633"/>
      <c r="V1134" s="634"/>
      <c r="W1134" s="635" t="s">
        <v>96</v>
      </c>
      <c r="X1134" s="636"/>
      <c r="Y1134" s="636"/>
      <c r="Z1134" s="987"/>
      <c r="AA1134" s="919"/>
      <c r="AB1134" s="908"/>
      <c r="AC1134" s="314"/>
      <c r="AD1134" s="317"/>
      <c r="AE1134" s="669"/>
      <c r="AF1134" s="718"/>
      <c r="AG1134" s="211"/>
      <c r="AH1134" s="210"/>
    </row>
    <row r="1135" spans="1:34" s="4" customFormat="1">
      <c r="A1135" s="2"/>
      <c r="B1135" s="310" t="s">
        <v>106</v>
      </c>
      <c r="C1135" s="311" t="s">
        <v>33</v>
      </c>
      <c r="D1135" s="687" t="s">
        <v>5719</v>
      </c>
      <c r="E1135" s="688"/>
      <c r="F1135" s="312"/>
      <c r="G1135" s="313"/>
      <c r="H1135" s="624"/>
      <c r="I1135" s="625"/>
      <c r="J1135" s="626"/>
      <c r="K1135" s="627" t="s">
        <v>5720</v>
      </c>
      <c r="L1135" s="628">
        <v>45000</v>
      </c>
      <c r="M1135" s="629"/>
      <c r="N1135" s="627" t="s">
        <v>5721</v>
      </c>
      <c r="O1135" s="628"/>
      <c r="P1135" s="630" t="s">
        <v>5722</v>
      </c>
      <c r="Q1135" s="631"/>
      <c r="R1135" s="715"/>
      <c r="S1135" s="1068"/>
      <c r="T1135" s="632">
        <v>18380.84</v>
      </c>
      <c r="U1135" s="633" t="s">
        <v>5723</v>
      </c>
      <c r="V1135" s="634">
        <v>45086</v>
      </c>
      <c r="W1135" s="635" t="s">
        <v>2302</v>
      </c>
      <c r="X1135" s="636">
        <v>18380.84</v>
      </c>
      <c r="Y1135" s="636">
        <v>18380.84</v>
      </c>
      <c r="Z1135" s="987">
        <f t="shared" ref="Z1135:Z1140" si="69">Y1135/X1135</f>
        <v>1</v>
      </c>
      <c r="AA1135" s="919"/>
      <c r="AB1135" s="1055">
        <v>0</v>
      </c>
      <c r="AC1135" s="912"/>
      <c r="AD1135" s="913"/>
      <c r="AE1135" s="669"/>
      <c r="AF1135" s="718"/>
      <c r="AG1135" s="211"/>
      <c r="AH1135" s="210"/>
    </row>
    <row r="1136" spans="1:34" s="4" customFormat="1" ht="15.75" customHeight="1">
      <c r="A1136" s="2"/>
      <c r="B1136" s="310" t="s">
        <v>106</v>
      </c>
      <c r="C1136" s="311" t="s">
        <v>33</v>
      </c>
      <c r="D1136" s="687" t="s">
        <v>5724</v>
      </c>
      <c r="E1136" s="688"/>
      <c r="F1136" s="312"/>
      <c r="G1136" s="313"/>
      <c r="H1136" s="624"/>
      <c r="I1136" s="625"/>
      <c r="J1136" s="626"/>
      <c r="K1136" s="627" t="s">
        <v>5725</v>
      </c>
      <c r="L1136" s="628">
        <v>45007</v>
      </c>
      <c r="M1136" s="629">
        <v>25000</v>
      </c>
      <c r="N1136" s="627" t="s">
        <v>5726</v>
      </c>
      <c r="O1136" s="628">
        <v>45009</v>
      </c>
      <c r="P1136" s="630" t="s">
        <v>5727</v>
      </c>
      <c r="Q1136" s="631"/>
      <c r="R1136" s="715"/>
      <c r="S1136" s="1068"/>
      <c r="T1136" s="632">
        <v>19616.36</v>
      </c>
      <c r="U1136" s="633" t="s">
        <v>5728</v>
      </c>
      <c r="V1136" s="634">
        <v>45050</v>
      </c>
      <c r="W1136" s="635" t="s">
        <v>2302</v>
      </c>
      <c r="X1136" s="636">
        <v>19616.36</v>
      </c>
      <c r="Y1136" s="636">
        <v>19616.36</v>
      </c>
      <c r="Z1136" s="987">
        <f t="shared" si="69"/>
        <v>1</v>
      </c>
      <c r="AA1136" s="919"/>
      <c r="AB1136" s="1055">
        <v>0</v>
      </c>
      <c r="AC1136" s="912"/>
      <c r="AD1136" s="913"/>
      <c r="AE1136" s="669"/>
      <c r="AF1136" s="718"/>
      <c r="AG1136" s="211"/>
      <c r="AH1136" s="210"/>
    </row>
    <row r="1137" spans="1:34" s="4" customFormat="1" ht="15.75" customHeight="1">
      <c r="A1137" s="2"/>
      <c r="B1137" s="310" t="s">
        <v>106</v>
      </c>
      <c r="C1137" s="311" t="s">
        <v>33</v>
      </c>
      <c r="D1137" s="687" t="s">
        <v>5724</v>
      </c>
      <c r="E1137" s="688"/>
      <c r="F1137" s="312"/>
      <c r="G1137" s="313"/>
      <c r="H1137" s="624"/>
      <c r="I1137" s="625"/>
      <c r="J1137" s="626"/>
      <c r="K1137" s="627" t="s">
        <v>5729</v>
      </c>
      <c r="L1137" s="628">
        <v>45007</v>
      </c>
      <c r="M1137" s="629"/>
      <c r="N1137" s="627" t="s">
        <v>5726</v>
      </c>
      <c r="O1137" s="628">
        <v>45009</v>
      </c>
      <c r="P1137" s="630" t="s">
        <v>5730</v>
      </c>
      <c r="Q1137" s="631"/>
      <c r="R1137" s="715"/>
      <c r="S1137" s="1068"/>
      <c r="T1137" s="632">
        <v>9563.2099999999991</v>
      </c>
      <c r="U1137" s="633" t="s">
        <v>5731</v>
      </c>
      <c r="V1137" s="634">
        <v>45050</v>
      </c>
      <c r="W1137" s="635" t="s">
        <v>2302</v>
      </c>
      <c r="X1137" s="636">
        <v>9563.2099999999991</v>
      </c>
      <c r="Y1137" s="636">
        <v>9563.2099999999991</v>
      </c>
      <c r="Z1137" s="987">
        <f t="shared" si="69"/>
        <v>1</v>
      </c>
      <c r="AA1137" s="919"/>
      <c r="AB1137" s="1055">
        <v>0</v>
      </c>
      <c r="AC1137" s="912"/>
      <c r="AD1137" s="913"/>
      <c r="AE1137" s="669"/>
      <c r="AF1137" s="718"/>
      <c r="AG1137" s="211"/>
      <c r="AH1137" s="210"/>
    </row>
    <row r="1138" spans="1:34" s="4" customFormat="1" ht="16.149999999999999" customHeight="1">
      <c r="A1138" s="2"/>
      <c r="B1138" s="310" t="s">
        <v>106</v>
      </c>
      <c r="C1138" s="311" t="s">
        <v>33</v>
      </c>
      <c r="D1138" s="687" t="s">
        <v>5732</v>
      </c>
      <c r="E1138" s="688"/>
      <c r="F1138" s="312"/>
      <c r="G1138" s="313"/>
      <c r="H1138" s="624"/>
      <c r="I1138" s="625"/>
      <c r="J1138" s="626"/>
      <c r="K1138" s="627" t="s">
        <v>5733</v>
      </c>
      <c r="L1138" s="628">
        <v>45005</v>
      </c>
      <c r="M1138" s="629">
        <v>7000</v>
      </c>
      <c r="N1138" s="627" t="s">
        <v>5734</v>
      </c>
      <c r="O1138" s="628">
        <v>45006</v>
      </c>
      <c r="P1138" s="630" t="s">
        <v>5735</v>
      </c>
      <c r="Q1138" s="631"/>
      <c r="R1138" s="715"/>
      <c r="S1138" s="1068"/>
      <c r="T1138" s="632">
        <v>26348.62</v>
      </c>
      <c r="U1138" s="633" t="s">
        <v>5736</v>
      </c>
      <c r="V1138" s="634">
        <v>45049</v>
      </c>
      <c r="W1138" s="635" t="s">
        <v>2302</v>
      </c>
      <c r="X1138" s="636">
        <v>26348.62</v>
      </c>
      <c r="Y1138" s="636">
        <v>26348.62</v>
      </c>
      <c r="Z1138" s="987">
        <f t="shared" si="69"/>
        <v>1</v>
      </c>
      <c r="AA1138" s="919"/>
      <c r="AB1138" s="1055">
        <v>0</v>
      </c>
      <c r="AC1138" s="912"/>
      <c r="AD1138" s="913"/>
      <c r="AE1138" s="669"/>
      <c r="AF1138" s="718"/>
      <c r="AG1138" s="211"/>
      <c r="AH1138" s="210"/>
    </row>
    <row r="1139" spans="1:34" s="4" customFormat="1" ht="16.149999999999999" customHeight="1">
      <c r="A1139" s="2"/>
      <c r="B1139" s="310" t="s">
        <v>106</v>
      </c>
      <c r="C1139" s="311" t="s">
        <v>33</v>
      </c>
      <c r="D1139" s="687" t="s">
        <v>5737</v>
      </c>
      <c r="E1139" s="688"/>
      <c r="F1139" s="312"/>
      <c r="G1139" s="313"/>
      <c r="H1139" s="624"/>
      <c r="I1139" s="625"/>
      <c r="J1139" s="626"/>
      <c r="K1139" s="627"/>
      <c r="L1139" s="628"/>
      <c r="M1139" s="629"/>
      <c r="N1139" s="627"/>
      <c r="O1139" s="628"/>
      <c r="P1139" s="630" t="s">
        <v>5738</v>
      </c>
      <c r="Q1139" s="631"/>
      <c r="R1139" s="715"/>
      <c r="S1139" s="1068"/>
      <c r="T1139" s="632">
        <v>5882.92</v>
      </c>
      <c r="U1139" s="633" t="s">
        <v>5739</v>
      </c>
      <c r="V1139" s="634">
        <v>45071</v>
      </c>
      <c r="W1139" s="635" t="s">
        <v>96</v>
      </c>
      <c r="X1139" s="636">
        <v>5882.92</v>
      </c>
      <c r="Y1139" s="636">
        <v>5882.92</v>
      </c>
      <c r="Z1139" s="987">
        <f t="shared" si="69"/>
        <v>1</v>
      </c>
      <c r="AA1139" s="919"/>
      <c r="AB1139" s="1055">
        <v>0</v>
      </c>
      <c r="AC1139" s="912"/>
      <c r="AD1139" s="913"/>
      <c r="AE1139" s="669"/>
      <c r="AF1139" s="718"/>
      <c r="AG1139" s="211"/>
      <c r="AH1139" s="210"/>
    </row>
    <row r="1140" spans="1:34" s="4" customFormat="1" ht="16.149999999999999" customHeight="1">
      <c r="A1140" s="2"/>
      <c r="B1140" s="310" t="s">
        <v>106</v>
      </c>
      <c r="C1140" s="311" t="s">
        <v>33</v>
      </c>
      <c r="D1140" s="687" t="s">
        <v>5740</v>
      </c>
      <c r="E1140" s="688"/>
      <c r="F1140" s="312"/>
      <c r="G1140" s="313"/>
      <c r="H1140" s="624"/>
      <c r="I1140" s="625"/>
      <c r="J1140" s="626"/>
      <c r="K1140" s="627" t="s">
        <v>5741</v>
      </c>
      <c r="L1140" s="628"/>
      <c r="M1140" s="629"/>
      <c r="N1140" s="627" t="s">
        <v>5742</v>
      </c>
      <c r="O1140" s="628"/>
      <c r="P1140" s="630" t="s">
        <v>5743</v>
      </c>
      <c r="Q1140" s="631"/>
      <c r="R1140" s="715"/>
      <c r="S1140" s="1068"/>
      <c r="T1140" s="632">
        <v>14965.63</v>
      </c>
      <c r="U1140" s="633" t="s">
        <v>5744</v>
      </c>
      <c r="V1140" s="634">
        <v>45099</v>
      </c>
      <c r="W1140" s="635" t="s">
        <v>2302</v>
      </c>
      <c r="X1140" s="636">
        <v>14965.63</v>
      </c>
      <c r="Y1140" s="636">
        <v>14965.63</v>
      </c>
      <c r="Z1140" s="987">
        <f t="shared" si="69"/>
        <v>1</v>
      </c>
      <c r="AA1140" s="919"/>
      <c r="AB1140" s="1055">
        <v>0</v>
      </c>
      <c r="AC1140" s="912"/>
      <c r="AD1140" s="913"/>
      <c r="AE1140" s="669"/>
      <c r="AF1140" s="718"/>
      <c r="AG1140" s="211"/>
      <c r="AH1140" s="210"/>
    </row>
    <row r="1141" spans="1:34" s="4" customFormat="1">
      <c r="A1141" s="2"/>
      <c r="B1141" s="310" t="s">
        <v>115</v>
      </c>
      <c r="C1141" s="311" t="s">
        <v>27</v>
      </c>
      <c r="D1141" s="687" t="s">
        <v>5745</v>
      </c>
      <c r="E1141" s="688"/>
      <c r="F1141" s="312" t="s">
        <v>5746</v>
      </c>
      <c r="G1141" s="313">
        <v>45077</v>
      </c>
      <c r="H1141" s="624"/>
      <c r="I1141" s="625"/>
      <c r="J1141" s="626"/>
      <c r="K1141" s="627"/>
      <c r="L1141" s="628"/>
      <c r="M1141" s="629"/>
      <c r="N1141" s="627"/>
      <c r="O1141" s="628"/>
      <c r="P1141" s="630"/>
      <c r="Q1141" s="631"/>
      <c r="R1141" s="715"/>
      <c r="S1141" s="910"/>
      <c r="T1141" s="632"/>
      <c r="U1141" s="633"/>
      <c r="V1141" s="634"/>
      <c r="W1141" s="635"/>
      <c r="X1141" s="636"/>
      <c r="Y1141" s="637"/>
      <c r="Z1141" s="987"/>
      <c r="AA1141" s="919"/>
      <c r="AB1141" s="908"/>
      <c r="AC1141" s="314" t="s">
        <v>5674</v>
      </c>
      <c r="AD1141" s="317"/>
      <c r="AE1141" s="669">
        <v>45079</v>
      </c>
      <c r="AF1141" s="718"/>
      <c r="AG1141" s="211"/>
      <c r="AH1141" s="210"/>
    </row>
    <row r="1142" spans="1:34" s="4" customFormat="1" ht="16.149999999999999" customHeight="1">
      <c r="A1142" s="2"/>
      <c r="B1142" s="310" t="s">
        <v>106</v>
      </c>
      <c r="C1142" s="311" t="s">
        <v>33</v>
      </c>
      <c r="D1142" s="687" t="s">
        <v>5747</v>
      </c>
      <c r="E1142" s="688"/>
      <c r="F1142" s="312" t="s">
        <v>5748</v>
      </c>
      <c r="G1142" s="313">
        <v>45079</v>
      </c>
      <c r="H1142" s="624"/>
      <c r="I1142" s="625"/>
      <c r="J1142" s="626"/>
      <c r="K1142" s="627" t="s">
        <v>5749</v>
      </c>
      <c r="L1142" s="628">
        <v>45131</v>
      </c>
      <c r="M1142" s="629">
        <v>60000</v>
      </c>
      <c r="N1142" s="627" t="s">
        <v>5750</v>
      </c>
      <c r="O1142" s="628"/>
      <c r="P1142" s="630" t="s">
        <v>5751</v>
      </c>
      <c r="Q1142" s="631">
        <v>45112</v>
      </c>
      <c r="R1142" s="715">
        <v>45139</v>
      </c>
      <c r="S1142" s="1068"/>
      <c r="T1142" s="632">
        <v>17532.439999999999</v>
      </c>
      <c r="U1142" s="633" t="s">
        <v>5752</v>
      </c>
      <c r="V1142" s="634">
        <v>45131</v>
      </c>
      <c r="W1142" s="635" t="s">
        <v>2302</v>
      </c>
      <c r="X1142" s="636">
        <v>17532.439999999999</v>
      </c>
      <c r="Y1142" s="636">
        <v>17532.439999999999</v>
      </c>
      <c r="Z1142" s="987">
        <f t="shared" ref="Z1142" si="70">Y1142/X1142</f>
        <v>1</v>
      </c>
      <c r="AA1142" s="919"/>
      <c r="AB1142" s="1055">
        <v>0</v>
      </c>
      <c r="AC1142" s="912" t="s">
        <v>5753</v>
      </c>
      <c r="AD1142" s="913" t="s">
        <v>5754</v>
      </c>
      <c r="AE1142" s="669"/>
      <c r="AF1142" s="718"/>
      <c r="AG1142" s="211"/>
      <c r="AH1142" s="210"/>
    </row>
    <row r="1143" spans="1:34" s="4" customFormat="1" ht="16.149999999999999" customHeight="1">
      <c r="A1143" s="2"/>
      <c r="B1143" s="310" t="s">
        <v>115</v>
      </c>
      <c r="C1143" s="311" t="s">
        <v>27</v>
      </c>
      <c r="D1143" s="687" t="s">
        <v>5755</v>
      </c>
      <c r="E1143" s="688"/>
      <c r="F1143" s="312" t="s">
        <v>5756</v>
      </c>
      <c r="G1143" s="313">
        <v>45082</v>
      </c>
      <c r="H1143" s="624"/>
      <c r="I1143" s="625"/>
      <c r="J1143" s="626"/>
      <c r="K1143" s="627"/>
      <c r="L1143" s="628"/>
      <c r="M1143" s="629"/>
      <c r="N1143" s="627"/>
      <c r="O1143" s="628"/>
      <c r="P1143" s="630"/>
      <c r="Q1143" s="631"/>
      <c r="R1143" s="715"/>
      <c r="S1143" s="910"/>
      <c r="T1143" s="632"/>
      <c r="U1143" s="633"/>
      <c r="V1143" s="634"/>
      <c r="W1143" s="635"/>
      <c r="X1143" s="636"/>
      <c r="Y1143" s="636"/>
      <c r="Z1143" s="987"/>
      <c r="AA1143" s="919"/>
      <c r="AB1143" s="908"/>
      <c r="AC1143" s="314"/>
      <c r="AD1143" s="317"/>
      <c r="AE1143" s="669"/>
      <c r="AF1143" s="718"/>
      <c r="AG1143" s="211"/>
      <c r="AH1143" s="210"/>
    </row>
    <row r="1144" spans="1:34" s="4" customFormat="1" ht="16.149999999999999" customHeight="1">
      <c r="A1144" s="2"/>
      <c r="B1144" s="310" t="s">
        <v>106</v>
      </c>
      <c r="C1144" s="311" t="s">
        <v>33</v>
      </c>
      <c r="D1144" s="687" t="s">
        <v>5757</v>
      </c>
      <c r="E1144" s="688"/>
      <c r="F1144" s="312" t="s">
        <v>5758</v>
      </c>
      <c r="G1144" s="313">
        <v>45083</v>
      </c>
      <c r="H1144" s="624" t="s">
        <v>5759</v>
      </c>
      <c r="I1144" s="625">
        <v>45120</v>
      </c>
      <c r="J1144" s="626">
        <v>11716.62</v>
      </c>
      <c r="K1144" s="627" t="s">
        <v>5760</v>
      </c>
      <c r="L1144" s="628">
        <v>45093</v>
      </c>
      <c r="M1144" s="629">
        <v>3000</v>
      </c>
      <c r="N1144" s="627" t="s">
        <v>5761</v>
      </c>
      <c r="O1144" s="628">
        <v>45093</v>
      </c>
      <c r="P1144" s="630" t="s">
        <v>5762</v>
      </c>
      <c r="Q1144" s="631">
        <v>45112</v>
      </c>
      <c r="R1144" s="715">
        <v>45132</v>
      </c>
      <c r="S1144" s="1068">
        <v>54</v>
      </c>
      <c r="T1144" s="632">
        <v>11716.62</v>
      </c>
      <c r="U1144" s="633" t="s">
        <v>5763</v>
      </c>
      <c r="V1144" s="634">
        <v>45138</v>
      </c>
      <c r="W1144" s="635" t="s">
        <v>2302</v>
      </c>
      <c r="X1144" s="636">
        <v>11716.62</v>
      </c>
      <c r="Y1144" s="636">
        <v>11716.62</v>
      </c>
      <c r="Z1144" s="987">
        <f t="shared" ref="Z1144" si="71">Y1144/X1144</f>
        <v>1</v>
      </c>
      <c r="AA1144" s="919"/>
      <c r="AB1144" s="1055">
        <v>0</v>
      </c>
      <c r="AC1144" s="912"/>
      <c r="AD1144" s="917" t="s">
        <v>5273</v>
      </c>
      <c r="AE1144" s="669"/>
      <c r="AF1144" s="718"/>
      <c r="AG1144" s="211"/>
      <c r="AH1144" s="210"/>
    </row>
    <row r="1145" spans="1:34" s="4" customFormat="1" ht="16.149999999999999" customHeight="1">
      <c r="A1145" s="2"/>
      <c r="B1145" s="310" t="s">
        <v>115</v>
      </c>
      <c r="C1145" s="311" t="s">
        <v>27</v>
      </c>
      <c r="D1145" s="687" t="s">
        <v>5764</v>
      </c>
      <c r="E1145" s="688"/>
      <c r="F1145" s="312" t="s">
        <v>5765</v>
      </c>
      <c r="G1145" s="313">
        <v>45084</v>
      </c>
      <c r="H1145" s="624"/>
      <c r="I1145" s="625"/>
      <c r="J1145" s="626"/>
      <c r="K1145" s="627"/>
      <c r="L1145" s="628"/>
      <c r="M1145" s="629"/>
      <c r="N1145" s="627"/>
      <c r="O1145" s="628"/>
      <c r="P1145" s="630"/>
      <c r="Q1145" s="631"/>
      <c r="R1145" s="715"/>
      <c r="S1145" s="910"/>
      <c r="T1145" s="632"/>
      <c r="U1145" s="633"/>
      <c r="V1145" s="634"/>
      <c r="W1145" s="635"/>
      <c r="X1145" s="636"/>
      <c r="Y1145" s="637"/>
      <c r="Z1145" s="987"/>
      <c r="AA1145" s="919"/>
      <c r="AB1145" s="908"/>
      <c r="AC1145" s="314"/>
      <c r="AD1145" s="317"/>
      <c r="AE1145" s="669"/>
      <c r="AF1145" s="718"/>
      <c r="AG1145" s="211"/>
      <c r="AH1145" s="210"/>
    </row>
    <row r="1146" spans="1:34" s="4" customFormat="1" ht="16.149999999999999" customHeight="1">
      <c r="A1146" s="2"/>
      <c r="B1146" s="310" t="s">
        <v>115</v>
      </c>
      <c r="C1146" s="311" t="s">
        <v>27</v>
      </c>
      <c r="D1146" s="687" t="s">
        <v>5766</v>
      </c>
      <c r="E1146" s="688"/>
      <c r="F1146" s="312" t="s">
        <v>5767</v>
      </c>
      <c r="G1146" s="313">
        <v>45085</v>
      </c>
      <c r="H1146" s="624"/>
      <c r="I1146" s="625"/>
      <c r="J1146" s="626"/>
      <c r="K1146" s="627"/>
      <c r="L1146" s="628"/>
      <c r="M1146" s="629"/>
      <c r="N1146" s="627"/>
      <c r="O1146" s="628"/>
      <c r="P1146" s="630"/>
      <c r="Q1146" s="631"/>
      <c r="R1146" s="715"/>
      <c r="S1146" s="910"/>
      <c r="T1146" s="632"/>
      <c r="U1146" s="633"/>
      <c r="V1146" s="634"/>
      <c r="W1146" s="635"/>
      <c r="X1146" s="636"/>
      <c r="Y1146" s="637"/>
      <c r="Z1146" s="987"/>
      <c r="AA1146" s="919"/>
      <c r="AB1146" s="908"/>
      <c r="AC1146" s="314"/>
      <c r="AD1146" s="317"/>
      <c r="AE1146" s="669"/>
      <c r="AF1146" s="718"/>
      <c r="AG1146" s="211"/>
      <c r="AH1146" s="210"/>
    </row>
    <row r="1147" spans="1:34" s="4" customFormat="1" ht="16.149999999999999" customHeight="1">
      <c r="A1147" s="2"/>
      <c r="B1147" s="310" t="s">
        <v>115</v>
      </c>
      <c r="C1147" s="311" t="s">
        <v>27</v>
      </c>
      <c r="D1147" s="687" t="s">
        <v>5768</v>
      </c>
      <c r="E1147" s="688"/>
      <c r="F1147" s="312" t="s">
        <v>5769</v>
      </c>
      <c r="G1147" s="313">
        <v>45085</v>
      </c>
      <c r="H1147" s="624"/>
      <c r="I1147" s="625"/>
      <c r="J1147" s="626"/>
      <c r="K1147" s="627"/>
      <c r="L1147" s="628"/>
      <c r="M1147" s="629"/>
      <c r="N1147" s="627"/>
      <c r="O1147" s="628"/>
      <c r="P1147" s="630"/>
      <c r="Q1147" s="631"/>
      <c r="R1147" s="715"/>
      <c r="S1147" s="910"/>
      <c r="T1147" s="632"/>
      <c r="U1147" s="633"/>
      <c r="V1147" s="634"/>
      <c r="W1147" s="635"/>
      <c r="X1147" s="636"/>
      <c r="Y1147" s="637"/>
      <c r="Z1147" s="987"/>
      <c r="AA1147" s="919"/>
      <c r="AB1147" s="908"/>
      <c r="AC1147" s="314"/>
      <c r="AD1147" s="317"/>
      <c r="AE1147" s="669"/>
      <c r="AF1147" s="718"/>
      <c r="AG1147" s="211"/>
      <c r="AH1147" s="210"/>
    </row>
    <row r="1148" spans="1:34" s="4" customFormat="1" ht="16.149999999999999" customHeight="1">
      <c r="A1148" s="2"/>
      <c r="B1148" s="310" t="s">
        <v>106</v>
      </c>
      <c r="C1148" s="311" t="s">
        <v>33</v>
      </c>
      <c r="D1148" s="687" t="s">
        <v>5770</v>
      </c>
      <c r="E1148" s="688"/>
      <c r="F1148" s="312" t="s">
        <v>5771</v>
      </c>
      <c r="G1148" s="313">
        <v>45089</v>
      </c>
      <c r="H1148" s="624" t="s">
        <v>5772</v>
      </c>
      <c r="I1148" s="625">
        <v>45105</v>
      </c>
      <c r="J1148" s="626">
        <v>60000</v>
      </c>
      <c r="K1148" s="627" t="s">
        <v>5773</v>
      </c>
      <c r="L1148" s="628">
        <v>45098</v>
      </c>
      <c r="M1148" s="629">
        <v>13900</v>
      </c>
      <c r="N1148" s="627" t="s">
        <v>5774</v>
      </c>
      <c r="O1148" s="628">
        <v>45098</v>
      </c>
      <c r="P1148" s="630" t="s">
        <v>5775</v>
      </c>
      <c r="Q1148" s="631">
        <v>45119</v>
      </c>
      <c r="R1148" s="715">
        <v>45135</v>
      </c>
      <c r="S1148" s="1068">
        <v>83</v>
      </c>
      <c r="T1148" s="632">
        <v>46392.7</v>
      </c>
      <c r="U1148" s="633" t="s">
        <v>5776</v>
      </c>
      <c r="V1148" s="634">
        <v>45138</v>
      </c>
      <c r="W1148" s="635" t="s">
        <v>2302</v>
      </c>
      <c r="X1148" s="636">
        <v>46392.7</v>
      </c>
      <c r="Y1148" s="636">
        <v>46392.7</v>
      </c>
      <c r="Z1148" s="987">
        <f t="shared" ref="Z1148" si="72">Y1148/X1148</f>
        <v>1</v>
      </c>
      <c r="AA1148" s="919"/>
      <c r="AB1148" s="1055">
        <v>0</v>
      </c>
      <c r="AC1148" s="912"/>
      <c r="AD1148" s="917" t="s">
        <v>5777</v>
      </c>
      <c r="AE1148" s="669"/>
      <c r="AF1148" s="718"/>
      <c r="AG1148" s="211"/>
      <c r="AH1148" s="210"/>
    </row>
    <row r="1149" spans="1:34" s="4" customFormat="1" ht="16.149999999999999" customHeight="1">
      <c r="A1149" s="2"/>
      <c r="B1149" s="310" t="s">
        <v>115</v>
      </c>
      <c r="C1149" s="311" t="s">
        <v>27</v>
      </c>
      <c r="D1149" s="687" t="s">
        <v>5778</v>
      </c>
      <c r="E1149" s="688"/>
      <c r="F1149" s="312" t="s">
        <v>5779</v>
      </c>
      <c r="G1149" s="313">
        <v>45089</v>
      </c>
      <c r="H1149" s="624"/>
      <c r="I1149" s="625"/>
      <c r="J1149" s="626"/>
      <c r="K1149" s="627"/>
      <c r="L1149" s="628"/>
      <c r="M1149" s="629"/>
      <c r="N1149" s="627"/>
      <c r="O1149" s="628"/>
      <c r="P1149" s="630"/>
      <c r="Q1149" s="631"/>
      <c r="R1149" s="715"/>
      <c r="S1149" s="910"/>
      <c r="T1149" s="632"/>
      <c r="U1149" s="633"/>
      <c r="V1149" s="634"/>
      <c r="W1149" s="635"/>
      <c r="X1149" s="636"/>
      <c r="Y1149" s="637"/>
      <c r="Z1149" s="987"/>
      <c r="AA1149" s="919"/>
      <c r="AB1149" s="908"/>
      <c r="AC1149" s="314"/>
      <c r="AD1149" s="317"/>
      <c r="AE1149" s="669"/>
      <c r="AF1149" s="718"/>
      <c r="AG1149" s="211"/>
      <c r="AH1149" s="210"/>
    </row>
    <row r="1150" spans="1:34" s="4" customFormat="1" ht="16.149999999999999" customHeight="1">
      <c r="A1150" s="2"/>
      <c r="B1150" s="310" t="s">
        <v>115</v>
      </c>
      <c r="C1150" s="311" t="s">
        <v>27</v>
      </c>
      <c r="D1150" s="687" t="s">
        <v>5780</v>
      </c>
      <c r="E1150" s="688"/>
      <c r="F1150" s="312" t="s">
        <v>5781</v>
      </c>
      <c r="G1150" s="313">
        <v>45091</v>
      </c>
      <c r="H1150" s="624"/>
      <c r="I1150" s="625"/>
      <c r="J1150" s="626"/>
      <c r="K1150" s="627"/>
      <c r="L1150" s="628"/>
      <c r="M1150" s="629"/>
      <c r="N1150" s="627"/>
      <c r="O1150" s="628"/>
      <c r="P1150" s="630"/>
      <c r="Q1150" s="631"/>
      <c r="R1150" s="715"/>
      <c r="S1150" s="910"/>
      <c r="T1150" s="632"/>
      <c r="U1150" s="633"/>
      <c r="V1150" s="634"/>
      <c r="W1150" s="635"/>
      <c r="X1150" s="636"/>
      <c r="Y1150" s="637"/>
      <c r="Z1150" s="987"/>
      <c r="AA1150" s="919"/>
      <c r="AB1150" s="908"/>
      <c r="AC1150" s="314"/>
      <c r="AD1150" s="317"/>
      <c r="AE1150" s="669"/>
      <c r="AF1150" s="718"/>
      <c r="AG1150" s="211"/>
      <c r="AH1150" s="210"/>
    </row>
    <row r="1151" spans="1:34" s="4" customFormat="1" ht="16.149999999999999" customHeight="1">
      <c r="A1151" s="2"/>
      <c r="B1151" s="310" t="s">
        <v>115</v>
      </c>
      <c r="C1151" s="311" t="s">
        <v>27</v>
      </c>
      <c r="D1151" s="687" t="s">
        <v>5782</v>
      </c>
      <c r="E1151" s="688"/>
      <c r="F1151" s="312" t="s">
        <v>5783</v>
      </c>
      <c r="G1151" s="313">
        <v>45091</v>
      </c>
      <c r="H1151" s="624"/>
      <c r="I1151" s="625"/>
      <c r="J1151" s="626"/>
      <c r="K1151" s="627"/>
      <c r="L1151" s="628"/>
      <c r="M1151" s="629"/>
      <c r="N1151" s="627"/>
      <c r="O1151" s="628"/>
      <c r="P1151" s="630"/>
      <c r="Q1151" s="631"/>
      <c r="R1151" s="715"/>
      <c r="S1151" s="910"/>
      <c r="T1151" s="632"/>
      <c r="U1151" s="633"/>
      <c r="V1151" s="634"/>
      <c r="W1151" s="635"/>
      <c r="X1151" s="636"/>
      <c r="Y1151" s="637"/>
      <c r="Z1151" s="987"/>
      <c r="AA1151" s="919"/>
      <c r="AB1151" s="908"/>
      <c r="AC1151" s="314"/>
      <c r="AD1151" s="317"/>
      <c r="AE1151" s="669"/>
      <c r="AF1151" s="718"/>
      <c r="AG1151" s="211"/>
      <c r="AH1151" s="210"/>
    </row>
    <row r="1152" spans="1:34" s="4" customFormat="1" ht="16.149999999999999" customHeight="1">
      <c r="A1152" s="2"/>
      <c r="B1152" s="310" t="s">
        <v>115</v>
      </c>
      <c r="C1152" s="311" t="s">
        <v>27</v>
      </c>
      <c r="D1152" s="687" t="s">
        <v>5784</v>
      </c>
      <c r="E1152" s="688"/>
      <c r="F1152" s="312" t="s">
        <v>5785</v>
      </c>
      <c r="G1152" s="313">
        <v>45092</v>
      </c>
      <c r="H1152" s="624"/>
      <c r="I1152" s="625"/>
      <c r="J1152" s="626"/>
      <c r="K1152" s="627"/>
      <c r="L1152" s="628"/>
      <c r="M1152" s="629"/>
      <c r="N1152" s="627"/>
      <c r="O1152" s="628"/>
      <c r="P1152" s="630"/>
      <c r="Q1152" s="631"/>
      <c r="R1152" s="715"/>
      <c r="S1152" s="910"/>
      <c r="T1152" s="632"/>
      <c r="U1152" s="633"/>
      <c r="V1152" s="634"/>
      <c r="W1152" s="635"/>
      <c r="X1152" s="636"/>
      <c r="Y1152" s="637"/>
      <c r="Z1152" s="987"/>
      <c r="AA1152" s="919"/>
      <c r="AB1152" s="908"/>
      <c r="AC1152" s="314"/>
      <c r="AD1152" s="317"/>
      <c r="AE1152" s="669"/>
      <c r="AF1152" s="718"/>
      <c r="AG1152" s="211"/>
      <c r="AH1152" s="210"/>
    </row>
    <row r="1153" spans="1:34" s="4" customFormat="1" ht="16.149999999999999" customHeight="1">
      <c r="A1153" s="2"/>
      <c r="B1153" s="310" t="s">
        <v>115</v>
      </c>
      <c r="C1153" s="311" t="s">
        <v>27</v>
      </c>
      <c r="D1153" s="687" t="s">
        <v>5786</v>
      </c>
      <c r="E1153" s="688"/>
      <c r="F1153" s="312" t="s">
        <v>5787</v>
      </c>
      <c r="G1153" s="313">
        <v>45092</v>
      </c>
      <c r="H1153" s="624"/>
      <c r="I1153" s="625"/>
      <c r="J1153" s="626"/>
      <c r="K1153" s="627"/>
      <c r="L1153" s="628"/>
      <c r="M1153" s="629"/>
      <c r="N1153" s="627"/>
      <c r="O1153" s="628"/>
      <c r="P1153" s="630"/>
      <c r="Q1153" s="631"/>
      <c r="R1153" s="715"/>
      <c r="S1153" s="910"/>
      <c r="T1153" s="632"/>
      <c r="U1153" s="633"/>
      <c r="V1153" s="634"/>
      <c r="W1153" s="635"/>
      <c r="X1153" s="636"/>
      <c r="Y1153" s="637"/>
      <c r="Z1153" s="987"/>
      <c r="AA1153" s="919"/>
      <c r="AB1153" s="908"/>
      <c r="AC1153" s="314"/>
      <c r="AD1153" s="317"/>
      <c r="AE1153" s="669"/>
      <c r="AF1153" s="718"/>
      <c r="AG1153" s="211"/>
      <c r="AH1153" s="210"/>
    </row>
    <row r="1154" spans="1:34" s="4" customFormat="1" ht="16.149999999999999" customHeight="1">
      <c r="A1154" s="2"/>
      <c r="B1154" s="310" t="s">
        <v>119</v>
      </c>
      <c r="C1154" s="311" t="s">
        <v>27</v>
      </c>
      <c r="D1154" s="687" t="s">
        <v>5786</v>
      </c>
      <c r="E1154" s="688"/>
      <c r="F1154" s="312" t="s">
        <v>5788</v>
      </c>
      <c r="G1154" s="313">
        <v>45107</v>
      </c>
      <c r="H1154" s="624"/>
      <c r="I1154" s="625"/>
      <c r="J1154" s="626"/>
      <c r="K1154" s="627"/>
      <c r="L1154" s="628"/>
      <c r="M1154" s="629"/>
      <c r="N1154" s="627"/>
      <c r="O1154" s="628"/>
      <c r="P1154" s="630"/>
      <c r="Q1154" s="631"/>
      <c r="R1154" s="715"/>
      <c r="S1154" s="910"/>
      <c r="T1154" s="632"/>
      <c r="U1154" s="633"/>
      <c r="V1154" s="634"/>
      <c r="W1154" s="635"/>
      <c r="X1154" s="636"/>
      <c r="Y1154" s="637"/>
      <c r="Z1154" s="987"/>
      <c r="AA1154" s="919"/>
      <c r="AB1154" s="908"/>
      <c r="AC1154" s="314"/>
      <c r="AD1154" s="317"/>
      <c r="AE1154" s="669"/>
      <c r="AF1154" s="718"/>
      <c r="AG1154" s="211"/>
      <c r="AH1154" s="210"/>
    </row>
    <row r="1155" spans="1:34" s="4" customFormat="1" ht="16.149999999999999" customHeight="1">
      <c r="A1155" s="2"/>
      <c r="B1155" s="310" t="s">
        <v>106</v>
      </c>
      <c r="C1155" s="311" t="s">
        <v>33</v>
      </c>
      <c r="D1155" s="687" t="s">
        <v>5789</v>
      </c>
      <c r="E1155" s="688"/>
      <c r="F1155" s="312" t="s">
        <v>5790</v>
      </c>
      <c r="G1155" s="313">
        <v>45093</v>
      </c>
      <c r="H1155" s="624"/>
      <c r="I1155" s="625"/>
      <c r="J1155" s="626"/>
      <c r="K1155" s="627" t="s">
        <v>5791</v>
      </c>
      <c r="L1155" s="628">
        <v>45098</v>
      </c>
      <c r="M1155" s="629">
        <v>3000</v>
      </c>
      <c r="N1155" s="627" t="s">
        <v>5792</v>
      </c>
      <c r="O1155" s="628"/>
      <c r="P1155" s="630" t="s">
        <v>5793</v>
      </c>
      <c r="Q1155" s="631">
        <v>45119</v>
      </c>
      <c r="R1155" s="715">
        <v>45138</v>
      </c>
      <c r="S1155" s="1068"/>
      <c r="T1155" s="632">
        <v>8308.2800000000007</v>
      </c>
      <c r="U1155" s="633" t="s">
        <v>5794</v>
      </c>
      <c r="V1155" s="634">
        <v>45127</v>
      </c>
      <c r="W1155" s="635" t="s">
        <v>96</v>
      </c>
      <c r="X1155" s="636">
        <v>8308.2800000000007</v>
      </c>
      <c r="Y1155" s="636">
        <v>8308.2800000000007</v>
      </c>
      <c r="Z1155" s="987">
        <f t="shared" ref="Z1155" si="73">Y1155/X1155</f>
        <v>1</v>
      </c>
      <c r="AA1155" s="919"/>
      <c r="AB1155" s="1055">
        <v>0</v>
      </c>
      <c r="AC1155" s="912"/>
      <c r="AD1155" s="913"/>
      <c r="AE1155" s="669"/>
      <c r="AF1155" s="718"/>
      <c r="AG1155" s="211"/>
      <c r="AH1155" s="210"/>
    </row>
    <row r="1156" spans="1:34" s="4" customFormat="1" ht="16.149999999999999" customHeight="1">
      <c r="A1156" s="2"/>
      <c r="B1156" s="310" t="s">
        <v>115</v>
      </c>
      <c r="C1156" s="311" t="s">
        <v>27</v>
      </c>
      <c r="D1156" s="687" t="s">
        <v>5795</v>
      </c>
      <c r="E1156" s="688"/>
      <c r="F1156" s="312" t="s">
        <v>5796</v>
      </c>
      <c r="G1156" s="313">
        <v>45096</v>
      </c>
      <c r="H1156" s="624"/>
      <c r="I1156" s="625"/>
      <c r="J1156" s="626"/>
      <c r="K1156" s="627"/>
      <c r="L1156" s="628"/>
      <c r="M1156" s="629"/>
      <c r="N1156" s="627"/>
      <c r="O1156" s="628"/>
      <c r="P1156" s="630"/>
      <c r="Q1156" s="631"/>
      <c r="R1156" s="715"/>
      <c r="S1156" s="910"/>
      <c r="T1156" s="632"/>
      <c r="U1156" s="633"/>
      <c r="V1156" s="634"/>
      <c r="W1156" s="635"/>
      <c r="X1156" s="636"/>
      <c r="Y1156" s="637"/>
      <c r="Z1156" s="987"/>
      <c r="AA1156" s="919"/>
      <c r="AB1156" s="908"/>
      <c r="AC1156" s="314"/>
      <c r="AD1156" s="317"/>
      <c r="AE1156" s="669"/>
      <c r="AF1156" s="718"/>
      <c r="AG1156" s="211"/>
      <c r="AH1156" s="210"/>
    </row>
    <row r="1157" spans="1:34" s="4" customFormat="1" ht="16.149999999999999" customHeight="1">
      <c r="A1157" s="2"/>
      <c r="B1157" s="310" t="s">
        <v>115</v>
      </c>
      <c r="C1157" s="311" t="s">
        <v>27</v>
      </c>
      <c r="D1157" s="687" t="s">
        <v>5797</v>
      </c>
      <c r="E1157" s="688"/>
      <c r="F1157" s="312" t="s">
        <v>5798</v>
      </c>
      <c r="G1157" s="313">
        <v>45096</v>
      </c>
      <c r="H1157" s="624"/>
      <c r="I1157" s="625"/>
      <c r="J1157" s="626"/>
      <c r="K1157" s="627"/>
      <c r="L1157" s="628"/>
      <c r="M1157" s="629"/>
      <c r="N1157" s="627"/>
      <c r="O1157" s="628"/>
      <c r="P1157" s="630"/>
      <c r="Q1157" s="631"/>
      <c r="R1157" s="715"/>
      <c r="S1157" s="910"/>
      <c r="T1157" s="632"/>
      <c r="U1157" s="633"/>
      <c r="V1157" s="634"/>
      <c r="W1157" s="635"/>
      <c r="X1157" s="636"/>
      <c r="Y1157" s="637"/>
      <c r="Z1157" s="987"/>
      <c r="AA1157" s="919"/>
      <c r="AB1157" s="908"/>
      <c r="AC1157" s="314"/>
      <c r="AD1157" s="317"/>
      <c r="AE1157" s="669"/>
      <c r="AF1157" s="718"/>
      <c r="AG1157" s="211"/>
      <c r="AH1157" s="210"/>
    </row>
    <row r="1158" spans="1:34" s="4" customFormat="1" ht="16.149999999999999" customHeight="1">
      <c r="A1158" s="2"/>
      <c r="B1158" s="310" t="s">
        <v>115</v>
      </c>
      <c r="C1158" s="311" t="s">
        <v>27</v>
      </c>
      <c r="D1158" s="687" t="s">
        <v>5799</v>
      </c>
      <c r="E1158" s="688"/>
      <c r="F1158" s="312" t="s">
        <v>5800</v>
      </c>
      <c r="G1158" s="313">
        <v>45097</v>
      </c>
      <c r="H1158" s="624"/>
      <c r="I1158" s="625"/>
      <c r="J1158" s="626"/>
      <c r="K1158" s="627"/>
      <c r="L1158" s="628"/>
      <c r="M1158" s="629"/>
      <c r="N1158" s="627"/>
      <c r="O1158" s="628"/>
      <c r="P1158" s="630"/>
      <c r="Q1158" s="631"/>
      <c r="R1158" s="715"/>
      <c r="S1158" s="910"/>
      <c r="T1158" s="632"/>
      <c r="U1158" s="633"/>
      <c r="V1158" s="634"/>
      <c r="W1158" s="635"/>
      <c r="X1158" s="636"/>
      <c r="Y1158" s="637"/>
      <c r="Z1158" s="987"/>
      <c r="AA1158" s="919"/>
      <c r="AB1158" s="908"/>
      <c r="AC1158" s="314"/>
      <c r="AD1158" s="317"/>
      <c r="AE1158" s="669"/>
      <c r="AF1158" s="718"/>
      <c r="AG1158" s="211"/>
      <c r="AH1158" s="210"/>
    </row>
    <row r="1159" spans="1:34" s="4" customFormat="1" ht="16.149999999999999" customHeight="1">
      <c r="A1159" s="2"/>
      <c r="B1159" s="310" t="s">
        <v>115</v>
      </c>
      <c r="C1159" s="311" t="s">
        <v>27</v>
      </c>
      <c r="D1159" s="687" t="s">
        <v>5801</v>
      </c>
      <c r="E1159" s="688"/>
      <c r="F1159" s="312" t="s">
        <v>5802</v>
      </c>
      <c r="G1159" s="313">
        <v>45097</v>
      </c>
      <c r="H1159" s="624"/>
      <c r="I1159" s="625"/>
      <c r="J1159" s="626"/>
      <c r="K1159" s="627"/>
      <c r="L1159" s="628"/>
      <c r="M1159" s="629"/>
      <c r="N1159" s="627"/>
      <c r="O1159" s="628"/>
      <c r="P1159" s="630"/>
      <c r="Q1159" s="631"/>
      <c r="R1159" s="715"/>
      <c r="S1159" s="910"/>
      <c r="T1159" s="632"/>
      <c r="U1159" s="633"/>
      <c r="V1159" s="634"/>
      <c r="W1159" s="635"/>
      <c r="X1159" s="636"/>
      <c r="Y1159" s="637"/>
      <c r="Z1159" s="987"/>
      <c r="AA1159" s="919"/>
      <c r="AB1159" s="908"/>
      <c r="AC1159" s="314"/>
      <c r="AD1159" s="317"/>
      <c r="AE1159" s="669"/>
      <c r="AF1159" s="718"/>
      <c r="AG1159" s="211"/>
      <c r="AH1159" s="210"/>
    </row>
    <row r="1160" spans="1:34" s="4" customFormat="1" ht="16.149999999999999" customHeight="1">
      <c r="A1160" s="2"/>
      <c r="B1160" s="310" t="s">
        <v>115</v>
      </c>
      <c r="C1160" s="311" t="s">
        <v>27</v>
      </c>
      <c r="D1160" s="687" t="s">
        <v>5803</v>
      </c>
      <c r="E1160" s="688"/>
      <c r="F1160" s="312" t="s">
        <v>5804</v>
      </c>
      <c r="G1160" s="313">
        <v>45098</v>
      </c>
      <c r="H1160" s="624"/>
      <c r="I1160" s="625"/>
      <c r="J1160" s="626"/>
      <c r="K1160" s="627"/>
      <c r="L1160" s="628"/>
      <c r="M1160" s="629"/>
      <c r="N1160" s="627"/>
      <c r="O1160" s="628"/>
      <c r="P1160" s="630"/>
      <c r="Q1160" s="631"/>
      <c r="R1160" s="715"/>
      <c r="S1160" s="910"/>
      <c r="T1160" s="632"/>
      <c r="U1160" s="633"/>
      <c r="V1160" s="634"/>
      <c r="W1160" s="635"/>
      <c r="X1160" s="636"/>
      <c r="Y1160" s="637"/>
      <c r="Z1160" s="987"/>
      <c r="AA1160" s="919"/>
      <c r="AB1160" s="908"/>
      <c r="AC1160" s="314"/>
      <c r="AD1160" s="317"/>
      <c r="AE1160" s="669"/>
      <c r="AF1160" s="718"/>
      <c r="AG1160" s="211"/>
      <c r="AH1160" s="210"/>
    </row>
    <row r="1161" spans="1:34" s="4" customFormat="1" ht="16.149999999999999" customHeight="1">
      <c r="A1161" s="2"/>
      <c r="B1161" s="310" t="s">
        <v>115</v>
      </c>
      <c r="C1161" s="311" t="s">
        <v>27</v>
      </c>
      <c r="D1161" s="687" t="s">
        <v>5805</v>
      </c>
      <c r="E1161" s="688"/>
      <c r="F1161" s="312" t="s">
        <v>5806</v>
      </c>
      <c r="G1161" s="313">
        <v>45099</v>
      </c>
      <c r="H1161" s="624"/>
      <c r="I1161" s="625"/>
      <c r="J1161" s="626"/>
      <c r="K1161" s="627"/>
      <c r="L1161" s="628"/>
      <c r="M1161" s="629"/>
      <c r="N1161" s="627"/>
      <c r="O1161" s="628"/>
      <c r="P1161" s="630"/>
      <c r="Q1161" s="631"/>
      <c r="R1161" s="715"/>
      <c r="S1161" s="910"/>
      <c r="T1161" s="632"/>
      <c r="U1161" s="633"/>
      <c r="V1161" s="634"/>
      <c r="W1161" s="635"/>
      <c r="X1161" s="636"/>
      <c r="Y1161" s="637"/>
      <c r="Z1161" s="987"/>
      <c r="AA1161" s="919"/>
      <c r="AB1161" s="908"/>
      <c r="AC1161" s="314"/>
      <c r="AD1161" s="317"/>
      <c r="AE1161" s="669"/>
      <c r="AF1161" s="718"/>
      <c r="AG1161" s="211"/>
      <c r="AH1161" s="210"/>
    </row>
    <row r="1162" spans="1:34" s="4" customFormat="1" ht="16.149999999999999" customHeight="1">
      <c r="A1162" s="2"/>
      <c r="B1162" s="310" t="s">
        <v>115</v>
      </c>
      <c r="C1162" s="311" t="s">
        <v>27</v>
      </c>
      <c r="D1162" s="687" t="s">
        <v>5807</v>
      </c>
      <c r="E1162" s="688"/>
      <c r="F1162" s="312" t="s">
        <v>5808</v>
      </c>
      <c r="G1162" s="313">
        <v>45099</v>
      </c>
      <c r="H1162" s="624"/>
      <c r="I1162" s="625"/>
      <c r="J1162" s="626"/>
      <c r="K1162" s="627"/>
      <c r="L1162" s="628"/>
      <c r="M1162" s="629"/>
      <c r="N1162" s="627"/>
      <c r="O1162" s="628"/>
      <c r="P1162" s="630"/>
      <c r="Q1162" s="631"/>
      <c r="R1162" s="715"/>
      <c r="S1162" s="910"/>
      <c r="T1162" s="632"/>
      <c r="U1162" s="633"/>
      <c r="V1162" s="634"/>
      <c r="W1162" s="635"/>
      <c r="X1162" s="636"/>
      <c r="Y1162" s="637"/>
      <c r="Z1162" s="987"/>
      <c r="AA1162" s="919"/>
      <c r="AB1162" s="908"/>
      <c r="AC1162" s="314"/>
      <c r="AD1162" s="317"/>
      <c r="AE1162" s="669"/>
      <c r="AF1162" s="718"/>
      <c r="AG1162" s="211"/>
      <c r="AH1162" s="210"/>
    </row>
    <row r="1163" spans="1:34" s="4" customFormat="1" ht="16.149999999999999" customHeight="1">
      <c r="A1163" s="2"/>
      <c r="B1163" s="310" t="s">
        <v>115</v>
      </c>
      <c r="C1163" s="311" t="s">
        <v>27</v>
      </c>
      <c r="D1163" s="687" t="s">
        <v>5809</v>
      </c>
      <c r="E1163" s="688"/>
      <c r="F1163" s="312" t="s">
        <v>5810</v>
      </c>
      <c r="G1163" s="313">
        <v>45103</v>
      </c>
      <c r="H1163" s="624"/>
      <c r="I1163" s="625"/>
      <c r="J1163" s="626"/>
      <c r="K1163" s="627"/>
      <c r="L1163" s="628"/>
      <c r="M1163" s="629"/>
      <c r="N1163" s="627"/>
      <c r="O1163" s="628"/>
      <c r="P1163" s="630"/>
      <c r="Q1163" s="631"/>
      <c r="R1163" s="715"/>
      <c r="S1163" s="910"/>
      <c r="T1163" s="632"/>
      <c r="U1163" s="633"/>
      <c r="V1163" s="634"/>
      <c r="W1163" s="635"/>
      <c r="X1163" s="636"/>
      <c r="Y1163" s="637"/>
      <c r="Z1163" s="987"/>
      <c r="AA1163" s="919"/>
      <c r="AB1163" s="908"/>
      <c r="AC1163" s="314"/>
      <c r="AD1163" s="317"/>
      <c r="AE1163" s="669"/>
      <c r="AF1163" s="718"/>
      <c r="AG1163" s="211"/>
      <c r="AH1163" s="210"/>
    </row>
    <row r="1164" spans="1:34" s="4" customFormat="1" ht="16.149999999999999" customHeight="1">
      <c r="A1164" s="2"/>
      <c r="B1164" s="310" t="s">
        <v>115</v>
      </c>
      <c r="C1164" s="311" t="s">
        <v>27</v>
      </c>
      <c r="D1164" s="687" t="s">
        <v>5811</v>
      </c>
      <c r="E1164" s="688"/>
      <c r="F1164" s="312" t="s">
        <v>5812</v>
      </c>
      <c r="G1164" s="313">
        <v>45103</v>
      </c>
      <c r="H1164" s="624"/>
      <c r="I1164" s="625"/>
      <c r="J1164" s="626"/>
      <c r="K1164" s="627"/>
      <c r="L1164" s="628"/>
      <c r="M1164" s="629"/>
      <c r="N1164" s="627"/>
      <c r="O1164" s="628"/>
      <c r="P1164" s="630"/>
      <c r="Q1164" s="631"/>
      <c r="R1164" s="715"/>
      <c r="S1164" s="910"/>
      <c r="T1164" s="632"/>
      <c r="U1164" s="633"/>
      <c r="V1164" s="634"/>
      <c r="W1164" s="635"/>
      <c r="X1164" s="636"/>
      <c r="Y1164" s="637"/>
      <c r="Z1164" s="987"/>
      <c r="AA1164" s="919"/>
      <c r="AB1164" s="908"/>
      <c r="AC1164" s="314"/>
      <c r="AD1164" s="317"/>
      <c r="AE1164" s="669"/>
      <c r="AF1164" s="718"/>
      <c r="AG1164" s="211"/>
      <c r="AH1164" s="210"/>
    </row>
    <row r="1165" spans="1:34" s="4" customFormat="1" ht="16.149999999999999" customHeight="1">
      <c r="A1165" s="2"/>
      <c r="B1165" s="310" t="s">
        <v>115</v>
      </c>
      <c r="C1165" s="311" t="s">
        <v>27</v>
      </c>
      <c r="D1165" s="687" t="s">
        <v>5813</v>
      </c>
      <c r="E1165" s="688"/>
      <c r="F1165" s="312" t="s">
        <v>5814</v>
      </c>
      <c r="G1165" s="313">
        <v>45104</v>
      </c>
      <c r="H1165" s="624"/>
      <c r="I1165" s="625"/>
      <c r="J1165" s="626"/>
      <c r="K1165" s="627"/>
      <c r="L1165" s="628"/>
      <c r="M1165" s="629"/>
      <c r="N1165" s="627"/>
      <c r="O1165" s="628"/>
      <c r="P1165" s="630"/>
      <c r="Q1165" s="631"/>
      <c r="R1165" s="715"/>
      <c r="S1165" s="910"/>
      <c r="T1165" s="632"/>
      <c r="U1165" s="633"/>
      <c r="V1165" s="634"/>
      <c r="W1165" s="635"/>
      <c r="X1165" s="636"/>
      <c r="Y1165" s="637"/>
      <c r="Z1165" s="987"/>
      <c r="AA1165" s="919"/>
      <c r="AB1165" s="908"/>
      <c r="AC1165" s="314"/>
      <c r="AD1165" s="317"/>
      <c r="AE1165" s="669"/>
      <c r="AF1165" s="718"/>
      <c r="AG1165" s="211"/>
      <c r="AH1165" s="210"/>
    </row>
    <row r="1166" spans="1:34" s="4" customFormat="1" ht="16.149999999999999" customHeight="1">
      <c r="A1166" s="2"/>
      <c r="B1166" s="310" t="s">
        <v>115</v>
      </c>
      <c r="C1166" s="311" t="s">
        <v>27</v>
      </c>
      <c r="D1166" s="687" t="s">
        <v>5815</v>
      </c>
      <c r="E1166" s="688"/>
      <c r="F1166" s="312" t="s">
        <v>5816</v>
      </c>
      <c r="G1166" s="313">
        <v>45104</v>
      </c>
      <c r="H1166" s="624"/>
      <c r="I1166" s="625"/>
      <c r="J1166" s="626"/>
      <c r="K1166" s="627"/>
      <c r="L1166" s="628"/>
      <c r="M1166" s="629"/>
      <c r="N1166" s="627"/>
      <c r="O1166" s="628"/>
      <c r="P1166" s="630"/>
      <c r="Q1166" s="631"/>
      <c r="R1166" s="715"/>
      <c r="S1166" s="910"/>
      <c r="T1166" s="632"/>
      <c r="U1166" s="633"/>
      <c r="V1166" s="634"/>
      <c r="W1166" s="635"/>
      <c r="X1166" s="636"/>
      <c r="Y1166" s="637"/>
      <c r="Z1166" s="987"/>
      <c r="AA1166" s="919"/>
      <c r="AB1166" s="908"/>
      <c r="AC1166" s="314"/>
      <c r="AD1166" s="317"/>
      <c r="AE1166" s="669"/>
      <c r="AF1166" s="718"/>
      <c r="AG1166" s="211"/>
      <c r="AH1166" s="210"/>
    </row>
    <row r="1167" spans="1:34" s="4" customFormat="1" ht="16.149999999999999" customHeight="1">
      <c r="A1167" s="2"/>
      <c r="B1167" s="310" t="s">
        <v>106</v>
      </c>
      <c r="C1167" s="311" t="s">
        <v>33</v>
      </c>
      <c r="D1167" s="687" t="s">
        <v>5817</v>
      </c>
      <c r="E1167" s="688"/>
      <c r="F1167" s="312"/>
      <c r="G1167" s="313"/>
      <c r="H1167" s="624"/>
      <c r="I1167" s="625"/>
      <c r="J1167" s="626"/>
      <c r="K1167" s="627" t="s">
        <v>5818</v>
      </c>
      <c r="L1167" s="628"/>
      <c r="M1167" s="629"/>
      <c r="N1167" s="627" t="s">
        <v>5819</v>
      </c>
      <c r="O1167" s="628"/>
      <c r="P1167" s="630" t="s">
        <v>5820</v>
      </c>
      <c r="Q1167" s="631"/>
      <c r="R1167" s="715"/>
      <c r="S1167" s="1068"/>
      <c r="T1167" s="632">
        <v>9212.66</v>
      </c>
      <c r="U1167" s="633" t="s">
        <v>5821</v>
      </c>
      <c r="V1167" s="634">
        <v>45076</v>
      </c>
      <c r="W1167" s="635" t="s">
        <v>79</v>
      </c>
      <c r="X1167" s="636">
        <v>21520.97</v>
      </c>
      <c r="Y1167" s="636">
        <v>21520.97</v>
      </c>
      <c r="Z1167" s="987">
        <f t="shared" ref="Z1167" si="74">Y1167/X1167</f>
        <v>1</v>
      </c>
      <c r="AA1167" s="919"/>
      <c r="AB1167" s="1055">
        <v>0</v>
      </c>
      <c r="AC1167" s="912"/>
      <c r="AD1167" s="913"/>
      <c r="AE1167" s="669"/>
      <c r="AF1167" s="718"/>
      <c r="AG1167" s="211"/>
      <c r="AH1167" s="210"/>
    </row>
    <row r="1168" spans="1:34" s="4" customFormat="1" ht="16.149999999999999" customHeight="1">
      <c r="A1168" s="2"/>
      <c r="B1168" s="310" t="s">
        <v>106</v>
      </c>
      <c r="C1168" s="311" t="s">
        <v>33</v>
      </c>
      <c r="D1168" s="687" t="s">
        <v>5822</v>
      </c>
      <c r="E1168" s="688"/>
      <c r="F1168" s="312"/>
      <c r="G1168" s="313"/>
      <c r="H1168" s="624"/>
      <c r="I1168" s="625"/>
      <c r="J1168" s="626"/>
      <c r="K1168" s="627" t="s">
        <v>5823</v>
      </c>
      <c r="L1168" s="628"/>
      <c r="M1168" s="629"/>
      <c r="N1168" s="627" t="s">
        <v>5824</v>
      </c>
      <c r="O1168" s="628"/>
      <c r="P1168" s="630" t="s">
        <v>5825</v>
      </c>
      <c r="Q1168" s="631"/>
      <c r="R1168" s="715"/>
      <c r="S1168" s="910"/>
      <c r="T1168" s="632">
        <v>12308.31</v>
      </c>
      <c r="U1168" s="633" t="s">
        <v>5826</v>
      </c>
      <c r="V1168" s="634"/>
      <c r="W1168" s="635" t="s">
        <v>96</v>
      </c>
      <c r="X1168" s="636"/>
      <c r="Y1168" s="637"/>
      <c r="Z1168" s="987" t="s">
        <v>268</v>
      </c>
      <c r="AA1168" s="919"/>
      <c r="AB1168" s="1012">
        <v>0</v>
      </c>
      <c r="AC1168" s="912"/>
      <c r="AD1168" s="913"/>
      <c r="AE1168" s="669"/>
      <c r="AF1168" s="718"/>
      <c r="AG1168" s="211"/>
      <c r="AH1168" s="210"/>
    </row>
    <row r="1169" spans="1:34" s="4" customFormat="1" ht="16.149999999999999" customHeight="1">
      <c r="A1169" s="2"/>
      <c r="B1169" s="310" t="s">
        <v>115</v>
      </c>
      <c r="C1169" s="311" t="s">
        <v>27</v>
      </c>
      <c r="D1169" s="687"/>
      <c r="E1169" s="688"/>
      <c r="F1169" s="312" t="s">
        <v>5827</v>
      </c>
      <c r="G1169" s="313">
        <v>45105</v>
      </c>
      <c r="H1169" s="624"/>
      <c r="I1169" s="625"/>
      <c r="J1169" s="626"/>
      <c r="K1169" s="627"/>
      <c r="L1169" s="628"/>
      <c r="M1169" s="629"/>
      <c r="N1169" s="627"/>
      <c r="O1169" s="628"/>
      <c r="P1169" s="630"/>
      <c r="Q1169" s="631"/>
      <c r="R1169" s="715"/>
      <c r="S1169" s="910"/>
      <c r="T1169" s="632"/>
      <c r="U1169" s="633"/>
      <c r="V1169" s="634"/>
      <c r="W1169" s="635"/>
      <c r="X1169" s="636"/>
      <c r="Y1169" s="637"/>
      <c r="Z1169" s="987"/>
      <c r="AA1169" s="919"/>
      <c r="AB1169" s="908"/>
      <c r="AC1169" s="314" t="s">
        <v>5828</v>
      </c>
      <c r="AD1169" s="317"/>
      <c r="AE1169" s="669"/>
      <c r="AF1169" s="718"/>
      <c r="AG1169" s="211"/>
      <c r="AH1169" s="210"/>
    </row>
    <row r="1170" spans="1:34" s="4" customFormat="1" ht="16.149999999999999" customHeight="1">
      <c r="A1170" s="2"/>
      <c r="B1170" s="310" t="s">
        <v>106</v>
      </c>
      <c r="C1170" s="311" t="s">
        <v>33</v>
      </c>
      <c r="D1170" s="687" t="s">
        <v>5829</v>
      </c>
      <c r="E1170" s="688"/>
      <c r="F1170" s="312" t="s">
        <v>5830</v>
      </c>
      <c r="G1170" s="313">
        <v>45106</v>
      </c>
      <c r="H1170" s="624"/>
      <c r="I1170" s="625"/>
      <c r="J1170" s="626"/>
      <c r="K1170" s="627" t="s">
        <v>5831</v>
      </c>
      <c r="L1170" s="628">
        <v>45152</v>
      </c>
      <c r="M1170" s="629">
        <v>2000</v>
      </c>
      <c r="N1170" s="627" t="s">
        <v>5832</v>
      </c>
      <c r="O1170" s="628">
        <v>45152</v>
      </c>
      <c r="P1170" s="630" t="s">
        <v>5833</v>
      </c>
      <c r="Q1170" s="631">
        <v>45163</v>
      </c>
      <c r="R1170" s="715">
        <v>45180</v>
      </c>
      <c r="S1170" s="1068"/>
      <c r="T1170" s="632">
        <v>6261.91</v>
      </c>
      <c r="U1170" s="633" t="s">
        <v>5834</v>
      </c>
      <c r="V1170" s="634">
        <v>45169</v>
      </c>
      <c r="W1170" s="635" t="s">
        <v>2302</v>
      </c>
      <c r="X1170" s="636">
        <v>6261.91</v>
      </c>
      <c r="Y1170" s="636">
        <v>6261.91</v>
      </c>
      <c r="Z1170" s="987">
        <f t="shared" ref="Z1170:Z1171" si="75">Y1170/X1170</f>
        <v>1</v>
      </c>
      <c r="AA1170" s="919"/>
      <c r="AB1170" s="1055">
        <v>0</v>
      </c>
      <c r="AC1170" s="736" t="s">
        <v>5835</v>
      </c>
      <c r="AD1170" s="317"/>
      <c r="AE1170" s="669"/>
      <c r="AF1170" s="718"/>
      <c r="AG1170" s="211"/>
      <c r="AH1170" s="210"/>
    </row>
    <row r="1171" spans="1:34" s="4" customFormat="1" ht="16.149999999999999" customHeight="1">
      <c r="A1171" s="2"/>
      <c r="B1171" s="310" t="s">
        <v>106</v>
      </c>
      <c r="C1171" s="311" t="s">
        <v>33</v>
      </c>
      <c r="D1171" s="687" t="s">
        <v>5836</v>
      </c>
      <c r="E1171" s="688"/>
      <c r="F1171" s="312" t="s">
        <v>5837</v>
      </c>
      <c r="G1171" s="313">
        <v>45107</v>
      </c>
      <c r="H1171" s="624"/>
      <c r="I1171" s="625"/>
      <c r="J1171" s="626"/>
      <c r="K1171" s="627" t="s">
        <v>5838</v>
      </c>
      <c r="L1171" s="628">
        <v>45148</v>
      </c>
      <c r="M1171" s="629">
        <v>26000</v>
      </c>
      <c r="N1171" s="627" t="s">
        <v>5839</v>
      </c>
      <c r="O1171" s="628"/>
      <c r="P1171" s="630" t="s">
        <v>5840</v>
      </c>
      <c r="Q1171" s="631">
        <v>45166</v>
      </c>
      <c r="R1171" s="715">
        <v>45180</v>
      </c>
      <c r="S1171" s="1068"/>
      <c r="T1171" s="632">
        <v>26429.22</v>
      </c>
      <c r="U1171" s="633" t="s">
        <v>5841</v>
      </c>
      <c r="V1171" s="634">
        <v>45170</v>
      </c>
      <c r="W1171" s="635" t="s">
        <v>2302</v>
      </c>
      <c r="X1171" s="636">
        <v>28423.05</v>
      </c>
      <c r="Y1171" s="636">
        <v>28423.05</v>
      </c>
      <c r="Z1171" s="987">
        <f t="shared" si="75"/>
        <v>1</v>
      </c>
      <c r="AA1171" s="919"/>
      <c r="AB1171" s="1055">
        <v>0</v>
      </c>
      <c r="AC1171" s="736" t="s">
        <v>5842</v>
      </c>
      <c r="AD1171" s="317"/>
      <c r="AE1171" s="669"/>
      <c r="AF1171" s="718"/>
      <c r="AG1171" s="211"/>
      <c r="AH1171" s="210"/>
    </row>
    <row r="1172" spans="1:34" s="4" customFormat="1" ht="16.149999999999999" customHeight="1">
      <c r="A1172" s="2"/>
      <c r="B1172" s="310" t="s">
        <v>115</v>
      </c>
      <c r="C1172" s="311" t="s">
        <v>27</v>
      </c>
      <c r="D1172" s="687" t="s">
        <v>5843</v>
      </c>
      <c r="E1172" s="688"/>
      <c r="F1172" s="312" t="s">
        <v>5844</v>
      </c>
      <c r="G1172" s="313">
        <v>45112</v>
      </c>
      <c r="H1172" s="624"/>
      <c r="I1172" s="625"/>
      <c r="J1172" s="626"/>
      <c r="K1172" s="627"/>
      <c r="L1172" s="628"/>
      <c r="M1172" s="629"/>
      <c r="N1172" s="627"/>
      <c r="O1172" s="628"/>
      <c r="P1172" s="630"/>
      <c r="Q1172" s="631"/>
      <c r="R1172" s="715"/>
      <c r="S1172" s="910"/>
      <c r="T1172" s="632"/>
      <c r="U1172" s="633"/>
      <c r="V1172" s="634"/>
      <c r="W1172" s="635"/>
      <c r="X1172" s="636"/>
      <c r="Y1172" s="637"/>
      <c r="Z1172" s="987"/>
      <c r="AA1172" s="919"/>
      <c r="AB1172" s="908"/>
      <c r="AC1172" s="314" t="s">
        <v>5845</v>
      </c>
      <c r="AD1172" s="317"/>
      <c r="AE1172" s="669"/>
      <c r="AF1172" s="718"/>
      <c r="AG1172" s="211"/>
      <c r="AH1172" s="210"/>
    </row>
    <row r="1173" spans="1:34" s="4" customFormat="1" ht="16.149999999999999" customHeight="1">
      <c r="A1173" s="2"/>
      <c r="B1173" s="310" t="s">
        <v>115</v>
      </c>
      <c r="C1173" s="311" t="s">
        <v>27</v>
      </c>
      <c r="D1173" s="687" t="s">
        <v>5846</v>
      </c>
      <c r="E1173" s="688"/>
      <c r="F1173" s="312" t="s">
        <v>5847</v>
      </c>
      <c r="G1173" s="313">
        <v>45112</v>
      </c>
      <c r="H1173" s="624"/>
      <c r="I1173" s="625"/>
      <c r="J1173" s="626"/>
      <c r="K1173" s="627"/>
      <c r="L1173" s="628"/>
      <c r="M1173" s="629"/>
      <c r="N1173" s="627"/>
      <c r="O1173" s="628"/>
      <c r="P1173" s="630"/>
      <c r="Q1173" s="631"/>
      <c r="R1173" s="715"/>
      <c r="S1173" s="910"/>
      <c r="T1173" s="632"/>
      <c r="U1173" s="633"/>
      <c r="V1173" s="634"/>
      <c r="W1173" s="635"/>
      <c r="X1173" s="636"/>
      <c r="Y1173" s="637"/>
      <c r="Z1173" s="987"/>
      <c r="AA1173" s="919"/>
      <c r="AB1173" s="908"/>
      <c r="AC1173" s="314" t="s">
        <v>5848</v>
      </c>
      <c r="AD1173" s="317"/>
      <c r="AE1173" s="669"/>
      <c r="AF1173" s="718"/>
      <c r="AG1173" s="211"/>
      <c r="AH1173" s="210"/>
    </row>
    <row r="1174" spans="1:34" s="4" customFormat="1" ht="16.149999999999999" customHeight="1">
      <c r="A1174" s="2"/>
      <c r="B1174" s="310" t="s">
        <v>115</v>
      </c>
      <c r="C1174" s="311" t="s">
        <v>27</v>
      </c>
      <c r="D1174" s="687" t="s">
        <v>5849</v>
      </c>
      <c r="E1174" s="688"/>
      <c r="F1174" s="312" t="s">
        <v>5850</v>
      </c>
      <c r="G1174" s="313">
        <v>45113</v>
      </c>
      <c r="H1174" s="624"/>
      <c r="I1174" s="625"/>
      <c r="J1174" s="626"/>
      <c r="K1174" s="627"/>
      <c r="L1174" s="628"/>
      <c r="M1174" s="629"/>
      <c r="N1174" s="627"/>
      <c r="O1174" s="628"/>
      <c r="P1174" s="630"/>
      <c r="Q1174" s="631"/>
      <c r="R1174" s="715"/>
      <c r="S1174" s="910"/>
      <c r="T1174" s="632"/>
      <c r="U1174" s="633"/>
      <c r="V1174" s="634"/>
      <c r="W1174" s="635"/>
      <c r="X1174" s="636"/>
      <c r="Y1174" s="637"/>
      <c r="Z1174" s="987"/>
      <c r="AA1174" s="919"/>
      <c r="AB1174" s="908"/>
      <c r="AC1174" s="314" t="s">
        <v>5851</v>
      </c>
      <c r="AD1174" s="317"/>
      <c r="AE1174" s="669"/>
      <c r="AF1174" s="718"/>
      <c r="AG1174" s="211"/>
      <c r="AH1174" s="210"/>
    </row>
    <row r="1175" spans="1:34" s="4" customFormat="1" ht="16.149999999999999" customHeight="1">
      <c r="A1175" s="2"/>
      <c r="B1175" s="310" t="s">
        <v>115</v>
      </c>
      <c r="C1175" s="311" t="s">
        <v>27</v>
      </c>
      <c r="D1175" s="687" t="s">
        <v>5852</v>
      </c>
      <c r="E1175" s="688"/>
      <c r="F1175" s="312" t="s">
        <v>5853</v>
      </c>
      <c r="G1175" s="313">
        <v>45113</v>
      </c>
      <c r="H1175" s="624"/>
      <c r="I1175" s="625"/>
      <c r="J1175" s="626"/>
      <c r="K1175" s="627"/>
      <c r="L1175" s="628"/>
      <c r="M1175" s="629"/>
      <c r="N1175" s="627"/>
      <c r="O1175" s="628"/>
      <c r="P1175" s="630"/>
      <c r="Q1175" s="631"/>
      <c r="R1175" s="715"/>
      <c r="S1175" s="910"/>
      <c r="T1175" s="632"/>
      <c r="U1175" s="633"/>
      <c r="V1175" s="634"/>
      <c r="W1175" s="635"/>
      <c r="X1175" s="636"/>
      <c r="Y1175" s="637"/>
      <c r="Z1175" s="987"/>
      <c r="AA1175" s="919"/>
      <c r="AB1175" s="908"/>
      <c r="AC1175" s="314" t="s">
        <v>5854</v>
      </c>
      <c r="AD1175" s="317"/>
      <c r="AE1175" s="669"/>
      <c r="AF1175" s="718"/>
      <c r="AG1175" s="211"/>
      <c r="AH1175" s="210"/>
    </row>
    <row r="1176" spans="1:34" s="4" customFormat="1" ht="16.149999999999999" customHeight="1">
      <c r="A1176" s="2"/>
      <c r="B1176" s="310" t="s">
        <v>115</v>
      </c>
      <c r="C1176" s="311" t="s">
        <v>27</v>
      </c>
      <c r="D1176" s="687" t="s">
        <v>5855</v>
      </c>
      <c r="E1176" s="688"/>
      <c r="F1176" s="312" t="s">
        <v>5856</v>
      </c>
      <c r="G1176" s="313">
        <v>45117</v>
      </c>
      <c r="H1176" s="624"/>
      <c r="I1176" s="625"/>
      <c r="J1176" s="626"/>
      <c r="K1176" s="627"/>
      <c r="L1176" s="628"/>
      <c r="M1176" s="629"/>
      <c r="N1176" s="627"/>
      <c r="O1176" s="628"/>
      <c r="P1176" s="630"/>
      <c r="Q1176" s="631"/>
      <c r="R1176" s="715"/>
      <c r="S1176" s="910"/>
      <c r="T1176" s="632"/>
      <c r="U1176" s="633"/>
      <c r="V1176" s="634"/>
      <c r="W1176" s="635"/>
      <c r="X1176" s="636"/>
      <c r="Y1176" s="637"/>
      <c r="Z1176" s="987"/>
      <c r="AA1176" s="919"/>
      <c r="AB1176" s="908"/>
      <c r="AC1176" s="314" t="s">
        <v>5857</v>
      </c>
      <c r="AD1176" s="317"/>
      <c r="AE1176" s="669"/>
      <c r="AF1176" s="718"/>
      <c r="AG1176" s="211"/>
      <c r="AH1176" s="210"/>
    </row>
    <row r="1177" spans="1:34" s="4" customFormat="1" ht="16.149999999999999" customHeight="1">
      <c r="A1177" s="2"/>
      <c r="B1177" s="310" t="s">
        <v>106</v>
      </c>
      <c r="C1177" s="311" t="s">
        <v>33</v>
      </c>
      <c r="D1177" s="687" t="s">
        <v>5858</v>
      </c>
      <c r="E1177" s="688"/>
      <c r="F1177" s="312" t="s">
        <v>5859</v>
      </c>
      <c r="G1177" s="313">
        <v>45120</v>
      </c>
      <c r="H1177" s="624"/>
      <c r="I1177" s="625"/>
      <c r="J1177" s="626"/>
      <c r="K1177" s="627" t="s">
        <v>5860</v>
      </c>
      <c r="L1177" s="628">
        <v>45140</v>
      </c>
      <c r="M1177" s="629">
        <v>12000</v>
      </c>
      <c r="N1177" s="627" t="s">
        <v>5861</v>
      </c>
      <c r="O1177" s="628">
        <v>45142</v>
      </c>
      <c r="P1177" s="630" t="s">
        <v>5862</v>
      </c>
      <c r="Q1177" s="631">
        <v>45160</v>
      </c>
      <c r="R1177" s="715">
        <v>45183</v>
      </c>
      <c r="S1177" s="1068"/>
      <c r="T1177" s="632">
        <v>19190.32</v>
      </c>
      <c r="U1177" s="633" t="s">
        <v>5863</v>
      </c>
      <c r="V1177" s="634">
        <v>45175</v>
      </c>
      <c r="W1177" s="635" t="s">
        <v>96</v>
      </c>
      <c r="X1177" s="636">
        <v>19190.32</v>
      </c>
      <c r="Y1177" s="636">
        <v>19190.32</v>
      </c>
      <c r="Z1177" s="987">
        <f t="shared" ref="Z1177:Z1178" si="76">Y1177/X1177</f>
        <v>1</v>
      </c>
      <c r="AA1177" s="919"/>
      <c r="AB1177" s="1056"/>
      <c r="AC1177" s="736" t="s">
        <v>5864</v>
      </c>
      <c r="AD1177" s="317"/>
      <c r="AE1177" s="669"/>
      <c r="AF1177" s="718"/>
      <c r="AG1177" s="211"/>
      <c r="AH1177" s="210"/>
    </row>
    <row r="1178" spans="1:34" s="4" customFormat="1" ht="16.149999999999999" customHeight="1">
      <c r="A1178" s="2"/>
      <c r="B1178" s="310" t="s">
        <v>106</v>
      </c>
      <c r="C1178" s="311" t="s">
        <v>33</v>
      </c>
      <c r="D1178" s="687" t="s">
        <v>5865</v>
      </c>
      <c r="E1178" s="688"/>
      <c r="F1178" s="312" t="s">
        <v>5866</v>
      </c>
      <c r="G1178" s="313">
        <v>45121</v>
      </c>
      <c r="H1178" s="624"/>
      <c r="I1178" s="625"/>
      <c r="J1178" s="626"/>
      <c r="K1178" s="627" t="s">
        <v>5867</v>
      </c>
      <c r="L1178" s="628">
        <v>45174</v>
      </c>
      <c r="M1178" s="629">
        <v>8500</v>
      </c>
      <c r="N1178" s="627" t="s">
        <v>5868</v>
      </c>
      <c r="O1178" s="628">
        <v>45174</v>
      </c>
      <c r="P1178" s="630" t="s">
        <v>5869</v>
      </c>
      <c r="Q1178" s="631">
        <v>45191</v>
      </c>
      <c r="R1178" s="715">
        <v>45208</v>
      </c>
      <c r="S1178" s="1068"/>
      <c r="T1178" s="632">
        <v>30248.02</v>
      </c>
      <c r="U1178" s="633" t="s">
        <v>5870</v>
      </c>
      <c r="V1178" s="634">
        <v>45212</v>
      </c>
      <c r="W1178" s="635" t="s">
        <v>2302</v>
      </c>
      <c r="X1178" s="636">
        <v>30248.02</v>
      </c>
      <c r="Y1178" s="636">
        <v>30248.02</v>
      </c>
      <c r="Z1178" s="987">
        <f t="shared" si="76"/>
        <v>1</v>
      </c>
      <c r="AA1178" s="919"/>
      <c r="AB1178" s="1055">
        <v>0</v>
      </c>
      <c r="AC1178" s="736" t="s">
        <v>5871</v>
      </c>
      <c r="AD1178" s="317"/>
      <c r="AE1178" s="669"/>
      <c r="AF1178" s="718"/>
      <c r="AG1178" s="211"/>
      <c r="AH1178" s="210"/>
    </row>
    <row r="1179" spans="1:34" s="4" customFormat="1" ht="16.149999999999999" customHeight="1">
      <c r="A1179" s="2"/>
      <c r="B1179" s="310" t="s">
        <v>115</v>
      </c>
      <c r="C1179" s="311" t="s">
        <v>27</v>
      </c>
      <c r="D1179" s="687" t="s">
        <v>5872</v>
      </c>
      <c r="E1179" s="688"/>
      <c r="F1179" s="312" t="s">
        <v>5873</v>
      </c>
      <c r="G1179" s="313">
        <v>45125</v>
      </c>
      <c r="H1179" s="624"/>
      <c r="I1179" s="625"/>
      <c r="J1179" s="626"/>
      <c r="K1179" s="627"/>
      <c r="L1179" s="628"/>
      <c r="M1179" s="629"/>
      <c r="N1179" s="627"/>
      <c r="O1179" s="628"/>
      <c r="P1179" s="630"/>
      <c r="Q1179" s="631"/>
      <c r="R1179" s="715"/>
      <c r="S1179" s="910"/>
      <c r="T1179" s="632"/>
      <c r="U1179" s="633"/>
      <c r="V1179" s="634"/>
      <c r="W1179" s="635"/>
      <c r="X1179" s="636"/>
      <c r="Y1179" s="637"/>
      <c r="Z1179" s="987"/>
      <c r="AA1179" s="919"/>
      <c r="AB1179" s="908"/>
      <c r="AC1179" s="314" t="s">
        <v>5874</v>
      </c>
      <c r="AD1179" s="317"/>
      <c r="AE1179" s="669"/>
      <c r="AF1179" s="718"/>
      <c r="AG1179" s="211"/>
      <c r="AH1179" s="210"/>
    </row>
    <row r="1180" spans="1:34" s="4" customFormat="1" ht="16.149999999999999" customHeight="1">
      <c r="A1180" s="2"/>
      <c r="B1180" s="310" t="s">
        <v>115</v>
      </c>
      <c r="C1180" s="311" t="s">
        <v>27</v>
      </c>
      <c r="D1180" s="687" t="s">
        <v>5875</v>
      </c>
      <c r="E1180" s="688"/>
      <c r="F1180" s="312" t="s">
        <v>5876</v>
      </c>
      <c r="G1180" s="313">
        <v>45125</v>
      </c>
      <c r="H1180" s="624"/>
      <c r="I1180" s="625"/>
      <c r="J1180" s="626"/>
      <c r="K1180" s="627"/>
      <c r="L1180" s="628"/>
      <c r="M1180" s="629"/>
      <c r="N1180" s="627"/>
      <c r="O1180" s="628"/>
      <c r="P1180" s="630"/>
      <c r="Q1180" s="631"/>
      <c r="R1180" s="715"/>
      <c r="S1180" s="910"/>
      <c r="T1180" s="632"/>
      <c r="U1180" s="633"/>
      <c r="V1180" s="634"/>
      <c r="W1180" s="635"/>
      <c r="X1180" s="636"/>
      <c r="Y1180" s="637"/>
      <c r="Z1180" s="987"/>
      <c r="AA1180" s="919"/>
      <c r="AB1180" s="908"/>
      <c r="AC1180" s="314" t="s">
        <v>5877</v>
      </c>
      <c r="AD1180" s="317"/>
      <c r="AE1180" s="669"/>
      <c r="AF1180" s="718"/>
      <c r="AG1180" s="211"/>
      <c r="AH1180" s="210"/>
    </row>
    <row r="1181" spans="1:34" s="4" customFormat="1" ht="16.149999999999999" customHeight="1">
      <c r="A1181" s="2"/>
      <c r="B1181" s="310" t="s">
        <v>115</v>
      </c>
      <c r="C1181" s="311" t="s">
        <v>27</v>
      </c>
      <c r="D1181" s="687" t="s">
        <v>5878</v>
      </c>
      <c r="E1181" s="688"/>
      <c r="F1181" s="312" t="s">
        <v>5879</v>
      </c>
      <c r="G1181" s="313">
        <v>45132</v>
      </c>
      <c r="H1181" s="624"/>
      <c r="I1181" s="625"/>
      <c r="J1181" s="626"/>
      <c r="K1181" s="627"/>
      <c r="L1181" s="628"/>
      <c r="M1181" s="629"/>
      <c r="N1181" s="627"/>
      <c r="O1181" s="628"/>
      <c r="P1181" s="630"/>
      <c r="Q1181" s="631"/>
      <c r="R1181" s="715"/>
      <c r="S1181" s="910"/>
      <c r="T1181" s="632"/>
      <c r="U1181" s="633"/>
      <c r="V1181" s="634"/>
      <c r="W1181" s="635"/>
      <c r="X1181" s="636"/>
      <c r="Y1181" s="637"/>
      <c r="Z1181" s="987"/>
      <c r="AA1181" s="919"/>
      <c r="AB1181" s="908"/>
      <c r="AC1181" s="314" t="s">
        <v>5880</v>
      </c>
      <c r="AD1181" s="317"/>
      <c r="AE1181" s="669"/>
      <c r="AF1181" s="718"/>
      <c r="AG1181" s="211"/>
      <c r="AH1181" s="210"/>
    </row>
    <row r="1182" spans="1:34" s="4" customFormat="1" ht="16.149999999999999" customHeight="1">
      <c r="A1182" s="2"/>
      <c r="B1182" s="310" t="s">
        <v>115</v>
      </c>
      <c r="C1182" s="311" t="s">
        <v>27</v>
      </c>
      <c r="D1182" s="687" t="s">
        <v>5881</v>
      </c>
      <c r="E1182" s="688"/>
      <c r="F1182" s="312" t="s">
        <v>5882</v>
      </c>
      <c r="G1182" s="313">
        <v>45132</v>
      </c>
      <c r="H1182" s="624"/>
      <c r="I1182" s="625"/>
      <c r="J1182" s="626"/>
      <c r="K1182" s="627"/>
      <c r="L1182" s="628"/>
      <c r="M1182" s="629"/>
      <c r="N1182" s="627"/>
      <c r="O1182" s="628"/>
      <c r="P1182" s="630"/>
      <c r="Q1182" s="631"/>
      <c r="R1182" s="715"/>
      <c r="S1182" s="910"/>
      <c r="T1182" s="632"/>
      <c r="U1182" s="633"/>
      <c r="V1182" s="634"/>
      <c r="W1182" s="635"/>
      <c r="X1182" s="636"/>
      <c r="Y1182" s="637"/>
      <c r="Z1182" s="987"/>
      <c r="AA1182" s="919"/>
      <c r="AB1182" s="908"/>
      <c r="AC1182" s="314" t="s">
        <v>5883</v>
      </c>
      <c r="AD1182" s="317"/>
      <c r="AE1182" s="669"/>
      <c r="AF1182" s="718"/>
      <c r="AG1182" s="211"/>
      <c r="AH1182" s="210"/>
    </row>
    <row r="1183" spans="1:34" s="4" customFormat="1" ht="16.149999999999999" customHeight="1">
      <c r="A1183" s="2"/>
      <c r="B1183" s="310" t="s">
        <v>106</v>
      </c>
      <c r="C1183" s="311" t="s">
        <v>33</v>
      </c>
      <c r="D1183" s="687" t="s">
        <v>5884</v>
      </c>
      <c r="E1183" s="688"/>
      <c r="F1183" s="312"/>
      <c r="G1183" s="313"/>
      <c r="H1183" s="624"/>
      <c r="I1183" s="625"/>
      <c r="J1183" s="626"/>
      <c r="K1183" s="627" t="s">
        <v>5885</v>
      </c>
      <c r="L1183" s="628">
        <v>45083</v>
      </c>
      <c r="M1183" s="629">
        <v>9500</v>
      </c>
      <c r="N1183" s="627" t="s">
        <v>5886</v>
      </c>
      <c r="O1183" s="628"/>
      <c r="P1183" s="630" t="s">
        <v>5887</v>
      </c>
      <c r="Q1183" s="631">
        <v>45112</v>
      </c>
      <c r="R1183" s="715">
        <v>45128</v>
      </c>
      <c r="S1183" s="1068"/>
      <c r="T1183" s="632">
        <v>19670.580000000002</v>
      </c>
      <c r="U1183" s="633" t="s">
        <v>5888</v>
      </c>
      <c r="V1183" s="634">
        <v>45126</v>
      </c>
      <c r="W1183" s="635" t="s">
        <v>96</v>
      </c>
      <c r="X1183" s="636">
        <v>19670.580000000002</v>
      </c>
      <c r="Y1183" s="636">
        <v>19670.580000000002</v>
      </c>
      <c r="Z1183" s="987">
        <f t="shared" ref="Z1183" si="77">Y1183/X1183</f>
        <v>1</v>
      </c>
      <c r="AA1183" s="919"/>
      <c r="AB1183" s="1055">
        <v>0</v>
      </c>
      <c r="AC1183" s="912"/>
      <c r="AD1183" s="913"/>
      <c r="AE1183" s="669"/>
      <c r="AF1183" s="718"/>
      <c r="AG1183" s="211"/>
      <c r="AH1183" s="210"/>
    </row>
    <row r="1184" spans="1:34" s="4" customFormat="1" ht="16.149999999999999" customHeight="1">
      <c r="A1184" s="2"/>
      <c r="B1184" s="310" t="s">
        <v>119</v>
      </c>
      <c r="C1184" s="311" t="s">
        <v>27</v>
      </c>
      <c r="D1184" s="687" t="s">
        <v>5889</v>
      </c>
      <c r="E1184" s="688"/>
      <c r="F1184" s="312" t="s">
        <v>5890</v>
      </c>
      <c r="G1184" s="313">
        <v>45084</v>
      </c>
      <c r="H1184" s="624"/>
      <c r="I1184" s="625"/>
      <c r="J1184" s="626"/>
      <c r="K1184" s="627"/>
      <c r="L1184" s="628"/>
      <c r="M1184" s="629"/>
      <c r="N1184" s="627"/>
      <c r="O1184" s="628"/>
      <c r="P1184" s="630"/>
      <c r="Q1184" s="631"/>
      <c r="R1184" s="715"/>
      <c r="S1184" s="910"/>
      <c r="T1184" s="632"/>
      <c r="U1184" s="633"/>
      <c r="V1184" s="634"/>
      <c r="W1184" s="635"/>
      <c r="X1184" s="636"/>
      <c r="Y1184" s="637"/>
      <c r="Z1184" s="987"/>
      <c r="AA1184" s="919"/>
      <c r="AB1184" s="908"/>
      <c r="AC1184" s="314"/>
      <c r="AD1184" s="317"/>
      <c r="AE1184" s="669"/>
      <c r="AF1184" s="718"/>
      <c r="AG1184" s="211"/>
      <c r="AH1184" s="210"/>
    </row>
    <row r="1185" spans="1:34" s="4" customFormat="1" ht="16.149999999999999" customHeight="1">
      <c r="A1185" s="2"/>
      <c r="B1185" s="310" t="s">
        <v>119</v>
      </c>
      <c r="C1185" s="311" t="s">
        <v>27</v>
      </c>
      <c r="D1185" s="687" t="s">
        <v>5891</v>
      </c>
      <c r="E1185" s="688"/>
      <c r="F1185" s="312" t="s">
        <v>5892</v>
      </c>
      <c r="G1185" s="313">
        <v>45085</v>
      </c>
      <c r="H1185" s="624"/>
      <c r="I1185" s="625"/>
      <c r="J1185" s="626"/>
      <c r="K1185" s="627"/>
      <c r="L1185" s="628"/>
      <c r="M1185" s="629"/>
      <c r="N1185" s="627"/>
      <c r="O1185" s="628"/>
      <c r="P1185" s="630"/>
      <c r="Q1185" s="631"/>
      <c r="R1185" s="715"/>
      <c r="S1185" s="910"/>
      <c r="T1185" s="632"/>
      <c r="U1185" s="633"/>
      <c r="V1185" s="634"/>
      <c r="W1185" s="635"/>
      <c r="X1185" s="636"/>
      <c r="Y1185" s="637"/>
      <c r="Z1185" s="987"/>
      <c r="AA1185" s="919"/>
      <c r="AB1185" s="908"/>
      <c r="AC1185" s="314"/>
      <c r="AD1185" s="317"/>
      <c r="AE1185" s="669"/>
      <c r="AF1185" s="718"/>
      <c r="AG1185" s="211"/>
      <c r="AH1185" s="210"/>
    </row>
    <row r="1186" spans="1:34" s="4" customFormat="1" ht="16.149999999999999" customHeight="1">
      <c r="A1186" s="2"/>
      <c r="B1186" s="310" t="s">
        <v>119</v>
      </c>
      <c r="C1186" s="311" t="s">
        <v>27</v>
      </c>
      <c r="D1186" s="687" t="s">
        <v>5893</v>
      </c>
      <c r="E1186" s="688"/>
      <c r="F1186" s="312" t="s">
        <v>5894</v>
      </c>
      <c r="G1186" s="313">
        <v>45091</v>
      </c>
      <c r="H1186" s="624"/>
      <c r="I1186" s="625"/>
      <c r="J1186" s="626"/>
      <c r="K1186" s="627"/>
      <c r="L1186" s="628"/>
      <c r="M1186" s="629"/>
      <c r="N1186" s="627"/>
      <c r="O1186" s="628"/>
      <c r="P1186" s="630"/>
      <c r="Q1186" s="631"/>
      <c r="R1186" s="715"/>
      <c r="S1186" s="910"/>
      <c r="T1186" s="632"/>
      <c r="U1186" s="633"/>
      <c r="V1186" s="634"/>
      <c r="W1186" s="635"/>
      <c r="X1186" s="636"/>
      <c r="Y1186" s="637"/>
      <c r="Z1186" s="987"/>
      <c r="AA1186" s="919"/>
      <c r="AB1186" s="908"/>
      <c r="AC1186" s="314"/>
      <c r="AD1186" s="317"/>
      <c r="AE1186" s="669"/>
      <c r="AF1186" s="718"/>
      <c r="AG1186" s="211"/>
      <c r="AH1186" s="210"/>
    </row>
    <row r="1187" spans="1:34" s="4" customFormat="1" ht="16.149999999999999" customHeight="1">
      <c r="A1187" s="2"/>
      <c r="B1187" s="310" t="s">
        <v>119</v>
      </c>
      <c r="C1187" s="311" t="s">
        <v>27</v>
      </c>
      <c r="D1187" s="687" t="s">
        <v>5895</v>
      </c>
      <c r="E1187" s="688"/>
      <c r="F1187" s="312" t="s">
        <v>5896</v>
      </c>
      <c r="G1187" s="313">
        <v>45126</v>
      </c>
      <c r="H1187" s="624"/>
      <c r="I1187" s="625"/>
      <c r="J1187" s="626"/>
      <c r="K1187" s="627"/>
      <c r="L1187" s="628"/>
      <c r="M1187" s="629"/>
      <c r="N1187" s="627"/>
      <c r="O1187" s="628"/>
      <c r="P1187" s="630"/>
      <c r="Q1187" s="631"/>
      <c r="R1187" s="715"/>
      <c r="S1187" s="910"/>
      <c r="T1187" s="632"/>
      <c r="U1187" s="633"/>
      <c r="V1187" s="634"/>
      <c r="W1187" s="635"/>
      <c r="X1187" s="636"/>
      <c r="Y1187" s="637"/>
      <c r="Z1187" s="987"/>
      <c r="AA1187" s="919"/>
      <c r="AB1187" s="908"/>
      <c r="AC1187" s="314"/>
      <c r="AD1187" s="317"/>
      <c r="AE1187" s="669"/>
      <c r="AF1187" s="718"/>
      <c r="AG1187" s="211"/>
      <c r="AH1187" s="210"/>
    </row>
    <row r="1188" spans="1:34" s="4" customFormat="1" ht="16.149999999999999" customHeight="1">
      <c r="A1188" s="2"/>
      <c r="B1188" s="310" t="s">
        <v>119</v>
      </c>
      <c r="C1188" s="311" t="s">
        <v>27</v>
      </c>
      <c r="D1188" s="687" t="s">
        <v>5897</v>
      </c>
      <c r="E1188" s="688"/>
      <c r="F1188" s="312" t="s">
        <v>5898</v>
      </c>
      <c r="G1188" s="313">
        <v>45134</v>
      </c>
      <c r="H1188" s="624"/>
      <c r="I1188" s="625"/>
      <c r="J1188" s="626"/>
      <c r="K1188" s="627"/>
      <c r="L1188" s="628"/>
      <c r="M1188" s="629"/>
      <c r="N1188" s="627"/>
      <c r="O1188" s="628"/>
      <c r="P1188" s="630"/>
      <c r="Q1188" s="631"/>
      <c r="R1188" s="715"/>
      <c r="S1188" s="910"/>
      <c r="T1188" s="632"/>
      <c r="U1188" s="633"/>
      <c r="V1188" s="634"/>
      <c r="W1188" s="635"/>
      <c r="X1188" s="636"/>
      <c r="Y1188" s="637"/>
      <c r="Z1188" s="987"/>
      <c r="AA1188" s="919"/>
      <c r="AB1188" s="908"/>
      <c r="AC1188" s="314"/>
      <c r="AD1188" s="317"/>
      <c r="AE1188" s="669"/>
      <c r="AF1188" s="718"/>
      <c r="AG1188" s="211"/>
      <c r="AH1188" s="210"/>
    </row>
    <row r="1189" spans="1:34" s="4" customFormat="1" ht="16.149999999999999" customHeight="1">
      <c r="A1189" s="2"/>
      <c r="B1189" s="310" t="s">
        <v>119</v>
      </c>
      <c r="C1189" s="311" t="s">
        <v>27</v>
      </c>
      <c r="D1189" s="687" t="s">
        <v>5897</v>
      </c>
      <c r="E1189" s="688"/>
      <c r="F1189" s="312" t="s">
        <v>5899</v>
      </c>
      <c r="G1189" s="313">
        <v>45146</v>
      </c>
      <c r="H1189" s="624"/>
      <c r="I1189" s="625"/>
      <c r="J1189" s="626"/>
      <c r="K1189" s="627"/>
      <c r="L1189" s="628"/>
      <c r="M1189" s="629"/>
      <c r="N1189" s="627"/>
      <c r="O1189" s="628"/>
      <c r="P1189" s="630"/>
      <c r="Q1189" s="631"/>
      <c r="R1189" s="715"/>
      <c r="S1189" s="910"/>
      <c r="T1189" s="632"/>
      <c r="U1189" s="633"/>
      <c r="V1189" s="634"/>
      <c r="W1189" s="635"/>
      <c r="X1189" s="636"/>
      <c r="Y1189" s="637"/>
      <c r="Z1189" s="733"/>
      <c r="AA1189" s="919"/>
      <c r="AB1189" s="908"/>
      <c r="AC1189" s="911"/>
      <c r="AD1189" s="913"/>
      <c r="AE1189" s="669"/>
      <c r="AF1189" s="718"/>
      <c r="AG1189" s="211"/>
      <c r="AH1189" s="210"/>
    </row>
    <row r="1190" spans="1:34" s="4" customFormat="1" ht="16.149999999999999" customHeight="1">
      <c r="A1190" s="2"/>
      <c r="B1190" s="310" t="s">
        <v>115</v>
      </c>
      <c r="C1190" s="311" t="s">
        <v>27</v>
      </c>
      <c r="D1190" s="687" t="s">
        <v>5900</v>
      </c>
      <c r="E1190" s="688"/>
      <c r="F1190" s="312" t="s">
        <v>5901</v>
      </c>
      <c r="G1190" s="313">
        <v>45135</v>
      </c>
      <c r="H1190" s="624"/>
      <c r="I1190" s="625"/>
      <c r="J1190" s="626"/>
      <c r="K1190" s="627"/>
      <c r="L1190" s="628"/>
      <c r="M1190" s="629"/>
      <c r="N1190" s="627"/>
      <c r="O1190" s="628"/>
      <c r="P1190" s="630"/>
      <c r="Q1190" s="631"/>
      <c r="R1190" s="715"/>
      <c r="S1190" s="910"/>
      <c r="T1190" s="632"/>
      <c r="U1190" s="633"/>
      <c r="V1190" s="634"/>
      <c r="W1190" s="635"/>
      <c r="X1190" s="636"/>
      <c r="Y1190" s="637"/>
      <c r="Z1190" s="733"/>
      <c r="AA1190" s="919"/>
      <c r="AB1190" s="908"/>
      <c r="AC1190" s="911"/>
      <c r="AD1190" s="913" t="s">
        <v>5902</v>
      </c>
      <c r="AE1190" s="669"/>
      <c r="AF1190" s="718"/>
      <c r="AG1190" s="211"/>
      <c r="AH1190" s="210"/>
    </row>
    <row r="1191" spans="1:34" s="4" customFormat="1" ht="16.149999999999999" customHeight="1">
      <c r="A1191" s="2"/>
      <c r="B1191" s="310" t="s">
        <v>115</v>
      </c>
      <c r="C1191" s="311" t="s">
        <v>27</v>
      </c>
      <c r="D1191" s="687" t="s">
        <v>5903</v>
      </c>
      <c r="E1191" s="688"/>
      <c r="F1191" s="312" t="s">
        <v>5904</v>
      </c>
      <c r="G1191" s="313">
        <v>45139</v>
      </c>
      <c r="H1191" s="624"/>
      <c r="I1191" s="625"/>
      <c r="J1191" s="626"/>
      <c r="K1191" s="627"/>
      <c r="L1191" s="628"/>
      <c r="M1191" s="629"/>
      <c r="N1191" s="627"/>
      <c r="O1191" s="628"/>
      <c r="P1191" s="630"/>
      <c r="Q1191" s="631"/>
      <c r="R1191" s="715"/>
      <c r="S1191" s="910"/>
      <c r="T1191" s="632"/>
      <c r="U1191" s="633"/>
      <c r="V1191" s="634"/>
      <c r="W1191" s="635"/>
      <c r="X1191" s="636"/>
      <c r="Y1191" s="637"/>
      <c r="Z1191" s="733"/>
      <c r="AA1191" s="919"/>
      <c r="AB1191" s="908"/>
      <c r="AC1191" s="911"/>
      <c r="AD1191" s="913" t="s">
        <v>5905</v>
      </c>
      <c r="AE1191" s="669"/>
      <c r="AF1191" s="718"/>
      <c r="AG1191" s="211"/>
      <c r="AH1191" s="210"/>
    </row>
    <row r="1192" spans="1:34" s="4" customFormat="1" ht="16.149999999999999" customHeight="1">
      <c r="A1192" s="2"/>
      <c r="B1192" s="310" t="s">
        <v>115</v>
      </c>
      <c r="C1192" s="311" t="s">
        <v>27</v>
      </c>
      <c r="D1192" s="687" t="s">
        <v>5906</v>
      </c>
      <c r="E1192" s="688"/>
      <c r="F1192" s="312" t="s">
        <v>5907</v>
      </c>
      <c r="G1192" s="313">
        <v>45139</v>
      </c>
      <c r="H1192" s="624"/>
      <c r="I1192" s="625"/>
      <c r="J1192" s="626"/>
      <c r="K1192" s="627"/>
      <c r="L1192" s="628"/>
      <c r="M1192" s="629"/>
      <c r="N1192" s="627"/>
      <c r="O1192" s="628"/>
      <c r="P1192" s="630"/>
      <c r="Q1192" s="631"/>
      <c r="R1192" s="715"/>
      <c r="S1192" s="910"/>
      <c r="T1192" s="632"/>
      <c r="U1192" s="633"/>
      <c r="V1192" s="634"/>
      <c r="W1192" s="635"/>
      <c r="X1192" s="636"/>
      <c r="Y1192" s="637"/>
      <c r="Z1192" s="733"/>
      <c r="AA1192" s="919"/>
      <c r="AB1192" s="908"/>
      <c r="AC1192" s="911"/>
      <c r="AD1192" s="913" t="s">
        <v>5908</v>
      </c>
      <c r="AE1192" s="669"/>
      <c r="AF1192" s="718"/>
      <c r="AG1192" s="211"/>
      <c r="AH1192" s="210"/>
    </row>
    <row r="1193" spans="1:34" s="4" customFormat="1" ht="16.149999999999999" customHeight="1">
      <c r="A1193" s="2"/>
      <c r="B1193" s="310" t="s">
        <v>115</v>
      </c>
      <c r="C1193" s="311" t="s">
        <v>27</v>
      </c>
      <c r="D1193" s="687" t="s">
        <v>5909</v>
      </c>
      <c r="E1193" s="688"/>
      <c r="F1193" s="312" t="s">
        <v>5910</v>
      </c>
      <c r="G1193" s="313">
        <v>45140</v>
      </c>
      <c r="H1193" s="624"/>
      <c r="I1193" s="625"/>
      <c r="J1193" s="626"/>
      <c r="K1193" s="627"/>
      <c r="L1193" s="628"/>
      <c r="M1193" s="629"/>
      <c r="N1193" s="627"/>
      <c r="O1193" s="628"/>
      <c r="P1193" s="630"/>
      <c r="Q1193" s="631"/>
      <c r="R1193" s="715"/>
      <c r="S1193" s="910"/>
      <c r="T1193" s="632"/>
      <c r="U1193" s="633"/>
      <c r="V1193" s="634"/>
      <c r="W1193" s="635"/>
      <c r="X1193" s="636"/>
      <c r="Y1193" s="637"/>
      <c r="Z1193" s="733"/>
      <c r="AA1193" s="919"/>
      <c r="AB1193" s="908"/>
      <c r="AC1193" s="911"/>
      <c r="AD1193" s="913" t="s">
        <v>5911</v>
      </c>
      <c r="AE1193" s="669"/>
      <c r="AF1193" s="718"/>
      <c r="AG1193" s="211"/>
      <c r="AH1193" s="210"/>
    </row>
    <row r="1194" spans="1:34" s="4" customFormat="1" ht="16.149999999999999" customHeight="1">
      <c r="A1194" s="2"/>
      <c r="B1194" s="310" t="s">
        <v>115</v>
      </c>
      <c r="C1194" s="311" t="s">
        <v>27</v>
      </c>
      <c r="D1194" s="687" t="s">
        <v>5912</v>
      </c>
      <c r="E1194" s="688"/>
      <c r="F1194" s="312" t="s">
        <v>5913</v>
      </c>
      <c r="G1194" s="313">
        <v>45140</v>
      </c>
      <c r="H1194" s="624"/>
      <c r="I1194" s="625"/>
      <c r="J1194" s="626"/>
      <c r="K1194" s="627"/>
      <c r="L1194" s="628"/>
      <c r="M1194" s="629"/>
      <c r="N1194" s="627"/>
      <c r="O1194" s="628"/>
      <c r="P1194" s="630"/>
      <c r="Q1194" s="631"/>
      <c r="R1194" s="715"/>
      <c r="S1194" s="910"/>
      <c r="T1194" s="632"/>
      <c r="U1194" s="633"/>
      <c r="V1194" s="634"/>
      <c r="W1194" s="635"/>
      <c r="X1194" s="636"/>
      <c r="Y1194" s="637"/>
      <c r="Z1194" s="733"/>
      <c r="AA1194" s="919"/>
      <c r="AB1194" s="908"/>
      <c r="AC1194" s="911"/>
      <c r="AD1194" s="913" t="s">
        <v>5914</v>
      </c>
      <c r="AE1194" s="669"/>
      <c r="AF1194" s="718"/>
      <c r="AG1194" s="211"/>
      <c r="AH1194" s="210"/>
    </row>
    <row r="1195" spans="1:34" s="4" customFormat="1" ht="16.149999999999999" customHeight="1">
      <c r="A1195" s="2"/>
      <c r="B1195" s="310" t="s">
        <v>115</v>
      </c>
      <c r="C1195" s="311" t="s">
        <v>27</v>
      </c>
      <c r="D1195" s="687" t="s">
        <v>5915</v>
      </c>
      <c r="E1195" s="688"/>
      <c r="F1195" s="312" t="s">
        <v>5916</v>
      </c>
      <c r="G1195" s="313">
        <v>45140</v>
      </c>
      <c r="H1195" s="624"/>
      <c r="I1195" s="625"/>
      <c r="J1195" s="626"/>
      <c r="K1195" s="627"/>
      <c r="L1195" s="628"/>
      <c r="M1195" s="629"/>
      <c r="N1195" s="627"/>
      <c r="O1195" s="628"/>
      <c r="P1195" s="630"/>
      <c r="Q1195" s="631"/>
      <c r="R1195" s="715"/>
      <c r="S1195" s="910"/>
      <c r="T1195" s="632"/>
      <c r="U1195" s="633"/>
      <c r="V1195" s="634"/>
      <c r="W1195" s="635"/>
      <c r="X1195" s="636"/>
      <c r="Y1195" s="637"/>
      <c r="Z1195" s="733"/>
      <c r="AA1195" s="919"/>
      <c r="AB1195" s="908"/>
      <c r="AC1195" s="911"/>
      <c r="AD1195" s="913" t="s">
        <v>5917</v>
      </c>
      <c r="AE1195" s="669"/>
      <c r="AF1195" s="718"/>
      <c r="AG1195" s="211"/>
      <c r="AH1195" s="210"/>
    </row>
    <row r="1196" spans="1:34" s="4" customFormat="1" ht="16.149999999999999" customHeight="1">
      <c r="A1196" s="2"/>
      <c r="B1196" s="310" t="s">
        <v>115</v>
      </c>
      <c r="C1196" s="311" t="s">
        <v>27</v>
      </c>
      <c r="D1196" s="687" t="s">
        <v>5918</v>
      </c>
      <c r="E1196" s="688"/>
      <c r="F1196" s="312" t="s">
        <v>5919</v>
      </c>
      <c r="G1196" s="313">
        <v>45140</v>
      </c>
      <c r="H1196" s="624"/>
      <c r="I1196" s="625"/>
      <c r="J1196" s="626"/>
      <c r="K1196" s="627"/>
      <c r="L1196" s="628"/>
      <c r="M1196" s="629"/>
      <c r="N1196" s="627"/>
      <c r="O1196" s="628"/>
      <c r="P1196" s="630"/>
      <c r="Q1196" s="631"/>
      <c r="R1196" s="715"/>
      <c r="S1196" s="910"/>
      <c r="T1196" s="632"/>
      <c r="U1196" s="633"/>
      <c r="V1196" s="634"/>
      <c r="W1196" s="635"/>
      <c r="X1196" s="636"/>
      <c r="Y1196" s="637"/>
      <c r="Z1196" s="733"/>
      <c r="AA1196" s="919"/>
      <c r="AB1196" s="908"/>
      <c r="AC1196" s="911"/>
      <c r="AD1196" s="913" t="s">
        <v>5920</v>
      </c>
      <c r="AE1196" s="669"/>
      <c r="AF1196" s="718"/>
      <c r="AG1196" s="211"/>
      <c r="AH1196" s="210"/>
    </row>
    <row r="1197" spans="1:34" s="4" customFormat="1" ht="16.149999999999999" customHeight="1">
      <c r="A1197" s="2"/>
      <c r="B1197" s="310" t="s">
        <v>115</v>
      </c>
      <c r="C1197" s="311" t="s">
        <v>27</v>
      </c>
      <c r="D1197" s="687" t="s">
        <v>5921</v>
      </c>
      <c r="E1197" s="688"/>
      <c r="F1197" s="312" t="s">
        <v>5922</v>
      </c>
      <c r="G1197" s="313">
        <v>45146</v>
      </c>
      <c r="H1197" s="624"/>
      <c r="I1197" s="625"/>
      <c r="J1197" s="626"/>
      <c r="K1197" s="627"/>
      <c r="L1197" s="628"/>
      <c r="M1197" s="629"/>
      <c r="N1197" s="627"/>
      <c r="O1197" s="628"/>
      <c r="P1197" s="630"/>
      <c r="Q1197" s="631"/>
      <c r="R1197" s="715"/>
      <c r="S1197" s="910"/>
      <c r="T1197" s="632"/>
      <c r="U1197" s="633"/>
      <c r="V1197" s="634"/>
      <c r="W1197" s="635"/>
      <c r="X1197" s="636"/>
      <c r="Y1197" s="637"/>
      <c r="Z1197" s="733"/>
      <c r="AA1197" s="919"/>
      <c r="AB1197" s="908"/>
      <c r="AC1197" s="911"/>
      <c r="AD1197" s="913" t="s">
        <v>5923</v>
      </c>
      <c r="AE1197" s="669"/>
      <c r="AF1197" s="718"/>
      <c r="AG1197" s="211"/>
      <c r="AH1197" s="210"/>
    </row>
    <row r="1198" spans="1:34" s="4" customFormat="1" ht="16.149999999999999" customHeight="1">
      <c r="A1198" s="2"/>
      <c r="B1198" s="310" t="s">
        <v>115</v>
      </c>
      <c r="C1198" s="311" t="s">
        <v>27</v>
      </c>
      <c r="D1198" s="687" t="s">
        <v>5924</v>
      </c>
      <c r="E1198" s="688"/>
      <c r="F1198" s="312" t="s">
        <v>5925</v>
      </c>
      <c r="G1198" s="313">
        <v>45146</v>
      </c>
      <c r="H1198" s="624"/>
      <c r="I1198" s="625"/>
      <c r="J1198" s="626"/>
      <c r="K1198" s="627"/>
      <c r="L1198" s="628"/>
      <c r="M1198" s="629"/>
      <c r="N1198" s="627"/>
      <c r="O1198" s="628"/>
      <c r="P1198" s="630"/>
      <c r="Q1198" s="631"/>
      <c r="R1198" s="715"/>
      <c r="S1198" s="910"/>
      <c r="T1198" s="632"/>
      <c r="U1198" s="633"/>
      <c r="V1198" s="634"/>
      <c r="W1198" s="635"/>
      <c r="X1198" s="636"/>
      <c r="Y1198" s="637"/>
      <c r="Z1198" s="733"/>
      <c r="AA1198" s="919"/>
      <c r="AB1198" s="908"/>
      <c r="AC1198" s="911"/>
      <c r="AD1198" s="913" t="s">
        <v>5926</v>
      </c>
      <c r="AE1198" s="669"/>
      <c r="AF1198" s="718"/>
      <c r="AG1198" s="211"/>
      <c r="AH1198" s="210"/>
    </row>
    <row r="1199" spans="1:34" s="4" customFormat="1" ht="16.149999999999999" customHeight="1">
      <c r="A1199" s="2"/>
      <c r="B1199" s="310" t="s">
        <v>106</v>
      </c>
      <c r="C1199" s="311" t="s">
        <v>33</v>
      </c>
      <c r="D1199" s="687" t="s">
        <v>5927</v>
      </c>
      <c r="E1199" s="688"/>
      <c r="F1199" s="312" t="s">
        <v>5928</v>
      </c>
      <c r="G1199" s="313">
        <v>45147</v>
      </c>
      <c r="H1199" s="624"/>
      <c r="I1199" s="625"/>
      <c r="J1199" s="626"/>
      <c r="K1199" s="627" t="s">
        <v>5929</v>
      </c>
      <c r="L1199" s="628">
        <v>45169</v>
      </c>
      <c r="M1199" s="629">
        <v>6000</v>
      </c>
      <c r="N1199" s="627" t="s">
        <v>4437</v>
      </c>
      <c r="O1199" s="628">
        <v>45169</v>
      </c>
      <c r="P1199" s="630" t="s">
        <v>5930</v>
      </c>
      <c r="Q1199" s="631">
        <v>45175</v>
      </c>
      <c r="R1199" s="715">
        <v>45196</v>
      </c>
      <c r="S1199" s="1068"/>
      <c r="T1199" s="632">
        <v>11950.35</v>
      </c>
      <c r="U1199" s="633" t="s">
        <v>5931</v>
      </c>
      <c r="V1199" s="634">
        <v>45195</v>
      </c>
      <c r="W1199" s="635" t="s">
        <v>79</v>
      </c>
      <c r="X1199" s="636">
        <v>11950.35</v>
      </c>
      <c r="Y1199" s="636">
        <v>11950.35</v>
      </c>
      <c r="Z1199" s="987">
        <f t="shared" ref="Z1199" si="78">Y1199/X1199</f>
        <v>1</v>
      </c>
      <c r="AA1199" s="919"/>
      <c r="AB1199" s="1056"/>
      <c r="AC1199" s="912"/>
      <c r="AD1199" s="913" t="s">
        <v>5932</v>
      </c>
      <c r="AE1199" s="669"/>
      <c r="AF1199" s="718"/>
      <c r="AG1199" s="211"/>
      <c r="AH1199" s="210"/>
    </row>
    <row r="1200" spans="1:34" s="4" customFormat="1" ht="16.149999999999999" customHeight="1">
      <c r="A1200" s="2"/>
      <c r="B1200" s="310" t="s">
        <v>115</v>
      </c>
      <c r="C1200" s="311" t="s">
        <v>27</v>
      </c>
      <c r="D1200" s="687" t="s">
        <v>5933</v>
      </c>
      <c r="E1200" s="688"/>
      <c r="F1200" s="312" t="s">
        <v>5934</v>
      </c>
      <c r="G1200" s="313">
        <v>45148</v>
      </c>
      <c r="H1200" s="624"/>
      <c r="I1200" s="625"/>
      <c r="J1200" s="626"/>
      <c r="K1200" s="627"/>
      <c r="L1200" s="628"/>
      <c r="M1200" s="629"/>
      <c r="N1200" s="627"/>
      <c r="O1200" s="628"/>
      <c r="P1200" s="630"/>
      <c r="Q1200" s="631"/>
      <c r="R1200" s="715"/>
      <c r="S1200" s="910"/>
      <c r="T1200" s="632"/>
      <c r="U1200" s="633"/>
      <c r="V1200" s="634"/>
      <c r="W1200" s="635"/>
      <c r="X1200" s="636"/>
      <c r="Y1200" s="637"/>
      <c r="Z1200" s="733"/>
      <c r="AA1200" s="919"/>
      <c r="AB1200" s="908"/>
      <c r="AC1200" s="911"/>
      <c r="AD1200" s="913" t="s">
        <v>5935</v>
      </c>
      <c r="AE1200" s="669"/>
      <c r="AF1200" s="718"/>
      <c r="AG1200" s="211"/>
      <c r="AH1200" s="210"/>
    </row>
    <row r="1201" spans="1:34" s="4" customFormat="1" ht="16.149999999999999" customHeight="1">
      <c r="A1201" s="2"/>
      <c r="B1201" s="310" t="s">
        <v>106</v>
      </c>
      <c r="C1201" s="311" t="s">
        <v>33</v>
      </c>
      <c r="D1201" s="687" t="s">
        <v>5936</v>
      </c>
      <c r="E1201" s="688"/>
      <c r="F1201" s="312" t="s">
        <v>5937</v>
      </c>
      <c r="G1201" s="313">
        <v>45148</v>
      </c>
      <c r="H1201" s="624"/>
      <c r="I1201" s="625"/>
      <c r="J1201" s="626"/>
      <c r="K1201" s="627" t="s">
        <v>5938</v>
      </c>
      <c r="L1201" s="628">
        <v>45184</v>
      </c>
      <c r="M1201" s="629">
        <v>-10000</v>
      </c>
      <c r="N1201" s="627" t="s">
        <v>5939</v>
      </c>
      <c r="O1201" s="628">
        <v>45189</v>
      </c>
      <c r="P1201" s="630" t="s">
        <v>5940</v>
      </c>
      <c r="Q1201" s="631">
        <v>45218</v>
      </c>
      <c r="R1201" s="715">
        <v>45240</v>
      </c>
      <c r="S1201" s="1068"/>
      <c r="T1201" s="632">
        <v>-20240.439999999999</v>
      </c>
      <c r="U1201" s="633" t="s">
        <v>5941</v>
      </c>
      <c r="V1201" s="634">
        <v>45238</v>
      </c>
      <c r="W1201" s="635" t="s">
        <v>101</v>
      </c>
      <c r="X1201" s="636">
        <v>-20240.439999999999</v>
      </c>
      <c r="Y1201" s="636">
        <v>-20240.439999999999</v>
      </c>
      <c r="Z1201" s="987">
        <f t="shared" ref="Z1201:Z1204" si="79">Y1201/X1201</f>
        <v>1</v>
      </c>
      <c r="AA1201" s="919"/>
      <c r="AB1201" s="1056"/>
      <c r="AC1201" s="912"/>
      <c r="AD1201" s="913" t="s">
        <v>5942</v>
      </c>
      <c r="AE1201" s="669"/>
      <c r="AF1201" s="718"/>
      <c r="AG1201" s="211"/>
      <c r="AH1201" s="210"/>
    </row>
    <row r="1202" spans="1:34" s="4" customFormat="1" ht="16.149999999999999" customHeight="1">
      <c r="A1202" s="2"/>
      <c r="B1202" s="310" t="s">
        <v>106</v>
      </c>
      <c r="C1202" s="311" t="s">
        <v>33</v>
      </c>
      <c r="D1202" s="687" t="s">
        <v>5943</v>
      </c>
      <c r="E1202" s="688"/>
      <c r="F1202" s="312"/>
      <c r="G1202" s="313"/>
      <c r="H1202" s="624"/>
      <c r="I1202" s="625"/>
      <c r="J1202" s="626"/>
      <c r="K1202" s="627" t="s">
        <v>5944</v>
      </c>
      <c r="L1202" s="628">
        <v>45131</v>
      </c>
      <c r="M1202" s="629">
        <v>5500</v>
      </c>
      <c r="N1202" s="627" t="s">
        <v>5945</v>
      </c>
      <c r="O1202" s="628"/>
      <c r="P1202" s="630" t="s">
        <v>5946</v>
      </c>
      <c r="Q1202" s="631">
        <v>45148</v>
      </c>
      <c r="R1202" s="715">
        <v>45162</v>
      </c>
      <c r="S1202" s="1068"/>
      <c r="T1202" s="632">
        <v>14998.7</v>
      </c>
      <c r="U1202" s="633" t="s">
        <v>5947</v>
      </c>
      <c r="V1202" s="634">
        <v>45154</v>
      </c>
      <c r="W1202" s="635" t="s">
        <v>96</v>
      </c>
      <c r="X1202" s="636">
        <v>14998.7</v>
      </c>
      <c r="Y1202" s="636">
        <v>14998.7</v>
      </c>
      <c r="Z1202" s="987">
        <f t="shared" si="79"/>
        <v>1</v>
      </c>
      <c r="AA1202" s="919"/>
      <c r="AB1202" s="1056"/>
      <c r="AC1202" s="912"/>
      <c r="AD1202" s="913"/>
      <c r="AE1202" s="669"/>
      <c r="AF1202" s="718"/>
      <c r="AG1202" s="211"/>
      <c r="AH1202" s="210"/>
    </row>
    <row r="1203" spans="1:34" s="4" customFormat="1" ht="16.149999999999999" customHeight="1">
      <c r="A1203" s="2"/>
      <c r="B1203" s="310" t="s">
        <v>106</v>
      </c>
      <c r="C1203" s="311" t="s">
        <v>33</v>
      </c>
      <c r="D1203" s="687" t="s">
        <v>5948</v>
      </c>
      <c r="E1203" s="688"/>
      <c r="F1203" s="312"/>
      <c r="G1203" s="313"/>
      <c r="H1203" s="624"/>
      <c r="I1203" s="625"/>
      <c r="J1203" s="626"/>
      <c r="K1203" s="627" t="s">
        <v>5949</v>
      </c>
      <c r="L1203" s="628">
        <v>45134</v>
      </c>
      <c r="M1203" s="629">
        <v>17400</v>
      </c>
      <c r="N1203" s="627" t="s">
        <v>5950</v>
      </c>
      <c r="O1203" s="628">
        <v>45138</v>
      </c>
      <c r="P1203" s="630" t="s">
        <v>5951</v>
      </c>
      <c r="Q1203" s="631">
        <v>45140</v>
      </c>
      <c r="R1203" s="715">
        <v>45155</v>
      </c>
      <c r="S1203" s="1068"/>
      <c r="T1203" s="632">
        <v>55270.66</v>
      </c>
      <c r="U1203" s="633" t="s">
        <v>5952</v>
      </c>
      <c r="V1203" s="634">
        <v>45168</v>
      </c>
      <c r="W1203" s="635" t="s">
        <v>109</v>
      </c>
      <c r="X1203" s="636">
        <v>55270.66</v>
      </c>
      <c r="Y1203" s="636">
        <v>55270.66</v>
      </c>
      <c r="Z1203" s="987">
        <f t="shared" si="79"/>
        <v>1</v>
      </c>
      <c r="AA1203" s="919"/>
      <c r="AB1203" s="1056"/>
      <c r="AC1203" s="912"/>
      <c r="AE1203" s="669"/>
      <c r="AF1203" s="718"/>
      <c r="AG1203" s="211"/>
      <c r="AH1203" s="210"/>
    </row>
    <row r="1204" spans="1:34" s="4" customFormat="1" ht="16.149999999999999" customHeight="1">
      <c r="A1204" s="2"/>
      <c r="B1204" s="310" t="s">
        <v>106</v>
      </c>
      <c r="C1204" s="311" t="s">
        <v>33</v>
      </c>
      <c r="D1204" s="687" t="s">
        <v>5953</v>
      </c>
      <c r="E1204" s="688"/>
      <c r="F1204" s="312"/>
      <c r="G1204" s="313"/>
      <c r="H1204" s="624"/>
      <c r="I1204" s="625"/>
      <c r="J1204" s="626"/>
      <c r="K1204" s="627" t="s">
        <v>5954</v>
      </c>
      <c r="L1204" s="628">
        <v>45147</v>
      </c>
      <c r="M1204" s="629">
        <v>20000</v>
      </c>
      <c r="N1204" s="627" t="s">
        <v>5955</v>
      </c>
      <c r="O1204" s="628">
        <v>45148</v>
      </c>
      <c r="P1204" s="630" t="s">
        <v>5956</v>
      </c>
      <c r="Q1204" s="631">
        <v>45175</v>
      </c>
      <c r="R1204" s="715">
        <v>45195</v>
      </c>
      <c r="S1204" s="1068"/>
      <c r="T1204" s="632">
        <v>44521.440000000002</v>
      </c>
      <c r="U1204" s="633" t="s">
        <v>5957</v>
      </c>
      <c r="V1204" s="634">
        <v>45191</v>
      </c>
      <c r="W1204" s="635" t="s">
        <v>2302</v>
      </c>
      <c r="X1204" s="636">
        <v>44521.440000000002</v>
      </c>
      <c r="Y1204" s="636">
        <v>44521.440000000002</v>
      </c>
      <c r="Z1204" s="987">
        <f t="shared" si="79"/>
        <v>1</v>
      </c>
      <c r="AA1204" s="919"/>
      <c r="AB1204" s="1055">
        <v>0</v>
      </c>
      <c r="AC1204" s="912"/>
      <c r="AD1204" s="913"/>
      <c r="AE1204" s="669"/>
      <c r="AF1204" s="718"/>
      <c r="AG1204" s="211"/>
      <c r="AH1204" s="210"/>
    </row>
    <row r="1205" spans="1:34" s="4" customFormat="1" ht="16.149999999999999" customHeight="1">
      <c r="A1205" s="2"/>
      <c r="B1205" s="310" t="s">
        <v>119</v>
      </c>
      <c r="C1205" s="311" t="s">
        <v>27</v>
      </c>
      <c r="D1205" s="687" t="s">
        <v>5958</v>
      </c>
      <c r="E1205" s="688"/>
      <c r="F1205" s="312" t="s">
        <v>5959</v>
      </c>
      <c r="G1205" s="313">
        <v>45156</v>
      </c>
      <c r="H1205" s="624"/>
      <c r="I1205" s="625"/>
      <c r="J1205" s="626"/>
      <c r="K1205" s="627"/>
      <c r="L1205" s="628"/>
      <c r="M1205" s="629"/>
      <c r="N1205" s="627"/>
      <c r="O1205" s="628"/>
      <c r="P1205" s="630"/>
      <c r="Q1205" s="631"/>
      <c r="R1205" s="715"/>
      <c r="S1205" s="910"/>
      <c r="T1205" s="632"/>
      <c r="U1205" s="633"/>
      <c r="V1205" s="634"/>
      <c r="W1205" s="635"/>
      <c r="X1205" s="636"/>
      <c r="Y1205" s="637"/>
      <c r="Z1205" s="733"/>
      <c r="AA1205" s="919"/>
      <c r="AB1205" s="908"/>
      <c r="AC1205" s="911"/>
      <c r="AE1205" s="669"/>
      <c r="AF1205" s="718"/>
      <c r="AG1205" s="211"/>
      <c r="AH1205" s="210"/>
    </row>
    <row r="1206" spans="1:34" s="4" customFormat="1" ht="16.149999999999999" customHeight="1">
      <c r="A1206" s="2"/>
      <c r="B1206" s="310" t="s">
        <v>115</v>
      </c>
      <c r="C1206" s="311" t="s">
        <v>27</v>
      </c>
      <c r="D1206" s="687" t="s">
        <v>5960</v>
      </c>
      <c r="E1206" s="688"/>
      <c r="F1206" s="312" t="s">
        <v>5961</v>
      </c>
      <c r="G1206" s="313">
        <v>45153</v>
      </c>
      <c r="H1206" s="624"/>
      <c r="I1206" s="625"/>
      <c r="J1206" s="626"/>
      <c r="K1206" s="627"/>
      <c r="L1206" s="628"/>
      <c r="M1206" s="629"/>
      <c r="N1206" s="627"/>
      <c r="O1206" s="628"/>
      <c r="P1206" s="630"/>
      <c r="Q1206" s="631"/>
      <c r="R1206" s="715"/>
      <c r="S1206" s="910"/>
      <c r="T1206" s="632"/>
      <c r="U1206" s="633"/>
      <c r="V1206" s="634"/>
      <c r="W1206" s="635"/>
      <c r="X1206" s="636"/>
      <c r="Y1206" s="637"/>
      <c r="Z1206" s="733"/>
      <c r="AA1206" s="919"/>
      <c r="AB1206" s="908"/>
      <c r="AC1206" s="911"/>
      <c r="AD1206" s="913" t="s">
        <v>5962</v>
      </c>
      <c r="AE1206" s="669"/>
      <c r="AF1206" s="718"/>
      <c r="AG1206" s="211"/>
      <c r="AH1206" s="210"/>
    </row>
    <row r="1207" spans="1:34" s="4" customFormat="1" ht="16.149999999999999" customHeight="1">
      <c r="A1207" s="2"/>
      <c r="B1207" s="310" t="s">
        <v>115</v>
      </c>
      <c r="C1207" s="311" t="s">
        <v>27</v>
      </c>
      <c r="D1207" s="687" t="s">
        <v>5963</v>
      </c>
      <c r="E1207" s="688"/>
      <c r="F1207" s="312" t="s">
        <v>5964</v>
      </c>
      <c r="G1207" s="313">
        <v>45153</v>
      </c>
      <c r="H1207" s="624"/>
      <c r="I1207" s="625"/>
      <c r="J1207" s="626"/>
      <c r="K1207" s="627"/>
      <c r="L1207" s="628"/>
      <c r="M1207" s="629"/>
      <c r="N1207" s="627"/>
      <c r="O1207" s="628"/>
      <c r="P1207" s="630"/>
      <c r="Q1207" s="631"/>
      <c r="R1207" s="715"/>
      <c r="S1207" s="910"/>
      <c r="T1207" s="632"/>
      <c r="U1207" s="633"/>
      <c r="V1207" s="634"/>
      <c r="W1207" s="635"/>
      <c r="X1207" s="636"/>
      <c r="Y1207" s="637"/>
      <c r="Z1207" s="733"/>
      <c r="AA1207" s="919"/>
      <c r="AB1207" s="908"/>
      <c r="AC1207" s="911"/>
      <c r="AD1207" s="913" t="s">
        <v>5965</v>
      </c>
      <c r="AE1207" s="669"/>
      <c r="AF1207" s="718"/>
      <c r="AG1207" s="211"/>
      <c r="AH1207" s="210"/>
    </row>
    <row r="1208" spans="1:34" s="4" customFormat="1" ht="16.149999999999999" customHeight="1">
      <c r="A1208" s="2"/>
      <c r="B1208" s="310" t="s">
        <v>106</v>
      </c>
      <c r="C1208" s="311" t="s">
        <v>33</v>
      </c>
      <c r="D1208" s="687" t="s">
        <v>5966</v>
      </c>
      <c r="E1208" s="688"/>
      <c r="F1208" s="312" t="s">
        <v>5967</v>
      </c>
      <c r="G1208" s="313">
        <v>45153</v>
      </c>
      <c r="H1208" s="624"/>
      <c r="I1208" s="625"/>
      <c r="J1208" s="626"/>
      <c r="K1208" s="627" t="s">
        <v>5968</v>
      </c>
      <c r="L1208" s="628"/>
      <c r="M1208" s="629"/>
      <c r="N1208" s="627" t="s">
        <v>5969</v>
      </c>
      <c r="O1208" s="628">
        <v>45190</v>
      </c>
      <c r="P1208" s="630" t="s">
        <v>5970</v>
      </c>
      <c r="Q1208" s="631">
        <v>45210</v>
      </c>
      <c r="R1208" s="715">
        <v>45230</v>
      </c>
      <c r="S1208" s="1068"/>
      <c r="T1208" s="632">
        <v>13269.75</v>
      </c>
      <c r="U1208" s="633" t="s">
        <v>5971</v>
      </c>
      <c r="V1208" s="634">
        <v>45222</v>
      </c>
      <c r="W1208" s="635" t="s">
        <v>96</v>
      </c>
      <c r="X1208" s="636">
        <v>13269.75</v>
      </c>
      <c r="Y1208" s="636">
        <v>13269.75</v>
      </c>
      <c r="Z1208" s="987">
        <f t="shared" ref="Z1208" si="80">Y1208/X1208</f>
        <v>1</v>
      </c>
      <c r="AA1208" s="919"/>
      <c r="AB1208" s="1056"/>
      <c r="AC1208" s="912"/>
      <c r="AD1208" s="913" t="s">
        <v>5972</v>
      </c>
      <c r="AE1208" s="669"/>
      <c r="AF1208" s="718"/>
      <c r="AG1208" s="211"/>
      <c r="AH1208" s="210"/>
    </row>
    <row r="1209" spans="1:34" s="4" customFormat="1" ht="16.149999999999999" customHeight="1">
      <c r="A1209" s="2"/>
      <c r="B1209" s="310" t="s">
        <v>110</v>
      </c>
      <c r="C1209" s="311" t="s">
        <v>33</v>
      </c>
      <c r="D1209" s="687" t="s">
        <v>5973</v>
      </c>
      <c r="E1209" s="688"/>
      <c r="F1209" s="312" t="s">
        <v>5974</v>
      </c>
      <c r="G1209" s="313">
        <v>45155</v>
      </c>
      <c r="H1209" s="624"/>
      <c r="I1209" s="625"/>
      <c r="J1209" s="626"/>
      <c r="K1209" s="627" t="s">
        <v>5975</v>
      </c>
      <c r="L1209" s="628">
        <v>45169</v>
      </c>
      <c r="M1209" s="629">
        <v>4500</v>
      </c>
      <c r="N1209" s="627" t="s">
        <v>5976</v>
      </c>
      <c r="O1209" s="628">
        <v>45169</v>
      </c>
      <c r="P1209" s="630"/>
      <c r="Q1209" s="631"/>
      <c r="R1209" s="715"/>
      <c r="S1209" s="910"/>
      <c r="T1209" s="632"/>
      <c r="U1209" s="633"/>
      <c r="V1209" s="634"/>
      <c r="W1209" s="635" t="s">
        <v>2302</v>
      </c>
      <c r="X1209" s="636"/>
      <c r="Y1209" s="637"/>
      <c r="Z1209" s="733"/>
      <c r="AA1209" s="919"/>
      <c r="AB1209" s="908"/>
      <c r="AC1209" s="911"/>
      <c r="AD1209" s="913" t="s">
        <v>5977</v>
      </c>
      <c r="AE1209" s="669"/>
      <c r="AF1209" s="718"/>
      <c r="AG1209" s="211"/>
      <c r="AH1209" s="210"/>
    </row>
    <row r="1210" spans="1:34" s="4" customFormat="1" ht="16.149999999999999" customHeight="1">
      <c r="A1210" s="2"/>
      <c r="B1210" s="310" t="s">
        <v>115</v>
      </c>
      <c r="C1210" s="311" t="s">
        <v>27</v>
      </c>
      <c r="D1210" s="687" t="s">
        <v>5978</v>
      </c>
      <c r="E1210" s="688"/>
      <c r="F1210" s="312" t="s">
        <v>5979</v>
      </c>
      <c r="G1210" s="313">
        <v>45155</v>
      </c>
      <c r="H1210" s="624"/>
      <c r="I1210" s="625"/>
      <c r="J1210" s="626"/>
      <c r="K1210" s="627"/>
      <c r="L1210" s="628"/>
      <c r="M1210" s="629"/>
      <c r="N1210" s="627"/>
      <c r="O1210" s="628"/>
      <c r="P1210" s="630"/>
      <c r="Q1210" s="631"/>
      <c r="R1210" s="715"/>
      <c r="S1210" s="910"/>
      <c r="T1210" s="632"/>
      <c r="U1210" s="633"/>
      <c r="V1210" s="634"/>
      <c r="W1210" s="635"/>
      <c r="X1210" s="636"/>
      <c r="Y1210" s="637"/>
      <c r="Z1210" s="733"/>
      <c r="AA1210" s="919"/>
      <c r="AB1210" s="908"/>
      <c r="AC1210" s="911"/>
      <c r="AD1210" s="913" t="s">
        <v>5980</v>
      </c>
      <c r="AE1210" s="669"/>
      <c r="AF1210" s="718"/>
      <c r="AG1210" s="211"/>
      <c r="AH1210" s="210"/>
    </row>
    <row r="1211" spans="1:34" s="4" customFormat="1" ht="16.149999999999999" customHeight="1">
      <c r="A1211" s="2"/>
      <c r="B1211" s="310" t="s">
        <v>106</v>
      </c>
      <c r="C1211" s="311" t="s">
        <v>33</v>
      </c>
      <c r="D1211" s="687" t="s">
        <v>5981</v>
      </c>
      <c r="E1211" s="688"/>
      <c r="F1211" s="312" t="s">
        <v>5982</v>
      </c>
      <c r="G1211" s="313">
        <v>45155</v>
      </c>
      <c r="H1211" s="624"/>
      <c r="I1211" s="625"/>
      <c r="J1211" s="626"/>
      <c r="K1211" s="627" t="s">
        <v>5983</v>
      </c>
      <c r="L1211" s="628">
        <v>45188</v>
      </c>
      <c r="M1211" s="629">
        <v>4000</v>
      </c>
      <c r="N1211" s="627" t="s">
        <v>5984</v>
      </c>
      <c r="O1211" s="628">
        <v>45189</v>
      </c>
      <c r="P1211" s="630" t="s">
        <v>5985</v>
      </c>
      <c r="Q1211" s="631">
        <v>45205</v>
      </c>
      <c r="R1211" s="715">
        <v>45224</v>
      </c>
      <c r="S1211" s="1068"/>
      <c r="T1211" s="632">
        <v>12348.89</v>
      </c>
      <c r="U1211" s="633" t="s">
        <v>5986</v>
      </c>
      <c r="V1211" s="634">
        <v>45217</v>
      </c>
      <c r="W1211" s="635" t="s">
        <v>2302</v>
      </c>
      <c r="X1211" s="636">
        <v>12348.89</v>
      </c>
      <c r="Y1211" s="636">
        <v>12348.89</v>
      </c>
      <c r="Z1211" s="987">
        <f t="shared" ref="Z1211" si="81">Y1211/X1211</f>
        <v>1</v>
      </c>
      <c r="AA1211" s="919"/>
      <c r="AB1211" s="1055">
        <v>0</v>
      </c>
      <c r="AC1211" s="912"/>
      <c r="AD1211" s="913" t="s">
        <v>5987</v>
      </c>
      <c r="AE1211" s="669"/>
      <c r="AF1211" s="718"/>
      <c r="AG1211" s="211"/>
      <c r="AH1211" s="210"/>
    </row>
    <row r="1212" spans="1:34" s="4" customFormat="1" ht="16.149999999999999" customHeight="1">
      <c r="A1212" s="2"/>
      <c r="B1212" s="310" t="s">
        <v>115</v>
      </c>
      <c r="C1212" s="311" t="s">
        <v>27</v>
      </c>
      <c r="D1212" s="687" t="s">
        <v>5988</v>
      </c>
      <c r="E1212" s="688"/>
      <c r="F1212" s="312" t="s">
        <v>5989</v>
      </c>
      <c r="G1212" s="313">
        <v>45156</v>
      </c>
      <c r="H1212" s="624"/>
      <c r="I1212" s="625"/>
      <c r="J1212" s="626"/>
      <c r="K1212" s="627"/>
      <c r="L1212" s="628"/>
      <c r="M1212" s="629"/>
      <c r="N1212" s="627"/>
      <c r="O1212" s="628"/>
      <c r="P1212" s="630"/>
      <c r="Q1212" s="631"/>
      <c r="R1212" s="715"/>
      <c r="S1212" s="910"/>
      <c r="T1212" s="632"/>
      <c r="U1212" s="633"/>
      <c r="V1212" s="634"/>
      <c r="W1212" s="635"/>
      <c r="X1212" s="636"/>
      <c r="Y1212" s="637"/>
      <c r="Z1212" s="733"/>
      <c r="AA1212" s="919"/>
      <c r="AB1212" s="908"/>
      <c r="AC1212" s="911"/>
      <c r="AD1212" s="913" t="s">
        <v>5990</v>
      </c>
      <c r="AE1212" s="669"/>
      <c r="AF1212" s="718"/>
      <c r="AG1212" s="211"/>
      <c r="AH1212" s="210"/>
    </row>
    <row r="1213" spans="1:34" s="4" customFormat="1" ht="16.149999999999999" customHeight="1">
      <c r="A1213" s="2"/>
      <c r="B1213" s="310" t="s">
        <v>106</v>
      </c>
      <c r="C1213" s="311" t="s">
        <v>33</v>
      </c>
      <c r="D1213" s="687" t="s">
        <v>5991</v>
      </c>
      <c r="E1213" s="688"/>
      <c r="F1213" s="312" t="s">
        <v>5992</v>
      </c>
      <c r="G1213" s="313">
        <v>45156</v>
      </c>
      <c r="H1213" s="624" t="s">
        <v>5993</v>
      </c>
      <c r="I1213" s="625">
        <v>45197</v>
      </c>
      <c r="J1213" s="626">
        <v>25000</v>
      </c>
      <c r="K1213" s="627" t="s">
        <v>5994</v>
      </c>
      <c r="L1213" s="628">
        <v>45239</v>
      </c>
      <c r="M1213" s="629">
        <v>95000</v>
      </c>
      <c r="N1213" s="627" t="s">
        <v>5995</v>
      </c>
      <c r="O1213" s="628">
        <v>45245</v>
      </c>
      <c r="P1213" s="630" t="s">
        <v>5996</v>
      </c>
      <c r="Q1213" s="631"/>
      <c r="R1213" s="715"/>
      <c r="S1213" s="1068"/>
      <c r="T1213" s="632"/>
      <c r="U1213" s="633" t="s">
        <v>5997</v>
      </c>
      <c r="V1213" s="634">
        <v>45359</v>
      </c>
      <c r="W1213" s="635" t="s">
        <v>2302</v>
      </c>
      <c r="X1213" s="636">
        <v>128446.45</v>
      </c>
      <c r="Y1213" s="1058">
        <v>60000</v>
      </c>
      <c r="Z1213" s="1060">
        <f>Y1213/X1213</f>
        <v>0.4671207339712386</v>
      </c>
      <c r="AA1213" s="919"/>
      <c r="AB1213" s="1055">
        <v>0</v>
      </c>
      <c r="AC1213" s="912"/>
      <c r="AD1213" s="913" t="s">
        <v>5998</v>
      </c>
      <c r="AE1213" s="669"/>
      <c r="AF1213" s="718"/>
      <c r="AG1213" s="211"/>
      <c r="AH1213" s="210"/>
    </row>
    <row r="1214" spans="1:34" s="4" customFormat="1" ht="16.149999999999999" customHeight="1">
      <c r="A1214" s="2"/>
      <c r="B1214" s="310" t="s">
        <v>115</v>
      </c>
      <c r="C1214" s="311" t="s">
        <v>27</v>
      </c>
      <c r="D1214" s="687" t="s">
        <v>5999</v>
      </c>
      <c r="E1214" s="688"/>
      <c r="F1214" s="312" t="s">
        <v>6000</v>
      </c>
      <c r="G1214" s="313">
        <v>45156</v>
      </c>
      <c r="H1214" s="624"/>
      <c r="I1214" s="625"/>
      <c r="J1214" s="626"/>
      <c r="K1214" s="627"/>
      <c r="L1214" s="628"/>
      <c r="M1214" s="629"/>
      <c r="N1214" s="627"/>
      <c r="O1214" s="628"/>
      <c r="P1214" s="630"/>
      <c r="Q1214" s="631"/>
      <c r="R1214" s="715"/>
      <c r="S1214" s="910"/>
      <c r="T1214" s="632"/>
      <c r="U1214" s="633"/>
      <c r="V1214" s="634"/>
      <c r="W1214" s="635"/>
      <c r="X1214" s="636"/>
      <c r="Y1214" s="637"/>
      <c r="Z1214" s="733"/>
      <c r="AA1214" s="919"/>
      <c r="AB1214" s="908"/>
      <c r="AC1214" s="911"/>
      <c r="AD1214" s="913" t="s">
        <v>6001</v>
      </c>
      <c r="AE1214" s="669"/>
      <c r="AF1214" s="718"/>
      <c r="AG1214" s="211"/>
      <c r="AH1214" s="210"/>
    </row>
    <row r="1215" spans="1:34" s="4" customFormat="1" ht="16.149999999999999" customHeight="1">
      <c r="A1215" s="2"/>
      <c r="B1215" s="310" t="s">
        <v>115</v>
      </c>
      <c r="C1215" s="311" t="s">
        <v>27</v>
      </c>
      <c r="D1215" s="687" t="s">
        <v>6002</v>
      </c>
      <c r="E1215" s="688"/>
      <c r="F1215" s="312" t="s">
        <v>6003</v>
      </c>
      <c r="G1215" s="313">
        <v>45161</v>
      </c>
      <c r="H1215" s="624"/>
      <c r="I1215" s="625"/>
      <c r="J1215" s="626"/>
      <c r="K1215" s="627"/>
      <c r="L1215" s="628"/>
      <c r="M1215" s="629"/>
      <c r="N1215" s="627"/>
      <c r="O1215" s="628"/>
      <c r="P1215" s="630"/>
      <c r="Q1215" s="631"/>
      <c r="R1215" s="715"/>
      <c r="S1215" s="910"/>
      <c r="T1215" s="632"/>
      <c r="U1215" s="633"/>
      <c r="V1215" s="634"/>
      <c r="W1215" s="635"/>
      <c r="X1215" s="636"/>
      <c r="Y1215" s="637"/>
      <c r="Z1215" s="733"/>
      <c r="AA1215" s="919"/>
      <c r="AB1215" s="908"/>
      <c r="AC1215" s="911"/>
      <c r="AD1215" s="913" t="s">
        <v>6004</v>
      </c>
      <c r="AE1215" s="669"/>
      <c r="AF1215" s="718"/>
      <c r="AG1215" s="211"/>
      <c r="AH1215" s="210"/>
    </row>
    <row r="1216" spans="1:34" s="4" customFormat="1" ht="16.149999999999999" customHeight="1">
      <c r="A1216" s="2"/>
      <c r="B1216" s="310" t="s">
        <v>106</v>
      </c>
      <c r="C1216" s="311" t="s">
        <v>33</v>
      </c>
      <c r="D1216" s="687" t="s">
        <v>6005</v>
      </c>
      <c r="E1216" s="688"/>
      <c r="F1216" s="312" t="s">
        <v>6006</v>
      </c>
      <c r="G1216" s="313">
        <v>45166</v>
      </c>
      <c r="H1216" s="624" t="s">
        <v>6007</v>
      </c>
      <c r="I1216" s="625">
        <v>45212</v>
      </c>
      <c r="J1216" s="626">
        <v>5000</v>
      </c>
      <c r="K1216" s="627" t="s">
        <v>6008</v>
      </c>
      <c r="L1216" s="628">
        <v>45204</v>
      </c>
      <c r="M1216" s="629">
        <v>16000</v>
      </c>
      <c r="N1216" s="627" t="s">
        <v>6009</v>
      </c>
      <c r="O1216" s="628">
        <v>45205</v>
      </c>
      <c r="P1216" s="630" t="s">
        <v>6010</v>
      </c>
      <c r="Q1216" s="631">
        <v>45246</v>
      </c>
      <c r="R1216" s="715">
        <v>45260</v>
      </c>
      <c r="S1216" s="1068"/>
      <c r="T1216" s="632">
        <v>39036.949999999997</v>
      </c>
      <c r="U1216" s="633" t="s">
        <v>6011</v>
      </c>
      <c r="V1216" s="634">
        <v>45254</v>
      </c>
      <c r="W1216" s="635" t="s">
        <v>96</v>
      </c>
      <c r="X1216" s="636">
        <v>39036.949999999997</v>
      </c>
      <c r="Y1216" s="636">
        <v>39036.949999999997</v>
      </c>
      <c r="Z1216" s="987">
        <f t="shared" ref="Z1216:Z1217" si="82">Y1216/X1216</f>
        <v>1</v>
      </c>
      <c r="AA1216" s="919"/>
      <c r="AB1216" s="1056"/>
      <c r="AC1216" s="912"/>
      <c r="AD1216" s="913" t="s">
        <v>6012</v>
      </c>
      <c r="AE1216" s="669"/>
      <c r="AF1216" s="718"/>
      <c r="AG1216" s="211"/>
      <c r="AH1216" s="210"/>
    </row>
    <row r="1217" spans="1:34" s="4" customFormat="1" ht="16.149999999999999" customHeight="1">
      <c r="A1217" s="2"/>
      <c r="B1217" s="310" t="s">
        <v>106</v>
      </c>
      <c r="C1217" s="311" t="s">
        <v>33</v>
      </c>
      <c r="D1217" s="687" t="s">
        <v>6013</v>
      </c>
      <c r="E1217" s="688"/>
      <c r="F1217" s="312" t="s">
        <v>6014</v>
      </c>
      <c r="G1217" s="313">
        <v>45168</v>
      </c>
      <c r="H1217" s="624" t="s">
        <v>6015</v>
      </c>
      <c r="I1217" s="625"/>
      <c r="J1217" s="626">
        <v>14000</v>
      </c>
      <c r="K1217" s="627" t="s">
        <v>6016</v>
      </c>
      <c r="L1217" s="628">
        <v>45184</v>
      </c>
      <c r="M1217" s="629">
        <v>10000</v>
      </c>
      <c r="N1217" s="627" t="s">
        <v>6017</v>
      </c>
      <c r="O1217" s="628">
        <v>45189</v>
      </c>
      <c r="P1217" s="630" t="s">
        <v>6018</v>
      </c>
      <c r="Q1217" s="631">
        <v>45231</v>
      </c>
      <c r="R1217" s="715">
        <v>45246</v>
      </c>
      <c r="S1217" s="1068"/>
      <c r="T1217" s="632">
        <v>22984.41</v>
      </c>
      <c r="U1217" s="633" t="s">
        <v>6019</v>
      </c>
      <c r="V1217" s="634">
        <v>45237</v>
      </c>
      <c r="W1217" s="635" t="s">
        <v>2302</v>
      </c>
      <c r="X1217" s="636">
        <v>22984.41</v>
      </c>
      <c r="Y1217" s="636">
        <v>22984.41</v>
      </c>
      <c r="Z1217" s="987">
        <f t="shared" si="82"/>
        <v>1</v>
      </c>
      <c r="AA1217" s="919"/>
      <c r="AB1217" s="1055">
        <v>0</v>
      </c>
      <c r="AC1217" s="912"/>
      <c r="AD1217" s="913" t="s">
        <v>6020</v>
      </c>
      <c r="AE1217" s="669"/>
      <c r="AF1217" s="718"/>
      <c r="AG1217" s="211"/>
      <c r="AH1217" s="210"/>
    </row>
    <row r="1218" spans="1:34" s="4" customFormat="1" ht="16.149999999999999" customHeight="1">
      <c r="A1218" s="2"/>
      <c r="B1218" s="310" t="s">
        <v>115</v>
      </c>
      <c r="C1218" s="311" t="s">
        <v>27</v>
      </c>
      <c r="D1218" s="687"/>
      <c r="E1218" s="688"/>
      <c r="F1218" s="312" t="s">
        <v>6021</v>
      </c>
      <c r="G1218" s="313">
        <v>45175</v>
      </c>
      <c r="H1218" s="624"/>
      <c r="I1218" s="625"/>
      <c r="J1218" s="626"/>
      <c r="K1218" s="627"/>
      <c r="L1218" s="628"/>
      <c r="M1218" s="629"/>
      <c r="N1218" s="627"/>
      <c r="O1218" s="628"/>
      <c r="P1218" s="630"/>
      <c r="Q1218" s="631"/>
      <c r="R1218" s="715"/>
      <c r="S1218" s="910"/>
      <c r="T1218" s="632"/>
      <c r="U1218" s="633"/>
      <c r="V1218" s="634"/>
      <c r="W1218" s="635"/>
      <c r="X1218" s="636"/>
      <c r="Y1218" s="637"/>
      <c r="Z1218" s="733"/>
      <c r="AA1218" s="919"/>
      <c r="AB1218" s="908"/>
      <c r="AC1218" s="911"/>
      <c r="AD1218" s="913" t="s">
        <v>6022</v>
      </c>
      <c r="AE1218" s="669"/>
      <c r="AF1218" s="718"/>
      <c r="AG1218" s="211"/>
      <c r="AH1218" s="210"/>
    </row>
    <row r="1219" spans="1:34" s="4" customFormat="1" ht="16.149999999999999" customHeight="1">
      <c r="A1219" s="2"/>
      <c r="B1219" s="310" t="s">
        <v>115</v>
      </c>
      <c r="C1219" s="311" t="s">
        <v>27</v>
      </c>
      <c r="D1219" s="687"/>
      <c r="E1219" s="688"/>
      <c r="F1219" s="312" t="s">
        <v>6023</v>
      </c>
      <c r="G1219" s="313">
        <v>45175</v>
      </c>
      <c r="H1219" s="624"/>
      <c r="I1219" s="625"/>
      <c r="J1219" s="626"/>
      <c r="K1219" s="627"/>
      <c r="L1219" s="628"/>
      <c r="M1219" s="629"/>
      <c r="N1219" s="627"/>
      <c r="O1219" s="628"/>
      <c r="P1219" s="630"/>
      <c r="Q1219" s="631"/>
      <c r="R1219" s="715"/>
      <c r="S1219" s="910"/>
      <c r="T1219" s="632"/>
      <c r="U1219" s="633"/>
      <c r="V1219" s="634"/>
      <c r="W1219" s="635"/>
      <c r="X1219" s="636"/>
      <c r="Y1219" s="637"/>
      <c r="Z1219" s="733"/>
      <c r="AA1219" s="919"/>
      <c r="AB1219" s="908"/>
      <c r="AC1219" s="911"/>
      <c r="AD1219" s="913" t="s">
        <v>6024</v>
      </c>
      <c r="AE1219" s="669"/>
      <c r="AF1219" s="718"/>
      <c r="AG1219" s="211"/>
      <c r="AH1219" s="210"/>
    </row>
    <row r="1220" spans="1:34" s="4" customFormat="1" ht="16.149999999999999" customHeight="1">
      <c r="A1220" s="2"/>
      <c r="B1220" s="310" t="s">
        <v>115</v>
      </c>
      <c r="C1220" s="311" t="s">
        <v>27</v>
      </c>
      <c r="D1220" s="687"/>
      <c r="E1220" s="688"/>
      <c r="F1220" s="312" t="s">
        <v>6025</v>
      </c>
      <c r="G1220" s="313">
        <v>45175</v>
      </c>
      <c r="H1220" s="624"/>
      <c r="I1220" s="625"/>
      <c r="J1220" s="626"/>
      <c r="K1220" s="627"/>
      <c r="L1220" s="628"/>
      <c r="M1220" s="629"/>
      <c r="N1220" s="627"/>
      <c r="O1220" s="628"/>
      <c r="P1220" s="630"/>
      <c r="Q1220" s="631"/>
      <c r="R1220" s="715"/>
      <c r="S1220" s="910"/>
      <c r="T1220" s="632"/>
      <c r="U1220" s="633"/>
      <c r="V1220" s="634"/>
      <c r="W1220" s="635"/>
      <c r="X1220" s="636"/>
      <c r="Y1220" s="637"/>
      <c r="Z1220" s="733"/>
      <c r="AA1220" s="919"/>
      <c r="AB1220" s="908"/>
      <c r="AC1220" s="911"/>
      <c r="AD1220" s="913" t="s">
        <v>6026</v>
      </c>
      <c r="AE1220" s="669"/>
      <c r="AF1220" s="718"/>
      <c r="AG1220" s="211"/>
      <c r="AH1220" s="210"/>
    </row>
    <row r="1221" spans="1:34" s="4" customFormat="1" ht="16.149999999999999" customHeight="1">
      <c r="A1221" s="2"/>
      <c r="B1221" s="310" t="s">
        <v>115</v>
      </c>
      <c r="C1221" s="311" t="s">
        <v>27</v>
      </c>
      <c r="D1221" s="687"/>
      <c r="E1221" s="688"/>
      <c r="F1221" s="312" t="s">
        <v>6027</v>
      </c>
      <c r="G1221" s="313">
        <v>45180</v>
      </c>
      <c r="H1221" s="624"/>
      <c r="I1221" s="625"/>
      <c r="J1221" s="626"/>
      <c r="K1221" s="627"/>
      <c r="L1221" s="628"/>
      <c r="M1221" s="629"/>
      <c r="N1221" s="627"/>
      <c r="O1221" s="628"/>
      <c r="P1221" s="630"/>
      <c r="Q1221" s="631"/>
      <c r="R1221" s="715"/>
      <c r="S1221" s="910"/>
      <c r="T1221" s="632"/>
      <c r="U1221" s="633"/>
      <c r="V1221" s="634"/>
      <c r="W1221" s="635"/>
      <c r="X1221" s="636"/>
      <c r="Y1221" s="637"/>
      <c r="Z1221" s="733"/>
      <c r="AA1221" s="919"/>
      <c r="AB1221" s="908"/>
      <c r="AC1221" s="911"/>
      <c r="AD1221" s="913" t="s">
        <v>6028</v>
      </c>
      <c r="AE1221" s="669"/>
      <c r="AF1221" s="718"/>
      <c r="AG1221" s="211"/>
      <c r="AH1221" s="210"/>
    </row>
    <row r="1222" spans="1:34" s="4" customFormat="1" ht="16.149999999999999" customHeight="1">
      <c r="A1222" s="2"/>
      <c r="B1222" s="310" t="s">
        <v>115</v>
      </c>
      <c r="C1222" s="311" t="s">
        <v>27</v>
      </c>
      <c r="D1222" s="687"/>
      <c r="E1222" s="688"/>
      <c r="F1222" s="312" t="s">
        <v>6029</v>
      </c>
      <c r="G1222" s="313">
        <v>45182</v>
      </c>
      <c r="H1222" s="624"/>
      <c r="I1222" s="625"/>
      <c r="J1222" s="626"/>
      <c r="K1222" s="627"/>
      <c r="L1222" s="628"/>
      <c r="M1222" s="629"/>
      <c r="N1222" s="627"/>
      <c r="O1222" s="628"/>
      <c r="P1222" s="630"/>
      <c r="Q1222" s="631"/>
      <c r="R1222" s="715"/>
      <c r="S1222" s="910"/>
      <c r="T1222" s="632"/>
      <c r="U1222" s="633"/>
      <c r="V1222" s="634"/>
      <c r="W1222" s="635"/>
      <c r="X1222" s="636"/>
      <c r="Y1222" s="637"/>
      <c r="Z1222" s="733"/>
      <c r="AA1222" s="919"/>
      <c r="AB1222" s="908"/>
      <c r="AC1222" s="911"/>
      <c r="AD1222" s="913" t="s">
        <v>6030</v>
      </c>
      <c r="AE1222" s="669"/>
      <c r="AF1222" s="718"/>
      <c r="AG1222" s="211"/>
      <c r="AH1222" s="210"/>
    </row>
    <row r="1223" spans="1:34" s="4" customFormat="1" ht="16.149999999999999" customHeight="1">
      <c r="A1223" s="2"/>
      <c r="B1223" s="310" t="s">
        <v>110</v>
      </c>
      <c r="C1223" s="311" t="s">
        <v>27</v>
      </c>
      <c r="D1223" s="687"/>
      <c r="E1223" s="688"/>
      <c r="F1223" s="312" t="s">
        <v>6031</v>
      </c>
      <c r="G1223" s="313">
        <v>45183</v>
      </c>
      <c r="H1223" s="624"/>
      <c r="I1223" s="625"/>
      <c r="J1223" s="626"/>
      <c r="K1223" s="627" t="s">
        <v>6032</v>
      </c>
      <c r="L1223" s="628"/>
      <c r="M1223" s="629"/>
      <c r="N1223" s="627"/>
      <c r="O1223" s="628"/>
      <c r="P1223" s="630"/>
      <c r="Q1223" s="631"/>
      <c r="R1223" s="715"/>
      <c r="S1223" s="910"/>
      <c r="T1223" s="632"/>
      <c r="U1223" s="633"/>
      <c r="V1223" s="634"/>
      <c r="W1223" s="635"/>
      <c r="X1223" s="636"/>
      <c r="Y1223" s="637"/>
      <c r="Z1223" s="733"/>
      <c r="AA1223" s="919"/>
      <c r="AB1223" s="908"/>
      <c r="AC1223" s="911"/>
      <c r="AD1223" s="913" t="s">
        <v>6033</v>
      </c>
      <c r="AE1223" s="669"/>
      <c r="AF1223" s="718"/>
      <c r="AG1223" s="211"/>
      <c r="AH1223" s="210"/>
    </row>
    <row r="1224" spans="1:34" s="4" customFormat="1" ht="16.149999999999999" customHeight="1">
      <c r="A1224" s="2"/>
      <c r="B1224" s="310" t="s">
        <v>115</v>
      </c>
      <c r="C1224" s="311" t="s">
        <v>27</v>
      </c>
      <c r="D1224" s="687"/>
      <c r="E1224" s="688"/>
      <c r="F1224" s="312" t="s">
        <v>6034</v>
      </c>
      <c r="G1224" s="313">
        <v>45183</v>
      </c>
      <c r="H1224" s="624"/>
      <c r="I1224" s="625"/>
      <c r="J1224" s="626"/>
      <c r="K1224" s="627"/>
      <c r="L1224" s="628"/>
      <c r="M1224" s="629"/>
      <c r="N1224" s="627"/>
      <c r="O1224" s="628"/>
      <c r="P1224" s="630"/>
      <c r="Q1224" s="631"/>
      <c r="R1224" s="715"/>
      <c r="S1224" s="910"/>
      <c r="T1224" s="632"/>
      <c r="U1224" s="633"/>
      <c r="V1224" s="634"/>
      <c r="W1224" s="635"/>
      <c r="X1224" s="636"/>
      <c r="Y1224" s="637"/>
      <c r="Z1224" s="733"/>
      <c r="AA1224" s="919"/>
      <c r="AB1224" s="908"/>
      <c r="AC1224" s="911"/>
      <c r="AD1224" s="913" t="s">
        <v>6035</v>
      </c>
      <c r="AE1224" s="669"/>
      <c r="AF1224" s="718"/>
      <c r="AG1224" s="211"/>
      <c r="AH1224" s="210"/>
    </row>
    <row r="1225" spans="1:34" s="4" customFormat="1" ht="16.149999999999999" customHeight="1">
      <c r="A1225" s="2"/>
      <c r="B1225" s="310" t="s">
        <v>115</v>
      </c>
      <c r="C1225" s="311" t="s">
        <v>27</v>
      </c>
      <c r="D1225" s="687"/>
      <c r="E1225" s="688"/>
      <c r="F1225" s="312" t="s">
        <v>6036</v>
      </c>
      <c r="G1225" s="313">
        <v>45187</v>
      </c>
      <c r="H1225" s="624"/>
      <c r="I1225" s="625"/>
      <c r="J1225" s="626"/>
      <c r="K1225" s="627"/>
      <c r="L1225" s="628"/>
      <c r="M1225" s="629"/>
      <c r="N1225" s="627"/>
      <c r="O1225" s="628"/>
      <c r="P1225" s="630"/>
      <c r="Q1225" s="631"/>
      <c r="R1225" s="715"/>
      <c r="S1225" s="910"/>
      <c r="T1225" s="632"/>
      <c r="U1225" s="633"/>
      <c r="V1225" s="634"/>
      <c r="W1225" s="635"/>
      <c r="X1225" s="636"/>
      <c r="Y1225" s="637"/>
      <c r="Z1225" s="733"/>
      <c r="AA1225" s="919"/>
      <c r="AB1225" s="908"/>
      <c r="AC1225" s="911"/>
      <c r="AD1225" s="913" t="s">
        <v>6037</v>
      </c>
      <c r="AE1225" s="669"/>
      <c r="AF1225" s="718"/>
      <c r="AG1225" s="211"/>
      <c r="AH1225" s="210"/>
    </row>
    <row r="1226" spans="1:34" s="4" customFormat="1" ht="16.149999999999999" customHeight="1">
      <c r="A1226" s="2"/>
      <c r="B1226" s="310" t="s">
        <v>106</v>
      </c>
      <c r="C1226" s="311" t="s">
        <v>33</v>
      </c>
      <c r="D1226" s="687" t="s">
        <v>6038</v>
      </c>
      <c r="E1226" s="688"/>
      <c r="F1226" s="312"/>
      <c r="G1226" s="313"/>
      <c r="H1226" s="624"/>
      <c r="I1226" s="625"/>
      <c r="J1226" s="626"/>
      <c r="K1226" s="627" t="s">
        <v>6039</v>
      </c>
      <c r="L1226" s="628">
        <v>45182</v>
      </c>
      <c r="M1226" s="629">
        <v>68882.320000000007</v>
      </c>
      <c r="N1226" s="627"/>
      <c r="O1226" s="628"/>
      <c r="P1226" s="630" t="s">
        <v>6040</v>
      </c>
      <c r="Q1226" s="631"/>
      <c r="R1226" s="715"/>
      <c r="S1226" s="1068"/>
      <c r="T1226" s="632">
        <v>68882.320000000007</v>
      </c>
      <c r="U1226" s="633" t="s">
        <v>6041</v>
      </c>
      <c r="V1226" s="634">
        <v>45182</v>
      </c>
      <c r="W1226" s="635" t="s">
        <v>96</v>
      </c>
      <c r="X1226" s="636">
        <v>68882.320000000007</v>
      </c>
      <c r="Y1226" s="636">
        <v>68882.320000000007</v>
      </c>
      <c r="Z1226" s="987">
        <f t="shared" ref="Z1226" si="83">Y1226/X1226</f>
        <v>1</v>
      </c>
      <c r="AA1226" s="919"/>
      <c r="AB1226" s="1056"/>
      <c r="AC1226" s="912"/>
      <c r="AD1226" s="913"/>
      <c r="AE1226" s="669"/>
      <c r="AF1226" s="718"/>
      <c r="AG1226" s="211"/>
      <c r="AH1226" s="210"/>
    </row>
    <row r="1227" spans="1:34" s="4" customFormat="1" ht="16.149999999999999" customHeight="1">
      <c r="A1227" s="2"/>
      <c r="B1227" s="310" t="s">
        <v>115</v>
      </c>
      <c r="C1227" s="311" t="s">
        <v>27</v>
      </c>
      <c r="D1227" s="687"/>
      <c r="E1227" s="688"/>
      <c r="F1227" s="312" t="s">
        <v>6042</v>
      </c>
      <c r="G1227" s="313">
        <v>45189</v>
      </c>
      <c r="H1227" s="624"/>
      <c r="I1227" s="625"/>
      <c r="J1227" s="626"/>
      <c r="K1227" s="627"/>
      <c r="L1227" s="628"/>
      <c r="M1227" s="629"/>
      <c r="N1227" s="627"/>
      <c r="O1227" s="628"/>
      <c r="P1227" s="630"/>
      <c r="Q1227" s="631"/>
      <c r="R1227" s="715"/>
      <c r="S1227" s="910"/>
      <c r="T1227" s="632"/>
      <c r="U1227" s="633"/>
      <c r="V1227" s="634"/>
      <c r="W1227" s="635"/>
      <c r="X1227" s="636"/>
      <c r="Y1227" s="637"/>
      <c r="Z1227" s="733"/>
      <c r="AA1227" s="919"/>
      <c r="AB1227" s="908"/>
      <c r="AC1227" s="911"/>
      <c r="AD1227" s="913"/>
      <c r="AE1227" s="669"/>
      <c r="AF1227" s="718"/>
      <c r="AG1227" s="211"/>
      <c r="AH1227" s="210"/>
    </row>
    <row r="1228" spans="1:34" s="4" customFormat="1" ht="16.149999999999999" customHeight="1">
      <c r="A1228" s="2"/>
      <c r="B1228" s="310" t="s">
        <v>115</v>
      </c>
      <c r="C1228" s="311" t="s">
        <v>27</v>
      </c>
      <c r="D1228" s="687"/>
      <c r="E1228" s="688"/>
      <c r="F1228" s="312" t="s">
        <v>6043</v>
      </c>
      <c r="G1228" s="313">
        <v>45190</v>
      </c>
      <c r="H1228" s="624"/>
      <c r="I1228" s="625"/>
      <c r="J1228" s="626"/>
      <c r="K1228" s="627"/>
      <c r="L1228" s="628"/>
      <c r="M1228" s="629"/>
      <c r="N1228" s="627"/>
      <c r="O1228" s="628"/>
      <c r="P1228" s="630"/>
      <c r="Q1228" s="631"/>
      <c r="R1228" s="715"/>
      <c r="S1228" s="910"/>
      <c r="T1228" s="632"/>
      <c r="U1228" s="633"/>
      <c r="V1228" s="634"/>
      <c r="W1228" s="635"/>
      <c r="X1228" s="636"/>
      <c r="Y1228" s="637"/>
      <c r="Z1228" s="733"/>
      <c r="AA1228" s="919"/>
      <c r="AB1228" s="908"/>
      <c r="AC1228" s="911"/>
      <c r="AD1228" s="913"/>
      <c r="AE1228" s="669"/>
      <c r="AF1228" s="718"/>
      <c r="AG1228" s="211"/>
      <c r="AH1228" s="210"/>
    </row>
    <row r="1229" spans="1:34" s="4" customFormat="1" ht="16.149999999999999" customHeight="1">
      <c r="A1229" s="2"/>
      <c r="B1229" s="310" t="s">
        <v>115</v>
      </c>
      <c r="C1229" s="311" t="s">
        <v>27</v>
      </c>
      <c r="D1229" s="687"/>
      <c r="E1229" s="688"/>
      <c r="F1229" s="312" t="s">
        <v>6044</v>
      </c>
      <c r="G1229" s="313">
        <v>45183</v>
      </c>
      <c r="H1229" s="624"/>
      <c r="I1229" s="625"/>
      <c r="J1229" s="626"/>
      <c r="K1229" s="627"/>
      <c r="L1229" s="628"/>
      <c r="M1229" s="629"/>
      <c r="N1229" s="627"/>
      <c r="O1229" s="628"/>
      <c r="P1229" s="630"/>
      <c r="Q1229" s="631"/>
      <c r="R1229" s="715"/>
      <c r="S1229" s="910"/>
      <c r="T1229" s="632"/>
      <c r="U1229" s="633"/>
      <c r="V1229" s="634"/>
      <c r="W1229" s="635"/>
      <c r="X1229" s="636"/>
      <c r="Y1229" s="637"/>
      <c r="Z1229" s="733"/>
      <c r="AA1229" s="919"/>
      <c r="AB1229" s="908"/>
      <c r="AC1229" s="911"/>
      <c r="AD1229" s="913"/>
      <c r="AE1229" s="669"/>
      <c r="AF1229" s="718"/>
      <c r="AG1229" s="211"/>
      <c r="AH1229" s="210"/>
    </row>
    <row r="1230" spans="1:34" s="4" customFormat="1" ht="16.149999999999999" customHeight="1">
      <c r="A1230" s="2"/>
      <c r="B1230" s="310" t="s">
        <v>115</v>
      </c>
      <c r="C1230" s="311" t="s">
        <v>27</v>
      </c>
      <c r="D1230" s="687"/>
      <c r="E1230" s="688"/>
      <c r="F1230" s="312" t="s">
        <v>6045</v>
      </c>
      <c r="G1230" s="313">
        <v>45183</v>
      </c>
      <c r="H1230" s="624"/>
      <c r="I1230" s="625"/>
      <c r="J1230" s="626"/>
      <c r="K1230" s="627"/>
      <c r="L1230" s="628"/>
      <c r="M1230" s="629"/>
      <c r="N1230" s="627"/>
      <c r="O1230" s="628"/>
      <c r="P1230" s="630"/>
      <c r="Q1230" s="631"/>
      <c r="R1230" s="715"/>
      <c r="S1230" s="910"/>
      <c r="T1230" s="632"/>
      <c r="U1230" s="633"/>
      <c r="V1230" s="634"/>
      <c r="W1230" s="635"/>
      <c r="X1230" s="636"/>
      <c r="Y1230" s="637"/>
      <c r="Z1230" s="733"/>
      <c r="AA1230" s="919"/>
      <c r="AB1230" s="908"/>
      <c r="AC1230" s="911"/>
      <c r="AD1230" s="913"/>
      <c r="AE1230" s="669"/>
      <c r="AF1230" s="718"/>
      <c r="AG1230" s="211"/>
      <c r="AH1230" s="210"/>
    </row>
    <row r="1231" spans="1:34" s="4" customFormat="1" ht="16.149999999999999" customHeight="1">
      <c r="A1231" s="2"/>
      <c r="B1231" s="310" t="s">
        <v>115</v>
      </c>
      <c r="C1231" s="311" t="s">
        <v>27</v>
      </c>
      <c r="D1231" s="687"/>
      <c r="E1231" s="688"/>
      <c r="F1231" s="312" t="s">
        <v>6046</v>
      </c>
      <c r="G1231" s="313">
        <v>45187</v>
      </c>
      <c r="H1231" s="624"/>
      <c r="I1231" s="625"/>
      <c r="J1231" s="626"/>
      <c r="K1231" s="627"/>
      <c r="L1231" s="628"/>
      <c r="M1231" s="629"/>
      <c r="N1231" s="627"/>
      <c r="O1231" s="628"/>
      <c r="P1231" s="630"/>
      <c r="Q1231" s="631"/>
      <c r="R1231" s="715"/>
      <c r="S1231" s="910"/>
      <c r="T1231" s="632"/>
      <c r="U1231" s="633"/>
      <c r="V1231" s="634"/>
      <c r="W1231" s="635"/>
      <c r="X1231" s="636"/>
      <c r="Y1231" s="637"/>
      <c r="Z1231" s="733"/>
      <c r="AA1231" s="919"/>
      <c r="AB1231" s="908"/>
      <c r="AC1231" s="911"/>
      <c r="AD1231" s="913"/>
      <c r="AE1231" s="669"/>
      <c r="AF1231" s="718"/>
      <c r="AG1231" s="211"/>
      <c r="AH1231" s="210"/>
    </row>
    <row r="1232" spans="1:34" s="4" customFormat="1" ht="16.149999999999999" customHeight="1">
      <c r="A1232" s="2"/>
      <c r="B1232" s="310" t="s">
        <v>97</v>
      </c>
      <c r="C1232" s="311" t="s">
        <v>33</v>
      </c>
      <c r="D1232" s="687" t="s">
        <v>6047</v>
      </c>
      <c r="E1232" s="688"/>
      <c r="F1232" s="312" t="s">
        <v>6048</v>
      </c>
      <c r="G1232" s="313">
        <v>45189</v>
      </c>
      <c r="H1232" s="624"/>
      <c r="I1232" s="625"/>
      <c r="J1232" s="626"/>
      <c r="K1232" s="627" t="s">
        <v>6049</v>
      </c>
      <c r="L1232" s="628">
        <v>45306</v>
      </c>
      <c r="M1232" s="629">
        <v>-10000</v>
      </c>
      <c r="N1232" s="627" t="s">
        <v>6050</v>
      </c>
      <c r="O1232" s="628"/>
      <c r="P1232" s="630"/>
      <c r="Q1232" s="631"/>
      <c r="R1232" s="715"/>
      <c r="S1232" s="910"/>
      <c r="T1232" s="632"/>
      <c r="U1232" s="633"/>
      <c r="V1232" s="634"/>
      <c r="W1232" s="635" t="s">
        <v>101</v>
      </c>
      <c r="X1232" s="636"/>
      <c r="Y1232" s="637"/>
      <c r="Z1232" s="733"/>
      <c r="AA1232" s="919"/>
      <c r="AB1232" s="908"/>
      <c r="AC1232" s="911"/>
      <c r="AD1232" s="913"/>
      <c r="AE1232" s="669"/>
      <c r="AF1232" s="718"/>
      <c r="AG1232" s="211"/>
      <c r="AH1232" s="210"/>
    </row>
    <row r="1233" spans="1:34" s="4" customFormat="1" ht="16.149999999999999" customHeight="1">
      <c r="A1233" s="2"/>
      <c r="B1233" s="310" t="s">
        <v>115</v>
      </c>
      <c r="C1233" s="311" t="s">
        <v>27</v>
      </c>
      <c r="D1233" s="687"/>
      <c r="E1233" s="688"/>
      <c r="F1233" s="312" t="s">
        <v>6051</v>
      </c>
      <c r="G1233" s="313">
        <v>45190</v>
      </c>
      <c r="H1233" s="624"/>
      <c r="I1233" s="625"/>
      <c r="J1233" s="626"/>
      <c r="K1233" s="627"/>
      <c r="L1233" s="628"/>
      <c r="M1233" s="629"/>
      <c r="N1233" s="627"/>
      <c r="O1233" s="628"/>
      <c r="P1233" s="630"/>
      <c r="Q1233" s="631"/>
      <c r="R1233" s="715"/>
      <c r="S1233" s="910"/>
      <c r="T1233" s="632"/>
      <c r="U1233" s="633"/>
      <c r="V1233" s="634"/>
      <c r="W1233" s="635"/>
      <c r="X1233" s="636"/>
      <c r="Y1233" s="637"/>
      <c r="Z1233" s="733"/>
      <c r="AA1233" s="919"/>
      <c r="AB1233" s="908"/>
      <c r="AC1233" s="911"/>
      <c r="AD1233" s="913"/>
      <c r="AE1233" s="669"/>
      <c r="AF1233" s="718"/>
      <c r="AG1233" s="211"/>
      <c r="AH1233" s="210"/>
    </row>
    <row r="1234" spans="1:34" s="4" customFormat="1" ht="16.149999999999999" customHeight="1">
      <c r="A1234" s="2"/>
      <c r="B1234" s="310" t="s">
        <v>115</v>
      </c>
      <c r="C1234" s="311" t="s">
        <v>27</v>
      </c>
      <c r="D1234" s="687"/>
      <c r="E1234" s="688"/>
      <c r="F1234" s="312" t="s">
        <v>6052</v>
      </c>
      <c r="G1234" s="313">
        <v>45197</v>
      </c>
      <c r="H1234" s="624"/>
      <c r="I1234" s="625"/>
      <c r="J1234" s="626"/>
      <c r="K1234" s="627"/>
      <c r="L1234" s="628"/>
      <c r="M1234" s="629"/>
      <c r="N1234" s="627"/>
      <c r="O1234" s="628"/>
      <c r="P1234" s="630"/>
      <c r="Q1234" s="631"/>
      <c r="R1234" s="715"/>
      <c r="S1234" s="910"/>
      <c r="T1234" s="632"/>
      <c r="U1234" s="633"/>
      <c r="V1234" s="634"/>
      <c r="W1234" s="635"/>
      <c r="X1234" s="636"/>
      <c r="Y1234" s="637"/>
      <c r="Z1234" s="733"/>
      <c r="AA1234" s="919"/>
      <c r="AB1234" s="908"/>
      <c r="AC1234" s="911"/>
      <c r="AD1234" s="913"/>
      <c r="AE1234" s="669"/>
      <c r="AF1234" s="718"/>
      <c r="AG1234" s="211"/>
      <c r="AH1234" s="210"/>
    </row>
    <row r="1235" spans="1:34" s="4" customFormat="1" ht="16.149999999999999" customHeight="1">
      <c r="A1235" s="2"/>
      <c r="B1235" s="310" t="s">
        <v>106</v>
      </c>
      <c r="C1235" s="311" t="s">
        <v>33</v>
      </c>
      <c r="D1235" s="687" t="s">
        <v>6053</v>
      </c>
      <c r="E1235" s="688"/>
      <c r="F1235" s="312" t="s">
        <v>6054</v>
      </c>
      <c r="G1235" s="313">
        <v>45204</v>
      </c>
      <c r="H1235" s="624"/>
      <c r="I1235" s="625"/>
      <c r="J1235" s="626"/>
      <c r="K1235" s="627" t="s">
        <v>6055</v>
      </c>
      <c r="L1235" s="628"/>
      <c r="M1235" s="629"/>
      <c r="N1235" s="627" t="s">
        <v>6056</v>
      </c>
      <c r="O1235" s="628"/>
      <c r="P1235" s="630" t="s">
        <v>6057</v>
      </c>
      <c r="Q1235" s="631"/>
      <c r="R1235" s="715"/>
      <c r="S1235" s="1068"/>
      <c r="T1235" s="632"/>
      <c r="U1235" s="633" t="s">
        <v>6058</v>
      </c>
      <c r="V1235" s="634">
        <v>45331</v>
      </c>
      <c r="W1235" s="635" t="s">
        <v>96</v>
      </c>
      <c r="X1235" s="636">
        <v>28006.2</v>
      </c>
      <c r="Y1235" s="1058">
        <v>25000</v>
      </c>
      <c r="Z1235" s="1064">
        <f t="shared" ref="Z1235:Z1236" si="84">Y1235/X1235</f>
        <v>0.89265948254315108</v>
      </c>
      <c r="AA1235" s="919"/>
      <c r="AB1235" s="1056"/>
      <c r="AC1235" s="912"/>
      <c r="AD1235" s="913"/>
      <c r="AE1235" s="669"/>
      <c r="AF1235" s="718"/>
      <c r="AG1235" s="211"/>
      <c r="AH1235" s="210"/>
    </row>
    <row r="1236" spans="1:34" s="4" customFormat="1" ht="16.149999999999999" customHeight="1">
      <c r="A1236" s="2"/>
      <c r="B1236" s="310" t="s">
        <v>106</v>
      </c>
      <c r="C1236" s="311" t="s">
        <v>33</v>
      </c>
      <c r="D1236" s="687" t="s">
        <v>6059</v>
      </c>
      <c r="E1236" s="688"/>
      <c r="F1236" s="312" t="s">
        <v>6060</v>
      </c>
      <c r="G1236" s="313">
        <v>45210</v>
      </c>
      <c r="H1236" s="624"/>
      <c r="I1236" s="625"/>
      <c r="J1236" s="626"/>
      <c r="K1236" s="627" t="s">
        <v>6061</v>
      </c>
      <c r="L1236" s="628">
        <v>45219</v>
      </c>
      <c r="M1236" s="629">
        <v>3000</v>
      </c>
      <c r="N1236" s="627" t="s">
        <v>6062</v>
      </c>
      <c r="O1236" s="628">
        <v>45231</v>
      </c>
      <c r="P1236" s="630" t="s">
        <v>6063</v>
      </c>
      <c r="Q1236" s="631"/>
      <c r="R1236" s="715"/>
      <c r="S1236" s="1068"/>
      <c r="T1236" s="632"/>
      <c r="U1236" s="633" t="s">
        <v>6064</v>
      </c>
      <c r="V1236" s="634">
        <v>45260</v>
      </c>
      <c r="W1236" s="635" t="s">
        <v>2302</v>
      </c>
      <c r="X1236" s="636">
        <v>49924.82</v>
      </c>
      <c r="Y1236" s="636">
        <v>49924.82</v>
      </c>
      <c r="Z1236" s="987">
        <f t="shared" si="84"/>
        <v>1</v>
      </c>
      <c r="AA1236" s="919"/>
      <c r="AB1236" s="1055">
        <v>0</v>
      </c>
      <c r="AC1236" s="912"/>
      <c r="AD1236" s="913"/>
      <c r="AE1236" s="669"/>
      <c r="AF1236" s="718"/>
      <c r="AG1236" s="211"/>
      <c r="AH1236" s="210"/>
    </row>
    <row r="1237" spans="1:34" s="4" customFormat="1" ht="16.149999999999999" customHeight="1">
      <c r="A1237" s="2"/>
      <c r="B1237" s="310" t="s">
        <v>115</v>
      </c>
      <c r="C1237" s="311" t="s">
        <v>27</v>
      </c>
      <c r="D1237" s="687"/>
      <c r="E1237" s="688"/>
      <c r="F1237" s="312" t="s">
        <v>6065</v>
      </c>
      <c r="G1237" s="313">
        <v>45210</v>
      </c>
      <c r="H1237" s="624"/>
      <c r="I1237" s="625"/>
      <c r="J1237" s="626"/>
      <c r="K1237" s="627"/>
      <c r="L1237" s="628"/>
      <c r="M1237" s="629"/>
      <c r="N1237" s="627"/>
      <c r="O1237" s="628"/>
      <c r="P1237" s="630"/>
      <c r="Q1237" s="631"/>
      <c r="R1237" s="715"/>
      <c r="S1237" s="910"/>
      <c r="T1237" s="632"/>
      <c r="U1237" s="633"/>
      <c r="V1237" s="634"/>
      <c r="W1237" s="635"/>
      <c r="X1237" s="636"/>
      <c r="Y1237" s="636"/>
      <c r="Z1237" s="733"/>
      <c r="AA1237" s="919"/>
      <c r="AB1237" s="908"/>
      <c r="AC1237" s="911"/>
      <c r="AD1237" s="913"/>
      <c r="AE1237" s="669"/>
      <c r="AF1237" s="718"/>
      <c r="AG1237" s="211"/>
      <c r="AH1237" s="210"/>
    </row>
    <row r="1238" spans="1:34" s="4" customFormat="1" ht="16.149999999999999" customHeight="1">
      <c r="A1238" s="2"/>
      <c r="B1238" s="310" t="s">
        <v>115</v>
      </c>
      <c r="C1238" s="311" t="s">
        <v>27</v>
      </c>
      <c r="D1238" s="687"/>
      <c r="E1238" s="688"/>
      <c r="F1238" s="312" t="s">
        <v>6066</v>
      </c>
      <c r="G1238" s="313">
        <v>45215</v>
      </c>
      <c r="H1238" s="624"/>
      <c r="I1238" s="625"/>
      <c r="J1238" s="626"/>
      <c r="K1238" s="627"/>
      <c r="L1238" s="628"/>
      <c r="M1238" s="629"/>
      <c r="N1238" s="627"/>
      <c r="O1238" s="628"/>
      <c r="P1238" s="630"/>
      <c r="Q1238" s="631"/>
      <c r="R1238" s="715"/>
      <c r="S1238" s="910"/>
      <c r="T1238" s="632"/>
      <c r="U1238" s="633"/>
      <c r="V1238" s="634"/>
      <c r="W1238" s="635"/>
      <c r="X1238" s="636"/>
      <c r="Y1238" s="636"/>
      <c r="Z1238" s="733"/>
      <c r="AA1238" s="919"/>
      <c r="AB1238" s="908"/>
      <c r="AC1238" s="911"/>
      <c r="AD1238" s="913"/>
      <c r="AE1238" s="669"/>
      <c r="AF1238" s="718"/>
      <c r="AG1238" s="211"/>
      <c r="AH1238" s="210"/>
    </row>
    <row r="1239" spans="1:34" s="4" customFormat="1" ht="16.149999999999999" customHeight="1">
      <c r="A1239" s="2"/>
      <c r="B1239" s="310" t="s">
        <v>115</v>
      </c>
      <c r="C1239" s="311" t="s">
        <v>27</v>
      </c>
      <c r="D1239" s="687"/>
      <c r="E1239" s="688"/>
      <c r="F1239" s="312" t="s">
        <v>6067</v>
      </c>
      <c r="G1239" s="313">
        <v>45215</v>
      </c>
      <c r="H1239" s="624"/>
      <c r="I1239" s="625"/>
      <c r="J1239" s="626"/>
      <c r="K1239" s="627"/>
      <c r="L1239" s="628"/>
      <c r="M1239" s="629"/>
      <c r="N1239" s="627"/>
      <c r="O1239" s="628"/>
      <c r="P1239" s="630"/>
      <c r="Q1239" s="631"/>
      <c r="R1239" s="715"/>
      <c r="S1239" s="910"/>
      <c r="T1239" s="632"/>
      <c r="U1239" s="633"/>
      <c r="V1239" s="634"/>
      <c r="W1239" s="635"/>
      <c r="X1239" s="636"/>
      <c r="Y1239" s="637"/>
      <c r="Z1239" s="733"/>
      <c r="AA1239" s="919"/>
      <c r="AB1239" s="908"/>
      <c r="AC1239" s="911"/>
      <c r="AD1239" s="913"/>
      <c r="AE1239" s="669"/>
      <c r="AF1239" s="718"/>
      <c r="AG1239" s="211"/>
      <c r="AH1239" s="210"/>
    </row>
    <row r="1240" spans="1:34" s="4" customFormat="1" ht="16.149999999999999" customHeight="1">
      <c r="A1240" s="2"/>
      <c r="B1240" s="310" t="s">
        <v>115</v>
      </c>
      <c r="C1240" s="311" t="s">
        <v>27</v>
      </c>
      <c r="D1240" s="687"/>
      <c r="E1240" s="688"/>
      <c r="F1240" s="312" t="s">
        <v>6068</v>
      </c>
      <c r="G1240" s="313">
        <v>45215</v>
      </c>
      <c r="H1240" s="624"/>
      <c r="I1240" s="625"/>
      <c r="J1240" s="626"/>
      <c r="K1240" s="627"/>
      <c r="L1240" s="628"/>
      <c r="M1240" s="629"/>
      <c r="N1240" s="627"/>
      <c r="O1240" s="628"/>
      <c r="P1240" s="630"/>
      <c r="Q1240" s="631"/>
      <c r="R1240" s="715"/>
      <c r="S1240" s="910"/>
      <c r="T1240" s="632"/>
      <c r="U1240" s="633"/>
      <c r="V1240" s="634"/>
      <c r="W1240" s="635"/>
      <c r="X1240" s="636"/>
      <c r="Y1240" s="637"/>
      <c r="Z1240" s="733"/>
      <c r="AA1240" s="919"/>
      <c r="AB1240" s="908"/>
      <c r="AC1240" s="911"/>
      <c r="AD1240" s="913"/>
      <c r="AE1240" s="669"/>
      <c r="AF1240" s="718"/>
      <c r="AG1240" s="211"/>
      <c r="AH1240" s="210"/>
    </row>
    <row r="1241" spans="1:34" s="4" customFormat="1" ht="16.149999999999999" customHeight="1">
      <c r="A1241" s="2"/>
      <c r="B1241" s="310" t="s">
        <v>115</v>
      </c>
      <c r="C1241" s="311" t="s">
        <v>27</v>
      </c>
      <c r="D1241" s="687"/>
      <c r="E1241" s="688"/>
      <c r="F1241" s="312" t="s">
        <v>6069</v>
      </c>
      <c r="G1241" s="313">
        <v>45218</v>
      </c>
      <c r="H1241" s="624"/>
      <c r="I1241" s="625"/>
      <c r="J1241" s="626"/>
      <c r="K1241" s="627"/>
      <c r="L1241" s="628"/>
      <c r="M1241" s="629"/>
      <c r="N1241" s="627"/>
      <c r="O1241" s="628"/>
      <c r="P1241" s="630"/>
      <c r="Q1241" s="631"/>
      <c r="R1241" s="715"/>
      <c r="S1241" s="910"/>
      <c r="T1241" s="632"/>
      <c r="U1241" s="633"/>
      <c r="V1241" s="634"/>
      <c r="W1241" s="635"/>
      <c r="X1241" s="636"/>
      <c r="Y1241" s="637"/>
      <c r="Z1241" s="733"/>
      <c r="AA1241" s="919"/>
      <c r="AB1241" s="908"/>
      <c r="AC1241" s="911"/>
      <c r="AD1241" s="913"/>
      <c r="AE1241" s="669"/>
      <c r="AF1241" s="718"/>
      <c r="AG1241" s="211"/>
      <c r="AH1241" s="210"/>
    </row>
    <row r="1242" spans="1:34" s="4" customFormat="1" ht="16.149999999999999" customHeight="1">
      <c r="A1242" s="2"/>
      <c r="B1242" s="310" t="s">
        <v>115</v>
      </c>
      <c r="C1242" s="311" t="s">
        <v>27</v>
      </c>
      <c r="D1242" s="687"/>
      <c r="E1242" s="688"/>
      <c r="F1242" s="312" t="s">
        <v>6070</v>
      </c>
      <c r="G1242" s="313">
        <v>45218</v>
      </c>
      <c r="H1242" s="624"/>
      <c r="I1242" s="625"/>
      <c r="J1242" s="626"/>
      <c r="K1242" s="627"/>
      <c r="L1242" s="628"/>
      <c r="M1242" s="629"/>
      <c r="N1242" s="627"/>
      <c r="O1242" s="628"/>
      <c r="P1242" s="630"/>
      <c r="Q1242" s="631"/>
      <c r="R1242" s="715"/>
      <c r="S1242" s="910"/>
      <c r="T1242" s="632"/>
      <c r="U1242" s="633"/>
      <c r="V1242" s="634"/>
      <c r="W1242" s="635"/>
      <c r="X1242" s="636"/>
      <c r="Y1242" s="637"/>
      <c r="Z1242" s="733"/>
      <c r="AA1242" s="919"/>
      <c r="AB1242" s="908"/>
      <c r="AC1242" s="911"/>
      <c r="AD1242" s="913"/>
      <c r="AE1242" s="669"/>
      <c r="AF1242" s="718"/>
      <c r="AG1242" s="211"/>
      <c r="AH1242" s="210"/>
    </row>
    <row r="1243" spans="1:34" s="4" customFormat="1" ht="16.149999999999999" customHeight="1">
      <c r="A1243" s="2"/>
      <c r="B1243" s="310" t="s">
        <v>106</v>
      </c>
      <c r="C1243" s="311" t="s">
        <v>33</v>
      </c>
      <c r="D1243" s="687" t="s">
        <v>6071</v>
      </c>
      <c r="E1243" s="688"/>
      <c r="F1243" s="312" t="s">
        <v>6072</v>
      </c>
      <c r="G1243" s="313">
        <v>45218</v>
      </c>
      <c r="H1243" s="624"/>
      <c r="I1243" s="625"/>
      <c r="J1243" s="626"/>
      <c r="K1243" s="627" t="s">
        <v>6073</v>
      </c>
      <c r="L1243" s="628">
        <v>45330</v>
      </c>
      <c r="M1243" s="629">
        <v>10000</v>
      </c>
      <c r="N1243" s="627" t="s">
        <v>6074</v>
      </c>
      <c r="O1243" s="628">
        <v>45330</v>
      </c>
      <c r="P1243" s="630" t="s">
        <v>6075</v>
      </c>
      <c r="Q1243" s="631">
        <v>45481</v>
      </c>
      <c r="R1243" s="715"/>
      <c r="S1243" s="1068"/>
      <c r="T1243" s="1074">
        <v>10314.61</v>
      </c>
      <c r="U1243" s="633" t="s">
        <v>6076</v>
      </c>
      <c r="V1243" s="634">
        <v>45484</v>
      </c>
      <c r="W1243" s="635" t="s">
        <v>93</v>
      </c>
      <c r="X1243" s="636">
        <v>10314.61</v>
      </c>
      <c r="Y1243" s="636">
        <v>10314.61</v>
      </c>
      <c r="Z1243" s="987">
        <f t="shared" ref="Z1243:Z1244" si="85">Y1243/X1243</f>
        <v>1</v>
      </c>
      <c r="AA1243" s="919"/>
      <c r="AB1243" s="1056"/>
      <c r="AC1243" s="911" t="s">
        <v>6077</v>
      </c>
      <c r="AD1243" s="913"/>
      <c r="AE1243" s="669"/>
      <c r="AF1243" s="718"/>
      <c r="AG1243" s="211"/>
      <c r="AH1243" s="210"/>
    </row>
    <row r="1244" spans="1:34" s="4" customFormat="1" ht="16.149999999999999" customHeight="1">
      <c r="A1244" s="2"/>
      <c r="B1244" s="310" t="s">
        <v>106</v>
      </c>
      <c r="C1244" s="311" t="s">
        <v>33</v>
      </c>
      <c r="D1244" s="687" t="s">
        <v>6078</v>
      </c>
      <c r="E1244" s="688"/>
      <c r="F1244" s="312" t="s">
        <v>6079</v>
      </c>
      <c r="G1244" s="313">
        <v>45219</v>
      </c>
      <c r="H1244" s="624"/>
      <c r="I1244" s="625"/>
      <c r="J1244" s="626"/>
      <c r="K1244" s="627" t="s">
        <v>6080</v>
      </c>
      <c r="L1244" s="628">
        <v>45257</v>
      </c>
      <c r="M1244" s="629">
        <v>10000</v>
      </c>
      <c r="N1244" s="627" t="s">
        <v>6081</v>
      </c>
      <c r="O1244" s="628">
        <v>45258</v>
      </c>
      <c r="P1244" s="630" t="s">
        <v>6082</v>
      </c>
      <c r="Q1244" s="631">
        <v>45265</v>
      </c>
      <c r="R1244" s="715">
        <v>45280</v>
      </c>
      <c r="S1244" s="1068"/>
      <c r="T1244" s="632">
        <v>8372.5400000000009</v>
      </c>
      <c r="U1244" s="633" t="s">
        <v>6083</v>
      </c>
      <c r="V1244" s="634">
        <v>45266</v>
      </c>
      <c r="W1244" s="635" t="s">
        <v>2302</v>
      </c>
      <c r="X1244" s="636">
        <v>8372.5400000000009</v>
      </c>
      <c r="Y1244" s="636">
        <v>8372.5400000000009</v>
      </c>
      <c r="Z1244" s="987">
        <f t="shared" si="85"/>
        <v>1</v>
      </c>
      <c r="AA1244" s="919"/>
      <c r="AB1244" s="1055">
        <v>0</v>
      </c>
      <c r="AC1244" s="912"/>
      <c r="AD1244" s="913"/>
      <c r="AE1244" s="669"/>
      <c r="AF1244" s="718"/>
      <c r="AG1244" s="211"/>
      <c r="AH1244" s="210"/>
    </row>
    <row r="1245" spans="1:34" s="4" customFormat="1" ht="16.149999999999999" customHeight="1">
      <c r="A1245" s="2"/>
      <c r="B1245" s="310" t="s">
        <v>115</v>
      </c>
      <c r="C1245" s="311" t="s">
        <v>27</v>
      </c>
      <c r="D1245" s="687"/>
      <c r="E1245" s="688"/>
      <c r="F1245" s="312" t="s">
        <v>6084</v>
      </c>
      <c r="G1245" s="313">
        <v>45224</v>
      </c>
      <c r="H1245" s="624"/>
      <c r="I1245" s="625"/>
      <c r="J1245" s="626"/>
      <c r="K1245" s="627"/>
      <c r="L1245" s="628"/>
      <c r="M1245" s="629"/>
      <c r="N1245" s="627"/>
      <c r="O1245" s="628"/>
      <c r="P1245" s="630"/>
      <c r="Q1245" s="631"/>
      <c r="R1245" s="715"/>
      <c r="S1245" s="910"/>
      <c r="T1245" s="632"/>
      <c r="U1245" s="633"/>
      <c r="V1245" s="634"/>
      <c r="W1245" s="635"/>
      <c r="X1245" s="636"/>
      <c r="Y1245" s="637"/>
      <c r="Z1245" s="733"/>
      <c r="AA1245" s="919"/>
      <c r="AB1245" s="908"/>
      <c r="AC1245" s="911"/>
      <c r="AD1245" s="913"/>
      <c r="AE1245" s="669"/>
      <c r="AF1245" s="718"/>
      <c r="AG1245" s="211"/>
      <c r="AH1245" s="210"/>
    </row>
    <row r="1246" spans="1:34" s="4" customFormat="1">
      <c r="A1246" s="2"/>
      <c r="B1246" s="310" t="s">
        <v>119</v>
      </c>
      <c r="C1246" s="311" t="s">
        <v>27</v>
      </c>
      <c r="D1246" s="687" t="s">
        <v>6085</v>
      </c>
      <c r="E1246" s="688"/>
      <c r="F1246" s="312" t="s">
        <v>6086</v>
      </c>
      <c r="G1246" s="313">
        <v>45267</v>
      </c>
      <c r="H1246" s="624"/>
      <c r="I1246" s="625"/>
      <c r="J1246" s="626"/>
      <c r="K1246" s="627"/>
      <c r="L1246" s="628"/>
      <c r="M1246" s="629"/>
      <c r="N1246" s="627"/>
      <c r="O1246" s="628"/>
      <c r="P1246" s="630"/>
      <c r="Q1246" s="631"/>
      <c r="R1246" s="715"/>
      <c r="S1246" s="990"/>
      <c r="T1246" s="632"/>
      <c r="U1246" s="633"/>
      <c r="V1246" s="634"/>
      <c r="W1246" s="635"/>
      <c r="X1246" s="636"/>
      <c r="Y1246" s="637"/>
      <c r="Z1246" s="733"/>
      <c r="AA1246" s="919"/>
      <c r="AB1246" s="908"/>
      <c r="AC1246" s="1067"/>
      <c r="AD1246" s="913"/>
      <c r="AE1246" s="669"/>
      <c r="AF1246" s="718"/>
      <c r="AG1246" s="211"/>
      <c r="AH1246" s="210"/>
    </row>
    <row r="1247" spans="1:34" s="4" customFormat="1" ht="16.149999999999999" customHeight="1">
      <c r="A1247" s="2"/>
      <c r="B1247" s="310" t="s">
        <v>115</v>
      </c>
      <c r="C1247" s="311" t="s">
        <v>27</v>
      </c>
      <c r="D1247" s="687"/>
      <c r="E1247" s="688"/>
      <c r="F1247" s="312" t="s">
        <v>6087</v>
      </c>
      <c r="G1247" s="313">
        <v>45239</v>
      </c>
      <c r="H1247" s="624"/>
      <c r="I1247" s="625"/>
      <c r="J1247" s="626"/>
      <c r="K1247" s="627"/>
      <c r="L1247" s="628"/>
      <c r="M1247" s="629"/>
      <c r="N1247" s="627"/>
      <c r="O1247" s="628"/>
      <c r="P1247" s="630"/>
      <c r="Q1247" s="631"/>
      <c r="R1247" s="715"/>
      <c r="S1247" s="910"/>
      <c r="T1247" s="632"/>
      <c r="U1247" s="633"/>
      <c r="V1247" s="634"/>
      <c r="W1247" s="635"/>
      <c r="X1247" s="636"/>
      <c r="Y1247" s="637"/>
      <c r="Z1247" s="733"/>
      <c r="AA1247" s="919"/>
      <c r="AB1247" s="908"/>
      <c r="AC1247" s="911"/>
      <c r="AD1247" s="913"/>
      <c r="AE1247" s="669"/>
      <c r="AF1247" s="718"/>
      <c r="AG1247" s="211"/>
      <c r="AH1247" s="210"/>
    </row>
    <row r="1248" spans="1:34" s="4" customFormat="1" ht="16.149999999999999" customHeight="1">
      <c r="A1248" s="2"/>
      <c r="B1248" s="310" t="s">
        <v>115</v>
      </c>
      <c r="C1248" s="311" t="s">
        <v>27</v>
      </c>
      <c r="D1248" s="687"/>
      <c r="E1248" s="688"/>
      <c r="F1248" s="312" t="s">
        <v>6088</v>
      </c>
      <c r="G1248" s="313">
        <v>45240</v>
      </c>
      <c r="H1248" s="624"/>
      <c r="I1248" s="625"/>
      <c r="J1248" s="626"/>
      <c r="K1248" s="627"/>
      <c r="L1248" s="628"/>
      <c r="M1248" s="629"/>
      <c r="N1248" s="627"/>
      <c r="O1248" s="628"/>
      <c r="P1248" s="630"/>
      <c r="Q1248" s="631"/>
      <c r="R1248" s="715"/>
      <c r="S1248" s="910"/>
      <c r="T1248" s="632"/>
      <c r="U1248" s="633"/>
      <c r="V1248" s="634"/>
      <c r="W1248" s="635"/>
      <c r="X1248" s="636"/>
      <c r="Y1248" s="637"/>
      <c r="Z1248" s="733"/>
      <c r="AA1248" s="919"/>
      <c r="AB1248" s="908"/>
      <c r="AC1248" s="911"/>
      <c r="AD1248" s="913"/>
      <c r="AE1248" s="669"/>
      <c r="AF1248" s="718"/>
      <c r="AG1248" s="211"/>
      <c r="AH1248" s="210"/>
    </row>
    <row r="1249" spans="1:34" s="4" customFormat="1" ht="16.149999999999999" customHeight="1">
      <c r="A1249" s="2"/>
      <c r="B1249" s="310" t="s">
        <v>115</v>
      </c>
      <c r="C1249" s="311" t="s">
        <v>27</v>
      </c>
      <c r="D1249" s="687"/>
      <c r="E1249" s="688"/>
      <c r="F1249" s="312" t="s">
        <v>6089</v>
      </c>
      <c r="G1249" s="313">
        <v>45245</v>
      </c>
      <c r="H1249" s="624"/>
      <c r="I1249" s="625"/>
      <c r="J1249" s="626"/>
      <c r="K1249" s="627"/>
      <c r="L1249" s="628"/>
      <c r="M1249" s="629"/>
      <c r="N1249" s="627"/>
      <c r="O1249" s="628"/>
      <c r="P1249" s="630"/>
      <c r="Q1249" s="631"/>
      <c r="R1249" s="715"/>
      <c r="S1249" s="910"/>
      <c r="T1249" s="632"/>
      <c r="U1249" s="633"/>
      <c r="V1249" s="634"/>
      <c r="W1249" s="635"/>
      <c r="X1249" s="636"/>
      <c r="Y1249" s="637"/>
      <c r="Z1249" s="733"/>
      <c r="AA1249" s="919"/>
      <c r="AB1249" s="908"/>
      <c r="AC1249" s="911"/>
      <c r="AD1249" s="913"/>
      <c r="AE1249" s="669"/>
      <c r="AF1249" s="718"/>
      <c r="AG1249" s="211"/>
      <c r="AH1249" s="210"/>
    </row>
    <row r="1250" spans="1:34" s="4" customFormat="1" ht="16.149999999999999" customHeight="1">
      <c r="A1250" s="2"/>
      <c r="B1250" s="310" t="s">
        <v>115</v>
      </c>
      <c r="C1250" s="311" t="s">
        <v>27</v>
      </c>
      <c r="D1250" s="687"/>
      <c r="E1250" s="688"/>
      <c r="F1250" s="312" t="s">
        <v>6090</v>
      </c>
      <c r="G1250" s="313">
        <v>45251</v>
      </c>
      <c r="H1250" s="624"/>
      <c r="I1250" s="625"/>
      <c r="J1250" s="626"/>
      <c r="K1250" s="627"/>
      <c r="L1250" s="628"/>
      <c r="M1250" s="629"/>
      <c r="N1250" s="627"/>
      <c r="O1250" s="628"/>
      <c r="P1250" s="630"/>
      <c r="Q1250" s="631"/>
      <c r="R1250" s="715"/>
      <c r="S1250" s="910"/>
      <c r="T1250" s="632"/>
      <c r="U1250" s="633"/>
      <c r="V1250" s="634"/>
      <c r="W1250" s="635"/>
      <c r="X1250" s="636"/>
      <c r="Y1250" s="637"/>
      <c r="Z1250" s="733"/>
      <c r="AA1250" s="919"/>
      <c r="AB1250" s="908"/>
      <c r="AC1250" s="911"/>
      <c r="AD1250" s="913"/>
      <c r="AE1250" s="669"/>
      <c r="AF1250" s="718"/>
      <c r="AG1250" s="211"/>
      <c r="AH1250" s="210"/>
    </row>
    <row r="1251" spans="1:34" s="4" customFormat="1" ht="16.149999999999999" customHeight="1">
      <c r="A1251" s="2"/>
      <c r="B1251" s="310" t="s">
        <v>115</v>
      </c>
      <c r="C1251" s="311" t="s">
        <v>27</v>
      </c>
      <c r="D1251" s="687"/>
      <c r="E1251" s="688"/>
      <c r="F1251" s="312" t="s">
        <v>6091</v>
      </c>
      <c r="G1251" s="313">
        <v>45252</v>
      </c>
      <c r="H1251" s="624"/>
      <c r="I1251" s="625"/>
      <c r="J1251" s="626"/>
      <c r="K1251" s="627"/>
      <c r="L1251" s="628"/>
      <c r="M1251" s="629"/>
      <c r="N1251" s="627"/>
      <c r="O1251" s="628"/>
      <c r="P1251" s="630"/>
      <c r="Q1251" s="631"/>
      <c r="R1251" s="715"/>
      <c r="S1251" s="910"/>
      <c r="T1251" s="632"/>
      <c r="U1251" s="633"/>
      <c r="V1251" s="634"/>
      <c r="W1251" s="635"/>
      <c r="X1251" s="636"/>
      <c r="Y1251" s="637"/>
      <c r="Z1251" s="733"/>
      <c r="AA1251" s="919"/>
      <c r="AB1251" s="908"/>
      <c r="AC1251" s="911"/>
      <c r="AD1251" s="913"/>
      <c r="AE1251" s="669"/>
      <c r="AF1251" s="718"/>
      <c r="AG1251" s="211"/>
      <c r="AH1251" s="210"/>
    </row>
    <row r="1252" spans="1:34" s="4" customFormat="1" ht="16.149999999999999" customHeight="1">
      <c r="A1252" s="2"/>
      <c r="B1252" s="310" t="s">
        <v>115</v>
      </c>
      <c r="C1252" s="311" t="s">
        <v>27</v>
      </c>
      <c r="D1252" s="687"/>
      <c r="E1252" s="688"/>
      <c r="F1252" s="312" t="s">
        <v>6092</v>
      </c>
      <c r="G1252" s="313">
        <v>45253</v>
      </c>
      <c r="H1252" s="624"/>
      <c r="I1252" s="625"/>
      <c r="J1252" s="626"/>
      <c r="K1252" s="627"/>
      <c r="L1252" s="628"/>
      <c r="M1252" s="629"/>
      <c r="N1252" s="627"/>
      <c r="O1252" s="628"/>
      <c r="P1252" s="630"/>
      <c r="Q1252" s="631"/>
      <c r="R1252" s="715"/>
      <c r="S1252" s="910"/>
      <c r="T1252" s="632"/>
      <c r="U1252" s="633"/>
      <c r="V1252" s="634"/>
      <c r="W1252" s="635"/>
      <c r="X1252" s="636"/>
      <c r="Y1252" s="637"/>
      <c r="Z1252" s="733"/>
      <c r="AA1252" s="919"/>
      <c r="AB1252" s="908"/>
      <c r="AC1252" s="911"/>
      <c r="AD1252" s="913"/>
      <c r="AE1252" s="669"/>
      <c r="AF1252" s="718"/>
      <c r="AG1252" s="211"/>
      <c r="AH1252" s="210"/>
    </row>
    <row r="1253" spans="1:34" s="4" customFormat="1" ht="16.149999999999999" customHeight="1">
      <c r="A1253" s="2"/>
      <c r="B1253" s="310" t="s">
        <v>115</v>
      </c>
      <c r="C1253" s="311" t="s">
        <v>27</v>
      </c>
      <c r="D1253" s="687"/>
      <c r="E1253" s="688"/>
      <c r="F1253" s="312" t="s">
        <v>6093</v>
      </c>
      <c r="G1253" s="313">
        <v>45254</v>
      </c>
      <c r="H1253" s="624"/>
      <c r="I1253" s="625"/>
      <c r="J1253" s="626"/>
      <c r="K1253" s="627"/>
      <c r="L1253" s="628"/>
      <c r="M1253" s="629"/>
      <c r="N1253" s="627"/>
      <c r="O1253" s="628"/>
      <c r="P1253" s="630"/>
      <c r="Q1253" s="631"/>
      <c r="R1253" s="715"/>
      <c r="S1253" s="910"/>
      <c r="T1253" s="632"/>
      <c r="U1253" s="633"/>
      <c r="V1253" s="634"/>
      <c r="W1253" s="635"/>
      <c r="X1253" s="636"/>
      <c r="Y1253" s="637"/>
      <c r="Z1253" s="733"/>
      <c r="AA1253" s="919"/>
      <c r="AB1253" s="908"/>
      <c r="AC1253" s="911"/>
      <c r="AD1253" s="913"/>
      <c r="AE1253" s="669"/>
      <c r="AF1253" s="718"/>
      <c r="AG1253" s="211"/>
      <c r="AH1253" s="210"/>
    </row>
    <row r="1254" spans="1:34" s="4" customFormat="1" ht="16.149999999999999" customHeight="1">
      <c r="A1254" s="2"/>
      <c r="B1254" s="310" t="s">
        <v>115</v>
      </c>
      <c r="C1254" s="311" t="s">
        <v>27</v>
      </c>
      <c r="D1254" s="687"/>
      <c r="E1254" s="688"/>
      <c r="F1254" s="312" t="s">
        <v>6094</v>
      </c>
      <c r="G1254" s="313">
        <v>45254</v>
      </c>
      <c r="H1254" s="624"/>
      <c r="I1254" s="625"/>
      <c r="J1254" s="626"/>
      <c r="K1254" s="627"/>
      <c r="L1254" s="628"/>
      <c r="M1254" s="629"/>
      <c r="N1254" s="627"/>
      <c r="O1254" s="628"/>
      <c r="P1254" s="630"/>
      <c r="Q1254" s="631"/>
      <c r="R1254" s="715"/>
      <c r="S1254" s="910"/>
      <c r="T1254" s="632"/>
      <c r="U1254" s="633"/>
      <c r="V1254" s="634"/>
      <c r="W1254" s="635"/>
      <c r="X1254" s="636"/>
      <c r="Y1254" s="637"/>
      <c r="Z1254" s="733"/>
      <c r="AA1254" s="919"/>
      <c r="AB1254" s="908"/>
      <c r="AC1254" s="911"/>
      <c r="AD1254" s="913"/>
      <c r="AE1254" s="669"/>
      <c r="AF1254" s="718"/>
      <c r="AG1254" s="211"/>
      <c r="AH1254" s="210"/>
    </row>
    <row r="1255" spans="1:34" s="4" customFormat="1" ht="16.149999999999999" customHeight="1">
      <c r="A1255" s="2"/>
      <c r="B1255" s="310" t="s">
        <v>115</v>
      </c>
      <c r="C1255" s="311" t="s">
        <v>27</v>
      </c>
      <c r="D1255" s="687"/>
      <c r="E1255" s="688"/>
      <c r="F1255" s="312" t="s">
        <v>6095</v>
      </c>
      <c r="G1255" s="313">
        <v>45254</v>
      </c>
      <c r="H1255" s="624"/>
      <c r="I1255" s="625"/>
      <c r="J1255" s="626"/>
      <c r="K1255" s="627"/>
      <c r="L1255" s="628"/>
      <c r="M1255" s="629"/>
      <c r="N1255" s="627"/>
      <c r="O1255" s="628"/>
      <c r="P1255" s="630"/>
      <c r="Q1255" s="631"/>
      <c r="R1255" s="715"/>
      <c r="S1255" s="910"/>
      <c r="T1255" s="632"/>
      <c r="U1255" s="633"/>
      <c r="V1255" s="634"/>
      <c r="W1255" s="635"/>
      <c r="X1255" s="636"/>
      <c r="Y1255" s="637"/>
      <c r="Z1255" s="733"/>
      <c r="AA1255" s="919"/>
      <c r="AB1255" s="908"/>
      <c r="AC1255" s="911"/>
      <c r="AD1255" s="913"/>
      <c r="AE1255" s="669"/>
      <c r="AF1255" s="718"/>
      <c r="AG1255" s="211"/>
      <c r="AH1255" s="210"/>
    </row>
    <row r="1256" spans="1:34" s="4" customFormat="1" ht="16.149999999999999" customHeight="1">
      <c r="A1256" s="2"/>
      <c r="B1256" s="310" t="s">
        <v>106</v>
      </c>
      <c r="C1256" s="311" t="s">
        <v>33</v>
      </c>
      <c r="D1256" s="687" t="s">
        <v>6096</v>
      </c>
      <c r="E1256" s="688"/>
      <c r="F1256" s="312"/>
      <c r="G1256" s="313"/>
      <c r="H1256" s="624"/>
      <c r="I1256" s="625"/>
      <c r="J1256" s="626"/>
      <c r="K1256" s="627" t="s">
        <v>6097</v>
      </c>
      <c r="L1256" s="628">
        <v>45216</v>
      </c>
      <c r="M1256" s="629">
        <v>5600</v>
      </c>
      <c r="N1256" s="627" t="s">
        <v>6098</v>
      </c>
      <c r="O1256" s="628">
        <v>45217</v>
      </c>
      <c r="P1256" s="630" t="s">
        <v>6099</v>
      </c>
      <c r="Q1256" s="631">
        <v>45258</v>
      </c>
      <c r="R1256" s="715">
        <v>45273</v>
      </c>
      <c r="S1256" s="1068"/>
      <c r="T1256" s="1074">
        <v>1046826.09</v>
      </c>
      <c r="U1256" s="633" t="s">
        <v>6100</v>
      </c>
      <c r="V1256" s="634">
        <v>45397</v>
      </c>
      <c r="W1256" s="635" t="s">
        <v>2302</v>
      </c>
      <c r="X1256" s="636">
        <v>110457.88</v>
      </c>
      <c r="Y1256" s="1058">
        <v>75000</v>
      </c>
      <c r="Z1256" s="1060">
        <f>Y1256/X1256</f>
        <v>0.6789918473901545</v>
      </c>
      <c r="AA1256" s="919"/>
      <c r="AB1256" s="1056"/>
      <c r="AC1256" s="911"/>
      <c r="AD1256" s="913"/>
      <c r="AE1256" s="669"/>
      <c r="AF1256" s="718"/>
      <c r="AG1256" s="211"/>
      <c r="AH1256" s="210"/>
    </row>
    <row r="1257" spans="1:34" s="4" customFormat="1" ht="16.149999999999999" customHeight="1">
      <c r="A1257" s="2"/>
      <c r="B1257" s="310" t="s">
        <v>106</v>
      </c>
      <c r="C1257" s="311" t="s">
        <v>33</v>
      </c>
      <c r="D1257" s="687" t="s">
        <v>6101</v>
      </c>
      <c r="E1257" s="688"/>
      <c r="F1257" s="312" t="s">
        <v>6087</v>
      </c>
      <c r="G1257" s="313"/>
      <c r="H1257" s="624"/>
      <c r="I1257" s="625"/>
      <c r="J1257" s="626"/>
      <c r="K1257" s="627" t="s">
        <v>6102</v>
      </c>
      <c r="L1257" s="628">
        <v>45246</v>
      </c>
      <c r="M1257" s="629">
        <v>12500</v>
      </c>
      <c r="N1257" s="627" t="s">
        <v>6103</v>
      </c>
      <c r="O1257" s="628">
        <v>45246</v>
      </c>
      <c r="P1257" s="630" t="s">
        <v>6104</v>
      </c>
      <c r="Q1257" s="631">
        <v>45259</v>
      </c>
      <c r="R1257" s="715">
        <v>45280</v>
      </c>
      <c r="S1257" s="1068"/>
      <c r="T1257" s="632">
        <v>20785.98</v>
      </c>
      <c r="U1257" s="633" t="s">
        <v>6105</v>
      </c>
      <c r="V1257" s="634">
        <v>45273</v>
      </c>
      <c r="W1257" s="635" t="s">
        <v>2302</v>
      </c>
      <c r="X1257" s="636">
        <v>20785.98</v>
      </c>
      <c r="Y1257" s="636">
        <v>20785.98</v>
      </c>
      <c r="Z1257" s="987">
        <f t="shared" ref="Z1257:Z1258" si="86">Y1257/X1257</f>
        <v>1</v>
      </c>
      <c r="AA1257" s="919"/>
      <c r="AB1257" s="1055">
        <v>0</v>
      </c>
      <c r="AC1257" s="912"/>
      <c r="AD1257" s="913"/>
      <c r="AE1257" s="669"/>
      <c r="AF1257" s="718"/>
      <c r="AG1257" s="211"/>
      <c r="AH1257" s="210"/>
    </row>
    <row r="1258" spans="1:34" s="4" customFormat="1" ht="16.149999999999999" customHeight="1">
      <c r="A1258" s="2"/>
      <c r="B1258" s="310" t="s">
        <v>106</v>
      </c>
      <c r="C1258" s="311" t="s">
        <v>33</v>
      </c>
      <c r="D1258" s="687" t="s">
        <v>6106</v>
      </c>
      <c r="E1258" s="688"/>
      <c r="F1258" s="312"/>
      <c r="G1258" s="313"/>
      <c r="H1258" s="624"/>
      <c r="I1258" s="625"/>
      <c r="J1258" s="626"/>
      <c r="K1258" s="627" t="s">
        <v>6107</v>
      </c>
      <c r="L1258" s="628">
        <v>45175</v>
      </c>
      <c r="M1258" s="629">
        <v>7500</v>
      </c>
      <c r="N1258" s="627" t="s">
        <v>6108</v>
      </c>
      <c r="O1258" s="628">
        <v>45176</v>
      </c>
      <c r="P1258" s="630" t="s">
        <v>6109</v>
      </c>
      <c r="Q1258" s="631">
        <v>45182</v>
      </c>
      <c r="R1258" s="715">
        <v>45196</v>
      </c>
      <c r="S1258" s="1068"/>
      <c r="T1258" s="632">
        <v>6820.19</v>
      </c>
      <c r="U1258" s="633" t="s">
        <v>6110</v>
      </c>
      <c r="V1258" s="634">
        <v>45194</v>
      </c>
      <c r="W1258" s="635" t="s">
        <v>96</v>
      </c>
      <c r="X1258" s="636">
        <v>6820.19</v>
      </c>
      <c r="Y1258" s="636">
        <v>6820.19</v>
      </c>
      <c r="Z1258" s="987">
        <f t="shared" si="86"/>
        <v>1</v>
      </c>
      <c r="AA1258" s="919"/>
      <c r="AB1258" s="1056"/>
      <c r="AC1258" s="912"/>
      <c r="AD1258" s="913"/>
      <c r="AE1258" s="669"/>
      <c r="AF1258" s="718"/>
      <c r="AG1258" s="211"/>
      <c r="AH1258" s="210"/>
    </row>
    <row r="1259" spans="1:34" s="4" customFormat="1" ht="16.149999999999999" customHeight="1">
      <c r="A1259" s="2"/>
      <c r="B1259" s="310" t="s">
        <v>110</v>
      </c>
      <c r="C1259" s="311" t="s">
        <v>27</v>
      </c>
      <c r="D1259" s="687" t="s">
        <v>6111</v>
      </c>
      <c r="E1259" s="688"/>
      <c r="F1259" s="312"/>
      <c r="G1259" s="313"/>
      <c r="H1259" s="624"/>
      <c r="I1259" s="625"/>
      <c r="J1259" s="626"/>
      <c r="K1259" s="627" t="s">
        <v>6112</v>
      </c>
      <c r="L1259" s="628">
        <v>45196</v>
      </c>
      <c r="M1259" s="629">
        <v>500</v>
      </c>
      <c r="N1259" s="627"/>
      <c r="O1259" s="628"/>
      <c r="P1259" s="630"/>
      <c r="Q1259" s="631"/>
      <c r="R1259" s="715"/>
      <c r="S1259" s="910"/>
      <c r="T1259" s="632"/>
      <c r="U1259" s="633"/>
      <c r="V1259" s="634"/>
      <c r="W1259" s="635" t="s">
        <v>96</v>
      </c>
      <c r="X1259" s="636"/>
      <c r="Y1259" s="637"/>
      <c r="Z1259" s="733"/>
      <c r="AA1259" s="919"/>
      <c r="AB1259" s="908"/>
      <c r="AC1259" s="911"/>
      <c r="AD1259" s="913"/>
      <c r="AE1259" s="669"/>
      <c r="AF1259" s="718"/>
      <c r="AG1259" s="211"/>
      <c r="AH1259" s="210"/>
    </row>
    <row r="1260" spans="1:34" s="4" customFormat="1" ht="16.149999999999999" customHeight="1">
      <c r="A1260" s="2"/>
      <c r="B1260" s="310" t="s">
        <v>119</v>
      </c>
      <c r="C1260" s="311" t="s">
        <v>27</v>
      </c>
      <c r="D1260" s="687" t="s">
        <v>6113</v>
      </c>
      <c r="E1260" s="688"/>
      <c r="F1260" s="312" t="s">
        <v>6114</v>
      </c>
      <c r="G1260" s="313">
        <v>45168</v>
      </c>
      <c r="H1260" s="624"/>
      <c r="I1260" s="625"/>
      <c r="J1260" s="626"/>
      <c r="K1260" s="627"/>
      <c r="L1260" s="628"/>
      <c r="M1260" s="629"/>
      <c r="N1260" s="627"/>
      <c r="O1260" s="628"/>
      <c r="P1260" s="630"/>
      <c r="Q1260" s="631"/>
      <c r="R1260" s="715"/>
      <c r="S1260" s="910"/>
      <c r="T1260" s="632"/>
      <c r="U1260" s="633"/>
      <c r="V1260" s="634"/>
      <c r="W1260" s="635"/>
      <c r="X1260" s="636"/>
      <c r="Y1260" s="637"/>
      <c r="Z1260" s="733"/>
      <c r="AA1260" s="919"/>
      <c r="AB1260" s="908"/>
      <c r="AC1260" s="911"/>
      <c r="AD1260" s="913"/>
      <c r="AE1260" s="669"/>
      <c r="AF1260" s="718"/>
      <c r="AG1260" s="211"/>
      <c r="AH1260" s="210"/>
    </row>
    <row r="1261" spans="1:34" s="4" customFormat="1" ht="16.149999999999999" customHeight="1">
      <c r="A1261" s="2"/>
      <c r="B1261" s="310" t="s">
        <v>119</v>
      </c>
      <c r="C1261" s="311" t="s">
        <v>27</v>
      </c>
      <c r="D1261" s="687" t="s">
        <v>6115</v>
      </c>
      <c r="E1261" s="688"/>
      <c r="F1261" s="312" t="s">
        <v>6116</v>
      </c>
      <c r="G1261" s="313">
        <v>45177</v>
      </c>
      <c r="H1261" s="624"/>
      <c r="I1261" s="625"/>
      <c r="J1261" s="626"/>
      <c r="K1261" s="627"/>
      <c r="L1261" s="628"/>
      <c r="M1261" s="629"/>
      <c r="N1261" s="627"/>
      <c r="O1261" s="628"/>
      <c r="P1261" s="630"/>
      <c r="Q1261" s="631"/>
      <c r="R1261" s="715"/>
      <c r="S1261" s="910"/>
      <c r="T1261" s="632"/>
      <c r="U1261" s="633"/>
      <c r="V1261" s="634"/>
      <c r="W1261" s="635"/>
      <c r="X1261" s="636"/>
      <c r="Y1261" s="637"/>
      <c r="Z1261" s="733"/>
      <c r="AA1261" s="919"/>
      <c r="AB1261" s="908"/>
      <c r="AC1261" s="911"/>
      <c r="AD1261" s="913"/>
      <c r="AE1261" s="669"/>
      <c r="AF1261" s="718"/>
      <c r="AG1261" s="211"/>
      <c r="AH1261" s="210"/>
    </row>
    <row r="1262" spans="1:34" s="4" customFormat="1" ht="16.149999999999999" customHeight="1">
      <c r="A1262" s="2"/>
      <c r="B1262" s="310" t="s">
        <v>119</v>
      </c>
      <c r="C1262" s="311" t="s">
        <v>27</v>
      </c>
      <c r="D1262" s="687" t="s">
        <v>6117</v>
      </c>
      <c r="E1262" s="688"/>
      <c r="F1262" s="312" t="s">
        <v>6118</v>
      </c>
      <c r="G1262" s="313">
        <v>45182</v>
      </c>
      <c r="H1262" s="624"/>
      <c r="I1262" s="625"/>
      <c r="J1262" s="626"/>
      <c r="K1262" s="627"/>
      <c r="L1262" s="628"/>
      <c r="M1262" s="629"/>
      <c r="N1262" s="627"/>
      <c r="O1262" s="628"/>
      <c r="P1262" s="630"/>
      <c r="Q1262" s="631"/>
      <c r="R1262" s="715"/>
      <c r="S1262" s="910"/>
      <c r="T1262" s="632"/>
      <c r="U1262" s="633"/>
      <c r="V1262" s="634"/>
      <c r="W1262" s="635"/>
      <c r="X1262" s="636"/>
      <c r="Y1262" s="637"/>
      <c r="Z1262" s="733"/>
      <c r="AA1262" s="919"/>
      <c r="AB1262" s="908"/>
      <c r="AC1262" s="911"/>
      <c r="AD1262" s="913"/>
      <c r="AE1262" s="669"/>
      <c r="AF1262" s="718"/>
      <c r="AG1262" s="211"/>
      <c r="AH1262" s="210"/>
    </row>
    <row r="1263" spans="1:34" s="4" customFormat="1" ht="16.149999999999999" customHeight="1">
      <c r="A1263" s="2"/>
      <c r="B1263" s="310" t="s">
        <v>119</v>
      </c>
      <c r="C1263" s="311" t="s">
        <v>27</v>
      </c>
      <c r="D1263" s="687" t="s">
        <v>6119</v>
      </c>
      <c r="E1263" s="688"/>
      <c r="F1263" s="312" t="s">
        <v>6120</v>
      </c>
      <c r="G1263" s="313">
        <v>45182</v>
      </c>
      <c r="H1263" s="624"/>
      <c r="I1263" s="625"/>
      <c r="J1263" s="626"/>
      <c r="K1263" s="627"/>
      <c r="L1263" s="628"/>
      <c r="M1263" s="629"/>
      <c r="N1263" s="627"/>
      <c r="O1263" s="628"/>
      <c r="P1263" s="630"/>
      <c r="Q1263" s="631"/>
      <c r="R1263" s="715"/>
      <c r="S1263" s="910"/>
      <c r="T1263" s="632"/>
      <c r="U1263" s="633"/>
      <c r="V1263" s="634"/>
      <c r="W1263" s="635"/>
      <c r="X1263" s="636"/>
      <c r="Y1263" s="637"/>
      <c r="Z1263" s="733"/>
      <c r="AA1263" s="919"/>
      <c r="AB1263" s="908"/>
      <c r="AC1263" s="911"/>
      <c r="AD1263" s="913"/>
      <c r="AE1263" s="669"/>
      <c r="AF1263" s="718"/>
      <c r="AG1263" s="211"/>
      <c r="AH1263" s="210"/>
    </row>
    <row r="1264" spans="1:34" s="4" customFormat="1" ht="16.149999999999999" customHeight="1">
      <c r="A1264" s="2"/>
      <c r="B1264" s="310" t="s">
        <v>119</v>
      </c>
      <c r="C1264" s="311" t="s">
        <v>27</v>
      </c>
      <c r="D1264" s="687" t="s">
        <v>6121</v>
      </c>
      <c r="E1264" s="688"/>
      <c r="F1264" s="312" t="s">
        <v>6122</v>
      </c>
      <c r="G1264" s="313">
        <v>45195</v>
      </c>
      <c r="H1264" s="624"/>
      <c r="I1264" s="625"/>
      <c r="J1264" s="626"/>
      <c r="K1264" s="627"/>
      <c r="L1264" s="628"/>
      <c r="M1264" s="629"/>
      <c r="N1264" s="627"/>
      <c r="O1264" s="628"/>
      <c r="P1264" s="630"/>
      <c r="Q1264" s="631"/>
      <c r="R1264" s="715"/>
      <c r="S1264" s="910"/>
      <c r="T1264" s="632"/>
      <c r="U1264" s="633"/>
      <c r="V1264" s="634"/>
      <c r="W1264" s="635"/>
      <c r="X1264" s="636"/>
      <c r="Y1264" s="637"/>
      <c r="Z1264" s="733"/>
      <c r="AA1264" s="919"/>
      <c r="AB1264" s="908"/>
      <c r="AC1264" s="911"/>
      <c r="AD1264" s="913"/>
      <c r="AE1264" s="669"/>
      <c r="AF1264" s="718"/>
      <c r="AG1264" s="211"/>
      <c r="AH1264" s="210"/>
    </row>
    <row r="1265" spans="1:34" s="4" customFormat="1" ht="16.149999999999999" customHeight="1">
      <c r="A1265" s="2"/>
      <c r="B1265" s="310" t="s">
        <v>119</v>
      </c>
      <c r="C1265" s="311" t="s">
        <v>27</v>
      </c>
      <c r="D1265" s="687" t="s">
        <v>6123</v>
      </c>
      <c r="E1265" s="688"/>
      <c r="F1265" s="312" t="s">
        <v>6124</v>
      </c>
      <c r="G1265" s="313">
        <v>45196</v>
      </c>
      <c r="H1265" s="624"/>
      <c r="I1265" s="625"/>
      <c r="J1265" s="626"/>
      <c r="K1265" s="627"/>
      <c r="L1265" s="628"/>
      <c r="M1265" s="629"/>
      <c r="N1265" s="627"/>
      <c r="O1265" s="628"/>
      <c r="P1265" s="630"/>
      <c r="Q1265" s="631"/>
      <c r="R1265" s="715"/>
      <c r="S1265" s="910"/>
      <c r="T1265" s="632"/>
      <c r="U1265" s="633"/>
      <c r="V1265" s="634"/>
      <c r="W1265" s="635"/>
      <c r="X1265" s="636"/>
      <c r="Y1265" s="637"/>
      <c r="Z1265" s="733"/>
      <c r="AA1265" s="919"/>
      <c r="AB1265" s="908"/>
      <c r="AC1265" s="911"/>
      <c r="AD1265" s="913"/>
      <c r="AE1265" s="669"/>
      <c r="AF1265" s="718"/>
      <c r="AG1265" s="211"/>
      <c r="AH1265" s="210"/>
    </row>
    <row r="1266" spans="1:34" s="4" customFormat="1" ht="16.149999999999999" customHeight="1">
      <c r="A1266" s="2"/>
      <c r="B1266" s="310" t="s">
        <v>119</v>
      </c>
      <c r="C1266" s="311" t="s">
        <v>27</v>
      </c>
      <c r="D1266" s="687" t="s">
        <v>6125</v>
      </c>
      <c r="E1266" s="688"/>
      <c r="F1266" s="312" t="s">
        <v>6126</v>
      </c>
      <c r="G1266" s="313">
        <v>45201</v>
      </c>
      <c r="H1266" s="624"/>
      <c r="I1266" s="625"/>
      <c r="J1266" s="626"/>
      <c r="K1266" s="627"/>
      <c r="L1266" s="628"/>
      <c r="M1266" s="629"/>
      <c r="N1266" s="627"/>
      <c r="O1266" s="628"/>
      <c r="P1266" s="630"/>
      <c r="Q1266" s="631"/>
      <c r="R1266" s="715"/>
      <c r="S1266" s="910"/>
      <c r="T1266" s="632"/>
      <c r="U1266" s="633"/>
      <c r="V1266" s="634"/>
      <c r="W1266" s="635"/>
      <c r="X1266" s="636"/>
      <c r="Y1266" s="637"/>
      <c r="Z1266" s="733"/>
      <c r="AA1266" s="919"/>
      <c r="AB1266" s="908"/>
      <c r="AC1266" s="911"/>
      <c r="AD1266" s="913"/>
      <c r="AE1266" s="669"/>
      <c r="AF1266" s="718"/>
      <c r="AG1266" s="211"/>
      <c r="AH1266" s="210"/>
    </row>
    <row r="1267" spans="1:34" s="4" customFormat="1" ht="16.149999999999999" customHeight="1">
      <c r="A1267" s="2"/>
      <c r="B1267" s="310" t="s">
        <v>119</v>
      </c>
      <c r="C1267" s="311" t="s">
        <v>27</v>
      </c>
      <c r="D1267" s="687" t="s">
        <v>6127</v>
      </c>
      <c r="E1267" s="688"/>
      <c r="F1267" s="312" t="s">
        <v>6128</v>
      </c>
      <c r="G1267" s="313">
        <v>45210</v>
      </c>
      <c r="H1267" s="624"/>
      <c r="I1267" s="625"/>
      <c r="J1267" s="626"/>
      <c r="K1267" s="627"/>
      <c r="L1267" s="628"/>
      <c r="M1267" s="629"/>
      <c r="N1267" s="627"/>
      <c r="O1267" s="628"/>
      <c r="P1267" s="630"/>
      <c r="Q1267" s="631"/>
      <c r="R1267" s="715"/>
      <c r="S1267" s="910"/>
      <c r="T1267" s="632"/>
      <c r="U1267" s="633"/>
      <c r="V1267" s="634"/>
      <c r="W1267" s="635"/>
      <c r="X1267" s="636"/>
      <c r="Y1267" s="637"/>
      <c r="Z1267" s="733"/>
      <c r="AA1267" s="919"/>
      <c r="AB1267" s="908"/>
      <c r="AC1267" s="911"/>
      <c r="AD1267" s="913"/>
      <c r="AE1267" s="669"/>
      <c r="AF1267" s="718"/>
      <c r="AG1267" s="211"/>
      <c r="AH1267" s="210"/>
    </row>
    <row r="1268" spans="1:34" s="4" customFormat="1" ht="16.149999999999999" customHeight="1">
      <c r="A1268" s="2"/>
      <c r="B1268" s="310" t="s">
        <v>119</v>
      </c>
      <c r="C1268" s="311" t="s">
        <v>27</v>
      </c>
      <c r="D1268" s="687" t="s">
        <v>6129</v>
      </c>
      <c r="E1268" s="688"/>
      <c r="F1268" s="312" t="s">
        <v>6130</v>
      </c>
      <c r="G1268" s="313">
        <v>45211</v>
      </c>
      <c r="H1268" s="624"/>
      <c r="I1268" s="625"/>
      <c r="J1268" s="626"/>
      <c r="K1268" s="627"/>
      <c r="L1268" s="628"/>
      <c r="M1268" s="629"/>
      <c r="N1268" s="627"/>
      <c r="O1268" s="628"/>
      <c r="P1268" s="630"/>
      <c r="Q1268" s="631"/>
      <c r="R1268" s="715"/>
      <c r="S1268" s="910"/>
      <c r="T1268" s="632"/>
      <c r="U1268" s="633"/>
      <c r="V1268" s="634"/>
      <c r="W1268" s="635"/>
      <c r="X1268" s="636"/>
      <c r="Y1268" s="637"/>
      <c r="Z1268" s="733"/>
      <c r="AA1268" s="919"/>
      <c r="AB1268" s="908"/>
      <c r="AC1268" s="911"/>
      <c r="AD1268" s="913"/>
      <c r="AE1268" s="669"/>
      <c r="AF1268" s="718"/>
      <c r="AG1268" s="211"/>
      <c r="AH1268" s="210"/>
    </row>
    <row r="1269" spans="1:34" s="4" customFormat="1" ht="16.149999999999999" customHeight="1">
      <c r="A1269" s="2"/>
      <c r="B1269" s="310" t="s">
        <v>119</v>
      </c>
      <c r="C1269" s="311" t="s">
        <v>27</v>
      </c>
      <c r="D1269" s="687" t="s">
        <v>6131</v>
      </c>
      <c r="E1269" s="688"/>
      <c r="F1269" s="312" t="s">
        <v>6132</v>
      </c>
      <c r="G1269" s="313">
        <v>45217</v>
      </c>
      <c r="H1269" s="624"/>
      <c r="I1269" s="625"/>
      <c r="J1269" s="626"/>
      <c r="K1269" s="627"/>
      <c r="L1269" s="628"/>
      <c r="M1269" s="629"/>
      <c r="N1269" s="627"/>
      <c r="O1269" s="628"/>
      <c r="P1269" s="630"/>
      <c r="Q1269" s="631"/>
      <c r="R1269" s="715"/>
      <c r="S1269" s="910"/>
      <c r="T1269" s="632"/>
      <c r="U1269" s="633"/>
      <c r="V1269" s="634"/>
      <c r="W1269" s="635"/>
      <c r="X1269" s="636"/>
      <c r="Y1269" s="637"/>
      <c r="Z1269" s="733"/>
      <c r="AA1269" s="919"/>
      <c r="AB1269" s="908"/>
      <c r="AC1269" s="911"/>
      <c r="AD1269" s="913"/>
      <c r="AE1269" s="669"/>
      <c r="AF1269" s="718"/>
      <c r="AG1269" s="211"/>
      <c r="AH1269" s="210"/>
    </row>
    <row r="1270" spans="1:34" s="4" customFormat="1" ht="16.149999999999999" customHeight="1">
      <c r="A1270" s="2"/>
      <c r="B1270" s="310" t="s">
        <v>119</v>
      </c>
      <c r="C1270" s="311" t="s">
        <v>27</v>
      </c>
      <c r="D1270" s="687" t="s">
        <v>6133</v>
      </c>
      <c r="E1270" s="688"/>
      <c r="F1270" s="312" t="s">
        <v>6134</v>
      </c>
      <c r="G1270" s="313">
        <v>45224</v>
      </c>
      <c r="H1270" s="624"/>
      <c r="I1270" s="625"/>
      <c r="J1270" s="626"/>
      <c r="K1270" s="627"/>
      <c r="L1270" s="628"/>
      <c r="M1270" s="629"/>
      <c r="N1270" s="627"/>
      <c r="O1270" s="628"/>
      <c r="P1270" s="630"/>
      <c r="Q1270" s="631"/>
      <c r="R1270" s="715"/>
      <c r="S1270" s="910"/>
      <c r="T1270" s="632"/>
      <c r="U1270" s="633"/>
      <c r="V1270" s="634"/>
      <c r="W1270" s="635"/>
      <c r="X1270" s="636"/>
      <c r="Y1270" s="637"/>
      <c r="Z1270" s="733"/>
      <c r="AA1270" s="919"/>
      <c r="AB1270" s="908"/>
      <c r="AC1270" s="911"/>
      <c r="AD1270" s="913"/>
      <c r="AE1270" s="669"/>
      <c r="AF1270" s="718"/>
      <c r="AG1270" s="211"/>
      <c r="AH1270" s="210"/>
    </row>
    <row r="1271" spans="1:34" s="4" customFormat="1" ht="16.149999999999999" customHeight="1">
      <c r="A1271" s="2"/>
      <c r="B1271" s="310" t="s">
        <v>119</v>
      </c>
      <c r="C1271" s="311" t="s">
        <v>27</v>
      </c>
      <c r="D1271" s="687" t="s">
        <v>6135</v>
      </c>
      <c r="E1271" s="688"/>
      <c r="F1271" s="312" t="s">
        <v>6136</v>
      </c>
      <c r="G1271" s="313">
        <v>45224</v>
      </c>
      <c r="H1271" s="624"/>
      <c r="I1271" s="625"/>
      <c r="J1271" s="626"/>
      <c r="K1271" s="627"/>
      <c r="L1271" s="628"/>
      <c r="M1271" s="629"/>
      <c r="N1271" s="627"/>
      <c r="O1271" s="628"/>
      <c r="P1271" s="630"/>
      <c r="Q1271" s="631"/>
      <c r="R1271" s="715"/>
      <c r="S1271" s="910"/>
      <c r="T1271" s="632"/>
      <c r="U1271" s="633"/>
      <c r="V1271" s="634"/>
      <c r="W1271" s="635"/>
      <c r="X1271" s="636"/>
      <c r="Y1271" s="637"/>
      <c r="Z1271" s="733"/>
      <c r="AA1271" s="919"/>
      <c r="AB1271" s="908"/>
      <c r="AC1271" s="911"/>
      <c r="AD1271" s="913"/>
      <c r="AE1271" s="669"/>
      <c r="AF1271" s="718"/>
      <c r="AG1271" s="211"/>
      <c r="AH1271" s="210"/>
    </row>
    <row r="1272" spans="1:34" s="4" customFormat="1" ht="16.149999999999999" customHeight="1">
      <c r="A1272" s="2"/>
      <c r="B1272" s="310" t="s">
        <v>119</v>
      </c>
      <c r="C1272" s="311" t="s">
        <v>27</v>
      </c>
      <c r="D1272" s="687" t="s">
        <v>6137</v>
      </c>
      <c r="E1272" s="688"/>
      <c r="F1272" s="312" t="s">
        <v>6138</v>
      </c>
      <c r="G1272" s="313">
        <v>45253</v>
      </c>
      <c r="H1272" s="624"/>
      <c r="I1272" s="625"/>
      <c r="J1272" s="626"/>
      <c r="K1272" s="627"/>
      <c r="L1272" s="628"/>
      <c r="M1272" s="629"/>
      <c r="N1272" s="627"/>
      <c r="O1272" s="628"/>
      <c r="P1272" s="630"/>
      <c r="Q1272" s="631"/>
      <c r="R1272" s="715"/>
      <c r="S1272" s="910"/>
      <c r="T1272" s="632"/>
      <c r="U1272" s="633"/>
      <c r="V1272" s="634"/>
      <c r="W1272" s="635"/>
      <c r="X1272" s="636"/>
      <c r="Y1272" s="637"/>
      <c r="Z1272" s="733"/>
      <c r="AA1272" s="919"/>
      <c r="AB1272" s="908"/>
      <c r="AC1272" s="911"/>
      <c r="AD1272" s="913"/>
      <c r="AE1272" s="669"/>
      <c r="AF1272" s="718"/>
      <c r="AG1272" s="211"/>
      <c r="AH1272" s="210"/>
    </row>
    <row r="1273" spans="1:34" s="4" customFormat="1" ht="16.149999999999999" customHeight="1">
      <c r="A1273" s="2"/>
      <c r="B1273" s="310" t="s">
        <v>106</v>
      </c>
      <c r="C1273" s="311" t="s">
        <v>33</v>
      </c>
      <c r="D1273" s="687" t="s">
        <v>6139</v>
      </c>
      <c r="E1273" s="688"/>
      <c r="F1273" s="312"/>
      <c r="G1273" s="313"/>
      <c r="H1273" s="624"/>
      <c r="I1273" s="625"/>
      <c r="J1273" s="626"/>
      <c r="K1273" s="627" t="s">
        <v>6140</v>
      </c>
      <c r="L1273" s="628">
        <v>45271</v>
      </c>
      <c r="M1273" s="629">
        <v>13000</v>
      </c>
      <c r="N1273" s="627" t="s">
        <v>6141</v>
      </c>
      <c r="O1273" s="628">
        <v>45273</v>
      </c>
      <c r="P1273" s="630" t="s">
        <v>6142</v>
      </c>
      <c r="Q1273" s="631"/>
      <c r="R1273" s="715"/>
      <c r="S1273" s="1068"/>
      <c r="T1273" s="632"/>
      <c r="U1273" s="633" t="s">
        <v>6143</v>
      </c>
      <c r="V1273" s="634">
        <v>45315</v>
      </c>
      <c r="W1273" s="635" t="s">
        <v>2302</v>
      </c>
      <c r="X1273" s="636">
        <v>25343.21</v>
      </c>
      <c r="Y1273" s="636">
        <v>25343.21</v>
      </c>
      <c r="Z1273" s="987">
        <f t="shared" ref="Z1273" si="87">Y1273/X1273</f>
        <v>1</v>
      </c>
      <c r="AA1273" s="919"/>
      <c r="AB1273" s="1055">
        <v>0</v>
      </c>
      <c r="AC1273" s="912"/>
      <c r="AD1273" s="913"/>
      <c r="AE1273" s="669"/>
      <c r="AF1273" s="718"/>
      <c r="AG1273" s="211"/>
      <c r="AH1273" s="210"/>
    </row>
    <row r="1274" spans="1:34" s="4" customFormat="1" ht="16.149999999999999" customHeight="1">
      <c r="A1274" s="2"/>
      <c r="B1274" s="310" t="s">
        <v>115</v>
      </c>
      <c r="C1274" s="311" t="s">
        <v>27</v>
      </c>
      <c r="D1274" s="687"/>
      <c r="E1274" s="688"/>
      <c r="F1274" s="312" t="s">
        <v>6144</v>
      </c>
      <c r="G1274" s="313"/>
      <c r="H1274" s="624"/>
      <c r="I1274" s="625"/>
      <c r="J1274" s="626"/>
      <c r="K1274" s="627"/>
      <c r="L1274" s="628"/>
      <c r="M1274" s="629"/>
      <c r="N1274" s="627"/>
      <c r="O1274" s="628"/>
      <c r="P1274" s="630"/>
      <c r="Q1274" s="631"/>
      <c r="R1274" s="715"/>
      <c r="S1274" s="910"/>
      <c r="T1274" s="632"/>
      <c r="U1274" s="633"/>
      <c r="V1274" s="634"/>
      <c r="W1274" s="635"/>
      <c r="X1274" s="636"/>
      <c r="Y1274" s="637"/>
      <c r="Z1274" s="733"/>
      <c r="AA1274" s="919"/>
      <c r="AB1274" s="908"/>
      <c r="AC1274" s="911"/>
      <c r="AD1274" s="913"/>
      <c r="AE1274" s="669"/>
      <c r="AF1274" s="718"/>
      <c r="AG1274" s="211"/>
      <c r="AH1274" s="210"/>
    </row>
    <row r="1275" spans="1:34" s="4" customFormat="1" ht="16.149999999999999" customHeight="1">
      <c r="A1275" s="2"/>
      <c r="B1275" s="310" t="s">
        <v>115</v>
      </c>
      <c r="C1275" s="311" t="s">
        <v>27</v>
      </c>
      <c r="D1275" s="687"/>
      <c r="E1275" s="688"/>
      <c r="F1275" s="312" t="s">
        <v>6145</v>
      </c>
      <c r="G1275" s="313"/>
      <c r="H1275" s="624"/>
      <c r="I1275" s="625"/>
      <c r="J1275" s="626"/>
      <c r="K1275" s="627"/>
      <c r="L1275" s="628"/>
      <c r="M1275" s="629"/>
      <c r="N1275" s="627"/>
      <c r="O1275" s="628"/>
      <c r="P1275" s="630"/>
      <c r="Q1275" s="631"/>
      <c r="R1275" s="715"/>
      <c r="S1275" s="910"/>
      <c r="T1275" s="632"/>
      <c r="U1275" s="633"/>
      <c r="V1275" s="634"/>
      <c r="W1275" s="635"/>
      <c r="X1275" s="636"/>
      <c r="Y1275" s="637"/>
      <c r="Z1275" s="733"/>
      <c r="AA1275" s="919"/>
      <c r="AB1275" s="908"/>
      <c r="AC1275" s="911"/>
      <c r="AD1275" s="913"/>
      <c r="AE1275" s="669"/>
      <c r="AF1275" s="718"/>
      <c r="AG1275" s="211"/>
      <c r="AH1275" s="210"/>
    </row>
    <row r="1276" spans="1:34" s="4" customFormat="1" ht="16.149999999999999" customHeight="1">
      <c r="A1276" s="2"/>
      <c r="B1276" s="310" t="s">
        <v>115</v>
      </c>
      <c r="C1276" s="311" t="s">
        <v>27</v>
      </c>
      <c r="D1276" s="687"/>
      <c r="E1276" s="688"/>
      <c r="F1276" s="312" t="s">
        <v>6146</v>
      </c>
      <c r="G1276" s="313"/>
      <c r="H1276" s="624"/>
      <c r="I1276" s="625"/>
      <c r="J1276" s="626"/>
      <c r="K1276" s="627"/>
      <c r="L1276" s="628"/>
      <c r="M1276" s="629"/>
      <c r="N1276" s="627"/>
      <c r="O1276" s="628"/>
      <c r="P1276" s="630"/>
      <c r="Q1276" s="631"/>
      <c r="R1276" s="715"/>
      <c r="S1276" s="910"/>
      <c r="T1276" s="632"/>
      <c r="U1276" s="633"/>
      <c r="V1276" s="634"/>
      <c r="W1276" s="635"/>
      <c r="X1276" s="636"/>
      <c r="Y1276" s="637"/>
      <c r="Z1276" s="733"/>
      <c r="AA1276" s="919"/>
      <c r="AB1276" s="908"/>
      <c r="AC1276" s="911"/>
      <c r="AD1276" s="913"/>
      <c r="AE1276" s="669"/>
      <c r="AF1276" s="718"/>
      <c r="AG1276" s="211"/>
      <c r="AH1276" s="210"/>
    </row>
    <row r="1277" spans="1:34" s="4" customFormat="1" ht="16.149999999999999" customHeight="1">
      <c r="A1277" s="2"/>
      <c r="B1277" s="310" t="s">
        <v>106</v>
      </c>
      <c r="C1277" s="311" t="s">
        <v>33</v>
      </c>
      <c r="D1277" s="687" t="s">
        <v>6147</v>
      </c>
      <c r="E1277" s="688"/>
      <c r="F1277" s="312" t="s">
        <v>6148</v>
      </c>
      <c r="G1277" s="313"/>
      <c r="H1277" s="624"/>
      <c r="I1277" s="625"/>
      <c r="J1277" s="626"/>
      <c r="K1277" s="627" t="s">
        <v>6149</v>
      </c>
      <c r="L1277" s="628">
        <v>45302</v>
      </c>
      <c r="M1277" s="629">
        <v>3000</v>
      </c>
      <c r="N1277" s="627" t="s">
        <v>6150</v>
      </c>
      <c r="O1277" s="628"/>
      <c r="P1277" s="630" t="s">
        <v>6151</v>
      </c>
      <c r="Q1277" s="631"/>
      <c r="R1277" s="715"/>
      <c r="S1277" s="1068"/>
      <c r="T1277" s="632"/>
      <c r="U1277" s="633" t="s">
        <v>6152</v>
      </c>
      <c r="V1277" s="634">
        <v>45316</v>
      </c>
      <c r="W1277" s="635" t="s">
        <v>2302</v>
      </c>
      <c r="X1277" s="636">
        <v>6450.42</v>
      </c>
      <c r="Y1277" s="636">
        <v>6450.42</v>
      </c>
      <c r="Z1277" s="987">
        <f t="shared" ref="Z1277" si="88">Y1277/X1277</f>
        <v>1</v>
      </c>
      <c r="AA1277" s="919"/>
      <c r="AB1277" s="1055">
        <v>0</v>
      </c>
      <c r="AC1277" s="912"/>
      <c r="AD1277" s="913"/>
      <c r="AE1277" s="669"/>
      <c r="AF1277" s="718"/>
      <c r="AG1277" s="211"/>
      <c r="AH1277" s="210"/>
    </row>
    <row r="1278" spans="1:34" s="4" customFormat="1" ht="16.149999999999999" customHeight="1">
      <c r="A1278" s="2"/>
      <c r="B1278" s="310" t="s">
        <v>115</v>
      </c>
      <c r="C1278" s="311" t="s">
        <v>27</v>
      </c>
      <c r="D1278" s="687"/>
      <c r="E1278" s="688"/>
      <c r="F1278" s="312" t="s">
        <v>6153</v>
      </c>
      <c r="G1278" s="313"/>
      <c r="H1278" s="624"/>
      <c r="I1278" s="625"/>
      <c r="J1278" s="626"/>
      <c r="K1278" s="627"/>
      <c r="L1278" s="628"/>
      <c r="M1278" s="629"/>
      <c r="N1278" s="627"/>
      <c r="O1278" s="628"/>
      <c r="P1278" s="630"/>
      <c r="Q1278" s="631"/>
      <c r="R1278" s="715"/>
      <c r="S1278" s="910"/>
      <c r="T1278" s="632"/>
      <c r="U1278" s="633"/>
      <c r="V1278" s="634"/>
      <c r="W1278" s="635"/>
      <c r="X1278" s="636"/>
      <c r="Y1278" s="637"/>
      <c r="Z1278" s="733"/>
      <c r="AA1278" s="919"/>
      <c r="AB1278" s="908"/>
      <c r="AC1278" s="911"/>
      <c r="AD1278" s="913"/>
      <c r="AE1278" s="669"/>
      <c r="AF1278" s="718"/>
      <c r="AG1278" s="211"/>
      <c r="AH1278" s="210"/>
    </row>
    <row r="1279" spans="1:34" s="4" customFormat="1" ht="16.149999999999999" customHeight="1">
      <c r="A1279" s="2"/>
      <c r="B1279" s="310" t="s">
        <v>115</v>
      </c>
      <c r="C1279" s="311" t="s">
        <v>27</v>
      </c>
      <c r="D1279" s="687"/>
      <c r="E1279" s="688"/>
      <c r="F1279" s="312" t="s">
        <v>6154</v>
      </c>
      <c r="G1279" s="313"/>
      <c r="H1279" s="624"/>
      <c r="I1279" s="625"/>
      <c r="J1279" s="626"/>
      <c r="K1279" s="627"/>
      <c r="L1279" s="628"/>
      <c r="M1279" s="629"/>
      <c r="N1279" s="627"/>
      <c r="O1279" s="628"/>
      <c r="P1279" s="630"/>
      <c r="Q1279" s="631"/>
      <c r="R1279" s="715"/>
      <c r="S1279" s="910"/>
      <c r="T1279" s="632"/>
      <c r="U1279" s="633"/>
      <c r="V1279" s="634"/>
      <c r="W1279" s="635"/>
      <c r="X1279" s="636"/>
      <c r="Y1279" s="637"/>
      <c r="Z1279" s="733"/>
      <c r="AA1279" s="919"/>
      <c r="AB1279" s="908"/>
      <c r="AC1279" s="911"/>
      <c r="AD1279" s="913"/>
      <c r="AE1279" s="669"/>
      <c r="AF1279" s="718"/>
      <c r="AG1279" s="211"/>
      <c r="AH1279" s="210"/>
    </row>
    <row r="1280" spans="1:34" s="4" customFormat="1" ht="16.149999999999999" customHeight="1">
      <c r="A1280" s="2"/>
      <c r="B1280" s="310" t="s">
        <v>115</v>
      </c>
      <c r="C1280" s="311" t="s">
        <v>27</v>
      </c>
      <c r="D1280" s="687"/>
      <c r="E1280" s="688"/>
      <c r="F1280" s="312" t="s">
        <v>6155</v>
      </c>
      <c r="G1280" s="313"/>
      <c r="H1280" s="624"/>
      <c r="I1280" s="625"/>
      <c r="J1280" s="626"/>
      <c r="K1280" s="627"/>
      <c r="L1280" s="628"/>
      <c r="M1280" s="629"/>
      <c r="N1280" s="627"/>
      <c r="O1280" s="628"/>
      <c r="P1280" s="630"/>
      <c r="Q1280" s="631"/>
      <c r="R1280" s="715"/>
      <c r="S1280" s="910"/>
      <c r="T1280" s="632"/>
      <c r="U1280" s="633"/>
      <c r="V1280" s="634"/>
      <c r="W1280" s="635"/>
      <c r="X1280" s="636"/>
      <c r="Y1280" s="637"/>
      <c r="Z1280" s="733"/>
      <c r="AA1280" s="919"/>
      <c r="AB1280" s="908"/>
      <c r="AC1280" s="911"/>
      <c r="AD1280" s="913"/>
      <c r="AE1280" s="669"/>
      <c r="AF1280" s="718"/>
      <c r="AG1280" s="211"/>
      <c r="AH1280" s="210"/>
    </row>
    <row r="1281" spans="1:34" s="4" customFormat="1" ht="16.149999999999999" customHeight="1">
      <c r="A1281" s="2"/>
      <c r="B1281" s="310" t="s">
        <v>115</v>
      </c>
      <c r="C1281" s="311" t="s">
        <v>27</v>
      </c>
      <c r="D1281" s="687"/>
      <c r="E1281" s="688"/>
      <c r="F1281" s="312" t="s">
        <v>6156</v>
      </c>
      <c r="G1281" s="313"/>
      <c r="H1281" s="624"/>
      <c r="I1281" s="625"/>
      <c r="J1281" s="626"/>
      <c r="K1281" s="627"/>
      <c r="L1281" s="628"/>
      <c r="M1281" s="629"/>
      <c r="N1281" s="627"/>
      <c r="O1281" s="628"/>
      <c r="P1281" s="630"/>
      <c r="Q1281" s="631"/>
      <c r="R1281" s="715"/>
      <c r="S1281" s="910"/>
      <c r="T1281" s="632"/>
      <c r="U1281" s="633"/>
      <c r="V1281" s="634"/>
      <c r="W1281" s="635"/>
      <c r="X1281" s="636"/>
      <c r="Y1281" s="637"/>
      <c r="Z1281" s="733"/>
      <c r="AA1281" s="919"/>
      <c r="AB1281" s="908"/>
      <c r="AC1281" s="911"/>
      <c r="AD1281" s="913"/>
      <c r="AE1281" s="669"/>
      <c r="AF1281" s="718"/>
      <c r="AG1281" s="211"/>
      <c r="AH1281" s="210"/>
    </row>
    <row r="1282" spans="1:34" s="4" customFormat="1" ht="16.149999999999999" customHeight="1">
      <c r="A1282" s="2"/>
      <c r="B1282" s="310" t="s">
        <v>106</v>
      </c>
      <c r="C1282" s="311" t="s">
        <v>33</v>
      </c>
      <c r="D1282" s="687" t="s">
        <v>6157</v>
      </c>
      <c r="E1282" s="688"/>
      <c r="F1282" s="312" t="s">
        <v>6158</v>
      </c>
      <c r="G1282" s="313"/>
      <c r="H1282" s="624"/>
      <c r="I1282" s="625"/>
      <c r="J1282" s="626"/>
      <c r="K1282" s="627" t="s">
        <v>6159</v>
      </c>
      <c r="L1282" s="628">
        <v>45272</v>
      </c>
      <c r="M1282" s="629">
        <v>4000</v>
      </c>
      <c r="N1282" s="627" t="s">
        <v>6160</v>
      </c>
      <c r="O1282" s="628">
        <v>45273</v>
      </c>
      <c r="P1282" s="630" t="s">
        <v>6161</v>
      </c>
      <c r="Q1282" s="631"/>
      <c r="R1282" s="715"/>
      <c r="S1282" s="1068"/>
      <c r="T1282" s="632"/>
      <c r="U1282" s="633" t="s">
        <v>6162</v>
      </c>
      <c r="V1282" s="634">
        <v>45315</v>
      </c>
      <c r="W1282" s="635" t="s">
        <v>2302</v>
      </c>
      <c r="X1282" s="636">
        <v>17521.900000000001</v>
      </c>
      <c r="Y1282" s="636">
        <v>17521.900000000001</v>
      </c>
      <c r="Z1282" s="987">
        <f t="shared" ref="Z1282" si="89">Y1282/X1282</f>
        <v>1</v>
      </c>
      <c r="AA1282" s="919"/>
      <c r="AB1282" s="1055">
        <v>0</v>
      </c>
      <c r="AC1282" s="912"/>
      <c r="AD1282" s="913"/>
      <c r="AE1282" s="669"/>
      <c r="AF1282" s="718"/>
      <c r="AG1282" s="211"/>
      <c r="AH1282" s="210"/>
    </row>
    <row r="1283" spans="1:34" s="4" customFormat="1" ht="16.149999999999999" customHeight="1">
      <c r="A1283" s="2"/>
      <c r="B1283" s="310" t="s">
        <v>115</v>
      </c>
      <c r="C1283" s="311" t="s">
        <v>27</v>
      </c>
      <c r="D1283" s="687"/>
      <c r="E1283" s="688"/>
      <c r="F1283" s="312" t="s">
        <v>6163</v>
      </c>
      <c r="G1283" s="313"/>
      <c r="H1283" s="624"/>
      <c r="I1283" s="625"/>
      <c r="J1283" s="626"/>
      <c r="K1283" s="627"/>
      <c r="L1283" s="628"/>
      <c r="M1283" s="629"/>
      <c r="N1283" s="627"/>
      <c r="O1283" s="628"/>
      <c r="P1283" s="630"/>
      <c r="Q1283" s="631"/>
      <c r="R1283" s="715"/>
      <c r="S1283" s="910"/>
      <c r="T1283" s="632"/>
      <c r="U1283" s="633"/>
      <c r="V1283" s="634"/>
      <c r="W1283" s="635"/>
      <c r="X1283" s="636"/>
      <c r="Y1283" s="637"/>
      <c r="Z1283" s="733"/>
      <c r="AA1283" s="919"/>
      <c r="AB1283" s="908"/>
      <c r="AC1283" s="911"/>
      <c r="AD1283" s="913"/>
      <c r="AE1283" s="669"/>
      <c r="AF1283" s="718"/>
      <c r="AG1283" s="211"/>
      <c r="AH1283" s="210"/>
    </row>
    <row r="1284" spans="1:34" s="4" customFormat="1" ht="16.149999999999999" customHeight="1">
      <c r="A1284" s="2"/>
      <c r="B1284" s="310" t="s">
        <v>115</v>
      </c>
      <c r="C1284" s="311" t="s">
        <v>27</v>
      </c>
      <c r="D1284" s="687"/>
      <c r="E1284" s="688"/>
      <c r="F1284" s="312" t="s">
        <v>6164</v>
      </c>
      <c r="G1284" s="313"/>
      <c r="H1284" s="624"/>
      <c r="I1284" s="625"/>
      <c r="J1284" s="626"/>
      <c r="K1284" s="627"/>
      <c r="L1284" s="628"/>
      <c r="M1284" s="629"/>
      <c r="N1284" s="627"/>
      <c r="O1284" s="628"/>
      <c r="P1284" s="630"/>
      <c r="Q1284" s="631"/>
      <c r="R1284" s="715"/>
      <c r="S1284" s="910"/>
      <c r="T1284" s="632"/>
      <c r="U1284" s="633"/>
      <c r="V1284" s="634"/>
      <c r="W1284" s="635"/>
      <c r="X1284" s="636"/>
      <c r="Y1284" s="637"/>
      <c r="Z1284" s="733"/>
      <c r="AA1284" s="919"/>
      <c r="AB1284" s="908"/>
      <c r="AC1284" s="911" t="s">
        <v>6165</v>
      </c>
      <c r="AD1284" s="913"/>
      <c r="AE1284" s="669"/>
      <c r="AF1284" s="718"/>
      <c r="AG1284" s="211"/>
      <c r="AH1284" s="210"/>
    </row>
    <row r="1285" spans="1:34" s="4" customFormat="1" ht="16.149999999999999" customHeight="1">
      <c r="A1285" s="2"/>
      <c r="B1285" s="310" t="s">
        <v>119</v>
      </c>
      <c r="C1285" s="311" t="s">
        <v>27</v>
      </c>
      <c r="D1285" s="687"/>
      <c r="E1285" s="688"/>
      <c r="F1285" s="312" t="s">
        <v>6166</v>
      </c>
      <c r="G1285" s="313"/>
      <c r="H1285" s="624"/>
      <c r="I1285" s="625"/>
      <c r="J1285" s="626"/>
      <c r="K1285" s="627"/>
      <c r="L1285" s="628"/>
      <c r="M1285" s="629"/>
      <c r="N1285" s="627"/>
      <c r="O1285" s="628"/>
      <c r="P1285" s="630"/>
      <c r="Q1285" s="631"/>
      <c r="R1285" s="715"/>
      <c r="S1285" s="910"/>
      <c r="T1285" s="632"/>
      <c r="U1285" s="633"/>
      <c r="V1285" s="634"/>
      <c r="W1285" s="635"/>
      <c r="X1285" s="636"/>
      <c r="Y1285" s="637"/>
      <c r="Z1285" s="733"/>
      <c r="AA1285" s="919"/>
      <c r="AB1285" s="908"/>
      <c r="AC1285" s="997" t="s">
        <v>6167</v>
      </c>
      <c r="AD1285" s="996"/>
      <c r="AE1285" s="669"/>
      <c r="AF1285" s="718"/>
      <c r="AG1285" s="211"/>
      <c r="AH1285" s="210"/>
    </row>
    <row r="1286" spans="1:34" s="4" customFormat="1" ht="16.149999999999999" customHeight="1">
      <c r="A1286" s="2"/>
      <c r="B1286" s="310" t="s">
        <v>106</v>
      </c>
      <c r="C1286" s="311" t="s">
        <v>33</v>
      </c>
      <c r="D1286" s="687" t="s">
        <v>6168</v>
      </c>
      <c r="E1286" s="688"/>
      <c r="F1286" s="312"/>
      <c r="G1286" s="313"/>
      <c r="H1286" s="624" t="s">
        <v>6169</v>
      </c>
      <c r="I1286" s="625">
        <v>45274</v>
      </c>
      <c r="J1286" s="626">
        <v>78000</v>
      </c>
      <c r="K1286" s="627" t="s">
        <v>6170</v>
      </c>
      <c r="L1286" s="628">
        <v>45273</v>
      </c>
      <c r="M1286" s="629">
        <v>32000</v>
      </c>
      <c r="N1286" s="627" t="s">
        <v>6171</v>
      </c>
      <c r="O1286" s="628">
        <v>45274</v>
      </c>
      <c r="P1286" s="630" t="s">
        <v>6172</v>
      </c>
      <c r="Q1286" s="631">
        <v>45376</v>
      </c>
      <c r="R1286" s="715">
        <v>45390</v>
      </c>
      <c r="S1286" s="1068"/>
      <c r="T1286" s="632">
        <v>59044.13</v>
      </c>
      <c r="U1286" s="633" t="s">
        <v>6173</v>
      </c>
      <c r="V1286" s="634">
        <v>45386</v>
      </c>
      <c r="W1286" s="635" t="s">
        <v>96</v>
      </c>
      <c r="X1286" s="636">
        <v>59044.13</v>
      </c>
      <c r="Y1286" s="1058">
        <v>20000</v>
      </c>
      <c r="Z1286" s="1060">
        <f>Y1286/X1286</f>
        <v>0.33872969251981527</v>
      </c>
      <c r="AA1286" s="919"/>
      <c r="AB1286" s="1056"/>
      <c r="AC1286" s="1022"/>
      <c r="AD1286" s="996"/>
      <c r="AE1286" s="669"/>
      <c r="AF1286" s="718"/>
      <c r="AG1286" s="211"/>
      <c r="AH1286" s="210"/>
    </row>
    <row r="1287" spans="1:34" s="4" customFormat="1" ht="16.149999999999999" customHeight="1">
      <c r="A1287" s="2"/>
      <c r="B1287" s="310" t="s">
        <v>106</v>
      </c>
      <c r="C1287" s="311" t="s">
        <v>33</v>
      </c>
      <c r="D1287" s="687" t="s">
        <v>6174</v>
      </c>
      <c r="E1287" s="688"/>
      <c r="F1287" s="312" t="s">
        <v>6175</v>
      </c>
      <c r="G1287" s="313"/>
      <c r="H1287" s="624"/>
      <c r="I1287" s="625"/>
      <c r="J1287" s="626"/>
      <c r="K1287" s="627" t="s">
        <v>6176</v>
      </c>
      <c r="L1287" s="628"/>
      <c r="M1287" s="629"/>
      <c r="N1287" s="627" t="s">
        <v>6177</v>
      </c>
      <c r="O1287" s="628"/>
      <c r="P1287" s="630" t="s">
        <v>6178</v>
      </c>
      <c r="Q1287" s="631"/>
      <c r="R1287" s="715"/>
      <c r="S1287" s="1068"/>
      <c r="T1287" s="632"/>
      <c r="U1287" s="633" t="s">
        <v>6179</v>
      </c>
      <c r="V1287" s="634">
        <v>45315</v>
      </c>
      <c r="W1287" s="635" t="s">
        <v>2302</v>
      </c>
      <c r="X1287" s="636">
        <v>4445.6099999999997</v>
      </c>
      <c r="Y1287" s="636">
        <v>4445.6099999999997</v>
      </c>
      <c r="Z1287" s="987">
        <f t="shared" ref="Z1287" si="90">Y1287/X1287</f>
        <v>1</v>
      </c>
      <c r="AA1287" s="919"/>
      <c r="AB1287" s="1055">
        <v>0</v>
      </c>
      <c r="AC1287" s="1019" t="s">
        <v>6180</v>
      </c>
      <c r="AD1287" s="996"/>
      <c r="AE1287" s="669"/>
      <c r="AF1287" s="718"/>
      <c r="AG1287" s="211"/>
      <c r="AH1287" s="210"/>
    </row>
    <row r="1288" spans="1:34" s="4" customFormat="1" ht="16.149999999999999" customHeight="1">
      <c r="A1288" s="2"/>
      <c r="B1288" s="310" t="s">
        <v>115</v>
      </c>
      <c r="C1288" s="311" t="s">
        <v>27</v>
      </c>
      <c r="D1288" s="687"/>
      <c r="E1288" s="688"/>
      <c r="F1288" s="312" t="s">
        <v>6181</v>
      </c>
      <c r="G1288" s="313"/>
      <c r="H1288" s="624"/>
      <c r="I1288" s="625"/>
      <c r="J1288" s="626"/>
      <c r="K1288" s="627"/>
      <c r="L1288" s="628"/>
      <c r="M1288" s="629"/>
      <c r="N1288" s="627"/>
      <c r="O1288" s="628"/>
      <c r="P1288" s="630"/>
      <c r="Q1288" s="631"/>
      <c r="R1288" s="715"/>
      <c r="S1288" s="990"/>
      <c r="T1288" s="632"/>
      <c r="U1288" s="633"/>
      <c r="V1288" s="634"/>
      <c r="W1288" s="635"/>
      <c r="X1288" s="636"/>
      <c r="Y1288" s="637"/>
      <c r="Z1288" s="733"/>
      <c r="AA1288" s="919"/>
      <c r="AB1288" s="908"/>
      <c r="AC1288" s="668" t="s">
        <v>6182</v>
      </c>
      <c r="AD1288" s="996"/>
      <c r="AE1288" s="669"/>
      <c r="AF1288" s="718"/>
      <c r="AG1288" s="211"/>
      <c r="AH1288" s="210"/>
    </row>
    <row r="1289" spans="1:34" s="4" customFormat="1" ht="16.149999999999999" customHeight="1">
      <c r="A1289" s="2"/>
      <c r="B1289" s="310" t="s">
        <v>115</v>
      </c>
      <c r="C1289" s="311" t="s">
        <v>27</v>
      </c>
      <c r="D1289" s="687"/>
      <c r="E1289" s="688"/>
      <c r="F1289" s="312" t="s">
        <v>6183</v>
      </c>
      <c r="G1289" s="313"/>
      <c r="H1289" s="624"/>
      <c r="I1289" s="625"/>
      <c r="J1289" s="626"/>
      <c r="K1289" s="627"/>
      <c r="L1289" s="628"/>
      <c r="M1289" s="629"/>
      <c r="N1289" s="627"/>
      <c r="O1289" s="628"/>
      <c r="P1289" s="630"/>
      <c r="Q1289" s="631"/>
      <c r="R1289" s="715"/>
      <c r="S1289" s="990"/>
      <c r="T1289" s="632"/>
      <c r="U1289" s="633"/>
      <c r="V1289" s="634"/>
      <c r="W1289" s="635"/>
      <c r="X1289" s="636"/>
      <c r="Y1289" s="637"/>
      <c r="Z1289" s="733"/>
      <c r="AA1289" s="919"/>
      <c r="AB1289" s="1056"/>
      <c r="AC1289" s="1022" t="s">
        <v>6184</v>
      </c>
      <c r="AD1289" s="996"/>
      <c r="AE1289" s="669"/>
      <c r="AF1289" s="718"/>
      <c r="AG1289" s="211"/>
      <c r="AH1289" s="210"/>
    </row>
    <row r="1290" spans="1:34" s="4" customFormat="1" ht="16.149999999999999" customHeight="1">
      <c r="A1290" s="2"/>
      <c r="B1290" s="310" t="s">
        <v>106</v>
      </c>
      <c r="C1290" s="311" t="s">
        <v>33</v>
      </c>
      <c r="D1290" s="687" t="s">
        <v>6185</v>
      </c>
      <c r="E1290" s="688"/>
      <c r="F1290" s="312" t="s">
        <v>6186</v>
      </c>
      <c r="G1290" s="313"/>
      <c r="H1290" s="624"/>
      <c r="I1290" s="625"/>
      <c r="J1290" s="626"/>
      <c r="K1290" s="627" t="s">
        <v>6187</v>
      </c>
      <c r="L1290" s="628">
        <v>45365</v>
      </c>
      <c r="M1290" s="629">
        <v>57000</v>
      </c>
      <c r="N1290" s="627" t="s">
        <v>6188</v>
      </c>
      <c r="O1290" s="628">
        <v>45365</v>
      </c>
      <c r="P1290" s="630" t="s">
        <v>6189</v>
      </c>
      <c r="Q1290" s="631">
        <v>45344</v>
      </c>
      <c r="R1290" s="715">
        <v>45373</v>
      </c>
      <c r="S1290" s="1068"/>
      <c r="T1290" s="1074">
        <v>57523.040000000001</v>
      </c>
      <c r="U1290" s="633" t="s">
        <v>6190</v>
      </c>
      <c r="V1290" s="634"/>
      <c r="W1290" s="635" t="s">
        <v>2302</v>
      </c>
      <c r="X1290" s="636">
        <v>57523.040000000001</v>
      </c>
      <c r="Y1290" s="636">
        <v>57523.040000000001</v>
      </c>
      <c r="Z1290" s="987">
        <f t="shared" ref="Z1290" si="91">Y1290/X1290</f>
        <v>1</v>
      </c>
      <c r="AA1290" s="919"/>
      <c r="AB1290" s="1056"/>
      <c r="AC1290" s="1022" t="s">
        <v>6191</v>
      </c>
      <c r="AD1290" s="996"/>
      <c r="AE1290" s="669"/>
      <c r="AF1290" s="718"/>
      <c r="AG1290" s="211"/>
      <c r="AH1290" s="210"/>
    </row>
    <row r="1291" spans="1:34" s="4" customFormat="1" ht="16.149999999999999" customHeight="1">
      <c r="A1291" s="2"/>
      <c r="B1291" s="310" t="s">
        <v>115</v>
      </c>
      <c r="C1291" s="311" t="s">
        <v>27</v>
      </c>
      <c r="D1291" s="687"/>
      <c r="E1291" s="688"/>
      <c r="F1291" s="312" t="s">
        <v>6192</v>
      </c>
      <c r="G1291" s="313"/>
      <c r="H1291" s="624"/>
      <c r="I1291" s="625"/>
      <c r="J1291" s="626"/>
      <c r="K1291" s="627"/>
      <c r="L1291" s="628"/>
      <c r="M1291" s="629"/>
      <c r="N1291" s="627"/>
      <c r="O1291" s="628"/>
      <c r="P1291" s="630"/>
      <c r="Q1291" s="631"/>
      <c r="R1291" s="715"/>
      <c r="S1291" s="990"/>
      <c r="T1291" s="632"/>
      <c r="U1291" s="633"/>
      <c r="V1291" s="634"/>
      <c r="W1291" s="635"/>
      <c r="X1291" s="636"/>
      <c r="Y1291" s="637"/>
      <c r="Z1291" s="733"/>
      <c r="AA1291" s="919"/>
      <c r="AB1291" s="1056"/>
      <c r="AC1291" s="1022" t="s">
        <v>6193</v>
      </c>
      <c r="AD1291" s="996"/>
      <c r="AE1291" s="669"/>
      <c r="AF1291" s="718"/>
      <c r="AG1291" s="211"/>
      <c r="AH1291" s="210"/>
    </row>
    <row r="1292" spans="1:34" s="4" customFormat="1">
      <c r="A1292" s="2"/>
      <c r="B1292" s="310" t="s">
        <v>115</v>
      </c>
      <c r="C1292" s="311" t="s">
        <v>27</v>
      </c>
      <c r="D1292" s="687"/>
      <c r="E1292" s="688"/>
      <c r="F1292" s="312" t="s">
        <v>6194</v>
      </c>
      <c r="G1292" s="313"/>
      <c r="H1292" s="624"/>
      <c r="I1292" s="625"/>
      <c r="J1292" s="626"/>
      <c r="K1292" s="627"/>
      <c r="L1292" s="628"/>
      <c r="M1292" s="629"/>
      <c r="N1292" s="627"/>
      <c r="O1292" s="628"/>
      <c r="P1292" s="630"/>
      <c r="Q1292" s="631"/>
      <c r="R1292" s="715"/>
      <c r="S1292" s="990"/>
      <c r="T1292" s="632"/>
      <c r="U1292" s="633"/>
      <c r="V1292" s="634"/>
      <c r="W1292" s="635"/>
      <c r="X1292" s="636"/>
      <c r="Y1292" s="637"/>
      <c r="Z1292" s="733"/>
      <c r="AA1292" s="919"/>
      <c r="AB1292" s="1056"/>
      <c r="AC1292" s="912" t="s">
        <v>6195</v>
      </c>
      <c r="AD1292" s="913"/>
      <c r="AE1292" s="669"/>
      <c r="AF1292" s="718"/>
      <c r="AG1292" s="211"/>
      <c r="AH1292" s="210"/>
    </row>
    <row r="1293" spans="1:34" s="4" customFormat="1">
      <c r="A1293" s="2"/>
      <c r="B1293" s="310" t="s">
        <v>115</v>
      </c>
      <c r="C1293" s="311" t="s">
        <v>27</v>
      </c>
      <c r="D1293" s="687"/>
      <c r="E1293" s="688"/>
      <c r="F1293" s="312" t="s">
        <v>6196</v>
      </c>
      <c r="G1293" s="313"/>
      <c r="H1293" s="624"/>
      <c r="I1293" s="625"/>
      <c r="J1293" s="626"/>
      <c r="K1293" s="627"/>
      <c r="L1293" s="628"/>
      <c r="M1293" s="629"/>
      <c r="N1293" s="627"/>
      <c r="O1293" s="628"/>
      <c r="P1293" s="630"/>
      <c r="Q1293" s="631"/>
      <c r="R1293" s="715"/>
      <c r="S1293" s="990"/>
      <c r="T1293" s="632"/>
      <c r="U1293" s="633"/>
      <c r="V1293" s="634"/>
      <c r="W1293" s="635"/>
      <c r="X1293" s="636"/>
      <c r="Y1293" s="637"/>
      <c r="Z1293" s="733"/>
      <c r="AA1293" s="919"/>
      <c r="AB1293" s="1056"/>
      <c r="AC1293" s="4" t="s">
        <v>6197</v>
      </c>
      <c r="AD1293" s="913"/>
      <c r="AE1293" s="669"/>
      <c r="AF1293" s="718"/>
      <c r="AG1293" s="211"/>
      <c r="AH1293" s="210"/>
    </row>
    <row r="1294" spans="1:34" s="4" customFormat="1">
      <c r="A1294" s="2"/>
      <c r="B1294" s="310" t="s">
        <v>115</v>
      </c>
      <c r="C1294" s="311" t="s">
        <v>27</v>
      </c>
      <c r="D1294" s="687"/>
      <c r="E1294" s="688"/>
      <c r="F1294" s="312" t="s">
        <v>6198</v>
      </c>
      <c r="G1294" s="313"/>
      <c r="H1294" s="624"/>
      <c r="I1294" s="625"/>
      <c r="J1294" s="626"/>
      <c r="K1294" s="627"/>
      <c r="L1294" s="628"/>
      <c r="M1294" s="629"/>
      <c r="N1294" s="627"/>
      <c r="O1294" s="628"/>
      <c r="P1294" s="630"/>
      <c r="Q1294" s="631"/>
      <c r="R1294" s="715"/>
      <c r="S1294" s="990"/>
      <c r="T1294" s="632"/>
      <c r="U1294" s="633"/>
      <c r="V1294" s="634"/>
      <c r="W1294" s="635"/>
      <c r="X1294" s="636"/>
      <c r="Y1294" s="637"/>
      <c r="Z1294" s="733"/>
      <c r="AA1294" s="919"/>
      <c r="AB1294" s="1056"/>
      <c r="AC1294" s="4" t="s">
        <v>6199</v>
      </c>
      <c r="AD1294" s="913"/>
      <c r="AE1294" s="669"/>
      <c r="AF1294" s="718"/>
      <c r="AG1294" s="211"/>
      <c r="AH1294" s="210"/>
    </row>
    <row r="1295" spans="1:34" s="4" customFormat="1">
      <c r="A1295" s="2"/>
      <c r="B1295" s="310" t="s">
        <v>115</v>
      </c>
      <c r="C1295" s="311" t="s">
        <v>27</v>
      </c>
      <c r="D1295" s="687"/>
      <c r="E1295" s="688"/>
      <c r="F1295" s="312" t="s">
        <v>6200</v>
      </c>
      <c r="G1295" s="313"/>
      <c r="H1295" s="624"/>
      <c r="I1295" s="625"/>
      <c r="J1295" s="626"/>
      <c r="K1295" s="627"/>
      <c r="L1295" s="628"/>
      <c r="M1295" s="629"/>
      <c r="N1295" s="627"/>
      <c r="O1295" s="628"/>
      <c r="P1295" s="630"/>
      <c r="Q1295" s="631"/>
      <c r="R1295" s="715"/>
      <c r="S1295" s="990"/>
      <c r="T1295" s="632"/>
      <c r="U1295" s="633"/>
      <c r="V1295" s="634"/>
      <c r="W1295" s="635"/>
      <c r="X1295" s="636"/>
      <c r="Y1295" s="637"/>
      <c r="Z1295" s="733"/>
      <c r="AA1295" s="919"/>
      <c r="AB1295" s="1056"/>
      <c r="AC1295" s="4" t="s">
        <v>6201</v>
      </c>
      <c r="AD1295" s="913"/>
      <c r="AE1295" s="669"/>
      <c r="AF1295" s="718"/>
      <c r="AG1295" s="211"/>
      <c r="AH1295" s="210"/>
    </row>
    <row r="1296" spans="1:34" s="4" customFormat="1">
      <c r="A1296" s="2"/>
      <c r="B1296" s="310" t="s">
        <v>115</v>
      </c>
      <c r="C1296" s="311" t="s">
        <v>27</v>
      </c>
      <c r="D1296" s="687"/>
      <c r="E1296" s="688"/>
      <c r="F1296" s="312" t="s">
        <v>6202</v>
      </c>
      <c r="G1296" s="313"/>
      <c r="H1296" s="624"/>
      <c r="I1296" s="625"/>
      <c r="J1296" s="626"/>
      <c r="K1296" s="627"/>
      <c r="L1296" s="628"/>
      <c r="M1296" s="629"/>
      <c r="N1296" s="627"/>
      <c r="O1296" s="628"/>
      <c r="P1296" s="630"/>
      <c r="Q1296" s="631"/>
      <c r="R1296" s="715"/>
      <c r="S1296" s="990"/>
      <c r="T1296" s="632"/>
      <c r="U1296" s="633"/>
      <c r="V1296" s="634"/>
      <c r="W1296" s="635"/>
      <c r="X1296" s="636"/>
      <c r="Y1296" s="637"/>
      <c r="Z1296" s="733"/>
      <c r="AA1296" s="919"/>
      <c r="AB1296" s="1056"/>
      <c r="AC1296" s="4" t="s">
        <v>6203</v>
      </c>
      <c r="AD1296" s="913"/>
      <c r="AE1296" s="669"/>
      <c r="AF1296" s="718"/>
      <c r="AG1296" s="211"/>
      <c r="AH1296" s="210"/>
    </row>
    <row r="1297" spans="1:34" s="4" customFormat="1">
      <c r="A1297" s="2"/>
      <c r="B1297" s="310" t="s">
        <v>115</v>
      </c>
      <c r="C1297" s="311" t="s">
        <v>27</v>
      </c>
      <c r="D1297" s="687"/>
      <c r="E1297" s="688"/>
      <c r="F1297" s="312" t="s">
        <v>6204</v>
      </c>
      <c r="G1297" s="313"/>
      <c r="H1297" s="624"/>
      <c r="I1297" s="625"/>
      <c r="J1297" s="626"/>
      <c r="K1297" s="627"/>
      <c r="L1297" s="628"/>
      <c r="M1297" s="629"/>
      <c r="N1297" s="627"/>
      <c r="O1297" s="628"/>
      <c r="P1297" s="630"/>
      <c r="Q1297" s="631"/>
      <c r="R1297" s="715"/>
      <c r="S1297" s="990"/>
      <c r="T1297" s="632"/>
      <c r="U1297" s="633"/>
      <c r="V1297" s="634"/>
      <c r="W1297" s="635"/>
      <c r="X1297" s="636"/>
      <c r="Y1297" s="637"/>
      <c r="Z1297" s="733"/>
      <c r="AA1297" s="919"/>
      <c r="AB1297" s="1056"/>
      <c r="AC1297" s="4" t="s">
        <v>6205</v>
      </c>
      <c r="AD1297" s="913"/>
      <c r="AE1297" s="669"/>
      <c r="AF1297" s="718"/>
      <c r="AG1297" s="211"/>
      <c r="AH1297" s="210"/>
    </row>
    <row r="1298" spans="1:34" s="4" customFormat="1">
      <c r="A1298" s="2"/>
      <c r="B1298" s="310" t="s">
        <v>115</v>
      </c>
      <c r="C1298" s="311" t="s">
        <v>27</v>
      </c>
      <c r="D1298" s="687"/>
      <c r="E1298" s="688"/>
      <c r="F1298" s="312" t="s">
        <v>6206</v>
      </c>
      <c r="G1298" s="313"/>
      <c r="H1298" s="624"/>
      <c r="I1298" s="625"/>
      <c r="J1298" s="626"/>
      <c r="K1298" s="627"/>
      <c r="L1298" s="628"/>
      <c r="M1298" s="629"/>
      <c r="N1298" s="627"/>
      <c r="O1298" s="628"/>
      <c r="P1298" s="630"/>
      <c r="Q1298" s="631"/>
      <c r="R1298" s="715"/>
      <c r="S1298" s="990"/>
      <c r="T1298" s="632"/>
      <c r="U1298" s="633"/>
      <c r="V1298" s="634"/>
      <c r="W1298" s="635"/>
      <c r="X1298" s="636"/>
      <c r="Y1298" s="637"/>
      <c r="Z1298" s="733"/>
      <c r="AA1298" s="919"/>
      <c r="AB1298" s="1056"/>
      <c r="AC1298" s="999" t="s">
        <v>6207</v>
      </c>
      <c r="AD1298" s="913"/>
      <c r="AE1298" s="669"/>
      <c r="AF1298" s="718"/>
      <c r="AG1298" s="211"/>
      <c r="AH1298" s="210"/>
    </row>
    <row r="1299" spans="1:34" s="4" customFormat="1">
      <c r="A1299" s="2"/>
      <c r="B1299" s="310" t="s">
        <v>115</v>
      </c>
      <c r="C1299" s="311" t="s">
        <v>27</v>
      </c>
      <c r="D1299" s="687"/>
      <c r="E1299" s="688"/>
      <c r="F1299" s="312" t="s">
        <v>6208</v>
      </c>
      <c r="G1299" s="313"/>
      <c r="H1299" s="624"/>
      <c r="I1299" s="625"/>
      <c r="J1299" s="626"/>
      <c r="K1299" s="627"/>
      <c r="L1299" s="628"/>
      <c r="M1299" s="629"/>
      <c r="N1299" s="627"/>
      <c r="O1299" s="628"/>
      <c r="P1299" s="630"/>
      <c r="Q1299" s="631"/>
      <c r="R1299" s="715"/>
      <c r="S1299" s="990"/>
      <c r="T1299" s="632"/>
      <c r="U1299" s="633"/>
      <c r="V1299" s="634"/>
      <c r="W1299" s="635"/>
      <c r="X1299" s="636"/>
      <c r="Y1299" s="637"/>
      <c r="Z1299" s="733"/>
      <c r="AA1299" s="919"/>
      <c r="AB1299" s="908"/>
      <c r="AC1299" s="687" t="s">
        <v>6209</v>
      </c>
      <c r="AD1299" s="913"/>
      <c r="AE1299" s="669"/>
      <c r="AF1299" s="718"/>
      <c r="AG1299" s="211"/>
      <c r="AH1299" s="210"/>
    </row>
    <row r="1300" spans="1:34" s="4" customFormat="1">
      <c r="A1300" s="2"/>
      <c r="B1300" s="310" t="s">
        <v>115</v>
      </c>
      <c r="C1300" s="311" t="s">
        <v>27</v>
      </c>
      <c r="D1300" s="687"/>
      <c r="E1300" s="688"/>
      <c r="F1300" s="312" t="s">
        <v>6210</v>
      </c>
      <c r="G1300" s="313"/>
      <c r="H1300" s="624"/>
      <c r="I1300" s="625"/>
      <c r="J1300" s="626"/>
      <c r="K1300" s="627"/>
      <c r="L1300" s="628"/>
      <c r="M1300" s="629"/>
      <c r="N1300" s="627"/>
      <c r="O1300" s="628"/>
      <c r="P1300" s="630"/>
      <c r="Q1300" s="631"/>
      <c r="R1300" s="715"/>
      <c r="S1300" s="990"/>
      <c r="T1300" s="632"/>
      <c r="U1300" s="633"/>
      <c r="V1300" s="634"/>
      <c r="W1300" s="635"/>
      <c r="X1300" s="636"/>
      <c r="Y1300" s="637"/>
      <c r="Z1300" s="733"/>
      <c r="AA1300" s="919"/>
      <c r="AB1300" s="908"/>
      <c r="AC1300" s="687" t="s">
        <v>6211</v>
      </c>
      <c r="AD1300" s="913"/>
      <c r="AE1300" s="669"/>
      <c r="AF1300" s="718"/>
      <c r="AG1300" s="211"/>
      <c r="AH1300" s="210"/>
    </row>
    <row r="1301" spans="1:34" s="4" customFormat="1">
      <c r="A1301" s="2"/>
      <c r="B1301" s="310" t="s">
        <v>115</v>
      </c>
      <c r="C1301" s="311" t="s">
        <v>27</v>
      </c>
      <c r="D1301" s="687"/>
      <c r="E1301" s="688"/>
      <c r="F1301" s="312" t="s">
        <v>6212</v>
      </c>
      <c r="G1301" s="313"/>
      <c r="H1301" s="624"/>
      <c r="I1301" s="625"/>
      <c r="J1301" s="626"/>
      <c r="K1301" s="627"/>
      <c r="L1301" s="628"/>
      <c r="M1301" s="629"/>
      <c r="N1301" s="627"/>
      <c r="O1301" s="628"/>
      <c r="P1301" s="630"/>
      <c r="Q1301" s="631"/>
      <c r="R1301" s="715"/>
      <c r="S1301" s="990"/>
      <c r="T1301" s="632"/>
      <c r="U1301" s="633"/>
      <c r="V1301" s="634"/>
      <c r="W1301" s="635"/>
      <c r="X1301" s="636"/>
      <c r="Y1301" s="637"/>
      <c r="Z1301" s="733"/>
      <c r="AA1301" s="919"/>
      <c r="AB1301" s="908"/>
      <c r="AC1301" s="687" t="s">
        <v>6213</v>
      </c>
      <c r="AD1301" s="913"/>
      <c r="AE1301" s="669"/>
      <c r="AF1301" s="718"/>
      <c r="AG1301" s="211"/>
      <c r="AH1301" s="210"/>
    </row>
    <row r="1302" spans="1:34" s="4" customFormat="1">
      <c r="A1302" s="2"/>
      <c r="B1302" s="310" t="s">
        <v>106</v>
      </c>
      <c r="C1302" s="311" t="s">
        <v>33</v>
      </c>
      <c r="D1302" s="687" t="s">
        <v>6214</v>
      </c>
      <c r="E1302" s="688"/>
      <c r="F1302" s="312" t="s">
        <v>6215</v>
      </c>
      <c r="G1302" s="313"/>
      <c r="H1302" s="624"/>
      <c r="I1302" s="625"/>
      <c r="J1302" s="626"/>
      <c r="K1302" s="627" t="s">
        <v>6216</v>
      </c>
      <c r="L1302" s="628">
        <v>45317</v>
      </c>
      <c r="M1302" s="629">
        <v>4000</v>
      </c>
      <c r="N1302" s="627" t="s">
        <v>6217</v>
      </c>
      <c r="O1302" s="628"/>
      <c r="P1302" s="630" t="s">
        <v>6218</v>
      </c>
      <c r="Q1302" s="631"/>
      <c r="R1302" s="715"/>
      <c r="S1302" s="1068"/>
      <c r="T1302" s="632"/>
      <c r="U1302" s="633" t="s">
        <v>6219</v>
      </c>
      <c r="V1302" s="634">
        <v>45334</v>
      </c>
      <c r="W1302" s="635" t="s">
        <v>93</v>
      </c>
      <c r="X1302" s="636">
        <v>9366.5</v>
      </c>
      <c r="Y1302" s="636">
        <v>9366.5</v>
      </c>
      <c r="Z1302" s="987">
        <f t="shared" ref="Z1302" si="92">Y1302/X1302</f>
        <v>1</v>
      </c>
      <c r="AA1302" s="919"/>
      <c r="AB1302" s="1056"/>
      <c r="AC1302" s="999" t="s">
        <v>6220</v>
      </c>
      <c r="AD1302" s="913"/>
      <c r="AE1302" s="669"/>
      <c r="AF1302" s="718"/>
      <c r="AG1302" s="211"/>
      <c r="AH1302" s="210"/>
    </row>
    <row r="1303" spans="1:34" s="4" customFormat="1">
      <c r="A1303" s="2"/>
      <c r="B1303" s="310" t="s">
        <v>115</v>
      </c>
      <c r="C1303" s="311" t="s">
        <v>27</v>
      </c>
      <c r="D1303" s="687"/>
      <c r="E1303" s="688"/>
      <c r="F1303" s="312" t="s">
        <v>6221</v>
      </c>
      <c r="G1303" s="313"/>
      <c r="H1303" s="624"/>
      <c r="I1303" s="625"/>
      <c r="J1303" s="626"/>
      <c r="K1303" s="627"/>
      <c r="L1303" s="628"/>
      <c r="M1303" s="629"/>
      <c r="N1303" s="627"/>
      <c r="O1303" s="628"/>
      <c r="P1303" s="630"/>
      <c r="Q1303" s="631"/>
      <c r="R1303" s="715"/>
      <c r="S1303" s="990"/>
      <c r="T1303" s="632"/>
      <c r="U1303" s="633"/>
      <c r="V1303" s="634"/>
      <c r="W1303" s="635"/>
      <c r="X1303" s="636"/>
      <c r="Y1303" s="637"/>
      <c r="Z1303" s="733"/>
      <c r="AA1303" s="919"/>
      <c r="AB1303" s="908"/>
      <c r="AC1303" s="687" t="s">
        <v>6222</v>
      </c>
      <c r="AD1303" s="913"/>
      <c r="AE1303" s="669"/>
      <c r="AF1303" s="718"/>
      <c r="AG1303" s="211"/>
      <c r="AH1303" s="210"/>
    </row>
    <row r="1304" spans="1:34" s="4" customFormat="1">
      <c r="A1304" s="2"/>
      <c r="B1304" s="310" t="s">
        <v>119</v>
      </c>
      <c r="C1304" s="311" t="s">
        <v>27</v>
      </c>
      <c r="D1304" s="687" t="s">
        <v>6223</v>
      </c>
      <c r="E1304" s="688"/>
      <c r="F1304" s="312" t="s">
        <v>6224</v>
      </c>
      <c r="G1304" s="313">
        <v>45273</v>
      </c>
      <c r="H1304" s="624"/>
      <c r="I1304" s="625"/>
      <c r="J1304" s="626"/>
      <c r="K1304" s="627"/>
      <c r="L1304" s="628"/>
      <c r="M1304" s="629"/>
      <c r="N1304" s="627"/>
      <c r="O1304" s="628"/>
      <c r="P1304" s="630"/>
      <c r="Q1304" s="631"/>
      <c r="R1304" s="715"/>
      <c r="S1304" s="990"/>
      <c r="T1304" s="632"/>
      <c r="U1304" s="633"/>
      <c r="V1304" s="634"/>
      <c r="W1304" s="635"/>
      <c r="X1304" s="636"/>
      <c r="Y1304" s="637"/>
      <c r="Z1304" s="733"/>
      <c r="AA1304" s="919"/>
      <c r="AB1304" s="908"/>
      <c r="AC1304" s="911"/>
      <c r="AD1304" s="913"/>
      <c r="AE1304" s="669"/>
      <c r="AF1304" s="718"/>
      <c r="AG1304" s="211"/>
      <c r="AH1304" s="210"/>
    </row>
    <row r="1305" spans="1:34" s="4" customFormat="1">
      <c r="A1305" s="2"/>
      <c r="B1305" s="310" t="s">
        <v>119</v>
      </c>
      <c r="C1305" s="311" t="s">
        <v>27</v>
      </c>
      <c r="D1305" s="687" t="s">
        <v>6225</v>
      </c>
      <c r="E1305" s="688"/>
      <c r="F1305" s="312" t="s">
        <v>6226</v>
      </c>
      <c r="G1305" s="313">
        <v>45273</v>
      </c>
      <c r="H1305" s="624"/>
      <c r="I1305" s="625"/>
      <c r="J1305" s="626"/>
      <c r="K1305" s="627"/>
      <c r="L1305" s="628"/>
      <c r="M1305" s="629"/>
      <c r="N1305" s="627"/>
      <c r="O1305" s="628"/>
      <c r="P1305" s="630"/>
      <c r="Q1305" s="631"/>
      <c r="R1305" s="715"/>
      <c r="S1305" s="990"/>
      <c r="T1305" s="632"/>
      <c r="U1305" s="633"/>
      <c r="V1305" s="634"/>
      <c r="W1305" s="635"/>
      <c r="X1305" s="636"/>
      <c r="Y1305" s="637"/>
      <c r="Z1305" s="733"/>
      <c r="AA1305" s="919"/>
      <c r="AB1305" s="908"/>
      <c r="AC1305" s="911"/>
      <c r="AD1305" s="913"/>
      <c r="AE1305" s="669"/>
      <c r="AF1305" s="718"/>
      <c r="AG1305" s="211"/>
      <c r="AH1305" s="210"/>
    </row>
    <row r="1306" spans="1:34" s="4" customFormat="1">
      <c r="A1306" s="2"/>
      <c r="B1306" s="310" t="s">
        <v>119</v>
      </c>
      <c r="C1306" s="311" t="s">
        <v>27</v>
      </c>
      <c r="D1306" s="687" t="s">
        <v>6227</v>
      </c>
      <c r="E1306" s="688"/>
      <c r="F1306" s="312" t="s">
        <v>6228</v>
      </c>
      <c r="G1306" s="313">
        <v>45309</v>
      </c>
      <c r="H1306" s="624"/>
      <c r="I1306" s="625"/>
      <c r="J1306" s="626"/>
      <c r="K1306" s="627"/>
      <c r="L1306" s="628"/>
      <c r="M1306" s="629"/>
      <c r="N1306" s="627"/>
      <c r="O1306" s="628"/>
      <c r="P1306" s="630"/>
      <c r="Q1306" s="631"/>
      <c r="R1306" s="715"/>
      <c r="S1306" s="990"/>
      <c r="T1306" s="632"/>
      <c r="U1306" s="633"/>
      <c r="V1306" s="634"/>
      <c r="W1306" s="635"/>
      <c r="X1306" s="636"/>
      <c r="Y1306" s="637"/>
      <c r="Z1306" s="733"/>
      <c r="AA1306" s="919"/>
      <c r="AB1306" s="908"/>
      <c r="AC1306" s="911"/>
      <c r="AD1306" s="913"/>
      <c r="AE1306" s="669"/>
      <c r="AF1306" s="718"/>
      <c r="AG1306" s="211"/>
      <c r="AH1306" s="210"/>
    </row>
    <row r="1307" spans="1:34" s="4" customFormat="1">
      <c r="A1307" s="2"/>
      <c r="B1307" s="310" t="s">
        <v>115</v>
      </c>
      <c r="C1307" s="311" t="s">
        <v>27</v>
      </c>
      <c r="D1307" s="687" t="s">
        <v>6229</v>
      </c>
      <c r="E1307" s="688"/>
      <c r="F1307" s="312" t="s">
        <v>6230</v>
      </c>
      <c r="G1307" s="313"/>
      <c r="H1307" s="624"/>
      <c r="I1307" s="625"/>
      <c r="J1307" s="626"/>
      <c r="K1307" s="627"/>
      <c r="L1307" s="628"/>
      <c r="M1307" s="629"/>
      <c r="N1307" s="627"/>
      <c r="O1307" s="628"/>
      <c r="P1307" s="630"/>
      <c r="Q1307" s="631"/>
      <c r="R1307" s="715"/>
      <c r="S1307" s="990"/>
      <c r="T1307" s="632"/>
      <c r="U1307" s="633"/>
      <c r="V1307" s="634"/>
      <c r="W1307" s="635"/>
      <c r="X1307" s="636"/>
      <c r="Y1307" s="637"/>
      <c r="Z1307" s="733"/>
      <c r="AA1307" s="919"/>
      <c r="AB1307" s="908"/>
      <c r="AC1307" s="911"/>
      <c r="AD1307" s="913"/>
      <c r="AE1307" s="669"/>
      <c r="AF1307" s="718"/>
      <c r="AG1307" s="211"/>
      <c r="AH1307" s="210"/>
    </row>
    <row r="1308" spans="1:34" s="4" customFormat="1">
      <c r="A1308" s="2"/>
      <c r="B1308" s="310" t="s">
        <v>115</v>
      </c>
      <c r="C1308" s="311" t="s">
        <v>27</v>
      </c>
      <c r="D1308" s="687" t="s">
        <v>6231</v>
      </c>
      <c r="E1308" s="688"/>
      <c r="F1308" s="312" t="s">
        <v>6232</v>
      </c>
      <c r="G1308" s="313"/>
      <c r="H1308" s="624"/>
      <c r="I1308" s="625"/>
      <c r="J1308" s="626"/>
      <c r="K1308" s="627"/>
      <c r="L1308" s="628"/>
      <c r="M1308" s="629"/>
      <c r="N1308" s="627"/>
      <c r="O1308" s="628"/>
      <c r="P1308" s="630"/>
      <c r="Q1308" s="631"/>
      <c r="R1308" s="715"/>
      <c r="S1308" s="990"/>
      <c r="T1308" s="632"/>
      <c r="U1308" s="633"/>
      <c r="V1308" s="634"/>
      <c r="W1308" s="635"/>
      <c r="X1308" s="636"/>
      <c r="Y1308" s="637"/>
      <c r="Z1308" s="733"/>
      <c r="AA1308" s="919"/>
      <c r="AB1308" s="908"/>
      <c r="AC1308" s="911"/>
      <c r="AD1308" s="913"/>
      <c r="AE1308" s="669"/>
      <c r="AF1308" s="718"/>
      <c r="AG1308" s="211"/>
      <c r="AH1308" s="210"/>
    </row>
    <row r="1309" spans="1:34" s="4" customFormat="1" ht="42">
      <c r="A1309" s="2"/>
      <c r="B1309" s="310" t="s">
        <v>106</v>
      </c>
      <c r="C1309" s="311" t="s">
        <v>33</v>
      </c>
      <c r="D1309" s="1006" t="s">
        <v>6233</v>
      </c>
      <c r="E1309" s="688"/>
      <c r="F1309" s="312" t="s">
        <v>6234</v>
      </c>
      <c r="G1309" s="313"/>
      <c r="H1309" s="624"/>
      <c r="I1309" s="625"/>
      <c r="J1309" s="626"/>
      <c r="K1309" s="627" t="s">
        <v>6235</v>
      </c>
      <c r="L1309" s="628">
        <v>45351</v>
      </c>
      <c r="M1309" s="629">
        <v>25000</v>
      </c>
      <c r="N1309" s="627" t="s">
        <v>6236</v>
      </c>
      <c r="O1309" s="628">
        <v>45351</v>
      </c>
      <c r="P1309" s="630" t="s">
        <v>6237</v>
      </c>
      <c r="Q1309" s="631"/>
      <c r="R1309" s="715"/>
      <c r="S1309" s="1068"/>
      <c r="T1309" s="632">
        <v>47374.34</v>
      </c>
      <c r="U1309" s="633" t="s">
        <v>6238</v>
      </c>
      <c r="V1309" s="634">
        <v>45376</v>
      </c>
      <c r="W1309" s="635" t="s">
        <v>2302</v>
      </c>
      <c r="X1309" s="636">
        <v>47374.34</v>
      </c>
      <c r="Y1309" s="1058">
        <v>20000</v>
      </c>
      <c r="Z1309" s="1060">
        <f>Y1309/X1309</f>
        <v>0.4221694698015846</v>
      </c>
      <c r="AA1309" s="919"/>
      <c r="AB1309" s="1056"/>
      <c r="AC1309" s="912"/>
      <c r="AD1309" s="913"/>
      <c r="AE1309" s="669"/>
      <c r="AF1309" s="718"/>
      <c r="AG1309" s="211"/>
      <c r="AH1309" s="210"/>
    </row>
    <row r="1310" spans="1:34" s="4" customFormat="1">
      <c r="A1310" s="2"/>
      <c r="B1310" s="310" t="s">
        <v>115</v>
      </c>
      <c r="C1310" s="311" t="s">
        <v>27</v>
      </c>
      <c r="D1310" s="687" t="s">
        <v>6239</v>
      </c>
      <c r="E1310" s="688"/>
      <c r="F1310" s="312" t="s">
        <v>6240</v>
      </c>
      <c r="G1310" s="313"/>
      <c r="H1310" s="624"/>
      <c r="I1310" s="625"/>
      <c r="J1310" s="626"/>
      <c r="K1310" s="627"/>
      <c r="L1310" s="628"/>
      <c r="M1310" s="629"/>
      <c r="N1310" s="627"/>
      <c r="O1310" s="628"/>
      <c r="P1310" s="630"/>
      <c r="Q1310" s="631"/>
      <c r="R1310" s="715"/>
      <c r="S1310" s="990"/>
      <c r="T1310" s="632"/>
      <c r="U1310" s="633"/>
      <c r="V1310" s="634"/>
      <c r="W1310" s="635"/>
      <c r="X1310" s="636"/>
      <c r="Y1310" s="637"/>
      <c r="Z1310" s="733"/>
      <c r="AA1310" s="919"/>
      <c r="AB1310" s="908"/>
      <c r="AC1310" s="911"/>
      <c r="AD1310" s="913"/>
      <c r="AE1310" s="669"/>
      <c r="AF1310" s="718"/>
      <c r="AG1310" s="211"/>
      <c r="AH1310" s="210"/>
    </row>
    <row r="1311" spans="1:34" s="4" customFormat="1">
      <c r="A1311" s="2"/>
      <c r="B1311" s="310" t="s">
        <v>115</v>
      </c>
      <c r="C1311" s="311" t="s">
        <v>27</v>
      </c>
      <c r="D1311" s="687" t="s">
        <v>6241</v>
      </c>
      <c r="E1311" s="688"/>
      <c r="F1311" s="312" t="s">
        <v>6242</v>
      </c>
      <c r="G1311" s="313"/>
      <c r="H1311" s="624"/>
      <c r="I1311" s="625"/>
      <c r="J1311" s="626"/>
      <c r="K1311" s="627"/>
      <c r="L1311" s="628"/>
      <c r="M1311" s="629"/>
      <c r="N1311" s="627"/>
      <c r="O1311" s="628"/>
      <c r="P1311" s="630"/>
      <c r="Q1311" s="631"/>
      <c r="R1311" s="715"/>
      <c r="S1311" s="990"/>
      <c r="T1311" s="632"/>
      <c r="U1311" s="633"/>
      <c r="V1311" s="634"/>
      <c r="W1311" s="635"/>
      <c r="X1311" s="636"/>
      <c r="Y1311" s="637"/>
      <c r="Z1311" s="733"/>
      <c r="AA1311" s="919"/>
      <c r="AB1311" s="908"/>
      <c r="AC1311" s="911"/>
      <c r="AD1311" s="913"/>
      <c r="AE1311" s="669"/>
      <c r="AF1311" s="718"/>
      <c r="AG1311" s="211"/>
      <c r="AH1311" s="210"/>
    </row>
    <row r="1312" spans="1:34" s="4" customFormat="1">
      <c r="A1312" s="2"/>
      <c r="B1312" s="310" t="s">
        <v>106</v>
      </c>
      <c r="C1312" s="311" t="s">
        <v>33</v>
      </c>
      <c r="D1312" s="687" t="s">
        <v>6243</v>
      </c>
      <c r="E1312" s="688"/>
      <c r="F1312" s="312" t="s">
        <v>6244</v>
      </c>
      <c r="G1312" s="313"/>
      <c r="H1312" s="624"/>
      <c r="I1312" s="625"/>
      <c r="J1312" s="626"/>
      <c r="K1312" s="627" t="s">
        <v>6245</v>
      </c>
      <c r="L1312" s="628"/>
      <c r="M1312" s="629"/>
      <c r="N1312" s="627" t="s">
        <v>6246</v>
      </c>
      <c r="O1312" s="628"/>
      <c r="P1312" s="630" t="s">
        <v>6247</v>
      </c>
      <c r="Q1312" s="631"/>
      <c r="R1312" s="715"/>
      <c r="S1312" s="1068"/>
      <c r="T1312" s="632"/>
      <c r="U1312" s="633" t="s">
        <v>6248</v>
      </c>
      <c r="V1312" s="634">
        <v>45414</v>
      </c>
      <c r="W1312" s="635" t="s">
        <v>93</v>
      </c>
      <c r="X1312" s="636">
        <v>2558.4299999999998</v>
      </c>
      <c r="Y1312" s="636">
        <v>2558.4299999999998</v>
      </c>
      <c r="Z1312" s="733">
        <f>Y1312/X1312</f>
        <v>1</v>
      </c>
      <c r="AA1312" s="919"/>
      <c r="AB1312" s="1056"/>
      <c r="AC1312" s="912"/>
      <c r="AD1312" s="913"/>
      <c r="AE1312" s="669"/>
      <c r="AF1312" s="718"/>
      <c r="AG1312" s="211"/>
      <c r="AH1312" s="210"/>
    </row>
    <row r="1313" spans="1:34" s="4" customFormat="1">
      <c r="A1313" s="2"/>
      <c r="B1313" s="310" t="s">
        <v>115</v>
      </c>
      <c r="C1313" s="311" t="s">
        <v>27</v>
      </c>
      <c r="D1313" s="687" t="s">
        <v>6249</v>
      </c>
      <c r="E1313" s="688"/>
      <c r="F1313" s="312" t="s">
        <v>6250</v>
      </c>
      <c r="G1313" s="313"/>
      <c r="H1313" s="624"/>
      <c r="I1313" s="625"/>
      <c r="J1313" s="626"/>
      <c r="K1313" s="627"/>
      <c r="L1313" s="628"/>
      <c r="M1313" s="629"/>
      <c r="N1313" s="627"/>
      <c r="O1313" s="628"/>
      <c r="P1313" s="630"/>
      <c r="Q1313" s="631"/>
      <c r="R1313" s="715"/>
      <c r="S1313" s="990"/>
      <c r="T1313" s="632"/>
      <c r="U1313" s="633"/>
      <c r="V1313" s="634"/>
      <c r="W1313" s="635"/>
      <c r="X1313" s="636"/>
      <c r="Y1313" s="637"/>
      <c r="Z1313" s="733"/>
      <c r="AA1313" s="919"/>
      <c r="AB1313" s="908"/>
      <c r="AC1313" s="911"/>
      <c r="AD1313" s="913"/>
      <c r="AE1313" s="669"/>
      <c r="AF1313" s="718"/>
      <c r="AG1313" s="211"/>
      <c r="AH1313" s="210"/>
    </row>
    <row r="1314" spans="1:34" s="4" customFormat="1">
      <c r="A1314" s="2"/>
      <c r="B1314" s="310" t="s">
        <v>106</v>
      </c>
      <c r="C1314" s="311" t="s">
        <v>33</v>
      </c>
      <c r="D1314" s="687" t="s">
        <v>6251</v>
      </c>
      <c r="E1314" s="688"/>
      <c r="F1314" s="312" t="s">
        <v>6252</v>
      </c>
      <c r="G1314" s="313"/>
      <c r="H1314" s="624"/>
      <c r="I1314" s="625"/>
      <c r="J1314" s="626"/>
      <c r="K1314" s="627" t="s">
        <v>6253</v>
      </c>
      <c r="L1314" s="628"/>
      <c r="M1314" s="629"/>
      <c r="N1314" s="627" t="s">
        <v>6254</v>
      </c>
      <c r="O1314" s="628">
        <v>45394</v>
      </c>
      <c r="P1314" s="630" t="s">
        <v>6255</v>
      </c>
      <c r="Q1314" s="631">
        <v>45440</v>
      </c>
      <c r="R1314" s="715"/>
      <c r="S1314" s="1068"/>
      <c r="T1314" s="632">
        <v>102980.36</v>
      </c>
      <c r="U1314" s="633" t="s">
        <v>6256</v>
      </c>
      <c r="V1314" s="634">
        <v>45459</v>
      </c>
      <c r="W1314" s="635" t="s">
        <v>2302</v>
      </c>
      <c r="X1314" s="636">
        <v>107301.49</v>
      </c>
      <c r="Y1314" s="1058">
        <v>0</v>
      </c>
      <c r="Z1314" s="1060">
        <f>Y1314/X1314</f>
        <v>0</v>
      </c>
      <c r="AA1314" s="919"/>
      <c r="AB1314" s="1056"/>
      <c r="AC1314" s="912"/>
      <c r="AD1314" s="913"/>
      <c r="AE1314" s="669"/>
      <c r="AF1314" s="718"/>
      <c r="AG1314" s="211"/>
      <c r="AH1314" s="210"/>
    </row>
    <row r="1315" spans="1:34" s="4" customFormat="1">
      <c r="A1315" s="2"/>
      <c r="B1315" s="310" t="s">
        <v>106</v>
      </c>
      <c r="C1315" s="311" t="s">
        <v>33</v>
      </c>
      <c r="D1315" s="687" t="s">
        <v>6257</v>
      </c>
      <c r="E1315" s="688"/>
      <c r="F1315" s="312" t="s">
        <v>6258</v>
      </c>
      <c r="G1315" s="313"/>
      <c r="H1315" s="624" t="s">
        <v>6259</v>
      </c>
      <c r="I1315" s="625"/>
      <c r="J1315" s="626"/>
      <c r="K1315" s="627" t="s">
        <v>6260</v>
      </c>
      <c r="L1315" s="628">
        <v>45336</v>
      </c>
      <c r="M1315" s="629">
        <v>10000</v>
      </c>
      <c r="N1315" s="627" t="s">
        <v>6261</v>
      </c>
      <c r="O1315" s="628">
        <v>45336</v>
      </c>
      <c r="P1315" s="630" t="s">
        <v>6262</v>
      </c>
      <c r="Q1315" s="631"/>
      <c r="R1315" s="715"/>
      <c r="S1315" s="990"/>
      <c r="T1315" s="632">
        <v>20334.22</v>
      </c>
      <c r="U1315" s="633" t="s">
        <v>6263</v>
      </c>
      <c r="V1315" s="634">
        <v>45615</v>
      </c>
      <c r="W1315" s="635" t="s">
        <v>2302</v>
      </c>
      <c r="X1315" s="636">
        <v>20334.22</v>
      </c>
      <c r="Y1315" s="637"/>
      <c r="Z1315" s="733"/>
      <c r="AA1315" s="919"/>
      <c r="AB1315" s="908"/>
      <c r="AC1315" s="911"/>
      <c r="AD1315" s="913"/>
      <c r="AE1315" s="669"/>
      <c r="AF1315" s="718"/>
      <c r="AG1315" s="211"/>
      <c r="AH1315" s="210"/>
    </row>
    <row r="1316" spans="1:34" s="4" customFormat="1">
      <c r="A1316" s="2"/>
      <c r="B1316" s="310" t="s">
        <v>115</v>
      </c>
      <c r="C1316" s="311" t="s">
        <v>27</v>
      </c>
      <c r="D1316" s="687" t="s">
        <v>6264</v>
      </c>
      <c r="E1316" s="688"/>
      <c r="F1316" s="312" t="s">
        <v>6265</v>
      </c>
      <c r="G1316" s="313"/>
      <c r="H1316" s="624"/>
      <c r="I1316" s="625"/>
      <c r="J1316" s="626"/>
      <c r="K1316" s="627"/>
      <c r="L1316" s="628"/>
      <c r="M1316" s="629"/>
      <c r="N1316" s="627"/>
      <c r="O1316" s="628"/>
      <c r="P1316" s="630"/>
      <c r="Q1316" s="631"/>
      <c r="R1316" s="715"/>
      <c r="S1316" s="990"/>
      <c r="T1316" s="632"/>
      <c r="U1316" s="633"/>
      <c r="V1316" s="634"/>
      <c r="W1316" s="635"/>
      <c r="X1316" s="636"/>
      <c r="Y1316" s="637"/>
      <c r="Z1316" s="733"/>
      <c r="AA1316" s="919"/>
      <c r="AB1316" s="908"/>
      <c r="AC1316" s="911"/>
      <c r="AD1316" s="913"/>
      <c r="AE1316" s="669"/>
      <c r="AF1316" s="718"/>
      <c r="AG1316" s="211"/>
      <c r="AH1316" s="210"/>
    </row>
    <row r="1317" spans="1:34" s="4" customFormat="1">
      <c r="A1317" s="2"/>
      <c r="B1317" s="310" t="s">
        <v>115</v>
      </c>
      <c r="C1317" s="311" t="s">
        <v>27</v>
      </c>
      <c r="D1317" s="687" t="s">
        <v>6266</v>
      </c>
      <c r="E1317" s="688"/>
      <c r="F1317" s="312" t="s">
        <v>6267</v>
      </c>
      <c r="G1317" s="313"/>
      <c r="H1317" s="624"/>
      <c r="I1317" s="625"/>
      <c r="J1317" s="626"/>
      <c r="K1317" s="627"/>
      <c r="L1317" s="628"/>
      <c r="M1317" s="629"/>
      <c r="N1317" s="627"/>
      <c r="O1317" s="628"/>
      <c r="P1317" s="630"/>
      <c r="Q1317" s="631"/>
      <c r="R1317" s="715"/>
      <c r="S1317" s="990"/>
      <c r="T1317" s="632"/>
      <c r="U1317" s="633"/>
      <c r="V1317" s="634"/>
      <c r="W1317" s="635"/>
      <c r="X1317" s="636"/>
      <c r="Y1317" s="637"/>
      <c r="Z1317" s="733"/>
      <c r="AA1317" s="919"/>
      <c r="AB1317" s="908"/>
      <c r="AC1317" s="911"/>
      <c r="AD1317" s="913"/>
      <c r="AE1317" s="669"/>
      <c r="AF1317" s="718"/>
      <c r="AG1317" s="211"/>
      <c r="AH1317" s="210"/>
    </row>
    <row r="1318" spans="1:34" s="4" customFormat="1">
      <c r="A1318" s="2"/>
      <c r="B1318" s="310" t="s">
        <v>106</v>
      </c>
      <c r="C1318" s="311" t="s">
        <v>33</v>
      </c>
      <c r="D1318" s="687" t="s">
        <v>6268</v>
      </c>
      <c r="E1318" s="688"/>
      <c r="F1318" s="312" t="s">
        <v>6269</v>
      </c>
      <c r="G1318" s="313">
        <v>45329</v>
      </c>
      <c r="H1318" s="624"/>
      <c r="I1318" s="625"/>
      <c r="J1318" s="626"/>
      <c r="K1318" s="627" t="s">
        <v>6270</v>
      </c>
      <c r="L1318" s="628">
        <v>45334</v>
      </c>
      <c r="M1318" s="629">
        <v>8500</v>
      </c>
      <c r="N1318" s="627" t="s">
        <v>6271</v>
      </c>
      <c r="O1318" s="628">
        <v>45336</v>
      </c>
      <c r="P1318" s="630" t="s">
        <v>6272</v>
      </c>
      <c r="Q1318" s="631"/>
      <c r="R1318" s="715"/>
      <c r="S1318" s="1068"/>
      <c r="T1318" s="632"/>
      <c r="U1318" s="633" t="s">
        <v>6273</v>
      </c>
      <c r="V1318" s="634">
        <v>45362</v>
      </c>
      <c r="W1318" s="635" t="s">
        <v>2302</v>
      </c>
      <c r="X1318" s="636">
        <v>24873.919999999998</v>
      </c>
      <c r="Y1318" s="636">
        <v>24873.919999999998</v>
      </c>
      <c r="Z1318" s="733">
        <f>Y1318/X1318</f>
        <v>1</v>
      </c>
      <c r="AA1318" s="919"/>
      <c r="AB1318" s="1055">
        <v>0</v>
      </c>
      <c r="AC1318" s="912"/>
      <c r="AD1318" s="913"/>
      <c r="AE1318" s="669"/>
      <c r="AF1318" s="718"/>
      <c r="AG1318" s="211"/>
      <c r="AH1318" s="210"/>
    </row>
    <row r="1319" spans="1:34" s="4" customFormat="1">
      <c r="A1319" s="2"/>
      <c r="B1319" s="310" t="s">
        <v>115</v>
      </c>
      <c r="C1319" s="311" t="s">
        <v>27</v>
      </c>
      <c r="D1319" s="687" t="s">
        <v>6274</v>
      </c>
      <c r="E1319" s="688"/>
      <c r="F1319" s="312" t="s">
        <v>6275</v>
      </c>
      <c r="G1319" s="313"/>
      <c r="H1319" s="624"/>
      <c r="I1319" s="625"/>
      <c r="J1319" s="626"/>
      <c r="K1319" s="627"/>
      <c r="L1319" s="628"/>
      <c r="M1319" s="629"/>
      <c r="N1319" s="627"/>
      <c r="O1319" s="628"/>
      <c r="P1319" s="630"/>
      <c r="Q1319" s="631"/>
      <c r="R1319" s="715"/>
      <c r="S1319" s="990"/>
      <c r="T1319" s="632"/>
      <c r="U1319" s="633"/>
      <c r="V1319" s="634"/>
      <c r="W1319" s="635"/>
      <c r="X1319" s="636"/>
      <c r="Y1319" s="636"/>
      <c r="Z1319" s="733"/>
      <c r="AA1319" s="919"/>
      <c r="AB1319" s="908"/>
      <c r="AC1319" s="911"/>
      <c r="AD1319" s="913"/>
      <c r="AE1319" s="669"/>
      <c r="AF1319" s="718"/>
      <c r="AG1319" s="211"/>
      <c r="AH1319" s="210"/>
    </row>
    <row r="1320" spans="1:34" s="4" customFormat="1">
      <c r="A1320" s="2"/>
      <c r="B1320" s="310" t="s">
        <v>115</v>
      </c>
      <c r="C1320" s="311" t="s">
        <v>27</v>
      </c>
      <c r="D1320" s="687" t="s">
        <v>6276</v>
      </c>
      <c r="E1320" s="688"/>
      <c r="F1320" s="312" t="s">
        <v>6277</v>
      </c>
      <c r="G1320" s="313"/>
      <c r="H1320" s="624"/>
      <c r="I1320" s="625"/>
      <c r="J1320" s="626"/>
      <c r="K1320" s="627"/>
      <c r="L1320" s="628"/>
      <c r="M1320" s="629"/>
      <c r="N1320" s="627"/>
      <c r="O1320" s="628"/>
      <c r="P1320" s="630"/>
      <c r="Q1320" s="631"/>
      <c r="R1320" s="715"/>
      <c r="S1320" s="990"/>
      <c r="T1320" s="632"/>
      <c r="U1320" s="633"/>
      <c r="V1320" s="634"/>
      <c r="W1320" s="635"/>
      <c r="X1320" s="636"/>
      <c r="Y1320" s="636"/>
      <c r="Z1320" s="733"/>
      <c r="AA1320" s="919"/>
      <c r="AB1320" s="908"/>
      <c r="AC1320" s="911"/>
      <c r="AD1320" s="913"/>
      <c r="AE1320" s="669"/>
      <c r="AF1320" s="718"/>
      <c r="AG1320" s="211"/>
      <c r="AH1320" s="210"/>
    </row>
    <row r="1321" spans="1:34" s="4" customFormat="1">
      <c r="A1321" s="2"/>
      <c r="B1321" s="310" t="s">
        <v>115</v>
      </c>
      <c r="C1321" s="311" t="s">
        <v>27</v>
      </c>
      <c r="D1321" s="687" t="s">
        <v>6278</v>
      </c>
      <c r="E1321" s="688"/>
      <c r="F1321" s="312" t="s">
        <v>6279</v>
      </c>
      <c r="G1321" s="313"/>
      <c r="H1321" s="624"/>
      <c r="I1321" s="625"/>
      <c r="J1321" s="626"/>
      <c r="K1321" s="627"/>
      <c r="L1321" s="628"/>
      <c r="M1321" s="629"/>
      <c r="N1321" s="627"/>
      <c r="O1321" s="628"/>
      <c r="P1321" s="630"/>
      <c r="Q1321" s="631"/>
      <c r="R1321" s="715"/>
      <c r="S1321" s="990"/>
      <c r="T1321" s="632"/>
      <c r="U1321" s="633"/>
      <c r="V1321" s="634"/>
      <c r="W1321" s="635"/>
      <c r="X1321" s="636"/>
      <c r="Y1321" s="636"/>
      <c r="Z1321" s="733"/>
      <c r="AA1321" s="919"/>
      <c r="AB1321" s="908"/>
      <c r="AC1321" s="911"/>
      <c r="AD1321" s="913"/>
      <c r="AE1321" s="669"/>
      <c r="AF1321" s="718"/>
      <c r="AG1321" s="211"/>
      <c r="AH1321" s="210"/>
    </row>
    <row r="1322" spans="1:34" s="4" customFormat="1">
      <c r="A1322" s="2"/>
      <c r="B1322" s="310" t="s">
        <v>115</v>
      </c>
      <c r="C1322" s="311" t="s">
        <v>27</v>
      </c>
      <c r="D1322" s="687" t="s">
        <v>6280</v>
      </c>
      <c r="E1322" s="688"/>
      <c r="F1322" s="312" t="s">
        <v>6281</v>
      </c>
      <c r="G1322" s="313"/>
      <c r="H1322" s="624"/>
      <c r="I1322" s="625"/>
      <c r="J1322" s="626"/>
      <c r="K1322" s="627"/>
      <c r="L1322" s="628"/>
      <c r="M1322" s="629"/>
      <c r="N1322" s="627"/>
      <c r="O1322" s="628"/>
      <c r="P1322" s="630"/>
      <c r="Q1322" s="631"/>
      <c r="R1322" s="715"/>
      <c r="S1322" s="990"/>
      <c r="T1322" s="632"/>
      <c r="U1322" s="633"/>
      <c r="V1322" s="634"/>
      <c r="W1322" s="635"/>
      <c r="X1322" s="636"/>
      <c r="Y1322" s="637"/>
      <c r="Z1322" s="733"/>
      <c r="AA1322" s="919"/>
      <c r="AB1322" s="908"/>
      <c r="AC1322" s="911"/>
      <c r="AD1322" s="913"/>
      <c r="AE1322" s="669"/>
      <c r="AF1322" s="718"/>
      <c r="AG1322" s="211"/>
      <c r="AH1322" s="210"/>
    </row>
    <row r="1323" spans="1:34" s="4" customFormat="1">
      <c r="A1323" s="2"/>
      <c r="B1323" s="310" t="s">
        <v>115</v>
      </c>
      <c r="C1323" s="311" t="s">
        <v>27</v>
      </c>
      <c r="D1323" s="687" t="s">
        <v>6282</v>
      </c>
      <c r="E1323" s="688"/>
      <c r="F1323" s="312" t="s">
        <v>6283</v>
      </c>
      <c r="G1323" s="313"/>
      <c r="H1323" s="624"/>
      <c r="I1323" s="625"/>
      <c r="J1323" s="626"/>
      <c r="K1323" s="627"/>
      <c r="L1323" s="628"/>
      <c r="M1323" s="629"/>
      <c r="N1323" s="627"/>
      <c r="O1323" s="628"/>
      <c r="P1323" s="630"/>
      <c r="Q1323" s="631"/>
      <c r="R1323" s="715"/>
      <c r="S1323" s="990"/>
      <c r="T1323" s="632"/>
      <c r="U1323" s="633"/>
      <c r="V1323" s="634"/>
      <c r="W1323" s="635"/>
      <c r="X1323" s="636"/>
      <c r="Y1323" s="637"/>
      <c r="Z1323" s="733"/>
      <c r="AA1323" s="919"/>
      <c r="AB1323" s="908"/>
      <c r="AC1323" s="911"/>
      <c r="AD1323" s="913"/>
      <c r="AE1323" s="669"/>
      <c r="AF1323" s="718"/>
      <c r="AG1323" s="211"/>
      <c r="AH1323" s="210"/>
    </row>
    <row r="1324" spans="1:34" s="4" customFormat="1">
      <c r="A1324" s="2"/>
      <c r="B1324" s="310" t="s">
        <v>115</v>
      </c>
      <c r="C1324" s="311" t="s">
        <v>27</v>
      </c>
      <c r="D1324" s="687" t="s">
        <v>6284</v>
      </c>
      <c r="E1324" s="688"/>
      <c r="F1324" s="312" t="s">
        <v>6285</v>
      </c>
      <c r="G1324" s="313"/>
      <c r="H1324" s="624"/>
      <c r="I1324" s="625"/>
      <c r="J1324" s="626"/>
      <c r="K1324" s="627" t="s">
        <v>6286</v>
      </c>
      <c r="L1324" s="628"/>
      <c r="M1324" s="629"/>
      <c r="N1324" s="627"/>
      <c r="O1324" s="628"/>
      <c r="P1324" s="630"/>
      <c r="Q1324" s="631"/>
      <c r="R1324" s="715"/>
      <c r="S1324" s="990"/>
      <c r="T1324" s="632"/>
      <c r="U1324" s="633"/>
      <c r="V1324" s="634"/>
      <c r="W1324" s="635"/>
      <c r="X1324" s="636"/>
      <c r="Y1324" s="637"/>
      <c r="Z1324" s="733"/>
      <c r="AA1324" s="919"/>
      <c r="AB1324" s="908"/>
      <c r="AC1324" s="911"/>
      <c r="AD1324" s="913"/>
      <c r="AE1324" s="669"/>
      <c r="AF1324" s="718"/>
      <c r="AG1324" s="211"/>
      <c r="AH1324" s="210"/>
    </row>
    <row r="1325" spans="1:34" s="4" customFormat="1">
      <c r="A1325" s="2"/>
      <c r="B1325" s="310" t="s">
        <v>115</v>
      </c>
      <c r="C1325" s="311" t="s">
        <v>27</v>
      </c>
      <c r="D1325" s="687" t="s">
        <v>6287</v>
      </c>
      <c r="E1325" s="688"/>
      <c r="F1325" s="312" t="s">
        <v>6288</v>
      </c>
      <c r="G1325" s="313"/>
      <c r="H1325" s="624"/>
      <c r="I1325" s="625"/>
      <c r="J1325" s="626"/>
      <c r="K1325" s="627"/>
      <c r="L1325" s="628"/>
      <c r="M1325" s="629"/>
      <c r="N1325" s="627"/>
      <c r="O1325" s="628"/>
      <c r="P1325" s="630"/>
      <c r="Q1325" s="631"/>
      <c r="R1325" s="715"/>
      <c r="S1325" s="990"/>
      <c r="T1325" s="632"/>
      <c r="U1325" s="633"/>
      <c r="V1325" s="634"/>
      <c r="W1325" s="635"/>
      <c r="X1325" s="636"/>
      <c r="Y1325" s="637"/>
      <c r="Z1325" s="733"/>
      <c r="AA1325" s="919"/>
      <c r="AB1325" s="908"/>
      <c r="AC1325" s="911"/>
      <c r="AD1325" s="913"/>
      <c r="AE1325" s="669"/>
      <c r="AF1325" s="718"/>
      <c r="AG1325" s="211"/>
      <c r="AH1325" s="210"/>
    </row>
    <row r="1326" spans="1:34" s="4" customFormat="1">
      <c r="A1326" s="2"/>
      <c r="B1326" s="310" t="s">
        <v>106</v>
      </c>
      <c r="C1326" s="311" t="s">
        <v>33</v>
      </c>
      <c r="D1326" s="687" t="s">
        <v>6289</v>
      </c>
      <c r="E1326" s="688"/>
      <c r="F1326" s="312"/>
      <c r="G1326" s="313"/>
      <c r="H1326" s="624"/>
      <c r="I1326" s="625"/>
      <c r="J1326" s="626"/>
      <c r="K1326" s="627" t="s">
        <v>6290</v>
      </c>
      <c r="L1326" s="628"/>
      <c r="M1326" s="629"/>
      <c r="N1326" s="627" t="s">
        <v>6291</v>
      </c>
      <c r="O1326" s="628"/>
      <c r="P1326" s="630" t="s">
        <v>6292</v>
      </c>
      <c r="Q1326" s="631"/>
      <c r="R1326" s="715"/>
      <c r="S1326" s="1068"/>
      <c r="T1326" s="632"/>
      <c r="U1326" s="633" t="s">
        <v>6293</v>
      </c>
      <c r="V1326" s="634">
        <v>45321</v>
      </c>
      <c r="W1326" s="635" t="s">
        <v>2302</v>
      </c>
      <c r="X1326" s="636">
        <v>10106.34</v>
      </c>
      <c r="Y1326" s="636">
        <v>10106.34</v>
      </c>
      <c r="Z1326" s="733">
        <f>Y1326/X1326</f>
        <v>1</v>
      </c>
      <c r="AA1326" s="919"/>
      <c r="AB1326" s="1055">
        <v>0</v>
      </c>
      <c r="AC1326" s="912"/>
      <c r="AD1326" s="913"/>
      <c r="AE1326" s="669"/>
      <c r="AF1326" s="718"/>
      <c r="AG1326" s="211"/>
      <c r="AH1326" s="210"/>
    </row>
    <row r="1327" spans="1:34" s="4" customFormat="1">
      <c r="A1327" s="2"/>
      <c r="B1327" s="310" t="s">
        <v>106</v>
      </c>
      <c r="C1327" s="311" t="s">
        <v>33</v>
      </c>
      <c r="D1327" s="687" t="s">
        <v>6294</v>
      </c>
      <c r="E1327" s="688"/>
      <c r="F1327" s="312"/>
      <c r="G1327" s="313"/>
      <c r="H1327" s="624"/>
      <c r="I1327" s="625"/>
      <c r="J1327" s="626"/>
      <c r="K1327" s="627" t="s">
        <v>6295</v>
      </c>
      <c r="L1327" s="628"/>
      <c r="M1327" s="629"/>
      <c r="N1327" s="627" t="s">
        <v>6296</v>
      </c>
      <c r="O1327" s="628"/>
      <c r="P1327" s="630" t="s">
        <v>6297</v>
      </c>
      <c r="Q1327" s="631"/>
      <c r="R1327" s="715"/>
      <c r="S1327" s="1068"/>
      <c r="T1327" s="632"/>
      <c r="U1327" s="633" t="s">
        <v>6298</v>
      </c>
      <c r="V1327" s="634">
        <v>45316</v>
      </c>
      <c r="W1327" s="635" t="s">
        <v>109</v>
      </c>
      <c r="X1327" s="636">
        <v>11077.26</v>
      </c>
      <c r="Y1327" s="636">
        <v>11077.26</v>
      </c>
      <c r="Z1327" s="733">
        <f t="shared" ref="Z1327:Z1328" si="93">Y1327/X1327</f>
        <v>1</v>
      </c>
      <c r="AA1327" s="919"/>
      <c r="AB1327" s="1055">
        <v>0</v>
      </c>
      <c r="AC1327" s="912"/>
      <c r="AD1327" s="913"/>
      <c r="AE1327" s="669"/>
      <c r="AF1327" s="718"/>
      <c r="AG1327" s="211"/>
      <c r="AH1327" s="210"/>
    </row>
    <row r="1328" spans="1:34" s="4" customFormat="1">
      <c r="A1328" s="2"/>
      <c r="B1328" s="310" t="s">
        <v>106</v>
      </c>
      <c r="C1328" s="311" t="s">
        <v>33</v>
      </c>
      <c r="D1328" s="687" t="s">
        <v>6299</v>
      </c>
      <c r="E1328" s="688"/>
      <c r="F1328" s="312"/>
      <c r="G1328" s="313"/>
      <c r="H1328" s="624"/>
      <c r="I1328" s="625"/>
      <c r="J1328" s="626"/>
      <c r="K1328" s="627" t="s">
        <v>6300</v>
      </c>
      <c r="L1328" s="628">
        <v>45329</v>
      </c>
      <c r="M1328" s="629">
        <v>1500</v>
      </c>
      <c r="N1328" s="627" t="s">
        <v>6301</v>
      </c>
      <c r="O1328" s="628"/>
      <c r="P1328" s="630" t="s">
        <v>6302</v>
      </c>
      <c r="Q1328" s="631">
        <v>45358</v>
      </c>
      <c r="R1328" s="715">
        <v>45366</v>
      </c>
      <c r="S1328" s="1068"/>
      <c r="T1328" s="1074">
        <v>2039.23</v>
      </c>
      <c r="U1328" s="633" t="s">
        <v>6303</v>
      </c>
      <c r="V1328" s="634">
        <v>45359</v>
      </c>
      <c r="W1328" s="635" t="s">
        <v>2302</v>
      </c>
      <c r="X1328" s="636">
        <v>2039.23</v>
      </c>
      <c r="Y1328" s="636">
        <v>2039.23</v>
      </c>
      <c r="Z1328" s="733">
        <f t="shared" si="93"/>
        <v>1</v>
      </c>
      <c r="AA1328" s="919"/>
      <c r="AB1328" s="1055">
        <v>0</v>
      </c>
      <c r="AC1328" s="912"/>
      <c r="AD1328" s="913"/>
      <c r="AE1328" s="669"/>
      <c r="AF1328" s="718"/>
      <c r="AG1328" s="211"/>
      <c r="AH1328" s="210"/>
    </row>
    <row r="1329" spans="1:34" s="4" customFormat="1">
      <c r="A1329" s="2"/>
      <c r="B1329" s="310" t="s">
        <v>106</v>
      </c>
      <c r="C1329" s="311" t="s">
        <v>33</v>
      </c>
      <c r="D1329" s="687" t="s">
        <v>6304</v>
      </c>
      <c r="E1329" s="688"/>
      <c r="F1329" s="312" t="s">
        <v>6305</v>
      </c>
      <c r="G1329" s="313"/>
      <c r="H1329" s="624"/>
      <c r="I1329" s="625"/>
      <c r="J1329" s="626"/>
      <c r="K1329" s="627" t="s">
        <v>6306</v>
      </c>
      <c r="L1329" s="628"/>
      <c r="M1329" s="629"/>
      <c r="N1329" s="627" t="s">
        <v>6307</v>
      </c>
      <c r="O1329" s="628"/>
      <c r="P1329" s="630" t="s">
        <v>6308</v>
      </c>
      <c r="Q1329" s="631"/>
      <c r="R1329" s="715"/>
      <c r="S1329" s="1068"/>
      <c r="T1329" s="632"/>
      <c r="U1329" s="633" t="s">
        <v>6309</v>
      </c>
      <c r="V1329" s="634">
        <v>45414</v>
      </c>
      <c r="W1329" s="635" t="s">
        <v>2302</v>
      </c>
      <c r="X1329" s="636">
        <v>88808.59</v>
      </c>
      <c r="Y1329" s="636">
        <v>88808.59</v>
      </c>
      <c r="Z1329" s="733">
        <f>Y1329/X1329</f>
        <v>1</v>
      </c>
      <c r="AA1329" s="919"/>
      <c r="AB1329" s="1056"/>
      <c r="AC1329" s="912"/>
      <c r="AD1329" s="913"/>
      <c r="AE1329" s="669"/>
      <c r="AF1329" s="718"/>
      <c r="AG1329" s="211"/>
      <c r="AH1329" s="210"/>
    </row>
    <row r="1330" spans="1:34" s="4" customFormat="1">
      <c r="A1330" s="2"/>
      <c r="B1330" s="310" t="s">
        <v>115</v>
      </c>
      <c r="C1330" s="311" t="s">
        <v>27</v>
      </c>
      <c r="D1330" s="687"/>
      <c r="E1330" s="688"/>
      <c r="F1330" s="312" t="s">
        <v>6310</v>
      </c>
      <c r="G1330" s="313"/>
      <c r="H1330" s="624"/>
      <c r="I1330" s="625"/>
      <c r="J1330" s="626"/>
      <c r="K1330" s="627"/>
      <c r="L1330" s="628"/>
      <c r="M1330" s="629"/>
      <c r="N1330" s="627"/>
      <c r="O1330" s="628"/>
      <c r="P1330" s="630"/>
      <c r="Q1330" s="631"/>
      <c r="R1330" s="715"/>
      <c r="S1330" s="990"/>
      <c r="T1330" s="632"/>
      <c r="U1330" s="633"/>
      <c r="V1330" s="634"/>
      <c r="W1330" s="635"/>
      <c r="X1330" s="636"/>
      <c r="Y1330" s="637"/>
      <c r="Z1330" s="733"/>
      <c r="AA1330" s="919"/>
      <c r="AB1330" s="1056"/>
      <c r="AC1330" s="912"/>
      <c r="AD1330" s="913"/>
      <c r="AE1330" s="669"/>
      <c r="AF1330" s="718"/>
      <c r="AG1330" s="211"/>
      <c r="AH1330" s="210"/>
    </row>
    <row r="1331" spans="1:34" s="4" customFormat="1">
      <c r="A1331" s="2"/>
      <c r="B1331" s="310" t="s">
        <v>115</v>
      </c>
      <c r="C1331" s="311" t="s">
        <v>27</v>
      </c>
      <c r="D1331" s="687"/>
      <c r="E1331" s="688"/>
      <c r="F1331" s="312" t="s">
        <v>6311</v>
      </c>
      <c r="G1331" s="313"/>
      <c r="H1331" s="624"/>
      <c r="I1331" s="625"/>
      <c r="J1331" s="626"/>
      <c r="K1331" s="627" t="s">
        <v>6286</v>
      </c>
      <c r="L1331" s="628"/>
      <c r="M1331" s="629"/>
      <c r="N1331" s="627"/>
      <c r="O1331" s="628"/>
      <c r="P1331" s="630"/>
      <c r="Q1331" s="631"/>
      <c r="R1331" s="715"/>
      <c r="S1331" s="990"/>
      <c r="T1331" s="632"/>
      <c r="U1331" s="633"/>
      <c r="V1331" s="634"/>
      <c r="W1331" s="635"/>
      <c r="X1331" s="636"/>
      <c r="Y1331" s="637"/>
      <c r="Z1331" s="733"/>
      <c r="AA1331" s="919"/>
      <c r="AB1331" s="1056"/>
      <c r="AC1331" s="912"/>
      <c r="AD1331" s="913"/>
      <c r="AE1331" s="669"/>
      <c r="AF1331" s="718"/>
      <c r="AG1331" s="211"/>
      <c r="AH1331" s="210"/>
    </row>
    <row r="1332" spans="1:34" s="4" customFormat="1">
      <c r="A1332" s="2"/>
      <c r="B1332" s="310" t="s">
        <v>115</v>
      </c>
      <c r="C1332" s="311" t="s">
        <v>27</v>
      </c>
      <c r="D1332" s="687"/>
      <c r="E1332" s="688"/>
      <c r="F1332" s="312" t="s">
        <v>6312</v>
      </c>
      <c r="G1332" s="313"/>
      <c r="H1332" s="624"/>
      <c r="I1332" s="625"/>
      <c r="J1332" s="626"/>
      <c r="K1332" s="627"/>
      <c r="L1332" s="628"/>
      <c r="M1332" s="629"/>
      <c r="N1332" s="627"/>
      <c r="O1332" s="628"/>
      <c r="P1332" s="630"/>
      <c r="Q1332" s="631"/>
      <c r="R1332" s="715"/>
      <c r="S1332" s="990"/>
      <c r="T1332" s="632"/>
      <c r="U1332" s="633"/>
      <c r="V1332" s="634"/>
      <c r="W1332" s="635"/>
      <c r="X1332" s="636"/>
      <c r="Y1332" s="637"/>
      <c r="Z1332" s="733"/>
      <c r="AA1332" s="919"/>
      <c r="AB1332" s="1056"/>
      <c r="AC1332" s="912"/>
      <c r="AD1332" s="913"/>
      <c r="AE1332" s="669"/>
      <c r="AF1332" s="718"/>
      <c r="AG1332" s="211"/>
      <c r="AH1332" s="210"/>
    </row>
    <row r="1333" spans="1:34" s="4" customFormat="1">
      <c r="A1333" s="2"/>
      <c r="B1333" s="310" t="s">
        <v>115</v>
      </c>
      <c r="C1333" s="311" t="s">
        <v>27</v>
      </c>
      <c r="D1333" s="687"/>
      <c r="E1333" s="688"/>
      <c r="F1333" s="312" t="s">
        <v>6313</v>
      </c>
      <c r="G1333" s="313"/>
      <c r="H1333" s="624"/>
      <c r="I1333" s="625"/>
      <c r="J1333" s="626"/>
      <c r="K1333" s="627"/>
      <c r="L1333" s="628"/>
      <c r="M1333" s="629"/>
      <c r="N1333" s="627"/>
      <c r="O1333" s="628"/>
      <c r="P1333" s="630"/>
      <c r="Q1333" s="631"/>
      <c r="R1333" s="715"/>
      <c r="S1333" s="990"/>
      <c r="T1333" s="632"/>
      <c r="U1333" s="633"/>
      <c r="V1333" s="634"/>
      <c r="W1333" s="635"/>
      <c r="X1333" s="636"/>
      <c r="Y1333" s="637"/>
      <c r="Z1333" s="733"/>
      <c r="AA1333" s="919"/>
      <c r="AB1333" s="1056"/>
      <c r="AC1333" s="912"/>
      <c r="AD1333" s="913"/>
      <c r="AE1333" s="669"/>
      <c r="AF1333" s="718"/>
      <c r="AG1333" s="211"/>
      <c r="AH1333" s="210"/>
    </row>
    <row r="1334" spans="1:34" s="4" customFormat="1">
      <c r="A1334" s="2"/>
      <c r="B1334" s="310" t="s">
        <v>115</v>
      </c>
      <c r="C1334" s="311" t="s">
        <v>27</v>
      </c>
      <c r="D1334" s="687"/>
      <c r="E1334" s="688"/>
      <c r="F1334" s="312" t="s">
        <v>6314</v>
      </c>
      <c r="G1334" s="313"/>
      <c r="H1334" s="624"/>
      <c r="I1334" s="625"/>
      <c r="J1334" s="626"/>
      <c r="K1334" s="627"/>
      <c r="L1334" s="628"/>
      <c r="M1334" s="629"/>
      <c r="N1334" s="627"/>
      <c r="O1334" s="628"/>
      <c r="P1334" s="630"/>
      <c r="Q1334" s="631"/>
      <c r="R1334" s="715"/>
      <c r="S1334" s="990"/>
      <c r="T1334" s="632"/>
      <c r="U1334" s="633"/>
      <c r="V1334" s="634"/>
      <c r="W1334" s="635"/>
      <c r="X1334" s="636"/>
      <c r="Y1334" s="637"/>
      <c r="Z1334" s="733"/>
      <c r="AA1334" s="919"/>
      <c r="AB1334" s="1056"/>
      <c r="AC1334" s="912"/>
      <c r="AD1334" s="913"/>
      <c r="AE1334" s="669"/>
      <c r="AF1334" s="718"/>
      <c r="AG1334" s="211"/>
      <c r="AH1334" s="210"/>
    </row>
    <row r="1335" spans="1:34" s="4" customFormat="1">
      <c r="A1335" s="2"/>
      <c r="B1335" s="310" t="s">
        <v>115</v>
      </c>
      <c r="C1335" s="311" t="s">
        <v>27</v>
      </c>
      <c r="D1335" s="687"/>
      <c r="E1335" s="688"/>
      <c r="F1335" s="312" t="s">
        <v>6315</v>
      </c>
      <c r="G1335" s="313"/>
      <c r="H1335" s="624"/>
      <c r="I1335" s="625"/>
      <c r="J1335" s="626"/>
      <c r="K1335" s="627"/>
      <c r="L1335" s="628"/>
      <c r="M1335" s="629"/>
      <c r="N1335" s="627"/>
      <c r="O1335" s="628"/>
      <c r="P1335" s="630"/>
      <c r="Q1335" s="631"/>
      <c r="R1335" s="715"/>
      <c r="S1335" s="990"/>
      <c r="T1335" s="632"/>
      <c r="U1335" s="633"/>
      <c r="V1335" s="634"/>
      <c r="W1335" s="635"/>
      <c r="X1335" s="636"/>
      <c r="Y1335" s="637"/>
      <c r="Z1335" s="733"/>
      <c r="AA1335" s="919"/>
      <c r="AB1335" s="1056"/>
      <c r="AC1335" s="912"/>
      <c r="AD1335" s="913"/>
      <c r="AE1335" s="669"/>
      <c r="AF1335" s="718"/>
      <c r="AG1335" s="211"/>
      <c r="AH1335" s="210"/>
    </row>
    <row r="1336" spans="1:34" s="4" customFormat="1">
      <c r="A1336" s="2"/>
      <c r="B1336" s="310" t="s">
        <v>106</v>
      </c>
      <c r="C1336" s="311" t="s">
        <v>33</v>
      </c>
      <c r="D1336" s="687" t="s">
        <v>6316</v>
      </c>
      <c r="E1336" s="688"/>
      <c r="F1336" s="312" t="s">
        <v>6317</v>
      </c>
      <c r="G1336" s="313"/>
      <c r="H1336" s="624"/>
      <c r="I1336" s="625"/>
      <c r="J1336" s="626"/>
      <c r="K1336" s="627" t="s">
        <v>6318</v>
      </c>
      <c r="L1336" s="628"/>
      <c r="M1336" s="629"/>
      <c r="N1336" s="627" t="s">
        <v>6319</v>
      </c>
      <c r="O1336" s="628"/>
      <c r="P1336" s="630" t="s">
        <v>6320</v>
      </c>
      <c r="Q1336" s="631"/>
      <c r="R1336" s="715"/>
      <c r="S1336" s="1068"/>
      <c r="T1336" s="632">
        <v>72100.899999999994</v>
      </c>
      <c r="U1336" s="633" t="s">
        <v>6321</v>
      </c>
      <c r="V1336" s="634"/>
      <c r="W1336" s="635" t="s">
        <v>2302</v>
      </c>
      <c r="X1336" s="636">
        <v>65446.48</v>
      </c>
      <c r="Y1336" s="1058">
        <v>30000</v>
      </c>
      <c r="Z1336" s="1060">
        <f>Y1336/X1336</f>
        <v>0.45838981714524596</v>
      </c>
      <c r="AA1336" s="919"/>
      <c r="AB1336" s="1056"/>
      <c r="AC1336" s="912"/>
      <c r="AD1336" s="913"/>
      <c r="AE1336" s="669"/>
      <c r="AF1336" s="718"/>
      <c r="AG1336" s="211"/>
      <c r="AH1336" s="210"/>
    </row>
    <row r="1337" spans="1:34" s="4" customFormat="1">
      <c r="A1337" s="2"/>
      <c r="B1337" s="310" t="s">
        <v>115</v>
      </c>
      <c r="C1337" s="311" t="s">
        <v>27</v>
      </c>
      <c r="D1337" s="687"/>
      <c r="E1337" s="688"/>
      <c r="F1337" s="312" t="s">
        <v>6322</v>
      </c>
      <c r="G1337" s="313"/>
      <c r="H1337" s="624"/>
      <c r="I1337" s="625"/>
      <c r="J1337" s="626"/>
      <c r="K1337" s="627"/>
      <c r="L1337" s="628"/>
      <c r="M1337" s="629"/>
      <c r="N1337" s="627"/>
      <c r="O1337" s="628"/>
      <c r="P1337" s="630"/>
      <c r="Q1337" s="631"/>
      <c r="R1337" s="715"/>
      <c r="S1337" s="990"/>
      <c r="T1337" s="632"/>
      <c r="U1337" s="633"/>
      <c r="V1337" s="634"/>
      <c r="W1337" s="635"/>
      <c r="X1337" s="636"/>
      <c r="Y1337" s="637"/>
      <c r="Z1337" s="733"/>
      <c r="AA1337" s="919"/>
      <c r="AB1337" s="1056"/>
      <c r="AC1337" s="912"/>
      <c r="AD1337" s="913"/>
      <c r="AE1337" s="669"/>
      <c r="AF1337" s="718"/>
      <c r="AG1337" s="211"/>
      <c r="AH1337" s="210"/>
    </row>
    <row r="1338" spans="1:34" s="4" customFormat="1">
      <c r="A1338" s="2"/>
      <c r="B1338" s="310" t="s">
        <v>106</v>
      </c>
      <c r="C1338" s="311" t="s">
        <v>33</v>
      </c>
      <c r="D1338" s="687" t="s">
        <v>6323</v>
      </c>
      <c r="E1338" s="688"/>
      <c r="F1338" s="312"/>
      <c r="G1338" s="313"/>
      <c r="H1338" s="624"/>
      <c r="I1338" s="625"/>
      <c r="J1338" s="626"/>
      <c r="K1338" s="627" t="s">
        <v>6324</v>
      </c>
      <c r="L1338" s="628">
        <v>45338</v>
      </c>
      <c r="M1338" s="629">
        <v>5000</v>
      </c>
      <c r="N1338" s="627" t="s">
        <v>6325</v>
      </c>
      <c r="O1338" s="628">
        <v>45338</v>
      </c>
      <c r="P1338" s="630" t="s">
        <v>6326</v>
      </c>
      <c r="Q1338" s="631"/>
      <c r="R1338" s="715"/>
      <c r="S1338" s="1068"/>
      <c r="T1338" s="632"/>
      <c r="U1338" s="633" t="s">
        <v>6327</v>
      </c>
      <c r="V1338" s="634">
        <v>45364</v>
      </c>
      <c r="W1338" s="635" t="s">
        <v>93</v>
      </c>
      <c r="X1338" s="636">
        <v>5423.56</v>
      </c>
      <c r="Y1338" s="636">
        <v>5423.56</v>
      </c>
      <c r="Z1338" s="987">
        <f t="shared" ref="Z1338:Z1339" si="94">Y1338/X1338</f>
        <v>1</v>
      </c>
      <c r="AA1338" s="919"/>
      <c r="AB1338" s="1055">
        <v>0</v>
      </c>
      <c r="AC1338" s="912"/>
      <c r="AD1338" s="913"/>
      <c r="AE1338" s="669"/>
      <c r="AF1338" s="718"/>
      <c r="AG1338" s="211"/>
      <c r="AH1338" s="210"/>
    </row>
    <row r="1339" spans="1:34" s="4" customFormat="1">
      <c r="A1339" s="2"/>
      <c r="B1339" s="310" t="s">
        <v>106</v>
      </c>
      <c r="C1339" s="311" t="s">
        <v>33</v>
      </c>
      <c r="D1339" s="687" t="s">
        <v>6328</v>
      </c>
      <c r="E1339" s="688"/>
      <c r="F1339" s="312"/>
      <c r="G1339" s="313"/>
      <c r="H1339" s="624"/>
      <c r="I1339" s="625"/>
      <c r="J1339" s="626"/>
      <c r="K1339" s="627" t="s">
        <v>6329</v>
      </c>
      <c r="L1339" s="628">
        <v>45355</v>
      </c>
      <c r="M1339" s="629">
        <v>2500</v>
      </c>
      <c r="N1339" s="627" t="s">
        <v>6330</v>
      </c>
      <c r="O1339" s="628"/>
      <c r="P1339" s="630" t="s">
        <v>5743</v>
      </c>
      <c r="Q1339" s="631"/>
      <c r="R1339" s="715"/>
      <c r="S1339" s="1068"/>
      <c r="T1339" s="632"/>
      <c r="U1339" s="633" t="s">
        <v>6331</v>
      </c>
      <c r="V1339" s="634"/>
      <c r="W1339" s="635" t="s">
        <v>2302</v>
      </c>
      <c r="X1339" s="636">
        <v>10904.92</v>
      </c>
      <c r="Y1339" s="636">
        <v>10904.92</v>
      </c>
      <c r="Z1339" s="987">
        <f t="shared" si="94"/>
        <v>1</v>
      </c>
      <c r="AA1339" s="919"/>
      <c r="AB1339" s="1056"/>
      <c r="AC1339" s="912"/>
      <c r="AD1339" s="913"/>
      <c r="AE1339" s="669"/>
      <c r="AF1339" s="718"/>
      <c r="AG1339" s="211"/>
      <c r="AH1339" s="210"/>
    </row>
    <row r="1340" spans="1:34" s="4" customFormat="1">
      <c r="A1340" s="2"/>
      <c r="B1340" s="310" t="s">
        <v>106</v>
      </c>
      <c r="C1340" s="311" t="s">
        <v>33</v>
      </c>
      <c r="D1340" s="687" t="s">
        <v>6332</v>
      </c>
      <c r="E1340" s="688"/>
      <c r="F1340" s="312"/>
      <c r="G1340" s="313"/>
      <c r="H1340" s="624"/>
      <c r="I1340" s="625"/>
      <c r="J1340" s="626"/>
      <c r="K1340" s="627" t="s">
        <v>6333</v>
      </c>
      <c r="L1340" s="628">
        <v>45363</v>
      </c>
      <c r="M1340" s="629">
        <v>16000</v>
      </c>
      <c r="N1340" s="627" t="s">
        <v>6334</v>
      </c>
      <c r="O1340" s="628"/>
      <c r="P1340" s="630" t="s">
        <v>6335</v>
      </c>
      <c r="Q1340" s="631"/>
      <c r="R1340" s="715"/>
      <c r="S1340" s="1068"/>
      <c r="T1340" s="632">
        <v>60050.67</v>
      </c>
      <c r="U1340" s="633" t="s">
        <v>6336</v>
      </c>
      <c r="V1340" s="634">
        <v>45407</v>
      </c>
      <c r="W1340" s="635" t="s">
        <v>2302</v>
      </c>
      <c r="X1340" s="636">
        <v>60050.67</v>
      </c>
      <c r="Y1340" s="1058">
        <v>56000</v>
      </c>
      <c r="Z1340" s="1060">
        <f>Y1340/X1340</f>
        <v>0.93254579840657903</v>
      </c>
      <c r="AA1340" s="919"/>
      <c r="AB1340" s="1056"/>
      <c r="AC1340" s="912"/>
      <c r="AD1340" s="913"/>
      <c r="AE1340" s="669"/>
      <c r="AF1340" s="718"/>
      <c r="AG1340" s="211"/>
      <c r="AH1340" s="210"/>
    </row>
    <row r="1341" spans="1:34" s="4" customFormat="1">
      <c r="A1341" s="2"/>
      <c r="B1341" s="310" t="s">
        <v>106</v>
      </c>
      <c r="C1341" s="311" t="s">
        <v>33</v>
      </c>
      <c r="D1341" s="687" t="s">
        <v>6337</v>
      </c>
      <c r="E1341" s="688"/>
      <c r="F1341" s="312"/>
      <c r="G1341" s="313"/>
      <c r="H1341" s="624"/>
      <c r="I1341" s="625"/>
      <c r="J1341" s="626"/>
      <c r="K1341" s="627" t="s">
        <v>6338</v>
      </c>
      <c r="L1341" s="628">
        <v>45364</v>
      </c>
      <c r="M1341" s="629">
        <v>121353</v>
      </c>
      <c r="N1341" s="627" t="s">
        <v>6339</v>
      </c>
      <c r="O1341" s="628"/>
      <c r="P1341" s="630" t="s">
        <v>6340</v>
      </c>
      <c r="Q1341" s="631"/>
      <c r="R1341" s="715"/>
      <c r="S1341" s="1068"/>
      <c r="T1341" s="632"/>
      <c r="U1341" s="633" t="s">
        <v>6341</v>
      </c>
      <c r="V1341" s="634">
        <v>45412</v>
      </c>
      <c r="W1341" s="635" t="s">
        <v>70</v>
      </c>
      <c r="X1341" s="636">
        <v>396311.83</v>
      </c>
      <c r="Y1341" s="1058">
        <v>225000</v>
      </c>
      <c r="Z1341" s="1060">
        <f>Y1341/X1341</f>
        <v>0.5677347557351492</v>
      </c>
      <c r="AA1341" s="919"/>
      <c r="AB1341" s="1056"/>
      <c r="AC1341" s="912"/>
      <c r="AD1341" s="913"/>
      <c r="AE1341" s="669"/>
      <c r="AF1341" s="718"/>
      <c r="AG1341" s="211"/>
      <c r="AH1341" s="210"/>
    </row>
    <row r="1342" spans="1:34" s="4" customFormat="1">
      <c r="A1342" s="2"/>
      <c r="B1342" s="310" t="s">
        <v>106</v>
      </c>
      <c r="C1342" s="311" t="s">
        <v>33</v>
      </c>
      <c r="D1342" s="687" t="s">
        <v>6342</v>
      </c>
      <c r="E1342" s="688"/>
      <c r="F1342" s="312"/>
      <c r="G1342" s="313"/>
      <c r="H1342" s="624"/>
      <c r="I1342" s="625"/>
      <c r="J1342" s="626"/>
      <c r="K1342" s="627" t="s">
        <v>6343</v>
      </c>
      <c r="L1342" s="628">
        <v>45366</v>
      </c>
      <c r="M1342" s="629">
        <v>60000</v>
      </c>
      <c r="N1342" s="627" t="s">
        <v>6344</v>
      </c>
      <c r="O1342" s="628">
        <v>45366</v>
      </c>
      <c r="P1342" s="630" t="s">
        <v>6345</v>
      </c>
      <c r="Q1342" s="631">
        <v>45384</v>
      </c>
      <c r="R1342" s="715">
        <v>45387</v>
      </c>
      <c r="S1342" s="1068"/>
      <c r="T1342" s="632">
        <v>95350.15</v>
      </c>
      <c r="U1342" s="633" t="s">
        <v>6346</v>
      </c>
      <c r="V1342" s="634">
        <v>45387</v>
      </c>
      <c r="W1342" s="635" t="s">
        <v>96</v>
      </c>
      <c r="X1342" s="636">
        <v>95350.15</v>
      </c>
      <c r="Y1342" s="636">
        <v>95350.15</v>
      </c>
      <c r="Z1342" s="733">
        <f>Y1342/X1342</f>
        <v>1</v>
      </c>
      <c r="AA1342" s="919"/>
      <c r="AB1342" s="1056"/>
      <c r="AC1342" s="912"/>
      <c r="AD1342" s="913"/>
      <c r="AE1342" s="669"/>
      <c r="AF1342" s="718"/>
      <c r="AG1342" s="211"/>
      <c r="AH1342" s="210"/>
    </row>
    <row r="1343" spans="1:34" s="4" customFormat="1">
      <c r="A1343" s="2"/>
      <c r="B1343" s="310" t="s">
        <v>115</v>
      </c>
      <c r="C1343" s="311" t="s">
        <v>27</v>
      </c>
      <c r="D1343" s="687" t="s">
        <v>6347</v>
      </c>
      <c r="E1343" s="688"/>
      <c r="F1343" s="312" t="s">
        <v>6348</v>
      </c>
      <c r="G1343" s="313"/>
      <c r="H1343" s="624"/>
      <c r="I1343" s="625"/>
      <c r="J1343" s="626"/>
      <c r="K1343" s="627"/>
      <c r="L1343" s="628"/>
      <c r="M1343" s="629"/>
      <c r="N1343" s="627"/>
      <c r="O1343" s="628"/>
      <c r="P1343" s="630"/>
      <c r="Q1343" s="631"/>
      <c r="R1343" s="715"/>
      <c r="S1343" s="990"/>
      <c r="T1343" s="632"/>
      <c r="U1343" s="633"/>
      <c r="V1343" s="634"/>
      <c r="W1343" s="635"/>
      <c r="X1343" s="636"/>
      <c r="Y1343" s="637"/>
      <c r="Z1343" s="733"/>
      <c r="AA1343" s="919"/>
      <c r="AB1343" s="1056"/>
      <c r="AC1343" s="912"/>
      <c r="AD1343" s="913"/>
      <c r="AE1343" s="669"/>
      <c r="AF1343" s="718"/>
      <c r="AG1343" s="211"/>
      <c r="AH1343" s="210"/>
    </row>
    <row r="1344" spans="1:34" s="4" customFormat="1">
      <c r="A1344" s="2"/>
      <c r="B1344" s="310" t="s">
        <v>115</v>
      </c>
      <c r="C1344" s="311" t="s">
        <v>27</v>
      </c>
      <c r="D1344" s="687" t="s">
        <v>6349</v>
      </c>
      <c r="E1344" s="688"/>
      <c r="F1344" s="312" t="s">
        <v>6350</v>
      </c>
      <c r="G1344" s="313"/>
      <c r="H1344" s="624"/>
      <c r="I1344" s="625"/>
      <c r="J1344" s="626"/>
      <c r="K1344" s="627"/>
      <c r="L1344" s="628"/>
      <c r="M1344" s="629"/>
      <c r="N1344" s="627"/>
      <c r="O1344" s="628"/>
      <c r="P1344" s="630"/>
      <c r="Q1344" s="631"/>
      <c r="R1344" s="715"/>
      <c r="S1344" s="990"/>
      <c r="T1344" s="632"/>
      <c r="U1344" s="633"/>
      <c r="V1344" s="634"/>
      <c r="W1344" s="635"/>
      <c r="X1344" s="636"/>
      <c r="Y1344" s="637"/>
      <c r="Z1344" s="733"/>
      <c r="AA1344" s="919"/>
      <c r="AB1344" s="1056"/>
      <c r="AC1344" s="912"/>
      <c r="AD1344" s="913"/>
      <c r="AE1344" s="669"/>
      <c r="AF1344" s="718"/>
      <c r="AG1344" s="211"/>
      <c r="AH1344" s="210"/>
    </row>
    <row r="1345" spans="1:34" s="4" customFormat="1">
      <c r="A1345" s="2"/>
      <c r="B1345" s="310" t="s">
        <v>115</v>
      </c>
      <c r="C1345" s="311" t="s">
        <v>27</v>
      </c>
      <c r="D1345" s="687" t="s">
        <v>6351</v>
      </c>
      <c r="E1345" s="688"/>
      <c r="F1345" s="312" t="s">
        <v>6352</v>
      </c>
      <c r="G1345" s="313"/>
      <c r="H1345" s="624"/>
      <c r="I1345" s="625"/>
      <c r="J1345" s="626"/>
      <c r="K1345" s="627"/>
      <c r="L1345" s="628"/>
      <c r="M1345" s="629"/>
      <c r="N1345" s="627"/>
      <c r="O1345" s="628"/>
      <c r="P1345" s="630"/>
      <c r="Q1345" s="631"/>
      <c r="R1345" s="715"/>
      <c r="S1345" s="990"/>
      <c r="T1345" s="632"/>
      <c r="U1345" s="633"/>
      <c r="V1345" s="634"/>
      <c r="W1345" s="635"/>
      <c r="X1345" s="636"/>
      <c r="Y1345" s="637"/>
      <c r="Z1345" s="733"/>
      <c r="AA1345" s="919"/>
      <c r="AB1345" s="1056"/>
      <c r="AC1345" s="912"/>
      <c r="AD1345" s="913"/>
      <c r="AE1345" s="669"/>
      <c r="AF1345" s="718"/>
      <c r="AG1345" s="211"/>
      <c r="AH1345" s="210"/>
    </row>
    <row r="1346" spans="1:34" s="4" customFormat="1">
      <c r="A1346" s="2"/>
      <c r="B1346" s="310" t="s">
        <v>106</v>
      </c>
      <c r="C1346" s="311" t="s">
        <v>33</v>
      </c>
      <c r="D1346" s="687" t="s">
        <v>6353</v>
      </c>
      <c r="E1346" s="688"/>
      <c r="F1346" s="312"/>
      <c r="G1346" s="313"/>
      <c r="H1346" s="624"/>
      <c r="I1346" s="625"/>
      <c r="J1346" s="626"/>
      <c r="K1346" s="627"/>
      <c r="L1346" s="628"/>
      <c r="M1346" s="629"/>
      <c r="N1346" s="627"/>
      <c r="O1346" s="628"/>
      <c r="P1346" s="630" t="s">
        <v>268</v>
      </c>
      <c r="Q1346" s="631"/>
      <c r="R1346" s="715"/>
      <c r="S1346" s="1068"/>
      <c r="T1346" s="1074"/>
      <c r="U1346" s="633" t="s">
        <v>6354</v>
      </c>
      <c r="V1346" s="634"/>
      <c r="W1346" s="635" t="s">
        <v>84</v>
      </c>
      <c r="X1346" s="636">
        <v>-2000000</v>
      </c>
      <c r="Y1346" s="636">
        <v>-2000000</v>
      </c>
      <c r="Z1346" s="733">
        <f>Y1346/X1346</f>
        <v>1</v>
      </c>
      <c r="AA1346" s="919"/>
      <c r="AB1346" s="1056"/>
      <c r="AC1346" s="912"/>
      <c r="AD1346" s="913"/>
      <c r="AE1346" s="669"/>
      <c r="AF1346" s="718"/>
      <c r="AG1346" s="211"/>
      <c r="AH1346" s="210"/>
    </row>
    <row r="1347" spans="1:34" s="4" customFormat="1">
      <c r="A1347" s="2"/>
      <c r="B1347" s="310" t="s">
        <v>115</v>
      </c>
      <c r="C1347" s="311" t="s">
        <v>27</v>
      </c>
      <c r="D1347" s="687"/>
      <c r="E1347" s="688"/>
      <c r="F1347" s="312" t="s">
        <v>6355</v>
      </c>
      <c r="G1347" s="313"/>
      <c r="H1347" s="624"/>
      <c r="I1347" s="625"/>
      <c r="J1347" s="626"/>
      <c r="K1347" s="627"/>
      <c r="L1347" s="628"/>
      <c r="M1347" s="629"/>
      <c r="N1347" s="627"/>
      <c r="O1347" s="628"/>
      <c r="P1347" s="630"/>
      <c r="Q1347" s="631"/>
      <c r="R1347" s="715"/>
      <c r="S1347" s="990"/>
      <c r="T1347" s="632"/>
      <c r="U1347" s="633"/>
      <c r="V1347" s="634"/>
      <c r="W1347" s="635"/>
      <c r="X1347" s="636"/>
      <c r="Y1347" s="637"/>
      <c r="Z1347" s="733"/>
      <c r="AA1347" s="919"/>
      <c r="AB1347" s="1056"/>
      <c r="AC1347" s="912"/>
      <c r="AD1347" s="913"/>
      <c r="AE1347" s="669"/>
      <c r="AF1347" s="718"/>
      <c r="AG1347" s="211"/>
      <c r="AH1347" s="210"/>
    </row>
    <row r="1348" spans="1:34" s="4" customFormat="1">
      <c r="A1348" s="2"/>
      <c r="B1348" s="310" t="s">
        <v>115</v>
      </c>
      <c r="C1348" s="311" t="s">
        <v>27</v>
      </c>
      <c r="D1348" s="687"/>
      <c r="E1348" s="688"/>
      <c r="F1348" s="312" t="s">
        <v>6356</v>
      </c>
      <c r="G1348" s="313"/>
      <c r="H1348" s="624"/>
      <c r="I1348" s="625"/>
      <c r="J1348" s="626"/>
      <c r="K1348" s="627"/>
      <c r="L1348" s="628"/>
      <c r="M1348" s="629"/>
      <c r="N1348" s="627"/>
      <c r="O1348" s="628"/>
      <c r="P1348" s="630"/>
      <c r="Q1348" s="631"/>
      <c r="R1348" s="715"/>
      <c r="S1348" s="990"/>
      <c r="T1348" s="632"/>
      <c r="U1348" s="633"/>
      <c r="V1348" s="634"/>
      <c r="W1348" s="635"/>
      <c r="X1348" s="636"/>
      <c r="Y1348" s="637"/>
      <c r="Z1348" s="733"/>
      <c r="AA1348" s="919"/>
      <c r="AB1348" s="1056"/>
      <c r="AC1348" s="912"/>
      <c r="AD1348" s="913"/>
      <c r="AE1348" s="669"/>
      <c r="AF1348" s="718"/>
      <c r="AG1348" s="211"/>
      <c r="AH1348" s="210"/>
    </row>
    <row r="1349" spans="1:34" s="4" customFormat="1">
      <c r="A1349" s="2"/>
      <c r="B1349" s="310" t="s">
        <v>71</v>
      </c>
      <c r="C1349" s="311" t="s">
        <v>27</v>
      </c>
      <c r="D1349" s="687"/>
      <c r="E1349" s="688"/>
      <c r="F1349" s="312" t="s">
        <v>6357</v>
      </c>
      <c r="G1349" s="313"/>
      <c r="H1349" s="624"/>
      <c r="I1349" s="625"/>
      <c r="J1349" s="626"/>
      <c r="K1349" s="627"/>
      <c r="L1349" s="628"/>
      <c r="M1349" s="629"/>
      <c r="N1349" s="627"/>
      <c r="O1349" s="628"/>
      <c r="P1349" s="630"/>
      <c r="Q1349" s="631"/>
      <c r="R1349" s="715"/>
      <c r="S1349" s="990"/>
      <c r="T1349" s="632"/>
      <c r="U1349" s="633"/>
      <c r="V1349" s="634"/>
      <c r="W1349" s="635"/>
      <c r="X1349" s="636"/>
      <c r="Y1349" s="637"/>
      <c r="Z1349" s="733"/>
      <c r="AA1349" s="919"/>
      <c r="AB1349" s="1056"/>
      <c r="AC1349" s="912"/>
      <c r="AD1349" s="913"/>
      <c r="AE1349" s="669"/>
      <c r="AF1349" s="718"/>
      <c r="AG1349" s="211"/>
      <c r="AH1349" s="210"/>
    </row>
    <row r="1350" spans="1:34" s="4" customFormat="1">
      <c r="A1350" s="2"/>
      <c r="B1350" s="310" t="s">
        <v>71</v>
      </c>
      <c r="C1350" s="311" t="s">
        <v>27</v>
      </c>
      <c r="D1350" s="687"/>
      <c r="E1350" s="688"/>
      <c r="F1350" s="312" t="s">
        <v>6358</v>
      </c>
      <c r="G1350" s="313"/>
      <c r="H1350" s="624"/>
      <c r="I1350" s="625"/>
      <c r="J1350" s="626"/>
      <c r="K1350" s="627"/>
      <c r="L1350" s="628"/>
      <c r="M1350" s="629"/>
      <c r="N1350" s="627"/>
      <c r="O1350" s="628"/>
      <c r="P1350" s="630"/>
      <c r="Q1350" s="631"/>
      <c r="R1350" s="715"/>
      <c r="S1350" s="990"/>
      <c r="T1350" s="632"/>
      <c r="U1350" s="633"/>
      <c r="V1350" s="634"/>
      <c r="W1350" s="635"/>
      <c r="X1350" s="636"/>
      <c r="Y1350" s="637"/>
      <c r="Z1350" s="733"/>
      <c r="AA1350" s="919"/>
      <c r="AB1350" s="1056"/>
      <c r="AC1350" s="912"/>
      <c r="AD1350" s="913"/>
      <c r="AE1350" s="669"/>
      <c r="AF1350" s="718"/>
      <c r="AG1350" s="211"/>
      <c r="AH1350" s="210"/>
    </row>
    <row r="1351" spans="1:34" s="4" customFormat="1">
      <c r="A1351" s="2"/>
      <c r="B1351" s="310" t="s">
        <v>71</v>
      </c>
      <c r="C1351" s="311" t="s">
        <v>27</v>
      </c>
      <c r="D1351" s="687"/>
      <c r="E1351" s="688"/>
      <c r="F1351" s="312" t="s">
        <v>6359</v>
      </c>
      <c r="G1351" s="313"/>
      <c r="H1351" s="624"/>
      <c r="I1351" s="625"/>
      <c r="J1351" s="626"/>
      <c r="K1351" s="627"/>
      <c r="L1351" s="628"/>
      <c r="M1351" s="629"/>
      <c r="N1351" s="627"/>
      <c r="O1351" s="628"/>
      <c r="P1351" s="630"/>
      <c r="Q1351" s="631"/>
      <c r="R1351" s="715"/>
      <c r="S1351" s="990"/>
      <c r="T1351" s="632"/>
      <c r="U1351" s="633"/>
      <c r="V1351" s="634"/>
      <c r="W1351" s="635"/>
      <c r="X1351" s="636"/>
      <c r="Y1351" s="637"/>
      <c r="Z1351" s="733"/>
      <c r="AA1351" s="919"/>
      <c r="AB1351" s="1056"/>
      <c r="AC1351" s="912"/>
      <c r="AD1351" s="913"/>
      <c r="AE1351" s="669"/>
      <c r="AF1351" s="718"/>
      <c r="AG1351" s="211"/>
      <c r="AH1351" s="210"/>
    </row>
    <row r="1352" spans="1:34" s="4" customFormat="1">
      <c r="A1352" s="2"/>
      <c r="B1352" s="310" t="s">
        <v>106</v>
      </c>
      <c r="C1352" s="311" t="s">
        <v>33</v>
      </c>
      <c r="D1352" s="687" t="s">
        <v>6360</v>
      </c>
      <c r="E1352" s="688"/>
      <c r="F1352" s="312"/>
      <c r="G1352" s="313"/>
      <c r="H1352" s="624"/>
      <c r="I1352" s="625"/>
      <c r="J1352" s="626"/>
      <c r="K1352" s="627" t="s">
        <v>6361</v>
      </c>
      <c r="L1352" s="628"/>
      <c r="M1352" s="629"/>
      <c r="N1352" s="627" t="s">
        <v>6362</v>
      </c>
      <c r="O1352" s="628"/>
      <c r="P1352" s="630" t="s">
        <v>6363</v>
      </c>
      <c r="Q1352" s="631"/>
      <c r="R1352" s="715"/>
      <c r="S1352" s="1068"/>
      <c r="T1352" s="632"/>
      <c r="U1352" s="633" t="s">
        <v>6364</v>
      </c>
      <c r="V1352" s="634">
        <v>45407</v>
      </c>
      <c r="W1352" s="635" t="s">
        <v>2302</v>
      </c>
      <c r="X1352" s="636">
        <v>22053.53</v>
      </c>
      <c r="Y1352" s="636">
        <v>22053.53</v>
      </c>
      <c r="Z1352" s="733">
        <f t="shared" ref="Z1352:Z1353" si="95">Y1352/X1352</f>
        <v>1</v>
      </c>
      <c r="AA1352" s="919"/>
      <c r="AB1352" s="1056"/>
      <c r="AC1352" s="912"/>
      <c r="AD1352" s="913"/>
      <c r="AE1352" s="669"/>
      <c r="AF1352" s="718"/>
      <c r="AG1352" s="211"/>
      <c r="AH1352" s="210"/>
    </row>
    <row r="1353" spans="1:34" s="4" customFormat="1">
      <c r="A1353" s="2"/>
      <c r="B1353" s="310" t="s">
        <v>106</v>
      </c>
      <c r="C1353" s="311" t="s">
        <v>33</v>
      </c>
      <c r="D1353" s="687" t="s">
        <v>6365</v>
      </c>
      <c r="E1353" s="688"/>
      <c r="F1353" s="312"/>
      <c r="G1353" s="313"/>
      <c r="H1353" s="624"/>
      <c r="I1353" s="625"/>
      <c r="J1353" s="626"/>
      <c r="K1353" s="627" t="s">
        <v>6366</v>
      </c>
      <c r="L1353" s="628">
        <v>45399</v>
      </c>
      <c r="M1353" s="629">
        <v>170000</v>
      </c>
      <c r="N1353" s="627" t="s">
        <v>6367</v>
      </c>
      <c r="O1353" s="628">
        <v>45428</v>
      </c>
      <c r="P1353" s="630" t="s">
        <v>6368</v>
      </c>
      <c r="Q1353" s="631">
        <v>45400</v>
      </c>
      <c r="R1353" s="715"/>
      <c r="S1353" s="1068"/>
      <c r="T1353" s="632">
        <v>219871.68</v>
      </c>
      <c r="U1353" s="633" t="s">
        <v>6369</v>
      </c>
      <c r="V1353" s="634">
        <v>45478</v>
      </c>
      <c r="W1353" s="635" t="s">
        <v>96</v>
      </c>
      <c r="X1353" s="636">
        <v>219871.68</v>
      </c>
      <c r="Y1353" s="636">
        <v>219871.68</v>
      </c>
      <c r="Z1353" s="733">
        <f t="shared" si="95"/>
        <v>1</v>
      </c>
      <c r="AA1353" s="919"/>
      <c r="AB1353" s="1056"/>
      <c r="AC1353" s="912"/>
      <c r="AD1353" s="913"/>
      <c r="AE1353" s="669"/>
      <c r="AF1353" s="718"/>
      <c r="AG1353" s="211"/>
      <c r="AH1353" s="210"/>
    </row>
    <row r="1354" spans="1:34" s="4" customFormat="1">
      <c r="A1354" s="2"/>
      <c r="B1354" s="310"/>
      <c r="C1354" s="311" t="s">
        <v>27</v>
      </c>
      <c r="D1354" s="687" t="s">
        <v>6370</v>
      </c>
      <c r="E1354" s="688"/>
      <c r="F1354" s="312" t="s">
        <v>6371</v>
      </c>
      <c r="G1354" s="313"/>
      <c r="H1354" s="624"/>
      <c r="I1354" s="625"/>
      <c r="J1354" s="626"/>
      <c r="K1354" s="627"/>
      <c r="L1354" s="628"/>
      <c r="M1354" s="629"/>
      <c r="N1354" s="627"/>
      <c r="O1354" s="628"/>
      <c r="P1354" s="630"/>
      <c r="Q1354" s="631"/>
      <c r="R1354" s="715"/>
      <c r="S1354" s="990"/>
      <c r="T1354" s="632"/>
      <c r="U1354" s="633"/>
      <c r="V1354" s="634"/>
      <c r="W1354" s="635"/>
      <c r="X1354" s="636"/>
      <c r="Y1354" s="637"/>
      <c r="Z1354" s="733"/>
      <c r="AA1354" s="919"/>
      <c r="AB1354" s="1056"/>
      <c r="AC1354" s="912"/>
      <c r="AD1354" s="913"/>
      <c r="AE1354" s="669"/>
      <c r="AF1354" s="718"/>
      <c r="AG1354" s="211"/>
      <c r="AH1354" s="210"/>
    </row>
    <row r="1355" spans="1:34" s="4" customFormat="1">
      <c r="A1355" s="2"/>
      <c r="B1355" s="310"/>
      <c r="C1355" s="311" t="s">
        <v>27</v>
      </c>
      <c r="D1355" s="687" t="s">
        <v>6372</v>
      </c>
      <c r="E1355" s="688"/>
      <c r="F1355" s="312" t="s">
        <v>6373</v>
      </c>
      <c r="G1355" s="313"/>
      <c r="H1355" s="624"/>
      <c r="I1355" s="625"/>
      <c r="J1355" s="626"/>
      <c r="K1355" s="627"/>
      <c r="L1355" s="628"/>
      <c r="M1355" s="629"/>
      <c r="N1355" s="627"/>
      <c r="O1355" s="628"/>
      <c r="P1355" s="630"/>
      <c r="Q1355" s="631"/>
      <c r="R1355" s="715"/>
      <c r="S1355" s="990"/>
      <c r="T1355" s="632"/>
      <c r="U1355" s="633"/>
      <c r="V1355" s="634"/>
      <c r="W1355" s="635"/>
      <c r="X1355" s="636"/>
      <c r="Y1355" s="637"/>
      <c r="Z1355" s="733"/>
      <c r="AA1355" s="919"/>
      <c r="AB1355" s="1056"/>
      <c r="AC1355" s="912"/>
      <c r="AD1355" s="913"/>
      <c r="AE1355" s="669"/>
      <c r="AF1355" s="718"/>
      <c r="AG1355" s="211"/>
      <c r="AH1355" s="210"/>
    </row>
    <row r="1356" spans="1:34" s="4" customFormat="1">
      <c r="A1356" s="2"/>
      <c r="B1356" s="310" t="s">
        <v>106</v>
      </c>
      <c r="C1356" s="311" t="s">
        <v>33</v>
      </c>
      <c r="D1356" s="687" t="s">
        <v>6374</v>
      </c>
      <c r="E1356" s="688"/>
      <c r="F1356" s="312" t="s">
        <v>6375</v>
      </c>
      <c r="G1356" s="313"/>
      <c r="H1356" s="624"/>
      <c r="I1356" s="625"/>
      <c r="J1356" s="626"/>
      <c r="K1356" s="627" t="s">
        <v>6376</v>
      </c>
      <c r="L1356" s="628">
        <v>45433</v>
      </c>
      <c r="M1356" s="629">
        <v>5500</v>
      </c>
      <c r="N1356" s="627" t="s">
        <v>6377</v>
      </c>
      <c r="O1356" s="628">
        <v>45433</v>
      </c>
      <c r="P1356" s="630" t="s">
        <v>6378</v>
      </c>
      <c r="Q1356" s="631">
        <v>45446</v>
      </c>
      <c r="R1356" s="715"/>
      <c r="S1356" s="1068"/>
      <c r="T1356" s="1074">
        <v>9388.08</v>
      </c>
      <c r="U1356" s="633" t="s">
        <v>6379</v>
      </c>
      <c r="V1356" s="634">
        <v>45455</v>
      </c>
      <c r="W1356" s="635" t="s">
        <v>2302</v>
      </c>
      <c r="X1356" s="636">
        <v>9388.08</v>
      </c>
      <c r="Y1356" s="636">
        <v>9388.08</v>
      </c>
      <c r="Z1356" s="733">
        <f>Y1356/X1356</f>
        <v>1</v>
      </c>
      <c r="AA1356" s="919"/>
      <c r="AB1356" s="1056"/>
      <c r="AC1356" s="912"/>
      <c r="AD1356" s="913"/>
      <c r="AE1356" s="669"/>
      <c r="AF1356" s="718"/>
      <c r="AG1356" s="211"/>
      <c r="AH1356" s="210"/>
    </row>
    <row r="1357" spans="1:34" s="4" customFormat="1">
      <c r="A1357" s="2"/>
      <c r="B1357" s="310"/>
      <c r="C1357" s="311" t="s">
        <v>27</v>
      </c>
      <c r="D1357" s="687" t="s">
        <v>6380</v>
      </c>
      <c r="E1357" s="688"/>
      <c r="F1357" s="312" t="s">
        <v>6381</v>
      </c>
      <c r="G1357" s="313"/>
      <c r="H1357" s="624"/>
      <c r="I1357" s="625"/>
      <c r="J1357" s="626"/>
      <c r="K1357" s="627"/>
      <c r="L1357" s="628"/>
      <c r="M1357" s="629"/>
      <c r="N1357" s="627"/>
      <c r="O1357" s="628"/>
      <c r="P1357" s="630"/>
      <c r="Q1357" s="631"/>
      <c r="R1357" s="715"/>
      <c r="S1357" s="990"/>
      <c r="T1357" s="632"/>
      <c r="U1357" s="633"/>
      <c r="V1357" s="634"/>
      <c r="W1357" s="635"/>
      <c r="X1357" s="636"/>
      <c r="Y1357" s="637"/>
      <c r="Z1357" s="733"/>
      <c r="AA1357" s="919"/>
      <c r="AB1357" s="1056"/>
      <c r="AC1357" s="912"/>
      <c r="AD1357" s="913"/>
      <c r="AE1357" s="669"/>
      <c r="AF1357" s="718"/>
      <c r="AG1357" s="211"/>
      <c r="AH1357" s="210"/>
    </row>
    <row r="1358" spans="1:34" s="4" customFormat="1">
      <c r="A1358" s="2"/>
      <c r="B1358" s="310"/>
      <c r="C1358" s="311" t="s">
        <v>27</v>
      </c>
      <c r="D1358" s="687" t="s">
        <v>6382</v>
      </c>
      <c r="E1358" s="688"/>
      <c r="F1358" s="312" t="s">
        <v>6383</v>
      </c>
      <c r="G1358" s="313"/>
      <c r="H1358" s="624"/>
      <c r="I1358" s="625"/>
      <c r="J1358" s="626"/>
      <c r="K1358" s="627"/>
      <c r="L1358" s="628"/>
      <c r="M1358" s="629"/>
      <c r="N1358" s="627"/>
      <c r="O1358" s="628"/>
      <c r="P1358" s="630"/>
      <c r="Q1358" s="631"/>
      <c r="R1358" s="715"/>
      <c r="S1358" s="990"/>
      <c r="T1358" s="632"/>
      <c r="U1358" s="633"/>
      <c r="V1358" s="634"/>
      <c r="W1358" s="635"/>
      <c r="X1358" s="636"/>
      <c r="Y1358" s="637"/>
      <c r="Z1358" s="733"/>
      <c r="AA1358" s="919"/>
      <c r="AB1358" s="1056"/>
      <c r="AC1358" s="912"/>
      <c r="AD1358" s="913"/>
      <c r="AE1358" s="669"/>
      <c r="AF1358" s="718"/>
      <c r="AG1358" s="211"/>
      <c r="AH1358" s="210"/>
    </row>
    <row r="1359" spans="1:34" s="4" customFormat="1">
      <c r="A1359" s="2"/>
      <c r="B1359" s="310"/>
      <c r="C1359" s="311" t="s">
        <v>33</v>
      </c>
      <c r="D1359" s="687" t="s">
        <v>6384</v>
      </c>
      <c r="E1359" s="688"/>
      <c r="F1359" s="312"/>
      <c r="G1359" s="313"/>
      <c r="H1359" s="624"/>
      <c r="I1359" s="625"/>
      <c r="J1359" s="626"/>
      <c r="K1359" s="627"/>
      <c r="L1359" s="628"/>
      <c r="M1359" s="629"/>
      <c r="N1359" s="627"/>
      <c r="O1359" s="628"/>
      <c r="P1359" s="630"/>
      <c r="Q1359" s="631"/>
      <c r="R1359" s="715"/>
      <c r="S1359" s="990"/>
      <c r="T1359" s="632"/>
      <c r="U1359" s="633"/>
      <c r="V1359" s="634"/>
      <c r="W1359" s="635"/>
      <c r="X1359" s="636"/>
      <c r="Y1359" s="637"/>
      <c r="Z1359" s="733"/>
      <c r="AA1359" s="919"/>
      <c r="AB1359" s="1056"/>
      <c r="AC1359" s="912"/>
      <c r="AD1359" s="913"/>
      <c r="AE1359" s="669"/>
      <c r="AF1359" s="718"/>
      <c r="AG1359" s="211"/>
      <c r="AH1359" s="210"/>
    </row>
    <row r="1360" spans="1:34" s="4" customFormat="1">
      <c r="A1360" s="2"/>
      <c r="B1360" s="310" t="s">
        <v>110</v>
      </c>
      <c r="C1360" s="311" t="s">
        <v>33</v>
      </c>
      <c r="D1360" s="687" t="s">
        <v>6385</v>
      </c>
      <c r="E1360" s="688"/>
      <c r="F1360" s="312"/>
      <c r="G1360" s="313"/>
      <c r="H1360" s="624"/>
      <c r="I1360" s="625"/>
      <c r="J1360" s="626"/>
      <c r="K1360" s="627"/>
      <c r="L1360" s="628"/>
      <c r="M1360" s="629"/>
      <c r="N1360" s="627" t="s">
        <v>6386</v>
      </c>
      <c r="O1360" s="628"/>
      <c r="P1360" s="630"/>
      <c r="Q1360" s="631"/>
      <c r="R1360" s="715"/>
      <c r="S1360" s="990"/>
      <c r="T1360" s="632"/>
      <c r="U1360" s="633"/>
      <c r="V1360" s="634"/>
      <c r="W1360" s="635"/>
      <c r="X1360" s="636"/>
      <c r="Y1360" s="637"/>
      <c r="Z1360" s="733"/>
      <c r="AA1360" s="919"/>
      <c r="AB1360" s="1056"/>
      <c r="AC1360" s="912"/>
      <c r="AD1360" s="913"/>
      <c r="AE1360" s="669"/>
      <c r="AF1360" s="718"/>
      <c r="AG1360" s="211"/>
      <c r="AH1360" s="210"/>
    </row>
    <row r="1361" spans="1:34" s="4" customFormat="1">
      <c r="A1361" s="2"/>
      <c r="B1361" s="310" t="s">
        <v>106</v>
      </c>
      <c r="C1361" s="311" t="s">
        <v>33</v>
      </c>
      <c r="D1361" s="687" t="s">
        <v>6387</v>
      </c>
      <c r="E1361" s="688"/>
      <c r="F1361" s="312"/>
      <c r="G1361" s="313"/>
      <c r="H1361" s="624"/>
      <c r="I1361" s="625"/>
      <c r="J1361" s="626"/>
      <c r="K1361" s="627"/>
      <c r="L1361" s="628"/>
      <c r="M1361" s="629"/>
      <c r="N1361" s="627"/>
      <c r="O1361" s="628"/>
      <c r="P1361" s="630" t="s">
        <v>268</v>
      </c>
      <c r="Q1361" s="631"/>
      <c r="R1361" s="715"/>
      <c r="S1361" s="1068"/>
      <c r="T1361" s="1074"/>
      <c r="U1361" s="633" t="s">
        <v>6388</v>
      </c>
      <c r="V1361" s="634">
        <v>45453</v>
      </c>
      <c r="W1361" s="635" t="s">
        <v>84</v>
      </c>
      <c r="X1361" s="636">
        <v>-52998.18</v>
      </c>
      <c r="Y1361" s="636">
        <v>-52998.18</v>
      </c>
      <c r="Z1361" s="733">
        <f t="shared" ref="Z1361:Z1364" si="96">Y1361/X1361</f>
        <v>1</v>
      </c>
      <c r="AA1361" s="919"/>
      <c r="AB1361" s="1056"/>
      <c r="AC1361" s="912"/>
      <c r="AD1361" s="913"/>
      <c r="AE1361" s="669"/>
      <c r="AF1361" s="718"/>
      <c r="AG1361" s="211"/>
      <c r="AH1361" s="210"/>
    </row>
    <row r="1362" spans="1:34" s="4" customFormat="1">
      <c r="A1362" s="2"/>
      <c r="B1362" s="310" t="s">
        <v>106</v>
      </c>
      <c r="C1362" s="311" t="s">
        <v>33</v>
      </c>
      <c r="D1362" s="687" t="s">
        <v>6389</v>
      </c>
      <c r="E1362" s="688"/>
      <c r="F1362" s="312"/>
      <c r="G1362" s="313"/>
      <c r="H1362" s="624"/>
      <c r="I1362" s="625"/>
      <c r="J1362" s="626"/>
      <c r="K1362" s="627"/>
      <c r="L1362" s="628"/>
      <c r="M1362" s="629"/>
      <c r="N1362" s="627"/>
      <c r="O1362" s="628"/>
      <c r="P1362" s="630" t="s">
        <v>268</v>
      </c>
      <c r="Q1362" s="631"/>
      <c r="R1362" s="715"/>
      <c r="S1362" s="1068"/>
      <c r="T1362" s="1074"/>
      <c r="U1362" s="633" t="s">
        <v>6390</v>
      </c>
      <c r="V1362" s="634">
        <v>45453</v>
      </c>
      <c r="W1362" s="635" t="s">
        <v>84</v>
      </c>
      <c r="X1362" s="636">
        <v>-10000</v>
      </c>
      <c r="Y1362" s="636">
        <v>-10000</v>
      </c>
      <c r="Z1362" s="733">
        <f t="shared" si="96"/>
        <v>1</v>
      </c>
      <c r="AA1362" s="919"/>
      <c r="AB1362" s="1056"/>
      <c r="AC1362" s="912"/>
      <c r="AD1362" s="913"/>
      <c r="AE1362" s="669"/>
      <c r="AF1362" s="718"/>
      <c r="AG1362" s="211"/>
      <c r="AH1362" s="210"/>
    </row>
    <row r="1363" spans="1:34" s="4" customFormat="1">
      <c r="A1363" s="2"/>
      <c r="B1363" s="310" t="s">
        <v>106</v>
      </c>
      <c r="C1363" s="311" t="s">
        <v>33</v>
      </c>
      <c r="D1363" s="687" t="s">
        <v>6391</v>
      </c>
      <c r="E1363" s="688"/>
      <c r="F1363" s="312"/>
      <c r="G1363" s="313"/>
      <c r="H1363" s="624"/>
      <c r="I1363" s="625"/>
      <c r="J1363" s="626"/>
      <c r="K1363" s="627"/>
      <c r="L1363" s="628"/>
      <c r="M1363" s="629"/>
      <c r="N1363" s="627"/>
      <c r="O1363" s="628"/>
      <c r="P1363" s="630" t="s">
        <v>268</v>
      </c>
      <c r="Q1363" s="631"/>
      <c r="R1363" s="715"/>
      <c r="S1363" s="1068"/>
      <c r="T1363" s="1074"/>
      <c r="U1363" s="633" t="s">
        <v>6392</v>
      </c>
      <c r="V1363" s="634">
        <v>45453</v>
      </c>
      <c r="W1363" s="635" t="s">
        <v>84</v>
      </c>
      <c r="X1363" s="636">
        <v>-23426.71</v>
      </c>
      <c r="Y1363" s="636">
        <v>-23426.71</v>
      </c>
      <c r="Z1363" s="733">
        <f t="shared" si="96"/>
        <v>1</v>
      </c>
      <c r="AA1363" s="919"/>
      <c r="AB1363" s="1056"/>
      <c r="AC1363" s="912"/>
      <c r="AD1363" s="913"/>
      <c r="AE1363" s="669"/>
      <c r="AF1363" s="718"/>
      <c r="AG1363" s="211"/>
      <c r="AH1363" s="210"/>
    </row>
    <row r="1364" spans="1:34" s="4" customFormat="1">
      <c r="A1364" s="2"/>
      <c r="B1364" s="310" t="s">
        <v>106</v>
      </c>
      <c r="C1364" s="311" t="s">
        <v>33</v>
      </c>
      <c r="D1364" s="687" t="s">
        <v>6393</v>
      </c>
      <c r="E1364" s="688"/>
      <c r="F1364" s="312"/>
      <c r="G1364" s="313"/>
      <c r="H1364" s="624"/>
      <c r="I1364" s="625"/>
      <c r="J1364" s="626"/>
      <c r="K1364" s="627"/>
      <c r="L1364" s="628"/>
      <c r="M1364" s="629"/>
      <c r="N1364" s="627"/>
      <c r="O1364" s="628"/>
      <c r="P1364" s="630" t="s">
        <v>268</v>
      </c>
      <c r="Q1364" s="631"/>
      <c r="R1364" s="715"/>
      <c r="S1364" s="1068"/>
      <c r="T1364" s="1074"/>
      <c r="U1364" s="633" t="s">
        <v>6394</v>
      </c>
      <c r="V1364" s="634">
        <v>45453</v>
      </c>
      <c r="W1364" s="635" t="s">
        <v>84</v>
      </c>
      <c r="X1364" s="636">
        <v>-663830.39</v>
      </c>
      <c r="Y1364" s="636">
        <v>-663830.39</v>
      </c>
      <c r="Z1364" s="733">
        <f t="shared" si="96"/>
        <v>1</v>
      </c>
      <c r="AA1364" s="919"/>
      <c r="AB1364" s="1056"/>
      <c r="AC1364" s="912"/>
      <c r="AD1364" s="913"/>
      <c r="AE1364" s="669"/>
      <c r="AF1364" s="718"/>
      <c r="AG1364" s="211"/>
      <c r="AH1364" s="210"/>
    </row>
    <row r="1365" spans="1:34" s="4" customFormat="1">
      <c r="A1365" s="2"/>
      <c r="B1365" s="310" t="s">
        <v>115</v>
      </c>
      <c r="C1365" s="311"/>
      <c r="D1365" s="687" t="s">
        <v>6395</v>
      </c>
      <c r="E1365" s="688"/>
      <c r="F1365" s="312" t="s">
        <v>6396</v>
      </c>
      <c r="G1365" s="313"/>
      <c r="H1365" s="624"/>
      <c r="I1365" s="625"/>
      <c r="J1365" s="626"/>
      <c r="K1365" s="627"/>
      <c r="L1365" s="628"/>
      <c r="M1365" s="629"/>
      <c r="N1365" s="627"/>
      <c r="O1365" s="628"/>
      <c r="P1365" s="630"/>
      <c r="Q1365" s="631"/>
      <c r="R1365" s="715"/>
      <c r="S1365" s="990"/>
      <c r="T1365" s="632"/>
      <c r="U1365" s="633"/>
      <c r="V1365" s="634"/>
      <c r="W1365" s="635"/>
      <c r="X1365" s="636"/>
      <c r="Y1365" s="637"/>
      <c r="Z1365" s="733"/>
      <c r="AA1365" s="919"/>
      <c r="AB1365" s="1056"/>
      <c r="AC1365" s="912"/>
      <c r="AD1365" s="913"/>
      <c r="AE1365" s="669"/>
      <c r="AF1365" s="718"/>
      <c r="AG1365" s="211"/>
      <c r="AH1365" s="210"/>
    </row>
    <row r="1366" spans="1:34" s="4" customFormat="1">
      <c r="A1366" s="2"/>
      <c r="B1366" s="310" t="s">
        <v>71</v>
      </c>
      <c r="C1366" s="311" t="s">
        <v>27</v>
      </c>
      <c r="D1366" s="687" t="s">
        <v>6397</v>
      </c>
      <c r="E1366" s="688"/>
      <c r="F1366" s="312" t="s">
        <v>6398</v>
      </c>
      <c r="G1366" s="313"/>
      <c r="H1366" s="624"/>
      <c r="I1366" s="625"/>
      <c r="J1366" s="626"/>
      <c r="K1366" s="627"/>
      <c r="L1366" s="628"/>
      <c r="M1366" s="629"/>
      <c r="N1366" s="627"/>
      <c r="O1366" s="628"/>
      <c r="P1366" s="630"/>
      <c r="Q1366" s="631"/>
      <c r="R1366" s="715"/>
      <c r="S1366" s="990"/>
      <c r="T1366" s="632"/>
      <c r="U1366" s="633"/>
      <c r="V1366" s="634"/>
      <c r="W1366" s="635"/>
      <c r="X1366" s="636"/>
      <c r="Y1366" s="637"/>
      <c r="Z1366" s="733"/>
      <c r="AA1366" s="919"/>
      <c r="AB1366" s="1056"/>
      <c r="AC1366" s="912"/>
      <c r="AD1366" s="913"/>
      <c r="AE1366" s="669"/>
      <c r="AF1366" s="718"/>
      <c r="AG1366" s="211"/>
      <c r="AH1366" s="210"/>
    </row>
    <row r="1367" spans="1:34" s="4" customFormat="1">
      <c r="A1367" s="2"/>
      <c r="B1367" s="310" t="s">
        <v>115</v>
      </c>
      <c r="C1367" s="311" t="s">
        <v>27</v>
      </c>
      <c r="D1367" s="687" t="s">
        <v>6399</v>
      </c>
      <c r="E1367" s="688"/>
      <c r="F1367" s="312" t="s">
        <v>6400</v>
      </c>
      <c r="G1367" s="313"/>
      <c r="H1367" s="624"/>
      <c r="I1367" s="625"/>
      <c r="J1367" s="626"/>
      <c r="K1367" s="627"/>
      <c r="L1367" s="628"/>
      <c r="M1367" s="629"/>
      <c r="N1367" s="627"/>
      <c r="O1367" s="628"/>
      <c r="P1367" s="630"/>
      <c r="Q1367" s="631"/>
      <c r="R1367" s="715"/>
      <c r="S1367" s="990"/>
      <c r="T1367" s="632"/>
      <c r="U1367" s="633"/>
      <c r="V1367" s="634"/>
      <c r="W1367" s="635"/>
      <c r="X1367" s="636"/>
      <c r="Y1367" s="637"/>
      <c r="Z1367" s="733"/>
      <c r="AA1367" s="919"/>
      <c r="AB1367" s="1056"/>
      <c r="AC1367" s="912"/>
      <c r="AD1367" s="913"/>
      <c r="AE1367" s="669"/>
      <c r="AF1367" s="718"/>
      <c r="AG1367" s="211"/>
      <c r="AH1367" s="210"/>
    </row>
    <row r="1368" spans="1:34" s="4" customFormat="1">
      <c r="A1368" s="2"/>
      <c r="B1368" s="310" t="s">
        <v>106</v>
      </c>
      <c r="C1368" s="311" t="s">
        <v>33</v>
      </c>
      <c r="D1368" s="687" t="s">
        <v>6401</v>
      </c>
      <c r="E1368" s="688"/>
      <c r="F1368" s="312" t="s">
        <v>6402</v>
      </c>
      <c r="G1368" s="313"/>
      <c r="H1368" s="624"/>
      <c r="I1368" s="625"/>
      <c r="J1368" s="626"/>
      <c r="K1368" s="627" t="s">
        <v>6403</v>
      </c>
      <c r="L1368" s="628">
        <v>45462</v>
      </c>
      <c r="M1368" s="629">
        <v>1200</v>
      </c>
      <c r="N1368" s="627" t="s">
        <v>6404</v>
      </c>
      <c r="O1368" s="628">
        <v>45463</v>
      </c>
      <c r="P1368" s="630" t="s">
        <v>6405</v>
      </c>
      <c r="Q1368" s="631">
        <v>45468</v>
      </c>
      <c r="R1368" s="715"/>
      <c r="S1368" s="1068"/>
      <c r="T1368" s="1074">
        <v>11805.01</v>
      </c>
      <c r="U1368" s="633" t="s">
        <v>6406</v>
      </c>
      <c r="V1368" s="634">
        <v>45499</v>
      </c>
      <c r="W1368" s="635" t="s">
        <v>2302</v>
      </c>
      <c r="X1368" s="636">
        <v>11805.01</v>
      </c>
      <c r="Y1368" s="1058">
        <v>0</v>
      </c>
      <c r="Z1368" s="1060">
        <f t="shared" ref="Z1368:Z1369" si="97">Y1368/X1368</f>
        <v>0</v>
      </c>
      <c r="AA1368" s="919"/>
      <c r="AB1368" s="1056"/>
      <c r="AC1368" s="912"/>
      <c r="AD1368" s="913"/>
      <c r="AE1368" s="669"/>
      <c r="AF1368" s="718"/>
      <c r="AG1368" s="211"/>
      <c r="AH1368" s="210"/>
    </row>
    <row r="1369" spans="1:34" s="4" customFormat="1">
      <c r="A1369" s="2"/>
      <c r="B1369" s="310" t="s">
        <v>106</v>
      </c>
      <c r="C1369" s="311" t="s">
        <v>33</v>
      </c>
      <c r="D1369" s="687" t="s">
        <v>6407</v>
      </c>
      <c r="E1369" s="688"/>
      <c r="F1369" s="312" t="s">
        <v>6408</v>
      </c>
      <c r="G1369" s="313"/>
      <c r="H1369" s="624"/>
      <c r="I1369" s="625"/>
      <c r="J1369" s="626"/>
      <c r="K1369" s="627"/>
      <c r="L1369" s="628"/>
      <c r="M1369" s="629"/>
      <c r="N1369" s="627"/>
      <c r="O1369" s="628"/>
      <c r="P1369" s="630" t="s">
        <v>6409</v>
      </c>
      <c r="Q1369" s="631">
        <v>45470</v>
      </c>
      <c r="R1369" s="715"/>
      <c r="S1369" s="1068"/>
      <c r="T1369" s="1074">
        <v>55073.45</v>
      </c>
      <c r="U1369" s="633" t="s">
        <v>6410</v>
      </c>
      <c r="V1369" s="634">
        <v>45497</v>
      </c>
      <c r="W1369" s="635" t="s">
        <v>2302</v>
      </c>
      <c r="X1369" s="636">
        <v>55073.45</v>
      </c>
      <c r="Y1369" s="1058">
        <v>0</v>
      </c>
      <c r="Z1369" s="1060">
        <f t="shared" si="97"/>
        <v>0</v>
      </c>
      <c r="AA1369" s="919"/>
      <c r="AB1369" s="1056"/>
      <c r="AC1369" s="912"/>
      <c r="AD1369" s="913"/>
      <c r="AE1369" s="669"/>
      <c r="AF1369" s="718"/>
      <c r="AG1369" s="211"/>
      <c r="AH1369" s="210"/>
    </row>
    <row r="1370" spans="1:34" s="4" customFormat="1">
      <c r="A1370" s="2"/>
      <c r="B1370" s="310" t="s">
        <v>115</v>
      </c>
      <c r="C1370" s="311" t="s">
        <v>27</v>
      </c>
      <c r="D1370" s="687" t="s">
        <v>6411</v>
      </c>
      <c r="E1370" s="688"/>
      <c r="F1370" s="312" t="s">
        <v>6412</v>
      </c>
      <c r="G1370" s="313"/>
      <c r="H1370" s="624"/>
      <c r="I1370" s="625"/>
      <c r="J1370" s="626"/>
      <c r="K1370" s="627"/>
      <c r="L1370" s="628"/>
      <c r="M1370" s="629"/>
      <c r="N1370" s="627"/>
      <c r="O1370" s="628"/>
      <c r="P1370" s="630"/>
      <c r="Q1370" s="631"/>
      <c r="R1370" s="715"/>
      <c r="S1370" s="990"/>
      <c r="T1370" s="632"/>
      <c r="U1370" s="633" t="s">
        <v>6413</v>
      </c>
      <c r="V1370" s="634"/>
      <c r="W1370" s="635"/>
      <c r="X1370" s="636"/>
      <c r="Y1370" s="637"/>
      <c r="Z1370" s="733" t="s">
        <v>268</v>
      </c>
      <c r="AA1370" s="919"/>
      <c r="AB1370" s="1056"/>
      <c r="AC1370" s="912"/>
      <c r="AD1370" s="913"/>
      <c r="AE1370" s="669"/>
      <c r="AF1370" s="718"/>
      <c r="AG1370" s="211"/>
      <c r="AH1370" s="210"/>
    </row>
    <row r="1371" spans="1:34" s="4" customFormat="1">
      <c r="A1371" s="2"/>
      <c r="B1371" s="310" t="s">
        <v>106</v>
      </c>
      <c r="C1371" s="311" t="s">
        <v>33</v>
      </c>
      <c r="D1371" s="687" t="s">
        <v>6414</v>
      </c>
      <c r="E1371" s="688"/>
      <c r="F1371" s="312"/>
      <c r="G1371" s="313"/>
      <c r="H1371" s="624"/>
      <c r="I1371" s="625"/>
      <c r="J1371" s="626"/>
      <c r="K1371" s="627" t="s">
        <v>6415</v>
      </c>
      <c r="L1371" s="628"/>
      <c r="M1371" s="629">
        <v>-45000</v>
      </c>
      <c r="N1371" s="627"/>
      <c r="O1371" s="628"/>
      <c r="P1371" s="630" t="s">
        <v>6416</v>
      </c>
      <c r="Q1371" s="631">
        <v>45470</v>
      </c>
      <c r="R1371" s="715"/>
      <c r="S1371" s="1068"/>
      <c r="T1371" s="1074">
        <v>-45000</v>
      </c>
      <c r="U1371" s="633" t="s">
        <v>6417</v>
      </c>
      <c r="V1371" s="634">
        <v>45499</v>
      </c>
      <c r="W1371" s="635" t="s">
        <v>2302</v>
      </c>
      <c r="X1371" s="636">
        <v>-45000</v>
      </c>
      <c r="Y1371" s="1058">
        <v>0</v>
      </c>
      <c r="Z1371" s="1060">
        <f>Y1371/X1371</f>
        <v>0</v>
      </c>
      <c r="AA1371" s="919"/>
      <c r="AB1371" s="1056"/>
      <c r="AC1371" s="912"/>
      <c r="AD1371" s="913"/>
      <c r="AE1371" s="669"/>
      <c r="AF1371" s="718"/>
      <c r="AG1371" s="211"/>
      <c r="AH1371" s="210"/>
    </row>
    <row r="1372" spans="1:34" s="4" customFormat="1">
      <c r="A1372" s="2"/>
      <c r="B1372" s="310" t="s">
        <v>115</v>
      </c>
      <c r="C1372" s="311" t="s">
        <v>27</v>
      </c>
      <c r="D1372" s="687" t="s">
        <v>6418</v>
      </c>
      <c r="E1372" s="688"/>
      <c r="F1372" s="312" t="s">
        <v>6419</v>
      </c>
      <c r="G1372" s="313"/>
      <c r="H1372" s="624"/>
      <c r="I1372" s="625"/>
      <c r="J1372" s="626"/>
      <c r="K1372" s="627"/>
      <c r="L1372" s="628"/>
      <c r="M1372" s="629"/>
      <c r="N1372" s="627"/>
      <c r="O1372" s="628"/>
      <c r="P1372" s="630"/>
      <c r="Q1372" s="631"/>
      <c r="R1372" s="715"/>
      <c r="S1372" s="990"/>
      <c r="T1372" s="632"/>
      <c r="U1372" s="633"/>
      <c r="V1372" s="634"/>
      <c r="W1372" s="635"/>
      <c r="X1372" s="636"/>
      <c r="Y1372" s="637"/>
      <c r="Z1372" s="733"/>
      <c r="AA1372" s="919"/>
      <c r="AB1372" s="1056"/>
      <c r="AC1372" s="912"/>
      <c r="AD1372" s="913"/>
      <c r="AE1372" s="669"/>
      <c r="AF1372" s="718"/>
      <c r="AG1372" s="211"/>
      <c r="AH1372" s="210"/>
    </row>
    <row r="1373" spans="1:34" s="4" customFormat="1">
      <c r="A1373" s="2"/>
      <c r="B1373" s="310" t="s">
        <v>71</v>
      </c>
      <c r="C1373" s="311" t="s">
        <v>27</v>
      </c>
      <c r="D1373" s="687" t="s">
        <v>6420</v>
      </c>
      <c r="E1373" s="688"/>
      <c r="F1373" s="312" t="s">
        <v>6421</v>
      </c>
      <c r="G1373" s="313"/>
      <c r="H1373" s="624"/>
      <c r="I1373" s="625"/>
      <c r="J1373" s="626"/>
      <c r="K1373" s="627"/>
      <c r="L1373" s="628"/>
      <c r="M1373" s="629"/>
      <c r="N1373" s="627"/>
      <c r="O1373" s="628"/>
      <c r="P1373" s="630"/>
      <c r="Q1373" s="631"/>
      <c r="R1373" s="715"/>
      <c r="S1373" s="990"/>
      <c r="T1373" s="632"/>
      <c r="U1373" s="633"/>
      <c r="V1373" s="634"/>
      <c r="W1373" s="635"/>
      <c r="X1373" s="636"/>
      <c r="Y1373" s="637"/>
      <c r="Z1373" s="733"/>
      <c r="AA1373" s="919"/>
      <c r="AB1373" s="1056"/>
      <c r="AC1373" s="912"/>
      <c r="AD1373" s="913"/>
      <c r="AE1373" s="669"/>
      <c r="AF1373" s="718"/>
      <c r="AG1373" s="211"/>
      <c r="AH1373" s="210"/>
    </row>
    <row r="1374" spans="1:34" s="4" customFormat="1">
      <c r="A1374" s="2"/>
      <c r="B1374" s="310" t="s">
        <v>115</v>
      </c>
      <c r="C1374" s="311" t="s">
        <v>33</v>
      </c>
      <c r="D1374" s="687" t="s">
        <v>6422</v>
      </c>
      <c r="E1374" s="688"/>
      <c r="F1374" s="312" t="s">
        <v>6423</v>
      </c>
      <c r="G1374" s="313"/>
      <c r="H1374" s="624"/>
      <c r="I1374" s="625"/>
      <c r="J1374" s="626"/>
      <c r="K1374" s="627" t="s">
        <v>6424</v>
      </c>
      <c r="L1374" s="628"/>
      <c r="M1374" s="629"/>
      <c r="N1374" s="627"/>
      <c r="O1374" s="628"/>
      <c r="P1374" s="630"/>
      <c r="Q1374" s="631"/>
      <c r="R1374" s="715"/>
      <c r="S1374" s="990"/>
      <c r="T1374" s="632"/>
      <c r="U1374" s="633"/>
      <c r="V1374" s="634"/>
      <c r="W1374" s="635"/>
      <c r="X1374" s="636"/>
      <c r="Y1374" s="637"/>
      <c r="Z1374" s="733"/>
      <c r="AA1374" s="919"/>
      <c r="AB1374" s="1056"/>
      <c r="AC1374" s="912"/>
      <c r="AD1374" s="913"/>
      <c r="AE1374" s="669"/>
      <c r="AF1374" s="718"/>
      <c r="AG1374" s="211"/>
      <c r="AH1374" s="210"/>
    </row>
    <row r="1375" spans="1:34" s="4" customFormat="1">
      <c r="A1375" s="2"/>
      <c r="B1375" s="310" t="s">
        <v>115</v>
      </c>
      <c r="C1375" s="311" t="s">
        <v>27</v>
      </c>
      <c r="D1375" s="687" t="s">
        <v>6425</v>
      </c>
      <c r="E1375" s="688"/>
      <c r="F1375" s="312" t="s">
        <v>6426</v>
      </c>
      <c r="G1375" s="313"/>
      <c r="H1375" s="624"/>
      <c r="I1375" s="625"/>
      <c r="J1375" s="626"/>
      <c r="K1375" s="627"/>
      <c r="L1375" s="628"/>
      <c r="M1375" s="629"/>
      <c r="N1375" s="627"/>
      <c r="O1375" s="628"/>
      <c r="P1375" s="630"/>
      <c r="Q1375" s="631"/>
      <c r="R1375" s="715"/>
      <c r="S1375" s="990"/>
      <c r="T1375" s="632"/>
      <c r="U1375" s="633"/>
      <c r="V1375" s="634"/>
      <c r="W1375" s="635"/>
      <c r="X1375" s="636"/>
      <c r="Y1375" s="637"/>
      <c r="Z1375" s="733"/>
      <c r="AA1375" s="919"/>
      <c r="AB1375" s="1056"/>
      <c r="AC1375" s="912"/>
      <c r="AD1375" s="913"/>
      <c r="AE1375" s="669"/>
      <c r="AF1375" s="718"/>
      <c r="AG1375" s="211"/>
      <c r="AH1375" s="210"/>
    </row>
    <row r="1376" spans="1:34" s="4" customFormat="1">
      <c r="A1376" s="2"/>
      <c r="B1376" s="310" t="s">
        <v>115</v>
      </c>
      <c r="C1376" s="311" t="s">
        <v>27</v>
      </c>
      <c r="D1376" s="687" t="s">
        <v>6427</v>
      </c>
      <c r="E1376" s="688"/>
      <c r="F1376" s="312" t="s">
        <v>6428</v>
      </c>
      <c r="G1376" s="313"/>
      <c r="H1376" s="624"/>
      <c r="I1376" s="625"/>
      <c r="J1376" s="626"/>
      <c r="K1376" s="627"/>
      <c r="L1376" s="628"/>
      <c r="M1376" s="629"/>
      <c r="N1376" s="627"/>
      <c r="O1376" s="628"/>
      <c r="P1376" s="630"/>
      <c r="Q1376" s="631"/>
      <c r="R1376" s="715"/>
      <c r="S1376" s="990"/>
      <c r="T1376" s="632"/>
      <c r="U1376" s="633"/>
      <c r="V1376" s="634"/>
      <c r="W1376" s="635"/>
      <c r="X1376" s="636"/>
      <c r="Y1376" s="637"/>
      <c r="Z1376" s="733"/>
      <c r="AA1376" s="919"/>
      <c r="AB1376" s="1056"/>
      <c r="AC1376" s="912"/>
      <c r="AD1376" s="913"/>
      <c r="AE1376" s="669"/>
      <c r="AF1376" s="718"/>
      <c r="AG1376" s="211"/>
      <c r="AH1376" s="210"/>
    </row>
    <row r="1377" spans="1:34" s="4" customFormat="1">
      <c r="A1377" s="2"/>
      <c r="B1377" s="310" t="s">
        <v>106</v>
      </c>
      <c r="C1377" s="311" t="s">
        <v>33</v>
      </c>
      <c r="D1377" s="687" t="s">
        <v>6429</v>
      </c>
      <c r="E1377" s="688"/>
      <c r="F1377" s="312"/>
      <c r="G1377" s="313"/>
      <c r="H1377" s="624"/>
      <c r="I1377" s="625"/>
      <c r="J1377" s="626"/>
      <c r="K1377" s="627"/>
      <c r="L1377" s="628"/>
      <c r="M1377" s="629"/>
      <c r="N1377" s="627"/>
      <c r="O1377" s="628"/>
      <c r="P1377" s="630" t="s">
        <v>268</v>
      </c>
      <c r="Q1377" s="631"/>
      <c r="R1377" s="715"/>
      <c r="S1377" s="1068"/>
      <c r="T1377" s="1074"/>
      <c r="U1377" s="633" t="s">
        <v>6430</v>
      </c>
      <c r="V1377" s="634">
        <v>45491</v>
      </c>
      <c r="W1377" s="635" t="s">
        <v>70</v>
      </c>
      <c r="X1377" s="636">
        <v>3600000</v>
      </c>
      <c r="Y1377" s="1058">
        <v>0</v>
      </c>
      <c r="Z1377" s="1060">
        <f t="shared" ref="Z1377:Z1382" si="98">Y1377/X1377</f>
        <v>0</v>
      </c>
      <c r="AA1377" s="1065">
        <v>3600000</v>
      </c>
      <c r="AB1377" s="1056"/>
      <c r="AC1377" s="912"/>
      <c r="AD1377" s="913"/>
      <c r="AE1377" s="669"/>
      <c r="AF1377" s="718"/>
      <c r="AG1377" s="211"/>
      <c r="AH1377" s="210"/>
    </row>
    <row r="1378" spans="1:34" s="4" customFormat="1">
      <c r="A1378" s="2"/>
      <c r="B1378" s="310" t="s">
        <v>106</v>
      </c>
      <c r="C1378" s="311" t="s">
        <v>33</v>
      </c>
      <c r="D1378" s="687" t="s">
        <v>6431</v>
      </c>
      <c r="E1378" s="688"/>
      <c r="F1378" s="312"/>
      <c r="G1378" s="313"/>
      <c r="H1378" s="624"/>
      <c r="I1378" s="625"/>
      <c r="J1378" s="626"/>
      <c r="K1378" s="627" t="s">
        <v>6432</v>
      </c>
      <c r="L1378" s="628"/>
      <c r="M1378" s="629"/>
      <c r="N1378" s="627" t="s">
        <v>6433</v>
      </c>
      <c r="O1378" s="628"/>
      <c r="P1378" s="630" t="s">
        <v>6434</v>
      </c>
      <c r="Q1378" s="631">
        <v>45488</v>
      </c>
      <c r="R1378" s="715"/>
      <c r="S1378" s="1068"/>
      <c r="T1378" s="1074">
        <v>274129.32</v>
      </c>
      <c r="U1378" s="633" t="s">
        <v>6435</v>
      </c>
      <c r="V1378" s="634">
        <v>45502</v>
      </c>
      <c r="W1378" s="635" t="s">
        <v>70</v>
      </c>
      <c r="X1378" s="636">
        <v>274129.32</v>
      </c>
      <c r="Y1378" s="1058">
        <v>0</v>
      </c>
      <c r="Z1378" s="1060">
        <f t="shared" si="98"/>
        <v>0</v>
      </c>
      <c r="AA1378" s="919"/>
      <c r="AB1378" s="1056"/>
      <c r="AC1378" s="912"/>
      <c r="AD1378" s="913"/>
      <c r="AE1378" s="669"/>
      <c r="AF1378" s="718"/>
      <c r="AG1378" s="211"/>
      <c r="AH1378" s="210"/>
    </row>
    <row r="1379" spans="1:34" s="4" customFormat="1">
      <c r="A1379" s="2"/>
      <c r="B1379" s="310" t="s">
        <v>106</v>
      </c>
      <c r="C1379" s="311" t="s">
        <v>33</v>
      </c>
      <c r="D1379" s="687" t="s">
        <v>6436</v>
      </c>
      <c r="E1379" s="688"/>
      <c r="F1379" s="312"/>
      <c r="G1379" s="313"/>
      <c r="H1379" s="624"/>
      <c r="I1379" s="625"/>
      <c r="J1379" s="626"/>
      <c r="K1379" s="627" t="s">
        <v>6437</v>
      </c>
      <c r="L1379" s="628"/>
      <c r="M1379" s="629"/>
      <c r="N1379" s="627" t="s">
        <v>6438</v>
      </c>
      <c r="O1379" s="628"/>
      <c r="P1379" s="630" t="s">
        <v>6439</v>
      </c>
      <c r="Q1379" s="631">
        <v>45511</v>
      </c>
      <c r="R1379" s="715"/>
      <c r="S1379" s="1068"/>
      <c r="T1379" s="1074">
        <v>86856.63</v>
      </c>
      <c r="U1379" s="633" t="s">
        <v>6440</v>
      </c>
      <c r="V1379" s="634">
        <v>45519</v>
      </c>
      <c r="W1379" s="635" t="s">
        <v>2302</v>
      </c>
      <c r="X1379" s="636">
        <v>86856.63</v>
      </c>
      <c r="Y1379" s="1058">
        <v>0</v>
      </c>
      <c r="Z1379" s="1060">
        <f t="shared" si="98"/>
        <v>0</v>
      </c>
      <c r="AA1379" s="919"/>
      <c r="AB1379" s="1056"/>
      <c r="AC1379" s="912"/>
      <c r="AD1379" s="913"/>
      <c r="AE1379" s="669"/>
      <c r="AF1379" s="718"/>
      <c r="AG1379" s="211"/>
      <c r="AH1379" s="210"/>
    </row>
    <row r="1380" spans="1:34" s="4" customFormat="1">
      <c r="A1380" s="2"/>
      <c r="B1380" s="310" t="s">
        <v>106</v>
      </c>
      <c r="C1380" s="311" t="s">
        <v>33</v>
      </c>
      <c r="D1380" s="687" t="s">
        <v>6441</v>
      </c>
      <c r="E1380" s="688"/>
      <c r="F1380" s="312"/>
      <c r="G1380" s="313"/>
      <c r="H1380" s="624"/>
      <c r="I1380" s="625"/>
      <c r="J1380" s="626"/>
      <c r="K1380" s="627" t="s">
        <v>6442</v>
      </c>
      <c r="L1380" s="628"/>
      <c r="M1380" s="629"/>
      <c r="N1380" s="627" t="s">
        <v>6443</v>
      </c>
      <c r="O1380" s="628"/>
      <c r="P1380" s="630" t="s">
        <v>6444</v>
      </c>
      <c r="Q1380" s="631"/>
      <c r="R1380" s="715"/>
      <c r="S1380" s="1068"/>
      <c r="T1380" s="632"/>
      <c r="U1380" s="633" t="s">
        <v>6445</v>
      </c>
      <c r="V1380" s="634">
        <v>45527</v>
      </c>
      <c r="W1380" s="635" t="s">
        <v>96</v>
      </c>
      <c r="X1380" s="636">
        <v>25756.39</v>
      </c>
      <c r="Y1380" s="1058">
        <v>0</v>
      </c>
      <c r="Z1380" s="1060">
        <f t="shared" si="98"/>
        <v>0</v>
      </c>
      <c r="AA1380" s="919"/>
      <c r="AB1380" s="1056"/>
      <c r="AC1380" s="912"/>
      <c r="AD1380" s="913"/>
      <c r="AE1380" s="669"/>
      <c r="AF1380" s="718"/>
      <c r="AG1380" s="211"/>
      <c r="AH1380" s="210"/>
    </row>
    <row r="1381" spans="1:34" s="4" customFormat="1">
      <c r="A1381" s="2"/>
      <c r="B1381" s="310" t="s">
        <v>106</v>
      </c>
      <c r="C1381" s="311" t="s">
        <v>33</v>
      </c>
      <c r="D1381" s="687" t="s">
        <v>6446</v>
      </c>
      <c r="E1381" s="688"/>
      <c r="F1381" s="312"/>
      <c r="G1381" s="313"/>
      <c r="H1381" s="624"/>
      <c r="I1381" s="625"/>
      <c r="J1381" s="626"/>
      <c r="K1381" s="627" t="s">
        <v>6447</v>
      </c>
      <c r="L1381" s="628"/>
      <c r="M1381" s="629"/>
      <c r="N1381" s="627" t="s">
        <v>6448</v>
      </c>
      <c r="O1381" s="628"/>
      <c r="P1381" s="630" t="s">
        <v>6449</v>
      </c>
      <c r="Q1381" s="631"/>
      <c r="R1381" s="715"/>
      <c r="S1381" s="1068"/>
      <c r="T1381" s="632"/>
      <c r="U1381" s="633" t="s">
        <v>6450</v>
      </c>
      <c r="V1381" s="634">
        <v>45538</v>
      </c>
      <c r="W1381" s="635" t="s">
        <v>2302</v>
      </c>
      <c r="X1381" s="636">
        <v>3664.38</v>
      </c>
      <c r="Y1381" s="1058">
        <v>0</v>
      </c>
      <c r="Z1381" s="1060">
        <f t="shared" si="98"/>
        <v>0</v>
      </c>
      <c r="AA1381" s="919"/>
      <c r="AB1381" s="1056"/>
      <c r="AC1381" s="912"/>
      <c r="AD1381" s="913"/>
      <c r="AE1381" s="669"/>
      <c r="AF1381" s="718"/>
      <c r="AG1381" s="211"/>
      <c r="AH1381" s="210"/>
    </row>
    <row r="1382" spans="1:34" s="4" customFormat="1">
      <c r="A1382" s="2"/>
      <c r="B1382" s="310" t="s">
        <v>106</v>
      </c>
      <c r="C1382" s="311" t="s">
        <v>33</v>
      </c>
      <c r="D1382" s="687" t="s">
        <v>6451</v>
      </c>
      <c r="E1382" s="688"/>
      <c r="F1382" s="312"/>
      <c r="G1382" s="313"/>
      <c r="H1382" s="624"/>
      <c r="I1382" s="625"/>
      <c r="J1382" s="626"/>
      <c r="K1382" s="627" t="s">
        <v>6452</v>
      </c>
      <c r="L1382" s="628">
        <v>45517</v>
      </c>
      <c r="M1382" s="629">
        <v>20000</v>
      </c>
      <c r="N1382" s="627" t="s">
        <v>6453</v>
      </c>
      <c r="O1382" s="628">
        <v>45559</v>
      </c>
      <c r="P1382" s="630" t="s">
        <v>6454</v>
      </c>
      <c r="Q1382" s="631">
        <v>45559</v>
      </c>
      <c r="R1382" s="715"/>
      <c r="S1382" s="1068"/>
      <c r="T1382" s="1074">
        <v>11152.11</v>
      </c>
      <c r="U1382" s="633" t="s">
        <v>6455</v>
      </c>
      <c r="V1382" s="634">
        <v>45561</v>
      </c>
      <c r="W1382" s="635" t="s">
        <v>2302</v>
      </c>
      <c r="X1382" s="636">
        <v>11152.11</v>
      </c>
      <c r="Y1382" s="1058">
        <v>0</v>
      </c>
      <c r="Z1382" s="1060">
        <f t="shared" si="98"/>
        <v>0</v>
      </c>
      <c r="AA1382" s="919"/>
      <c r="AB1382" s="1056"/>
      <c r="AC1382" s="912"/>
      <c r="AD1382" s="913"/>
      <c r="AE1382" s="669"/>
      <c r="AF1382" s="718"/>
      <c r="AG1382" s="211"/>
      <c r="AH1382" s="210"/>
    </row>
    <row r="1383" spans="1:34" s="4" customFormat="1">
      <c r="A1383" s="2"/>
      <c r="B1383" s="310" t="s">
        <v>106</v>
      </c>
      <c r="C1383" s="311" t="s">
        <v>33</v>
      </c>
      <c r="D1383" s="687" t="s">
        <v>6456</v>
      </c>
      <c r="E1383" s="688"/>
      <c r="F1383" s="312"/>
      <c r="G1383" s="313"/>
      <c r="H1383" s="624" t="s">
        <v>6457</v>
      </c>
      <c r="I1383" s="625">
        <v>45546</v>
      </c>
      <c r="J1383" s="626">
        <v>25000</v>
      </c>
      <c r="K1383" s="627" t="s">
        <v>6458</v>
      </c>
      <c r="L1383" s="628">
        <v>45546</v>
      </c>
      <c r="M1383" s="629">
        <v>25000</v>
      </c>
      <c r="N1383" s="627" t="s">
        <v>6459</v>
      </c>
      <c r="O1383" s="628">
        <v>45546</v>
      </c>
      <c r="P1383" s="630" t="s">
        <v>6460</v>
      </c>
      <c r="Q1383" s="631">
        <v>45547</v>
      </c>
      <c r="R1383" s="715"/>
      <c r="S1383" s="1068"/>
      <c r="T1383" s="632">
        <v>27978.59</v>
      </c>
      <c r="U1383" s="633" t="s">
        <v>6461</v>
      </c>
      <c r="V1383" s="634">
        <v>45567</v>
      </c>
      <c r="W1383" s="635" t="s">
        <v>96</v>
      </c>
      <c r="X1383" s="636">
        <v>27978.59</v>
      </c>
      <c r="Y1383" s="637"/>
      <c r="Z1383" s="733"/>
      <c r="AA1383" s="919"/>
      <c r="AB1383" s="1056"/>
      <c r="AC1383" s="912"/>
      <c r="AD1383" s="913"/>
      <c r="AE1383" s="669"/>
      <c r="AF1383" s="718"/>
      <c r="AG1383" s="211"/>
      <c r="AH1383" s="210"/>
    </row>
    <row r="1384" spans="1:34" s="4" customFormat="1">
      <c r="A1384" s="2"/>
      <c r="B1384" s="310" t="s">
        <v>106</v>
      </c>
      <c r="C1384" s="311" t="s">
        <v>33</v>
      </c>
      <c r="D1384" s="687" t="s">
        <v>6462</v>
      </c>
      <c r="E1384" s="688"/>
      <c r="F1384" s="312"/>
      <c r="G1384" s="313"/>
      <c r="H1384" s="624"/>
      <c r="I1384" s="625"/>
      <c r="J1384" s="626"/>
      <c r="K1384" s="627" t="s">
        <v>6463</v>
      </c>
      <c r="L1384" s="628">
        <v>45548</v>
      </c>
      <c r="M1384" s="629">
        <v>111356.25</v>
      </c>
      <c r="N1384" s="627" t="s">
        <v>6464</v>
      </c>
      <c r="O1384" s="628">
        <v>45548</v>
      </c>
      <c r="P1384" s="630" t="s">
        <v>6465</v>
      </c>
      <c r="Q1384" s="631"/>
      <c r="R1384" s="715"/>
      <c r="S1384" s="990"/>
      <c r="T1384" s="632">
        <v>274840.05</v>
      </c>
      <c r="U1384" s="633" t="s">
        <v>6466</v>
      </c>
      <c r="V1384" s="634">
        <v>45595</v>
      </c>
      <c r="W1384" s="635" t="s">
        <v>109</v>
      </c>
      <c r="X1384" s="636">
        <v>274840.05</v>
      </c>
      <c r="Y1384" s="637"/>
      <c r="Z1384" s="733"/>
      <c r="AA1384" s="919"/>
      <c r="AB1384" s="1056"/>
      <c r="AC1384" s="912"/>
      <c r="AD1384" s="913"/>
      <c r="AE1384" s="669"/>
      <c r="AF1384" s="718"/>
      <c r="AG1384" s="211"/>
      <c r="AH1384" s="210"/>
    </row>
    <row r="1385" spans="1:34" s="4" customFormat="1">
      <c r="A1385" s="2"/>
      <c r="B1385" s="310" t="s">
        <v>106</v>
      </c>
      <c r="C1385" s="311" t="s">
        <v>33</v>
      </c>
      <c r="D1385" s="687" t="s">
        <v>6467</v>
      </c>
      <c r="E1385" s="688"/>
      <c r="F1385" s="312"/>
      <c r="G1385" s="313"/>
      <c r="H1385" s="624"/>
      <c r="I1385" s="625"/>
      <c r="J1385" s="626"/>
      <c r="K1385" s="627" t="s">
        <v>6468</v>
      </c>
      <c r="L1385" s="628">
        <v>45555</v>
      </c>
      <c r="M1385" s="629">
        <v>16500</v>
      </c>
      <c r="N1385" s="627" t="s">
        <v>6469</v>
      </c>
      <c r="O1385" s="628">
        <v>45555</v>
      </c>
      <c r="P1385" s="630" t="s">
        <v>6470</v>
      </c>
      <c r="Q1385" s="631">
        <v>45572</v>
      </c>
      <c r="R1385" s="715"/>
      <c r="S1385" s="990"/>
      <c r="T1385" s="1074">
        <v>50550.99</v>
      </c>
      <c r="U1385" s="633" t="s">
        <v>6471</v>
      </c>
      <c r="V1385" s="634">
        <v>45573</v>
      </c>
      <c r="W1385" s="635" t="s">
        <v>2302</v>
      </c>
      <c r="X1385" s="636">
        <v>50550.99</v>
      </c>
      <c r="Y1385" s="637"/>
      <c r="Z1385" s="733"/>
      <c r="AA1385" s="919"/>
      <c r="AB1385" s="1056"/>
      <c r="AC1385" s="912"/>
      <c r="AD1385" s="913"/>
      <c r="AE1385" s="669"/>
      <c r="AF1385" s="718"/>
      <c r="AG1385" s="211"/>
      <c r="AH1385" s="210"/>
    </row>
    <row r="1386" spans="1:34" s="4" customFormat="1">
      <c r="A1386" s="2"/>
      <c r="B1386" s="310" t="s">
        <v>106</v>
      </c>
      <c r="C1386" s="311" t="s">
        <v>33</v>
      </c>
      <c r="D1386" s="687" t="s">
        <v>6472</v>
      </c>
      <c r="E1386" s="688"/>
      <c r="F1386" s="312"/>
      <c r="G1386" s="313"/>
      <c r="H1386" s="624"/>
      <c r="I1386" s="625"/>
      <c r="J1386" s="626"/>
      <c r="K1386" s="627" t="s">
        <v>6366</v>
      </c>
      <c r="L1386" s="628">
        <v>45399</v>
      </c>
      <c r="M1386" s="629">
        <v>170000</v>
      </c>
      <c r="N1386" s="627" t="s">
        <v>6473</v>
      </c>
      <c r="O1386" s="628">
        <v>45428</v>
      </c>
      <c r="P1386" s="630" t="s">
        <v>6474</v>
      </c>
      <c r="Q1386" s="631">
        <v>45548</v>
      </c>
      <c r="R1386" s="715"/>
      <c r="S1386" s="1068"/>
      <c r="T1386" s="632">
        <v>58944.93</v>
      </c>
      <c r="U1386" s="633" t="s">
        <v>6475</v>
      </c>
      <c r="V1386" s="634">
        <v>45551</v>
      </c>
      <c r="W1386" s="635" t="s">
        <v>2302</v>
      </c>
      <c r="X1386" s="636">
        <v>58944.93</v>
      </c>
      <c r="Y1386" s="1058">
        <v>0</v>
      </c>
      <c r="Z1386" s="1060">
        <f>Y1386/X1386</f>
        <v>0</v>
      </c>
      <c r="AA1386" s="919"/>
      <c r="AB1386" s="1056"/>
      <c r="AC1386" s="912"/>
      <c r="AD1386" s="913"/>
      <c r="AE1386" s="669"/>
      <c r="AF1386" s="718"/>
      <c r="AG1386" s="211"/>
      <c r="AH1386" s="210"/>
    </row>
    <row r="1387" spans="1:34" s="4" customFormat="1">
      <c r="A1387" s="2"/>
      <c r="B1387" s="310" t="s">
        <v>115</v>
      </c>
      <c r="C1387" s="311" t="s">
        <v>27</v>
      </c>
      <c r="D1387" s="687" t="s">
        <v>6476</v>
      </c>
      <c r="E1387" s="688"/>
      <c r="F1387" s="312" t="s">
        <v>6477</v>
      </c>
      <c r="G1387" s="313"/>
      <c r="H1387" s="624"/>
      <c r="I1387" s="625"/>
      <c r="J1387" s="626"/>
      <c r="K1387" s="627"/>
      <c r="L1387" s="628"/>
      <c r="M1387" s="629"/>
      <c r="N1387" s="627"/>
      <c r="O1387" s="628"/>
      <c r="P1387" s="630"/>
      <c r="Q1387" s="631"/>
      <c r="R1387" s="715"/>
      <c r="S1387" s="990"/>
      <c r="T1387" s="632"/>
      <c r="U1387" s="633"/>
      <c r="V1387" s="634"/>
      <c r="W1387" s="635"/>
      <c r="X1387" s="636"/>
      <c r="Y1387" s="637"/>
      <c r="Z1387" s="733"/>
      <c r="AA1387" s="919"/>
      <c r="AB1387" s="1056"/>
      <c r="AC1387" s="912"/>
      <c r="AD1387" s="913"/>
      <c r="AE1387" s="669"/>
      <c r="AF1387" s="718"/>
      <c r="AG1387" s="211"/>
      <c r="AH1387" s="210"/>
    </row>
    <row r="1388" spans="1:34" s="4" customFormat="1">
      <c r="A1388" s="2"/>
      <c r="B1388" s="310" t="s">
        <v>115</v>
      </c>
      <c r="C1388" s="311" t="s">
        <v>27</v>
      </c>
      <c r="D1388" s="687" t="s">
        <v>6478</v>
      </c>
      <c r="E1388" s="688"/>
      <c r="F1388" s="312" t="s">
        <v>6479</v>
      </c>
      <c r="G1388" s="313"/>
      <c r="H1388" s="624"/>
      <c r="I1388" s="625"/>
      <c r="J1388" s="626"/>
      <c r="K1388" s="627"/>
      <c r="L1388" s="628"/>
      <c r="M1388" s="629"/>
      <c r="N1388" s="627"/>
      <c r="O1388" s="628"/>
      <c r="P1388" s="630"/>
      <c r="Q1388" s="631"/>
      <c r="R1388" s="715"/>
      <c r="S1388" s="990"/>
      <c r="T1388" s="632"/>
      <c r="U1388" s="633"/>
      <c r="V1388" s="634"/>
      <c r="W1388" s="635"/>
      <c r="X1388" s="636"/>
      <c r="Y1388" s="637"/>
      <c r="Z1388" s="733"/>
      <c r="AA1388" s="919"/>
      <c r="AB1388" s="1056"/>
      <c r="AC1388" s="912"/>
      <c r="AD1388" s="913"/>
      <c r="AE1388" s="669"/>
      <c r="AF1388" s="718"/>
      <c r="AG1388" s="211"/>
      <c r="AH1388" s="210"/>
    </row>
    <row r="1389" spans="1:34" s="4" customFormat="1">
      <c r="A1389" s="2"/>
      <c r="B1389" s="310" t="s">
        <v>115</v>
      </c>
      <c r="C1389" s="311" t="s">
        <v>27</v>
      </c>
      <c r="D1389" s="687" t="s">
        <v>6480</v>
      </c>
      <c r="E1389" s="688"/>
      <c r="F1389" s="312" t="s">
        <v>6481</v>
      </c>
      <c r="G1389" s="313"/>
      <c r="H1389" s="624"/>
      <c r="I1389" s="625"/>
      <c r="J1389" s="626"/>
      <c r="K1389" s="627"/>
      <c r="L1389" s="628"/>
      <c r="M1389" s="629"/>
      <c r="N1389" s="627"/>
      <c r="O1389" s="628"/>
      <c r="P1389" s="630"/>
      <c r="Q1389" s="631"/>
      <c r="R1389" s="715"/>
      <c r="S1389" s="990"/>
      <c r="T1389" s="632"/>
      <c r="U1389" s="633"/>
      <c r="V1389" s="634"/>
      <c r="W1389" s="635"/>
      <c r="X1389" s="636"/>
      <c r="Y1389" s="637"/>
      <c r="Z1389" s="733"/>
      <c r="AA1389" s="919"/>
      <c r="AB1389" s="1056"/>
      <c r="AC1389" s="912"/>
      <c r="AD1389" s="913"/>
      <c r="AE1389" s="669"/>
      <c r="AF1389" s="718"/>
      <c r="AG1389" s="211"/>
      <c r="AH1389" s="210"/>
    </row>
    <row r="1390" spans="1:34" s="4" customFormat="1">
      <c r="A1390" s="2"/>
      <c r="B1390" s="310" t="s">
        <v>115</v>
      </c>
      <c r="C1390" s="311" t="s">
        <v>27</v>
      </c>
      <c r="D1390" s="687" t="s">
        <v>6482</v>
      </c>
      <c r="E1390" s="688"/>
      <c r="F1390" s="312" t="s">
        <v>6483</v>
      </c>
      <c r="G1390" s="313"/>
      <c r="H1390" s="624"/>
      <c r="I1390" s="625"/>
      <c r="J1390" s="626"/>
      <c r="K1390" s="627"/>
      <c r="L1390" s="628"/>
      <c r="M1390" s="629"/>
      <c r="N1390" s="627"/>
      <c r="O1390" s="628"/>
      <c r="P1390" s="630"/>
      <c r="Q1390" s="631"/>
      <c r="R1390" s="715"/>
      <c r="S1390" s="990"/>
      <c r="T1390" s="632"/>
      <c r="U1390" s="633"/>
      <c r="V1390" s="634"/>
      <c r="W1390" s="635"/>
      <c r="X1390" s="636"/>
      <c r="Y1390" s="637"/>
      <c r="Z1390" s="733"/>
      <c r="AA1390" s="919"/>
      <c r="AB1390" s="1056"/>
      <c r="AC1390" s="912"/>
      <c r="AD1390" s="913"/>
      <c r="AE1390" s="669"/>
      <c r="AF1390" s="718"/>
      <c r="AG1390" s="211"/>
      <c r="AH1390" s="210"/>
    </row>
    <row r="1391" spans="1:34" s="4" customFormat="1">
      <c r="A1391" s="2"/>
      <c r="B1391" s="310" t="s">
        <v>119</v>
      </c>
      <c r="C1391" s="311" t="s">
        <v>27</v>
      </c>
      <c r="D1391" s="687" t="s">
        <v>6484</v>
      </c>
      <c r="E1391" s="688"/>
      <c r="F1391" s="312" t="s">
        <v>6485</v>
      </c>
      <c r="G1391" s="313"/>
      <c r="H1391" s="624"/>
      <c r="I1391" s="625"/>
      <c r="J1391" s="626"/>
      <c r="K1391" s="627"/>
      <c r="L1391" s="628"/>
      <c r="M1391" s="629"/>
      <c r="N1391" s="627"/>
      <c r="O1391" s="628"/>
      <c r="P1391" s="630"/>
      <c r="Q1391" s="631"/>
      <c r="R1391" s="715"/>
      <c r="S1391" s="990"/>
      <c r="T1391" s="632"/>
      <c r="U1391" s="633"/>
      <c r="V1391" s="634"/>
      <c r="W1391" s="635"/>
      <c r="X1391" s="636"/>
      <c r="Y1391" s="637"/>
      <c r="Z1391" s="733"/>
      <c r="AA1391" s="919"/>
      <c r="AB1391" s="1056"/>
      <c r="AC1391" s="912"/>
      <c r="AD1391" s="913"/>
      <c r="AE1391" s="669"/>
      <c r="AF1391" s="718"/>
      <c r="AG1391" s="211"/>
      <c r="AH1391" s="210"/>
    </row>
    <row r="1392" spans="1:34" s="4" customFormat="1">
      <c r="A1392" s="2"/>
      <c r="B1392" s="310" t="s">
        <v>106</v>
      </c>
      <c r="C1392" s="311" t="s">
        <v>33</v>
      </c>
      <c r="D1392" s="687" t="s">
        <v>6486</v>
      </c>
      <c r="E1392" s="688"/>
      <c r="F1392" s="312"/>
      <c r="G1392" s="313"/>
      <c r="H1392" s="624"/>
      <c r="I1392" s="625"/>
      <c r="J1392" s="626"/>
      <c r="K1392" s="627" t="s">
        <v>6487</v>
      </c>
      <c r="L1392" s="628">
        <v>45560</v>
      </c>
      <c r="M1392" s="629">
        <v>1200</v>
      </c>
      <c r="N1392" s="627" t="s">
        <v>6488</v>
      </c>
      <c r="O1392" s="628">
        <v>45560</v>
      </c>
      <c r="P1392" s="630"/>
      <c r="Q1392" s="631"/>
      <c r="R1392" s="715"/>
      <c r="S1392" s="990"/>
      <c r="T1392" s="632"/>
      <c r="U1392" s="633" t="s">
        <v>6489</v>
      </c>
      <c r="V1392" s="634">
        <v>45625</v>
      </c>
      <c r="W1392" s="635" t="s">
        <v>93</v>
      </c>
      <c r="X1392" s="636">
        <v>4848.93</v>
      </c>
      <c r="Y1392" s="637"/>
      <c r="Z1392" s="733"/>
      <c r="AA1392" s="919"/>
      <c r="AB1392" s="1056"/>
      <c r="AC1392" s="912"/>
      <c r="AD1392" s="913"/>
      <c r="AE1392" s="669"/>
      <c r="AF1392" s="718"/>
      <c r="AG1392" s="211"/>
      <c r="AH1392" s="210"/>
    </row>
    <row r="1393" spans="1:34" s="4" customFormat="1">
      <c r="A1393" s="2"/>
      <c r="B1393" s="310" t="s">
        <v>106</v>
      </c>
      <c r="C1393" s="311" t="s">
        <v>33</v>
      </c>
      <c r="D1393" s="687" t="s">
        <v>6490</v>
      </c>
      <c r="E1393" s="688"/>
      <c r="F1393" s="312"/>
      <c r="G1393" s="313"/>
      <c r="H1393" s="624"/>
      <c r="I1393" s="625"/>
      <c r="J1393" s="626"/>
      <c r="K1393" s="627" t="s">
        <v>6491</v>
      </c>
      <c r="L1393" s="628">
        <v>45562</v>
      </c>
      <c r="M1393" s="629">
        <v>1200</v>
      </c>
      <c r="N1393" s="627" t="s">
        <v>6492</v>
      </c>
      <c r="O1393" s="628">
        <v>45565</v>
      </c>
      <c r="P1393" s="630" t="s">
        <v>6493</v>
      </c>
      <c r="Q1393" s="631">
        <v>45569</v>
      </c>
      <c r="R1393" s="715"/>
      <c r="S1393" s="1068"/>
      <c r="T1393" s="632">
        <v>3022.1</v>
      </c>
      <c r="U1393" s="633" t="s">
        <v>6494</v>
      </c>
      <c r="V1393" s="634">
        <v>45573</v>
      </c>
      <c r="W1393" s="635" t="s">
        <v>2302</v>
      </c>
      <c r="X1393" s="636">
        <v>3022.1</v>
      </c>
      <c r="Y1393" s="637"/>
      <c r="Z1393" s="733"/>
      <c r="AA1393" s="919"/>
      <c r="AB1393" s="1056"/>
      <c r="AC1393" s="912"/>
      <c r="AD1393" s="913"/>
      <c r="AE1393" s="669"/>
      <c r="AF1393" s="718"/>
      <c r="AG1393" s="211"/>
      <c r="AH1393" s="210"/>
    </row>
    <row r="1394" spans="1:34" s="4" customFormat="1">
      <c r="A1394" s="2"/>
      <c r="B1394" s="310" t="s">
        <v>106</v>
      </c>
      <c r="C1394" s="311" t="s">
        <v>33</v>
      </c>
      <c r="D1394" s="687" t="s">
        <v>6495</v>
      </c>
      <c r="E1394" s="688"/>
      <c r="F1394" s="312"/>
      <c r="G1394" s="313"/>
      <c r="H1394" s="624"/>
      <c r="I1394" s="625"/>
      <c r="J1394" s="626"/>
      <c r="K1394" s="627" t="s">
        <v>6496</v>
      </c>
      <c r="L1394" s="628">
        <v>45565</v>
      </c>
      <c r="M1394" s="629">
        <v>164000</v>
      </c>
      <c r="N1394" s="627" t="s">
        <v>6497</v>
      </c>
      <c r="O1394" s="628">
        <v>45565</v>
      </c>
      <c r="P1394" s="630"/>
      <c r="Q1394" s="631"/>
      <c r="R1394" s="715"/>
      <c r="S1394" s="990"/>
      <c r="T1394" s="632"/>
      <c r="U1394" s="633" t="s">
        <v>6498</v>
      </c>
      <c r="V1394" s="634">
        <v>45583</v>
      </c>
      <c r="W1394" s="635" t="s">
        <v>109</v>
      </c>
      <c r="X1394" s="636">
        <v>192706.35</v>
      </c>
      <c r="Y1394" s="637"/>
      <c r="Z1394" s="733"/>
      <c r="AA1394" s="919"/>
      <c r="AB1394" s="1056"/>
      <c r="AC1394" s="912"/>
      <c r="AD1394" s="913"/>
      <c r="AE1394" s="669"/>
      <c r="AF1394" s="718"/>
      <c r="AG1394" s="211"/>
      <c r="AH1394" s="210"/>
    </row>
    <row r="1395" spans="1:34" s="4" customFormat="1">
      <c r="A1395" s="2"/>
      <c r="B1395" s="310" t="s">
        <v>106</v>
      </c>
      <c r="C1395" s="311" t="s">
        <v>33</v>
      </c>
      <c r="D1395" s="687" t="s">
        <v>6499</v>
      </c>
      <c r="E1395" s="688"/>
      <c r="F1395" s="312"/>
      <c r="G1395" s="313"/>
      <c r="H1395" s="624"/>
      <c r="I1395" s="625"/>
      <c r="J1395" s="626"/>
      <c r="K1395" s="627" t="s">
        <v>6500</v>
      </c>
      <c r="L1395" s="628"/>
      <c r="M1395" s="629"/>
      <c r="N1395" s="627" t="s">
        <v>6501</v>
      </c>
      <c r="O1395" s="628"/>
      <c r="P1395" s="630"/>
      <c r="Q1395" s="631"/>
      <c r="R1395" s="715"/>
      <c r="S1395" s="990"/>
      <c r="T1395" s="632"/>
      <c r="U1395" s="633" t="s">
        <v>6502</v>
      </c>
      <c r="V1395" s="634">
        <v>45580</v>
      </c>
      <c r="W1395" s="635" t="s">
        <v>2302</v>
      </c>
      <c r="X1395" s="636">
        <v>8660.98</v>
      </c>
      <c r="Y1395" s="637"/>
      <c r="Z1395" s="733"/>
      <c r="AA1395" s="919"/>
      <c r="AB1395" s="1056"/>
      <c r="AC1395" s="912"/>
      <c r="AD1395" s="913"/>
      <c r="AE1395" s="669"/>
      <c r="AF1395" s="718"/>
      <c r="AG1395" s="211"/>
      <c r="AH1395" s="210"/>
    </row>
    <row r="1396" spans="1:34" s="4" customFormat="1">
      <c r="A1396" s="2"/>
      <c r="B1396" s="310" t="s">
        <v>106</v>
      </c>
      <c r="C1396" s="311" t="s">
        <v>33</v>
      </c>
      <c r="D1396" s="687" t="s">
        <v>6503</v>
      </c>
      <c r="E1396" s="688"/>
      <c r="F1396" s="312"/>
      <c r="G1396" s="313"/>
      <c r="H1396" s="624"/>
      <c r="I1396" s="625"/>
      <c r="J1396" s="626"/>
      <c r="K1396" s="627" t="s">
        <v>6504</v>
      </c>
      <c r="L1396" s="628"/>
      <c r="M1396" s="629"/>
      <c r="N1396" s="627" t="s">
        <v>6505</v>
      </c>
      <c r="O1396" s="628"/>
      <c r="P1396" s="630"/>
      <c r="Q1396" s="631"/>
      <c r="R1396" s="715"/>
      <c r="S1396" s="990"/>
      <c r="T1396" s="632"/>
      <c r="U1396" s="633" t="s">
        <v>6506</v>
      </c>
      <c r="V1396" s="634">
        <v>45576</v>
      </c>
      <c r="W1396" s="635" t="s">
        <v>2302</v>
      </c>
      <c r="X1396" s="636">
        <v>3037.04</v>
      </c>
      <c r="Y1396" s="637"/>
      <c r="Z1396" s="733"/>
      <c r="AA1396" s="919"/>
      <c r="AB1396" s="1056"/>
      <c r="AC1396" s="912"/>
      <c r="AD1396" s="913"/>
      <c r="AE1396" s="669"/>
      <c r="AF1396" s="718"/>
      <c r="AG1396" s="211"/>
      <c r="AH1396" s="210"/>
    </row>
    <row r="1397" spans="1:34" s="4" customFormat="1">
      <c r="A1397" s="2"/>
      <c r="B1397" s="310" t="s">
        <v>106</v>
      </c>
      <c r="C1397" s="311" t="s">
        <v>33</v>
      </c>
      <c r="D1397" s="687" t="s">
        <v>6507</v>
      </c>
      <c r="E1397" s="688"/>
      <c r="F1397" s="312"/>
      <c r="G1397" s="313"/>
      <c r="H1397" s="624"/>
      <c r="I1397" s="625"/>
      <c r="J1397" s="626"/>
      <c r="K1397" s="627" t="s">
        <v>6366</v>
      </c>
      <c r="L1397" s="628">
        <v>45399</v>
      </c>
      <c r="M1397" s="629">
        <v>170000</v>
      </c>
      <c r="N1397" s="627" t="s">
        <v>6473</v>
      </c>
      <c r="O1397" s="628">
        <v>45428</v>
      </c>
      <c r="P1397" s="630" t="s">
        <v>6508</v>
      </c>
      <c r="Q1397" s="631"/>
      <c r="R1397" s="715"/>
      <c r="S1397" s="1068"/>
      <c r="T1397" s="632">
        <v>7528.92</v>
      </c>
      <c r="U1397" s="633" t="s">
        <v>6509</v>
      </c>
      <c r="V1397" s="634">
        <v>45611</v>
      </c>
      <c r="W1397" s="635" t="s">
        <v>2302</v>
      </c>
      <c r="X1397" s="636">
        <v>7528.92</v>
      </c>
      <c r="Y1397" s="637">
        <v>0</v>
      </c>
      <c r="Z1397" s="733">
        <f>Y1397/X1397</f>
        <v>0</v>
      </c>
      <c r="AA1397" s="919"/>
      <c r="AB1397" s="1056"/>
      <c r="AC1397" s="912"/>
      <c r="AD1397" s="913"/>
      <c r="AE1397" s="669"/>
      <c r="AF1397" s="718"/>
      <c r="AG1397" s="211"/>
      <c r="AH1397" s="210"/>
    </row>
    <row r="1398" spans="1:34" s="4" customFormat="1">
      <c r="A1398" s="2"/>
      <c r="B1398" s="310" t="s">
        <v>106</v>
      </c>
      <c r="C1398" s="311" t="s">
        <v>33</v>
      </c>
      <c r="D1398" s="687" t="s">
        <v>6510</v>
      </c>
      <c r="E1398" s="688"/>
      <c r="F1398" s="312"/>
      <c r="G1398" s="313"/>
      <c r="H1398" s="624"/>
      <c r="I1398" s="625"/>
      <c r="J1398" s="626"/>
      <c r="K1398" s="627"/>
      <c r="L1398" s="628"/>
      <c r="M1398" s="629"/>
      <c r="N1398" s="627"/>
      <c r="O1398" s="628"/>
      <c r="P1398" s="630" t="s">
        <v>6511</v>
      </c>
      <c r="Q1398" s="631"/>
      <c r="R1398" s="715"/>
      <c r="S1398" s="990"/>
      <c r="T1398" s="632"/>
      <c r="U1398" s="633" t="s">
        <v>6512</v>
      </c>
      <c r="V1398" s="634">
        <v>45601</v>
      </c>
      <c r="W1398" s="635" t="s">
        <v>79</v>
      </c>
      <c r="X1398" s="636">
        <v>3667.42</v>
      </c>
      <c r="Y1398" s="637"/>
      <c r="Z1398" s="733"/>
      <c r="AA1398" s="919"/>
      <c r="AB1398" s="1056"/>
      <c r="AC1398" s="912"/>
      <c r="AD1398" s="913"/>
      <c r="AE1398" s="669"/>
      <c r="AF1398" s="718"/>
      <c r="AG1398" s="211"/>
      <c r="AH1398" s="210"/>
    </row>
    <row r="1399" spans="1:34" s="4" customFormat="1">
      <c r="A1399" s="2"/>
      <c r="B1399" s="310" t="s">
        <v>106</v>
      </c>
      <c r="C1399" s="311" t="s">
        <v>33</v>
      </c>
      <c r="D1399" s="687" t="s">
        <v>6513</v>
      </c>
      <c r="E1399" s="688"/>
      <c r="F1399" s="312"/>
      <c r="G1399" s="313"/>
      <c r="H1399" s="624"/>
      <c r="I1399" s="625"/>
      <c r="J1399" s="626"/>
      <c r="K1399" s="627"/>
      <c r="L1399" s="628"/>
      <c r="M1399" s="629"/>
      <c r="N1399" s="627" t="s">
        <v>6514</v>
      </c>
      <c r="O1399" s="628"/>
      <c r="P1399" s="630"/>
      <c r="Q1399" s="631"/>
      <c r="R1399" s="715"/>
      <c r="S1399" s="990"/>
      <c r="T1399" s="632"/>
      <c r="U1399" s="633" t="s">
        <v>6515</v>
      </c>
      <c r="V1399" s="634">
        <v>45632</v>
      </c>
      <c r="W1399" s="635" t="s">
        <v>2302</v>
      </c>
      <c r="X1399" s="636">
        <v>25171.84</v>
      </c>
      <c r="Y1399" s="637"/>
      <c r="Z1399" s="733"/>
      <c r="AA1399" s="919"/>
      <c r="AB1399" s="1056"/>
      <c r="AC1399" s="912"/>
      <c r="AD1399" s="913"/>
      <c r="AE1399" s="669"/>
      <c r="AF1399" s="718"/>
      <c r="AG1399" s="211"/>
      <c r="AH1399" s="210"/>
    </row>
    <row r="1400" spans="1:34" s="4" customFormat="1">
      <c r="A1400" s="2"/>
      <c r="B1400" s="310" t="s">
        <v>106</v>
      </c>
      <c r="C1400" s="311" t="s">
        <v>33</v>
      </c>
      <c r="D1400" s="687" t="s">
        <v>6516</v>
      </c>
      <c r="E1400" s="688"/>
      <c r="F1400" s="312"/>
      <c r="G1400" s="313"/>
      <c r="H1400" s="624"/>
      <c r="I1400" s="625"/>
      <c r="J1400" s="626"/>
      <c r="K1400" s="627" t="s">
        <v>6517</v>
      </c>
      <c r="L1400" s="628">
        <v>45624</v>
      </c>
      <c r="M1400" s="629">
        <v>1500</v>
      </c>
      <c r="N1400" s="627" t="s">
        <v>6518</v>
      </c>
      <c r="O1400" s="628">
        <v>45624</v>
      </c>
      <c r="P1400" s="630" t="s">
        <v>6519</v>
      </c>
      <c r="Q1400" s="631">
        <v>45631</v>
      </c>
      <c r="R1400" s="715">
        <v>45644</v>
      </c>
      <c r="S1400" s="990"/>
      <c r="T1400" s="632">
        <v>10108.48</v>
      </c>
      <c r="U1400" s="633" t="s">
        <v>6520</v>
      </c>
      <c r="V1400" s="634">
        <v>45636</v>
      </c>
      <c r="W1400" s="635" t="s">
        <v>2302</v>
      </c>
      <c r="X1400" s="636">
        <v>10108.48</v>
      </c>
      <c r="Y1400" s="637"/>
      <c r="Z1400" s="733"/>
      <c r="AA1400" s="919"/>
      <c r="AB1400" s="1056"/>
      <c r="AC1400" s="912"/>
      <c r="AD1400" s="913"/>
      <c r="AE1400" s="669"/>
      <c r="AF1400" s="718"/>
      <c r="AG1400" s="211"/>
      <c r="AH1400" s="210"/>
    </row>
    <row r="1401" spans="1:34" s="4" customFormat="1">
      <c r="A1401" s="2"/>
      <c r="B1401" s="310" t="s">
        <v>106</v>
      </c>
      <c r="C1401" s="311" t="s">
        <v>33</v>
      </c>
      <c r="D1401" s="687" t="s">
        <v>6521</v>
      </c>
      <c r="E1401" s="688"/>
      <c r="F1401" s="312" t="s">
        <v>6522</v>
      </c>
      <c r="G1401" s="313"/>
      <c r="H1401" s="624"/>
      <c r="I1401" s="625"/>
      <c r="J1401" s="626"/>
      <c r="K1401" s="627" t="s">
        <v>6523</v>
      </c>
      <c r="L1401" s="628">
        <v>45624</v>
      </c>
      <c r="M1401" s="629">
        <v>15000</v>
      </c>
      <c r="N1401" s="627" t="s">
        <v>6524</v>
      </c>
      <c r="O1401" s="628">
        <v>45624</v>
      </c>
      <c r="P1401" s="630" t="s">
        <v>6525</v>
      </c>
      <c r="Q1401" s="631">
        <v>45644</v>
      </c>
      <c r="R1401" s="715"/>
      <c r="S1401" s="990"/>
      <c r="T1401" s="632">
        <v>21484.38</v>
      </c>
      <c r="U1401" s="633" t="s">
        <v>6526</v>
      </c>
      <c r="V1401" s="634">
        <v>45644</v>
      </c>
      <c r="W1401" s="635" t="s">
        <v>2302</v>
      </c>
      <c r="X1401" s="636">
        <v>21484.38</v>
      </c>
      <c r="Y1401" s="637"/>
      <c r="Z1401" s="733"/>
      <c r="AA1401" s="919"/>
      <c r="AB1401" s="1056"/>
      <c r="AC1401" s="912"/>
      <c r="AD1401" s="913"/>
      <c r="AE1401" s="669"/>
      <c r="AF1401" s="718"/>
      <c r="AG1401" s="211"/>
      <c r="AH1401" s="210"/>
    </row>
    <row r="1402" spans="1:34" s="4" customFormat="1">
      <c r="A1402" s="2"/>
      <c r="B1402" s="310" t="s">
        <v>106</v>
      </c>
      <c r="C1402" s="311" t="s">
        <v>33</v>
      </c>
      <c r="D1402" s="687" t="s">
        <v>6527</v>
      </c>
      <c r="E1402" s="688"/>
      <c r="F1402" s="312" t="s">
        <v>6528</v>
      </c>
      <c r="G1402" s="313"/>
      <c r="H1402" s="624"/>
      <c r="I1402" s="625"/>
      <c r="J1402" s="626"/>
      <c r="K1402" s="627" t="s">
        <v>6529</v>
      </c>
      <c r="L1402" s="628">
        <v>45665</v>
      </c>
      <c r="M1402" s="629">
        <v>5000</v>
      </c>
      <c r="N1402" s="627" t="s">
        <v>6530</v>
      </c>
      <c r="O1402" s="628">
        <v>45680</v>
      </c>
      <c r="P1402" s="630" t="s">
        <v>6531</v>
      </c>
      <c r="Q1402" s="631">
        <v>45680</v>
      </c>
      <c r="R1402" s="715"/>
      <c r="S1402" s="990"/>
      <c r="T1402" s="632">
        <v>6390.09</v>
      </c>
      <c r="U1402" s="633" t="s">
        <v>6532</v>
      </c>
      <c r="V1402" s="634">
        <v>45680</v>
      </c>
      <c r="W1402" s="635" t="s">
        <v>109</v>
      </c>
      <c r="X1402" s="636">
        <v>6390.09</v>
      </c>
      <c r="Y1402" s="637"/>
      <c r="Z1402" s="733"/>
      <c r="AA1402" s="919"/>
      <c r="AB1402" s="1056"/>
      <c r="AC1402" s="912"/>
      <c r="AD1402" s="913"/>
      <c r="AE1402" s="669"/>
      <c r="AF1402" s="718"/>
      <c r="AG1402" s="211"/>
      <c r="AH1402" s="210"/>
    </row>
    <row r="1403" spans="1:34" s="4" customFormat="1">
      <c r="A1403" s="2"/>
      <c r="B1403" s="310" t="s">
        <v>106</v>
      </c>
      <c r="C1403" s="311" t="s">
        <v>33</v>
      </c>
      <c r="D1403" s="687" t="s">
        <v>6533</v>
      </c>
      <c r="E1403" s="688"/>
      <c r="F1403" s="312"/>
      <c r="G1403" s="313"/>
      <c r="H1403" s="624"/>
      <c r="I1403" s="625"/>
      <c r="J1403" s="626"/>
      <c r="K1403" s="627" t="s">
        <v>6534</v>
      </c>
      <c r="L1403" s="628">
        <v>45636</v>
      </c>
      <c r="M1403" s="629">
        <v>3500</v>
      </c>
      <c r="N1403" s="627" t="s">
        <v>6535</v>
      </c>
      <c r="O1403" s="628"/>
      <c r="P1403" s="630" t="s">
        <v>6536</v>
      </c>
      <c r="Q1403" s="631"/>
      <c r="R1403" s="715"/>
      <c r="S1403" s="990"/>
      <c r="T1403" s="632">
        <v>4610.97</v>
      </c>
      <c r="U1403" s="633" t="s">
        <v>6537</v>
      </c>
      <c r="V1403" s="634">
        <v>45667</v>
      </c>
      <c r="W1403" s="635" t="s">
        <v>109</v>
      </c>
      <c r="X1403" s="636">
        <v>4610.97</v>
      </c>
      <c r="Y1403" s="637"/>
      <c r="Z1403" s="733"/>
      <c r="AA1403" s="919"/>
      <c r="AB1403" s="1056"/>
      <c r="AC1403" s="912"/>
      <c r="AD1403" s="913"/>
      <c r="AE1403" s="669"/>
      <c r="AF1403" s="718"/>
      <c r="AG1403" s="211"/>
      <c r="AH1403" s="210"/>
    </row>
    <row r="1404" spans="1:34" s="4" customFormat="1">
      <c r="A1404" s="2"/>
      <c r="B1404" s="310" t="s">
        <v>106</v>
      </c>
      <c r="C1404" s="311" t="s">
        <v>33</v>
      </c>
      <c r="D1404" s="687" t="s">
        <v>6462</v>
      </c>
      <c r="E1404" s="688"/>
      <c r="F1404" s="312"/>
      <c r="G1404" s="313"/>
      <c r="H1404" s="624"/>
      <c r="I1404" s="625"/>
      <c r="J1404" s="626"/>
      <c r="K1404" s="627" t="s">
        <v>6538</v>
      </c>
      <c r="L1404" s="628">
        <v>45548</v>
      </c>
      <c r="M1404" s="629">
        <v>5000</v>
      </c>
      <c r="N1404" s="627" t="s">
        <v>6539</v>
      </c>
      <c r="O1404" s="628">
        <v>45548</v>
      </c>
      <c r="P1404" s="630" t="s">
        <v>6540</v>
      </c>
      <c r="Q1404" s="631"/>
      <c r="R1404" s="715"/>
      <c r="S1404" s="990"/>
      <c r="T1404" s="632">
        <v>6380.47</v>
      </c>
      <c r="U1404" s="633" t="s">
        <v>6541</v>
      </c>
      <c r="V1404" s="634">
        <v>45698</v>
      </c>
      <c r="W1404" s="635" t="s">
        <v>109</v>
      </c>
      <c r="X1404" s="636">
        <v>6380.47</v>
      </c>
      <c r="Y1404" s="637"/>
      <c r="Z1404" s="733"/>
      <c r="AA1404" s="919"/>
      <c r="AB1404" s="1056"/>
      <c r="AC1404" s="912"/>
      <c r="AD1404" s="913"/>
      <c r="AE1404" s="669"/>
      <c r="AF1404" s="718"/>
      <c r="AG1404" s="211"/>
      <c r="AH1404" s="210"/>
    </row>
    <row r="1405" spans="1:34" s="4" customFormat="1">
      <c r="A1405" s="2"/>
      <c r="B1405" s="310" t="s">
        <v>106</v>
      </c>
      <c r="C1405" s="311" t="s">
        <v>33</v>
      </c>
      <c r="D1405" s="687" t="s">
        <v>6542</v>
      </c>
      <c r="E1405" s="688"/>
      <c r="F1405" s="312"/>
      <c r="G1405" s="313"/>
      <c r="H1405" s="624"/>
      <c r="I1405" s="625"/>
      <c r="J1405" s="626"/>
      <c r="K1405" s="627" t="s">
        <v>6543</v>
      </c>
      <c r="L1405" s="628"/>
      <c r="M1405" s="629">
        <v>2500</v>
      </c>
      <c r="N1405" s="627" t="s">
        <v>6544</v>
      </c>
      <c r="O1405" s="628"/>
      <c r="P1405" s="630" t="s">
        <v>6545</v>
      </c>
      <c r="Q1405" s="631"/>
      <c r="R1405" s="715"/>
      <c r="S1405" s="990"/>
      <c r="T1405" s="632">
        <v>1514.46</v>
      </c>
      <c r="U1405" s="633" t="s">
        <v>6546</v>
      </c>
      <c r="V1405" s="634">
        <v>45729</v>
      </c>
      <c r="W1405" s="635" t="s">
        <v>2302</v>
      </c>
      <c r="X1405" s="636">
        <v>1514.46</v>
      </c>
      <c r="Y1405" s="637"/>
      <c r="Z1405" s="733"/>
      <c r="AA1405" s="919"/>
      <c r="AB1405" s="1056"/>
      <c r="AC1405" s="912"/>
      <c r="AD1405" s="913"/>
      <c r="AE1405" s="669"/>
      <c r="AF1405" s="718"/>
      <c r="AG1405" s="211"/>
      <c r="AH1405" s="210"/>
    </row>
    <row r="1406" spans="1:34" s="4" customFormat="1">
      <c r="A1406" s="2"/>
      <c r="B1406" s="310"/>
      <c r="C1406" s="311"/>
      <c r="D1406" s="687"/>
      <c r="E1406" s="688"/>
      <c r="F1406" s="312"/>
      <c r="G1406" s="313"/>
      <c r="H1406" s="624"/>
      <c r="I1406" s="625"/>
      <c r="J1406" s="626"/>
      <c r="K1406" s="627"/>
      <c r="L1406" s="628"/>
      <c r="M1406" s="629"/>
      <c r="N1406" s="627"/>
      <c r="O1406" s="628"/>
      <c r="P1406" s="630"/>
      <c r="Q1406" s="631"/>
      <c r="R1406" s="715"/>
      <c r="S1406" s="990"/>
      <c r="T1406" s="632"/>
      <c r="U1406" s="633"/>
      <c r="V1406" s="634"/>
      <c r="W1406" s="635"/>
      <c r="X1406" s="636"/>
      <c r="Y1406" s="637"/>
      <c r="Z1406" s="733"/>
      <c r="AA1406" s="919"/>
      <c r="AB1406" s="1056"/>
      <c r="AC1406" s="912"/>
      <c r="AD1406" s="913"/>
      <c r="AE1406" s="669"/>
      <c r="AF1406" s="718"/>
      <c r="AG1406" s="211"/>
      <c r="AH1406" s="210"/>
    </row>
    <row r="1407" spans="1:34" s="4" customFormat="1">
      <c r="A1407" s="2"/>
      <c r="B1407" s="310"/>
      <c r="C1407" s="311"/>
      <c r="D1407" s="687"/>
      <c r="E1407" s="688"/>
      <c r="F1407" s="312"/>
      <c r="G1407" s="313"/>
      <c r="H1407" s="624"/>
      <c r="I1407" s="625"/>
      <c r="J1407" s="626"/>
      <c r="K1407" s="627"/>
      <c r="L1407" s="628"/>
      <c r="M1407" s="629"/>
      <c r="N1407" s="627"/>
      <c r="O1407" s="628"/>
      <c r="P1407" s="630"/>
      <c r="Q1407" s="631"/>
      <c r="R1407" s="715"/>
      <c r="S1407" s="990"/>
      <c r="T1407" s="632"/>
      <c r="U1407" s="633"/>
      <c r="V1407" s="634"/>
      <c r="W1407" s="635"/>
      <c r="X1407" s="636"/>
      <c r="Y1407" s="637"/>
      <c r="Z1407" s="733"/>
      <c r="AA1407" s="919"/>
      <c r="AB1407" s="1056"/>
      <c r="AC1407" s="912"/>
      <c r="AD1407" s="913"/>
      <c r="AE1407" s="669"/>
      <c r="AF1407" s="718"/>
      <c r="AG1407" s="211"/>
      <c r="AH1407" s="210"/>
    </row>
    <row r="1408" spans="1:34" s="4" customFormat="1">
      <c r="A1408" s="2"/>
      <c r="B1408" s="310"/>
      <c r="C1408" s="311"/>
      <c r="D1408" s="687"/>
      <c r="E1408" s="688"/>
      <c r="F1408" s="312"/>
      <c r="G1408" s="313"/>
      <c r="H1408" s="624"/>
      <c r="I1408" s="625"/>
      <c r="J1408" s="626"/>
      <c r="K1408" s="627"/>
      <c r="L1408" s="628"/>
      <c r="M1408" s="629"/>
      <c r="N1408" s="627"/>
      <c r="O1408" s="628"/>
      <c r="P1408" s="630"/>
      <c r="Q1408" s="631"/>
      <c r="R1408" s="715"/>
      <c r="S1408" s="990"/>
      <c r="T1408" s="632"/>
      <c r="U1408" s="633"/>
      <c r="V1408" s="634"/>
      <c r="W1408" s="635"/>
      <c r="X1408" s="636"/>
      <c r="Y1408" s="637"/>
      <c r="Z1408" s="733"/>
      <c r="AA1408" s="919"/>
      <c r="AB1408" s="1056"/>
      <c r="AC1408" s="912"/>
      <c r="AD1408" s="913"/>
      <c r="AE1408" s="669"/>
      <c r="AF1408" s="718"/>
      <c r="AG1408" s="211"/>
      <c r="AH1408" s="210"/>
    </row>
    <row r="1409" spans="1:34" s="4" customFormat="1">
      <c r="A1409" s="2"/>
      <c r="B1409" s="310"/>
      <c r="C1409" s="311"/>
      <c r="D1409" s="687"/>
      <c r="E1409" s="688"/>
      <c r="F1409" s="312"/>
      <c r="G1409" s="313"/>
      <c r="H1409" s="624"/>
      <c r="I1409" s="625"/>
      <c r="J1409" s="626"/>
      <c r="K1409" s="627"/>
      <c r="L1409" s="628"/>
      <c r="M1409" s="629"/>
      <c r="N1409" s="627"/>
      <c r="O1409" s="628"/>
      <c r="P1409" s="630"/>
      <c r="Q1409" s="631"/>
      <c r="R1409" s="715"/>
      <c r="S1409" s="990"/>
      <c r="T1409" s="632"/>
      <c r="U1409" s="633"/>
      <c r="V1409" s="634"/>
      <c r="W1409" s="635"/>
      <c r="X1409" s="636"/>
      <c r="Y1409" s="637"/>
      <c r="Z1409" s="733"/>
      <c r="AA1409" s="919"/>
      <c r="AB1409" s="1056"/>
      <c r="AC1409" s="912"/>
      <c r="AD1409" s="913"/>
      <c r="AE1409" s="669"/>
      <c r="AF1409" s="718"/>
      <c r="AG1409" s="211"/>
      <c r="AH1409" s="210"/>
    </row>
    <row r="1410" spans="1:34" s="4" customFormat="1">
      <c r="A1410" s="2"/>
      <c r="B1410" s="310"/>
      <c r="C1410" s="311"/>
      <c r="D1410" s="687"/>
      <c r="E1410" s="688"/>
      <c r="F1410" s="312"/>
      <c r="G1410" s="313"/>
      <c r="H1410" s="624"/>
      <c r="I1410" s="625"/>
      <c r="J1410" s="626"/>
      <c r="K1410" s="627"/>
      <c r="L1410" s="628"/>
      <c r="M1410" s="629"/>
      <c r="N1410" s="627"/>
      <c r="O1410" s="628"/>
      <c r="P1410" s="630"/>
      <c r="Q1410" s="631"/>
      <c r="R1410" s="715"/>
      <c r="S1410" s="990"/>
      <c r="T1410" s="632"/>
      <c r="U1410" s="633"/>
      <c r="V1410" s="634"/>
      <c r="W1410" s="635"/>
      <c r="X1410" s="636"/>
      <c r="Y1410" s="637"/>
      <c r="Z1410" s="733"/>
      <c r="AA1410" s="919"/>
      <c r="AB1410" s="1056"/>
      <c r="AC1410" s="912"/>
      <c r="AD1410" s="913"/>
      <c r="AE1410" s="669"/>
      <c r="AF1410" s="718"/>
      <c r="AG1410" s="211"/>
      <c r="AH1410" s="210"/>
    </row>
    <row r="1411" spans="1:34" s="4" customFormat="1">
      <c r="A1411" s="2"/>
      <c r="B1411" s="310"/>
      <c r="C1411" s="311"/>
      <c r="D1411" s="687"/>
      <c r="E1411" s="688"/>
      <c r="F1411" s="312"/>
      <c r="G1411" s="313"/>
      <c r="H1411" s="624"/>
      <c r="I1411" s="625"/>
      <c r="J1411" s="626"/>
      <c r="K1411" s="627"/>
      <c r="L1411" s="628"/>
      <c r="M1411" s="629"/>
      <c r="N1411" s="627"/>
      <c r="O1411" s="628"/>
      <c r="P1411" s="630"/>
      <c r="Q1411" s="631"/>
      <c r="R1411" s="715"/>
      <c r="S1411" s="990"/>
      <c r="T1411" s="632"/>
      <c r="U1411" s="633"/>
      <c r="V1411" s="634"/>
      <c r="W1411" s="635"/>
      <c r="X1411" s="636"/>
      <c r="Y1411" s="637"/>
      <c r="Z1411" s="733"/>
      <c r="AA1411" s="919"/>
      <c r="AB1411" s="1056"/>
      <c r="AC1411" s="912"/>
      <c r="AD1411" s="913"/>
      <c r="AE1411" s="669"/>
      <c r="AF1411" s="718"/>
      <c r="AG1411" s="211"/>
      <c r="AH1411" s="210"/>
    </row>
    <row r="1412" spans="1:34" s="4" customFormat="1">
      <c r="A1412" s="2"/>
      <c r="B1412" s="310"/>
      <c r="C1412" s="311"/>
      <c r="D1412" s="687"/>
      <c r="E1412" s="688"/>
      <c r="F1412" s="312"/>
      <c r="G1412" s="313"/>
      <c r="H1412" s="624"/>
      <c r="I1412" s="625"/>
      <c r="J1412" s="626"/>
      <c r="K1412" s="627"/>
      <c r="L1412" s="628"/>
      <c r="M1412" s="629"/>
      <c r="N1412" s="627"/>
      <c r="O1412" s="628"/>
      <c r="P1412" s="630"/>
      <c r="Q1412" s="631"/>
      <c r="R1412" s="715"/>
      <c r="S1412" s="990"/>
      <c r="T1412" s="632"/>
      <c r="U1412" s="633"/>
      <c r="V1412" s="634"/>
      <c r="W1412" s="635"/>
      <c r="X1412" s="636"/>
      <c r="Y1412" s="637"/>
      <c r="Z1412" s="733"/>
      <c r="AA1412" s="919"/>
      <c r="AB1412" s="1056"/>
      <c r="AC1412" s="912"/>
      <c r="AD1412" s="913"/>
      <c r="AE1412" s="669"/>
      <c r="AF1412" s="718"/>
      <c r="AG1412" s="211"/>
      <c r="AH1412" s="210"/>
    </row>
    <row r="1413" spans="1:34" s="4" customFormat="1">
      <c r="A1413" s="2"/>
      <c r="B1413" s="310"/>
      <c r="C1413" s="311"/>
      <c r="D1413" s="687"/>
      <c r="E1413" s="688"/>
      <c r="F1413" s="312"/>
      <c r="G1413" s="313"/>
      <c r="H1413" s="624"/>
      <c r="I1413" s="625"/>
      <c r="J1413" s="626"/>
      <c r="K1413" s="627"/>
      <c r="L1413" s="628"/>
      <c r="M1413" s="629"/>
      <c r="N1413" s="627"/>
      <c r="O1413" s="628"/>
      <c r="P1413" s="630"/>
      <c r="Q1413" s="631"/>
      <c r="R1413" s="715"/>
      <c r="S1413" s="990"/>
      <c r="T1413" s="632"/>
      <c r="U1413" s="633"/>
      <c r="V1413" s="634"/>
      <c r="W1413" s="635"/>
      <c r="X1413" s="636"/>
      <c r="Y1413" s="637"/>
      <c r="Z1413" s="733"/>
      <c r="AA1413" s="919"/>
      <c r="AB1413" s="1056"/>
      <c r="AC1413" s="912"/>
      <c r="AD1413" s="913"/>
      <c r="AE1413" s="669"/>
      <c r="AF1413" s="718"/>
      <c r="AG1413" s="211"/>
      <c r="AH1413" s="210"/>
    </row>
    <row r="1414" spans="1:34" s="4" customFormat="1">
      <c r="A1414" s="2"/>
      <c r="B1414" s="310"/>
      <c r="C1414" s="311"/>
      <c r="D1414" s="687"/>
      <c r="E1414" s="688"/>
      <c r="F1414" s="312"/>
      <c r="G1414" s="313"/>
      <c r="H1414" s="624"/>
      <c r="I1414" s="625"/>
      <c r="J1414" s="626"/>
      <c r="K1414" s="627"/>
      <c r="L1414" s="628"/>
      <c r="M1414" s="629"/>
      <c r="N1414" s="627"/>
      <c r="O1414" s="628"/>
      <c r="P1414" s="630"/>
      <c r="Q1414" s="631"/>
      <c r="R1414" s="715"/>
      <c r="S1414" s="990"/>
      <c r="T1414" s="632"/>
      <c r="U1414" s="633"/>
      <c r="V1414" s="634"/>
      <c r="W1414" s="635"/>
      <c r="X1414" s="636"/>
      <c r="Y1414" s="637"/>
      <c r="Z1414" s="733"/>
      <c r="AA1414" s="919"/>
      <c r="AB1414" s="1056"/>
      <c r="AC1414" s="912"/>
      <c r="AD1414" s="913"/>
      <c r="AE1414" s="669"/>
      <c r="AF1414" s="718"/>
      <c r="AG1414" s="211"/>
      <c r="AH1414" s="210"/>
    </row>
    <row r="1415" spans="1:34" s="4" customFormat="1">
      <c r="A1415" s="2"/>
      <c r="B1415" s="310"/>
      <c r="C1415" s="311"/>
      <c r="D1415" s="687"/>
      <c r="E1415" s="688"/>
      <c r="F1415" s="312"/>
      <c r="G1415" s="313"/>
      <c r="H1415" s="624"/>
      <c r="I1415" s="625"/>
      <c r="J1415" s="626"/>
      <c r="K1415" s="627"/>
      <c r="L1415" s="628"/>
      <c r="M1415" s="629"/>
      <c r="N1415" s="627"/>
      <c r="O1415" s="628"/>
      <c r="P1415" s="630"/>
      <c r="Q1415" s="631"/>
      <c r="R1415" s="715"/>
      <c r="S1415" s="990"/>
      <c r="T1415" s="632"/>
      <c r="U1415" s="633"/>
      <c r="V1415" s="634"/>
      <c r="W1415" s="635"/>
      <c r="X1415" s="636"/>
      <c r="Y1415" s="637"/>
      <c r="Z1415" s="733"/>
      <c r="AA1415" s="919"/>
      <c r="AB1415" s="1056"/>
      <c r="AC1415" s="912"/>
      <c r="AD1415" s="913"/>
      <c r="AE1415" s="669"/>
      <c r="AF1415" s="718"/>
      <c r="AG1415" s="211"/>
      <c r="AH1415" s="210"/>
    </row>
    <row r="1416" spans="1:34" s="4" customFormat="1">
      <c r="A1416" s="2"/>
      <c r="B1416" s="310"/>
      <c r="C1416" s="311"/>
      <c r="D1416" s="687"/>
      <c r="E1416" s="688"/>
      <c r="F1416" s="312"/>
      <c r="G1416" s="313"/>
      <c r="H1416" s="624"/>
      <c r="I1416" s="625"/>
      <c r="J1416" s="626"/>
      <c r="K1416" s="627"/>
      <c r="L1416" s="628"/>
      <c r="M1416" s="629"/>
      <c r="N1416" s="627"/>
      <c r="O1416" s="628"/>
      <c r="P1416" s="630"/>
      <c r="Q1416" s="631"/>
      <c r="R1416" s="715"/>
      <c r="S1416" s="990"/>
      <c r="T1416" s="632"/>
      <c r="U1416" s="633"/>
      <c r="V1416" s="634"/>
      <c r="W1416" s="635"/>
      <c r="X1416" s="636"/>
      <c r="Y1416" s="637"/>
      <c r="Z1416" s="733"/>
      <c r="AA1416" s="919"/>
      <c r="AB1416" s="1056"/>
      <c r="AC1416" s="912"/>
      <c r="AD1416" s="913"/>
      <c r="AE1416" s="669"/>
      <c r="AF1416" s="718"/>
      <c r="AG1416" s="211"/>
      <c r="AH1416" s="210"/>
    </row>
    <row r="1417" spans="1:34" s="4" customFormat="1">
      <c r="A1417" s="2"/>
      <c r="B1417" s="310"/>
      <c r="C1417" s="311"/>
      <c r="D1417" s="687"/>
      <c r="E1417" s="688"/>
      <c r="F1417" s="312"/>
      <c r="G1417" s="313"/>
      <c r="H1417" s="624"/>
      <c r="I1417" s="625"/>
      <c r="J1417" s="626"/>
      <c r="K1417" s="627"/>
      <c r="L1417" s="628"/>
      <c r="M1417" s="629"/>
      <c r="N1417" s="627"/>
      <c r="O1417" s="628"/>
      <c r="P1417" s="630"/>
      <c r="Q1417" s="631"/>
      <c r="R1417" s="715"/>
      <c r="S1417" s="990"/>
      <c r="T1417" s="632"/>
      <c r="U1417" s="633"/>
      <c r="V1417" s="634"/>
      <c r="W1417" s="635"/>
      <c r="X1417" s="636"/>
      <c r="Y1417" s="637"/>
      <c r="Z1417" s="733"/>
      <c r="AA1417" s="919"/>
      <c r="AB1417" s="1056"/>
      <c r="AC1417" s="912"/>
      <c r="AD1417" s="913"/>
      <c r="AE1417" s="669"/>
      <c r="AF1417" s="718"/>
      <c r="AG1417" s="211"/>
      <c r="AH1417" s="210"/>
    </row>
    <row r="1418" spans="1:34" s="4" customFormat="1">
      <c r="A1418" s="2"/>
      <c r="B1418" s="310"/>
      <c r="C1418" s="311"/>
      <c r="D1418" s="687"/>
      <c r="E1418" s="688"/>
      <c r="F1418" s="312"/>
      <c r="G1418" s="313"/>
      <c r="H1418" s="624"/>
      <c r="I1418" s="625"/>
      <c r="J1418" s="626"/>
      <c r="K1418" s="627"/>
      <c r="L1418" s="628"/>
      <c r="M1418" s="629"/>
      <c r="N1418" s="627"/>
      <c r="O1418" s="628"/>
      <c r="P1418" s="630"/>
      <c r="Q1418" s="631"/>
      <c r="R1418" s="715"/>
      <c r="S1418" s="990"/>
      <c r="T1418" s="632"/>
      <c r="U1418" s="633"/>
      <c r="V1418" s="634"/>
      <c r="W1418" s="635"/>
      <c r="X1418" s="636"/>
      <c r="Y1418" s="637"/>
      <c r="Z1418" s="733"/>
      <c r="AA1418" s="919"/>
      <c r="AB1418" s="1056"/>
      <c r="AC1418" s="912"/>
      <c r="AD1418" s="913"/>
      <c r="AE1418" s="669"/>
      <c r="AF1418" s="718"/>
      <c r="AG1418" s="211"/>
      <c r="AH1418" s="210"/>
    </row>
    <row r="1419" spans="1:34" s="4" customFormat="1">
      <c r="A1419" s="2"/>
      <c r="B1419" s="310"/>
      <c r="C1419" s="311"/>
      <c r="D1419" s="687"/>
      <c r="E1419" s="688"/>
      <c r="F1419" s="312"/>
      <c r="G1419" s="313"/>
      <c r="H1419" s="624"/>
      <c r="I1419" s="625"/>
      <c r="J1419" s="626"/>
      <c r="K1419" s="627"/>
      <c r="L1419" s="628"/>
      <c r="M1419" s="629"/>
      <c r="N1419" s="627"/>
      <c r="O1419" s="628"/>
      <c r="P1419" s="630"/>
      <c r="Q1419" s="631"/>
      <c r="R1419" s="715"/>
      <c r="S1419" s="990"/>
      <c r="T1419" s="632"/>
      <c r="U1419" s="633"/>
      <c r="V1419" s="634"/>
      <c r="W1419" s="635"/>
      <c r="X1419" s="636"/>
      <c r="Y1419" s="637"/>
      <c r="Z1419" s="733"/>
      <c r="AA1419" s="919"/>
      <c r="AB1419" s="1056"/>
      <c r="AC1419" s="912"/>
      <c r="AD1419" s="913"/>
      <c r="AE1419" s="669"/>
      <c r="AF1419" s="718"/>
      <c r="AG1419" s="211"/>
      <c r="AH1419" s="210"/>
    </row>
    <row r="1420" spans="1:34" s="4" customFormat="1">
      <c r="A1420" s="2"/>
      <c r="B1420" s="310"/>
      <c r="C1420" s="311"/>
      <c r="D1420" s="687"/>
      <c r="E1420" s="688"/>
      <c r="F1420" s="312"/>
      <c r="G1420" s="313"/>
      <c r="H1420" s="624"/>
      <c r="I1420" s="625"/>
      <c r="J1420" s="626"/>
      <c r="K1420" s="627"/>
      <c r="L1420" s="628"/>
      <c r="M1420" s="629"/>
      <c r="N1420" s="627"/>
      <c r="O1420" s="628"/>
      <c r="P1420" s="630"/>
      <c r="Q1420" s="631"/>
      <c r="R1420" s="715"/>
      <c r="S1420" s="990"/>
      <c r="T1420" s="632"/>
      <c r="U1420" s="633"/>
      <c r="V1420" s="634"/>
      <c r="W1420" s="635"/>
      <c r="X1420" s="636"/>
      <c r="Y1420" s="637"/>
      <c r="Z1420" s="733"/>
      <c r="AA1420" s="919"/>
      <c r="AB1420" s="1056"/>
      <c r="AC1420" s="912"/>
      <c r="AD1420" s="913"/>
      <c r="AE1420" s="669"/>
      <c r="AF1420" s="718"/>
      <c r="AG1420" s="211"/>
      <c r="AH1420" s="210"/>
    </row>
    <row r="1421" spans="1:34" s="4" customFormat="1">
      <c r="A1421" s="2"/>
      <c r="B1421" s="310"/>
      <c r="C1421" s="311"/>
      <c r="D1421" s="687"/>
      <c r="E1421" s="688"/>
      <c r="F1421" s="312"/>
      <c r="G1421" s="313"/>
      <c r="H1421" s="624"/>
      <c r="I1421" s="625"/>
      <c r="J1421" s="626"/>
      <c r="K1421" s="627"/>
      <c r="L1421" s="628"/>
      <c r="M1421" s="629"/>
      <c r="N1421" s="627"/>
      <c r="O1421" s="628"/>
      <c r="P1421" s="630"/>
      <c r="Q1421" s="631"/>
      <c r="R1421" s="715"/>
      <c r="S1421" s="990"/>
      <c r="T1421" s="632"/>
      <c r="U1421" s="633"/>
      <c r="V1421" s="634"/>
      <c r="W1421" s="635"/>
      <c r="X1421" s="636"/>
      <c r="Y1421" s="637"/>
      <c r="Z1421" s="733"/>
      <c r="AA1421" s="919"/>
      <c r="AB1421" s="1056"/>
      <c r="AC1421" s="912"/>
      <c r="AD1421" s="913"/>
      <c r="AE1421" s="669"/>
      <c r="AF1421" s="718"/>
      <c r="AG1421" s="211"/>
      <c r="AH1421" s="210"/>
    </row>
    <row r="1422" spans="1:34" s="4" customFormat="1">
      <c r="A1422" s="2"/>
      <c r="B1422" s="310"/>
      <c r="C1422" s="311"/>
      <c r="D1422" s="687"/>
      <c r="E1422" s="688"/>
      <c r="F1422" s="312"/>
      <c r="G1422" s="313"/>
      <c r="H1422" s="624"/>
      <c r="I1422" s="625"/>
      <c r="J1422" s="626"/>
      <c r="K1422" s="627"/>
      <c r="L1422" s="628"/>
      <c r="M1422" s="629"/>
      <c r="N1422" s="627"/>
      <c r="O1422" s="628"/>
      <c r="P1422" s="630"/>
      <c r="Q1422" s="631"/>
      <c r="R1422" s="715"/>
      <c r="S1422" s="990"/>
      <c r="T1422" s="632"/>
      <c r="U1422" s="633"/>
      <c r="V1422" s="634"/>
      <c r="W1422" s="635"/>
      <c r="X1422" s="636"/>
      <c r="Y1422" s="637"/>
      <c r="Z1422" s="733"/>
      <c r="AA1422" s="919"/>
      <c r="AB1422" s="1056"/>
      <c r="AC1422" s="912"/>
      <c r="AD1422" s="913"/>
      <c r="AE1422" s="669"/>
      <c r="AF1422" s="718"/>
      <c r="AG1422" s="211"/>
      <c r="AH1422" s="210"/>
    </row>
    <row r="1423" spans="1:34" s="4" customFormat="1">
      <c r="A1423" s="2"/>
      <c r="B1423" s="310"/>
      <c r="C1423" s="311"/>
      <c r="D1423" s="687"/>
      <c r="E1423" s="688"/>
      <c r="F1423" s="312"/>
      <c r="G1423" s="313"/>
      <c r="H1423" s="624"/>
      <c r="I1423" s="625"/>
      <c r="J1423" s="626"/>
      <c r="K1423" s="627"/>
      <c r="L1423" s="628"/>
      <c r="M1423" s="629"/>
      <c r="N1423" s="627"/>
      <c r="O1423" s="628"/>
      <c r="P1423" s="630"/>
      <c r="Q1423" s="631"/>
      <c r="R1423" s="715"/>
      <c r="S1423" s="990"/>
      <c r="T1423" s="632"/>
      <c r="U1423" s="633"/>
      <c r="V1423" s="634"/>
      <c r="W1423" s="635"/>
      <c r="X1423" s="636"/>
      <c r="Y1423" s="637"/>
      <c r="Z1423" s="733"/>
      <c r="AA1423" s="919"/>
      <c r="AB1423" s="1056"/>
      <c r="AC1423" s="912"/>
      <c r="AD1423" s="913"/>
      <c r="AE1423" s="669"/>
      <c r="AF1423" s="718"/>
      <c r="AG1423" s="211"/>
      <c r="AH1423" s="210"/>
    </row>
    <row r="1424" spans="1:34" s="4" customFormat="1">
      <c r="A1424" s="2"/>
      <c r="B1424" s="310"/>
      <c r="C1424" s="311"/>
      <c r="D1424" s="687"/>
      <c r="E1424" s="688"/>
      <c r="F1424" s="312"/>
      <c r="G1424" s="313"/>
      <c r="H1424" s="624"/>
      <c r="I1424" s="625"/>
      <c r="J1424" s="626"/>
      <c r="K1424" s="627"/>
      <c r="L1424" s="628"/>
      <c r="M1424" s="629"/>
      <c r="N1424" s="627"/>
      <c r="O1424" s="628"/>
      <c r="P1424" s="630"/>
      <c r="Q1424" s="631"/>
      <c r="R1424" s="715"/>
      <c r="S1424" s="990"/>
      <c r="T1424" s="632"/>
      <c r="U1424" s="633"/>
      <c r="V1424" s="634"/>
      <c r="W1424" s="635"/>
      <c r="X1424" s="636"/>
      <c r="Y1424" s="637"/>
      <c r="Z1424" s="733"/>
      <c r="AA1424" s="919"/>
      <c r="AB1424" s="1056"/>
      <c r="AC1424" s="912"/>
      <c r="AD1424" s="913"/>
      <c r="AE1424" s="669"/>
      <c r="AF1424" s="718"/>
      <c r="AG1424" s="211"/>
      <c r="AH1424" s="210"/>
    </row>
    <row r="1425" spans="1:34" s="4" customFormat="1">
      <c r="A1425" s="2"/>
      <c r="B1425" s="310"/>
      <c r="C1425" s="311"/>
      <c r="D1425" s="687"/>
      <c r="E1425" s="688"/>
      <c r="F1425" s="312"/>
      <c r="G1425" s="313"/>
      <c r="H1425" s="624"/>
      <c r="I1425" s="625"/>
      <c r="J1425" s="626"/>
      <c r="K1425" s="627"/>
      <c r="L1425" s="628"/>
      <c r="M1425" s="629"/>
      <c r="N1425" s="627"/>
      <c r="O1425" s="628"/>
      <c r="P1425" s="630"/>
      <c r="Q1425" s="631"/>
      <c r="R1425" s="715"/>
      <c r="S1425" s="990"/>
      <c r="T1425" s="632"/>
      <c r="U1425" s="633"/>
      <c r="V1425" s="634"/>
      <c r="W1425" s="635"/>
      <c r="X1425" s="636"/>
      <c r="Y1425" s="637"/>
      <c r="Z1425" s="733"/>
      <c r="AA1425" s="919"/>
      <c r="AB1425" s="1056"/>
      <c r="AC1425" s="912"/>
      <c r="AD1425" s="913"/>
      <c r="AE1425" s="669"/>
      <c r="AF1425" s="718"/>
      <c r="AG1425" s="211"/>
      <c r="AH1425" s="210"/>
    </row>
    <row r="1426" spans="1:34" s="4" customFormat="1">
      <c r="A1426" s="2"/>
      <c r="B1426" s="310"/>
      <c r="C1426" s="311"/>
      <c r="D1426" s="687"/>
      <c r="E1426" s="688"/>
      <c r="F1426" s="312"/>
      <c r="G1426" s="313"/>
      <c r="H1426" s="624"/>
      <c r="I1426" s="625"/>
      <c r="J1426" s="626"/>
      <c r="K1426" s="627"/>
      <c r="L1426" s="628"/>
      <c r="M1426" s="629"/>
      <c r="N1426" s="627"/>
      <c r="O1426" s="628"/>
      <c r="P1426" s="630"/>
      <c r="Q1426" s="631"/>
      <c r="R1426" s="715"/>
      <c r="S1426" s="990"/>
      <c r="T1426" s="632"/>
      <c r="U1426" s="633"/>
      <c r="V1426" s="634"/>
      <c r="W1426" s="635"/>
      <c r="X1426" s="636"/>
      <c r="Y1426" s="637"/>
      <c r="Z1426" s="733"/>
      <c r="AA1426" s="919"/>
      <c r="AB1426" s="1056"/>
      <c r="AC1426" s="912"/>
      <c r="AD1426" s="913"/>
      <c r="AE1426" s="669"/>
      <c r="AF1426" s="718"/>
      <c r="AG1426" s="211"/>
      <c r="AH1426" s="210"/>
    </row>
    <row r="1427" spans="1:34" s="4" customFormat="1">
      <c r="A1427" s="2"/>
      <c r="B1427" s="310"/>
      <c r="C1427" s="311"/>
      <c r="D1427" s="687"/>
      <c r="E1427" s="688"/>
      <c r="F1427" s="312"/>
      <c r="G1427" s="313"/>
      <c r="H1427" s="624"/>
      <c r="I1427" s="625"/>
      <c r="J1427" s="626"/>
      <c r="K1427" s="627"/>
      <c r="L1427" s="628"/>
      <c r="M1427" s="629"/>
      <c r="N1427" s="627"/>
      <c r="O1427" s="628"/>
      <c r="P1427" s="630"/>
      <c r="Q1427" s="631"/>
      <c r="R1427" s="715"/>
      <c r="S1427" s="990"/>
      <c r="T1427" s="632"/>
      <c r="U1427" s="633"/>
      <c r="V1427" s="634"/>
      <c r="W1427" s="635"/>
      <c r="X1427" s="636"/>
      <c r="Y1427" s="637"/>
      <c r="Z1427" s="733"/>
      <c r="AA1427" s="919"/>
      <c r="AB1427" s="1056"/>
      <c r="AC1427" s="912"/>
      <c r="AD1427" s="913"/>
      <c r="AE1427" s="669"/>
      <c r="AF1427" s="718"/>
      <c r="AG1427" s="211"/>
      <c r="AH1427" s="210"/>
    </row>
    <row r="1428" spans="1:34" s="4" customFormat="1">
      <c r="A1428" s="2"/>
      <c r="B1428" s="310"/>
      <c r="C1428" s="311"/>
      <c r="D1428" s="687"/>
      <c r="E1428" s="688"/>
      <c r="F1428" s="312"/>
      <c r="G1428" s="313"/>
      <c r="H1428" s="624"/>
      <c r="I1428" s="625"/>
      <c r="J1428" s="626"/>
      <c r="K1428" s="627"/>
      <c r="L1428" s="628"/>
      <c r="M1428" s="629"/>
      <c r="N1428" s="627"/>
      <c r="O1428" s="628"/>
      <c r="P1428" s="630"/>
      <c r="Q1428" s="631"/>
      <c r="R1428" s="715"/>
      <c r="S1428" s="990"/>
      <c r="T1428" s="632"/>
      <c r="U1428" s="633"/>
      <c r="V1428" s="634"/>
      <c r="W1428" s="635"/>
      <c r="X1428" s="636"/>
      <c r="Y1428" s="637"/>
      <c r="Z1428" s="733"/>
      <c r="AA1428" s="919"/>
      <c r="AB1428" s="1056"/>
      <c r="AC1428" s="912"/>
      <c r="AD1428" s="913"/>
      <c r="AE1428" s="669"/>
      <c r="AF1428" s="718"/>
      <c r="AG1428" s="211"/>
      <c r="AH1428" s="210"/>
    </row>
    <row r="1429" spans="1:34" s="4" customFormat="1">
      <c r="A1429" s="2"/>
      <c r="B1429" s="310"/>
      <c r="C1429" s="311"/>
      <c r="D1429" s="687"/>
      <c r="E1429" s="688"/>
      <c r="F1429" s="312"/>
      <c r="G1429" s="313"/>
      <c r="H1429" s="624"/>
      <c r="I1429" s="625"/>
      <c r="J1429" s="626"/>
      <c r="K1429" s="627"/>
      <c r="L1429" s="628"/>
      <c r="M1429" s="629"/>
      <c r="N1429" s="627"/>
      <c r="O1429" s="628"/>
      <c r="P1429" s="630"/>
      <c r="Q1429" s="631"/>
      <c r="R1429" s="715"/>
      <c r="S1429" s="990"/>
      <c r="T1429" s="632"/>
      <c r="U1429" s="633"/>
      <c r="V1429" s="634"/>
      <c r="W1429" s="635"/>
      <c r="X1429" s="636"/>
      <c r="Y1429" s="637"/>
      <c r="Z1429" s="733"/>
      <c r="AA1429" s="919"/>
      <c r="AB1429" s="1056"/>
      <c r="AC1429" s="912"/>
      <c r="AD1429" s="913"/>
      <c r="AE1429" s="669"/>
      <c r="AF1429" s="718"/>
      <c r="AG1429" s="211"/>
      <c r="AH1429" s="210"/>
    </row>
    <row r="1430" spans="1:34" s="4" customFormat="1">
      <c r="A1430" s="2"/>
      <c r="B1430" s="310"/>
      <c r="C1430" s="311"/>
      <c r="D1430" s="687"/>
      <c r="E1430" s="688"/>
      <c r="F1430" s="312"/>
      <c r="G1430" s="313"/>
      <c r="H1430" s="624"/>
      <c r="I1430" s="625"/>
      <c r="J1430" s="626"/>
      <c r="K1430" s="627"/>
      <c r="L1430" s="628"/>
      <c r="M1430" s="629"/>
      <c r="N1430" s="627"/>
      <c r="O1430" s="628"/>
      <c r="P1430" s="630"/>
      <c r="Q1430" s="631"/>
      <c r="R1430" s="715"/>
      <c r="S1430" s="990"/>
      <c r="T1430" s="632"/>
      <c r="U1430" s="633"/>
      <c r="V1430" s="634"/>
      <c r="W1430" s="635"/>
      <c r="X1430" s="636"/>
      <c r="Y1430" s="637"/>
      <c r="Z1430" s="733"/>
      <c r="AA1430" s="919"/>
      <c r="AB1430" s="1056"/>
      <c r="AC1430" s="912"/>
      <c r="AD1430" s="913"/>
      <c r="AE1430" s="669"/>
      <c r="AF1430" s="718"/>
      <c r="AG1430" s="211"/>
      <c r="AH1430" s="210"/>
    </row>
    <row r="1431" spans="1:34" s="4" customFormat="1">
      <c r="A1431" s="2"/>
      <c r="B1431" s="310"/>
      <c r="C1431" s="311"/>
      <c r="D1431" s="687"/>
      <c r="E1431" s="688"/>
      <c r="F1431" s="312"/>
      <c r="G1431" s="313"/>
      <c r="H1431" s="624"/>
      <c r="I1431" s="625"/>
      <c r="J1431" s="626"/>
      <c r="K1431" s="627"/>
      <c r="L1431" s="628"/>
      <c r="M1431" s="629"/>
      <c r="N1431" s="627"/>
      <c r="O1431" s="628"/>
      <c r="P1431" s="630"/>
      <c r="Q1431" s="631"/>
      <c r="R1431" s="715"/>
      <c r="S1431" s="990"/>
      <c r="T1431" s="632"/>
      <c r="U1431" s="633"/>
      <c r="V1431" s="634"/>
      <c r="W1431" s="635"/>
      <c r="X1431" s="636"/>
      <c r="Y1431" s="637"/>
      <c r="Z1431" s="733"/>
      <c r="AA1431" s="919"/>
      <c r="AB1431" s="1056"/>
      <c r="AC1431" s="912"/>
      <c r="AD1431" s="913"/>
      <c r="AE1431" s="669"/>
      <c r="AF1431" s="718"/>
      <c r="AG1431" s="211"/>
      <c r="AH1431" s="210"/>
    </row>
    <row r="1432" spans="1:34" s="4" customFormat="1">
      <c r="A1432" s="2"/>
      <c r="B1432" s="310"/>
      <c r="C1432" s="311"/>
      <c r="D1432" s="687"/>
      <c r="E1432" s="688"/>
      <c r="F1432" s="312"/>
      <c r="G1432" s="313"/>
      <c r="H1432" s="624"/>
      <c r="I1432" s="625"/>
      <c r="J1432" s="626"/>
      <c r="K1432" s="627"/>
      <c r="L1432" s="628"/>
      <c r="M1432" s="629"/>
      <c r="N1432" s="627"/>
      <c r="O1432" s="628"/>
      <c r="P1432" s="630"/>
      <c r="Q1432" s="631"/>
      <c r="R1432" s="715"/>
      <c r="S1432" s="990"/>
      <c r="T1432" s="632"/>
      <c r="U1432" s="633"/>
      <c r="V1432" s="634"/>
      <c r="W1432" s="635"/>
      <c r="X1432" s="636"/>
      <c r="Y1432" s="637"/>
      <c r="Z1432" s="733"/>
      <c r="AA1432" s="919"/>
      <c r="AB1432" s="1056"/>
      <c r="AC1432" s="912"/>
      <c r="AD1432" s="913"/>
      <c r="AE1432" s="669"/>
      <c r="AF1432" s="718"/>
      <c r="AG1432" s="211"/>
      <c r="AH1432" s="210"/>
    </row>
    <row r="1433" spans="1:34" s="4" customFormat="1">
      <c r="A1433" s="2"/>
      <c r="B1433" s="310"/>
      <c r="C1433" s="311"/>
      <c r="D1433" s="687"/>
      <c r="E1433" s="688"/>
      <c r="F1433" s="312"/>
      <c r="G1433" s="313"/>
      <c r="H1433" s="624"/>
      <c r="I1433" s="625"/>
      <c r="J1433" s="626"/>
      <c r="K1433" s="627"/>
      <c r="L1433" s="628"/>
      <c r="M1433" s="629"/>
      <c r="N1433" s="627"/>
      <c r="O1433" s="628"/>
      <c r="P1433" s="630"/>
      <c r="Q1433" s="631"/>
      <c r="R1433" s="715"/>
      <c r="S1433" s="990"/>
      <c r="T1433" s="632"/>
      <c r="U1433" s="633"/>
      <c r="V1433" s="634"/>
      <c r="W1433" s="635"/>
      <c r="X1433" s="636"/>
      <c r="Y1433" s="637"/>
      <c r="Z1433" s="733"/>
      <c r="AA1433" s="919"/>
      <c r="AB1433" s="1056"/>
      <c r="AC1433" s="912"/>
      <c r="AD1433" s="913"/>
      <c r="AE1433" s="669"/>
      <c r="AF1433" s="718"/>
      <c r="AG1433" s="211"/>
      <c r="AH1433" s="210"/>
    </row>
    <row r="1434" spans="1:34" s="4" customFormat="1">
      <c r="A1434" s="2"/>
      <c r="B1434" s="310"/>
      <c r="C1434" s="311"/>
      <c r="D1434" s="687"/>
      <c r="E1434" s="688"/>
      <c r="F1434" s="312"/>
      <c r="G1434" s="313"/>
      <c r="H1434" s="624"/>
      <c r="I1434" s="625"/>
      <c r="J1434" s="626"/>
      <c r="K1434" s="627"/>
      <c r="L1434" s="628"/>
      <c r="M1434" s="629"/>
      <c r="N1434" s="627"/>
      <c r="O1434" s="628"/>
      <c r="P1434" s="630"/>
      <c r="Q1434" s="631"/>
      <c r="R1434" s="715"/>
      <c r="S1434" s="990"/>
      <c r="T1434" s="632"/>
      <c r="U1434" s="633"/>
      <c r="V1434" s="634"/>
      <c r="W1434" s="635"/>
      <c r="X1434" s="636"/>
      <c r="Y1434" s="637"/>
      <c r="Z1434" s="733"/>
      <c r="AA1434" s="919"/>
      <c r="AB1434" s="1056"/>
      <c r="AC1434" s="912"/>
      <c r="AD1434" s="913"/>
      <c r="AE1434" s="669"/>
      <c r="AF1434" s="718"/>
      <c r="AG1434" s="211"/>
      <c r="AH1434" s="210"/>
    </row>
    <row r="1435" spans="1:34" s="4" customFormat="1">
      <c r="A1435" s="2"/>
      <c r="B1435" s="310"/>
      <c r="C1435" s="311"/>
      <c r="D1435" s="687"/>
      <c r="E1435" s="688"/>
      <c r="F1435" s="312"/>
      <c r="G1435" s="313"/>
      <c r="H1435" s="624"/>
      <c r="I1435" s="625"/>
      <c r="J1435" s="626"/>
      <c r="K1435" s="627"/>
      <c r="L1435" s="628"/>
      <c r="M1435" s="629"/>
      <c r="N1435" s="627"/>
      <c r="O1435" s="628"/>
      <c r="P1435" s="630"/>
      <c r="Q1435" s="631"/>
      <c r="R1435" s="715"/>
      <c r="S1435" s="990"/>
      <c r="T1435" s="632"/>
      <c r="U1435" s="633"/>
      <c r="V1435" s="634"/>
      <c r="W1435" s="635"/>
      <c r="X1435" s="636"/>
      <c r="Y1435" s="637"/>
      <c r="Z1435" s="733"/>
      <c r="AA1435" s="919"/>
      <c r="AB1435" s="1056"/>
      <c r="AC1435" s="912"/>
      <c r="AD1435" s="913"/>
      <c r="AE1435" s="669"/>
      <c r="AF1435" s="718"/>
      <c r="AG1435" s="211"/>
      <c r="AH1435" s="210"/>
    </row>
    <row r="1436" spans="1:34" s="4" customFormat="1">
      <c r="A1436" s="2"/>
      <c r="B1436" s="310"/>
      <c r="C1436" s="311"/>
      <c r="D1436" s="687"/>
      <c r="E1436" s="688"/>
      <c r="F1436" s="312"/>
      <c r="G1436" s="313"/>
      <c r="H1436" s="624"/>
      <c r="I1436" s="625"/>
      <c r="J1436" s="626"/>
      <c r="K1436" s="627"/>
      <c r="L1436" s="628"/>
      <c r="M1436" s="629"/>
      <c r="N1436" s="627"/>
      <c r="O1436" s="628"/>
      <c r="P1436" s="630"/>
      <c r="Q1436" s="631"/>
      <c r="R1436" s="715"/>
      <c r="S1436" s="990"/>
      <c r="T1436" s="632"/>
      <c r="U1436" s="633"/>
      <c r="V1436" s="634"/>
      <c r="W1436" s="635"/>
      <c r="X1436" s="636"/>
      <c r="Y1436" s="637"/>
      <c r="Z1436" s="733"/>
      <c r="AA1436" s="919"/>
      <c r="AB1436" s="1056"/>
      <c r="AC1436" s="912"/>
      <c r="AD1436" s="913"/>
      <c r="AE1436" s="669"/>
      <c r="AF1436" s="718"/>
      <c r="AG1436" s="211"/>
      <c r="AH1436" s="210"/>
    </row>
    <row r="1437" spans="1:34" s="4" customFormat="1">
      <c r="A1437" s="2"/>
      <c r="B1437" s="310"/>
      <c r="C1437" s="311"/>
      <c r="D1437" s="687"/>
      <c r="E1437" s="688"/>
      <c r="F1437" s="312"/>
      <c r="G1437" s="313"/>
      <c r="H1437" s="624"/>
      <c r="I1437" s="625"/>
      <c r="J1437" s="626"/>
      <c r="K1437" s="627"/>
      <c r="L1437" s="628"/>
      <c r="M1437" s="629"/>
      <c r="N1437" s="627"/>
      <c r="O1437" s="628"/>
      <c r="P1437" s="630"/>
      <c r="Q1437" s="631"/>
      <c r="R1437" s="715"/>
      <c r="S1437" s="990"/>
      <c r="T1437" s="632"/>
      <c r="U1437" s="633"/>
      <c r="V1437" s="634"/>
      <c r="W1437" s="635"/>
      <c r="X1437" s="636"/>
      <c r="Y1437" s="637"/>
      <c r="Z1437" s="733"/>
      <c r="AA1437" s="919"/>
      <c r="AB1437" s="1056"/>
      <c r="AC1437" s="912"/>
      <c r="AD1437" s="913"/>
      <c r="AE1437" s="669"/>
      <c r="AF1437" s="718"/>
      <c r="AG1437" s="211"/>
      <c r="AH1437" s="210"/>
    </row>
    <row r="1438" spans="1:34" s="4" customFormat="1">
      <c r="A1438" s="2"/>
      <c r="B1438" s="310"/>
      <c r="C1438" s="311"/>
      <c r="D1438" s="687"/>
      <c r="E1438" s="688"/>
      <c r="F1438" s="312"/>
      <c r="G1438" s="313"/>
      <c r="H1438" s="624"/>
      <c r="I1438" s="625"/>
      <c r="J1438" s="626"/>
      <c r="K1438" s="627"/>
      <c r="L1438" s="628"/>
      <c r="M1438" s="629"/>
      <c r="N1438" s="627"/>
      <c r="O1438" s="628"/>
      <c r="P1438" s="630"/>
      <c r="Q1438" s="631"/>
      <c r="R1438" s="715"/>
      <c r="S1438" s="990"/>
      <c r="T1438" s="632"/>
      <c r="U1438" s="633"/>
      <c r="V1438" s="634"/>
      <c r="W1438" s="635"/>
      <c r="X1438" s="636"/>
      <c r="Y1438" s="637"/>
      <c r="Z1438" s="733"/>
      <c r="AA1438" s="919"/>
      <c r="AB1438" s="1056"/>
      <c r="AC1438" s="912"/>
      <c r="AD1438" s="913"/>
      <c r="AE1438" s="669"/>
      <c r="AF1438" s="718"/>
      <c r="AG1438" s="211"/>
      <c r="AH1438" s="210"/>
    </row>
    <row r="1439" spans="1:34" s="4" customFormat="1">
      <c r="A1439" s="2"/>
      <c r="B1439" s="310"/>
      <c r="C1439" s="311"/>
      <c r="D1439" s="687"/>
      <c r="E1439" s="688"/>
      <c r="F1439" s="312"/>
      <c r="G1439" s="313"/>
      <c r="H1439" s="624"/>
      <c r="I1439" s="625"/>
      <c r="J1439" s="626"/>
      <c r="K1439" s="627"/>
      <c r="L1439" s="628"/>
      <c r="M1439" s="629"/>
      <c r="N1439" s="627"/>
      <c r="O1439" s="628"/>
      <c r="P1439" s="630"/>
      <c r="Q1439" s="631"/>
      <c r="R1439" s="715"/>
      <c r="S1439" s="990"/>
      <c r="T1439" s="632"/>
      <c r="U1439" s="633"/>
      <c r="V1439" s="634"/>
      <c r="W1439" s="635"/>
      <c r="X1439" s="636"/>
      <c r="Y1439" s="637"/>
      <c r="Z1439" s="733"/>
      <c r="AA1439" s="919"/>
      <c r="AB1439" s="1056"/>
      <c r="AC1439" s="912"/>
      <c r="AD1439" s="913"/>
      <c r="AE1439" s="669"/>
      <c r="AF1439" s="718"/>
      <c r="AG1439" s="211"/>
      <c r="AH1439" s="210"/>
    </row>
    <row r="1440" spans="1:34" s="4" customFormat="1">
      <c r="A1440" s="2"/>
      <c r="B1440" s="310"/>
      <c r="C1440" s="311"/>
      <c r="D1440" s="687"/>
      <c r="E1440" s="688"/>
      <c r="F1440" s="312"/>
      <c r="G1440" s="313"/>
      <c r="H1440" s="624"/>
      <c r="I1440" s="625"/>
      <c r="J1440" s="626"/>
      <c r="K1440" s="627"/>
      <c r="L1440" s="628"/>
      <c r="M1440" s="629"/>
      <c r="N1440" s="627"/>
      <c r="O1440" s="628"/>
      <c r="P1440" s="630"/>
      <c r="Q1440" s="631"/>
      <c r="R1440" s="715"/>
      <c r="S1440" s="990"/>
      <c r="T1440" s="632"/>
      <c r="U1440" s="633"/>
      <c r="V1440" s="634"/>
      <c r="W1440" s="635"/>
      <c r="X1440" s="636"/>
      <c r="Y1440" s="637"/>
      <c r="Z1440" s="733"/>
      <c r="AA1440" s="919"/>
      <c r="AB1440" s="1056"/>
      <c r="AC1440" s="912"/>
      <c r="AD1440" s="913"/>
      <c r="AE1440" s="669"/>
      <c r="AF1440" s="718"/>
      <c r="AG1440" s="211"/>
      <c r="AH1440" s="210"/>
    </row>
    <row r="1441" spans="1:34" s="4" customFormat="1">
      <c r="A1441" s="2"/>
      <c r="B1441" s="310"/>
      <c r="C1441" s="311"/>
      <c r="D1441" s="687"/>
      <c r="E1441" s="688"/>
      <c r="F1441" s="312"/>
      <c r="G1441" s="313"/>
      <c r="H1441" s="624"/>
      <c r="I1441" s="625"/>
      <c r="J1441" s="626"/>
      <c r="K1441" s="627"/>
      <c r="L1441" s="628"/>
      <c r="M1441" s="629"/>
      <c r="N1441" s="627"/>
      <c r="O1441" s="628"/>
      <c r="P1441" s="630"/>
      <c r="Q1441" s="631"/>
      <c r="R1441" s="715"/>
      <c r="S1441" s="990"/>
      <c r="T1441" s="632"/>
      <c r="U1441" s="633"/>
      <c r="V1441" s="634"/>
      <c r="W1441" s="635"/>
      <c r="X1441" s="636"/>
      <c r="Y1441" s="637"/>
      <c r="Z1441" s="733"/>
      <c r="AA1441" s="919"/>
      <c r="AB1441" s="1056"/>
      <c r="AC1441" s="912"/>
      <c r="AD1441" s="913"/>
      <c r="AE1441" s="669"/>
      <c r="AF1441" s="718"/>
      <c r="AG1441" s="211"/>
      <c r="AH1441" s="210"/>
    </row>
    <row r="1442" spans="1:34" s="4" customFormat="1">
      <c r="A1442" s="2"/>
      <c r="B1442" s="310"/>
      <c r="C1442" s="311"/>
      <c r="D1442" s="687"/>
      <c r="E1442" s="688"/>
      <c r="F1442" s="312"/>
      <c r="G1442" s="313"/>
      <c r="H1442" s="624"/>
      <c r="I1442" s="625"/>
      <c r="J1442" s="626"/>
      <c r="K1442" s="627"/>
      <c r="L1442" s="628"/>
      <c r="M1442" s="629"/>
      <c r="N1442" s="627"/>
      <c r="O1442" s="628"/>
      <c r="P1442" s="630"/>
      <c r="Q1442" s="631"/>
      <c r="R1442" s="715"/>
      <c r="S1442" s="990"/>
      <c r="T1442" s="632"/>
      <c r="U1442" s="633"/>
      <c r="V1442" s="634"/>
      <c r="W1442" s="635"/>
      <c r="X1442" s="636"/>
      <c r="Y1442" s="637"/>
      <c r="Z1442" s="733"/>
      <c r="AA1442" s="919"/>
      <c r="AB1442" s="1056"/>
      <c r="AC1442" s="912"/>
      <c r="AD1442" s="913"/>
      <c r="AE1442" s="669"/>
      <c r="AF1442" s="718"/>
      <c r="AG1442" s="211"/>
      <c r="AH1442" s="210"/>
    </row>
    <row r="1443" spans="1:34" s="4" customFormat="1">
      <c r="A1443" s="2"/>
      <c r="B1443" s="310"/>
      <c r="C1443" s="311"/>
      <c r="D1443" s="687"/>
      <c r="E1443" s="688"/>
      <c r="F1443" s="312"/>
      <c r="G1443" s="313"/>
      <c r="H1443" s="624"/>
      <c r="I1443" s="625"/>
      <c r="J1443" s="626"/>
      <c r="K1443" s="627"/>
      <c r="L1443" s="628"/>
      <c r="M1443" s="629"/>
      <c r="N1443" s="627"/>
      <c r="O1443" s="628"/>
      <c r="P1443" s="630"/>
      <c r="Q1443" s="631"/>
      <c r="R1443" s="715"/>
      <c r="S1443" s="990"/>
      <c r="T1443" s="632"/>
      <c r="U1443" s="633"/>
      <c r="V1443" s="634"/>
      <c r="W1443" s="635"/>
      <c r="X1443" s="636"/>
      <c r="Y1443" s="637"/>
      <c r="Z1443" s="733"/>
      <c r="AA1443" s="919"/>
      <c r="AB1443" s="1056"/>
      <c r="AC1443" s="912"/>
      <c r="AD1443" s="913"/>
      <c r="AE1443" s="669"/>
      <c r="AF1443" s="718"/>
      <c r="AG1443" s="211"/>
      <c r="AH1443" s="210"/>
    </row>
    <row r="1444" spans="1:34" s="4" customFormat="1">
      <c r="A1444" s="2"/>
      <c r="B1444" s="310"/>
      <c r="C1444" s="311"/>
      <c r="D1444" s="687"/>
      <c r="E1444" s="688"/>
      <c r="F1444" s="312"/>
      <c r="G1444" s="313"/>
      <c r="H1444" s="624"/>
      <c r="I1444" s="625"/>
      <c r="J1444" s="626"/>
      <c r="K1444" s="627"/>
      <c r="L1444" s="628"/>
      <c r="M1444" s="629"/>
      <c r="N1444" s="627"/>
      <c r="O1444" s="628"/>
      <c r="P1444" s="630"/>
      <c r="Q1444" s="631"/>
      <c r="R1444" s="715"/>
      <c r="S1444" s="990"/>
      <c r="T1444" s="632"/>
      <c r="U1444" s="633"/>
      <c r="V1444" s="634"/>
      <c r="W1444" s="635"/>
      <c r="X1444" s="636"/>
      <c r="Y1444" s="637"/>
      <c r="Z1444" s="733"/>
      <c r="AA1444" s="919"/>
      <c r="AB1444" s="1056"/>
      <c r="AC1444" s="912"/>
      <c r="AD1444" s="913"/>
      <c r="AE1444" s="669"/>
      <c r="AF1444" s="718"/>
      <c r="AG1444" s="211"/>
      <c r="AH1444" s="210"/>
    </row>
    <row r="1445" spans="1:34" s="4" customFormat="1">
      <c r="A1445" s="2"/>
      <c r="B1445" s="310"/>
      <c r="C1445" s="311"/>
      <c r="D1445" s="687"/>
      <c r="E1445" s="688"/>
      <c r="F1445" s="312"/>
      <c r="G1445" s="313"/>
      <c r="H1445" s="624"/>
      <c r="I1445" s="625"/>
      <c r="J1445" s="626"/>
      <c r="K1445" s="627"/>
      <c r="L1445" s="628"/>
      <c r="M1445" s="629"/>
      <c r="N1445" s="627"/>
      <c r="O1445" s="628"/>
      <c r="P1445" s="630"/>
      <c r="Q1445" s="631"/>
      <c r="R1445" s="715"/>
      <c r="S1445" s="990"/>
      <c r="T1445" s="632"/>
      <c r="U1445" s="633"/>
      <c r="V1445" s="634"/>
      <c r="W1445" s="635"/>
      <c r="X1445" s="636"/>
      <c r="Y1445" s="637"/>
      <c r="Z1445" s="733"/>
      <c r="AA1445" s="919"/>
      <c r="AB1445" s="1056"/>
      <c r="AC1445" s="912"/>
      <c r="AD1445" s="913"/>
      <c r="AE1445" s="669"/>
      <c r="AF1445" s="718"/>
      <c r="AG1445" s="211"/>
      <c r="AH1445" s="210"/>
    </row>
    <row r="1446" spans="1:34" s="4" customFormat="1">
      <c r="A1446" s="2"/>
      <c r="B1446" s="310"/>
      <c r="C1446" s="311"/>
      <c r="D1446" s="687"/>
      <c r="E1446" s="688"/>
      <c r="F1446" s="312"/>
      <c r="G1446" s="313"/>
      <c r="H1446" s="624"/>
      <c r="I1446" s="625"/>
      <c r="J1446" s="626"/>
      <c r="K1446" s="627"/>
      <c r="L1446" s="628"/>
      <c r="M1446" s="629"/>
      <c r="N1446" s="627"/>
      <c r="O1446" s="628"/>
      <c r="P1446" s="630"/>
      <c r="Q1446" s="631"/>
      <c r="R1446" s="715"/>
      <c r="S1446" s="990"/>
      <c r="T1446" s="632"/>
      <c r="U1446" s="633"/>
      <c r="V1446" s="634"/>
      <c r="W1446" s="635"/>
      <c r="X1446" s="636"/>
      <c r="Y1446" s="637"/>
      <c r="Z1446" s="733"/>
      <c r="AA1446" s="919"/>
      <c r="AB1446" s="1056"/>
      <c r="AC1446" s="912"/>
      <c r="AD1446" s="913"/>
      <c r="AE1446" s="669"/>
      <c r="AF1446" s="718"/>
      <c r="AG1446" s="211"/>
      <c r="AH1446" s="210"/>
    </row>
    <row r="1447" spans="1:34" s="4" customFormat="1">
      <c r="A1447" s="2"/>
      <c r="B1447" s="310"/>
      <c r="C1447" s="311"/>
      <c r="D1447" s="687"/>
      <c r="E1447" s="688"/>
      <c r="F1447" s="312"/>
      <c r="G1447" s="313"/>
      <c r="H1447" s="624"/>
      <c r="I1447" s="625"/>
      <c r="J1447" s="626"/>
      <c r="K1447" s="627"/>
      <c r="L1447" s="628"/>
      <c r="M1447" s="629"/>
      <c r="N1447" s="627"/>
      <c r="O1447" s="628"/>
      <c r="P1447" s="630"/>
      <c r="Q1447" s="631"/>
      <c r="R1447" s="715"/>
      <c r="S1447" s="990"/>
      <c r="T1447" s="632"/>
      <c r="U1447" s="633"/>
      <c r="V1447" s="634"/>
      <c r="W1447" s="635"/>
      <c r="X1447" s="636"/>
      <c r="Y1447" s="637"/>
      <c r="Z1447" s="733"/>
      <c r="AA1447" s="919"/>
      <c r="AB1447" s="1056"/>
      <c r="AC1447" s="912"/>
      <c r="AD1447" s="913"/>
      <c r="AE1447" s="669"/>
      <c r="AF1447" s="718"/>
      <c r="AG1447" s="211"/>
      <c r="AH1447" s="210"/>
    </row>
    <row r="1448" spans="1:34" s="4" customFormat="1">
      <c r="A1448" s="2"/>
      <c r="B1448" s="310"/>
      <c r="C1448" s="311"/>
      <c r="D1448" s="687"/>
      <c r="E1448" s="688"/>
      <c r="F1448" s="312"/>
      <c r="G1448" s="313"/>
      <c r="H1448" s="624"/>
      <c r="I1448" s="625"/>
      <c r="J1448" s="626"/>
      <c r="K1448" s="627"/>
      <c r="L1448" s="628"/>
      <c r="M1448" s="629"/>
      <c r="N1448" s="627"/>
      <c r="O1448" s="628"/>
      <c r="P1448" s="630"/>
      <c r="Q1448" s="631"/>
      <c r="R1448" s="715"/>
      <c r="S1448" s="990"/>
      <c r="T1448" s="632"/>
      <c r="U1448" s="633"/>
      <c r="V1448" s="634"/>
      <c r="W1448" s="635"/>
      <c r="X1448" s="636"/>
      <c r="Y1448" s="637"/>
      <c r="Z1448" s="733"/>
      <c r="AA1448" s="919"/>
      <c r="AB1448" s="1056"/>
      <c r="AC1448" s="912"/>
      <c r="AD1448" s="913"/>
      <c r="AE1448" s="669"/>
      <c r="AF1448" s="718"/>
      <c r="AG1448" s="211"/>
      <c r="AH1448" s="210"/>
    </row>
    <row r="1449" spans="1:34" s="4" customFormat="1">
      <c r="A1449" s="2"/>
      <c r="B1449" s="310"/>
      <c r="C1449" s="311"/>
      <c r="D1449" s="687"/>
      <c r="E1449" s="688"/>
      <c r="F1449" s="312"/>
      <c r="G1449" s="313"/>
      <c r="H1449" s="624"/>
      <c r="I1449" s="625"/>
      <c r="J1449" s="626"/>
      <c r="K1449" s="627"/>
      <c r="L1449" s="628"/>
      <c r="M1449" s="629"/>
      <c r="N1449" s="627"/>
      <c r="O1449" s="628"/>
      <c r="P1449" s="630"/>
      <c r="Q1449" s="631"/>
      <c r="R1449" s="715"/>
      <c r="S1449" s="990"/>
      <c r="T1449" s="632"/>
      <c r="U1449" s="633"/>
      <c r="V1449" s="634"/>
      <c r="W1449" s="635"/>
      <c r="X1449" s="636"/>
      <c r="Y1449" s="637"/>
      <c r="Z1449" s="733"/>
      <c r="AA1449" s="919"/>
      <c r="AB1449" s="1056"/>
      <c r="AC1449" s="912"/>
      <c r="AD1449" s="913"/>
      <c r="AE1449" s="669"/>
      <c r="AF1449" s="718"/>
      <c r="AG1449" s="211"/>
      <c r="AH1449" s="210"/>
    </row>
    <row r="1450" spans="1:34" s="4" customFormat="1">
      <c r="A1450" s="2"/>
      <c r="B1450" s="310"/>
      <c r="C1450" s="311"/>
      <c r="D1450" s="687"/>
      <c r="E1450" s="688"/>
      <c r="F1450" s="312"/>
      <c r="G1450" s="313"/>
      <c r="H1450" s="624"/>
      <c r="I1450" s="625"/>
      <c r="J1450" s="626"/>
      <c r="K1450" s="627"/>
      <c r="L1450" s="628"/>
      <c r="M1450" s="629"/>
      <c r="N1450" s="627"/>
      <c r="O1450" s="628"/>
      <c r="P1450" s="630"/>
      <c r="Q1450" s="631"/>
      <c r="R1450" s="715"/>
      <c r="S1450" s="990"/>
      <c r="T1450" s="632"/>
      <c r="U1450" s="633"/>
      <c r="V1450" s="634"/>
      <c r="W1450" s="635"/>
      <c r="X1450" s="636"/>
      <c r="Y1450" s="637"/>
      <c r="Z1450" s="733"/>
      <c r="AA1450" s="919"/>
      <c r="AB1450" s="1056"/>
      <c r="AC1450" s="912"/>
      <c r="AD1450" s="913"/>
      <c r="AE1450" s="669"/>
      <c r="AF1450" s="718"/>
      <c r="AG1450" s="211"/>
      <c r="AH1450" s="210"/>
    </row>
    <row r="1451" spans="1:34" s="4" customFormat="1">
      <c r="A1451" s="2"/>
      <c r="B1451" s="310"/>
      <c r="C1451" s="311"/>
      <c r="D1451" s="687"/>
      <c r="E1451" s="688"/>
      <c r="F1451" s="312"/>
      <c r="G1451" s="313"/>
      <c r="H1451" s="624"/>
      <c r="I1451" s="625"/>
      <c r="J1451" s="626"/>
      <c r="K1451" s="627"/>
      <c r="L1451" s="628"/>
      <c r="M1451" s="629"/>
      <c r="N1451" s="627"/>
      <c r="O1451" s="628"/>
      <c r="P1451" s="630"/>
      <c r="Q1451" s="631"/>
      <c r="R1451" s="715"/>
      <c r="S1451" s="990"/>
      <c r="T1451" s="632"/>
      <c r="U1451" s="633"/>
      <c r="V1451" s="634"/>
      <c r="W1451" s="635"/>
      <c r="X1451" s="636"/>
      <c r="Y1451" s="637"/>
      <c r="Z1451" s="733"/>
      <c r="AA1451" s="919"/>
      <c r="AB1451" s="1056"/>
      <c r="AC1451" s="912"/>
      <c r="AD1451" s="913"/>
      <c r="AE1451" s="669"/>
      <c r="AF1451" s="718"/>
      <c r="AG1451" s="211"/>
      <c r="AH1451" s="210"/>
    </row>
    <row r="1452" spans="1:34" s="4" customFormat="1">
      <c r="A1452" s="2"/>
      <c r="B1452" s="310"/>
      <c r="C1452" s="311"/>
      <c r="D1452" s="687"/>
      <c r="E1452" s="688"/>
      <c r="F1452" s="312"/>
      <c r="G1452" s="313"/>
      <c r="H1452" s="624"/>
      <c r="I1452" s="625"/>
      <c r="J1452" s="626"/>
      <c r="K1452" s="627"/>
      <c r="L1452" s="628"/>
      <c r="M1452" s="629"/>
      <c r="N1452" s="627"/>
      <c r="O1452" s="628"/>
      <c r="P1452" s="630"/>
      <c r="Q1452" s="631"/>
      <c r="R1452" s="715"/>
      <c r="S1452" s="990"/>
      <c r="T1452" s="632"/>
      <c r="U1452" s="633"/>
      <c r="V1452" s="634"/>
      <c r="W1452" s="635"/>
      <c r="X1452" s="636"/>
      <c r="Y1452" s="637"/>
      <c r="Z1452" s="733"/>
      <c r="AA1452" s="919"/>
      <c r="AB1452" s="1056"/>
      <c r="AC1452" s="912"/>
      <c r="AD1452" s="913"/>
      <c r="AE1452" s="669"/>
      <c r="AF1452" s="718"/>
      <c r="AG1452" s="211"/>
      <c r="AH1452" s="210"/>
    </row>
    <row r="1453" spans="1:34" s="4" customFormat="1">
      <c r="A1453" s="2"/>
      <c r="B1453" s="310"/>
      <c r="C1453" s="311"/>
      <c r="D1453" s="687"/>
      <c r="E1453" s="688"/>
      <c r="F1453" s="312"/>
      <c r="G1453" s="313"/>
      <c r="H1453" s="624"/>
      <c r="I1453" s="625"/>
      <c r="J1453" s="626"/>
      <c r="K1453" s="627"/>
      <c r="L1453" s="628"/>
      <c r="M1453" s="629"/>
      <c r="N1453" s="627"/>
      <c r="O1453" s="628"/>
      <c r="P1453" s="630"/>
      <c r="Q1453" s="631"/>
      <c r="R1453" s="715"/>
      <c r="S1453" s="990"/>
      <c r="T1453" s="632"/>
      <c r="U1453" s="633"/>
      <c r="V1453" s="634"/>
      <c r="W1453" s="635"/>
      <c r="X1453" s="636"/>
      <c r="Y1453" s="637"/>
      <c r="Z1453" s="733"/>
      <c r="AA1453" s="919"/>
      <c r="AB1453" s="1056"/>
      <c r="AC1453" s="912"/>
      <c r="AD1453" s="913"/>
      <c r="AE1453" s="669"/>
      <c r="AF1453" s="718"/>
      <c r="AG1453" s="211"/>
      <c r="AH1453" s="210"/>
    </row>
    <row r="1454" spans="1:34" s="4" customFormat="1">
      <c r="A1454" s="2"/>
      <c r="B1454" s="310"/>
      <c r="C1454" s="311"/>
      <c r="D1454" s="687"/>
      <c r="E1454" s="688"/>
      <c r="F1454" s="312"/>
      <c r="G1454" s="313"/>
      <c r="H1454" s="624"/>
      <c r="I1454" s="625"/>
      <c r="J1454" s="626"/>
      <c r="K1454" s="627"/>
      <c r="L1454" s="628"/>
      <c r="M1454" s="629"/>
      <c r="N1454" s="627"/>
      <c r="O1454" s="628"/>
      <c r="P1454" s="630"/>
      <c r="Q1454" s="631"/>
      <c r="R1454" s="715"/>
      <c r="S1454" s="990"/>
      <c r="T1454" s="632"/>
      <c r="U1454" s="633"/>
      <c r="V1454" s="634"/>
      <c r="W1454" s="635"/>
      <c r="X1454" s="636"/>
      <c r="Y1454" s="637"/>
      <c r="Z1454" s="733"/>
      <c r="AA1454" s="919"/>
      <c r="AB1454" s="1056"/>
      <c r="AC1454" s="912"/>
      <c r="AD1454" s="913"/>
      <c r="AE1454" s="669"/>
      <c r="AF1454" s="718"/>
      <c r="AG1454" s="211"/>
      <c r="AH1454" s="210"/>
    </row>
    <row r="1455" spans="1:34" s="4" customFormat="1">
      <c r="A1455" s="2"/>
      <c r="B1455" s="310"/>
      <c r="C1455" s="311"/>
      <c r="D1455" s="687"/>
      <c r="E1455" s="688"/>
      <c r="F1455" s="312"/>
      <c r="G1455" s="313"/>
      <c r="H1455" s="624"/>
      <c r="I1455" s="625"/>
      <c r="J1455" s="626"/>
      <c r="K1455" s="627"/>
      <c r="L1455" s="628"/>
      <c r="M1455" s="629"/>
      <c r="N1455" s="627"/>
      <c r="O1455" s="628"/>
      <c r="P1455" s="630"/>
      <c r="Q1455" s="631"/>
      <c r="R1455" s="715"/>
      <c r="S1455" s="990"/>
      <c r="T1455" s="632"/>
      <c r="U1455" s="633"/>
      <c r="V1455" s="634"/>
      <c r="W1455" s="635"/>
      <c r="X1455" s="636"/>
      <c r="Y1455" s="637"/>
      <c r="Z1455" s="733"/>
      <c r="AA1455" s="919"/>
      <c r="AB1455" s="1056"/>
      <c r="AC1455" s="912"/>
      <c r="AD1455" s="913"/>
      <c r="AE1455" s="669"/>
      <c r="AF1455" s="718"/>
      <c r="AG1455" s="211"/>
      <c r="AH1455" s="210"/>
    </row>
    <row r="1456" spans="1:34" s="4" customFormat="1">
      <c r="A1456" s="2"/>
      <c r="B1456" s="310"/>
      <c r="C1456" s="311"/>
      <c r="D1456" s="687"/>
      <c r="E1456" s="688"/>
      <c r="F1456" s="312"/>
      <c r="G1456" s="313"/>
      <c r="H1456" s="624"/>
      <c r="I1456" s="625"/>
      <c r="J1456" s="626"/>
      <c r="K1456" s="627"/>
      <c r="L1456" s="628"/>
      <c r="M1456" s="629"/>
      <c r="N1456" s="627"/>
      <c r="O1456" s="628"/>
      <c r="P1456" s="630"/>
      <c r="Q1456" s="631"/>
      <c r="R1456" s="715"/>
      <c r="S1456" s="990"/>
      <c r="T1456" s="632"/>
      <c r="U1456" s="633"/>
      <c r="V1456" s="634"/>
      <c r="W1456" s="635"/>
      <c r="X1456" s="636"/>
      <c r="Y1456" s="637"/>
      <c r="Z1456" s="733"/>
      <c r="AA1456" s="919"/>
      <c r="AB1456" s="1056"/>
      <c r="AC1456" s="912"/>
      <c r="AD1456" s="913"/>
      <c r="AE1456" s="669"/>
      <c r="AF1456" s="718"/>
      <c r="AG1456" s="211"/>
      <c r="AH1456" s="210"/>
    </row>
    <row r="1457" spans="1:34" s="4" customFormat="1">
      <c r="A1457" s="2"/>
      <c r="B1457" s="310"/>
      <c r="C1457" s="311"/>
      <c r="D1457" s="687"/>
      <c r="E1457" s="688"/>
      <c r="F1457" s="312"/>
      <c r="G1457" s="313"/>
      <c r="H1457" s="624"/>
      <c r="I1457" s="625"/>
      <c r="J1457" s="626"/>
      <c r="K1457" s="627"/>
      <c r="L1457" s="628"/>
      <c r="M1457" s="629"/>
      <c r="N1457" s="627"/>
      <c r="O1457" s="628"/>
      <c r="P1457" s="630"/>
      <c r="Q1457" s="631"/>
      <c r="R1457" s="715"/>
      <c r="S1457" s="990"/>
      <c r="T1457" s="632"/>
      <c r="U1457" s="633"/>
      <c r="V1457" s="634"/>
      <c r="W1457" s="635"/>
      <c r="X1457" s="636"/>
      <c r="Y1457" s="637"/>
      <c r="Z1457" s="733"/>
      <c r="AA1457" s="919"/>
      <c r="AB1457" s="1056"/>
      <c r="AC1457" s="912"/>
      <c r="AD1457" s="913"/>
      <c r="AE1457" s="669"/>
      <c r="AF1457" s="718"/>
      <c r="AG1457" s="211"/>
      <c r="AH1457" s="210"/>
    </row>
    <row r="1458" spans="1:34" s="4" customFormat="1">
      <c r="A1458" s="2"/>
      <c r="B1458" s="310"/>
      <c r="C1458" s="311"/>
      <c r="D1458" s="687"/>
      <c r="E1458" s="688"/>
      <c r="F1458" s="312"/>
      <c r="G1458" s="313"/>
      <c r="H1458" s="624"/>
      <c r="I1458" s="625"/>
      <c r="J1458" s="626"/>
      <c r="K1458" s="627"/>
      <c r="L1458" s="628"/>
      <c r="M1458" s="629"/>
      <c r="N1458" s="627"/>
      <c r="O1458" s="628"/>
      <c r="P1458" s="630"/>
      <c r="Q1458" s="631"/>
      <c r="R1458" s="715"/>
      <c r="S1458" s="990"/>
      <c r="T1458" s="632"/>
      <c r="U1458" s="633"/>
      <c r="V1458" s="634"/>
      <c r="W1458" s="635"/>
      <c r="X1458" s="636"/>
      <c r="Y1458" s="637"/>
      <c r="Z1458" s="733"/>
      <c r="AA1458" s="919"/>
      <c r="AB1458" s="1056"/>
      <c r="AC1458" s="912"/>
      <c r="AD1458" s="913"/>
      <c r="AE1458" s="669"/>
      <c r="AF1458" s="718"/>
      <c r="AG1458" s="211"/>
      <c r="AH1458" s="210"/>
    </row>
    <row r="1459" spans="1:34" s="4" customFormat="1">
      <c r="A1459" s="2"/>
      <c r="B1459" s="310"/>
      <c r="C1459" s="311"/>
      <c r="D1459" s="687"/>
      <c r="E1459" s="688"/>
      <c r="F1459" s="312"/>
      <c r="G1459" s="313"/>
      <c r="H1459" s="624"/>
      <c r="I1459" s="625"/>
      <c r="J1459" s="626"/>
      <c r="K1459" s="627"/>
      <c r="L1459" s="628"/>
      <c r="M1459" s="629"/>
      <c r="N1459" s="627"/>
      <c r="O1459" s="628"/>
      <c r="P1459" s="630"/>
      <c r="Q1459" s="631"/>
      <c r="R1459" s="715"/>
      <c r="S1459" s="990"/>
      <c r="T1459" s="632"/>
      <c r="U1459" s="633"/>
      <c r="V1459" s="634"/>
      <c r="W1459" s="635"/>
      <c r="X1459" s="636"/>
      <c r="Y1459" s="637"/>
      <c r="Z1459" s="733"/>
      <c r="AA1459" s="919"/>
      <c r="AB1459" s="1056"/>
      <c r="AC1459" s="912"/>
      <c r="AD1459" s="913"/>
      <c r="AE1459" s="669"/>
      <c r="AF1459" s="718"/>
      <c r="AG1459" s="211"/>
      <c r="AH1459" s="210"/>
    </row>
    <row r="1460" spans="1:34" s="4" customFormat="1">
      <c r="A1460" s="2"/>
      <c r="B1460" s="310"/>
      <c r="C1460" s="311"/>
      <c r="D1460" s="687"/>
      <c r="E1460" s="688"/>
      <c r="F1460" s="312"/>
      <c r="G1460" s="313"/>
      <c r="H1460" s="624"/>
      <c r="I1460" s="625"/>
      <c r="J1460" s="626"/>
      <c r="K1460" s="627"/>
      <c r="L1460" s="628"/>
      <c r="M1460" s="629"/>
      <c r="N1460" s="627"/>
      <c r="O1460" s="628"/>
      <c r="P1460" s="630"/>
      <c r="Q1460" s="631"/>
      <c r="R1460" s="715"/>
      <c r="S1460" s="990"/>
      <c r="T1460" s="632"/>
      <c r="U1460" s="633"/>
      <c r="V1460" s="634"/>
      <c r="W1460" s="635"/>
      <c r="X1460" s="636"/>
      <c r="Y1460" s="637"/>
      <c r="Z1460" s="733"/>
      <c r="AA1460" s="919"/>
      <c r="AB1460" s="1056"/>
      <c r="AC1460" s="912"/>
      <c r="AD1460" s="913"/>
      <c r="AE1460" s="669"/>
      <c r="AF1460" s="718"/>
      <c r="AG1460" s="211"/>
      <c r="AH1460" s="210"/>
    </row>
    <row r="1461" spans="1:34" s="4" customFormat="1">
      <c r="A1461" s="2"/>
      <c r="B1461" s="310"/>
      <c r="C1461" s="311"/>
      <c r="D1461" s="687"/>
      <c r="E1461" s="688"/>
      <c r="F1461" s="312"/>
      <c r="G1461" s="313"/>
      <c r="H1461" s="624"/>
      <c r="I1461" s="625"/>
      <c r="J1461" s="626"/>
      <c r="K1461" s="627"/>
      <c r="L1461" s="628"/>
      <c r="M1461" s="629"/>
      <c r="N1461" s="627"/>
      <c r="O1461" s="628"/>
      <c r="P1461" s="630"/>
      <c r="Q1461" s="631"/>
      <c r="R1461" s="715"/>
      <c r="S1461" s="990"/>
      <c r="T1461" s="632"/>
      <c r="U1461" s="633"/>
      <c r="V1461" s="634"/>
      <c r="W1461" s="635"/>
      <c r="X1461" s="636"/>
      <c r="Y1461" s="637"/>
      <c r="Z1461" s="733"/>
      <c r="AA1461" s="919"/>
      <c r="AB1461" s="1056"/>
      <c r="AC1461" s="912"/>
      <c r="AD1461" s="913"/>
      <c r="AE1461" s="669"/>
      <c r="AF1461" s="718"/>
      <c r="AG1461" s="211"/>
      <c r="AH1461" s="210"/>
    </row>
    <row r="1462" spans="1:34" s="4" customFormat="1">
      <c r="A1462" s="2"/>
      <c r="B1462" s="310"/>
      <c r="C1462" s="311"/>
      <c r="D1462" s="687"/>
      <c r="E1462" s="688"/>
      <c r="F1462" s="312"/>
      <c r="G1462" s="313"/>
      <c r="H1462" s="624"/>
      <c r="I1462" s="625"/>
      <c r="J1462" s="626"/>
      <c r="K1462" s="627"/>
      <c r="L1462" s="628"/>
      <c r="M1462" s="629"/>
      <c r="N1462" s="627"/>
      <c r="O1462" s="628"/>
      <c r="P1462" s="630"/>
      <c r="Q1462" s="631"/>
      <c r="R1462" s="715"/>
      <c r="S1462" s="990"/>
      <c r="T1462" s="632"/>
      <c r="U1462" s="633"/>
      <c r="V1462" s="634"/>
      <c r="W1462" s="635"/>
      <c r="X1462" s="636"/>
      <c r="Y1462" s="637"/>
      <c r="Z1462" s="733"/>
      <c r="AA1462" s="919"/>
      <c r="AB1462" s="1056"/>
      <c r="AC1462" s="912"/>
      <c r="AD1462" s="913"/>
      <c r="AE1462" s="669"/>
      <c r="AF1462" s="718"/>
      <c r="AG1462" s="211"/>
      <c r="AH1462" s="210"/>
    </row>
    <row r="1463" spans="1:34" s="4" customFormat="1">
      <c r="A1463" s="2"/>
      <c r="B1463" s="310"/>
      <c r="C1463" s="311"/>
      <c r="D1463" s="687"/>
      <c r="E1463" s="688"/>
      <c r="F1463" s="312"/>
      <c r="G1463" s="313"/>
      <c r="H1463" s="624"/>
      <c r="I1463" s="625"/>
      <c r="J1463" s="626"/>
      <c r="K1463" s="627"/>
      <c r="L1463" s="628"/>
      <c r="M1463" s="629"/>
      <c r="N1463" s="627"/>
      <c r="O1463" s="628"/>
      <c r="P1463" s="630"/>
      <c r="Q1463" s="631"/>
      <c r="R1463" s="715"/>
      <c r="S1463" s="990"/>
      <c r="T1463" s="632"/>
      <c r="U1463" s="633"/>
      <c r="V1463" s="634"/>
      <c r="W1463" s="635"/>
      <c r="X1463" s="636"/>
      <c r="Y1463" s="637"/>
      <c r="Z1463" s="733"/>
      <c r="AA1463" s="919"/>
      <c r="AB1463" s="1056"/>
      <c r="AC1463" s="912"/>
      <c r="AD1463" s="913"/>
      <c r="AE1463" s="669"/>
      <c r="AF1463" s="718"/>
      <c r="AG1463" s="211"/>
      <c r="AH1463" s="210"/>
    </row>
    <row r="1464" spans="1:34" s="4" customFormat="1">
      <c r="A1464" s="2"/>
      <c r="B1464" s="310"/>
      <c r="C1464" s="311"/>
      <c r="D1464" s="687"/>
      <c r="E1464" s="688"/>
      <c r="F1464" s="312"/>
      <c r="G1464" s="313"/>
      <c r="H1464" s="624"/>
      <c r="I1464" s="625"/>
      <c r="J1464" s="626"/>
      <c r="K1464" s="627"/>
      <c r="L1464" s="628"/>
      <c r="M1464" s="629"/>
      <c r="N1464" s="627"/>
      <c r="O1464" s="628"/>
      <c r="P1464" s="630"/>
      <c r="Q1464" s="631"/>
      <c r="R1464" s="715"/>
      <c r="S1464" s="990"/>
      <c r="T1464" s="632"/>
      <c r="U1464" s="633"/>
      <c r="V1464" s="634"/>
      <c r="W1464" s="635"/>
      <c r="X1464" s="636"/>
      <c r="Y1464" s="637"/>
      <c r="Z1464" s="733"/>
      <c r="AA1464" s="919"/>
      <c r="AB1464" s="1056"/>
      <c r="AC1464" s="912"/>
      <c r="AD1464" s="913"/>
      <c r="AE1464" s="669"/>
      <c r="AF1464" s="718"/>
      <c r="AG1464" s="211"/>
      <c r="AH1464" s="210"/>
    </row>
    <row r="1465" spans="1:34" s="4" customFormat="1">
      <c r="A1465" s="2"/>
      <c r="B1465" s="310"/>
      <c r="C1465" s="311"/>
      <c r="D1465" s="687"/>
      <c r="E1465" s="688"/>
      <c r="F1465" s="312"/>
      <c r="G1465" s="313"/>
      <c r="H1465" s="624"/>
      <c r="I1465" s="625"/>
      <c r="J1465" s="626"/>
      <c r="K1465" s="627"/>
      <c r="L1465" s="628"/>
      <c r="M1465" s="629"/>
      <c r="N1465" s="627"/>
      <c r="O1465" s="628"/>
      <c r="P1465" s="630"/>
      <c r="Q1465" s="631"/>
      <c r="R1465" s="715"/>
      <c r="S1465" s="990"/>
      <c r="T1465" s="632"/>
      <c r="U1465" s="633"/>
      <c r="V1465" s="634"/>
      <c r="W1465" s="635"/>
      <c r="X1465" s="636"/>
      <c r="Y1465" s="637"/>
      <c r="Z1465" s="733"/>
      <c r="AA1465" s="919"/>
      <c r="AB1465" s="1056"/>
      <c r="AC1465" s="912"/>
      <c r="AD1465" s="913"/>
      <c r="AE1465" s="669"/>
      <c r="AF1465" s="718"/>
      <c r="AG1465" s="211"/>
      <c r="AH1465" s="210"/>
    </row>
    <row r="1466" spans="1:34" s="4" customFormat="1">
      <c r="A1466" s="2"/>
      <c r="B1466" s="310"/>
      <c r="C1466" s="311"/>
      <c r="D1466" s="687"/>
      <c r="E1466" s="688"/>
      <c r="F1466" s="312"/>
      <c r="G1466" s="313"/>
      <c r="H1466" s="624"/>
      <c r="I1466" s="625"/>
      <c r="J1466" s="626"/>
      <c r="K1466" s="627"/>
      <c r="L1466" s="628"/>
      <c r="M1466" s="629"/>
      <c r="N1466" s="627"/>
      <c r="O1466" s="628"/>
      <c r="P1466" s="630"/>
      <c r="Q1466" s="631"/>
      <c r="R1466" s="715"/>
      <c r="S1466" s="990"/>
      <c r="T1466" s="632"/>
      <c r="U1466" s="633"/>
      <c r="V1466" s="634"/>
      <c r="W1466" s="635"/>
      <c r="X1466" s="636"/>
      <c r="Y1466" s="637"/>
      <c r="Z1466" s="733"/>
      <c r="AA1466" s="919"/>
      <c r="AB1466" s="1056"/>
      <c r="AC1466" s="912"/>
      <c r="AD1466" s="913"/>
      <c r="AE1466" s="669"/>
      <c r="AF1466" s="718"/>
      <c r="AG1466" s="211"/>
      <c r="AH1466" s="210"/>
    </row>
    <row r="1467" spans="1:34" s="4" customFormat="1">
      <c r="A1467" s="2"/>
      <c r="B1467" s="310"/>
      <c r="C1467" s="311"/>
      <c r="D1467" s="687"/>
      <c r="E1467" s="688"/>
      <c r="F1467" s="312"/>
      <c r="G1467" s="313"/>
      <c r="H1467" s="624"/>
      <c r="I1467" s="625"/>
      <c r="J1467" s="626"/>
      <c r="K1467" s="627"/>
      <c r="L1467" s="628"/>
      <c r="M1467" s="629"/>
      <c r="N1467" s="627"/>
      <c r="O1467" s="628"/>
      <c r="P1467" s="630"/>
      <c r="Q1467" s="631"/>
      <c r="R1467" s="715"/>
      <c r="S1467" s="990"/>
      <c r="T1467" s="632"/>
      <c r="U1467" s="633"/>
      <c r="V1467" s="634"/>
      <c r="W1467" s="635"/>
      <c r="X1467" s="636"/>
      <c r="Y1467" s="637"/>
      <c r="Z1467" s="733"/>
      <c r="AA1467" s="919"/>
      <c r="AB1467" s="1056"/>
      <c r="AC1467" s="912"/>
      <c r="AD1467" s="913"/>
      <c r="AE1467" s="669"/>
      <c r="AF1467" s="718"/>
      <c r="AG1467" s="211"/>
      <c r="AH1467" s="210"/>
    </row>
    <row r="1468" spans="1:34" s="4" customFormat="1">
      <c r="A1468" s="2"/>
      <c r="B1468" s="310"/>
      <c r="C1468" s="311"/>
      <c r="D1468" s="687"/>
      <c r="E1468" s="688"/>
      <c r="F1468" s="312"/>
      <c r="G1468" s="313"/>
      <c r="H1468" s="624"/>
      <c r="I1468" s="625"/>
      <c r="J1468" s="626"/>
      <c r="K1468" s="627"/>
      <c r="L1468" s="628"/>
      <c r="M1468" s="629"/>
      <c r="N1468" s="627"/>
      <c r="O1468" s="628"/>
      <c r="P1468" s="630"/>
      <c r="Q1468" s="631"/>
      <c r="R1468" s="715"/>
      <c r="S1468" s="990"/>
      <c r="T1468" s="632"/>
      <c r="U1468" s="633"/>
      <c r="V1468" s="634"/>
      <c r="W1468" s="635"/>
      <c r="X1468" s="636"/>
      <c r="Y1468" s="637"/>
      <c r="Z1468" s="733"/>
      <c r="AA1468" s="919"/>
      <c r="AB1468" s="1056"/>
      <c r="AC1468" s="912"/>
      <c r="AD1468" s="913"/>
      <c r="AE1468" s="669"/>
      <c r="AF1468" s="718"/>
      <c r="AG1468" s="211"/>
      <c r="AH1468" s="210"/>
    </row>
    <row r="1469" spans="1:34" s="4" customFormat="1">
      <c r="A1469" s="2"/>
      <c r="B1469" s="310"/>
      <c r="C1469" s="311"/>
      <c r="D1469" s="687"/>
      <c r="E1469" s="688"/>
      <c r="F1469" s="312"/>
      <c r="G1469" s="313"/>
      <c r="H1469" s="624"/>
      <c r="I1469" s="625"/>
      <c r="J1469" s="626"/>
      <c r="K1469" s="627"/>
      <c r="L1469" s="628"/>
      <c r="M1469" s="629"/>
      <c r="N1469" s="627"/>
      <c r="O1469" s="628"/>
      <c r="P1469" s="630"/>
      <c r="Q1469" s="631"/>
      <c r="R1469" s="715"/>
      <c r="S1469" s="990"/>
      <c r="T1469" s="632"/>
      <c r="U1469" s="633"/>
      <c r="V1469" s="634"/>
      <c r="W1469" s="635"/>
      <c r="X1469" s="636"/>
      <c r="Y1469" s="637"/>
      <c r="Z1469" s="733"/>
      <c r="AA1469" s="919"/>
      <c r="AB1469" s="1056"/>
      <c r="AC1469" s="912"/>
      <c r="AD1469" s="913"/>
      <c r="AE1469" s="669"/>
      <c r="AF1469" s="718"/>
      <c r="AG1469" s="211"/>
      <c r="AH1469" s="210"/>
    </row>
    <row r="1470" spans="1:34" s="4" customFormat="1">
      <c r="A1470" s="2"/>
      <c r="B1470" s="310"/>
      <c r="C1470" s="311"/>
      <c r="D1470" s="687"/>
      <c r="E1470" s="688"/>
      <c r="F1470" s="312"/>
      <c r="G1470" s="313"/>
      <c r="H1470" s="624"/>
      <c r="I1470" s="625"/>
      <c r="J1470" s="626"/>
      <c r="K1470" s="627"/>
      <c r="L1470" s="628"/>
      <c r="M1470" s="629"/>
      <c r="N1470" s="627"/>
      <c r="O1470" s="628"/>
      <c r="P1470" s="630"/>
      <c r="Q1470" s="631"/>
      <c r="R1470" s="715"/>
      <c r="S1470" s="990"/>
      <c r="T1470" s="632"/>
      <c r="U1470" s="633"/>
      <c r="V1470" s="634"/>
      <c r="W1470" s="635"/>
      <c r="X1470" s="636"/>
      <c r="Y1470" s="637"/>
      <c r="Z1470" s="733"/>
      <c r="AA1470" s="919"/>
      <c r="AB1470" s="1056"/>
      <c r="AC1470" s="912"/>
      <c r="AD1470" s="913"/>
      <c r="AE1470" s="669"/>
      <c r="AF1470" s="718"/>
      <c r="AG1470" s="211"/>
      <c r="AH1470" s="210"/>
    </row>
    <row r="1471" spans="1:34" s="4" customFormat="1">
      <c r="A1471" s="2"/>
      <c r="B1471" s="310"/>
      <c r="C1471" s="311"/>
      <c r="D1471" s="687"/>
      <c r="E1471" s="688"/>
      <c r="F1471" s="312"/>
      <c r="G1471" s="313"/>
      <c r="H1471" s="624"/>
      <c r="I1471" s="625"/>
      <c r="J1471" s="626"/>
      <c r="K1471" s="627"/>
      <c r="L1471" s="628"/>
      <c r="M1471" s="629"/>
      <c r="N1471" s="627"/>
      <c r="O1471" s="628"/>
      <c r="P1471" s="630"/>
      <c r="Q1471" s="631"/>
      <c r="R1471" s="715"/>
      <c r="S1471" s="990"/>
      <c r="T1471" s="632"/>
      <c r="U1471" s="633"/>
      <c r="V1471" s="634"/>
      <c r="W1471" s="635"/>
      <c r="X1471" s="636"/>
      <c r="Y1471" s="637"/>
      <c r="Z1471" s="733"/>
      <c r="AA1471" s="919"/>
      <c r="AB1471" s="1056"/>
      <c r="AC1471" s="912"/>
      <c r="AD1471" s="913"/>
      <c r="AE1471" s="669"/>
      <c r="AF1471" s="718"/>
      <c r="AG1471" s="211"/>
      <c r="AH1471" s="210"/>
    </row>
    <row r="1472" spans="1:34" s="4" customFormat="1">
      <c r="A1472" s="2"/>
      <c r="B1472" s="310"/>
      <c r="C1472" s="311"/>
      <c r="D1472" s="687"/>
      <c r="E1472" s="688"/>
      <c r="F1472" s="312"/>
      <c r="G1472" s="313"/>
      <c r="H1472" s="624"/>
      <c r="I1472" s="625"/>
      <c r="J1472" s="626"/>
      <c r="K1472" s="627"/>
      <c r="L1472" s="628"/>
      <c r="M1472" s="629"/>
      <c r="N1472" s="627"/>
      <c r="O1472" s="628"/>
      <c r="P1472" s="630"/>
      <c r="Q1472" s="631"/>
      <c r="R1472" s="715"/>
      <c r="S1472" s="990"/>
      <c r="T1472" s="632"/>
      <c r="U1472" s="633"/>
      <c r="V1472" s="634"/>
      <c r="W1472" s="635"/>
      <c r="X1472" s="636"/>
      <c r="Y1472" s="637"/>
      <c r="Z1472" s="733"/>
      <c r="AA1472" s="919"/>
      <c r="AB1472" s="1056"/>
      <c r="AC1472" s="912"/>
      <c r="AD1472" s="913"/>
      <c r="AE1472" s="669"/>
      <c r="AF1472" s="718"/>
      <c r="AG1472" s="211"/>
      <c r="AH1472" s="210"/>
    </row>
    <row r="1473" spans="1:34" s="4" customFormat="1">
      <c r="A1473" s="2"/>
      <c r="B1473" s="310"/>
      <c r="C1473" s="311"/>
      <c r="D1473" s="687"/>
      <c r="E1473" s="688"/>
      <c r="F1473" s="312"/>
      <c r="G1473" s="313"/>
      <c r="H1473" s="624"/>
      <c r="I1473" s="625"/>
      <c r="J1473" s="626"/>
      <c r="K1473" s="627"/>
      <c r="L1473" s="628"/>
      <c r="M1473" s="629"/>
      <c r="N1473" s="627"/>
      <c r="O1473" s="628"/>
      <c r="P1473" s="630"/>
      <c r="Q1473" s="631"/>
      <c r="R1473" s="715"/>
      <c r="S1473" s="990"/>
      <c r="T1473" s="632"/>
      <c r="U1473" s="633"/>
      <c r="V1473" s="634"/>
      <c r="W1473" s="635"/>
      <c r="X1473" s="636"/>
      <c r="Y1473" s="637"/>
      <c r="Z1473" s="733"/>
      <c r="AA1473" s="919"/>
      <c r="AB1473" s="1056"/>
      <c r="AC1473" s="912"/>
      <c r="AD1473" s="913"/>
      <c r="AE1473" s="669"/>
      <c r="AF1473" s="718"/>
      <c r="AG1473" s="211"/>
      <c r="AH1473" s="210"/>
    </row>
    <row r="1474" spans="1:34" s="4" customFormat="1">
      <c r="A1474" s="2"/>
      <c r="B1474" s="310"/>
      <c r="C1474" s="311"/>
      <c r="D1474" s="687"/>
      <c r="E1474" s="688"/>
      <c r="F1474" s="312"/>
      <c r="G1474" s="313"/>
      <c r="H1474" s="624"/>
      <c r="I1474" s="625"/>
      <c r="J1474" s="626"/>
      <c r="K1474" s="627"/>
      <c r="L1474" s="628"/>
      <c r="M1474" s="629"/>
      <c r="N1474" s="627"/>
      <c r="O1474" s="628"/>
      <c r="P1474" s="630"/>
      <c r="Q1474" s="631"/>
      <c r="R1474" s="715"/>
      <c r="S1474" s="990"/>
      <c r="T1474" s="632"/>
      <c r="U1474" s="633"/>
      <c r="V1474" s="634"/>
      <c r="W1474" s="635"/>
      <c r="X1474" s="636"/>
      <c r="Y1474" s="637"/>
      <c r="Z1474" s="733"/>
      <c r="AA1474" s="919"/>
      <c r="AB1474" s="1056"/>
      <c r="AC1474" s="912"/>
      <c r="AD1474" s="913"/>
      <c r="AE1474" s="669"/>
      <c r="AF1474" s="718"/>
      <c r="AG1474" s="211"/>
      <c r="AH1474" s="210"/>
    </row>
    <row r="1475" spans="1:34" s="4" customFormat="1">
      <c r="A1475" s="2"/>
      <c r="B1475" s="310"/>
      <c r="C1475" s="311"/>
      <c r="D1475" s="687"/>
      <c r="E1475" s="688"/>
      <c r="F1475" s="312"/>
      <c r="G1475" s="313"/>
      <c r="H1475" s="624"/>
      <c r="I1475" s="625"/>
      <c r="J1475" s="626"/>
      <c r="K1475" s="627"/>
      <c r="L1475" s="628"/>
      <c r="M1475" s="629"/>
      <c r="N1475" s="627"/>
      <c r="O1475" s="628"/>
      <c r="P1475" s="630"/>
      <c r="Q1475" s="631"/>
      <c r="R1475" s="715"/>
      <c r="S1475" s="990"/>
      <c r="T1475" s="632"/>
      <c r="U1475" s="633"/>
      <c r="V1475" s="634"/>
      <c r="W1475" s="635"/>
      <c r="X1475" s="636"/>
      <c r="Y1475" s="637"/>
      <c r="Z1475" s="733"/>
      <c r="AA1475" s="919"/>
      <c r="AB1475" s="1056"/>
      <c r="AC1475" s="912"/>
      <c r="AD1475" s="913"/>
      <c r="AE1475" s="669"/>
      <c r="AF1475" s="718"/>
      <c r="AG1475" s="211"/>
      <c r="AH1475" s="210"/>
    </row>
    <row r="1476" spans="1:34" s="4" customFormat="1">
      <c r="A1476" s="2"/>
      <c r="B1476" s="310"/>
      <c r="C1476" s="311"/>
      <c r="D1476" s="687"/>
      <c r="E1476" s="688"/>
      <c r="F1476" s="312"/>
      <c r="G1476" s="313"/>
      <c r="H1476" s="624"/>
      <c r="I1476" s="625"/>
      <c r="J1476" s="626"/>
      <c r="K1476" s="627"/>
      <c r="L1476" s="628"/>
      <c r="M1476" s="629"/>
      <c r="N1476" s="627"/>
      <c r="O1476" s="628"/>
      <c r="P1476" s="630"/>
      <c r="Q1476" s="631"/>
      <c r="R1476" s="715"/>
      <c r="S1476" s="990"/>
      <c r="T1476" s="632"/>
      <c r="U1476" s="633"/>
      <c r="V1476" s="634"/>
      <c r="W1476" s="635"/>
      <c r="X1476" s="636"/>
      <c r="Y1476" s="637"/>
      <c r="Z1476" s="733"/>
      <c r="AA1476" s="919"/>
      <c r="AB1476" s="908"/>
      <c r="AC1476" s="912"/>
      <c r="AD1476" s="913"/>
      <c r="AE1476" s="669"/>
      <c r="AF1476" s="718"/>
      <c r="AG1476" s="211"/>
      <c r="AH1476" s="210"/>
    </row>
    <row r="1477" spans="1:34" s="4" customFormat="1">
      <c r="A1477" s="2"/>
      <c r="B1477" s="310"/>
      <c r="C1477" s="311"/>
      <c r="D1477" s="687"/>
      <c r="E1477" s="688"/>
      <c r="F1477" s="312"/>
      <c r="G1477" s="313"/>
      <c r="H1477" s="624"/>
      <c r="I1477" s="625"/>
      <c r="J1477" s="626"/>
      <c r="K1477" s="627"/>
      <c r="L1477" s="628"/>
      <c r="M1477" s="629"/>
      <c r="N1477" s="627"/>
      <c r="O1477" s="628"/>
      <c r="P1477" s="630"/>
      <c r="Q1477" s="631"/>
      <c r="R1477" s="715"/>
      <c r="S1477" s="990"/>
      <c r="T1477" s="632"/>
      <c r="U1477" s="633"/>
      <c r="V1477" s="634"/>
      <c r="W1477" s="635"/>
      <c r="X1477" s="636"/>
      <c r="Y1477" s="637"/>
      <c r="Z1477" s="733"/>
      <c r="AA1477" s="919"/>
      <c r="AB1477" s="908"/>
      <c r="AC1477" s="912"/>
      <c r="AD1477" s="913"/>
      <c r="AE1477" s="669"/>
      <c r="AF1477" s="718"/>
      <c r="AG1477" s="211"/>
      <c r="AH1477" s="210"/>
    </row>
    <row r="1478" spans="1:34" s="4" customFormat="1">
      <c r="A1478" s="2"/>
      <c r="B1478" s="310"/>
      <c r="C1478" s="311"/>
      <c r="D1478" s="687"/>
      <c r="E1478" s="688"/>
      <c r="F1478" s="312"/>
      <c r="G1478" s="313"/>
      <c r="H1478" s="624"/>
      <c r="I1478" s="625"/>
      <c r="J1478" s="626"/>
      <c r="K1478" s="627"/>
      <c r="L1478" s="628"/>
      <c r="M1478" s="629"/>
      <c r="N1478" s="627"/>
      <c r="O1478" s="628"/>
      <c r="P1478" s="630"/>
      <c r="Q1478" s="631"/>
      <c r="R1478" s="715"/>
      <c r="S1478" s="990"/>
      <c r="T1478" s="632"/>
      <c r="U1478" s="633"/>
      <c r="V1478" s="634"/>
      <c r="W1478" s="635"/>
      <c r="X1478" s="636"/>
      <c r="Y1478" s="637"/>
      <c r="Z1478" s="733"/>
      <c r="AA1478" s="919"/>
      <c r="AB1478" s="908"/>
      <c r="AC1478" s="912"/>
      <c r="AD1478" s="913"/>
      <c r="AE1478" s="669"/>
      <c r="AF1478" s="718"/>
      <c r="AG1478" s="211"/>
      <c r="AH1478" s="210"/>
    </row>
    <row r="1479" spans="1:34" s="4" customFormat="1">
      <c r="A1479" s="2"/>
      <c r="B1479" s="310"/>
      <c r="C1479" s="311"/>
      <c r="D1479" s="687"/>
      <c r="E1479" s="688"/>
      <c r="F1479" s="312"/>
      <c r="G1479" s="313"/>
      <c r="H1479" s="624"/>
      <c r="I1479" s="625"/>
      <c r="J1479" s="626"/>
      <c r="K1479" s="627"/>
      <c r="L1479" s="628"/>
      <c r="M1479" s="629"/>
      <c r="N1479" s="627"/>
      <c r="O1479" s="628"/>
      <c r="P1479" s="630"/>
      <c r="Q1479" s="631"/>
      <c r="R1479" s="715"/>
      <c r="S1479" s="990"/>
      <c r="T1479" s="632"/>
      <c r="U1479" s="633"/>
      <c r="V1479" s="634"/>
      <c r="W1479" s="635"/>
      <c r="X1479" s="636"/>
      <c r="Y1479" s="637"/>
      <c r="Z1479" s="733"/>
      <c r="AA1479" s="919"/>
      <c r="AB1479" s="908"/>
      <c r="AC1479" s="912"/>
      <c r="AD1479" s="913"/>
      <c r="AE1479" s="669"/>
      <c r="AF1479" s="718"/>
      <c r="AG1479" s="211"/>
      <c r="AH1479" s="210"/>
    </row>
    <row r="1480" spans="1:34" s="4" customFormat="1">
      <c r="A1480" s="2"/>
      <c r="B1480" s="310"/>
      <c r="C1480" s="311"/>
      <c r="D1480" s="687"/>
      <c r="E1480" s="688"/>
      <c r="F1480" s="312"/>
      <c r="G1480" s="313"/>
      <c r="H1480" s="624"/>
      <c r="I1480" s="625"/>
      <c r="J1480" s="626"/>
      <c r="K1480" s="627"/>
      <c r="L1480" s="628"/>
      <c r="M1480" s="629"/>
      <c r="N1480" s="627"/>
      <c r="O1480" s="628"/>
      <c r="P1480" s="630"/>
      <c r="Q1480" s="631"/>
      <c r="R1480" s="715"/>
      <c r="S1480" s="990"/>
      <c r="T1480" s="632"/>
      <c r="U1480" s="633"/>
      <c r="V1480" s="634"/>
      <c r="W1480" s="635"/>
      <c r="X1480" s="636"/>
      <c r="Y1480" s="637"/>
      <c r="Z1480" s="733"/>
      <c r="AA1480" s="919"/>
      <c r="AB1480" s="908"/>
      <c r="AC1480" s="912"/>
      <c r="AD1480" s="913"/>
      <c r="AE1480" s="669"/>
      <c r="AF1480" s="718"/>
      <c r="AG1480" s="211"/>
      <c r="AH1480" s="210"/>
    </row>
    <row r="1481" spans="1:34" s="4" customFormat="1">
      <c r="A1481" s="2"/>
      <c r="B1481" s="310"/>
      <c r="C1481" s="311"/>
      <c r="D1481" s="687"/>
      <c r="E1481" s="688"/>
      <c r="F1481" s="312"/>
      <c r="G1481" s="313"/>
      <c r="H1481" s="624"/>
      <c r="I1481" s="625"/>
      <c r="J1481" s="626"/>
      <c r="K1481" s="627"/>
      <c r="L1481" s="628"/>
      <c r="M1481" s="629"/>
      <c r="N1481" s="627"/>
      <c r="O1481" s="628"/>
      <c r="P1481" s="630"/>
      <c r="Q1481" s="631"/>
      <c r="R1481" s="715"/>
      <c r="S1481" s="990"/>
      <c r="T1481" s="632"/>
      <c r="U1481" s="633"/>
      <c r="V1481" s="634"/>
      <c r="W1481" s="635"/>
      <c r="X1481" s="636"/>
      <c r="Y1481" s="637"/>
      <c r="Z1481" s="733"/>
      <c r="AA1481" s="919"/>
      <c r="AB1481" s="908"/>
      <c r="AC1481" s="912"/>
      <c r="AD1481" s="913"/>
      <c r="AE1481" s="669"/>
      <c r="AF1481" s="718"/>
      <c r="AG1481" s="211"/>
      <c r="AH1481" s="210"/>
    </row>
    <row r="1482" spans="1:34" s="4" customFormat="1">
      <c r="A1482" s="2"/>
      <c r="B1482" s="310"/>
      <c r="C1482" s="311"/>
      <c r="D1482" s="687"/>
      <c r="E1482" s="688"/>
      <c r="F1482" s="312"/>
      <c r="G1482" s="313"/>
      <c r="H1482" s="624"/>
      <c r="I1482" s="625"/>
      <c r="J1482" s="626"/>
      <c r="K1482" s="627"/>
      <c r="L1482" s="628"/>
      <c r="M1482" s="629"/>
      <c r="N1482" s="627"/>
      <c r="O1482" s="628"/>
      <c r="P1482" s="630"/>
      <c r="Q1482" s="631"/>
      <c r="R1482" s="715"/>
      <c r="S1482" s="990"/>
      <c r="T1482" s="632"/>
      <c r="U1482" s="633"/>
      <c r="V1482" s="634"/>
      <c r="W1482" s="635"/>
      <c r="X1482" s="636"/>
      <c r="Y1482" s="637"/>
      <c r="Z1482" s="733"/>
      <c r="AA1482" s="919"/>
      <c r="AB1482" s="908"/>
      <c r="AC1482" s="912"/>
      <c r="AD1482" s="913"/>
      <c r="AE1482" s="669"/>
      <c r="AF1482" s="718"/>
      <c r="AG1482" s="211"/>
      <c r="AH1482" s="210"/>
    </row>
    <row r="1483" spans="1:34" s="4" customFormat="1">
      <c r="A1483" s="2"/>
      <c r="B1483" s="310"/>
      <c r="C1483" s="311"/>
      <c r="D1483" s="687"/>
      <c r="E1483" s="688"/>
      <c r="F1483" s="312"/>
      <c r="G1483" s="313"/>
      <c r="H1483" s="624"/>
      <c r="I1483" s="625"/>
      <c r="J1483" s="626"/>
      <c r="K1483" s="627"/>
      <c r="L1483" s="628"/>
      <c r="M1483" s="629"/>
      <c r="N1483" s="627"/>
      <c r="O1483" s="628"/>
      <c r="P1483" s="630"/>
      <c r="Q1483" s="631"/>
      <c r="R1483" s="715"/>
      <c r="S1483" s="990"/>
      <c r="T1483" s="632"/>
      <c r="U1483" s="633"/>
      <c r="V1483" s="634"/>
      <c r="W1483" s="635"/>
      <c r="X1483" s="636"/>
      <c r="Y1483" s="637"/>
      <c r="Z1483" s="733"/>
      <c r="AA1483" s="919"/>
      <c r="AB1483" s="908"/>
      <c r="AC1483" s="912"/>
      <c r="AD1483" s="913"/>
      <c r="AE1483" s="669"/>
      <c r="AF1483" s="718"/>
      <c r="AG1483" s="211"/>
      <c r="AH1483" s="210"/>
    </row>
    <row r="1484" spans="1:34" s="4" customFormat="1">
      <c r="A1484" s="2"/>
      <c r="B1484" s="310"/>
      <c r="C1484" s="311"/>
      <c r="D1484" s="687"/>
      <c r="E1484" s="688"/>
      <c r="F1484" s="312"/>
      <c r="G1484" s="313"/>
      <c r="H1484" s="624"/>
      <c r="I1484" s="625"/>
      <c r="J1484" s="626"/>
      <c r="K1484" s="627"/>
      <c r="L1484" s="628"/>
      <c r="M1484" s="629"/>
      <c r="N1484" s="627"/>
      <c r="O1484" s="628"/>
      <c r="P1484" s="630"/>
      <c r="Q1484" s="631"/>
      <c r="R1484" s="715"/>
      <c r="S1484" s="990"/>
      <c r="T1484" s="632"/>
      <c r="U1484" s="633"/>
      <c r="V1484" s="634"/>
      <c r="W1484" s="635"/>
      <c r="X1484" s="636"/>
      <c r="Y1484" s="637"/>
      <c r="Z1484" s="733"/>
      <c r="AA1484" s="919"/>
      <c r="AB1484" s="908"/>
      <c r="AC1484" s="912"/>
      <c r="AD1484" s="913"/>
      <c r="AE1484" s="669"/>
      <c r="AF1484" s="718"/>
      <c r="AG1484" s="211"/>
      <c r="AH1484" s="210"/>
    </row>
    <row r="1485" spans="1:34" s="4" customFormat="1">
      <c r="A1485" s="2"/>
      <c r="B1485" s="310"/>
      <c r="C1485" s="311"/>
      <c r="D1485" s="687"/>
      <c r="E1485" s="688"/>
      <c r="F1485" s="312"/>
      <c r="G1485" s="313"/>
      <c r="H1485" s="624"/>
      <c r="I1485" s="625"/>
      <c r="J1485" s="626"/>
      <c r="K1485" s="627"/>
      <c r="L1485" s="628"/>
      <c r="M1485" s="629"/>
      <c r="N1485" s="627"/>
      <c r="O1485" s="628"/>
      <c r="P1485" s="630"/>
      <c r="Q1485" s="631"/>
      <c r="R1485" s="715"/>
      <c r="S1485" s="990"/>
      <c r="T1485" s="632"/>
      <c r="U1485" s="633"/>
      <c r="V1485" s="634"/>
      <c r="W1485" s="635"/>
      <c r="X1485" s="636"/>
      <c r="Y1485" s="637"/>
      <c r="Z1485" s="733"/>
      <c r="AA1485" s="919"/>
      <c r="AB1485" s="908"/>
      <c r="AC1485" s="912"/>
      <c r="AD1485" s="913"/>
      <c r="AE1485" s="669"/>
      <c r="AF1485" s="718"/>
      <c r="AG1485" s="211"/>
      <c r="AH1485" s="210"/>
    </row>
    <row r="1486" spans="1:34" s="4" customFormat="1">
      <c r="A1486" s="2"/>
      <c r="B1486" s="310"/>
      <c r="C1486" s="311"/>
      <c r="D1486" s="687"/>
      <c r="E1486" s="688"/>
      <c r="F1486" s="312"/>
      <c r="G1486" s="313"/>
      <c r="H1486" s="624"/>
      <c r="I1486" s="625"/>
      <c r="J1486" s="626"/>
      <c r="K1486" s="627"/>
      <c r="L1486" s="628"/>
      <c r="M1486" s="629"/>
      <c r="N1486" s="627"/>
      <c r="O1486" s="628"/>
      <c r="P1486" s="630"/>
      <c r="Q1486" s="631"/>
      <c r="R1486" s="715"/>
      <c r="S1486" s="990"/>
      <c r="T1486" s="632"/>
      <c r="U1486" s="633"/>
      <c r="V1486" s="634"/>
      <c r="W1486" s="635"/>
      <c r="X1486" s="636"/>
      <c r="Y1486" s="637"/>
      <c r="Z1486" s="733"/>
      <c r="AA1486" s="919"/>
      <c r="AB1486" s="908"/>
      <c r="AC1486" s="912"/>
      <c r="AD1486" s="913"/>
      <c r="AE1486" s="669"/>
      <c r="AF1486" s="718"/>
      <c r="AG1486" s="211"/>
      <c r="AH1486" s="210"/>
    </row>
    <row r="1487" spans="1:34" s="4" customFormat="1">
      <c r="A1487" s="2"/>
      <c r="B1487" s="310"/>
      <c r="C1487" s="311"/>
      <c r="D1487" s="687"/>
      <c r="E1487" s="688"/>
      <c r="F1487" s="312"/>
      <c r="G1487" s="313"/>
      <c r="H1487" s="624"/>
      <c r="I1487" s="625"/>
      <c r="J1487" s="626"/>
      <c r="K1487" s="627"/>
      <c r="L1487" s="628"/>
      <c r="M1487" s="629"/>
      <c r="N1487" s="627"/>
      <c r="O1487" s="628"/>
      <c r="P1487" s="630"/>
      <c r="Q1487" s="631"/>
      <c r="R1487" s="715"/>
      <c r="S1487" s="990"/>
      <c r="T1487" s="632"/>
      <c r="U1487" s="633"/>
      <c r="V1487" s="634"/>
      <c r="W1487" s="635"/>
      <c r="X1487" s="636"/>
      <c r="Y1487" s="637"/>
      <c r="Z1487" s="733"/>
      <c r="AA1487" s="919"/>
      <c r="AB1487" s="908"/>
      <c r="AC1487" s="912"/>
      <c r="AD1487" s="913"/>
      <c r="AE1487" s="669"/>
      <c r="AF1487" s="718"/>
      <c r="AG1487" s="211"/>
      <c r="AH1487" s="210"/>
    </row>
    <row r="1488" spans="1:34" s="4" customFormat="1">
      <c r="A1488" s="2"/>
      <c r="B1488" s="310"/>
      <c r="C1488" s="311"/>
      <c r="D1488" s="687"/>
      <c r="E1488" s="688"/>
      <c r="F1488" s="312"/>
      <c r="G1488" s="313"/>
      <c r="H1488" s="624"/>
      <c r="I1488" s="625"/>
      <c r="J1488" s="626"/>
      <c r="K1488" s="627"/>
      <c r="L1488" s="628"/>
      <c r="M1488" s="629"/>
      <c r="N1488" s="627"/>
      <c r="O1488" s="628"/>
      <c r="P1488" s="630"/>
      <c r="Q1488" s="631"/>
      <c r="R1488" s="715"/>
      <c r="S1488" s="990"/>
      <c r="T1488" s="632"/>
      <c r="U1488" s="633"/>
      <c r="V1488" s="634"/>
      <c r="W1488" s="635"/>
      <c r="X1488" s="636"/>
      <c r="Y1488" s="637"/>
      <c r="Z1488" s="733"/>
      <c r="AA1488" s="919"/>
      <c r="AB1488" s="908"/>
      <c r="AC1488" s="912"/>
      <c r="AD1488" s="913"/>
      <c r="AE1488" s="669"/>
      <c r="AF1488" s="718"/>
      <c r="AG1488" s="211"/>
      <c r="AH1488" s="210"/>
    </row>
    <row r="1489" spans="1:34" s="4" customFormat="1">
      <c r="A1489" s="2"/>
      <c r="B1489" s="310"/>
      <c r="C1489" s="311"/>
      <c r="D1489" s="687"/>
      <c r="E1489" s="688"/>
      <c r="F1489" s="312"/>
      <c r="G1489" s="313"/>
      <c r="H1489" s="624"/>
      <c r="I1489" s="625"/>
      <c r="J1489" s="626"/>
      <c r="K1489" s="627"/>
      <c r="L1489" s="628"/>
      <c r="M1489" s="629"/>
      <c r="N1489" s="627"/>
      <c r="O1489" s="628"/>
      <c r="P1489" s="630"/>
      <c r="Q1489" s="631"/>
      <c r="R1489" s="715"/>
      <c r="S1489" s="990"/>
      <c r="T1489" s="632"/>
      <c r="U1489" s="633"/>
      <c r="V1489" s="634"/>
      <c r="W1489" s="635"/>
      <c r="X1489" s="636"/>
      <c r="Y1489" s="637"/>
      <c r="Z1489" s="733"/>
      <c r="AA1489" s="919"/>
      <c r="AB1489" s="908"/>
      <c r="AC1489" s="912"/>
      <c r="AD1489" s="913"/>
      <c r="AE1489" s="669"/>
      <c r="AF1489" s="718"/>
      <c r="AG1489" s="211"/>
      <c r="AH1489" s="210"/>
    </row>
    <row r="1490" spans="1:34" s="4" customFormat="1">
      <c r="A1490" s="2"/>
      <c r="B1490" s="310"/>
      <c r="C1490" s="311"/>
      <c r="D1490" s="687"/>
      <c r="E1490" s="688"/>
      <c r="F1490" s="312"/>
      <c r="G1490" s="313"/>
      <c r="H1490" s="624"/>
      <c r="I1490" s="625"/>
      <c r="J1490" s="626"/>
      <c r="K1490" s="627"/>
      <c r="L1490" s="628"/>
      <c r="M1490" s="629"/>
      <c r="N1490" s="627"/>
      <c r="O1490" s="628"/>
      <c r="P1490" s="630"/>
      <c r="Q1490" s="631"/>
      <c r="R1490" s="715"/>
      <c r="S1490" s="990"/>
      <c r="T1490" s="632"/>
      <c r="U1490" s="633"/>
      <c r="V1490" s="634"/>
      <c r="W1490" s="635"/>
      <c r="X1490" s="636"/>
      <c r="Y1490" s="637"/>
      <c r="Z1490" s="733"/>
      <c r="AA1490" s="919"/>
      <c r="AB1490" s="908"/>
      <c r="AC1490" s="912"/>
      <c r="AD1490" s="913"/>
      <c r="AE1490" s="669"/>
      <c r="AF1490" s="718"/>
      <c r="AG1490" s="211"/>
      <c r="AH1490" s="210"/>
    </row>
    <row r="1491" spans="1:34" s="4" customFormat="1">
      <c r="A1491" s="2"/>
      <c r="B1491" s="310"/>
      <c r="C1491" s="311"/>
      <c r="D1491" s="687"/>
      <c r="E1491" s="688"/>
      <c r="F1491" s="312"/>
      <c r="G1491" s="313"/>
      <c r="H1491" s="624"/>
      <c r="I1491" s="625"/>
      <c r="J1491" s="626"/>
      <c r="K1491" s="627"/>
      <c r="L1491" s="628"/>
      <c r="M1491" s="629"/>
      <c r="N1491" s="627"/>
      <c r="O1491" s="628"/>
      <c r="P1491" s="630"/>
      <c r="Q1491" s="631"/>
      <c r="R1491" s="715"/>
      <c r="S1491" s="990"/>
      <c r="T1491" s="632"/>
      <c r="U1491" s="633"/>
      <c r="V1491" s="634"/>
      <c r="W1491" s="635"/>
      <c r="X1491" s="636"/>
      <c r="Y1491" s="637"/>
      <c r="Z1491" s="733"/>
      <c r="AA1491" s="919"/>
      <c r="AB1491" s="908"/>
      <c r="AC1491" s="912"/>
      <c r="AD1491" s="913"/>
      <c r="AE1491" s="669"/>
      <c r="AF1491" s="718"/>
      <c r="AG1491" s="211"/>
      <c r="AH1491" s="210"/>
    </row>
    <row r="1492" spans="1:34" s="4" customFormat="1">
      <c r="A1492" s="2"/>
      <c r="B1492" s="310"/>
      <c r="C1492" s="311"/>
      <c r="D1492" s="687"/>
      <c r="E1492" s="688"/>
      <c r="F1492" s="312"/>
      <c r="G1492" s="313"/>
      <c r="H1492" s="624"/>
      <c r="I1492" s="625"/>
      <c r="J1492" s="626"/>
      <c r="K1492" s="627"/>
      <c r="L1492" s="628"/>
      <c r="M1492" s="629"/>
      <c r="N1492" s="627"/>
      <c r="O1492" s="628"/>
      <c r="P1492" s="630"/>
      <c r="Q1492" s="631"/>
      <c r="R1492" s="715"/>
      <c r="S1492" s="990"/>
      <c r="T1492" s="632"/>
      <c r="U1492" s="633"/>
      <c r="V1492" s="634"/>
      <c r="W1492" s="635"/>
      <c r="X1492" s="636"/>
      <c r="Y1492" s="637"/>
      <c r="Z1492" s="733"/>
      <c r="AA1492" s="919"/>
      <c r="AB1492" s="1056"/>
      <c r="AC1492" s="912"/>
      <c r="AD1492" s="913"/>
      <c r="AE1492" s="669"/>
      <c r="AF1492" s="718"/>
      <c r="AG1492" s="211"/>
      <c r="AH1492" s="210"/>
    </row>
    <row r="1493" spans="1:34" s="4" customFormat="1">
      <c r="A1493" s="2"/>
      <c r="B1493" s="310"/>
      <c r="C1493" s="311"/>
      <c r="D1493" s="687"/>
      <c r="E1493" s="688"/>
      <c r="F1493" s="312"/>
      <c r="G1493" s="313"/>
      <c r="H1493" s="624"/>
      <c r="I1493" s="625"/>
      <c r="J1493" s="626"/>
      <c r="K1493" s="627"/>
      <c r="L1493" s="628"/>
      <c r="M1493" s="629"/>
      <c r="N1493" s="627"/>
      <c r="O1493" s="628"/>
      <c r="P1493" s="630"/>
      <c r="Q1493" s="631"/>
      <c r="R1493" s="715"/>
      <c r="S1493" s="990"/>
      <c r="T1493" s="632"/>
      <c r="U1493" s="633"/>
      <c r="V1493" s="634"/>
      <c r="W1493" s="635"/>
      <c r="X1493" s="636"/>
      <c r="Y1493" s="637"/>
      <c r="Z1493" s="733"/>
      <c r="AA1493" s="919"/>
      <c r="AB1493" s="1056"/>
      <c r="AC1493" s="912"/>
      <c r="AD1493" s="913"/>
      <c r="AE1493" s="669"/>
      <c r="AF1493" s="718"/>
      <c r="AG1493" s="211"/>
      <c r="AH1493" s="210"/>
    </row>
    <row r="1494" spans="1:34" s="4" customFormat="1">
      <c r="A1494" s="2"/>
      <c r="B1494" s="310"/>
      <c r="C1494" s="311"/>
      <c r="D1494" s="687"/>
      <c r="E1494" s="688"/>
      <c r="F1494" s="312"/>
      <c r="G1494" s="313"/>
      <c r="H1494" s="624"/>
      <c r="I1494" s="625"/>
      <c r="J1494" s="626"/>
      <c r="K1494" s="627"/>
      <c r="L1494" s="628"/>
      <c r="M1494" s="629"/>
      <c r="N1494" s="627"/>
      <c r="O1494" s="628"/>
      <c r="P1494" s="630"/>
      <c r="Q1494" s="631"/>
      <c r="R1494" s="715"/>
      <c r="S1494" s="990"/>
      <c r="T1494" s="632"/>
      <c r="U1494" s="633"/>
      <c r="V1494" s="634"/>
      <c r="W1494" s="635"/>
      <c r="X1494" s="636"/>
      <c r="Y1494" s="637"/>
      <c r="Z1494" s="733"/>
      <c r="AA1494" s="919"/>
      <c r="AB1494" s="1056"/>
      <c r="AC1494" s="912"/>
      <c r="AD1494" s="913"/>
      <c r="AE1494" s="669"/>
      <c r="AF1494" s="718"/>
      <c r="AG1494" s="211"/>
      <c r="AH1494" s="210"/>
    </row>
    <row r="1495" spans="1:34" s="4" customFormat="1">
      <c r="A1495" s="2"/>
      <c r="B1495" s="310"/>
      <c r="C1495" s="311"/>
      <c r="D1495" s="687"/>
      <c r="E1495" s="688"/>
      <c r="F1495" s="312"/>
      <c r="G1495" s="313"/>
      <c r="H1495" s="624"/>
      <c r="I1495" s="625"/>
      <c r="J1495" s="626"/>
      <c r="K1495" s="627"/>
      <c r="L1495" s="628"/>
      <c r="M1495" s="629"/>
      <c r="N1495" s="627"/>
      <c r="O1495" s="628"/>
      <c r="P1495" s="630"/>
      <c r="Q1495" s="631"/>
      <c r="R1495" s="715"/>
      <c r="S1495" s="990"/>
      <c r="T1495" s="632"/>
      <c r="U1495" s="633"/>
      <c r="V1495" s="634"/>
      <c r="W1495" s="635"/>
      <c r="X1495" s="636"/>
      <c r="Y1495" s="637"/>
      <c r="Z1495" s="733"/>
      <c r="AA1495" s="919"/>
      <c r="AB1495" s="1056"/>
      <c r="AC1495" s="912"/>
      <c r="AD1495" s="913"/>
      <c r="AE1495" s="669"/>
      <c r="AF1495" s="718"/>
      <c r="AG1495" s="211"/>
      <c r="AH1495" s="210"/>
    </row>
    <row r="1496" spans="1:34" s="4" customFormat="1">
      <c r="A1496" s="2"/>
      <c r="B1496" s="310"/>
      <c r="C1496" s="311"/>
      <c r="D1496" s="687"/>
      <c r="E1496" s="688"/>
      <c r="F1496" s="312"/>
      <c r="G1496" s="313"/>
      <c r="H1496" s="624"/>
      <c r="I1496" s="625"/>
      <c r="J1496" s="626"/>
      <c r="K1496" s="627"/>
      <c r="L1496" s="628"/>
      <c r="M1496" s="629"/>
      <c r="N1496" s="627"/>
      <c r="O1496" s="628"/>
      <c r="P1496" s="630"/>
      <c r="Q1496" s="631"/>
      <c r="R1496" s="715"/>
      <c r="S1496" s="990"/>
      <c r="T1496" s="632"/>
      <c r="U1496" s="633"/>
      <c r="V1496" s="634"/>
      <c r="W1496" s="635"/>
      <c r="X1496" s="636"/>
      <c r="Y1496" s="637"/>
      <c r="Z1496" s="733"/>
      <c r="AA1496" s="919"/>
      <c r="AB1496" s="1056"/>
      <c r="AC1496" s="912"/>
      <c r="AD1496" s="913"/>
      <c r="AE1496" s="669"/>
      <c r="AF1496" s="718"/>
      <c r="AG1496" s="211"/>
      <c r="AH1496" s="210"/>
    </row>
    <row r="1497" spans="1:34" s="4" customFormat="1">
      <c r="A1497" s="2"/>
      <c r="B1497" s="310"/>
      <c r="C1497" s="311"/>
      <c r="D1497" s="687"/>
      <c r="E1497" s="688"/>
      <c r="F1497" s="312"/>
      <c r="G1497" s="313"/>
      <c r="H1497" s="624"/>
      <c r="I1497" s="625"/>
      <c r="J1497" s="626"/>
      <c r="K1497" s="627"/>
      <c r="L1497" s="628"/>
      <c r="M1497" s="629"/>
      <c r="N1497" s="627"/>
      <c r="O1497" s="628"/>
      <c r="P1497" s="630"/>
      <c r="Q1497" s="631"/>
      <c r="R1497" s="715"/>
      <c r="S1497" s="990"/>
      <c r="T1497" s="632"/>
      <c r="U1497" s="633"/>
      <c r="V1497" s="634"/>
      <c r="W1497" s="635"/>
      <c r="X1497" s="636"/>
      <c r="Y1497" s="637"/>
      <c r="Z1497" s="733"/>
      <c r="AA1497" s="919"/>
      <c r="AB1497" s="1056"/>
      <c r="AC1497" s="912"/>
      <c r="AD1497" s="913"/>
      <c r="AE1497" s="669"/>
      <c r="AF1497" s="718"/>
      <c r="AG1497" s="211"/>
      <c r="AH1497" s="210"/>
    </row>
    <row r="1498" spans="1:34" s="4" customFormat="1">
      <c r="A1498" s="2"/>
      <c r="B1498" s="310"/>
      <c r="C1498" s="311"/>
      <c r="D1498" s="687"/>
      <c r="E1498" s="688"/>
      <c r="F1498" s="312"/>
      <c r="G1498" s="313"/>
      <c r="H1498" s="624"/>
      <c r="I1498" s="625"/>
      <c r="J1498" s="626"/>
      <c r="K1498" s="627"/>
      <c r="L1498" s="628"/>
      <c r="M1498" s="629"/>
      <c r="N1498" s="627"/>
      <c r="O1498" s="628"/>
      <c r="P1498" s="630"/>
      <c r="Q1498" s="631"/>
      <c r="R1498" s="715"/>
      <c r="S1498" s="990"/>
      <c r="T1498" s="632"/>
      <c r="U1498" s="633"/>
      <c r="V1498" s="634"/>
      <c r="W1498" s="635"/>
      <c r="X1498" s="636"/>
      <c r="Y1498" s="637"/>
      <c r="Z1498" s="733"/>
      <c r="AA1498" s="919"/>
      <c r="AB1498" s="1056"/>
      <c r="AC1498" s="912"/>
      <c r="AD1498" s="913"/>
      <c r="AE1498" s="669"/>
      <c r="AF1498" s="718"/>
      <c r="AG1498" s="211"/>
      <c r="AH1498" s="210"/>
    </row>
    <row r="1499" spans="1:34" s="4" customFormat="1">
      <c r="A1499" s="2"/>
      <c r="B1499" s="310"/>
      <c r="C1499" s="311"/>
      <c r="D1499" s="687"/>
      <c r="E1499" s="688"/>
      <c r="F1499" s="312"/>
      <c r="G1499" s="313"/>
      <c r="H1499" s="624"/>
      <c r="I1499" s="625"/>
      <c r="J1499" s="626"/>
      <c r="K1499" s="627"/>
      <c r="L1499" s="628"/>
      <c r="M1499" s="629"/>
      <c r="N1499" s="627"/>
      <c r="O1499" s="628"/>
      <c r="P1499" s="630"/>
      <c r="Q1499" s="631"/>
      <c r="R1499" s="715"/>
      <c r="S1499" s="990"/>
      <c r="T1499" s="632"/>
      <c r="U1499" s="633"/>
      <c r="V1499" s="634"/>
      <c r="W1499" s="635"/>
      <c r="X1499" s="636"/>
      <c r="Y1499" s="637"/>
      <c r="Z1499" s="733"/>
      <c r="AA1499" s="919"/>
      <c r="AB1499" s="1056"/>
      <c r="AC1499" s="912"/>
      <c r="AD1499" s="913"/>
      <c r="AE1499" s="669"/>
      <c r="AF1499" s="718"/>
      <c r="AG1499" s="211"/>
      <c r="AH1499" s="210"/>
    </row>
    <row r="1500" spans="1:34" s="4" customFormat="1">
      <c r="A1500" s="2"/>
      <c r="B1500" s="310"/>
      <c r="C1500" s="311"/>
      <c r="D1500" s="687"/>
      <c r="E1500" s="688"/>
      <c r="F1500" s="312"/>
      <c r="G1500" s="313"/>
      <c r="H1500" s="624"/>
      <c r="I1500" s="625"/>
      <c r="J1500" s="626"/>
      <c r="K1500" s="627"/>
      <c r="L1500" s="628"/>
      <c r="M1500" s="629"/>
      <c r="N1500" s="627"/>
      <c r="O1500" s="628"/>
      <c r="P1500" s="630"/>
      <c r="Q1500" s="631"/>
      <c r="R1500" s="715"/>
      <c r="S1500" s="990"/>
      <c r="T1500" s="632"/>
      <c r="U1500" s="633"/>
      <c r="V1500" s="634"/>
      <c r="W1500" s="635"/>
      <c r="X1500" s="636"/>
      <c r="Y1500" s="637"/>
      <c r="Z1500" s="733"/>
      <c r="AA1500" s="919"/>
      <c r="AB1500" s="1056"/>
      <c r="AC1500" s="912"/>
      <c r="AD1500" s="913"/>
      <c r="AE1500" s="669"/>
      <c r="AF1500" s="718"/>
      <c r="AG1500" s="211"/>
      <c r="AH1500" s="210"/>
    </row>
    <row r="1501" spans="1:34" s="4" customFormat="1">
      <c r="A1501" s="2"/>
      <c r="B1501" s="310"/>
      <c r="C1501" s="311"/>
      <c r="D1501" s="687"/>
      <c r="E1501" s="688"/>
      <c r="F1501" s="312"/>
      <c r="G1501" s="313"/>
      <c r="H1501" s="624"/>
      <c r="I1501" s="625"/>
      <c r="J1501" s="626"/>
      <c r="K1501" s="627"/>
      <c r="L1501" s="628"/>
      <c r="M1501" s="629"/>
      <c r="N1501" s="627"/>
      <c r="O1501" s="628"/>
      <c r="P1501" s="630"/>
      <c r="Q1501" s="631"/>
      <c r="R1501" s="715"/>
      <c r="S1501" s="990"/>
      <c r="T1501" s="632"/>
      <c r="U1501" s="633"/>
      <c r="V1501" s="634"/>
      <c r="W1501" s="635"/>
      <c r="X1501" s="636"/>
      <c r="Y1501" s="637"/>
      <c r="Z1501" s="733"/>
      <c r="AA1501" s="919"/>
      <c r="AB1501" s="1056"/>
      <c r="AC1501" s="912"/>
      <c r="AD1501" s="913"/>
      <c r="AE1501" s="669"/>
      <c r="AF1501" s="718"/>
      <c r="AG1501" s="211"/>
      <c r="AH1501" s="210"/>
    </row>
    <row r="1502" spans="1:34" s="4" customFormat="1">
      <c r="A1502" s="2"/>
      <c r="B1502" s="310"/>
      <c r="C1502" s="311"/>
      <c r="D1502" s="687"/>
      <c r="E1502" s="688"/>
      <c r="F1502" s="312"/>
      <c r="G1502" s="313"/>
      <c r="H1502" s="624"/>
      <c r="I1502" s="625"/>
      <c r="J1502" s="626"/>
      <c r="K1502" s="627"/>
      <c r="L1502" s="628"/>
      <c r="M1502" s="629"/>
      <c r="N1502" s="627"/>
      <c r="O1502" s="628"/>
      <c r="P1502" s="630"/>
      <c r="Q1502" s="631"/>
      <c r="R1502" s="715"/>
      <c r="S1502" s="990"/>
      <c r="T1502" s="632"/>
      <c r="U1502" s="633"/>
      <c r="V1502" s="634"/>
      <c r="W1502" s="635"/>
      <c r="X1502" s="636"/>
      <c r="Y1502" s="637"/>
      <c r="Z1502" s="733"/>
      <c r="AA1502" s="919"/>
      <c r="AB1502" s="1056"/>
      <c r="AC1502" s="912"/>
      <c r="AD1502" s="913"/>
      <c r="AE1502" s="669"/>
      <c r="AF1502" s="718"/>
      <c r="AG1502" s="211"/>
      <c r="AH1502" s="210"/>
    </row>
    <row r="1503" spans="1:34" s="4" customFormat="1">
      <c r="A1503" s="2"/>
      <c r="B1503" s="310"/>
      <c r="C1503" s="311"/>
      <c r="D1503" s="687"/>
      <c r="E1503" s="688"/>
      <c r="F1503" s="312"/>
      <c r="G1503" s="313"/>
      <c r="H1503" s="624"/>
      <c r="I1503" s="625"/>
      <c r="J1503" s="626"/>
      <c r="K1503" s="627"/>
      <c r="L1503" s="628"/>
      <c r="M1503" s="629"/>
      <c r="N1503" s="627"/>
      <c r="O1503" s="628"/>
      <c r="P1503" s="630"/>
      <c r="Q1503" s="631"/>
      <c r="R1503" s="715"/>
      <c r="S1503" s="990"/>
      <c r="T1503" s="632"/>
      <c r="U1503" s="633"/>
      <c r="V1503" s="634"/>
      <c r="W1503" s="635"/>
      <c r="X1503" s="636"/>
      <c r="Y1503" s="637"/>
      <c r="Z1503" s="733"/>
      <c r="AA1503" s="919"/>
      <c r="AB1503" s="1056"/>
      <c r="AC1503" s="912"/>
      <c r="AD1503" s="913"/>
      <c r="AE1503" s="669"/>
      <c r="AF1503" s="718"/>
      <c r="AG1503" s="211"/>
      <c r="AH1503" s="210"/>
    </row>
    <row r="1504" spans="1:34" ht="14.65" thickBot="1">
      <c r="B1504" s="319"/>
      <c r="C1504" s="320"/>
      <c r="D1504" s="1259"/>
      <c r="E1504" s="1260"/>
      <c r="F1504" s="319"/>
      <c r="G1504" s="320"/>
      <c r="H1504" s="319"/>
      <c r="I1504" s="321" t="s">
        <v>274</v>
      </c>
      <c r="J1504" s="322">
        <f>SUM(J22:J1503)</f>
        <v>4180361.34</v>
      </c>
      <c r="K1504" s="319"/>
      <c r="L1504" s="321" t="s">
        <v>274</v>
      </c>
      <c r="M1504" s="322">
        <f>SUM(M22:M1503)</f>
        <v>8417110.370000001</v>
      </c>
      <c r="N1504" s="323"/>
      <c r="O1504" s="322"/>
      <c r="P1504" s="319"/>
      <c r="Q1504" s="321" t="s">
        <v>274</v>
      </c>
      <c r="R1504" s="321"/>
      <c r="S1504" s="991"/>
      <c r="T1504" s="1075">
        <f>SUM(T22:T1503)</f>
        <v>16823745.590000004</v>
      </c>
      <c r="U1504" s="319"/>
      <c r="V1504" s="324"/>
      <c r="W1504" s="321" t="s">
        <v>274</v>
      </c>
      <c r="X1504" s="325">
        <f>SUM(X22:X1503)</f>
        <v>14745298.420000009</v>
      </c>
      <c r="Y1504" s="322">
        <f>SUM(Y22:Y1503)</f>
        <v>9495140.3700000048</v>
      </c>
      <c r="Z1504" s="737">
        <f>Y1504/X1504</f>
        <v>0.64394358795215201</v>
      </c>
      <c r="AA1504" s="325">
        <f>SUM(AA22:AA1503)</f>
        <v>7186016.1217</v>
      </c>
      <c r="AB1504" s="1013"/>
      <c r="AC1504" s="1008"/>
      <c r="AD1504" s="320"/>
      <c r="AE1504" s="323"/>
      <c r="AF1504" s="326" t="s">
        <v>274</v>
      </c>
      <c r="AG1504" s="326">
        <f>ROUND(SUM(AG22:AG1503),2)</f>
        <v>0</v>
      </c>
      <c r="AH1504" s="322"/>
    </row>
    <row r="1505" spans="2:34" ht="14.65" thickBot="1">
      <c r="I1505" s="5"/>
      <c r="L1505" s="5"/>
      <c r="Q1505" s="5"/>
      <c r="R1505" s="5"/>
      <c r="S1505" s="992"/>
      <c r="W1505" s="5"/>
      <c r="AB1505" s="1014"/>
    </row>
    <row r="1506" spans="2:34" s="9" customFormat="1" ht="14.65" thickBot="1">
      <c r="B1506" s="363"/>
      <c r="C1506" s="364"/>
      <c r="D1506" s="364"/>
      <c r="E1506" s="364"/>
      <c r="F1506" s="364"/>
      <c r="G1506" s="364"/>
      <c r="H1506" s="364"/>
      <c r="I1506" s="365" t="s">
        <v>362</v>
      </c>
      <c r="J1506" s="366">
        <f>SUBTOTAL(9,J22:J1503)</f>
        <v>4180361.34</v>
      </c>
      <c r="K1506" s="367"/>
      <c r="L1506" s="367"/>
      <c r="M1506" s="366">
        <f>SUBTOTAL(9,M22:M1503)</f>
        <v>8417110.370000001</v>
      </c>
      <c r="N1506" s="367"/>
      <c r="O1506" s="367"/>
      <c r="P1506" s="367"/>
      <c r="Q1506" s="367"/>
      <c r="R1506" s="716"/>
      <c r="S1506" s="993"/>
      <c r="T1506" s="1077">
        <f>SUBTOTAL(9,T22:T1503)</f>
        <v>16823745.590000004</v>
      </c>
      <c r="U1506" s="367"/>
      <c r="V1506" s="367"/>
      <c r="W1506" s="367"/>
      <c r="X1506" s="366">
        <f>SUBTOTAL(9,X22:X1503)</f>
        <v>14745298.420000009</v>
      </c>
      <c r="Y1506" s="366">
        <f>SUBTOTAL(9,Y22:Y1503)</f>
        <v>9495140.3700000048</v>
      </c>
      <c r="Z1506" s="366"/>
      <c r="AA1506" s="366">
        <f>SUBTOTAL(9,AA22:AA1503)</f>
        <v>7186016.1217</v>
      </c>
      <c r="AB1506" s="1015"/>
      <c r="AC1506" s="1009"/>
      <c r="AD1506" s="368"/>
      <c r="AE1506" s="367"/>
      <c r="AF1506" s="367"/>
      <c r="AG1506" s="366"/>
      <c r="AH1506" s="369"/>
    </row>
  </sheetData>
  <autoFilter ref="A21:AH1503" xr:uid="{00000000-0009-0000-0000-00000F000000}">
    <filterColumn colId="3" showButton="0"/>
  </autoFilter>
  <mergeCells count="481">
    <mergeCell ref="D400:E400"/>
    <mergeCell ref="D401:E401"/>
    <mergeCell ref="D435:E435"/>
    <mergeCell ref="D404:E404"/>
    <mergeCell ref="D436:E436"/>
    <mergeCell ref="D410:E410"/>
    <mergeCell ref="D879:E879"/>
    <mergeCell ref="D429:E429"/>
    <mergeCell ref="D430:E430"/>
    <mergeCell ref="D402:E402"/>
    <mergeCell ref="D403:E403"/>
    <mergeCell ref="D405:E405"/>
    <mergeCell ref="D406:E406"/>
    <mergeCell ref="D408:E408"/>
    <mergeCell ref="D409:E409"/>
    <mergeCell ref="D857:E857"/>
    <mergeCell ref="D534:E534"/>
    <mergeCell ref="D535:E535"/>
    <mergeCell ref="D440:E440"/>
    <mergeCell ref="D441:E441"/>
    <mergeCell ref="D442:E442"/>
    <mergeCell ref="D443:E443"/>
    <mergeCell ref="D459:E459"/>
    <mergeCell ref="D460:E460"/>
    <mergeCell ref="D880:E880"/>
    <mergeCell ref="D881:E881"/>
    <mergeCell ref="D882:E882"/>
    <mergeCell ref="D344:E344"/>
    <mergeCell ref="D509:E509"/>
    <mergeCell ref="D474:E474"/>
    <mergeCell ref="D475:E475"/>
    <mergeCell ref="D476:E476"/>
    <mergeCell ref="D477:E477"/>
    <mergeCell ref="D478:E478"/>
    <mergeCell ref="D480:E480"/>
    <mergeCell ref="D503:E503"/>
    <mergeCell ref="D504:E504"/>
    <mergeCell ref="D505:E505"/>
    <mergeCell ref="D481:E481"/>
    <mergeCell ref="D498:E498"/>
    <mergeCell ref="D469:E469"/>
    <mergeCell ref="D470:E470"/>
    <mergeCell ref="D471:E471"/>
    <mergeCell ref="D433:E433"/>
    <mergeCell ref="D412:E412"/>
    <mergeCell ref="D413:E413"/>
    <mergeCell ref="D414:E414"/>
    <mergeCell ref="D415:E415"/>
    <mergeCell ref="AC334:AD334"/>
    <mergeCell ref="D375:E375"/>
    <mergeCell ref="D376:E376"/>
    <mergeCell ref="D377:E377"/>
    <mergeCell ref="D378:E378"/>
    <mergeCell ref="D425:E425"/>
    <mergeCell ref="D426:E426"/>
    <mergeCell ref="D374:E374"/>
    <mergeCell ref="D381:E381"/>
    <mergeCell ref="D387:E387"/>
    <mergeCell ref="D382:E382"/>
    <mergeCell ref="D383:E383"/>
    <mergeCell ref="D384:E384"/>
    <mergeCell ref="D385:E385"/>
    <mergeCell ref="D386:E386"/>
    <mergeCell ref="D388:E388"/>
    <mergeCell ref="D389:E389"/>
    <mergeCell ref="D422:E422"/>
    <mergeCell ref="D423:E423"/>
    <mergeCell ref="D424:E424"/>
    <mergeCell ref="D367:E367"/>
    <mergeCell ref="D411:E411"/>
    <mergeCell ref="D390:E390"/>
    <mergeCell ref="D392:E392"/>
    <mergeCell ref="AC375:AD375"/>
    <mergeCell ref="D101:E101"/>
    <mergeCell ref="D124:E124"/>
    <mergeCell ref="D125:E125"/>
    <mergeCell ref="D126:E126"/>
    <mergeCell ref="D127:E127"/>
    <mergeCell ref="D128:E128"/>
    <mergeCell ref="D129:E129"/>
    <mergeCell ref="D120:E120"/>
    <mergeCell ref="D121:E121"/>
    <mergeCell ref="D122:E122"/>
    <mergeCell ref="D123:E123"/>
    <mergeCell ref="D119:E119"/>
    <mergeCell ref="D108:E108"/>
    <mergeCell ref="D109:E109"/>
    <mergeCell ref="D110:E110"/>
    <mergeCell ref="D111:E111"/>
    <mergeCell ref="D112:E112"/>
    <mergeCell ref="D113:E113"/>
    <mergeCell ref="D102:E102"/>
    <mergeCell ref="D103:E103"/>
    <mergeCell ref="D104:E104"/>
    <mergeCell ref="D352:E352"/>
    <mergeCell ref="AC319:AD319"/>
    <mergeCell ref="D1504:E1504"/>
    <mergeCell ref="D130:E130"/>
    <mergeCell ref="D131:E131"/>
    <mergeCell ref="D132:E132"/>
    <mergeCell ref="D139:E139"/>
    <mergeCell ref="D140:E140"/>
    <mergeCell ref="D141:E141"/>
    <mergeCell ref="D142:E142"/>
    <mergeCell ref="D143:E143"/>
    <mergeCell ref="D144:E144"/>
    <mergeCell ref="D145:E145"/>
    <mergeCell ref="D146:E146"/>
    <mergeCell ref="D147:E147"/>
    <mergeCell ref="D148:E148"/>
    <mergeCell ref="D149:E149"/>
    <mergeCell ref="D150:E150"/>
    <mergeCell ref="D151:E151"/>
    <mergeCell ref="D152:E152"/>
    <mergeCell ref="D427:E427"/>
    <mergeCell ref="D428:E428"/>
    <mergeCell ref="D393:E393"/>
    <mergeCell ref="D394:E394"/>
    <mergeCell ref="D395:E395"/>
    <mergeCell ref="D154:E154"/>
    <mergeCell ref="D48:E48"/>
    <mergeCell ref="D49:E49"/>
    <mergeCell ref="D105:E105"/>
    <mergeCell ref="D106:E106"/>
    <mergeCell ref="D114:E114"/>
    <mergeCell ref="D183:E183"/>
    <mergeCell ref="D167:E167"/>
    <mergeCell ref="D50:E50"/>
    <mergeCell ref="D51:E51"/>
    <mergeCell ref="D52:E52"/>
    <mergeCell ref="D53:E53"/>
    <mergeCell ref="D54:E54"/>
    <mergeCell ref="D55:E55"/>
    <mergeCell ref="D56:E56"/>
    <mergeCell ref="D57:E57"/>
    <mergeCell ref="D58:E58"/>
    <mergeCell ref="D59:E59"/>
    <mergeCell ref="D60:E60"/>
    <mergeCell ref="D61:E61"/>
    <mergeCell ref="D62:E62"/>
    <mergeCell ref="D63:E63"/>
    <mergeCell ref="D65:E65"/>
    <mergeCell ref="D66:E66"/>
    <mergeCell ref="D67:E67"/>
    <mergeCell ref="D46:E46"/>
    <mergeCell ref="D47:E47"/>
    <mergeCell ref="D42:E42"/>
    <mergeCell ref="D43:E43"/>
    <mergeCell ref="D44:E44"/>
    <mergeCell ref="D33:E33"/>
    <mergeCell ref="D34:E34"/>
    <mergeCell ref="D35:E35"/>
    <mergeCell ref="D36:E36"/>
    <mergeCell ref="D37:E37"/>
    <mergeCell ref="D38:E38"/>
    <mergeCell ref="D39:E39"/>
    <mergeCell ref="D40:E40"/>
    <mergeCell ref="D41:E41"/>
    <mergeCell ref="N20:O20"/>
    <mergeCell ref="P20:T20"/>
    <mergeCell ref="D26:E26"/>
    <mergeCell ref="D27:E27"/>
    <mergeCell ref="D29:E29"/>
    <mergeCell ref="D30:E30"/>
    <mergeCell ref="D28:E28"/>
    <mergeCell ref="D31:E31"/>
    <mergeCell ref="D32:E32"/>
    <mergeCell ref="D24:E24"/>
    <mergeCell ref="D25:E25"/>
    <mergeCell ref="H19:J19"/>
    <mergeCell ref="K19:M19"/>
    <mergeCell ref="N19:O19"/>
    <mergeCell ref="P19:T19"/>
    <mergeCell ref="U19:Y19"/>
    <mergeCell ref="AE19:AH19"/>
    <mergeCell ref="F18:G18"/>
    <mergeCell ref="H18:J18"/>
    <mergeCell ref="K18:M18"/>
    <mergeCell ref="N18:O18"/>
    <mergeCell ref="P18:T18"/>
    <mergeCell ref="U18:Y18"/>
    <mergeCell ref="U20:Y20"/>
    <mergeCell ref="D21:E21"/>
    <mergeCell ref="AE20:AH20"/>
    <mergeCell ref="D22:E22"/>
    <mergeCell ref="D23:E23"/>
    <mergeCell ref="F20:G20"/>
    <mergeCell ref="H20:J20"/>
    <mergeCell ref="K20:M20"/>
    <mergeCell ref="AE16:AH16"/>
    <mergeCell ref="F17:G17"/>
    <mergeCell ref="H17:J17"/>
    <mergeCell ref="K17:M17"/>
    <mergeCell ref="N17:O17"/>
    <mergeCell ref="P17:T17"/>
    <mergeCell ref="U17:Y17"/>
    <mergeCell ref="AE17:AH17"/>
    <mergeCell ref="F16:G16"/>
    <mergeCell ref="H16:J16"/>
    <mergeCell ref="K16:M16"/>
    <mergeCell ref="N16:O16"/>
    <mergeCell ref="P16:T16"/>
    <mergeCell ref="U16:Y16"/>
    <mergeCell ref="AE18:AH18"/>
    <mergeCell ref="F19:G19"/>
    <mergeCell ref="D68:E68"/>
    <mergeCell ref="D64:E64"/>
    <mergeCell ref="D82:E82"/>
    <mergeCell ref="D84:E84"/>
    <mergeCell ref="D118:E118"/>
    <mergeCell ref="D83:E83"/>
    <mergeCell ref="D85:E85"/>
    <mergeCell ref="D69:E69"/>
    <mergeCell ref="D70:E70"/>
    <mergeCell ref="D71:E71"/>
    <mergeCell ref="D72:E72"/>
    <mergeCell ref="D73:E73"/>
    <mergeCell ref="D74:E74"/>
    <mergeCell ref="D75:E75"/>
    <mergeCell ref="D76:E76"/>
    <mergeCell ref="D77:E77"/>
    <mergeCell ref="D115:E115"/>
    <mergeCell ref="D116:E116"/>
    <mergeCell ref="D117:E117"/>
    <mergeCell ref="D99:E99"/>
    <mergeCell ref="D100:E100"/>
    <mergeCell ref="D88:E88"/>
    <mergeCell ref="D91:E91"/>
    <mergeCell ref="D92:E92"/>
    <mergeCell ref="D93:E93"/>
    <mergeCell ref="D94:E94"/>
    <mergeCell ref="D95:E95"/>
    <mergeCell ref="D89:E89"/>
    <mergeCell ref="D90:E90"/>
    <mergeCell ref="D86:E86"/>
    <mergeCell ref="D87:E87"/>
    <mergeCell ref="D78:E78"/>
    <mergeCell ref="D79:E79"/>
    <mergeCell ref="D80:E80"/>
    <mergeCell ref="D81:E81"/>
    <mergeCell ref="D96:E96"/>
    <mergeCell ref="D97:E97"/>
    <mergeCell ref="D98:E98"/>
    <mergeCell ref="D173:E173"/>
    <mergeCell ref="D174:E174"/>
    <mergeCell ref="D156:E156"/>
    <mergeCell ref="D157:E157"/>
    <mergeCell ref="D158:E158"/>
    <mergeCell ref="D159:E159"/>
    <mergeCell ref="D160:E160"/>
    <mergeCell ref="D161:E161"/>
    <mergeCell ref="D162:E162"/>
    <mergeCell ref="D163:E163"/>
    <mergeCell ref="D164:E164"/>
    <mergeCell ref="D133:E133"/>
    <mergeCell ref="D135:E135"/>
    <mergeCell ref="D165:E165"/>
    <mergeCell ref="D166:E166"/>
    <mergeCell ref="D168:E168"/>
    <mergeCell ref="D169:E169"/>
    <mergeCell ref="D170:E170"/>
    <mergeCell ref="D171:E171"/>
    <mergeCell ref="D172:E172"/>
    <mergeCell ref="D153:E153"/>
    <mergeCell ref="D155:E155"/>
    <mergeCell ref="D247:E247"/>
    <mergeCell ref="D248:E248"/>
    <mergeCell ref="D249:E249"/>
    <mergeCell ref="D175:E175"/>
    <mergeCell ref="D176:E176"/>
    <mergeCell ref="D177:E177"/>
    <mergeCell ref="D178:E178"/>
    <mergeCell ref="D179:E179"/>
    <mergeCell ref="D180:E180"/>
    <mergeCell ref="D181:E181"/>
    <mergeCell ref="D227:E227"/>
    <mergeCell ref="D228:E228"/>
    <mergeCell ref="D199:E199"/>
    <mergeCell ref="D200:E200"/>
    <mergeCell ref="D201:E201"/>
    <mergeCell ref="D202:E202"/>
    <mergeCell ref="D203:E203"/>
    <mergeCell ref="D204:E204"/>
    <mergeCell ref="D205:E205"/>
    <mergeCell ref="D206:E206"/>
    <mergeCell ref="D207:E207"/>
    <mergeCell ref="D212:E212"/>
    <mergeCell ref="D246:E246"/>
    <mergeCell ref="D250:E250"/>
    <mergeCell ref="D251:E251"/>
    <mergeCell ref="D252:E252"/>
    <mergeCell ref="D253:E253"/>
    <mergeCell ref="D240:E240"/>
    <mergeCell ref="D224:E224"/>
    <mergeCell ref="D225:E225"/>
    <mergeCell ref="D281:E281"/>
    <mergeCell ref="D233:E233"/>
    <mergeCell ref="D234:E234"/>
    <mergeCell ref="D236:E236"/>
    <mergeCell ref="D244:E244"/>
    <mergeCell ref="D256:E256"/>
    <mergeCell ref="D257:E257"/>
    <mergeCell ref="D258:E258"/>
    <mergeCell ref="D259:E259"/>
    <mergeCell ref="D260:E260"/>
    <mergeCell ref="D245:E245"/>
    <mergeCell ref="D232:E232"/>
    <mergeCell ref="D289:E289"/>
    <mergeCell ref="D290:E290"/>
    <mergeCell ref="D291:E291"/>
    <mergeCell ref="D292:E292"/>
    <mergeCell ref="D267:E267"/>
    <mergeCell ref="D268:E268"/>
    <mergeCell ref="D269:E269"/>
    <mergeCell ref="D270:E270"/>
    <mergeCell ref="D271:E271"/>
    <mergeCell ref="D272:E272"/>
    <mergeCell ref="D273:E273"/>
    <mergeCell ref="D274:E274"/>
    <mergeCell ref="D284:E284"/>
    <mergeCell ref="D285:E285"/>
    <mergeCell ref="D277:E277"/>
    <mergeCell ref="D278:E278"/>
    <mergeCell ref="D279:E279"/>
    <mergeCell ref="D286:E286"/>
    <mergeCell ref="D287:E287"/>
    <mergeCell ref="D213:E213"/>
    <mergeCell ref="D214:E214"/>
    <mergeCell ref="D215:E215"/>
    <mergeCell ref="D216:E216"/>
    <mergeCell ref="D217:E217"/>
    <mergeCell ref="D218:E218"/>
    <mergeCell ref="D219:E219"/>
    <mergeCell ref="D220:E220"/>
    <mergeCell ref="D261:E261"/>
    <mergeCell ref="D221:E221"/>
    <mergeCell ref="D222:E222"/>
    <mergeCell ref="D223:E223"/>
    <mergeCell ref="D235:E235"/>
    <mergeCell ref="D237:E237"/>
    <mergeCell ref="D238:E238"/>
    <mergeCell ref="D254:E254"/>
    <mergeCell ref="D255:E255"/>
    <mergeCell ref="D241:E241"/>
    <mergeCell ref="D242:E242"/>
    <mergeCell ref="D243:E243"/>
    <mergeCell ref="D239:E239"/>
    <mergeCell ref="D226:E226"/>
    <mergeCell ref="D229:E229"/>
    <mergeCell ref="D230:E230"/>
    <mergeCell ref="AC281:AD281"/>
    <mergeCell ref="AC318:AD318"/>
    <mergeCell ref="AC231:AD231"/>
    <mergeCell ref="D314:E314"/>
    <mergeCell ref="D315:E315"/>
    <mergeCell ref="D316:E316"/>
    <mergeCell ref="D317:E317"/>
    <mergeCell ref="D318:E318"/>
    <mergeCell ref="D293:E293"/>
    <mergeCell ref="D294:E294"/>
    <mergeCell ref="D295:E295"/>
    <mergeCell ref="D296:E296"/>
    <mergeCell ref="D262:E262"/>
    <mergeCell ref="D263:E263"/>
    <mergeCell ref="D264:E264"/>
    <mergeCell ref="D265:E265"/>
    <mergeCell ref="D275:E275"/>
    <mergeCell ref="D276:E276"/>
    <mergeCell ref="D282:E282"/>
    <mergeCell ref="D283:E283"/>
    <mergeCell ref="D266:E266"/>
    <mergeCell ref="D304:E304"/>
    <mergeCell ref="D280:E280"/>
    <mergeCell ref="D288:E288"/>
    <mergeCell ref="D334:E334"/>
    <mergeCell ref="D335:E335"/>
    <mergeCell ref="D336:E336"/>
    <mergeCell ref="D337:E337"/>
    <mergeCell ref="D338:E338"/>
    <mergeCell ref="D323:E323"/>
    <mergeCell ref="D324:E324"/>
    <mergeCell ref="D325:E325"/>
    <mergeCell ref="D326:E326"/>
    <mergeCell ref="D327:E327"/>
    <mergeCell ref="D328:E328"/>
    <mergeCell ref="D331:E331"/>
    <mergeCell ref="D332:E332"/>
    <mergeCell ref="D329:E329"/>
    <mergeCell ref="D330:E330"/>
    <mergeCell ref="D333:E333"/>
    <mergeCell ref="D136:E136"/>
    <mergeCell ref="D343:E343"/>
    <mergeCell ref="D319:E319"/>
    <mergeCell ref="D320:E320"/>
    <mergeCell ref="D321:E321"/>
    <mergeCell ref="D322:E322"/>
    <mergeCell ref="D313:E313"/>
    <mergeCell ref="D311:E311"/>
    <mergeCell ref="D312:E312"/>
    <mergeCell ref="D308:E308"/>
    <mergeCell ref="D309:E309"/>
    <mergeCell ref="D310:E310"/>
    <mergeCell ref="D305:E305"/>
    <mergeCell ref="D306:E306"/>
    <mergeCell ref="D307:E307"/>
    <mergeCell ref="D186:E186"/>
    <mergeCell ref="D297:E297"/>
    <mergeCell ref="D231:E231"/>
    <mergeCell ref="D298:E298"/>
    <mergeCell ref="D299:E299"/>
    <mergeCell ref="D300:E300"/>
    <mergeCell ref="D301:E301"/>
    <mergeCell ref="D302:E302"/>
    <mergeCell ref="D303:E303"/>
    <mergeCell ref="D380:E380"/>
    <mergeCell ref="D517:E517"/>
    <mergeCell ref="D518:E518"/>
    <mergeCell ref="D434:E434"/>
    <mergeCell ref="D391:E391"/>
    <mergeCell ref="D396:E396"/>
    <mergeCell ref="D397:E397"/>
    <mergeCell ref="D398:E398"/>
    <mergeCell ref="D464:E464"/>
    <mergeCell ref="D465:E465"/>
    <mergeCell ref="D467:E467"/>
    <mergeCell ref="D468:E468"/>
    <mergeCell ref="D506:E506"/>
    <mergeCell ref="D516:E516"/>
    <mergeCell ref="D450:E450"/>
    <mergeCell ref="D451:E451"/>
    <mergeCell ref="D452:E452"/>
    <mergeCell ref="D454:E454"/>
    <mergeCell ref="D461:E461"/>
    <mergeCell ref="D462:E462"/>
    <mergeCell ref="D507:E507"/>
    <mergeCell ref="D508:E508"/>
    <mergeCell ref="D399:E399"/>
    <mergeCell ref="D407:E407"/>
    <mergeCell ref="D458:E458"/>
    <mergeCell ref="D533:E533"/>
    <mergeCell ref="D526:E526"/>
    <mergeCell ref="D527:E527"/>
    <mergeCell ref="D528:E528"/>
    <mergeCell ref="D529:E529"/>
    <mergeCell ref="D531:E531"/>
    <mergeCell ref="D444:E444"/>
    <mergeCell ref="D445:E445"/>
    <mergeCell ref="D446:E446"/>
    <mergeCell ref="D447:E447"/>
    <mergeCell ref="D448:E448"/>
    <mergeCell ref="D510:E510"/>
    <mergeCell ref="D511:E511"/>
    <mergeCell ref="D512:E512"/>
    <mergeCell ref="D513:E513"/>
    <mergeCell ref="D472:E472"/>
    <mergeCell ref="D473:E473"/>
    <mergeCell ref="D530:E530"/>
    <mergeCell ref="AC232:AD232"/>
    <mergeCell ref="D854:E854"/>
    <mergeCell ref="D855:E855"/>
    <mergeCell ref="D856:E856"/>
    <mergeCell ref="D416:E416"/>
    <mergeCell ref="D519:E519"/>
    <mergeCell ref="D520:E520"/>
    <mergeCell ref="D521:E521"/>
    <mergeCell ref="D522:E522"/>
    <mergeCell ref="D523:E523"/>
    <mergeCell ref="D524:E524"/>
    <mergeCell ref="D525:E525"/>
    <mergeCell ref="D532:E532"/>
    <mergeCell ref="D776:E776"/>
    <mergeCell ref="D777:E777"/>
    <mergeCell ref="D437:E437"/>
    <mergeCell ref="D438:E438"/>
    <mergeCell ref="D439:E439"/>
    <mergeCell ref="D431:E431"/>
    <mergeCell ref="D432:E432"/>
    <mergeCell ref="D515:E515"/>
    <mergeCell ref="D453:E453"/>
    <mergeCell ref="D455:E455"/>
    <mergeCell ref="D457:E457"/>
  </mergeCells>
  <phoneticPr fontId="76" type="noConversion"/>
  <conditionalFormatting sqref="AE182:AE231 AE1138:AE1140 AE345:AE1136 AE233:AE342 AE1142:AE1346 AE1348:AE1377 AE1381:AE1503">
    <cfRule type="expression" priority="74">
      <formula>#REF!&lt;TODAY()</formula>
    </cfRule>
    <cfRule type="cellIs" dxfId="107" priority="75" operator="lessThan">
      <formula>TODAY()</formula>
    </cfRule>
    <cfRule type="cellIs" dxfId="106" priority="76" operator="lessThan">
      <formula>-TODAY()</formula>
    </cfRule>
  </conditionalFormatting>
  <conditionalFormatting sqref="AE168:AE181">
    <cfRule type="expression" priority="84">
      <formula>$A1048566&lt;TODAY()</formula>
    </cfRule>
    <cfRule type="cellIs" dxfId="105" priority="85" operator="lessThan">
      <formula>TODAY()</formula>
    </cfRule>
    <cfRule type="cellIs" dxfId="104" priority="86" operator="lessThan">
      <formula>-TODAY()</formula>
    </cfRule>
  </conditionalFormatting>
  <conditionalFormatting sqref="AE72:AE166">
    <cfRule type="expression" priority="99">
      <formula>$A1048485&lt;TODAY()</formula>
    </cfRule>
    <cfRule type="cellIs" dxfId="103" priority="100" operator="lessThan">
      <formula>TODAY()</formula>
    </cfRule>
    <cfRule type="cellIs" dxfId="102" priority="101" operator="lessThan">
      <formula>-TODAY()</formula>
    </cfRule>
  </conditionalFormatting>
  <conditionalFormatting sqref="AE343:AE344 AE22:AE231 AE233:AE270">
    <cfRule type="cellIs" dxfId="101" priority="38" operator="lessThan">
      <formula>$AE$14</formula>
    </cfRule>
  </conditionalFormatting>
  <conditionalFormatting sqref="AE1138:AE1140 AE22:AE231 AE233:AE1136 AE1142:AE1346 AE1348:AE1377 AE1381:AE1503">
    <cfRule type="timePeriod" dxfId="100" priority="36" timePeriod="yesterday">
      <formula>FLOOR(AE22,1)=TODAY()-1</formula>
    </cfRule>
  </conditionalFormatting>
  <conditionalFormatting sqref="AE46:AE71">
    <cfRule type="expression" priority="116">
      <formula>$A1048553&lt;TODAY()</formula>
    </cfRule>
    <cfRule type="cellIs" dxfId="99" priority="117" operator="lessThan">
      <formula>TODAY()</formula>
    </cfRule>
    <cfRule type="cellIs" dxfId="98" priority="118" operator="lessThan">
      <formula>-TODAY()</formula>
    </cfRule>
  </conditionalFormatting>
  <conditionalFormatting sqref="AE22:AE45">
    <cfRule type="expression" priority="139">
      <formula>$A1048555&lt;TODAY()</formula>
    </cfRule>
    <cfRule type="cellIs" dxfId="97" priority="140" operator="lessThan">
      <formula>TODAY()</formula>
    </cfRule>
    <cfRule type="cellIs" dxfId="96" priority="141" operator="lessThan">
      <formula>-TODAY()</formula>
    </cfRule>
  </conditionalFormatting>
  <conditionalFormatting sqref="AE343:AE344">
    <cfRule type="expression" priority="265">
      <formula>$A275&lt;TODAY()</formula>
    </cfRule>
    <cfRule type="cellIs" dxfId="95" priority="266" operator="lessThan">
      <formula>TODAY()</formula>
    </cfRule>
    <cfRule type="cellIs" dxfId="94" priority="267" operator="lessThan">
      <formula>-TODAY()</formula>
    </cfRule>
  </conditionalFormatting>
  <conditionalFormatting sqref="E7:P7">
    <cfRule type="colorScale" priority="34">
      <colorScale>
        <cfvo type="min"/>
        <cfvo type="percentile" val="50"/>
        <cfvo type="max"/>
        <color rgb="FF63BE7B"/>
        <color rgb="FFFFEB84"/>
        <color rgb="FFF8696B"/>
      </colorScale>
    </cfRule>
  </conditionalFormatting>
  <conditionalFormatting sqref="AE1141">
    <cfRule type="expression" priority="29">
      <formula>#REF!&lt;TODAY()</formula>
    </cfRule>
    <cfRule type="cellIs" dxfId="93" priority="30" operator="lessThan">
      <formula>TODAY()</formula>
    </cfRule>
    <cfRule type="cellIs" dxfId="92" priority="31" operator="lessThan">
      <formula>-TODAY()</formula>
    </cfRule>
  </conditionalFormatting>
  <conditionalFormatting sqref="AE1141">
    <cfRule type="timePeriod" dxfId="91" priority="28" timePeriod="yesterday">
      <formula>FLOOR(AE1141,1)=TODAY()-1</formula>
    </cfRule>
  </conditionalFormatting>
  <conditionalFormatting sqref="U1141">
    <cfRule type="duplicateValues" dxfId="90" priority="32"/>
  </conditionalFormatting>
  <conditionalFormatting sqref="K1141">
    <cfRule type="duplicateValues" dxfId="89" priority="33"/>
  </conditionalFormatting>
  <conditionalFormatting sqref="AE1137">
    <cfRule type="expression" priority="23">
      <formula>#REF!&lt;TODAY()</formula>
    </cfRule>
    <cfRule type="cellIs" dxfId="88" priority="24" operator="lessThan">
      <formula>TODAY()</formula>
    </cfRule>
    <cfRule type="cellIs" dxfId="87" priority="25" operator="lessThan">
      <formula>-TODAY()</formula>
    </cfRule>
  </conditionalFormatting>
  <conditionalFormatting sqref="AE1137">
    <cfRule type="timePeriod" dxfId="86" priority="22" timePeriod="yesterday">
      <formula>FLOOR(AE1137,1)=TODAY()-1</formula>
    </cfRule>
  </conditionalFormatting>
  <conditionalFormatting sqref="U1137">
    <cfRule type="duplicateValues" dxfId="85" priority="26"/>
  </conditionalFormatting>
  <conditionalFormatting sqref="K1137">
    <cfRule type="duplicateValues" dxfId="84" priority="27"/>
  </conditionalFormatting>
  <conditionalFormatting sqref="AE232">
    <cfRule type="expression" priority="17">
      <formula>#REF!&lt;TODAY()</formula>
    </cfRule>
    <cfRule type="cellIs" dxfId="83" priority="18" operator="lessThan">
      <formula>TODAY()</formula>
    </cfRule>
    <cfRule type="cellIs" dxfId="82" priority="19" operator="lessThan">
      <formula>-TODAY()</formula>
    </cfRule>
  </conditionalFormatting>
  <conditionalFormatting sqref="AE232">
    <cfRule type="cellIs" dxfId="81" priority="16" operator="lessThan">
      <formula>$AE$14</formula>
    </cfRule>
  </conditionalFormatting>
  <conditionalFormatting sqref="AE232">
    <cfRule type="timePeriod" dxfId="80" priority="15" timePeriod="yesterday">
      <formula>FLOOR(AE232,1)=TODAY()-1</formula>
    </cfRule>
  </conditionalFormatting>
  <conditionalFormatting sqref="U232">
    <cfRule type="duplicateValues" dxfId="79" priority="20"/>
  </conditionalFormatting>
  <conditionalFormatting sqref="K232">
    <cfRule type="duplicateValues" dxfId="78" priority="21"/>
  </conditionalFormatting>
  <conditionalFormatting sqref="AE1347">
    <cfRule type="expression" priority="10">
      <formula>#REF!&lt;TODAY()</formula>
    </cfRule>
    <cfRule type="cellIs" dxfId="77" priority="11" operator="lessThan">
      <formula>TODAY()</formula>
    </cfRule>
    <cfRule type="cellIs" dxfId="76" priority="12" operator="lessThan">
      <formula>-TODAY()</formula>
    </cfRule>
  </conditionalFormatting>
  <conditionalFormatting sqref="AE1347">
    <cfRule type="timePeriod" dxfId="75" priority="9" timePeriod="yesterday">
      <formula>FLOOR(AE1347,1)=TODAY()-1</formula>
    </cfRule>
  </conditionalFormatting>
  <conditionalFormatting sqref="U1347">
    <cfRule type="duplicateValues" dxfId="74" priority="13"/>
  </conditionalFormatting>
  <conditionalFormatting sqref="K1347">
    <cfRule type="duplicateValues" dxfId="73" priority="14"/>
  </conditionalFormatting>
  <conditionalFormatting sqref="U1138:U1140 U22:U132 U134:U231 U1142:U1346 U233:U1136 U1348:U1377 U1381:U1503">
    <cfRule type="duplicateValues" dxfId="72" priority="528"/>
  </conditionalFormatting>
  <conditionalFormatting sqref="K1381:K1385 K1138:K1140 K22:K231 K233:K589 K591:K1136 K1348:K1377 K1142:K1346 K1387:K1396 K1398:K1503">
    <cfRule type="duplicateValues" dxfId="71" priority="534"/>
  </conditionalFormatting>
  <conditionalFormatting sqref="AE1378:AE1380">
    <cfRule type="timePeriod" dxfId="70" priority="3" timePeriod="yesterday">
      <formula>FLOOR(AE1378,1)=TODAY()-1</formula>
    </cfRule>
  </conditionalFormatting>
  <conditionalFormatting sqref="AE1378:AE1380">
    <cfRule type="expression" priority="4">
      <formula>#REF!&lt;TODAY()</formula>
    </cfRule>
    <cfRule type="cellIs" dxfId="69" priority="5" operator="lessThan">
      <formula>TODAY()</formula>
    </cfRule>
    <cfRule type="cellIs" dxfId="68" priority="6" operator="lessThan">
      <formula>-TODAY()</formula>
    </cfRule>
  </conditionalFormatting>
  <conditionalFormatting sqref="U1378:U1380">
    <cfRule type="duplicateValues" dxfId="67" priority="7"/>
  </conditionalFormatting>
  <conditionalFormatting sqref="K1378:K1380">
    <cfRule type="duplicateValues" dxfId="66" priority="8"/>
  </conditionalFormatting>
  <conditionalFormatting sqref="K1386">
    <cfRule type="duplicateValues" dxfId="65" priority="2"/>
  </conditionalFormatting>
  <conditionalFormatting sqref="K1397">
    <cfRule type="duplicateValues" dxfId="64" priority="1"/>
  </conditionalFormatting>
  <dataValidations count="1">
    <dataValidation type="date" operator="greaterThanOrEqual" allowBlank="1" showInputMessage="1" showErrorMessage="1" error="Please enter a valid date." sqref="G22:G909 O22:O1503 L22:L1503 Q22:S1503 AH22:AH1503 I22:I1503 G911:G1503 V22:V1503" xr:uid="{00000000-0002-0000-0F00-000000000000}">
      <formula1>1</formula1>
    </dataValidation>
  </dataValidations>
  <pageMargins left="0.23622047244094491" right="0.23622047244094491" top="0.35433070866141736" bottom="0.35433070866141736" header="0.31496062992125984" footer="0.31496062992125984"/>
  <pageSetup paperSize="17" scale="23" fitToHeight="10" orientation="landscape" r:id="rId1"/>
  <headerFooter>
    <oddFooter>&amp;L&amp;1#&amp;"Calibri"&amp;11&amp;K000000Classification: Protected A</oddFooter>
  </headerFooter>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1000000}">
          <x14:formula1>
            <xm:f>Validations!$F$11:$F$33</xm:f>
          </x14:formula1>
          <xm:sqref>B8:B13 C22:C1503</xm:sqref>
        </x14:dataValidation>
        <x14:dataValidation type="list" allowBlank="1" showInputMessage="1" showErrorMessage="1" xr:uid="{00000000-0002-0000-0F00-000002000000}">
          <x14:formula1>
            <xm:f>Validations!$D$26:$D$33</xm:f>
          </x14:formula1>
          <xm:sqref>B22:B1503</xm:sqref>
        </x14:dataValidation>
        <x14:dataValidation type="list" allowBlank="1" showInputMessage="1" showErrorMessage="1" xr:uid="{00000000-0002-0000-0F00-000003000000}">
          <x14:formula1>
            <xm:f>Validations!$C$20:$C$32</xm:f>
          </x14:formula1>
          <xm:sqref>W22:W1503</xm:sqref>
        </x14:dataValidation>
        <x14:dataValidation type="list" allowBlank="1" showInputMessage="1" showErrorMessage="1" xr:uid="{00000000-0002-0000-0F00-000004000000}">
          <x14:formula1>
            <xm:f>Validations!$D$54:$D$57</xm:f>
          </x14:formula1>
          <xm:sqref>AF22:AF1503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6" tint="0.39997558519241921"/>
    <pageSetUpPr fitToPage="1"/>
  </sheetPr>
  <dimension ref="A2:Q94"/>
  <sheetViews>
    <sheetView topLeftCell="A7" zoomScale="85" zoomScaleNormal="85" workbookViewId="0">
      <pane ySplit="22" topLeftCell="A78" activePane="bottomLeft" state="frozen"/>
      <selection pane="bottomLeft" activeCell="L83" sqref="L83"/>
      <selection activeCell="A7" sqref="A7"/>
    </sheetView>
  </sheetViews>
  <sheetFormatPr defaultColWidth="9.42578125" defaultRowHeight="14.1" outlineLevelRow="1"/>
  <cols>
    <col min="1" max="1" width="2.42578125" style="1" bestFit="1" customWidth="1"/>
    <col min="2" max="2" width="12.42578125" style="1" customWidth="1"/>
    <col min="3" max="3" width="20" style="1" customWidth="1"/>
    <col min="4" max="4" width="21.28515625" style="1" customWidth="1"/>
    <col min="5" max="6" width="20.42578125" style="1" customWidth="1"/>
    <col min="7" max="7" width="23" style="1" customWidth="1"/>
    <col min="8" max="8" width="22.42578125" style="1" customWidth="1"/>
    <col min="9" max="14" width="17.42578125" style="1" customWidth="1"/>
    <col min="15" max="15" width="22.42578125" style="3" customWidth="1"/>
    <col min="16" max="16" width="37.42578125" style="1" customWidth="1"/>
    <col min="17" max="17" width="37.42578125" style="2" customWidth="1"/>
    <col min="18" max="27" width="12.42578125" style="1" customWidth="1"/>
    <col min="28" max="16384" width="9.42578125" style="1"/>
  </cols>
  <sheetData>
    <row r="2" spans="2:17" ht="23.65">
      <c r="B2" s="16" t="s">
        <v>6547</v>
      </c>
      <c r="I2" s="19"/>
      <c r="J2" s="19" t="str">
        <f>Validations!$C$6</f>
        <v>Justice Centre</v>
      </c>
    </row>
    <row r="3" spans="2:17">
      <c r="C3" s="302" t="s">
        <v>2122</v>
      </c>
      <c r="D3" s="341" t="str">
        <f>Validations!$L$17</f>
        <v>Design Bid Build</v>
      </c>
    </row>
    <row r="4" spans="2:17" s="41" customFormat="1" ht="10.7">
      <c r="O4" s="50"/>
      <c r="Q4" s="6"/>
    </row>
    <row r="5" spans="2:17" s="41" customFormat="1" outlineLevel="1">
      <c r="C5" s="18" t="s">
        <v>6548</v>
      </c>
      <c r="D5" s="18"/>
      <c r="E5" s="18"/>
      <c r="F5" s="18"/>
      <c r="Q5" s="6"/>
    </row>
    <row r="6" spans="2:17" s="41" customFormat="1" outlineLevel="1">
      <c r="E6" s="1268" t="s">
        <v>6549</v>
      </c>
      <c r="F6" s="1269"/>
      <c r="G6" s="1270"/>
    </row>
    <row r="7" spans="2:17" s="41" customFormat="1" ht="34.35" customHeight="1" outlineLevel="1">
      <c r="B7" s="494" t="s">
        <v>6550</v>
      </c>
      <c r="C7" s="494" t="s">
        <v>795</v>
      </c>
      <c r="D7" s="494" t="s">
        <v>106</v>
      </c>
      <c r="E7" s="482" t="str">
        <f>Validations!D26</f>
        <v>Pre-Authorized</v>
      </c>
      <c r="F7" s="482" t="str">
        <f>Validations!D27</f>
        <v>Pending - Quote</v>
      </c>
      <c r="G7" s="482" t="str">
        <f>Validations!D28</f>
        <v>Pending - Approve</v>
      </c>
      <c r="H7" s="495" t="s">
        <v>6551</v>
      </c>
      <c r="I7" s="495" t="s">
        <v>6552</v>
      </c>
      <c r="J7" s="495" t="s">
        <v>6553</v>
      </c>
      <c r="K7" s="495" t="s">
        <v>6554</v>
      </c>
      <c r="L7" s="496" t="s">
        <v>534</v>
      </c>
      <c r="M7" s="497"/>
      <c r="N7" s="497"/>
      <c r="O7" s="497"/>
      <c r="P7" s="497"/>
      <c r="Q7" s="498"/>
    </row>
    <row r="8" spans="2:17" s="41" customFormat="1" outlineLevel="1">
      <c r="B8" s="327">
        <v>1</v>
      </c>
      <c r="C8" s="211">
        <v>10000000</v>
      </c>
      <c r="D8" s="203">
        <f ca="1">SUMIFS(CAllowApprVal,CAllowStatus,$D$7,CAllowNum,"="&amp;$B8)</f>
        <v>10019784.16</v>
      </c>
      <c r="E8" s="203">
        <f ca="1">SUMIFS(CAllowDefScpVal,CAllowStatus,$E$7,CAllowNum,"="&amp;$B8)</f>
        <v>0</v>
      </c>
      <c r="F8" s="203">
        <f ca="1">SUMIFS(CAllowDefScpVal,CAllowStatus,$F$7,CAllowNum,"="&amp;$B8)</f>
        <v>0</v>
      </c>
      <c r="G8" s="203">
        <f ca="1">SUMIFS(CAllowQuoWrkVal,CAllowStatus,$G$7,CAllowNum,"="&amp;B8)</f>
        <v>0</v>
      </c>
      <c r="H8" s="203">
        <f t="shared" ref="H8:H20" ca="1" si="0">IF(B8="","",C8-D8)</f>
        <v>-19784.160000000149</v>
      </c>
      <c r="I8" s="203">
        <f t="shared" ref="I8:I20" ca="1" si="1">IF(B8="","",H8-SUM(F8:G8))</f>
        <v>-19784.160000000149</v>
      </c>
      <c r="J8" s="203">
        <f ca="1">IF(B8="","",SUMIFS(CAllowApprBill,CAllowApprRef,"="&amp;B8&amp;"*"))</f>
        <v>0</v>
      </c>
      <c r="K8" s="203">
        <f t="shared" ref="K8:K20" ca="1" si="2">IF(B8="","",D8-J8)</f>
        <v>10019784.16</v>
      </c>
      <c r="L8" s="1262" t="s">
        <v>6555</v>
      </c>
      <c r="M8" s="1263"/>
      <c r="N8" s="1263"/>
      <c r="O8" s="1263"/>
      <c r="P8" s="1263"/>
      <c r="Q8" s="1264"/>
    </row>
    <row r="9" spans="2:17" s="41" customFormat="1" outlineLevel="1">
      <c r="B9" s="327">
        <v>2</v>
      </c>
      <c r="C9" s="211">
        <v>1000000</v>
      </c>
      <c r="D9" s="203">
        <f ca="1">SUMIFS(CAllowApprVal,CAllowStatus,$D$7,CAllowNum,"="&amp;$B9)</f>
        <v>1000000</v>
      </c>
      <c r="E9" s="203">
        <f ca="1">SUMIFS(CAllowDefScpVal,CAllowStatus,$E$7,CAllowNum,"="&amp;$B9)</f>
        <v>0</v>
      </c>
      <c r="F9" s="203">
        <f ca="1">SUMIFS(CAllowDefScpVal,CAllowStatus,$F$7,CAllowNum,"="&amp;$B9)</f>
        <v>0</v>
      </c>
      <c r="G9" s="203">
        <f ca="1">SUMIFS(CAllowQuoWrkVal,CAllowStatus,$G$7,CAllowNum,"="&amp;B9)</f>
        <v>0</v>
      </c>
      <c r="H9" s="203">
        <f t="shared" ca="1" si="0"/>
        <v>0</v>
      </c>
      <c r="I9" s="203">
        <f t="shared" ca="1" si="1"/>
        <v>0</v>
      </c>
      <c r="J9" s="203">
        <f ca="1">IF(B9="","",SUMIFS(CAllowApprBill,CAllowApprRef,"="&amp;B9&amp;"*"))</f>
        <v>0</v>
      </c>
      <c r="K9" s="203">
        <f t="shared" ca="1" si="2"/>
        <v>1000000</v>
      </c>
      <c r="L9" s="1262" t="s">
        <v>2180</v>
      </c>
      <c r="M9" s="1263"/>
      <c r="N9" s="1263"/>
      <c r="O9" s="1263"/>
      <c r="P9" s="1263"/>
      <c r="Q9" s="1264"/>
    </row>
    <row r="10" spans="2:17" s="41" customFormat="1" outlineLevel="1">
      <c r="B10" s="327">
        <v>3</v>
      </c>
      <c r="C10" s="211">
        <v>350000</v>
      </c>
      <c r="D10" s="203">
        <f ca="1">SUMIFS(CAllowApprVal,CAllowStatus,$D$7,CAllowNum,"="&amp;$B10)</f>
        <v>350000</v>
      </c>
      <c r="E10" s="203">
        <f ca="1">SUMIFS(CAllowDefScpVal,CAllowStatus,$E$7,CAllowNum,"="&amp;$B10)</f>
        <v>0</v>
      </c>
      <c r="F10" s="203">
        <f ca="1">SUMIFS(CAllowDefScpVal,CAllowStatus,$F$7,CAllowNum,"="&amp;$B10)</f>
        <v>0</v>
      </c>
      <c r="G10" s="203">
        <f ca="1">SUMIFS(CAllowQuoWrkVal,CAllowStatus,$G$7,CAllowNum,"="&amp;B10)</f>
        <v>0</v>
      </c>
      <c r="H10" s="203">
        <f t="shared" ca="1" si="0"/>
        <v>0</v>
      </c>
      <c r="I10" s="203">
        <f t="shared" ca="1" si="1"/>
        <v>0</v>
      </c>
      <c r="J10" s="203">
        <f ca="1">IF(B10="","",SUMIFS(CAllowApprBill,CAllowApprRef,"="&amp;B10&amp;"*"))</f>
        <v>0</v>
      </c>
      <c r="K10" s="203">
        <f t="shared" ca="1" si="2"/>
        <v>350000</v>
      </c>
      <c r="L10" s="1262" t="s">
        <v>2181</v>
      </c>
      <c r="M10" s="1263"/>
      <c r="N10" s="1263"/>
      <c r="O10" s="1263"/>
      <c r="P10" s="1263"/>
      <c r="Q10" s="1264"/>
    </row>
    <row r="11" spans="2:17" s="41" customFormat="1" outlineLevel="1">
      <c r="B11" s="327">
        <v>4</v>
      </c>
      <c r="C11" s="211">
        <v>2500000</v>
      </c>
      <c r="D11" s="203">
        <f ca="1">SUMIFS(CAllowApprVal,CAllowStatus,$D$7,CAllowNum,"="&amp;$B11)</f>
        <v>2500000</v>
      </c>
      <c r="E11" s="203">
        <f ca="1">SUMIFS(CAllowDefScpVal,CAllowStatus,$E$7,CAllowNum,"="&amp;$B11)</f>
        <v>0</v>
      </c>
      <c r="F11" s="203">
        <f ca="1">SUMIFS(CAllowDefScpVal,CAllowStatus,$F$7,CAllowNum,"="&amp;$B11)</f>
        <v>0</v>
      </c>
      <c r="G11" s="203">
        <f ca="1">SUMIFS(CAllowQuoWrkVal,CAllowStatus,$G$7,CAllowNum,"="&amp;B11)</f>
        <v>0</v>
      </c>
      <c r="H11" s="203">
        <f t="shared" ca="1" si="0"/>
        <v>0</v>
      </c>
      <c r="I11" s="203">
        <f t="shared" ca="1" si="1"/>
        <v>0</v>
      </c>
      <c r="J11" s="203">
        <f ca="1">IF(B11="","",SUMIFS(CAllowApprBill,CAllowApprRef,"="&amp;B11&amp;"*"))</f>
        <v>0</v>
      </c>
      <c r="K11" s="203">
        <f t="shared" ca="1" si="2"/>
        <v>2500000</v>
      </c>
      <c r="L11" s="1262" t="s">
        <v>2182</v>
      </c>
      <c r="M11" s="1263"/>
      <c r="N11" s="1263"/>
      <c r="O11" s="1263"/>
      <c r="P11" s="1263"/>
      <c r="Q11" s="1264"/>
    </row>
    <row r="12" spans="2:17" s="41" customFormat="1" outlineLevel="1">
      <c r="B12" s="327">
        <v>5</v>
      </c>
      <c r="C12" s="211">
        <v>350000</v>
      </c>
      <c r="D12" s="203">
        <f ca="1">SUMIFS(CAllowApprVal,CAllowStatus,$D$7,CAllowNum,"="&amp;$B12)</f>
        <v>350000</v>
      </c>
      <c r="E12" s="203">
        <f ca="1">SUMIFS(CAllowDefScpVal,CAllowStatus,$E$7,CAllowNum,"="&amp;$B12)</f>
        <v>0</v>
      </c>
      <c r="F12" s="203">
        <f ca="1">SUMIFS(CAllowDefScpVal,CAllowStatus,$F$7,CAllowNum,"="&amp;$B12)</f>
        <v>0</v>
      </c>
      <c r="G12" s="203">
        <f ca="1">SUMIFS(CAllowQuoWrkVal,CAllowStatus,$G$7,CAllowNum,"="&amp;B12)</f>
        <v>0</v>
      </c>
      <c r="H12" s="203">
        <f t="shared" ca="1" si="0"/>
        <v>0</v>
      </c>
      <c r="I12" s="203">
        <f t="shared" ca="1" si="1"/>
        <v>0</v>
      </c>
      <c r="J12" s="203">
        <f ca="1">IF(B12="","",SUMIFS(CAllowApprBill,CAllowApprRef,"="&amp;B12&amp;"*"))</f>
        <v>0</v>
      </c>
      <c r="K12" s="203">
        <f t="shared" ca="1" si="2"/>
        <v>350000</v>
      </c>
      <c r="L12" s="1262" t="s">
        <v>6556</v>
      </c>
      <c r="M12" s="1263"/>
      <c r="N12" s="1263"/>
      <c r="O12" s="1263"/>
      <c r="P12" s="1263"/>
      <c r="Q12" s="1264"/>
    </row>
    <row r="13" spans="2:17" s="41" customFormat="1" outlineLevel="1">
      <c r="B13" s="327">
        <v>6</v>
      </c>
      <c r="C13" s="211">
        <v>5000</v>
      </c>
      <c r="D13" s="203">
        <f ca="1">SUMIFS(CAllowApprVal,CAllowStatus,$D$7,CAllowNum,"="&amp;$B13)</f>
        <v>5000</v>
      </c>
      <c r="E13" s="203">
        <f ca="1">SUMIFS(CAllowDefScpVal,CAllowStatus,$E$7,CAllowNum,"="&amp;$B13)</f>
        <v>0</v>
      </c>
      <c r="F13" s="203">
        <f ca="1">SUMIFS(CAllowDefScpVal,CAllowStatus,$F$7,CAllowNum,"="&amp;$B13)</f>
        <v>0</v>
      </c>
      <c r="G13" s="203">
        <f ca="1">SUMIFS(CAllowQuoWrkVal,CAllowStatus,$G$7,CAllowNum,"="&amp;B13)</f>
        <v>0</v>
      </c>
      <c r="H13" s="203">
        <f t="shared" ca="1" si="0"/>
        <v>0</v>
      </c>
      <c r="I13" s="203">
        <f t="shared" ca="1" si="1"/>
        <v>0</v>
      </c>
      <c r="J13" s="203">
        <f ca="1">IF(B13="","",SUMIFS(CAllowApprBill,CAllowApprRef,"="&amp;B13&amp;"*"))</f>
        <v>0</v>
      </c>
      <c r="K13" s="203">
        <f t="shared" ca="1" si="2"/>
        <v>5000</v>
      </c>
      <c r="L13" s="1262" t="s">
        <v>2184</v>
      </c>
      <c r="M13" s="1263"/>
      <c r="N13" s="1263"/>
      <c r="O13" s="1263"/>
      <c r="P13" s="1263"/>
      <c r="Q13" s="1264"/>
    </row>
    <row r="14" spans="2:17" s="41" customFormat="1" outlineLevel="1">
      <c r="B14" s="328">
        <v>7</v>
      </c>
      <c r="C14" s="211">
        <v>500000</v>
      </c>
      <c r="D14" s="203">
        <f ca="1">SUMIFS(CAllowApprVal,CAllowStatus,$D$7,CAllowNum,"="&amp;$B14)</f>
        <v>499999.99999999994</v>
      </c>
      <c r="E14" s="203">
        <f ca="1">SUMIFS(CAllowDefScpVal,CAllowStatus,$E$7,CAllowNum,"="&amp;$B14)</f>
        <v>0</v>
      </c>
      <c r="F14" s="203">
        <f ca="1">SUMIFS(CAllowDefScpVal,CAllowStatus,$F$7,CAllowNum,"="&amp;$B14)</f>
        <v>0</v>
      </c>
      <c r="G14" s="203">
        <f ca="1">SUMIFS(CAllowQuoWrkVal,CAllowStatus,$G$7,CAllowNum,"="&amp;B14)</f>
        <v>0</v>
      </c>
      <c r="H14" s="203">
        <f t="shared" ca="1" si="0"/>
        <v>5.8207660913467407E-11</v>
      </c>
      <c r="I14" s="203">
        <f t="shared" ca="1" si="1"/>
        <v>5.8207660913467407E-11</v>
      </c>
      <c r="J14" s="203">
        <f ca="1">IF(B14="","",SUMIFS(CAllowApprBill,CAllowApprRef,"="&amp;B14&amp;"*"))</f>
        <v>0</v>
      </c>
      <c r="K14" s="203">
        <f t="shared" ca="1" si="2"/>
        <v>499999.99999999994</v>
      </c>
      <c r="L14" s="1262" t="s">
        <v>2185</v>
      </c>
      <c r="M14" s="1263"/>
      <c r="N14" s="1263"/>
      <c r="O14" s="1263"/>
      <c r="P14" s="1263"/>
      <c r="Q14" s="1264"/>
    </row>
    <row r="15" spans="2:17" s="41" customFormat="1" outlineLevel="1">
      <c r="B15" s="328">
        <v>8</v>
      </c>
      <c r="C15" s="211">
        <v>10000</v>
      </c>
      <c r="D15" s="203">
        <f ca="1">SUMIFS(CAllowApprVal,CAllowStatus,$D$7,CAllowNum,"="&amp;$B15)</f>
        <v>10000</v>
      </c>
      <c r="E15" s="203">
        <f ca="1">SUMIFS(CAllowDefScpVal,CAllowStatus,$E$7,CAllowNum,"="&amp;$B15)</f>
        <v>0</v>
      </c>
      <c r="F15" s="203">
        <f ca="1">SUMIFS(CAllowDefScpVal,CAllowStatus,$F$7,CAllowNum,"="&amp;$B15)</f>
        <v>0</v>
      </c>
      <c r="G15" s="203">
        <f ca="1">SUMIFS(CAllowQuoWrkVal,CAllowStatus,$G$7,CAllowNum,"="&amp;B15)</f>
        <v>0</v>
      </c>
      <c r="H15" s="203">
        <f t="shared" ca="1" si="0"/>
        <v>0</v>
      </c>
      <c r="I15" s="203">
        <f t="shared" ca="1" si="1"/>
        <v>0</v>
      </c>
      <c r="J15" s="203">
        <f ca="1">IF(B15="","",SUMIFS(CAllowApprBill,CAllowApprRef,"="&amp;B15&amp;"*"))</f>
        <v>0</v>
      </c>
      <c r="K15" s="203">
        <f t="shared" ca="1" si="2"/>
        <v>10000</v>
      </c>
      <c r="L15" s="1262" t="s">
        <v>6557</v>
      </c>
      <c r="M15" s="1263"/>
      <c r="N15" s="1263"/>
      <c r="O15" s="1263"/>
      <c r="P15" s="1263"/>
      <c r="Q15" s="1264"/>
    </row>
    <row r="16" spans="2:17" s="41" customFormat="1" outlineLevel="1">
      <c r="B16" s="328">
        <v>9</v>
      </c>
      <c r="C16" s="211">
        <v>25000</v>
      </c>
      <c r="D16" s="203">
        <f ca="1">SUMIFS(CAllowApprVal,CAllowStatus,$D$7,CAllowNum,"="&amp;$B16)</f>
        <v>25000</v>
      </c>
      <c r="E16" s="203">
        <f ca="1">SUMIFS(CAllowDefScpVal,CAllowStatus,$E$7,CAllowNum,"="&amp;$B16)</f>
        <v>0</v>
      </c>
      <c r="F16" s="203">
        <f ca="1">SUMIFS(CAllowDefScpVal,CAllowStatus,$F$7,CAllowNum,"="&amp;$B16)</f>
        <v>0</v>
      </c>
      <c r="G16" s="203">
        <f ca="1">SUMIFS(CAllowQuoWrkVal,CAllowStatus,$G$7,CAllowNum,"="&amp;B16)</f>
        <v>0</v>
      </c>
      <c r="H16" s="203">
        <f t="shared" ca="1" si="0"/>
        <v>0</v>
      </c>
      <c r="I16" s="203">
        <f t="shared" ca="1" si="1"/>
        <v>0</v>
      </c>
      <c r="J16" s="203">
        <f ca="1">IF(B16="","",SUMIFS(CAllowApprBill,CAllowApprRef,"="&amp;B16&amp;"*"))</f>
        <v>0</v>
      </c>
      <c r="K16" s="203">
        <f t="shared" ca="1" si="2"/>
        <v>25000</v>
      </c>
      <c r="L16" s="1262" t="s">
        <v>2187</v>
      </c>
      <c r="M16" s="1263"/>
      <c r="N16" s="1263"/>
      <c r="O16" s="1263"/>
      <c r="P16" s="1263"/>
      <c r="Q16" s="1264"/>
    </row>
    <row r="17" spans="1:17" s="41" customFormat="1" outlineLevel="1">
      <c r="B17" s="328">
        <v>10</v>
      </c>
      <c r="C17" s="211">
        <v>377000</v>
      </c>
      <c r="D17" s="203">
        <f ca="1">SUMIFS(CAllowApprVal,CAllowStatus,$D$7,CAllowNum,"="&amp;$B17)</f>
        <v>377000.00500000006</v>
      </c>
      <c r="E17" s="203">
        <f ca="1">SUMIFS(CAllowDefScpVal,CAllowStatus,$E$7,CAllowNum,"="&amp;$B17)</f>
        <v>0</v>
      </c>
      <c r="F17" s="203">
        <f ca="1">SUMIFS(CAllowDefScpVal,CAllowStatus,$F$7,CAllowNum,"="&amp;$B17)</f>
        <v>0</v>
      </c>
      <c r="G17" s="203">
        <f ca="1">SUMIFS(CAllowQuoWrkVal,CAllowStatus,$G$7,CAllowNum,"="&amp;B17)</f>
        <v>0</v>
      </c>
      <c r="H17" s="203">
        <f t="shared" ca="1" si="0"/>
        <v>-5.0000000628642738E-3</v>
      </c>
      <c r="I17" s="203">
        <f t="shared" ca="1" si="1"/>
        <v>-5.0000000628642738E-3</v>
      </c>
      <c r="J17" s="203">
        <f ca="1">IF(B17="","",SUMIFS(CAllowApprBill,CAllowApprRef,"="&amp;B17&amp;"*"))</f>
        <v>0</v>
      </c>
      <c r="K17" s="203">
        <f t="shared" ca="1" si="2"/>
        <v>377000.00500000006</v>
      </c>
      <c r="L17" s="1262" t="s">
        <v>2188</v>
      </c>
      <c r="M17" s="1263"/>
      <c r="N17" s="1263"/>
      <c r="O17" s="1263"/>
      <c r="P17" s="1263"/>
      <c r="Q17" s="1264"/>
    </row>
    <row r="18" spans="1:17" s="41" customFormat="1" outlineLevel="1">
      <c r="B18" s="328"/>
      <c r="C18" s="211"/>
      <c r="D18" s="203">
        <f ca="1">SUMIFS(CAllowApprVal,CAllowStatus,$D$7,CAllowNum,"="&amp;$B18)</f>
        <v>0</v>
      </c>
      <c r="E18" s="203">
        <f ca="1">SUMIFS(CAllowDefScpVal,CAllowStatus,$E$7,CAllowNum,"="&amp;$B18)</f>
        <v>0</v>
      </c>
      <c r="F18" s="203">
        <f ca="1">SUMIFS(CAllowDefScpVal,CAllowStatus,$F$7,CAllowNum,"="&amp;$B18)</f>
        <v>0</v>
      </c>
      <c r="G18" s="203">
        <f ca="1">SUMIFS(CAllowQuoWrkVal,CAllowStatus,$G$7,CAllowNum,"="&amp;B18)</f>
        <v>0</v>
      </c>
      <c r="H18" s="203" t="str">
        <f t="shared" ca="1" si="0"/>
        <v/>
      </c>
      <c r="I18" s="203" t="str">
        <f t="shared" ca="1" si="1"/>
        <v/>
      </c>
      <c r="J18" s="203" t="str">
        <f ca="1">IF(B18="","",SUMIFS(CAllowApprBill,CAllowApprRef,"="&amp;B18&amp;"*"))</f>
        <v/>
      </c>
      <c r="K18" s="203" t="str">
        <f t="shared" ca="1" si="2"/>
        <v/>
      </c>
      <c r="L18" s="1262"/>
      <c r="M18" s="1263"/>
      <c r="N18" s="1263"/>
      <c r="O18" s="1263"/>
      <c r="P18" s="1263"/>
      <c r="Q18" s="1264"/>
    </row>
    <row r="19" spans="1:17" s="41" customFormat="1" outlineLevel="1">
      <c r="B19" s="328"/>
      <c r="C19" s="211"/>
      <c r="D19" s="203">
        <f ca="1">SUMIFS(CAllowApprVal,CAllowStatus,$D$7,CAllowNum,"="&amp;$B19)</f>
        <v>0</v>
      </c>
      <c r="E19" s="203">
        <f ca="1">SUMIFS(CAllowDefScpVal,CAllowStatus,$E$7,CAllowNum,"="&amp;$B19)</f>
        <v>0</v>
      </c>
      <c r="F19" s="203">
        <f ca="1">SUMIFS(CAllowDefScpVal,CAllowStatus,$F$7,CAllowNum,"="&amp;$B19)</f>
        <v>0</v>
      </c>
      <c r="G19" s="203">
        <f ca="1">SUMIFS(CAllowQuoWrkVal,CAllowStatus,$G$7,CAllowNum,"="&amp;B19)</f>
        <v>0</v>
      </c>
      <c r="H19" s="203" t="str">
        <f t="shared" ca="1" si="0"/>
        <v/>
      </c>
      <c r="I19" s="203" t="str">
        <f t="shared" ca="1" si="1"/>
        <v/>
      </c>
      <c r="J19" s="203" t="str">
        <f ca="1">IF(B19="","",SUMIFS(CAllowApprBill,CAllowApprRef,"="&amp;B19&amp;"*"))</f>
        <v/>
      </c>
      <c r="K19" s="203" t="str">
        <f t="shared" ca="1" si="2"/>
        <v/>
      </c>
      <c r="L19" s="1262"/>
      <c r="M19" s="1263"/>
      <c r="N19" s="1263"/>
      <c r="O19" s="1263"/>
      <c r="P19" s="1263"/>
      <c r="Q19" s="1264"/>
    </row>
    <row r="20" spans="1:17" s="41" customFormat="1" outlineLevel="1">
      <c r="B20" s="328"/>
      <c r="C20" s="211"/>
      <c r="D20" s="203">
        <f ca="1">SUMIFS(CAllowApprVal,CAllowStatus,$D$7,CAllowNum,"="&amp;$B20)</f>
        <v>0</v>
      </c>
      <c r="E20" s="203">
        <f ca="1">SUMIFS(CAllowDefScpVal,CAllowStatus,$E$7,CAllowNum,"="&amp;$B20)</f>
        <v>0</v>
      </c>
      <c r="F20" s="203">
        <f ca="1">SUMIFS(CAllowDefScpVal,CAllowStatus,$F$7,CAllowNum,"="&amp;$B20)</f>
        <v>0</v>
      </c>
      <c r="G20" s="203">
        <f ca="1">SUMIFS(CAllowQuoWrkVal,CAllowStatus,$G$7,CAllowNum,"="&amp;B20)</f>
        <v>0</v>
      </c>
      <c r="H20" s="203" t="str">
        <f t="shared" ca="1" si="0"/>
        <v/>
      </c>
      <c r="I20" s="203" t="str">
        <f t="shared" ca="1" si="1"/>
        <v/>
      </c>
      <c r="J20" s="203" t="str">
        <f ca="1">IF(B20="","",SUMIFS(CAllowApprBill,CAllowApprRef,"="&amp;B20&amp;"*"))</f>
        <v/>
      </c>
      <c r="K20" s="203" t="str">
        <f t="shared" ca="1" si="2"/>
        <v/>
      </c>
      <c r="L20" s="1262"/>
      <c r="M20" s="1263"/>
      <c r="N20" s="1263"/>
      <c r="O20" s="1263"/>
      <c r="P20" s="1263"/>
      <c r="Q20" s="1264"/>
    </row>
    <row r="21" spans="1:17" s="41" customFormat="1" outlineLevel="1">
      <c r="B21" s="329" t="s">
        <v>6558</v>
      </c>
      <c r="C21" s="330">
        <f>SUM(C8:C20)</f>
        <v>15117000</v>
      </c>
      <c r="D21" s="330">
        <f t="shared" ref="D21" ca="1" si="3">SUM(D8:D20)</f>
        <v>15136784.165000001</v>
      </c>
      <c r="E21" s="330">
        <f t="shared" ref="E21:K21" ca="1" si="4">SUM(E8:E20)</f>
        <v>0</v>
      </c>
      <c r="F21" s="330">
        <f t="shared" ca="1" si="4"/>
        <v>0</v>
      </c>
      <c r="G21" s="330">
        <f t="shared" ca="1" si="4"/>
        <v>0</v>
      </c>
      <c r="H21" s="330">
        <f t="shared" ca="1" si="4"/>
        <v>-19784.165000000154</v>
      </c>
      <c r="I21" s="330">
        <f t="shared" ca="1" si="4"/>
        <v>-19784.165000000154</v>
      </c>
      <c r="J21" s="330">
        <f t="shared" ca="1" si="4"/>
        <v>0</v>
      </c>
      <c r="K21" s="330">
        <f t="shared" ca="1" si="4"/>
        <v>15136784.165000001</v>
      </c>
      <c r="L21" s="1265"/>
      <c r="M21" s="1266"/>
      <c r="N21" s="1266"/>
      <c r="O21" s="1266"/>
      <c r="P21" s="1266"/>
      <c r="Q21" s="1267"/>
    </row>
    <row r="22" spans="1:17" s="41" customFormat="1" ht="10.7">
      <c r="O22" s="50"/>
      <c r="Q22" s="6"/>
    </row>
    <row r="23" spans="1:17" s="41" customFormat="1">
      <c r="B23" s="18" t="s">
        <v>6559</v>
      </c>
      <c r="D23" s="1241" t="s">
        <v>6560</v>
      </c>
      <c r="E23" s="1242"/>
      <c r="F23" s="1243"/>
      <c r="G23" s="1241" t="s">
        <v>2201</v>
      </c>
      <c r="H23" s="1243"/>
      <c r="I23" s="1241" t="s">
        <v>2202</v>
      </c>
      <c r="J23" s="1242"/>
      <c r="K23" s="1243"/>
      <c r="L23" s="1241" t="s">
        <v>6561</v>
      </c>
      <c r="M23" s="1242"/>
      <c r="N23" s="1242"/>
      <c r="O23" s="1243"/>
      <c r="Q23" s="6"/>
    </row>
    <row r="24" spans="1:17" s="41" customFormat="1" outlineLevel="1">
      <c r="B24" s="18"/>
      <c r="C24" s="305" t="s">
        <v>132</v>
      </c>
      <c r="D24" s="1244" t="s">
        <v>167</v>
      </c>
      <c r="E24" s="1246"/>
      <c r="F24" s="1245"/>
      <c r="G24" s="1244" t="s">
        <v>6562</v>
      </c>
      <c r="H24" s="1245"/>
      <c r="I24" s="1244" t="s">
        <v>2208</v>
      </c>
      <c r="J24" s="1246"/>
      <c r="K24" s="1245"/>
      <c r="L24" s="1244" t="s">
        <v>6563</v>
      </c>
      <c r="M24" s="1246"/>
      <c r="N24" s="1246"/>
      <c r="O24" s="1245"/>
      <c r="Q24" s="6"/>
    </row>
    <row r="25" spans="1:17" s="41" customFormat="1" outlineLevel="1">
      <c r="B25" s="18"/>
      <c r="C25" s="305" t="s">
        <v>135</v>
      </c>
      <c r="D25" s="1244" t="s">
        <v>2210</v>
      </c>
      <c r="E25" s="1246"/>
      <c r="F25" s="1245"/>
      <c r="G25" s="1244" t="s">
        <v>6564</v>
      </c>
      <c r="H25" s="1245"/>
      <c r="I25" s="1244" t="s">
        <v>2208</v>
      </c>
      <c r="J25" s="1246"/>
      <c r="K25" s="1245"/>
      <c r="L25" s="1244" t="s">
        <v>6565</v>
      </c>
      <c r="M25" s="1246"/>
      <c r="N25" s="1246"/>
      <c r="O25" s="1245"/>
      <c r="Q25" s="6"/>
    </row>
    <row r="26" spans="1:17" s="41" customFormat="1" ht="14.65" outlineLevel="1" thickBot="1">
      <c r="B26" s="18"/>
      <c r="C26" s="305" t="s">
        <v>56</v>
      </c>
      <c r="D26" s="1251" t="s">
        <v>2210</v>
      </c>
      <c r="E26" s="1253"/>
      <c r="F26" s="1252"/>
      <c r="G26" s="1251" t="s">
        <v>6564</v>
      </c>
      <c r="H26" s="1252"/>
      <c r="I26" s="1251" t="s">
        <v>2208</v>
      </c>
      <c r="J26" s="1253"/>
      <c r="K26" s="1252"/>
      <c r="L26" s="1251" t="s">
        <v>6565</v>
      </c>
      <c r="M26" s="1253"/>
      <c r="N26" s="1253"/>
      <c r="O26" s="1252"/>
      <c r="Q26" s="6"/>
    </row>
    <row r="27" spans="1:17" s="2" customFormat="1" ht="15" customHeight="1" thickBot="1">
      <c r="B27" s="1233" t="s">
        <v>6566</v>
      </c>
      <c r="C27" s="1235"/>
      <c r="D27" s="1233" t="str">
        <f>VLOOKUP($D$3,$C$23:$O$26,2,FALSE)</f>
        <v>Change Order Worksheet</v>
      </c>
      <c r="E27" s="1234"/>
      <c r="F27" s="1235"/>
      <c r="G27" s="1233" t="str">
        <f>VLOOKUP($D$3,$C$23:$O$26,5,FALSE)</f>
        <v>Proposed Charge Order</v>
      </c>
      <c r="H27" s="1235"/>
      <c r="I27" s="1233" t="str">
        <f>VLOOKUP($D$3,$C$23:$O$26,7,FALSE)</f>
        <v>Contractor Proposal</v>
      </c>
      <c r="J27" s="1234"/>
      <c r="K27" s="1235"/>
      <c r="L27" s="1233" t="str">
        <f>VLOOKUP($D$3,$C$23:$O$26,10,FALSE)</f>
        <v>Cash Allowance Charge Order</v>
      </c>
      <c r="M27" s="1234"/>
      <c r="N27" s="1234"/>
      <c r="O27" s="1235"/>
    </row>
    <row r="28" spans="1:17" s="2" customFormat="1" ht="29.1" customHeight="1">
      <c r="B28" s="308" t="s">
        <v>6550</v>
      </c>
      <c r="C28" s="333" t="s">
        <v>282</v>
      </c>
      <c r="D28" s="356" t="str">
        <f>D27 &amp; " Ref #"</f>
        <v>Change Order Worksheet Ref #</v>
      </c>
      <c r="E28" s="380" t="str">
        <f>D27 &amp; " Date"</f>
        <v>Change Order Worksheet Date</v>
      </c>
      <c r="F28" s="357" t="str">
        <f>D27 &amp; " Value"</f>
        <v>Change Order Worksheet Value</v>
      </c>
      <c r="G28" s="356" t="str">
        <f>G27 &amp; " Ref #"</f>
        <v>Proposed Charge Order Ref #</v>
      </c>
      <c r="H28" s="380" t="str">
        <f>G27 &amp; " Date"</f>
        <v>Proposed Charge Order Date</v>
      </c>
      <c r="I28" s="356" t="str">
        <f>I27 &amp; " Ref #"</f>
        <v>Contractor Proposal Ref #</v>
      </c>
      <c r="J28" s="380" t="str">
        <f>I27 &amp; " Date"</f>
        <v>Contractor Proposal Date</v>
      </c>
      <c r="K28" s="357" t="str">
        <f>I27 &amp; " Value"</f>
        <v>Contractor Proposal Value</v>
      </c>
      <c r="L28" s="356" t="str">
        <f>L27 &amp; " Ref #"</f>
        <v>Cash Allowance Charge Order Ref #</v>
      </c>
      <c r="M28" s="380" t="str">
        <f>L27 &amp; " Date"</f>
        <v>Cash Allowance Charge Order Date</v>
      </c>
      <c r="N28" s="357" t="str">
        <f>L27 &amp; " Value"</f>
        <v>Cash Allowance Charge Order Value</v>
      </c>
      <c r="O28" s="309" t="str">
        <f>L27 &amp; " Billed to Date"</f>
        <v>Cash Allowance Charge Order Billed to Date</v>
      </c>
      <c r="P28" s="331" t="s">
        <v>534</v>
      </c>
      <c r="Q28" s="332" t="s">
        <v>267</v>
      </c>
    </row>
    <row r="29" spans="1:17" s="4" customFormat="1">
      <c r="A29" s="12"/>
      <c r="B29" s="310">
        <v>10</v>
      </c>
      <c r="C29" s="334" t="s">
        <v>106</v>
      </c>
      <c r="D29" s="627" t="s">
        <v>6567</v>
      </c>
      <c r="E29" s="628">
        <v>44091</v>
      </c>
      <c r="F29" s="629">
        <v>115176.2</v>
      </c>
      <c r="G29" s="638" t="s">
        <v>6568</v>
      </c>
      <c r="H29" s="639">
        <v>44091</v>
      </c>
      <c r="I29" s="640" t="s">
        <v>6569</v>
      </c>
      <c r="J29" s="631">
        <v>44096</v>
      </c>
      <c r="K29" s="632">
        <v>115176.2</v>
      </c>
      <c r="L29" s="641" t="s">
        <v>6570</v>
      </c>
      <c r="M29" s="642">
        <v>44104</v>
      </c>
      <c r="N29" s="643">
        <v>115176.2</v>
      </c>
      <c r="O29" s="644">
        <v>0</v>
      </c>
      <c r="P29" s="314" t="s">
        <v>6571</v>
      </c>
      <c r="Q29" s="315"/>
    </row>
    <row r="30" spans="1:17" s="4" customFormat="1">
      <c r="A30" s="12" t="s">
        <v>6572</v>
      </c>
      <c r="B30" s="310">
        <v>10</v>
      </c>
      <c r="C30" s="334" t="s">
        <v>106</v>
      </c>
      <c r="D30" s="627"/>
      <c r="E30" s="628"/>
      <c r="F30" s="629"/>
      <c r="G30" s="638"/>
      <c r="H30" s="639"/>
      <c r="I30" s="640" t="s">
        <v>6573</v>
      </c>
      <c r="J30" s="631">
        <v>44280</v>
      </c>
      <c r="K30" s="632">
        <v>5235</v>
      </c>
      <c r="L30" s="641" t="s">
        <v>6574</v>
      </c>
      <c r="M30" s="642">
        <v>44315</v>
      </c>
      <c r="N30" s="643">
        <v>5235</v>
      </c>
      <c r="O30" s="644"/>
      <c r="P30" s="314" t="s">
        <v>6575</v>
      </c>
      <c r="Q30" s="315" t="s">
        <v>6576</v>
      </c>
    </row>
    <row r="31" spans="1:17" s="4" customFormat="1">
      <c r="A31" s="12"/>
      <c r="B31" s="310">
        <v>1</v>
      </c>
      <c r="C31" s="334" t="s">
        <v>106</v>
      </c>
      <c r="D31" s="627" t="s">
        <v>6577</v>
      </c>
      <c r="E31" s="628">
        <v>44322</v>
      </c>
      <c r="F31" s="629">
        <v>10000000</v>
      </c>
      <c r="G31" s="638" t="s">
        <v>6578</v>
      </c>
      <c r="H31" s="639">
        <v>44322</v>
      </c>
      <c r="I31" s="640"/>
      <c r="J31" s="631"/>
      <c r="K31" s="632"/>
      <c r="L31" s="641" t="s">
        <v>6579</v>
      </c>
      <c r="M31" s="642">
        <v>44525</v>
      </c>
      <c r="N31" s="643">
        <v>4903500</v>
      </c>
      <c r="O31" s="644"/>
      <c r="P31" s="314" t="s">
        <v>6580</v>
      </c>
      <c r="Q31" s="315"/>
    </row>
    <row r="32" spans="1:17" s="4" customFormat="1">
      <c r="A32" s="12"/>
      <c r="B32" s="310">
        <v>9</v>
      </c>
      <c r="C32" s="334" t="s">
        <v>110</v>
      </c>
      <c r="D32" s="627" t="s">
        <v>6581</v>
      </c>
      <c r="E32" s="628">
        <v>44336</v>
      </c>
      <c r="F32" s="629">
        <v>-15000</v>
      </c>
      <c r="G32" s="638"/>
      <c r="H32" s="639"/>
      <c r="I32" s="640"/>
      <c r="J32" s="631"/>
      <c r="K32" s="632"/>
      <c r="L32" s="641"/>
      <c r="M32" s="642"/>
      <c r="N32" s="643"/>
      <c r="O32" s="644"/>
      <c r="P32" s="314" t="s">
        <v>6582</v>
      </c>
      <c r="Q32" s="315"/>
    </row>
    <row r="33" spans="1:17" s="4" customFormat="1">
      <c r="A33" s="12"/>
      <c r="B33" s="310">
        <v>3</v>
      </c>
      <c r="C33" s="334" t="s">
        <v>106</v>
      </c>
      <c r="D33" s="627" t="s">
        <v>3809</v>
      </c>
      <c r="E33" s="628">
        <v>44414</v>
      </c>
      <c r="F33" s="629">
        <v>350000</v>
      </c>
      <c r="G33" s="638" t="s">
        <v>6583</v>
      </c>
      <c r="H33" s="639">
        <v>44417</v>
      </c>
      <c r="I33" s="640" t="s">
        <v>6584</v>
      </c>
      <c r="J33" s="631">
        <v>44468</v>
      </c>
      <c r="K33" s="632">
        <v>250825.69</v>
      </c>
      <c r="L33" s="641" t="s">
        <v>6585</v>
      </c>
      <c r="M33" s="642">
        <v>44505</v>
      </c>
      <c r="N33" s="643">
        <v>350000</v>
      </c>
      <c r="O33" s="644"/>
      <c r="P33" s="314" t="s">
        <v>6586</v>
      </c>
      <c r="Q33" s="315"/>
    </row>
    <row r="34" spans="1:17" s="4" customFormat="1" ht="27.95">
      <c r="A34" s="12"/>
      <c r="B34" s="310">
        <v>3</v>
      </c>
      <c r="C34" s="334" t="s">
        <v>106</v>
      </c>
      <c r="D34" s="627" t="s">
        <v>6587</v>
      </c>
      <c r="E34" s="628">
        <v>44434</v>
      </c>
      <c r="F34" s="629">
        <v>15000</v>
      </c>
      <c r="G34" s="638"/>
      <c r="H34" s="639"/>
      <c r="I34" s="640"/>
      <c r="J34" s="631"/>
      <c r="K34" s="632"/>
      <c r="L34" s="717" t="s">
        <v>6588</v>
      </c>
      <c r="M34" s="642"/>
      <c r="N34" s="643">
        <v>0</v>
      </c>
      <c r="O34" s="644"/>
      <c r="P34" s="314" t="s">
        <v>6589</v>
      </c>
      <c r="Q34" s="315" t="s">
        <v>6590</v>
      </c>
    </row>
    <row r="35" spans="1:17" s="4" customFormat="1">
      <c r="A35" s="12"/>
      <c r="B35" s="310">
        <v>7</v>
      </c>
      <c r="C35" s="334" t="s">
        <v>106</v>
      </c>
      <c r="D35" s="627" t="s">
        <v>6591</v>
      </c>
      <c r="E35" s="628">
        <v>44484</v>
      </c>
      <c r="F35" s="629">
        <v>10000</v>
      </c>
      <c r="G35" s="638" t="s">
        <v>6592</v>
      </c>
      <c r="H35" s="639">
        <v>44484</v>
      </c>
      <c r="I35" s="640" t="s">
        <v>6593</v>
      </c>
      <c r="J35" s="631">
        <v>44519</v>
      </c>
      <c r="K35" s="632">
        <v>34885.379999999997</v>
      </c>
      <c r="L35" s="641" t="s">
        <v>6594</v>
      </c>
      <c r="M35" s="642">
        <v>44531</v>
      </c>
      <c r="N35" s="643">
        <v>29478.61</v>
      </c>
      <c r="O35" s="644"/>
      <c r="P35" s="314" t="s">
        <v>6595</v>
      </c>
      <c r="Q35" s="315"/>
    </row>
    <row r="36" spans="1:17" s="4" customFormat="1">
      <c r="A36" s="12"/>
      <c r="B36" s="310">
        <v>2</v>
      </c>
      <c r="C36" s="334" t="s">
        <v>106</v>
      </c>
      <c r="D36" s="627" t="s">
        <v>3813</v>
      </c>
      <c r="E36" s="628">
        <v>44442</v>
      </c>
      <c r="F36" s="629">
        <v>1000000</v>
      </c>
      <c r="G36" s="638" t="s">
        <v>6596</v>
      </c>
      <c r="H36" s="639">
        <v>44474</v>
      </c>
      <c r="I36" s="640" t="s">
        <v>3815</v>
      </c>
      <c r="J36" s="631">
        <v>44474</v>
      </c>
      <c r="K36" s="632">
        <v>1147073.8999999999</v>
      </c>
      <c r="L36" s="641" t="s">
        <v>6597</v>
      </c>
      <c r="M36" s="642">
        <v>44512</v>
      </c>
      <c r="N36" s="643">
        <v>1000000</v>
      </c>
      <c r="O36" s="644"/>
      <c r="P36" s="314" t="s">
        <v>2180</v>
      </c>
      <c r="Q36" s="315"/>
    </row>
    <row r="37" spans="1:17" s="4" customFormat="1">
      <c r="A37" s="12"/>
      <c r="B37" s="310">
        <v>7</v>
      </c>
      <c r="C37" s="334" t="s">
        <v>110</v>
      </c>
      <c r="D37" s="627" t="s">
        <v>6598</v>
      </c>
      <c r="E37" s="628">
        <v>44574</v>
      </c>
      <c r="F37" s="629">
        <v>450000</v>
      </c>
      <c r="G37" s="638"/>
      <c r="H37" s="639"/>
      <c r="I37" s="640"/>
      <c r="J37" s="631"/>
      <c r="K37" s="632"/>
      <c r="L37" s="641"/>
      <c r="M37" s="642"/>
      <c r="N37" s="643"/>
      <c r="O37" s="644"/>
      <c r="P37" s="314"/>
      <c r="Q37" s="315"/>
    </row>
    <row r="38" spans="1:17" s="4" customFormat="1">
      <c r="A38" s="12"/>
      <c r="B38" s="310">
        <v>1</v>
      </c>
      <c r="C38" s="334" t="s">
        <v>106</v>
      </c>
      <c r="D38" s="627" t="s">
        <v>6599</v>
      </c>
      <c r="E38" s="628">
        <v>44630</v>
      </c>
      <c r="F38" s="629">
        <v>35000</v>
      </c>
      <c r="G38" s="638" t="s">
        <v>6600</v>
      </c>
      <c r="H38" s="639">
        <v>44631</v>
      </c>
      <c r="I38" s="640" t="s">
        <v>6601</v>
      </c>
      <c r="J38" s="631">
        <v>44664</v>
      </c>
      <c r="K38" s="632">
        <v>39969.64</v>
      </c>
      <c r="L38" s="641" t="s">
        <v>6602</v>
      </c>
      <c r="M38" s="642">
        <v>44699</v>
      </c>
      <c r="N38" s="643">
        <v>39969.64</v>
      </c>
      <c r="O38" s="644"/>
      <c r="P38" s="314" t="s">
        <v>6603</v>
      </c>
      <c r="Q38" s="315" t="s">
        <v>6604</v>
      </c>
    </row>
    <row r="39" spans="1:17" s="4" customFormat="1">
      <c r="A39" s="12"/>
      <c r="B39" s="310">
        <v>1</v>
      </c>
      <c r="C39" s="334" t="s">
        <v>106</v>
      </c>
      <c r="D39" s="627" t="s">
        <v>6577</v>
      </c>
      <c r="E39" s="628"/>
      <c r="F39" s="629"/>
      <c r="G39" s="638" t="s">
        <v>6605</v>
      </c>
      <c r="H39" s="639"/>
      <c r="I39" s="640"/>
      <c r="J39" s="631"/>
      <c r="K39" s="632"/>
      <c r="L39" s="641" t="s">
        <v>6606</v>
      </c>
      <c r="M39" s="642">
        <v>44673</v>
      </c>
      <c r="N39" s="643">
        <v>311170.33</v>
      </c>
      <c r="O39" s="644"/>
      <c r="P39" s="314" t="s">
        <v>6607</v>
      </c>
      <c r="Q39" s="315"/>
    </row>
    <row r="40" spans="1:17" s="4" customFormat="1">
      <c r="A40" s="12" t="str">
        <f t="shared" ref="A40:A78" si="5">IF(C40="","",IF(OR(ISBLANK(N40),C40="Approved"),"","X"))</f>
        <v/>
      </c>
      <c r="B40" s="310">
        <v>1</v>
      </c>
      <c r="C40" s="334" t="s">
        <v>106</v>
      </c>
      <c r="D40" s="627" t="s">
        <v>6608</v>
      </c>
      <c r="E40" s="628">
        <v>44680</v>
      </c>
      <c r="F40" s="629">
        <v>204000</v>
      </c>
      <c r="G40" s="638" t="s">
        <v>6609</v>
      </c>
      <c r="H40" s="639"/>
      <c r="I40" s="640" t="s">
        <v>6610</v>
      </c>
      <c r="J40" s="631">
        <v>44706</v>
      </c>
      <c r="K40" s="632">
        <v>183358</v>
      </c>
      <c r="L40" s="641" t="s">
        <v>6611</v>
      </c>
      <c r="M40" s="642">
        <v>44722</v>
      </c>
      <c r="N40" s="643">
        <v>203942.6</v>
      </c>
      <c r="O40" s="644"/>
      <c r="P40" s="314"/>
      <c r="Q40" s="315"/>
    </row>
    <row r="41" spans="1:17" s="4" customFormat="1">
      <c r="A41" s="12" t="str">
        <f t="shared" si="5"/>
        <v/>
      </c>
      <c r="B41" s="310">
        <v>7</v>
      </c>
      <c r="C41" s="334" t="s">
        <v>106</v>
      </c>
      <c r="D41" s="627"/>
      <c r="E41" s="628"/>
      <c r="F41" s="629"/>
      <c r="G41" s="638" t="s">
        <v>6612</v>
      </c>
      <c r="H41" s="639"/>
      <c r="I41" s="640" t="s">
        <v>6613</v>
      </c>
      <c r="J41" s="631"/>
      <c r="K41" s="632"/>
      <c r="L41" s="641" t="s">
        <v>6614</v>
      </c>
      <c r="M41" s="642">
        <v>44728</v>
      </c>
      <c r="N41" s="643">
        <v>363801.95</v>
      </c>
      <c r="O41" s="644"/>
      <c r="P41" s="314"/>
      <c r="Q41" s="315"/>
    </row>
    <row r="42" spans="1:17" s="4" customFormat="1">
      <c r="A42" s="12" t="str">
        <f t="shared" si="5"/>
        <v/>
      </c>
      <c r="B42" s="310"/>
      <c r="C42" s="334"/>
      <c r="D42" s="627" t="s">
        <v>6615</v>
      </c>
      <c r="E42" s="628"/>
      <c r="F42" s="629"/>
      <c r="G42" s="638"/>
      <c r="H42" s="639"/>
      <c r="I42" s="640"/>
      <c r="J42" s="631"/>
      <c r="K42" s="632"/>
      <c r="L42" s="641"/>
      <c r="M42" s="642"/>
      <c r="N42" s="643"/>
      <c r="O42" s="644"/>
      <c r="P42" s="314"/>
      <c r="Q42" s="315"/>
    </row>
    <row r="43" spans="1:17" s="4" customFormat="1">
      <c r="A43" s="12" t="str">
        <f t="shared" si="5"/>
        <v/>
      </c>
      <c r="B43" s="310"/>
      <c r="C43" s="334"/>
      <c r="D43" s="627" t="s">
        <v>6616</v>
      </c>
      <c r="E43" s="628"/>
      <c r="F43" s="629"/>
      <c r="G43" s="638"/>
      <c r="H43" s="639"/>
      <c r="I43" s="640"/>
      <c r="J43" s="631"/>
      <c r="K43" s="632"/>
      <c r="L43" s="641"/>
      <c r="M43" s="642"/>
      <c r="N43" s="643"/>
      <c r="O43" s="644"/>
      <c r="P43" s="314"/>
      <c r="Q43" s="315"/>
    </row>
    <row r="44" spans="1:17" s="4" customFormat="1">
      <c r="A44" s="12" t="str">
        <f t="shared" si="5"/>
        <v/>
      </c>
      <c r="B44" s="310">
        <v>1</v>
      </c>
      <c r="C44" s="334" t="s">
        <v>106</v>
      </c>
      <c r="D44" s="627"/>
      <c r="E44" s="628"/>
      <c r="F44" s="629"/>
      <c r="G44" s="638" t="s">
        <v>6617</v>
      </c>
      <c r="H44" s="639">
        <v>44711</v>
      </c>
      <c r="I44" s="640" t="s">
        <v>6618</v>
      </c>
      <c r="J44" s="631">
        <v>44840</v>
      </c>
      <c r="K44" s="632">
        <v>1101269.6100000001</v>
      </c>
      <c r="L44" s="641" t="s">
        <v>6619</v>
      </c>
      <c r="M44" s="642">
        <v>44735</v>
      </c>
      <c r="N44" s="643">
        <v>1101269.6100000001</v>
      </c>
      <c r="O44" s="644"/>
      <c r="P44" s="314" t="s">
        <v>6620</v>
      </c>
      <c r="Q44" s="315"/>
    </row>
    <row r="45" spans="1:17" s="4" customFormat="1">
      <c r="A45" s="12" t="str">
        <f t="shared" si="5"/>
        <v/>
      </c>
      <c r="B45" s="310">
        <v>10</v>
      </c>
      <c r="C45" s="334" t="s">
        <v>106</v>
      </c>
      <c r="D45" s="627"/>
      <c r="E45" s="628"/>
      <c r="F45" s="629"/>
      <c r="G45" s="638" t="s">
        <v>6621</v>
      </c>
      <c r="H45" s="639">
        <v>44818</v>
      </c>
      <c r="I45" s="640" t="s">
        <v>6622</v>
      </c>
      <c r="J45" s="631">
        <v>44820</v>
      </c>
      <c r="K45" s="632">
        <v>15281.13</v>
      </c>
      <c r="L45" s="641" t="s">
        <v>6623</v>
      </c>
      <c r="M45" s="642">
        <v>44832</v>
      </c>
      <c r="N45" s="643">
        <v>15281.125</v>
      </c>
      <c r="O45" s="644"/>
      <c r="P45" s="314" t="s">
        <v>6624</v>
      </c>
      <c r="Q45" s="315"/>
    </row>
    <row r="46" spans="1:17" s="4" customFormat="1">
      <c r="A46" s="12" t="str">
        <f t="shared" si="5"/>
        <v/>
      </c>
      <c r="B46" s="310">
        <v>9</v>
      </c>
      <c r="C46" s="334" t="s">
        <v>106</v>
      </c>
      <c r="D46" s="627"/>
      <c r="E46" s="628"/>
      <c r="F46" s="629"/>
      <c r="G46" s="638" t="s">
        <v>6625</v>
      </c>
      <c r="H46" s="639">
        <v>44702</v>
      </c>
      <c r="I46" s="640"/>
      <c r="J46" s="631"/>
      <c r="K46" s="632"/>
      <c r="L46" s="641" t="s">
        <v>6626</v>
      </c>
      <c r="M46" s="642">
        <v>44909</v>
      </c>
      <c r="N46" s="643">
        <v>0</v>
      </c>
      <c r="O46" s="644"/>
      <c r="P46" s="314" t="s">
        <v>6627</v>
      </c>
      <c r="Q46" s="315"/>
    </row>
    <row r="47" spans="1:17" s="4" customFormat="1">
      <c r="A47" s="12" t="str">
        <f t="shared" si="5"/>
        <v/>
      </c>
      <c r="B47" s="310">
        <v>4</v>
      </c>
      <c r="C47" s="334" t="s">
        <v>106</v>
      </c>
      <c r="D47" s="627"/>
      <c r="E47" s="628"/>
      <c r="F47" s="629"/>
      <c r="G47" s="638"/>
      <c r="H47" s="639"/>
      <c r="I47" s="640"/>
      <c r="J47" s="631"/>
      <c r="K47" s="632"/>
      <c r="L47" s="641" t="s">
        <v>6628</v>
      </c>
      <c r="M47" s="642">
        <v>44911</v>
      </c>
      <c r="N47" s="643">
        <v>2500000</v>
      </c>
      <c r="O47" s="644"/>
      <c r="P47" s="314" t="s">
        <v>6629</v>
      </c>
      <c r="Q47" s="315"/>
    </row>
    <row r="48" spans="1:17" s="4" customFormat="1">
      <c r="A48" s="12" t="str">
        <f t="shared" si="5"/>
        <v/>
      </c>
      <c r="B48" s="310">
        <v>1</v>
      </c>
      <c r="C48" s="334" t="s">
        <v>106</v>
      </c>
      <c r="D48" s="627"/>
      <c r="E48" s="628"/>
      <c r="F48" s="629"/>
      <c r="G48" s="638" t="s">
        <v>6630</v>
      </c>
      <c r="H48" s="639">
        <v>44664</v>
      </c>
      <c r="I48" s="640"/>
      <c r="J48" s="631"/>
      <c r="K48" s="632"/>
      <c r="L48" s="641"/>
      <c r="M48" s="642"/>
      <c r="N48" s="643"/>
      <c r="O48" s="644"/>
      <c r="P48" s="314"/>
      <c r="Q48" s="315" t="s">
        <v>6631</v>
      </c>
    </row>
    <row r="49" spans="1:17" s="4" customFormat="1">
      <c r="A49" s="12" t="str">
        <f t="shared" si="5"/>
        <v/>
      </c>
      <c r="B49" s="310">
        <v>1</v>
      </c>
      <c r="C49" s="334" t="s">
        <v>110</v>
      </c>
      <c r="D49" s="627" t="s">
        <v>6632</v>
      </c>
      <c r="E49" s="628">
        <v>44735</v>
      </c>
      <c r="F49" s="629">
        <v>10000</v>
      </c>
      <c r="G49" s="638"/>
      <c r="H49" s="639"/>
      <c r="I49" s="640"/>
      <c r="J49" s="631"/>
      <c r="K49" s="632"/>
      <c r="L49" s="641"/>
      <c r="M49" s="642"/>
      <c r="N49" s="643"/>
      <c r="O49" s="644"/>
      <c r="P49" s="314"/>
      <c r="Q49" s="315"/>
    </row>
    <row r="50" spans="1:17" s="4" customFormat="1">
      <c r="A50" s="12" t="str">
        <f t="shared" si="5"/>
        <v/>
      </c>
      <c r="B50" s="310">
        <v>6</v>
      </c>
      <c r="C50" s="334" t="s">
        <v>106</v>
      </c>
      <c r="D50" s="627" t="s">
        <v>6633</v>
      </c>
      <c r="E50" s="628">
        <v>44888</v>
      </c>
      <c r="F50" s="629">
        <v>5000</v>
      </c>
      <c r="G50" s="638"/>
      <c r="H50" s="639"/>
      <c r="I50" s="640"/>
      <c r="J50" s="631"/>
      <c r="K50" s="632"/>
      <c r="L50" s="641"/>
      <c r="M50" s="642"/>
      <c r="N50" s="643"/>
      <c r="O50" s="644"/>
      <c r="P50" s="314"/>
      <c r="Q50" s="315"/>
    </row>
    <row r="51" spans="1:17" s="4" customFormat="1">
      <c r="A51" s="12" t="str">
        <f t="shared" si="5"/>
        <v/>
      </c>
      <c r="B51" s="310">
        <v>10</v>
      </c>
      <c r="C51" s="334" t="s">
        <v>106</v>
      </c>
      <c r="D51" s="627" t="s">
        <v>6634</v>
      </c>
      <c r="E51" s="628">
        <v>44910</v>
      </c>
      <c r="F51" s="629">
        <v>7588</v>
      </c>
      <c r="G51" s="638" t="s">
        <v>6635</v>
      </c>
      <c r="H51" s="639"/>
      <c r="I51" s="640" t="s">
        <v>6636</v>
      </c>
      <c r="J51" s="631">
        <v>44904</v>
      </c>
      <c r="K51" s="632">
        <v>7588.46</v>
      </c>
      <c r="L51" s="641" t="s">
        <v>6637</v>
      </c>
      <c r="M51" s="642">
        <v>44916</v>
      </c>
      <c r="N51" s="643">
        <v>7588.46</v>
      </c>
      <c r="O51" s="644"/>
      <c r="P51" s="314"/>
      <c r="Q51" s="315"/>
    </row>
    <row r="52" spans="1:17" s="4" customFormat="1">
      <c r="A52" s="12" t="str">
        <f t="shared" si="5"/>
        <v/>
      </c>
      <c r="B52" s="310">
        <v>10</v>
      </c>
      <c r="C52" s="334" t="s">
        <v>106</v>
      </c>
      <c r="D52" s="627"/>
      <c r="E52" s="628"/>
      <c r="F52" s="629"/>
      <c r="G52" s="638" t="s">
        <v>6638</v>
      </c>
      <c r="H52" s="639"/>
      <c r="I52" s="640"/>
      <c r="J52" s="631"/>
      <c r="K52" s="632"/>
      <c r="L52" s="641" t="s">
        <v>6639</v>
      </c>
      <c r="M52" s="642">
        <v>44916</v>
      </c>
      <c r="N52" s="643">
        <v>150994.76</v>
      </c>
      <c r="O52" s="644"/>
      <c r="P52" s="314" t="s">
        <v>6640</v>
      </c>
      <c r="Q52" s="315"/>
    </row>
    <row r="53" spans="1:17" s="4" customFormat="1">
      <c r="A53" s="12" t="str">
        <f t="shared" si="5"/>
        <v/>
      </c>
      <c r="B53" s="310">
        <v>5</v>
      </c>
      <c r="C53" s="334" t="s">
        <v>106</v>
      </c>
      <c r="D53" s="627"/>
      <c r="E53" s="628"/>
      <c r="F53" s="629"/>
      <c r="G53" s="638"/>
      <c r="H53" s="639"/>
      <c r="I53" s="640"/>
      <c r="J53" s="631"/>
      <c r="K53" s="632"/>
      <c r="L53" s="641" t="s">
        <v>6641</v>
      </c>
      <c r="M53" s="642">
        <v>44916</v>
      </c>
      <c r="N53" s="643">
        <v>350000</v>
      </c>
      <c r="O53" s="644">
        <v>350000</v>
      </c>
      <c r="P53" s="314" t="s">
        <v>6629</v>
      </c>
      <c r="Q53" s="315" t="s">
        <v>6642</v>
      </c>
    </row>
    <row r="54" spans="1:17" s="4" customFormat="1">
      <c r="A54" s="12" t="str">
        <f t="shared" si="5"/>
        <v/>
      </c>
      <c r="B54" s="310">
        <v>1</v>
      </c>
      <c r="C54" s="334" t="s">
        <v>106</v>
      </c>
      <c r="D54" s="627"/>
      <c r="E54" s="628"/>
      <c r="F54" s="629"/>
      <c r="G54" s="638" t="s">
        <v>6643</v>
      </c>
      <c r="H54" s="639"/>
      <c r="I54" s="640" t="s">
        <v>6644</v>
      </c>
      <c r="J54" s="631">
        <v>44958</v>
      </c>
      <c r="K54" s="632">
        <v>384252.35</v>
      </c>
      <c r="L54" s="641" t="s">
        <v>6645</v>
      </c>
      <c r="M54" s="642">
        <v>44959</v>
      </c>
      <c r="N54" s="643">
        <v>384252.35</v>
      </c>
      <c r="O54" s="644"/>
      <c r="P54" s="314" t="s">
        <v>6646</v>
      </c>
      <c r="Q54" s="315"/>
    </row>
    <row r="55" spans="1:17" s="4" customFormat="1">
      <c r="A55" s="12"/>
      <c r="B55" s="310">
        <v>1</v>
      </c>
      <c r="C55" s="334" t="s">
        <v>106</v>
      </c>
      <c r="D55" s="627"/>
      <c r="E55" s="628"/>
      <c r="F55" s="629"/>
      <c r="G55" s="638" t="s">
        <v>6630</v>
      </c>
      <c r="H55" s="639"/>
      <c r="I55" s="640" t="s">
        <v>6644</v>
      </c>
      <c r="J55" s="631">
        <v>44958</v>
      </c>
      <c r="K55" s="632"/>
      <c r="L55" s="641"/>
      <c r="M55" s="642"/>
      <c r="N55" s="643"/>
      <c r="O55" s="644"/>
      <c r="P55" s="314" t="s">
        <v>6646</v>
      </c>
      <c r="Q55" s="315"/>
    </row>
    <row r="56" spans="1:17" s="4" customFormat="1">
      <c r="A56" s="12" t="str">
        <f t="shared" si="5"/>
        <v/>
      </c>
      <c r="B56" s="310">
        <v>9</v>
      </c>
      <c r="C56" s="334" t="s">
        <v>106</v>
      </c>
      <c r="D56" s="627"/>
      <c r="E56" s="628"/>
      <c r="F56" s="629"/>
      <c r="G56" s="638"/>
      <c r="H56" s="639"/>
      <c r="I56" s="640"/>
      <c r="J56" s="631"/>
      <c r="K56" s="632"/>
      <c r="L56" s="641" t="s">
        <v>6647</v>
      </c>
      <c r="M56" s="642">
        <v>44916</v>
      </c>
      <c r="N56" s="643">
        <v>25000</v>
      </c>
      <c r="O56" s="644">
        <v>25000</v>
      </c>
      <c r="P56" s="314" t="s">
        <v>6629</v>
      </c>
      <c r="Q56" s="315" t="s">
        <v>6648</v>
      </c>
    </row>
    <row r="57" spans="1:17" s="4" customFormat="1">
      <c r="A57" s="12" t="str">
        <f t="shared" si="5"/>
        <v/>
      </c>
      <c r="B57" s="310">
        <v>6</v>
      </c>
      <c r="C57" s="334" t="s">
        <v>106</v>
      </c>
      <c r="D57" s="627"/>
      <c r="E57" s="628"/>
      <c r="F57" s="629"/>
      <c r="G57" s="638"/>
      <c r="H57" s="639"/>
      <c r="I57" s="640"/>
      <c r="J57" s="631"/>
      <c r="K57" s="632"/>
      <c r="L57" s="641" t="s">
        <v>6649</v>
      </c>
      <c r="M57" s="642">
        <v>45016</v>
      </c>
      <c r="N57" s="643">
        <v>5000</v>
      </c>
      <c r="O57" s="644">
        <v>5000</v>
      </c>
      <c r="P57" s="314" t="s">
        <v>6629</v>
      </c>
      <c r="Q57" s="315"/>
    </row>
    <row r="58" spans="1:17" s="4" customFormat="1">
      <c r="A58" s="12" t="str">
        <f t="shared" si="5"/>
        <v/>
      </c>
      <c r="B58" s="310">
        <v>1</v>
      </c>
      <c r="C58" s="334" t="s">
        <v>106</v>
      </c>
      <c r="D58" s="627"/>
      <c r="E58" s="628"/>
      <c r="F58" s="629"/>
      <c r="G58" s="638" t="s">
        <v>6650</v>
      </c>
      <c r="H58" s="639">
        <v>45015</v>
      </c>
      <c r="I58" s="640" t="s">
        <v>6651</v>
      </c>
      <c r="J58" s="631">
        <v>45028</v>
      </c>
      <c r="K58" s="632">
        <v>8774.17</v>
      </c>
      <c r="L58" s="641" t="s">
        <v>6652</v>
      </c>
      <c r="M58" s="642">
        <v>45054</v>
      </c>
      <c r="N58" s="643">
        <v>8774.17</v>
      </c>
      <c r="O58" s="644"/>
      <c r="P58" s="314" t="s">
        <v>6653</v>
      </c>
      <c r="Q58" s="315"/>
    </row>
    <row r="59" spans="1:17" s="4" customFormat="1">
      <c r="A59" s="12" t="str">
        <f t="shared" si="5"/>
        <v/>
      </c>
      <c r="B59" s="310">
        <v>1</v>
      </c>
      <c r="C59" s="334" t="s">
        <v>106</v>
      </c>
      <c r="D59" s="627"/>
      <c r="E59" s="628"/>
      <c r="F59" s="629"/>
      <c r="G59" s="638"/>
      <c r="H59" s="639"/>
      <c r="I59" s="640" t="s">
        <v>6654</v>
      </c>
      <c r="J59" s="631">
        <v>45076</v>
      </c>
      <c r="K59" s="632">
        <v>26897.7</v>
      </c>
      <c r="L59" s="641" t="s">
        <v>6655</v>
      </c>
      <c r="M59" s="642">
        <v>45052</v>
      </c>
      <c r="N59" s="643">
        <v>26897.7</v>
      </c>
      <c r="O59" s="644"/>
      <c r="P59" s="314" t="s">
        <v>6656</v>
      </c>
      <c r="Q59" s="315"/>
    </row>
    <row r="60" spans="1:17" s="4" customFormat="1">
      <c r="A60" s="12" t="str">
        <f t="shared" si="5"/>
        <v/>
      </c>
      <c r="B60" s="310">
        <v>7</v>
      </c>
      <c r="C60" s="334" t="s">
        <v>106</v>
      </c>
      <c r="D60" s="627" t="s">
        <v>6657</v>
      </c>
      <c r="E60" s="628">
        <v>45099</v>
      </c>
      <c r="F60" s="629">
        <v>50000</v>
      </c>
      <c r="G60" s="638" t="s">
        <v>6658</v>
      </c>
      <c r="H60" s="639">
        <v>45099</v>
      </c>
      <c r="I60" s="640" t="s">
        <v>6659</v>
      </c>
      <c r="J60" s="631">
        <v>45124</v>
      </c>
      <c r="K60" s="632">
        <v>45114.6</v>
      </c>
      <c r="L60" s="641" t="s">
        <v>6660</v>
      </c>
      <c r="M60" s="642">
        <v>45138</v>
      </c>
      <c r="N60" s="643">
        <v>45144.6</v>
      </c>
      <c r="O60" s="644"/>
      <c r="P60" s="314"/>
      <c r="Q60" s="315"/>
    </row>
    <row r="61" spans="1:17" s="4" customFormat="1">
      <c r="A61" s="12" t="str">
        <f t="shared" si="5"/>
        <v/>
      </c>
      <c r="B61" s="310">
        <v>1</v>
      </c>
      <c r="C61" s="334" t="s">
        <v>106</v>
      </c>
      <c r="D61" s="627" t="s">
        <v>6661</v>
      </c>
      <c r="E61" s="628">
        <v>45114</v>
      </c>
      <c r="F61" s="629">
        <v>5000</v>
      </c>
      <c r="G61" s="638" t="s">
        <v>6662</v>
      </c>
      <c r="H61" s="639">
        <v>45121</v>
      </c>
      <c r="I61" s="640" t="s">
        <v>6663</v>
      </c>
      <c r="J61" s="631">
        <v>45140</v>
      </c>
      <c r="K61" s="632">
        <v>8071.18</v>
      </c>
      <c r="L61" s="641" t="s">
        <v>6664</v>
      </c>
      <c r="M61" s="642">
        <v>45155</v>
      </c>
      <c r="N61" s="643">
        <v>8071.18</v>
      </c>
      <c r="O61" s="644"/>
      <c r="P61" s="314" t="s">
        <v>6665</v>
      </c>
      <c r="Q61" s="315"/>
    </row>
    <row r="62" spans="1:17" s="4" customFormat="1">
      <c r="A62" s="12" t="str">
        <f t="shared" si="5"/>
        <v/>
      </c>
      <c r="B62" s="310">
        <v>1</v>
      </c>
      <c r="C62" s="334" t="s">
        <v>106</v>
      </c>
      <c r="D62" s="627" t="s">
        <v>4436</v>
      </c>
      <c r="E62" s="628"/>
      <c r="F62" s="629"/>
      <c r="G62" s="638" t="s">
        <v>6666</v>
      </c>
      <c r="H62" s="639"/>
      <c r="I62" s="640" t="s">
        <v>6667</v>
      </c>
      <c r="J62" s="631">
        <v>45183</v>
      </c>
      <c r="K62" s="632">
        <v>21644.62</v>
      </c>
      <c r="L62" s="641" t="s">
        <v>6668</v>
      </c>
      <c r="M62" s="642">
        <v>45250</v>
      </c>
      <c r="N62" s="643">
        <v>21644.62</v>
      </c>
      <c r="O62" s="644"/>
      <c r="P62" s="314" t="s">
        <v>6669</v>
      </c>
      <c r="Q62" s="315"/>
    </row>
    <row r="63" spans="1:17" s="4" customFormat="1">
      <c r="A63" s="12" t="str">
        <f t="shared" si="5"/>
        <v/>
      </c>
      <c r="B63" s="310">
        <v>10</v>
      </c>
      <c r="C63" s="334" t="s">
        <v>106</v>
      </c>
      <c r="D63" s="627" t="s">
        <v>6670</v>
      </c>
      <c r="E63" s="628"/>
      <c r="F63" s="629"/>
      <c r="G63" s="638" t="s">
        <v>6671</v>
      </c>
      <c r="H63" s="639"/>
      <c r="I63" s="640"/>
      <c r="J63" s="631"/>
      <c r="K63" s="632"/>
      <c r="L63" s="641" t="s">
        <v>6672</v>
      </c>
      <c r="M63" s="642">
        <v>45315</v>
      </c>
      <c r="N63" s="643">
        <v>14022.53</v>
      </c>
      <c r="O63" s="644"/>
      <c r="P63" s="314" t="s">
        <v>6673</v>
      </c>
      <c r="Q63" s="315"/>
    </row>
    <row r="64" spans="1:17" s="4" customFormat="1">
      <c r="A64" s="12" t="str">
        <f t="shared" si="5"/>
        <v/>
      </c>
      <c r="B64" s="310">
        <v>1</v>
      </c>
      <c r="C64" s="334" t="s">
        <v>106</v>
      </c>
      <c r="D64" s="627" t="s">
        <v>6674</v>
      </c>
      <c r="E64" s="628"/>
      <c r="F64" s="629"/>
      <c r="G64" s="638" t="s">
        <v>6675</v>
      </c>
      <c r="H64" s="639"/>
      <c r="I64" s="640"/>
      <c r="J64" s="631"/>
      <c r="K64" s="632"/>
      <c r="L64" s="641" t="s">
        <v>6676</v>
      </c>
      <c r="M64" s="642">
        <v>45320</v>
      </c>
      <c r="N64" s="643">
        <v>31448.080000000002</v>
      </c>
      <c r="O64" s="644"/>
      <c r="P64" s="314" t="s">
        <v>6677</v>
      </c>
      <c r="Q64" s="315"/>
    </row>
    <row r="65" spans="1:17" s="4" customFormat="1">
      <c r="A65" s="12" t="str">
        <f t="shared" si="5"/>
        <v/>
      </c>
      <c r="B65" s="310">
        <v>1</v>
      </c>
      <c r="C65" s="334" t="s">
        <v>106</v>
      </c>
      <c r="D65" s="627" t="s">
        <v>6678</v>
      </c>
      <c r="E65" s="628"/>
      <c r="F65" s="629"/>
      <c r="G65" s="638" t="s">
        <v>6679</v>
      </c>
      <c r="H65" s="639"/>
      <c r="I65" s="640"/>
      <c r="J65" s="631"/>
      <c r="K65" s="632"/>
      <c r="L65" s="641" t="s">
        <v>6680</v>
      </c>
      <c r="M65" s="642">
        <v>45336</v>
      </c>
      <c r="N65" s="643">
        <v>26610.5</v>
      </c>
      <c r="O65" s="644"/>
      <c r="P65" s="314" t="s">
        <v>6681</v>
      </c>
      <c r="Q65" s="315"/>
    </row>
    <row r="66" spans="1:17" s="4" customFormat="1">
      <c r="A66" s="12" t="str">
        <f t="shared" si="5"/>
        <v/>
      </c>
      <c r="B66" s="310">
        <v>7</v>
      </c>
      <c r="C66" s="334" t="s">
        <v>106</v>
      </c>
      <c r="D66" s="627" t="s">
        <v>6682</v>
      </c>
      <c r="E66" s="628"/>
      <c r="F66" s="629"/>
      <c r="G66" s="638" t="s">
        <v>6683</v>
      </c>
      <c r="H66" s="639"/>
      <c r="I66" s="640"/>
      <c r="J66" s="631"/>
      <c r="K66" s="632"/>
      <c r="L66" s="641" t="s">
        <v>6684</v>
      </c>
      <c r="M66" s="642"/>
      <c r="N66" s="643">
        <v>8576.66</v>
      </c>
      <c r="O66" s="644"/>
      <c r="P66" s="314" t="s">
        <v>6685</v>
      </c>
      <c r="Q66" s="315"/>
    </row>
    <row r="67" spans="1:17" s="4" customFormat="1">
      <c r="A67" s="12" t="str">
        <f t="shared" si="5"/>
        <v/>
      </c>
      <c r="B67" s="310">
        <v>1</v>
      </c>
      <c r="C67" s="334" t="s">
        <v>106</v>
      </c>
      <c r="D67" s="627"/>
      <c r="E67" s="628"/>
      <c r="F67" s="629"/>
      <c r="G67" s="638"/>
      <c r="H67" s="639"/>
      <c r="I67" s="640"/>
      <c r="J67" s="631"/>
      <c r="K67" s="632"/>
      <c r="L67" s="641" t="s">
        <v>6686</v>
      </c>
      <c r="M67" s="642">
        <v>45369</v>
      </c>
      <c r="N67" s="643">
        <v>2000000</v>
      </c>
      <c r="O67" s="644"/>
      <c r="P67" s="314" t="s">
        <v>6687</v>
      </c>
      <c r="Q67" s="315"/>
    </row>
    <row r="68" spans="1:17" s="4" customFormat="1">
      <c r="A68" s="12" t="str">
        <f t="shared" si="5"/>
        <v/>
      </c>
      <c r="B68" s="310">
        <v>1</v>
      </c>
      <c r="C68" s="334" t="s">
        <v>106</v>
      </c>
      <c r="D68" s="627"/>
      <c r="E68" s="628"/>
      <c r="F68" s="629"/>
      <c r="G68" s="638" t="s">
        <v>6688</v>
      </c>
      <c r="H68" s="639"/>
      <c r="I68" s="640"/>
      <c r="J68" s="631"/>
      <c r="K68" s="632"/>
      <c r="L68" s="641" t="s">
        <v>6689</v>
      </c>
      <c r="M68" s="642">
        <v>45379</v>
      </c>
      <c r="N68" s="643">
        <v>21055.78</v>
      </c>
      <c r="O68" s="644"/>
      <c r="P68" s="314" t="s">
        <v>6690</v>
      </c>
      <c r="Q68" s="315"/>
    </row>
    <row r="69" spans="1:17" s="4" customFormat="1">
      <c r="A69" s="12" t="str">
        <f t="shared" si="5"/>
        <v/>
      </c>
      <c r="B69" s="310">
        <v>1</v>
      </c>
      <c r="C69" s="334" t="s">
        <v>106</v>
      </c>
      <c r="D69" s="627"/>
      <c r="E69" s="628"/>
      <c r="F69" s="629"/>
      <c r="G69" s="638" t="s">
        <v>6691</v>
      </c>
      <c r="H69" s="639"/>
      <c r="I69" s="640" t="s">
        <v>6692</v>
      </c>
      <c r="J69" s="631">
        <v>45433</v>
      </c>
      <c r="K69" s="632">
        <v>31441.37</v>
      </c>
      <c r="L69" s="641"/>
      <c r="M69" s="642"/>
      <c r="N69" s="643">
        <v>31441.37</v>
      </c>
      <c r="O69" s="644"/>
      <c r="P69" s="314" t="s">
        <v>6693</v>
      </c>
      <c r="Q69" s="315"/>
    </row>
    <row r="70" spans="1:17" s="4" customFormat="1">
      <c r="A70" s="12" t="str">
        <f t="shared" si="5"/>
        <v/>
      </c>
      <c r="B70" s="310">
        <v>10</v>
      </c>
      <c r="C70" s="334" t="s">
        <v>106</v>
      </c>
      <c r="D70" s="627" t="s">
        <v>6694</v>
      </c>
      <c r="E70" s="628"/>
      <c r="F70" s="629"/>
      <c r="G70" s="638" t="s">
        <v>6695</v>
      </c>
      <c r="H70" s="639">
        <v>45418</v>
      </c>
      <c r="I70" s="640"/>
      <c r="J70" s="631"/>
      <c r="K70" s="632"/>
      <c r="L70" s="641" t="s">
        <v>6696</v>
      </c>
      <c r="M70" s="642">
        <v>45418</v>
      </c>
      <c r="N70" s="643">
        <v>45275.22</v>
      </c>
      <c r="O70" s="644"/>
      <c r="P70" s="314" t="s">
        <v>6697</v>
      </c>
      <c r="Q70" s="315"/>
    </row>
    <row r="71" spans="1:17" s="4" customFormat="1">
      <c r="A71" s="12" t="str">
        <f t="shared" si="5"/>
        <v/>
      </c>
      <c r="B71" s="310"/>
      <c r="C71" s="334"/>
      <c r="D71" s="627"/>
      <c r="E71" s="628"/>
      <c r="F71" s="629"/>
      <c r="G71" s="638" t="s">
        <v>6698</v>
      </c>
      <c r="H71" s="639"/>
      <c r="I71" s="640"/>
      <c r="J71" s="631"/>
      <c r="K71" s="632"/>
      <c r="L71" s="641"/>
      <c r="M71" s="642"/>
      <c r="N71" s="643"/>
      <c r="O71" s="644"/>
      <c r="P71" s="314" t="s">
        <v>6699</v>
      </c>
      <c r="Q71" s="315"/>
    </row>
    <row r="72" spans="1:17" s="4" customFormat="1">
      <c r="A72" s="12" t="str">
        <f t="shared" si="5"/>
        <v/>
      </c>
      <c r="B72" s="310"/>
      <c r="C72" s="334" t="s">
        <v>110</v>
      </c>
      <c r="D72" s="627"/>
      <c r="E72" s="628"/>
      <c r="F72" s="629"/>
      <c r="G72" s="638" t="s">
        <v>6700</v>
      </c>
      <c r="H72" s="639"/>
      <c r="I72" s="640"/>
      <c r="J72" s="631"/>
      <c r="K72" s="632"/>
      <c r="L72" s="641"/>
      <c r="M72" s="642"/>
      <c r="N72" s="643"/>
      <c r="O72" s="644"/>
      <c r="P72" s="314" t="s">
        <v>6701</v>
      </c>
      <c r="Q72" s="315"/>
    </row>
    <row r="73" spans="1:17" s="4" customFormat="1">
      <c r="A73" s="12" t="str">
        <f t="shared" si="5"/>
        <v/>
      </c>
      <c r="B73" s="310"/>
      <c r="C73" s="334" t="s">
        <v>110</v>
      </c>
      <c r="D73" s="627"/>
      <c r="E73" s="628"/>
      <c r="F73" s="629"/>
      <c r="G73" s="638" t="s">
        <v>6702</v>
      </c>
      <c r="H73" s="639"/>
      <c r="I73" s="640"/>
      <c r="J73" s="631"/>
      <c r="K73" s="632"/>
      <c r="L73" s="641"/>
      <c r="M73" s="642"/>
      <c r="N73" s="643"/>
      <c r="O73" s="644"/>
      <c r="P73" s="314" t="s">
        <v>6703</v>
      </c>
      <c r="Q73" s="315"/>
    </row>
    <row r="74" spans="1:17" s="4" customFormat="1" ht="24" customHeight="1">
      <c r="A74" s="12" t="str">
        <f t="shared" si="5"/>
        <v/>
      </c>
      <c r="B74" s="310">
        <v>1</v>
      </c>
      <c r="C74" s="334" t="s">
        <v>106</v>
      </c>
      <c r="D74" s="627" t="s">
        <v>6704</v>
      </c>
      <c r="E74" s="628"/>
      <c r="F74" s="629"/>
      <c r="G74" s="638" t="s">
        <v>6705</v>
      </c>
      <c r="H74" s="639"/>
      <c r="I74" s="640" t="s">
        <v>6706</v>
      </c>
      <c r="J74" s="631">
        <v>45428</v>
      </c>
      <c r="K74" s="632">
        <v>16121.68</v>
      </c>
      <c r="L74" s="641" t="s">
        <v>6707</v>
      </c>
      <c r="M74" s="642">
        <v>45447</v>
      </c>
      <c r="N74" s="643">
        <v>16121.68</v>
      </c>
      <c r="O74" s="644"/>
      <c r="P74" s="314" t="s">
        <v>6708</v>
      </c>
      <c r="Q74" s="315"/>
    </row>
    <row r="75" spans="1:17" s="4" customFormat="1" ht="27.95">
      <c r="A75" s="12" t="str">
        <f t="shared" ref="A75" si="6">IF(C75="","",IF(OR(ISBLANK(N75),C75="Approved"),"","X"))</f>
        <v/>
      </c>
      <c r="B75" s="310">
        <v>1</v>
      </c>
      <c r="C75" s="334" t="s">
        <v>106</v>
      </c>
      <c r="D75" s="627" t="s">
        <v>6709</v>
      </c>
      <c r="E75" s="628"/>
      <c r="F75" s="629"/>
      <c r="G75" s="638" t="s">
        <v>6691</v>
      </c>
      <c r="H75" s="639">
        <v>45426</v>
      </c>
      <c r="I75" s="640" t="s">
        <v>6692</v>
      </c>
      <c r="J75" s="631">
        <v>45433</v>
      </c>
      <c r="K75" s="632">
        <v>31441.37</v>
      </c>
      <c r="L75" s="641" t="s">
        <v>6710</v>
      </c>
      <c r="M75" s="642">
        <v>45490</v>
      </c>
      <c r="N75" s="643">
        <v>28499.64</v>
      </c>
      <c r="O75" s="644"/>
      <c r="P75" s="314" t="s">
        <v>6711</v>
      </c>
      <c r="Q75" s="315"/>
    </row>
    <row r="76" spans="1:17" s="4" customFormat="1" ht="24" customHeight="1">
      <c r="A76" s="12" t="str">
        <f t="shared" si="5"/>
        <v/>
      </c>
      <c r="B76" s="318">
        <v>7</v>
      </c>
      <c r="C76" s="334" t="s">
        <v>106</v>
      </c>
      <c r="D76" s="627"/>
      <c r="E76" s="628"/>
      <c r="F76" s="629"/>
      <c r="G76" s="638"/>
      <c r="H76" s="639"/>
      <c r="I76" s="640"/>
      <c r="J76" s="631"/>
      <c r="K76" s="632"/>
      <c r="L76" s="641" t="s">
        <v>6712</v>
      </c>
      <c r="M76" s="642">
        <v>45453</v>
      </c>
      <c r="N76" s="643">
        <v>52998.18</v>
      </c>
      <c r="O76" s="644"/>
      <c r="P76" s="314" t="s">
        <v>6713</v>
      </c>
      <c r="Q76" s="315"/>
    </row>
    <row r="77" spans="1:17" s="4" customFormat="1" ht="24" customHeight="1">
      <c r="A77" s="12" t="str">
        <f t="shared" ref="A77" si="7">IF(C77="","",IF(OR(ISBLANK(N77),C77="Approved"),"","X"))</f>
        <v/>
      </c>
      <c r="B77" s="318">
        <v>8</v>
      </c>
      <c r="C77" s="334" t="s">
        <v>106</v>
      </c>
      <c r="D77" s="627"/>
      <c r="E77" s="628"/>
      <c r="F77" s="629"/>
      <c r="G77" s="638"/>
      <c r="H77" s="639"/>
      <c r="I77" s="640"/>
      <c r="J77" s="631"/>
      <c r="K77" s="632"/>
      <c r="L77" s="641" t="s">
        <v>6714</v>
      </c>
      <c r="M77" s="642">
        <v>45453</v>
      </c>
      <c r="N77" s="643">
        <v>10000</v>
      </c>
      <c r="O77" s="644"/>
      <c r="P77" s="314" t="s">
        <v>6715</v>
      </c>
      <c r="Q77" s="315"/>
    </row>
    <row r="78" spans="1:17" s="4" customFormat="1" ht="24" customHeight="1">
      <c r="A78" s="12" t="str">
        <f t="shared" si="5"/>
        <v/>
      </c>
      <c r="B78" s="318">
        <v>10</v>
      </c>
      <c r="C78" s="334" t="s">
        <v>106</v>
      </c>
      <c r="D78" s="627"/>
      <c r="E78" s="628"/>
      <c r="F78" s="629"/>
      <c r="G78" s="638"/>
      <c r="H78" s="639"/>
      <c r="I78" s="640"/>
      <c r="J78" s="631"/>
      <c r="K78" s="632"/>
      <c r="L78" s="641" t="s">
        <v>6716</v>
      </c>
      <c r="M78" s="642">
        <v>45453</v>
      </c>
      <c r="N78" s="643">
        <v>23426.71</v>
      </c>
      <c r="O78" s="644"/>
      <c r="P78" s="314" t="s">
        <v>6717</v>
      </c>
      <c r="Q78" s="315"/>
    </row>
    <row r="79" spans="1:17" s="4" customFormat="1" ht="24" customHeight="1">
      <c r="A79" s="12" t="str">
        <f t="shared" ref="A79:A80" si="8">IF(C79="","",IF(OR(ISBLANK(N79),C79="Approved"),"","X"))</f>
        <v/>
      </c>
      <c r="B79" s="318">
        <v>1</v>
      </c>
      <c r="C79" s="334" t="s">
        <v>106</v>
      </c>
      <c r="D79" s="627"/>
      <c r="E79" s="628"/>
      <c r="F79" s="629"/>
      <c r="G79" s="638"/>
      <c r="H79" s="639"/>
      <c r="I79" s="640"/>
      <c r="J79" s="631"/>
      <c r="K79" s="632"/>
      <c r="L79" s="641" t="s">
        <v>6718</v>
      </c>
      <c r="M79" s="642">
        <v>45453</v>
      </c>
      <c r="N79" s="643">
        <v>663830.39</v>
      </c>
      <c r="O79" s="644"/>
      <c r="P79" s="314" t="s">
        <v>6719</v>
      </c>
      <c r="Q79" s="315"/>
    </row>
    <row r="80" spans="1:17" s="4" customFormat="1" ht="24" customHeight="1">
      <c r="A80" s="12" t="str">
        <f t="shared" si="8"/>
        <v/>
      </c>
      <c r="B80" s="318">
        <v>1</v>
      </c>
      <c r="C80" s="334" t="s">
        <v>106</v>
      </c>
      <c r="D80" s="627" t="s">
        <v>6720</v>
      </c>
      <c r="E80" s="628"/>
      <c r="F80" s="629"/>
      <c r="G80" s="638"/>
      <c r="H80" s="639"/>
      <c r="I80" s="640"/>
      <c r="J80" s="631"/>
      <c r="K80" s="632"/>
      <c r="L80" s="641" t="s">
        <v>6721</v>
      </c>
      <c r="M80" s="642">
        <v>45496</v>
      </c>
      <c r="N80" s="643">
        <v>10072.39</v>
      </c>
      <c r="O80" s="644"/>
      <c r="P80" s="314" t="s">
        <v>6722</v>
      </c>
      <c r="Q80" s="315"/>
    </row>
    <row r="81" spans="1:17" s="4" customFormat="1" ht="24" customHeight="1">
      <c r="A81" s="12"/>
      <c r="B81" s="318">
        <v>1</v>
      </c>
      <c r="C81" s="334" t="s">
        <v>106</v>
      </c>
      <c r="D81" s="627" t="s">
        <v>6424</v>
      </c>
      <c r="E81" s="628"/>
      <c r="F81" s="629"/>
      <c r="G81" s="638" t="s">
        <v>6723</v>
      </c>
      <c r="H81" s="639"/>
      <c r="I81" s="640"/>
      <c r="J81" s="631"/>
      <c r="K81" s="632"/>
      <c r="L81" s="641" t="s">
        <v>6724</v>
      </c>
      <c r="M81" s="642">
        <v>45506</v>
      </c>
      <c r="N81" s="643">
        <v>2700.42</v>
      </c>
      <c r="O81" s="644"/>
      <c r="P81" s="314" t="s">
        <v>6725</v>
      </c>
      <c r="Q81" s="315"/>
    </row>
    <row r="82" spans="1:17" s="4" customFormat="1" ht="27.95">
      <c r="A82" s="12"/>
      <c r="B82" s="318">
        <v>1</v>
      </c>
      <c r="C82" s="334" t="s">
        <v>106</v>
      </c>
      <c r="D82" s="627" t="s">
        <v>6726</v>
      </c>
      <c r="E82" s="628"/>
      <c r="F82" s="629"/>
      <c r="G82" s="638" t="s">
        <v>6727</v>
      </c>
      <c r="H82" s="639"/>
      <c r="I82" s="640"/>
      <c r="J82" s="631"/>
      <c r="K82" s="632"/>
      <c r="L82" s="641" t="s">
        <v>6728</v>
      </c>
      <c r="M82" s="642">
        <v>45567</v>
      </c>
      <c r="N82" s="643">
        <v>4883.0600000000004</v>
      </c>
      <c r="O82" s="644"/>
      <c r="P82" s="314" t="s">
        <v>6729</v>
      </c>
      <c r="Q82" s="315"/>
    </row>
    <row r="83" spans="1:17" s="4" customFormat="1">
      <c r="A83" s="12"/>
      <c r="B83" s="318">
        <v>1</v>
      </c>
      <c r="C83" s="334" t="s">
        <v>106</v>
      </c>
      <c r="D83" s="627" t="s">
        <v>6730</v>
      </c>
      <c r="E83" s="628"/>
      <c r="F83" s="629"/>
      <c r="G83" s="638" t="s">
        <v>6731</v>
      </c>
      <c r="H83" s="639"/>
      <c r="I83" s="640"/>
      <c r="J83" s="631"/>
      <c r="K83" s="632"/>
      <c r="L83" s="641" t="s">
        <v>6732</v>
      </c>
      <c r="M83" s="642">
        <v>45574</v>
      </c>
      <c r="N83" s="643">
        <v>6496.62</v>
      </c>
      <c r="O83" s="644"/>
      <c r="P83" s="314" t="s">
        <v>6733</v>
      </c>
      <c r="Q83" s="315"/>
    </row>
    <row r="84" spans="1:17" s="4" customFormat="1">
      <c r="A84" s="12"/>
      <c r="B84" s="318">
        <v>1</v>
      </c>
      <c r="C84" s="334" t="s">
        <v>106</v>
      </c>
      <c r="D84" s="627" t="s">
        <v>6734</v>
      </c>
      <c r="E84" s="628"/>
      <c r="F84" s="629"/>
      <c r="G84" s="638" t="s">
        <v>6735</v>
      </c>
      <c r="H84" s="639"/>
      <c r="I84" s="640"/>
      <c r="J84" s="631"/>
      <c r="K84" s="632"/>
      <c r="L84" s="641" t="s">
        <v>6736</v>
      </c>
      <c r="M84" s="642">
        <v>45632</v>
      </c>
      <c r="N84" s="643">
        <v>45686.71</v>
      </c>
      <c r="O84" s="644"/>
      <c r="P84" s="314" t="s">
        <v>6737</v>
      </c>
      <c r="Q84" s="315"/>
    </row>
    <row r="85" spans="1:17" s="4" customFormat="1">
      <c r="A85" s="12"/>
      <c r="B85" s="318">
        <v>1</v>
      </c>
      <c r="C85" s="334" t="s">
        <v>106</v>
      </c>
      <c r="D85" s="627"/>
      <c r="E85" s="628"/>
      <c r="F85" s="629"/>
      <c r="G85" s="638" t="s">
        <v>6738</v>
      </c>
      <c r="H85" s="639"/>
      <c r="I85" s="640"/>
      <c r="J85" s="631"/>
      <c r="K85" s="632"/>
      <c r="L85" s="641" t="s">
        <v>6739</v>
      </c>
      <c r="M85" s="642">
        <v>45644</v>
      </c>
      <c r="N85" s="643">
        <v>7157.3</v>
      </c>
      <c r="O85" s="644"/>
      <c r="P85" s="314" t="s">
        <v>6740</v>
      </c>
      <c r="Q85" s="315"/>
    </row>
    <row r="86" spans="1:17" s="4" customFormat="1">
      <c r="A86" s="12"/>
      <c r="B86" s="318">
        <v>1</v>
      </c>
      <c r="C86" s="334" t="s">
        <v>106</v>
      </c>
      <c r="D86" s="627" t="s">
        <v>6741</v>
      </c>
      <c r="E86" s="628"/>
      <c r="F86" s="629"/>
      <c r="G86" s="638" t="s">
        <v>6742</v>
      </c>
      <c r="H86" s="639"/>
      <c r="I86" s="640" t="s">
        <v>6743</v>
      </c>
      <c r="J86" s="631"/>
      <c r="K86" s="632"/>
      <c r="L86" s="641" t="s">
        <v>6744</v>
      </c>
      <c r="M86" s="642">
        <v>45709</v>
      </c>
      <c r="N86" s="643">
        <v>44276.34</v>
      </c>
      <c r="O86" s="644"/>
      <c r="P86" s="314" t="s">
        <v>6745</v>
      </c>
      <c r="Q86" s="315"/>
    </row>
    <row r="87" spans="1:17" s="4" customFormat="1">
      <c r="A87" s="12"/>
      <c r="B87" s="318">
        <v>1</v>
      </c>
      <c r="C87" s="334" t="s">
        <v>106</v>
      </c>
      <c r="D87" s="627" t="s">
        <v>6746</v>
      </c>
      <c r="E87" s="628"/>
      <c r="F87" s="629"/>
      <c r="G87" s="638" t="s">
        <v>6747</v>
      </c>
      <c r="H87" s="639"/>
      <c r="I87" s="640" t="s">
        <v>6748</v>
      </c>
      <c r="J87" s="631"/>
      <c r="K87" s="632"/>
      <c r="L87" s="641" t="s">
        <v>6749</v>
      </c>
      <c r="M87" s="642">
        <v>45713</v>
      </c>
      <c r="N87" s="643">
        <v>10971.08</v>
      </c>
      <c r="O87" s="644"/>
      <c r="P87" s="314" t="s">
        <v>6750</v>
      </c>
      <c r="Q87" s="315"/>
    </row>
    <row r="88" spans="1:17" s="4" customFormat="1">
      <c r="A88" s="12"/>
      <c r="B88" s="318">
        <v>1</v>
      </c>
      <c r="C88" s="334" t="s">
        <v>106</v>
      </c>
      <c r="D88" s="627" t="s">
        <v>6751</v>
      </c>
      <c r="E88" s="628"/>
      <c r="F88" s="629"/>
      <c r="G88" s="638" t="s">
        <v>6752</v>
      </c>
      <c r="H88" s="639"/>
      <c r="I88" s="640" t="s">
        <v>6753</v>
      </c>
      <c r="J88" s="631"/>
      <c r="K88" s="632"/>
      <c r="L88" s="641" t="s">
        <v>6754</v>
      </c>
      <c r="M88" s="642">
        <v>45722</v>
      </c>
      <c r="N88" s="643">
        <v>27535.27</v>
      </c>
      <c r="O88" s="644"/>
      <c r="P88" s="314" t="s">
        <v>6755</v>
      </c>
      <c r="Q88" s="315"/>
    </row>
    <row r="89" spans="1:17" s="4" customFormat="1">
      <c r="A89" s="12"/>
      <c r="B89" s="318">
        <v>1</v>
      </c>
      <c r="C89" s="334" t="s">
        <v>106</v>
      </c>
      <c r="D89" s="627" t="s">
        <v>6756</v>
      </c>
      <c r="E89" s="628"/>
      <c r="F89" s="629"/>
      <c r="G89" s="638" t="s">
        <v>6757</v>
      </c>
      <c r="H89" s="639"/>
      <c r="I89" s="640" t="s">
        <v>6758</v>
      </c>
      <c r="J89" s="631"/>
      <c r="K89" s="632"/>
      <c r="L89" s="641" t="s">
        <v>6759</v>
      </c>
      <c r="M89" s="642">
        <v>45756</v>
      </c>
      <c r="N89" s="643">
        <v>31505.33</v>
      </c>
      <c r="O89" s="644"/>
      <c r="P89" s="314" t="s">
        <v>6760</v>
      </c>
      <c r="Q89" s="315"/>
    </row>
    <row r="90" spans="1:17" s="4" customFormat="1" ht="24" customHeight="1">
      <c r="A90" s="12" t="str">
        <f t="shared" ref="A90" si="9">IF(C90="","",IF(OR(ISBLANK(N90),C90="Approved"),"","X"))</f>
        <v/>
      </c>
      <c r="B90" s="318"/>
      <c r="C90" s="334"/>
      <c r="D90" s="627"/>
      <c r="E90" s="628"/>
      <c r="F90" s="629"/>
      <c r="G90" s="638"/>
      <c r="H90" s="639"/>
      <c r="I90" s="640"/>
      <c r="J90" s="631"/>
      <c r="K90" s="632"/>
      <c r="L90" s="641"/>
      <c r="M90" s="642"/>
      <c r="N90" s="643"/>
      <c r="O90" s="644"/>
      <c r="P90" s="314"/>
      <c r="Q90" s="315"/>
    </row>
    <row r="91" spans="1:17" ht="14.65" thickBot="1">
      <c r="B91" s="1271"/>
      <c r="C91" s="1272"/>
      <c r="D91" s="1272"/>
      <c r="E91" s="1273"/>
      <c r="F91" s="335"/>
      <c r="G91" s="336"/>
      <c r="H91" s="335"/>
      <c r="I91" s="336"/>
      <c r="J91" s="337"/>
      <c r="K91" s="335"/>
      <c r="L91" s="319"/>
      <c r="M91" s="321"/>
      <c r="N91" s="338"/>
      <c r="O91" s="339"/>
      <c r="P91" s="319"/>
      <c r="Q91" s="320"/>
    </row>
    <row r="92" spans="1:17" ht="6" customHeight="1">
      <c r="E92" s="359"/>
      <c r="M92" s="5"/>
      <c r="O92" s="1"/>
      <c r="Q92" s="1"/>
    </row>
    <row r="93" spans="1:17" s="9" customFormat="1">
      <c r="B93" s="244"/>
      <c r="C93" s="361"/>
      <c r="D93" s="361"/>
      <c r="E93" s="362" t="s">
        <v>362</v>
      </c>
      <c r="F93" s="253">
        <f>SUBTOTAL(9,F29:F74)</f>
        <v>12241764.199999999</v>
      </c>
      <c r="G93" s="244"/>
      <c r="H93" s="253">
        <f t="shared" ref="H93:K93" si="10">SUBTOTAL(9,H29:H74)</f>
        <v>625967</v>
      </c>
      <c r="I93" s="244"/>
      <c r="J93" s="253">
        <f t="shared" si="10"/>
        <v>852099</v>
      </c>
      <c r="K93" s="253">
        <f t="shared" si="10"/>
        <v>3442980.6800000006</v>
      </c>
      <c r="L93" s="244"/>
      <c r="M93" s="244" t="s">
        <v>362</v>
      </c>
      <c r="N93" s="253">
        <f>SUBTOTAL(9,N29:N74)</f>
        <v>14166744.724999996</v>
      </c>
      <c r="O93" s="253">
        <f>SUBTOTAL(9,O29:O74)</f>
        <v>380000</v>
      </c>
      <c r="P93" s="244"/>
      <c r="Q93" s="360"/>
    </row>
    <row r="94" spans="1:17">
      <c r="D94"/>
      <c r="Q94" s="10"/>
    </row>
  </sheetData>
  <sheetProtection autoFilter="0"/>
  <autoFilter ref="A28:Q91" xr:uid="{00000000-0009-0000-0000-000010000000}"/>
  <mergeCells count="37">
    <mergeCell ref="E6:G6"/>
    <mergeCell ref="B91:E91"/>
    <mergeCell ref="D26:F26"/>
    <mergeCell ref="G26:H26"/>
    <mergeCell ref="I26:K26"/>
    <mergeCell ref="D24:F24"/>
    <mergeCell ref="G24:H24"/>
    <mergeCell ref="I24:K24"/>
    <mergeCell ref="D23:F23"/>
    <mergeCell ref="G23:H23"/>
    <mergeCell ref="I23:K23"/>
    <mergeCell ref="L26:O26"/>
    <mergeCell ref="B27:C27"/>
    <mergeCell ref="D27:F27"/>
    <mergeCell ref="G27:H27"/>
    <mergeCell ref="I27:K27"/>
    <mergeCell ref="L27:O27"/>
    <mergeCell ref="L24:O24"/>
    <mergeCell ref="D25:F25"/>
    <mergeCell ref="G25:H25"/>
    <mergeCell ref="I25:K25"/>
    <mergeCell ref="L25:O25"/>
    <mergeCell ref="L23:O23"/>
    <mergeCell ref="L20:Q20"/>
    <mergeCell ref="L21:Q21"/>
    <mergeCell ref="L19:Q19"/>
    <mergeCell ref="L8:Q8"/>
    <mergeCell ref="L9:Q9"/>
    <mergeCell ref="L10:Q10"/>
    <mergeCell ref="L11:Q11"/>
    <mergeCell ref="L12:Q12"/>
    <mergeCell ref="L13:Q13"/>
    <mergeCell ref="L14:Q14"/>
    <mergeCell ref="L15:Q15"/>
    <mergeCell ref="L16:Q16"/>
    <mergeCell ref="L17:Q17"/>
    <mergeCell ref="L18:Q18"/>
  </mergeCells>
  <phoneticPr fontId="76" type="noConversion"/>
  <conditionalFormatting sqref="A29:A40 A63:A64 A67:A90">
    <cfRule type="cellIs" dxfId="63" priority="10" operator="equal">
      <formula>"X"</formula>
    </cfRule>
  </conditionalFormatting>
  <conditionalFormatting sqref="A56:A62 A46:A52 A41">
    <cfRule type="cellIs" dxfId="62" priority="9" operator="equal">
      <formula>"X"</formula>
    </cfRule>
  </conditionalFormatting>
  <conditionalFormatting sqref="A53:A55 A42:A45">
    <cfRule type="cellIs" dxfId="61" priority="8" operator="equal">
      <formula>"X"</formula>
    </cfRule>
  </conditionalFormatting>
  <conditionalFormatting sqref="A65:A66">
    <cfRule type="cellIs" dxfId="60" priority="7" operator="equal">
      <formula>"X"</formula>
    </cfRule>
  </conditionalFormatting>
  <conditionalFormatting sqref="B76:B90">
    <cfRule type="duplicateValues" dxfId="59" priority="537"/>
  </conditionalFormatting>
  <dataValidations count="1">
    <dataValidation type="date" operator="greaterThanOrEqual" allowBlank="1" showInputMessage="1" showErrorMessage="1" error="Please enter a valid date." sqref="J29:J90 H29:H90 E29:E90 M29:M90" xr:uid="{00000000-0002-0000-1000-000000000000}">
      <formula1>1</formula1>
    </dataValidation>
  </dataValidations>
  <pageMargins left="0.23622047244094491" right="0.23622047244094491" top="0.35433070866141736" bottom="0.35433070866141736" header="0.31496062992125984" footer="0.31496062992125984"/>
  <pageSetup paperSize="17" scale="92" fitToHeight="10" orientation="landscape" r:id="rId1"/>
  <headerFooter>
    <oddFooter>&amp;L&amp;1#&amp;"Calibri"&amp;11&amp;K000000Classification: Protected A</oddFooter>
  </headerFooter>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000-000001000000}">
          <x14:formula1>
            <xm:f>Validations!$F$11:$F$33</xm:f>
          </x14:formula1>
          <xm:sqref>B8:B20 B29:B90</xm:sqref>
        </x14:dataValidation>
        <x14:dataValidation type="list" allowBlank="1" showInputMessage="1" showErrorMessage="1" xr:uid="{00000000-0002-0000-1000-000002000000}">
          <x14:formula1>
            <xm:f>Validations!$D$26:$D$30</xm:f>
          </x14:formula1>
          <xm:sqref>C29:C90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
    <outlinePr summaryBelow="0"/>
  </sheetPr>
  <dimension ref="A1:AM35"/>
  <sheetViews>
    <sheetView zoomScale="85" zoomScaleNormal="85" workbookViewId="0">
      <selection activeCell="AI25" sqref="AI25:AJ25"/>
    </sheetView>
  </sheetViews>
  <sheetFormatPr defaultRowHeight="14.1" outlineLevelRow="1"/>
  <cols>
    <col min="1" max="1" width="35.28515625" customWidth="1"/>
    <col min="2" max="2" width="22.28515625" customWidth="1"/>
    <col min="3" max="3" width="15.7109375" bestFit="1" customWidth="1"/>
    <col min="4" max="5" width="17.42578125" customWidth="1"/>
    <col min="6" max="6" width="15.7109375" customWidth="1"/>
    <col min="7" max="7" width="18.42578125" customWidth="1"/>
    <col min="8" max="8" width="18.7109375" customWidth="1"/>
    <col min="9" max="10" width="20.28515625" customWidth="1"/>
    <col min="11" max="11" width="17.28515625" customWidth="1"/>
    <col min="12" max="12" width="16.42578125" customWidth="1"/>
    <col min="13" max="13" width="16.7109375" customWidth="1"/>
    <col min="14" max="14" width="15.28515625" bestFit="1" customWidth="1"/>
    <col min="15" max="15" width="17.7109375" customWidth="1"/>
    <col min="16" max="18" width="17.28515625" customWidth="1"/>
    <col min="19" max="19" width="16.42578125" customWidth="1"/>
    <col min="20" max="20" width="15.28515625" bestFit="1" customWidth="1"/>
    <col min="21" max="21" width="17.7109375" customWidth="1"/>
    <col min="22" max="22" width="15.28515625" bestFit="1" customWidth="1"/>
    <col min="23" max="23" width="14.28515625" bestFit="1" customWidth="1"/>
    <col min="24" max="24" width="16.42578125" customWidth="1"/>
    <col min="25" max="25" width="17.28515625" customWidth="1"/>
    <col min="26" max="26" width="14.28515625" bestFit="1" customWidth="1"/>
    <col min="27" max="27" width="16.7109375" customWidth="1"/>
    <col min="28" max="32" width="16.42578125" customWidth="1"/>
    <col min="33" max="37" width="17.7109375" customWidth="1"/>
    <col min="38" max="38" width="11.42578125" customWidth="1"/>
    <col min="39" max="39" width="20.28515625" customWidth="1"/>
    <col min="40" max="41" width="12.28515625" customWidth="1"/>
    <col min="42" max="42" width="18.28515625" customWidth="1"/>
  </cols>
  <sheetData>
    <row r="1" spans="1:39" ht="33" customHeight="1">
      <c r="A1" s="482" t="s">
        <v>6761</v>
      </c>
      <c r="B1" s="1277" t="s">
        <v>534</v>
      </c>
      <c r="C1" s="1278"/>
      <c r="D1" s="1279"/>
    </row>
    <row r="2" spans="1:39" ht="45.75" customHeight="1">
      <c r="A2" s="607" t="s">
        <v>6762</v>
      </c>
      <c r="B2" s="1280" t="s">
        <v>6763</v>
      </c>
      <c r="C2" s="1280"/>
      <c r="D2" s="1280"/>
    </row>
    <row r="3" spans="1:39" ht="49.9" customHeight="1">
      <c r="A3" s="607" t="s">
        <v>6764</v>
      </c>
      <c r="B3" s="1280" t="s">
        <v>6765</v>
      </c>
      <c r="C3" s="1280"/>
      <c r="D3" s="1280"/>
    </row>
    <row r="4" spans="1:39" ht="31.9" customHeight="1">
      <c r="A4" s="606" t="s">
        <v>6766</v>
      </c>
      <c r="B4" s="1281" t="s">
        <v>6767</v>
      </c>
      <c r="C4" s="1281"/>
      <c r="D4" s="1281"/>
    </row>
    <row r="5" spans="1:39" ht="32.25" customHeight="1">
      <c r="A5" s="607" t="s">
        <v>6768</v>
      </c>
      <c r="B5" s="1282" t="s">
        <v>6769</v>
      </c>
      <c r="C5" s="1280"/>
      <c r="D5" s="1280"/>
    </row>
    <row r="6" spans="1:39" ht="48" customHeight="1">
      <c r="A6" s="606" t="s">
        <v>6770</v>
      </c>
      <c r="B6" s="1283" t="s">
        <v>6771</v>
      </c>
      <c r="C6" s="1281"/>
      <c r="D6" s="1281"/>
    </row>
    <row r="8" spans="1:39" ht="27.95">
      <c r="A8" s="482" t="s">
        <v>1579</v>
      </c>
      <c r="B8" s="592" t="s">
        <v>2125</v>
      </c>
      <c r="C8" s="482" t="s">
        <v>6772</v>
      </c>
      <c r="D8" s="482" t="s">
        <v>6773</v>
      </c>
    </row>
    <row r="9" spans="1:39">
      <c r="A9" s="605" t="s">
        <v>529</v>
      </c>
      <c r="B9" s="604">
        <f>'Vendor Listing'!F41</f>
        <v>139569293</v>
      </c>
      <c r="C9" s="603">
        <f ca="1">'Vendor Listing'!H41</f>
        <v>154314591.42000002</v>
      </c>
      <c r="D9" s="602">
        <f ca="1">'Vendor Listing'!I41</f>
        <v>153062832.02000001</v>
      </c>
    </row>
    <row r="10" spans="1:39">
      <c r="A10" t="s">
        <v>6774</v>
      </c>
      <c r="B10" s="608">
        <v>44049</v>
      </c>
      <c r="Z10" s="666"/>
    </row>
    <row r="12" spans="1:39">
      <c r="A12" s="610"/>
      <c r="B12" s="1274" t="s">
        <v>6775</v>
      </c>
      <c r="C12" s="1275"/>
      <c r="D12" s="1275"/>
      <c r="E12" s="1275"/>
      <c r="F12" s="1275"/>
      <c r="G12" s="1275"/>
      <c r="H12" s="1276"/>
      <c r="I12" s="1274" t="s">
        <v>6776</v>
      </c>
      <c r="J12" s="1275"/>
      <c r="K12" s="1275"/>
      <c r="L12" s="1275"/>
      <c r="M12" s="1275"/>
      <c r="N12" s="1275"/>
      <c r="O12" s="1275"/>
      <c r="P12" s="1275"/>
      <c r="Q12" s="1275"/>
      <c r="R12" s="1275"/>
      <c r="S12" s="1275"/>
      <c r="T12" s="1275"/>
      <c r="U12" s="1274" t="s">
        <v>6777</v>
      </c>
      <c r="V12" s="1275"/>
      <c r="W12" s="1275"/>
      <c r="X12" s="1275"/>
      <c r="Y12" s="1275"/>
      <c r="Z12" s="1275"/>
      <c r="AA12" s="1275"/>
      <c r="AB12" s="1275"/>
      <c r="AC12" s="1275"/>
      <c r="AD12" s="1275"/>
      <c r="AE12" s="1275"/>
      <c r="AF12" s="1275"/>
      <c r="AG12" s="1274" t="s">
        <v>6778</v>
      </c>
      <c r="AH12" s="1275"/>
      <c r="AI12" s="1275"/>
      <c r="AJ12" s="1275"/>
      <c r="AK12" s="1275"/>
      <c r="AL12" s="609"/>
    </row>
    <row r="13" spans="1:39">
      <c r="A13" s="610"/>
      <c r="B13" s="601" t="s">
        <v>1603</v>
      </c>
      <c r="C13" s="601">
        <v>44075</v>
      </c>
      <c r="D13" s="601">
        <v>44105</v>
      </c>
      <c r="E13" s="601">
        <v>44136</v>
      </c>
      <c r="F13" s="601">
        <v>44166</v>
      </c>
      <c r="G13" s="601">
        <v>44197</v>
      </c>
      <c r="H13" s="601">
        <v>44228</v>
      </c>
      <c r="I13" s="601">
        <v>44256</v>
      </c>
      <c r="J13" s="601">
        <v>44287</v>
      </c>
      <c r="K13" s="601">
        <v>44317</v>
      </c>
      <c r="L13" s="601">
        <v>44348</v>
      </c>
      <c r="M13" s="601">
        <v>44378</v>
      </c>
      <c r="N13" s="601">
        <v>44409</v>
      </c>
      <c r="O13" s="601">
        <v>44440</v>
      </c>
      <c r="P13" s="601">
        <v>44470</v>
      </c>
      <c r="Q13" s="601">
        <v>44501</v>
      </c>
      <c r="R13" s="601">
        <v>44531</v>
      </c>
      <c r="S13" s="601">
        <v>44562</v>
      </c>
      <c r="T13" s="601">
        <v>44593</v>
      </c>
      <c r="U13" s="601">
        <v>44621</v>
      </c>
      <c r="V13" s="601">
        <v>44652</v>
      </c>
      <c r="W13" s="601">
        <v>44682</v>
      </c>
      <c r="X13" s="601">
        <v>44713</v>
      </c>
      <c r="Y13" s="601">
        <v>44743</v>
      </c>
      <c r="Z13" s="601">
        <v>44774</v>
      </c>
      <c r="AA13" s="601">
        <v>44805</v>
      </c>
      <c r="AB13" s="601">
        <v>44835</v>
      </c>
      <c r="AC13" s="601">
        <v>44866</v>
      </c>
      <c r="AD13" s="601">
        <v>44896</v>
      </c>
      <c r="AE13" s="601">
        <v>44927</v>
      </c>
      <c r="AF13" s="601">
        <v>44958</v>
      </c>
      <c r="AG13" s="601">
        <v>44986</v>
      </c>
      <c r="AH13" s="601">
        <v>45017</v>
      </c>
      <c r="AI13" s="601">
        <v>45047</v>
      </c>
      <c r="AJ13" s="601">
        <v>45078</v>
      </c>
      <c r="AK13" s="601">
        <v>45108</v>
      </c>
      <c r="AL13" s="601">
        <v>45139</v>
      </c>
      <c r="AM13" s="601" t="s">
        <v>274</v>
      </c>
    </row>
    <row r="14" spans="1:39" s="615" customFormat="1">
      <c r="A14" s="615" t="s">
        <v>6779</v>
      </c>
      <c r="B14" s="616">
        <v>139569293</v>
      </c>
      <c r="C14" s="617">
        <v>139569293</v>
      </c>
      <c r="D14" s="617">
        <v>139569293</v>
      </c>
      <c r="E14" s="617">
        <v>139569293</v>
      </c>
      <c r="F14" s="617">
        <v>139569293</v>
      </c>
      <c r="G14" s="617">
        <v>139587811.74000001</v>
      </c>
      <c r="H14" s="617">
        <v>139636944.74000001</v>
      </c>
      <c r="I14" s="617">
        <v>139743750.84999999</v>
      </c>
      <c r="J14" s="617">
        <v>139743750.84999999</v>
      </c>
      <c r="K14" s="617">
        <v>140147539.21000001</v>
      </c>
      <c r="L14" s="617">
        <v>140147539.21000001</v>
      </c>
      <c r="M14" s="617">
        <v>140147539.21000001</v>
      </c>
      <c r="N14" s="286">
        <v>140453463.53</v>
      </c>
      <c r="O14" s="617" t="s">
        <v>6780</v>
      </c>
      <c r="P14" s="617" t="s">
        <v>6780</v>
      </c>
      <c r="Q14" s="617" t="s">
        <v>6780</v>
      </c>
      <c r="R14" s="617" t="s">
        <v>6780</v>
      </c>
      <c r="S14" s="617" t="s">
        <v>6780</v>
      </c>
      <c r="T14" s="617" t="s">
        <v>6780</v>
      </c>
      <c r="U14" s="617" t="s">
        <v>6780</v>
      </c>
      <c r="V14" s="617" t="s">
        <v>6780</v>
      </c>
      <c r="W14" s="617" t="s">
        <v>6780</v>
      </c>
      <c r="X14" s="617" t="s">
        <v>6780</v>
      </c>
      <c r="Y14" s="617" t="s">
        <v>6780</v>
      </c>
      <c r="Z14" s="617" t="s">
        <v>6780</v>
      </c>
      <c r="AA14" s="617" t="s">
        <v>6780</v>
      </c>
      <c r="AB14" s="617" t="s">
        <v>6780</v>
      </c>
      <c r="AC14" s="617" t="s">
        <v>6780</v>
      </c>
      <c r="AD14" s="617" t="s">
        <v>6780</v>
      </c>
      <c r="AE14" s="617" t="s">
        <v>6780</v>
      </c>
      <c r="AF14" s="617" t="s">
        <v>6780</v>
      </c>
      <c r="AG14" s="617" t="s">
        <v>6780</v>
      </c>
      <c r="AH14" s="617" t="s">
        <v>6780</v>
      </c>
      <c r="AI14" s="617" t="s">
        <v>6780</v>
      </c>
      <c r="AJ14" s="617" t="s">
        <v>6780</v>
      </c>
      <c r="AK14" s="617" t="s">
        <v>6780</v>
      </c>
      <c r="AL14" s="617"/>
      <c r="AM14" s="617"/>
    </row>
    <row r="15" spans="1:39" s="620" customFormat="1">
      <c r="A15" s="618" t="s">
        <v>6781</v>
      </c>
      <c r="B15" s="619">
        <v>2705737</v>
      </c>
      <c r="C15" s="619">
        <v>3852500</v>
      </c>
      <c r="D15" s="619">
        <v>3471500</v>
      </c>
      <c r="E15" s="619">
        <v>3392500</v>
      </c>
      <c r="F15" s="619">
        <v>2382500</v>
      </c>
      <c r="G15" s="619">
        <v>2119500</v>
      </c>
      <c r="H15" s="619">
        <v>6580976</v>
      </c>
      <c r="I15" s="619">
        <v>1893687.5</v>
      </c>
      <c r="J15" s="619">
        <v>2233687.5</v>
      </c>
      <c r="K15" s="619">
        <v>2556187.5</v>
      </c>
      <c r="L15" s="619">
        <v>3201187.5</v>
      </c>
      <c r="M15" s="619">
        <v>4641011.5</v>
      </c>
      <c r="N15" s="619">
        <v>3944807.5</v>
      </c>
      <c r="O15" s="619">
        <v>4046187.5</v>
      </c>
      <c r="P15" s="619">
        <v>4226187.5</v>
      </c>
      <c r="Q15" s="619">
        <v>4491187.5</v>
      </c>
      <c r="R15" s="619">
        <v>7164272.5</v>
      </c>
      <c r="S15" s="619">
        <v>10536187.5</v>
      </c>
      <c r="T15" s="619">
        <v>6998687.5</v>
      </c>
      <c r="U15" s="619">
        <v>8128687.5</v>
      </c>
      <c r="V15" s="619">
        <v>6406187.5</v>
      </c>
      <c r="W15" s="619">
        <v>7506187.5</v>
      </c>
      <c r="X15" s="619">
        <v>6317884.5</v>
      </c>
      <c r="Y15" s="619">
        <v>7120774.5</v>
      </c>
      <c r="Z15" s="619">
        <v>6368687.5</v>
      </c>
      <c r="AA15" s="619">
        <v>6346187.5</v>
      </c>
      <c r="AB15" s="619">
        <v>4816187.5</v>
      </c>
      <c r="AC15" s="619">
        <v>5171187.5</v>
      </c>
      <c r="AD15" s="619">
        <v>4621187.5</v>
      </c>
      <c r="AE15" s="619">
        <v>2797427</v>
      </c>
      <c r="AF15" s="619">
        <v>2456913</v>
      </c>
      <c r="AG15" s="619">
        <v>1666336</v>
      </c>
      <c r="AH15" s="619">
        <v>1630610</v>
      </c>
      <c r="AI15" s="619">
        <v>817522.36</v>
      </c>
      <c r="AJ15" s="619">
        <v>150000</v>
      </c>
      <c r="AK15" s="619">
        <v>0</v>
      </c>
      <c r="AL15" s="619"/>
      <c r="AM15" s="613">
        <f>SUM(B15:AK15)</f>
        <v>152760459.36000001</v>
      </c>
    </row>
    <row r="16" spans="1:39" s="622" customFormat="1">
      <c r="A16" s="611" t="s">
        <v>6782</v>
      </c>
      <c r="B16" s="621">
        <f>SUM(B17:B21)</f>
        <v>0</v>
      </c>
      <c r="C16" s="621">
        <f t="shared" ref="C16:AK16" si="0">SUM(C17:C21)</f>
        <v>-3043312.43</v>
      </c>
      <c r="D16" s="621">
        <f t="shared" si="0"/>
        <v>-1936636.43</v>
      </c>
      <c r="E16" s="621">
        <f t="shared" si="0"/>
        <v>-2384527.5</v>
      </c>
      <c r="F16" s="621">
        <f t="shared" si="0"/>
        <v>-756089</v>
      </c>
      <c r="G16" s="621">
        <f t="shared" si="0"/>
        <v>-645719</v>
      </c>
      <c r="H16" s="621">
        <f t="shared" si="0"/>
        <v>-4217288.5</v>
      </c>
      <c r="I16" s="701">
        <f>SUM(I17:I21)</f>
        <v>745000</v>
      </c>
      <c r="J16" s="701">
        <f t="shared" si="0"/>
        <v>893000</v>
      </c>
      <c r="K16" s="701">
        <f t="shared" si="0"/>
        <v>380000</v>
      </c>
      <c r="L16" s="701">
        <f t="shared" si="0"/>
        <v>55000</v>
      </c>
      <c r="M16" s="621">
        <f t="shared" si="0"/>
        <v>-825000</v>
      </c>
      <c r="N16" s="621">
        <f t="shared" si="0"/>
        <v>-373174.59</v>
      </c>
      <c r="O16" s="621">
        <f t="shared" si="0"/>
        <v>-1497664.97</v>
      </c>
      <c r="P16" s="621">
        <f t="shared" si="0"/>
        <v>-2022671.31</v>
      </c>
      <c r="Q16" s="621">
        <f t="shared" si="0"/>
        <v>-2122818.06</v>
      </c>
      <c r="R16" s="621">
        <f t="shared" si="0"/>
        <v>-4584024.96</v>
      </c>
      <c r="S16" s="621">
        <f t="shared" si="0"/>
        <v>-6646858.6399999997</v>
      </c>
      <c r="T16" s="621">
        <f t="shared" si="0"/>
        <v>-2958310.72</v>
      </c>
      <c r="U16" s="621">
        <f t="shared" si="0"/>
        <v>-677165.31</v>
      </c>
      <c r="V16" s="621">
        <f t="shared" si="0"/>
        <v>-149008.89000000001</v>
      </c>
      <c r="W16" s="621">
        <f t="shared" si="0"/>
        <v>-105210.43</v>
      </c>
      <c r="X16" s="621">
        <f t="shared" si="0"/>
        <v>1650493.67</v>
      </c>
      <c r="Y16" s="621">
        <f t="shared" si="0"/>
        <v>2032703.5</v>
      </c>
      <c r="Z16" s="621">
        <f t="shared" si="0"/>
        <v>2901226.5</v>
      </c>
      <c r="AA16" s="621">
        <f t="shared" si="0"/>
        <v>5202907.5</v>
      </c>
      <c r="AB16" s="621">
        <f t="shared" si="0"/>
        <v>6532487.5</v>
      </c>
      <c r="AC16" s="621">
        <f t="shared" si="0"/>
        <v>2413668.7799999998</v>
      </c>
      <c r="AD16" s="621">
        <f t="shared" si="0"/>
        <v>645760.96</v>
      </c>
      <c r="AE16" s="621">
        <f t="shared" si="0"/>
        <v>1276048.1100000001</v>
      </c>
      <c r="AF16" s="621">
        <f t="shared" si="0"/>
        <v>1737196.98</v>
      </c>
      <c r="AG16" s="621">
        <f t="shared" si="0"/>
        <v>1366723.52</v>
      </c>
      <c r="AH16" s="621">
        <f t="shared" si="0"/>
        <v>-7601.86</v>
      </c>
      <c r="AI16" s="621">
        <f t="shared" si="0"/>
        <v>309495.27</v>
      </c>
      <c r="AJ16" s="621">
        <f t="shared" si="0"/>
        <v>718382.81</v>
      </c>
      <c r="AK16" s="621">
        <f t="shared" si="0"/>
        <v>0</v>
      </c>
      <c r="AL16" s="621"/>
      <c r="AM16" s="613">
        <f>SUM(B16:AK16)</f>
        <v>-6092987.5000000019</v>
      </c>
    </row>
    <row r="17" spans="1:39" s="699" customFormat="1" outlineLevel="1">
      <c r="A17" s="696">
        <v>44136</v>
      </c>
      <c r="B17" s="697"/>
      <c r="C17" s="697">
        <v>-3043312.43</v>
      </c>
      <c r="D17" s="697">
        <v>-1936636.43</v>
      </c>
      <c r="E17" s="697">
        <v>-2384527.5</v>
      </c>
      <c r="F17" s="697">
        <v>-756089</v>
      </c>
      <c r="G17" s="697">
        <v>-498312.5</v>
      </c>
      <c r="H17" s="702">
        <v>-4572288.5</v>
      </c>
      <c r="I17" s="697"/>
      <c r="J17" s="697"/>
      <c r="K17" s="697"/>
      <c r="L17" s="697"/>
      <c r="M17" s="697"/>
      <c r="N17" s="697"/>
      <c r="O17" s="697"/>
      <c r="P17" s="697"/>
      <c r="Q17" s="697"/>
      <c r="R17" s="697"/>
      <c r="S17" s="697"/>
      <c r="T17" s="697"/>
      <c r="U17" s="697"/>
      <c r="V17" s="697"/>
      <c r="W17" s="697"/>
      <c r="X17" s="697"/>
      <c r="Y17" s="697"/>
      <c r="Z17" s="697"/>
      <c r="AA17" s="697"/>
      <c r="AB17" s="697"/>
      <c r="AC17" s="697"/>
      <c r="AD17" s="697"/>
      <c r="AE17" s="697"/>
      <c r="AF17" s="697"/>
      <c r="AG17" s="697"/>
      <c r="AH17" s="697"/>
      <c r="AI17" s="697"/>
      <c r="AJ17" s="697"/>
      <c r="AK17" s="697"/>
      <c r="AL17" s="697"/>
      <c r="AM17" s="698"/>
    </row>
    <row r="18" spans="1:39" s="699" customFormat="1" outlineLevel="1">
      <c r="A18" s="696">
        <v>44166</v>
      </c>
      <c r="B18" s="697"/>
      <c r="C18" s="697"/>
      <c r="D18" s="697"/>
      <c r="E18" s="697"/>
      <c r="F18" s="697"/>
      <c r="G18" s="697">
        <v>-147406.5</v>
      </c>
      <c r="H18" s="697">
        <v>-160855.37</v>
      </c>
      <c r="I18" s="697">
        <v>162198.5</v>
      </c>
      <c r="J18" s="697">
        <v>163000</v>
      </c>
      <c r="K18" s="697"/>
      <c r="L18" s="697"/>
      <c r="M18" s="697"/>
      <c r="N18" s="697"/>
      <c r="O18" s="697"/>
      <c r="P18" s="697"/>
      <c r="Q18" s="697"/>
      <c r="R18" s="697"/>
      <c r="S18" s="697"/>
      <c r="T18" s="697"/>
      <c r="U18" s="697"/>
      <c r="V18" s="697"/>
      <c r="W18" s="697"/>
      <c r="X18" s="697"/>
      <c r="Y18" s="697"/>
      <c r="Z18" s="697"/>
      <c r="AA18" s="697"/>
      <c r="AB18" s="697"/>
      <c r="AC18" s="697"/>
      <c r="AD18" s="697"/>
      <c r="AE18" s="697"/>
      <c r="AF18" s="697"/>
      <c r="AG18" s="697"/>
      <c r="AH18" s="697"/>
      <c r="AI18" s="697"/>
      <c r="AJ18" s="697"/>
      <c r="AK18" s="697"/>
      <c r="AL18" s="697"/>
      <c r="AM18" s="698"/>
    </row>
    <row r="19" spans="1:39" s="699" customFormat="1" outlineLevel="1">
      <c r="A19" s="696">
        <v>44197</v>
      </c>
      <c r="B19" s="697"/>
      <c r="C19" s="697"/>
      <c r="D19" s="697"/>
      <c r="E19" s="697"/>
      <c r="F19" s="697"/>
      <c r="G19" s="697"/>
      <c r="H19" s="697">
        <v>515855.37</v>
      </c>
      <c r="I19" s="697">
        <v>582801.5</v>
      </c>
      <c r="J19" s="697">
        <v>730000</v>
      </c>
      <c r="K19" s="697">
        <v>380000</v>
      </c>
      <c r="L19" s="697">
        <v>55000</v>
      </c>
      <c r="M19" s="697">
        <v>-825000</v>
      </c>
      <c r="N19" s="697">
        <v>-373174.59</v>
      </c>
      <c r="O19" s="697">
        <v>-1497664.97</v>
      </c>
      <c r="P19" s="697">
        <v>-2022671.31</v>
      </c>
      <c r="Q19" s="697">
        <v>-2122818.06</v>
      </c>
      <c r="R19" s="697">
        <v>-4584024.96</v>
      </c>
      <c r="S19" s="697">
        <v>-6646858.6399999997</v>
      </c>
      <c r="T19" s="697">
        <v>-2958310.72</v>
      </c>
      <c r="U19" s="697">
        <v>-677165.31</v>
      </c>
      <c r="V19" s="697">
        <v>-149008.89000000001</v>
      </c>
      <c r="W19" s="697">
        <v>-105210.43</v>
      </c>
      <c r="X19" s="697">
        <v>1650493.67</v>
      </c>
      <c r="Y19" s="697">
        <v>2032703.5</v>
      </c>
      <c r="Z19" s="697">
        <v>2901226.5</v>
      </c>
      <c r="AA19" s="697">
        <v>5202907.5</v>
      </c>
      <c r="AB19" s="697">
        <v>6532487.5</v>
      </c>
      <c r="AC19" s="697">
        <v>2413668.7799999998</v>
      </c>
      <c r="AD19" s="697">
        <v>645760.96</v>
      </c>
      <c r="AE19" s="697">
        <v>1276048.1100000001</v>
      </c>
      <c r="AF19" s="697">
        <v>1737196.98</v>
      </c>
      <c r="AG19" s="697">
        <v>1366723.52</v>
      </c>
      <c r="AH19" s="697">
        <v>-7601.86</v>
      </c>
      <c r="AI19" s="697">
        <v>309495.27</v>
      </c>
      <c r="AJ19" s="697">
        <v>718382.81</v>
      </c>
      <c r="AK19" s="697"/>
      <c r="AL19" s="697"/>
      <c r="AM19" s="698"/>
    </row>
    <row r="20" spans="1:39" s="699" customFormat="1" outlineLevel="1">
      <c r="A20" s="696">
        <v>44490</v>
      </c>
      <c r="B20" s="697"/>
      <c r="C20" s="697"/>
      <c r="D20" s="697"/>
      <c r="E20" s="697"/>
      <c r="F20" s="697"/>
      <c r="G20" s="697"/>
      <c r="H20" s="697"/>
      <c r="I20" s="697"/>
      <c r="J20" s="697"/>
      <c r="K20" s="697"/>
      <c r="L20" s="697"/>
      <c r="M20" s="697"/>
      <c r="N20" s="697"/>
      <c r="O20" s="697"/>
      <c r="P20" s="697"/>
      <c r="Q20" s="697"/>
      <c r="R20" s="697"/>
      <c r="S20" s="697"/>
      <c r="T20" s="697"/>
      <c r="U20" s="697"/>
      <c r="V20" s="697"/>
      <c r="W20" s="697"/>
      <c r="X20" s="697"/>
      <c r="Y20" s="697"/>
      <c r="Z20" s="697"/>
      <c r="AA20" s="697"/>
      <c r="AB20" s="697"/>
      <c r="AC20" s="697"/>
      <c r="AD20" s="697"/>
      <c r="AE20" s="697"/>
      <c r="AF20" s="697"/>
      <c r="AG20" s="697"/>
      <c r="AH20" s="697"/>
      <c r="AI20" s="697"/>
      <c r="AJ20" s="697"/>
      <c r="AK20" s="697"/>
      <c r="AL20" s="697"/>
      <c r="AM20" s="698"/>
    </row>
    <row r="21" spans="1:39" s="699" customFormat="1" outlineLevel="1">
      <c r="A21" s="700">
        <v>44734</v>
      </c>
      <c r="B21" s="697"/>
      <c r="C21" s="697"/>
      <c r="D21" s="697"/>
      <c r="E21" s="697"/>
      <c r="F21" s="697"/>
      <c r="G21" s="697"/>
      <c r="H21" s="697"/>
      <c r="I21" s="697"/>
      <c r="J21" s="697"/>
      <c r="K21" s="697"/>
      <c r="L21" s="697"/>
      <c r="M21" s="697"/>
      <c r="N21" s="697"/>
      <c r="O21" s="697"/>
      <c r="P21" s="697"/>
      <c r="Q21" s="697"/>
      <c r="R21" s="697"/>
      <c r="S21" s="697"/>
      <c r="T21" s="697"/>
      <c r="U21" s="697"/>
      <c r="V21" s="697"/>
      <c r="W21" s="697"/>
      <c r="X21" s="697"/>
      <c r="Y21" s="697"/>
      <c r="Z21" s="697"/>
      <c r="AA21" s="697"/>
      <c r="AB21" s="697"/>
      <c r="AC21" s="697"/>
      <c r="AD21" s="697"/>
      <c r="AE21" s="697"/>
      <c r="AF21" s="697"/>
      <c r="AG21" s="697"/>
      <c r="AH21" s="697"/>
      <c r="AI21" s="697"/>
      <c r="AJ21" s="697"/>
      <c r="AK21" s="697"/>
      <c r="AL21" s="697"/>
      <c r="AM21" s="698"/>
    </row>
    <row r="22" spans="1:39" s="623" customFormat="1">
      <c r="A22" s="618" t="s">
        <v>6783</v>
      </c>
      <c r="B22" s="613">
        <f t="shared" ref="B22:AK22" si="1">B15+B16</f>
        <v>2705737</v>
      </c>
      <c r="C22" s="613">
        <f t="shared" si="1"/>
        <v>809187.56999999983</v>
      </c>
      <c r="D22" s="613">
        <f t="shared" si="1"/>
        <v>1534863.57</v>
      </c>
      <c r="E22" s="613">
        <f t="shared" si="1"/>
        <v>1007972.5</v>
      </c>
      <c r="F22" s="613">
        <f t="shared" si="1"/>
        <v>1626411</v>
      </c>
      <c r="G22" s="613">
        <f t="shared" si="1"/>
        <v>1473781</v>
      </c>
      <c r="H22" s="613">
        <f t="shared" si="1"/>
        <v>2363687.5</v>
      </c>
      <c r="I22" s="613">
        <f t="shared" si="1"/>
        <v>2638687.5</v>
      </c>
      <c r="J22" s="613">
        <f t="shared" si="1"/>
        <v>3126687.5</v>
      </c>
      <c r="K22" s="613">
        <f t="shared" si="1"/>
        <v>2936187.5</v>
      </c>
      <c r="L22" s="613">
        <f t="shared" si="1"/>
        <v>3256187.5</v>
      </c>
      <c r="M22" s="613">
        <f t="shared" si="1"/>
        <v>3816011.5</v>
      </c>
      <c r="N22" s="613">
        <f t="shared" si="1"/>
        <v>3571632.91</v>
      </c>
      <c r="O22" s="613">
        <f t="shared" si="1"/>
        <v>2548522.5300000003</v>
      </c>
      <c r="P22" s="613">
        <f t="shared" si="1"/>
        <v>2203516.19</v>
      </c>
      <c r="Q22" s="613">
        <f t="shared" si="1"/>
        <v>2368369.44</v>
      </c>
      <c r="R22" s="613">
        <f t="shared" si="1"/>
        <v>2580247.54</v>
      </c>
      <c r="S22" s="613">
        <f t="shared" si="1"/>
        <v>3889328.8600000003</v>
      </c>
      <c r="T22" s="613">
        <f t="shared" si="1"/>
        <v>4040376.78</v>
      </c>
      <c r="U22" s="613">
        <f t="shared" si="1"/>
        <v>7451522.1899999995</v>
      </c>
      <c r="V22" s="613">
        <f t="shared" si="1"/>
        <v>6257178.6100000003</v>
      </c>
      <c r="W22" s="613">
        <f t="shared" si="1"/>
        <v>7400977.0700000003</v>
      </c>
      <c r="X22" s="613">
        <f t="shared" si="1"/>
        <v>7968378.1699999999</v>
      </c>
      <c r="Y22" s="613">
        <f t="shared" si="1"/>
        <v>9153478</v>
      </c>
      <c r="Z22" s="613">
        <f t="shared" si="1"/>
        <v>9269914</v>
      </c>
      <c r="AA22" s="613">
        <f t="shared" si="1"/>
        <v>11549095</v>
      </c>
      <c r="AB22" s="613">
        <f t="shared" si="1"/>
        <v>11348675</v>
      </c>
      <c r="AC22" s="613">
        <f t="shared" si="1"/>
        <v>7584856.2799999993</v>
      </c>
      <c r="AD22" s="613">
        <f t="shared" si="1"/>
        <v>5266948.46</v>
      </c>
      <c r="AE22" s="613">
        <f t="shared" si="1"/>
        <v>4073475.1100000003</v>
      </c>
      <c r="AF22" s="613">
        <f t="shared" si="1"/>
        <v>4194109.98</v>
      </c>
      <c r="AG22" s="613">
        <f t="shared" si="1"/>
        <v>3033059.52</v>
      </c>
      <c r="AH22" s="613">
        <f t="shared" si="1"/>
        <v>1623008.14</v>
      </c>
      <c r="AI22" s="613">
        <f t="shared" si="1"/>
        <v>1127017.6299999999</v>
      </c>
      <c r="AJ22" s="613">
        <f t="shared" si="1"/>
        <v>868382.81</v>
      </c>
      <c r="AK22" s="613">
        <f t="shared" si="1"/>
        <v>0</v>
      </c>
      <c r="AL22" s="613"/>
      <c r="AM22" s="613">
        <f>SUM(B22:AK22)</f>
        <v>146667471.85999998</v>
      </c>
    </row>
    <row r="23" spans="1:39" s="614" customFormat="1">
      <c r="A23" s="611" t="s">
        <v>6784</v>
      </c>
      <c r="B23" s="612">
        <v>2705737</v>
      </c>
      <c r="C23" s="612">
        <v>809187.57</v>
      </c>
      <c r="D23" s="612">
        <v>1550013.57</v>
      </c>
      <c r="E23" s="612">
        <v>1007972.57</v>
      </c>
      <c r="F23" s="612">
        <v>1548795.17</v>
      </c>
      <c r="G23" s="612">
        <v>2092179.51</v>
      </c>
      <c r="H23" s="612">
        <f>'Cost Tracking'!E225</f>
        <v>2052771.01</v>
      </c>
      <c r="I23" s="612">
        <f>'Cost Tracking'!E230</f>
        <v>2169761.87</v>
      </c>
      <c r="J23" s="612">
        <f>'Cost Tracking'!E253</f>
        <v>2359621.87</v>
      </c>
      <c r="K23" s="612">
        <f>'Cost Tracking'!E265</f>
        <v>2226369.09</v>
      </c>
      <c r="L23" s="612">
        <v>1937025.36</v>
      </c>
      <c r="M23" s="504">
        <v>1937025</v>
      </c>
      <c r="N23" s="612">
        <v>2227457</v>
      </c>
      <c r="O23" s="505">
        <v>2399234.37</v>
      </c>
      <c r="P23" s="612">
        <v>2139777.91</v>
      </c>
      <c r="Q23" s="612">
        <v>2802662.05</v>
      </c>
      <c r="R23" s="612">
        <v>2586706.7000000002</v>
      </c>
      <c r="S23" s="612">
        <v>2450784.37</v>
      </c>
      <c r="T23" s="612">
        <v>2932099.84</v>
      </c>
      <c r="U23" s="612">
        <v>3449256.68</v>
      </c>
      <c r="V23" s="612">
        <v>4248930.6100000003</v>
      </c>
      <c r="W23" s="612">
        <v>5935207.5300000003</v>
      </c>
      <c r="X23" s="612">
        <v>5718631.6100000003</v>
      </c>
      <c r="Y23" s="612">
        <v>6187296.6200000001</v>
      </c>
      <c r="Z23" s="612">
        <v>9415272.6400000006</v>
      </c>
      <c r="AA23" s="612">
        <v>6553446.4900000002</v>
      </c>
      <c r="AB23" s="612">
        <v>7461670.9100000001</v>
      </c>
      <c r="AC23" s="612">
        <v>4943267.8499999996</v>
      </c>
      <c r="AD23" s="612">
        <v>6094939.8399999999</v>
      </c>
      <c r="AE23" s="612">
        <v>5681041.0099999998</v>
      </c>
      <c r="AF23" s="612">
        <v>5272921.18</v>
      </c>
      <c r="AG23" s="612">
        <v>4626816.92</v>
      </c>
      <c r="AH23" s="612">
        <v>4723990.28</v>
      </c>
      <c r="AI23" s="612">
        <v>3859070.76</v>
      </c>
      <c r="AJ23" s="612">
        <v>3465497.25</v>
      </c>
      <c r="AK23" s="612"/>
      <c r="AL23" s="612"/>
      <c r="AM23" s="613">
        <f>SUM(B23:AK23)</f>
        <v>127572440.00999999</v>
      </c>
    </row>
    <row r="24" spans="1:39" s="614" customFormat="1">
      <c r="A24" s="611" t="s">
        <v>6785</v>
      </c>
      <c r="B24" s="612">
        <f>B23</f>
        <v>2705737</v>
      </c>
      <c r="C24" s="612">
        <f>B23+C23</f>
        <v>3514924.57</v>
      </c>
      <c r="D24" s="612">
        <f>SUM(B23:D23)</f>
        <v>5064938.1399999997</v>
      </c>
      <c r="E24" s="612">
        <f>SUM(B23:E23)</f>
        <v>6072910.71</v>
      </c>
      <c r="F24" s="612">
        <f>SUM(B23:F23)</f>
        <v>7621705.8799999999</v>
      </c>
      <c r="G24" s="612">
        <f>SUM(B23:G23)</f>
        <v>9713885.3900000006</v>
      </c>
      <c r="H24" s="612">
        <f>SUM(B23:H23)</f>
        <v>11766656.4</v>
      </c>
      <c r="I24" s="612">
        <f>SUM(B23:I23)</f>
        <v>13936418.27</v>
      </c>
      <c r="J24" s="612">
        <f>SUM(B23:J23)</f>
        <v>16296040.140000001</v>
      </c>
      <c r="K24" s="612">
        <f>SUM(B23:K23)</f>
        <v>18522409.23</v>
      </c>
      <c r="L24" s="612">
        <f>SUM(B23:L23)</f>
        <v>20459434.59</v>
      </c>
      <c r="M24" s="612">
        <f>SUM(B23:M23)</f>
        <v>22396459.59</v>
      </c>
      <c r="N24" s="612">
        <f>SUM(B23:N23)</f>
        <v>24623916.59</v>
      </c>
      <c r="O24" s="612">
        <f>SUM(B23:O23)</f>
        <v>27023150.960000001</v>
      </c>
      <c r="P24" s="612"/>
      <c r="Q24" s="612"/>
      <c r="R24" s="612"/>
      <c r="S24" s="612"/>
      <c r="T24" s="612"/>
      <c r="U24" s="612"/>
      <c r="V24" s="612"/>
      <c r="W24" s="612"/>
      <c r="X24" s="612"/>
      <c r="Y24" s="612"/>
      <c r="Z24" s="612"/>
      <c r="AA24" s="612"/>
      <c r="AB24" s="612"/>
      <c r="AC24" s="612"/>
      <c r="AD24" s="612"/>
      <c r="AE24" s="612"/>
      <c r="AF24" s="612"/>
      <c r="AG24" s="612"/>
      <c r="AH24" s="612"/>
      <c r="AI24" s="612"/>
      <c r="AJ24" s="612"/>
      <c r="AK24" s="612"/>
      <c r="AL24" s="612"/>
      <c r="AM24" s="613"/>
    </row>
    <row r="25" spans="1:39" s="598" customFormat="1" ht="30.75" customHeight="1">
      <c r="A25" s="600" t="s">
        <v>6786</v>
      </c>
      <c r="B25" s="599">
        <f>B23/B22</f>
        <v>1</v>
      </c>
      <c r="C25" s="599">
        <f t="shared" ref="C25:I25" si="2">C23/C22</f>
        <v>1.0000000000000002</v>
      </c>
      <c r="D25" s="599">
        <f t="shared" si="2"/>
        <v>1.0098705841327644</v>
      </c>
      <c r="E25" s="599">
        <f t="shared" si="2"/>
        <v>1.0000000694463389</v>
      </c>
      <c r="F25" s="599">
        <f t="shared" si="2"/>
        <v>0.95227784981778896</v>
      </c>
      <c r="G25" s="599">
        <f t="shared" si="2"/>
        <v>1.4196000016284644</v>
      </c>
      <c r="H25" s="599">
        <f t="shared" si="2"/>
        <v>0.86846125386710382</v>
      </c>
      <c r="I25" s="599">
        <f t="shared" si="2"/>
        <v>0.82228830431796118</v>
      </c>
      <c r="J25" s="599">
        <f t="shared" ref="J25:AD25" si="3">J23/J22</f>
        <v>0.75467147580306637</v>
      </c>
      <c r="K25" s="599">
        <f t="shared" si="3"/>
        <v>0.75825167500372503</v>
      </c>
      <c r="L25" s="599">
        <f t="shared" si="3"/>
        <v>0.59487525211616354</v>
      </c>
      <c r="M25" s="599">
        <f t="shared" si="3"/>
        <v>0.50760460234462079</v>
      </c>
      <c r="N25" s="599">
        <f t="shared" si="3"/>
        <v>0.62365227785965272</v>
      </c>
      <c r="O25" s="599">
        <f t="shared" si="3"/>
        <v>0.94142168325268827</v>
      </c>
      <c r="P25" s="599">
        <f>P23/P22</f>
        <v>0.97107428559442543</v>
      </c>
      <c r="Q25" s="599">
        <f t="shared" si="3"/>
        <v>1.183371986931228</v>
      </c>
      <c r="R25" s="599">
        <f t="shared" si="3"/>
        <v>1.0025033102056558</v>
      </c>
      <c r="S25" s="599">
        <f t="shared" si="3"/>
        <v>0.63013040506942375</v>
      </c>
      <c r="T25" s="599">
        <f t="shared" si="3"/>
        <v>0.72569960665896116</v>
      </c>
      <c r="U25" s="599">
        <f t="shared" si="3"/>
        <v>0.46289289517636134</v>
      </c>
      <c r="V25" s="599">
        <f t="shared" si="3"/>
        <v>0.67904895717848146</v>
      </c>
      <c r="W25" s="599">
        <f t="shared" si="3"/>
        <v>0.80194918506888446</v>
      </c>
      <c r="X25" s="599">
        <f t="shared" si="3"/>
        <v>0.71766568905200445</v>
      </c>
      <c r="Y25" s="599">
        <f t="shared" si="3"/>
        <v>0.6759503458685322</v>
      </c>
      <c r="Z25" s="599">
        <f t="shared" si="3"/>
        <v>1.0156806891628121</v>
      </c>
      <c r="AA25" s="599">
        <f t="shared" si="3"/>
        <v>0.56744242644120602</v>
      </c>
      <c r="AB25" s="599">
        <f t="shared" si="3"/>
        <v>0.65749269496218721</v>
      </c>
      <c r="AC25" s="599">
        <f t="shared" si="3"/>
        <v>0.65172861126381154</v>
      </c>
      <c r="AD25" s="599">
        <f t="shared" si="3"/>
        <v>1.1572051418934903</v>
      </c>
      <c r="AE25" s="599">
        <f t="shared" ref="AE25:AJ25" si="4">AE23/AE22</f>
        <v>1.3946423769850895</v>
      </c>
      <c r="AF25" s="599">
        <f t="shared" si="4"/>
        <v>1.2572205319231995</v>
      </c>
      <c r="AG25" s="599">
        <f t="shared" si="4"/>
        <v>1.5254619599420192</v>
      </c>
      <c r="AH25" s="599">
        <f t="shared" si="4"/>
        <v>2.9106386860142308</v>
      </c>
      <c r="AI25" s="599">
        <f t="shared" si="4"/>
        <v>3.4241440925817641</v>
      </c>
      <c r="AJ25" s="599">
        <f t="shared" si="4"/>
        <v>3.9907483313724277</v>
      </c>
      <c r="AK25" s="599"/>
      <c r="AL25" s="599"/>
      <c r="AM25" s="599"/>
    </row>
    <row r="26" spans="1:39" s="665" customFormat="1" ht="30.75" customHeight="1">
      <c r="A26" s="600" t="s">
        <v>6787</v>
      </c>
      <c r="B26" s="599">
        <f>B23/B15</f>
        <v>1</v>
      </c>
      <c r="C26" s="599">
        <f t="shared" ref="C26:F26" si="5">C23/C15</f>
        <v>0.21004219857235559</v>
      </c>
      <c r="D26" s="599">
        <f t="shared" si="5"/>
        <v>0.44649677949013394</v>
      </c>
      <c r="E26" s="599">
        <f t="shared" si="5"/>
        <v>0.29711792778187174</v>
      </c>
      <c r="F26" s="599">
        <f t="shared" si="5"/>
        <v>0.65007142497376702</v>
      </c>
      <c r="G26" s="599">
        <f>G23/G15</f>
        <v>0.98710993630573252</v>
      </c>
      <c r="H26" s="599">
        <f t="shared" ref="H26:AB26" si="6">H23/H15</f>
        <v>0.31192501081906393</v>
      </c>
      <c r="I26" s="599">
        <f t="shared" si="6"/>
        <v>1.1457866569853792</v>
      </c>
      <c r="J26" s="599">
        <f t="shared" si="6"/>
        <v>1.0563795830885028</v>
      </c>
      <c r="K26" s="599">
        <f t="shared" si="6"/>
        <v>0.87097252842367778</v>
      </c>
      <c r="L26" s="599">
        <f t="shared" si="6"/>
        <v>0.6050958777016342</v>
      </c>
      <c r="M26" s="599">
        <f t="shared" si="6"/>
        <v>0.41737129933851702</v>
      </c>
      <c r="N26" s="599">
        <f t="shared" si="6"/>
        <v>0.56465543629188497</v>
      </c>
      <c r="O26" s="599">
        <f t="shared" si="6"/>
        <v>0.59296173743802039</v>
      </c>
      <c r="P26" s="599">
        <f t="shared" si="6"/>
        <v>0.50631400286901618</v>
      </c>
      <c r="Q26" s="599">
        <f t="shared" si="6"/>
        <v>0.62403585911298509</v>
      </c>
      <c r="R26" s="599">
        <f t="shared" si="6"/>
        <v>0.3610564366444744</v>
      </c>
      <c r="S26" s="599">
        <f t="shared" si="6"/>
        <v>0.23260637398489731</v>
      </c>
      <c r="T26" s="599">
        <f t="shared" si="6"/>
        <v>0.4189499588315666</v>
      </c>
      <c r="U26" s="599">
        <f t="shared" si="6"/>
        <v>0.42433131794031942</v>
      </c>
      <c r="V26" s="599">
        <f t="shared" si="6"/>
        <v>0.66325417574805612</v>
      </c>
      <c r="W26" s="599">
        <f t="shared" si="6"/>
        <v>0.79070866934778816</v>
      </c>
      <c r="X26" s="599">
        <f t="shared" si="6"/>
        <v>0.90514975542841913</v>
      </c>
      <c r="Y26" s="599">
        <f t="shared" si="6"/>
        <v>0.86890781613713508</v>
      </c>
      <c r="Z26" s="599">
        <f t="shared" si="6"/>
        <v>1.4783693877270632</v>
      </c>
      <c r="AA26" s="599">
        <f t="shared" si="6"/>
        <v>1.0326588191729287</v>
      </c>
      <c r="AB26" s="599">
        <f t="shared" si="6"/>
        <v>1.5492899539314033</v>
      </c>
      <c r="AC26" s="599">
        <f>AC23/AC15</f>
        <v>0.95592508490554629</v>
      </c>
      <c r="AD26" s="599">
        <f t="shared" ref="AD26:AJ26" si="7">AD23/AD15</f>
        <v>1.3189120415477622</v>
      </c>
      <c r="AE26" s="599">
        <f t="shared" si="7"/>
        <v>2.0308093866256383</v>
      </c>
      <c r="AF26" s="599">
        <f t="shared" si="7"/>
        <v>2.1461570596923862</v>
      </c>
      <c r="AG26" s="599">
        <f t="shared" si="7"/>
        <v>2.776641037581856</v>
      </c>
      <c r="AH26" s="599">
        <f t="shared" si="7"/>
        <v>2.8970693666787279</v>
      </c>
      <c r="AI26" s="599">
        <f t="shared" si="7"/>
        <v>4.7204467410530517</v>
      </c>
      <c r="AJ26" s="599">
        <f t="shared" si="7"/>
        <v>23.103314999999998</v>
      </c>
      <c r="AK26" s="599"/>
      <c r="AL26" s="599"/>
      <c r="AM26" s="599"/>
    </row>
    <row r="27" spans="1:39" s="596" customFormat="1">
      <c r="A27" s="597" t="s">
        <v>6788</v>
      </c>
      <c r="B27" s="594">
        <f>B24/B14</f>
        <v>1.938633449981007E-2</v>
      </c>
      <c r="C27" s="594">
        <f t="shared" ref="C27:AL27" si="8">C24/C14</f>
        <v>2.5184082361153753E-2</v>
      </c>
      <c r="D27" s="594">
        <f t="shared" si="8"/>
        <v>3.6289774284376436E-2</v>
      </c>
      <c r="E27" s="594">
        <f t="shared" si="8"/>
        <v>4.3511796753172634E-2</v>
      </c>
      <c r="F27" s="594">
        <f t="shared" si="8"/>
        <v>5.4608758962474649E-2</v>
      </c>
      <c r="G27" s="594">
        <f t="shared" si="8"/>
        <v>6.9589782008284098E-2</v>
      </c>
      <c r="H27" s="594">
        <f t="shared" si="8"/>
        <v>8.4266068853835044E-2</v>
      </c>
      <c r="I27" s="594">
        <f t="shared" si="8"/>
        <v>9.9728382737910459E-2</v>
      </c>
      <c r="J27" s="594">
        <f t="shared" si="8"/>
        <v>0.11661373078136468</v>
      </c>
      <c r="K27" s="594">
        <f t="shared" si="8"/>
        <v>0.13216364221883078</v>
      </c>
      <c r="L27" s="594">
        <f ca="1">L24/C9</f>
        <v>0.13258263137486004</v>
      </c>
      <c r="M27" s="594">
        <f t="shared" si="8"/>
        <v>0.15980629924896986</v>
      </c>
      <c r="N27" s="594">
        <f t="shared" si="8"/>
        <v>0.17531726146960044</v>
      </c>
      <c r="O27" s="594" t="e">
        <f t="shared" si="8"/>
        <v>#VALUE!</v>
      </c>
      <c r="P27" s="594" t="e">
        <f t="shared" si="8"/>
        <v>#VALUE!</v>
      </c>
      <c r="Q27" s="594" t="e">
        <f t="shared" si="8"/>
        <v>#VALUE!</v>
      </c>
      <c r="R27" s="594" t="e">
        <f t="shared" si="8"/>
        <v>#VALUE!</v>
      </c>
      <c r="S27" s="594" t="e">
        <f t="shared" si="8"/>
        <v>#VALUE!</v>
      </c>
      <c r="T27" s="594" t="e">
        <f t="shared" si="8"/>
        <v>#VALUE!</v>
      </c>
      <c r="U27" s="594" t="e">
        <f t="shared" si="8"/>
        <v>#VALUE!</v>
      </c>
      <c r="V27" s="594" t="e">
        <f t="shared" si="8"/>
        <v>#VALUE!</v>
      </c>
      <c r="W27" s="594" t="e">
        <f t="shared" si="8"/>
        <v>#VALUE!</v>
      </c>
      <c r="X27" s="594" t="e">
        <f t="shared" si="8"/>
        <v>#VALUE!</v>
      </c>
      <c r="Y27" s="594" t="e">
        <f t="shared" si="8"/>
        <v>#VALUE!</v>
      </c>
      <c r="Z27" s="594" t="e">
        <f t="shared" si="8"/>
        <v>#VALUE!</v>
      </c>
      <c r="AA27" s="594" t="e">
        <f t="shared" si="8"/>
        <v>#VALUE!</v>
      </c>
      <c r="AB27" s="594" t="e">
        <f t="shared" si="8"/>
        <v>#VALUE!</v>
      </c>
      <c r="AC27" s="594" t="e">
        <f t="shared" si="8"/>
        <v>#VALUE!</v>
      </c>
      <c r="AD27" s="594" t="e">
        <f t="shared" si="8"/>
        <v>#VALUE!</v>
      </c>
      <c r="AE27" s="594" t="e">
        <f t="shared" si="8"/>
        <v>#VALUE!</v>
      </c>
      <c r="AF27" s="594" t="e">
        <f t="shared" si="8"/>
        <v>#VALUE!</v>
      </c>
      <c r="AG27" s="594" t="e">
        <f t="shared" si="8"/>
        <v>#VALUE!</v>
      </c>
      <c r="AH27" s="594" t="e">
        <f t="shared" si="8"/>
        <v>#VALUE!</v>
      </c>
      <c r="AI27" s="594" t="e">
        <f t="shared" si="8"/>
        <v>#VALUE!</v>
      </c>
      <c r="AJ27" s="594" t="e">
        <f t="shared" si="8"/>
        <v>#VALUE!</v>
      </c>
      <c r="AK27" s="594" t="e">
        <f t="shared" si="8"/>
        <v>#VALUE!</v>
      </c>
      <c r="AL27" s="594" t="e">
        <f t="shared" si="8"/>
        <v>#DIV/0!</v>
      </c>
      <c r="AM27" s="594"/>
    </row>
    <row r="28" spans="1:39">
      <c r="A28" s="595" t="s">
        <v>6789</v>
      </c>
      <c r="B28" s="593">
        <v>3</v>
      </c>
      <c r="C28" s="593"/>
      <c r="D28" s="593"/>
      <c r="E28" s="593"/>
      <c r="F28" s="593"/>
      <c r="G28" s="593"/>
      <c r="H28" s="593"/>
      <c r="I28" s="593"/>
      <c r="J28" s="593"/>
      <c r="K28" s="593"/>
      <c r="L28" s="593"/>
      <c r="M28" s="593"/>
      <c r="N28" s="593"/>
      <c r="O28" s="593"/>
      <c r="P28" s="593"/>
      <c r="Q28" s="593"/>
      <c r="R28" s="593"/>
      <c r="S28" s="593"/>
      <c r="T28" s="593"/>
      <c r="U28" s="593"/>
      <c r="V28" s="593"/>
      <c r="W28" s="593"/>
      <c r="X28" s="593"/>
      <c r="Y28" s="593"/>
      <c r="Z28" s="593"/>
      <c r="AA28" s="593"/>
      <c r="AB28" s="593"/>
      <c r="AC28" s="593"/>
      <c r="AD28" s="593"/>
      <c r="AE28" s="593"/>
      <c r="AF28" s="593"/>
      <c r="AG28" s="593"/>
      <c r="AH28" s="593"/>
      <c r="AI28" s="593"/>
      <c r="AJ28" s="593"/>
      <c r="AK28" s="593"/>
      <c r="AL28" s="593"/>
      <c r="AM28" s="593"/>
    </row>
    <row r="29" spans="1:39">
      <c r="A29" s="595" t="s">
        <v>6790</v>
      </c>
      <c r="B29" s="594">
        <f>3/142</f>
        <v>2.1126760563380281E-2</v>
      </c>
      <c r="C29" s="594">
        <f>C28/142</f>
        <v>0</v>
      </c>
      <c r="D29" s="594">
        <f t="shared" ref="D29:AK29" si="9">D28/142</f>
        <v>0</v>
      </c>
      <c r="E29" s="594">
        <f t="shared" si="9"/>
        <v>0</v>
      </c>
      <c r="F29" s="594">
        <f t="shared" si="9"/>
        <v>0</v>
      </c>
      <c r="G29" s="594">
        <f t="shared" si="9"/>
        <v>0</v>
      </c>
      <c r="H29" s="594">
        <f t="shared" si="9"/>
        <v>0</v>
      </c>
      <c r="I29" s="594">
        <f t="shared" si="9"/>
        <v>0</v>
      </c>
      <c r="J29" s="594">
        <f t="shared" si="9"/>
        <v>0</v>
      </c>
      <c r="K29" s="594">
        <f t="shared" si="9"/>
        <v>0</v>
      </c>
      <c r="L29" s="594">
        <f t="shared" si="9"/>
        <v>0</v>
      </c>
      <c r="M29" s="594">
        <f t="shared" si="9"/>
        <v>0</v>
      </c>
      <c r="N29" s="594">
        <f t="shared" si="9"/>
        <v>0</v>
      </c>
      <c r="O29" s="594">
        <f t="shared" si="9"/>
        <v>0</v>
      </c>
      <c r="P29" s="594">
        <f t="shared" si="9"/>
        <v>0</v>
      </c>
      <c r="Q29" s="594">
        <f t="shared" si="9"/>
        <v>0</v>
      </c>
      <c r="R29" s="594">
        <f t="shared" si="9"/>
        <v>0</v>
      </c>
      <c r="S29" s="594">
        <f t="shared" si="9"/>
        <v>0</v>
      </c>
      <c r="T29" s="594">
        <f t="shared" si="9"/>
        <v>0</v>
      </c>
      <c r="U29" s="594">
        <f t="shared" si="9"/>
        <v>0</v>
      </c>
      <c r="V29" s="594">
        <f t="shared" si="9"/>
        <v>0</v>
      </c>
      <c r="W29" s="594">
        <f t="shared" si="9"/>
        <v>0</v>
      </c>
      <c r="X29" s="594">
        <f t="shared" si="9"/>
        <v>0</v>
      </c>
      <c r="Y29" s="594">
        <f t="shared" si="9"/>
        <v>0</v>
      </c>
      <c r="Z29" s="594">
        <f t="shared" si="9"/>
        <v>0</v>
      </c>
      <c r="AA29" s="594">
        <f t="shared" si="9"/>
        <v>0</v>
      </c>
      <c r="AB29" s="594">
        <f t="shared" si="9"/>
        <v>0</v>
      </c>
      <c r="AC29" s="594">
        <f t="shared" si="9"/>
        <v>0</v>
      </c>
      <c r="AD29" s="594">
        <f t="shared" si="9"/>
        <v>0</v>
      </c>
      <c r="AE29" s="594">
        <f t="shared" si="9"/>
        <v>0</v>
      </c>
      <c r="AF29" s="594">
        <f t="shared" si="9"/>
        <v>0</v>
      </c>
      <c r="AG29" s="594">
        <f t="shared" si="9"/>
        <v>0</v>
      </c>
      <c r="AH29" s="594">
        <f t="shared" si="9"/>
        <v>0</v>
      </c>
      <c r="AI29" s="594">
        <f t="shared" si="9"/>
        <v>0</v>
      </c>
      <c r="AJ29" s="594">
        <f t="shared" si="9"/>
        <v>0</v>
      </c>
      <c r="AK29" s="594">
        <f t="shared" si="9"/>
        <v>0</v>
      </c>
      <c r="AL29" s="594"/>
      <c r="AM29" s="593"/>
    </row>
    <row r="33" spans="15:36">
      <c r="O33" s="1">
        <v>2548522.5299999998</v>
      </c>
      <c r="P33" s="1">
        <v>2203516.19</v>
      </c>
      <c r="Q33" s="1">
        <v>2368369.44</v>
      </c>
      <c r="R33" s="1">
        <v>2580247.54</v>
      </c>
      <c r="S33" s="1">
        <v>3889328.86</v>
      </c>
      <c r="T33" s="1">
        <v>4040376.78</v>
      </c>
      <c r="U33" s="1">
        <v>7451522.1900000004</v>
      </c>
      <c r="V33" s="1">
        <v>6555196.3899999997</v>
      </c>
      <c r="W33" s="1">
        <v>7400977.0700000003</v>
      </c>
      <c r="X33" s="1">
        <v>7968378.1699999999</v>
      </c>
      <c r="Y33" s="1">
        <v>9153478</v>
      </c>
      <c r="Z33" s="1">
        <v>9269914</v>
      </c>
      <c r="AA33" s="1">
        <v>11549095</v>
      </c>
      <c r="AB33" s="1">
        <v>11348675</v>
      </c>
      <c r="AC33" s="1">
        <v>7584856.2800000003</v>
      </c>
      <c r="AD33" s="1">
        <v>5266948.46</v>
      </c>
      <c r="AE33" s="1">
        <v>4073475.11</v>
      </c>
      <c r="AF33" s="1">
        <v>4194109.98</v>
      </c>
      <c r="AG33" s="1">
        <v>3033059.52</v>
      </c>
      <c r="AH33" s="1">
        <v>1623008.14</v>
      </c>
      <c r="AI33" s="1">
        <v>1127017.6299999999</v>
      </c>
      <c r="AJ33" s="1">
        <v>868382.81</v>
      </c>
    </row>
    <row r="35" spans="15:36">
      <c r="O35" s="666">
        <f>O15-O33</f>
        <v>1497664.9700000002</v>
      </c>
      <c r="P35" s="666">
        <f t="shared" ref="P35:AJ35" si="10">P15-P33</f>
        <v>2022671.31</v>
      </c>
      <c r="Q35" s="666">
        <f t="shared" si="10"/>
        <v>2122818.06</v>
      </c>
      <c r="R35" s="666">
        <f t="shared" si="10"/>
        <v>4584024.96</v>
      </c>
      <c r="S35" s="666">
        <f t="shared" si="10"/>
        <v>6646858.6400000006</v>
      </c>
      <c r="T35" s="666">
        <f t="shared" si="10"/>
        <v>2958310.72</v>
      </c>
      <c r="U35" s="666">
        <f t="shared" si="10"/>
        <v>677165.30999999959</v>
      </c>
      <c r="V35" s="666">
        <f t="shared" si="10"/>
        <v>-149008.88999999966</v>
      </c>
      <c r="W35" s="666">
        <f t="shared" si="10"/>
        <v>105210.4299999997</v>
      </c>
      <c r="X35" s="666">
        <f t="shared" si="10"/>
        <v>-1650493.67</v>
      </c>
      <c r="Y35" s="666">
        <f t="shared" si="10"/>
        <v>-2032703.5</v>
      </c>
      <c r="Z35" s="666">
        <f t="shared" si="10"/>
        <v>-2901226.5</v>
      </c>
      <c r="AA35" s="666">
        <f t="shared" si="10"/>
        <v>-5202907.5</v>
      </c>
      <c r="AB35" s="666">
        <f t="shared" si="10"/>
        <v>-6532487.5</v>
      </c>
      <c r="AC35" s="666">
        <f t="shared" si="10"/>
        <v>-2413668.7800000003</v>
      </c>
      <c r="AD35" s="666">
        <f t="shared" si="10"/>
        <v>-645760.96</v>
      </c>
      <c r="AE35" s="666">
        <f t="shared" si="10"/>
        <v>-1276048.1099999999</v>
      </c>
      <c r="AF35" s="666">
        <f t="shared" si="10"/>
        <v>-1737196.98</v>
      </c>
      <c r="AG35" s="666">
        <f t="shared" si="10"/>
        <v>-1366723.52</v>
      </c>
      <c r="AH35" s="666">
        <f t="shared" si="10"/>
        <v>7601.8600000001024</v>
      </c>
      <c r="AI35" s="666">
        <f t="shared" si="10"/>
        <v>-309495.2699999999</v>
      </c>
      <c r="AJ35" s="666">
        <f t="shared" si="10"/>
        <v>-718382.81</v>
      </c>
    </row>
  </sheetData>
  <mergeCells count="10">
    <mergeCell ref="B12:H12"/>
    <mergeCell ref="I12:T12"/>
    <mergeCell ref="U12:AF12"/>
    <mergeCell ref="AG12:AK12"/>
    <mergeCell ref="B1:D1"/>
    <mergeCell ref="B2:D2"/>
    <mergeCell ref="B3:D3"/>
    <mergeCell ref="B4:D4"/>
    <mergeCell ref="B5:D5"/>
    <mergeCell ref="B6:D6"/>
  </mergeCells>
  <conditionalFormatting sqref="AG15:AL15 C17 B16:AL16">
    <cfRule type="cellIs" dxfId="58" priority="3" operator="lessThan">
      <formula>0</formula>
    </cfRule>
  </conditionalFormatting>
  <conditionalFormatting sqref="B15:H15 B16:AL21">
    <cfRule type="cellIs" dxfId="57" priority="10" operator="lessThan">
      <formula>0</formula>
    </cfRule>
  </conditionalFormatting>
  <conditionalFormatting sqref="B15:H15 B18:AL21 B17 D17:AL17">
    <cfRule type="cellIs" dxfId="56" priority="9" operator="lessThan">
      <formula>0</formula>
    </cfRule>
  </conditionalFormatting>
  <conditionalFormatting sqref="I15:T15">
    <cfRule type="cellIs" dxfId="55" priority="8" operator="lessThan">
      <formula>0</formula>
    </cfRule>
  </conditionalFormatting>
  <conditionalFormatting sqref="I15:T15">
    <cfRule type="cellIs" dxfId="54" priority="7" operator="lessThan">
      <formula>0</formula>
    </cfRule>
  </conditionalFormatting>
  <conditionalFormatting sqref="U15:AF15">
    <cfRule type="cellIs" dxfId="53" priority="6" operator="lessThan">
      <formula>0</formula>
    </cfRule>
  </conditionalFormatting>
  <conditionalFormatting sqref="U15:AF15">
    <cfRule type="cellIs" dxfId="52" priority="5" operator="lessThan">
      <formula>0</formula>
    </cfRule>
  </conditionalFormatting>
  <conditionalFormatting sqref="AG15:AL15">
    <cfRule type="cellIs" dxfId="51" priority="4" operator="lessThan">
      <formula>0</formula>
    </cfRule>
  </conditionalFormatting>
  <conditionalFormatting sqref="B25:AM26">
    <cfRule type="cellIs" dxfId="50" priority="1" operator="between">
      <formula>1.01</formula>
      <formula>2</formula>
    </cfRule>
    <cfRule type="cellIs" dxfId="49" priority="2" operator="between">
      <formula>0.01</formula>
      <formula>0.99</formula>
    </cfRule>
  </conditionalFormatting>
  <pageMargins left="0.7" right="0.7" top="0.75" bottom="0.75" header="0.3" footer="0.3"/>
  <pageSetup orientation="portrait" r:id="rId1"/>
  <headerFooter>
    <oddFooter>&amp;L&amp;1#&amp;"Calibri"&amp;11&amp;K000000Classification: Protected A</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rgb="FFC00000"/>
  </sheetPr>
  <dimension ref="A1:D18"/>
  <sheetViews>
    <sheetView workbookViewId="0">
      <selection activeCell="E13" sqref="E13"/>
    </sheetView>
  </sheetViews>
  <sheetFormatPr defaultRowHeight="14.1"/>
  <cols>
    <col min="1" max="1" width="36.42578125" bestFit="1" customWidth="1"/>
    <col min="2" max="2" width="17.42578125" bestFit="1" customWidth="1"/>
  </cols>
  <sheetData>
    <row r="1" spans="1:4">
      <c r="A1" s="530" t="s">
        <v>6791</v>
      </c>
      <c r="B1" s="530" t="s">
        <v>795</v>
      </c>
    </row>
    <row r="2" spans="1:4">
      <c r="A2" t="s">
        <v>6792</v>
      </c>
      <c r="B2" s="510">
        <f>'Target Tracking'!F13</f>
        <v>191100000</v>
      </c>
    </row>
    <row r="3" spans="1:4">
      <c r="A3" t="s">
        <v>6793</v>
      </c>
      <c r="B3" s="510">
        <f ca="1">SUM(BudgetTrack[Current Budget])</f>
        <v>191099999.84</v>
      </c>
    </row>
    <row r="4" spans="1:4">
      <c r="A4" t="s">
        <v>6794</v>
      </c>
      <c r="B4" s="510">
        <f ca="1">Cashflow!R140</f>
        <v>1515171.99</v>
      </c>
    </row>
    <row r="5" spans="1:4">
      <c r="A5" t="s">
        <v>6795</v>
      </c>
      <c r="B5" s="510">
        <f ca="1">Cashflow!S140</f>
        <v>7137229.96</v>
      </c>
    </row>
    <row r="6" spans="1:4">
      <c r="A6" t="s">
        <v>6796</v>
      </c>
      <c r="B6" s="510">
        <f ca="1">SUM(EAC[Estimate At Completion])</f>
        <v>191099999.88000011</v>
      </c>
    </row>
    <row r="7" spans="1:4">
      <c r="A7" s="528" t="s">
        <v>6797</v>
      </c>
      <c r="B7" s="510">
        <f ca="1">_xlfn.IFNA(INDEX(TargetsApproved,,MATCH(CurrentYear,TargetsYear)),0)</f>
        <v>1515172.2300000004</v>
      </c>
      <c r="D7" s="559" t="s">
        <v>6798</v>
      </c>
    </row>
    <row r="8" spans="1:4">
      <c r="A8" s="528" t="s">
        <v>6799</v>
      </c>
      <c r="B8" s="510">
        <f ca="1">_xlfn.IFNA(INDEX(TargetsProposed,,MATCH(CurrentYear,TargetsYear)),0)</f>
        <v>1515172.2300000004</v>
      </c>
    </row>
    <row r="9" spans="1:4">
      <c r="A9" s="528" t="s">
        <v>6800</v>
      </c>
      <c r="B9" s="510">
        <f ca="1">SUMPRODUCT(TargetsApproved,--(_xlfn.NUMBERVALUE(LEFT(TargetsYear,4))&lt;_xlfn.NUMBERVALUE(LEFT(CurrentYear,4))),--(LEFT(TargetsYear,4)&lt;&gt;""))</f>
        <v>182447597.76999998</v>
      </c>
    </row>
    <row r="10" spans="1:4">
      <c r="A10" s="528" t="s">
        <v>6801</v>
      </c>
      <c r="B10" s="510">
        <f ca="1">SUMPRODUCT(TargetsApproved,--(_xlfn.NUMBERVALUE(LEFT(TargetsYear,4))&gt;_xlfn.NUMBERVALUE(LEFT(CurrentYear,4))),--(LEFT(TargetsYear,4)&lt;&gt;""))</f>
        <v>7137230</v>
      </c>
    </row>
    <row r="11" spans="1:4">
      <c r="A11" s="528" t="s">
        <v>6802</v>
      </c>
      <c r="B11" s="529">
        <f ca="1">IFERROR(AuditBgtPercentTAF,0)</f>
        <v>0.9561870507587652</v>
      </c>
    </row>
    <row r="12" spans="1:4">
      <c r="A12" s="528" t="s">
        <v>6803</v>
      </c>
      <c r="B12" s="529">
        <f ca="1">IFERROR(AuditBgtPercentEAC,0)</f>
        <v>0.95618705135919635</v>
      </c>
    </row>
    <row r="13" spans="1:4">
      <c r="A13" s="528" t="s">
        <v>6804</v>
      </c>
      <c r="B13" s="510">
        <f ca="1">Cashflow!FS140</f>
        <v>191099999.88</v>
      </c>
    </row>
    <row r="14" spans="1:4">
      <c r="A14" s="528" t="s">
        <v>6805</v>
      </c>
      <c r="B14" s="510">
        <f ca="1">Cashflow!M140</f>
        <v>0</v>
      </c>
    </row>
    <row r="15" spans="1:4">
      <c r="A15" s="528" t="s">
        <v>6806</v>
      </c>
      <c r="B15" s="510">
        <f ca="1">Cashflow!J140</f>
        <v>182727345.40000001</v>
      </c>
    </row>
    <row r="16" spans="1:4">
      <c r="A16" s="528" t="s">
        <v>6807</v>
      </c>
      <c r="B16" s="510">
        <f ca="1">Cashflow!P140</f>
        <v>73319.77</v>
      </c>
    </row>
    <row r="17" spans="1:2">
      <c r="A17" s="528" t="s">
        <v>6808</v>
      </c>
      <c r="B17" s="510">
        <f ca="1">Cashflow!O140</f>
        <v>182447597.93000001</v>
      </c>
    </row>
    <row r="18" spans="1:2">
      <c r="A18" s="572" t="s">
        <v>6809</v>
      </c>
      <c r="B18" s="510">
        <f>'Target Tracking'!G13</f>
        <v>1515000</v>
      </c>
    </row>
  </sheetData>
  <pageMargins left="0.7" right="0.7" top="0.75" bottom="0.75" header="0.3" footer="0.3"/>
  <pageSetup orientation="portrait" r:id="rId1"/>
  <headerFooter>
    <oddFooter>&amp;L&amp;1#&amp;"Calibri"&amp;11&amp;K000000Classification: Protected A</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C00000"/>
  </sheetPr>
  <dimension ref="A1:AW7"/>
  <sheetViews>
    <sheetView showGridLines="0" topLeftCell="AC1" workbookViewId="0">
      <selection activeCell="AI7" sqref="AI7"/>
    </sheetView>
  </sheetViews>
  <sheetFormatPr defaultRowHeight="14.1"/>
  <cols>
    <col min="1" max="1" width="15.7109375" customWidth="1"/>
    <col min="2" max="2" width="14.42578125" customWidth="1"/>
    <col min="3" max="4" width="24.42578125" customWidth="1"/>
    <col min="5" max="7" width="26.42578125" customWidth="1"/>
    <col min="8" max="8" width="23.42578125" customWidth="1"/>
    <col min="9" max="9" width="22.7109375" customWidth="1"/>
    <col min="10" max="11" width="17.42578125" customWidth="1"/>
    <col min="12" max="24" width="22.7109375" customWidth="1"/>
    <col min="25" max="25" width="20.42578125" bestFit="1" customWidth="1"/>
    <col min="26" max="26" width="19.7109375" bestFit="1" customWidth="1"/>
    <col min="28" max="28" width="15.42578125" bestFit="1" customWidth="1"/>
    <col min="29" max="31" width="14.42578125" bestFit="1" customWidth="1"/>
    <col min="35" max="36" width="13.42578125" bestFit="1" customWidth="1"/>
    <col min="37" max="38" width="12.28515625" bestFit="1" customWidth="1"/>
    <col min="39" max="39" width="13.42578125" bestFit="1" customWidth="1"/>
    <col min="40" max="40" width="14.42578125" bestFit="1" customWidth="1"/>
    <col min="43" max="43" width="14.42578125" bestFit="1" customWidth="1"/>
    <col min="44" max="44" width="15.42578125" bestFit="1" customWidth="1"/>
    <col min="45" max="45" width="14.42578125" bestFit="1" customWidth="1"/>
    <col min="49" max="49" width="14.42578125" bestFit="1" customWidth="1"/>
  </cols>
  <sheetData>
    <row r="1" spans="1:49" ht="21">
      <c r="A1" s="526" t="s">
        <v>6810</v>
      </c>
    </row>
    <row r="2" spans="1:49" ht="27.95">
      <c r="A2" t="s">
        <v>13</v>
      </c>
      <c r="B2" s="527" t="s">
        <v>124</v>
      </c>
      <c r="C2" t="s">
        <v>15</v>
      </c>
      <c r="D2" t="s">
        <v>262</v>
      </c>
      <c r="E2" t="s">
        <v>263</v>
      </c>
      <c r="F2" s="527" t="s">
        <v>264</v>
      </c>
      <c r="G2" s="527" t="s">
        <v>265</v>
      </c>
      <c r="H2" s="527" t="s">
        <v>1581</v>
      </c>
      <c r="I2" s="527" t="s">
        <v>1582</v>
      </c>
      <c r="J2" s="527" t="s">
        <v>1583</v>
      </c>
      <c r="K2" s="527" t="s">
        <v>1584</v>
      </c>
      <c r="L2" s="527" t="s">
        <v>1585</v>
      </c>
      <c r="M2" s="527" t="s">
        <v>1599</v>
      </c>
      <c r="N2" t="s">
        <v>1600</v>
      </c>
      <c r="O2" t="s">
        <v>1601</v>
      </c>
      <c r="P2" t="s">
        <v>1602</v>
      </c>
      <c r="Q2" t="s">
        <v>1603</v>
      </c>
      <c r="R2" t="s">
        <v>1604</v>
      </c>
      <c r="S2" t="s">
        <v>1605</v>
      </c>
      <c r="T2" t="s">
        <v>1606</v>
      </c>
      <c r="U2" t="s">
        <v>1607</v>
      </c>
      <c r="V2" t="s">
        <v>1608</v>
      </c>
      <c r="W2" t="s">
        <v>1609</v>
      </c>
      <c r="X2" t="s">
        <v>1610</v>
      </c>
      <c r="Y2" t="s">
        <v>18</v>
      </c>
      <c r="Z2" t="s">
        <v>19</v>
      </c>
      <c r="AA2" t="s">
        <v>6811</v>
      </c>
      <c r="AB2" t="s">
        <v>396</v>
      </c>
      <c r="AC2" t="s">
        <v>6812</v>
      </c>
      <c r="AD2" t="s">
        <v>6813</v>
      </c>
      <c r="AE2" t="s">
        <v>6814</v>
      </c>
      <c r="AF2" t="s">
        <v>6815</v>
      </c>
      <c r="AG2" t="s">
        <v>6816</v>
      </c>
      <c r="AH2" t="s">
        <v>6817</v>
      </c>
      <c r="AI2" t="s">
        <v>6818</v>
      </c>
      <c r="AJ2" t="s">
        <v>6819</v>
      </c>
      <c r="AK2" t="s">
        <v>6820</v>
      </c>
      <c r="AL2" t="s">
        <v>6821</v>
      </c>
      <c r="AM2" t="s">
        <v>6822</v>
      </c>
      <c r="AN2" t="s">
        <v>6823</v>
      </c>
      <c r="AO2" t="s">
        <v>6824</v>
      </c>
      <c r="AP2" t="s">
        <v>6825</v>
      </c>
      <c r="AQ2" t="s">
        <v>6826</v>
      </c>
      <c r="AR2" t="s">
        <v>6827</v>
      </c>
      <c r="AS2" t="s">
        <v>6828</v>
      </c>
      <c r="AT2" t="s">
        <v>6829</v>
      </c>
      <c r="AU2" t="s">
        <v>6830</v>
      </c>
      <c r="AV2" t="s">
        <v>6831</v>
      </c>
      <c r="AW2" t="s">
        <v>6832</v>
      </c>
    </row>
    <row r="3" spans="1:49">
      <c r="A3" t="str">
        <f>SUBSTITUTE(Validations!J11,"--","")</f>
        <v>P-002360</v>
      </c>
      <c r="B3" t="str">
        <f>T(Validations!K11)</f>
        <v>GFI</v>
      </c>
      <c r="C3" t="str">
        <f>T(Validations!L11)</f>
        <v>Red Deer Justice Centre</v>
      </c>
      <c r="D3" s="510">
        <f ca="1">_xlfn.IFNA(INDEX(FSrcApprVal,MATCH(SPTblFSrc[[#This Row],[Funding Source]],FSrcID,0)),0)</f>
        <v>191100000</v>
      </c>
      <c r="E3" s="510">
        <f ca="1">_xlfn.IFNA(INDEX(FSrcStartTgt,MATCH(SPTblFSrc[[#This Row],[Funding Source]],FSrcID,0)),0)</f>
        <v>1515000</v>
      </c>
      <c r="F3" s="510">
        <f ca="1">_xlfn.IFNA(INDEX(FSrcCYApprTgt,MATCH(SPTblFSrc[[#This Row],[Funding Source]],FSrcID,0)),0)</f>
        <v>1515172.2300000004</v>
      </c>
      <c r="G3" s="510">
        <f ca="1">_xlfn.IFNA(INDEX(FSrcCYPropTgt,MATCH(SPTblFSrc[[#This Row],[Funding Source]],FSrcID,0)),0)</f>
        <v>1515172.2300000004</v>
      </c>
      <c r="H3" s="510">
        <f ca="1">_xlfn.IFNA(INDEX(CFlowFSrc,MATCH(SPTblFSrc[[#This Row],[Funding Source]],CFlowFSrcID,0)+1,MATCH(Cashflow!$O$150,INDEX(CFlowFSrc,1,),0)),0)</f>
        <v>182447597.93000001</v>
      </c>
      <c r="I3" s="510">
        <f ca="1">_xlfn.IFNA(INDEX(CFlowFSrc,MATCH(SPTblFSrc[[#This Row],[Funding Source]],CFlowFSrcID,0)+1,MATCH(Cashflow!$P$150,INDEX(CFlowFSrc,1,),0)),0)</f>
        <v>62407.740000000005</v>
      </c>
      <c r="J3" s="510">
        <f ca="1">_xlfn.IFNA(INDEX(CFlowFSrc,MATCH(SPTblFSrc[[#This Row],[Funding Source]],CFlowFSrcID,0)+1,MATCH(Cashflow!$Q$150,INDEX(CFlowFSrc,1,),0)),0)</f>
        <v>1286128.56</v>
      </c>
      <c r="K3" s="510">
        <f ca="1">_xlfn.IFNA(INDEX(CFlowFSrc,MATCH(SPTblFSrc[[#This Row],[Funding Source]],CFlowFSrcID,0)+1,MATCH(Cashflow!$R$150,INDEX(CFlowFSrc,1,),0)),0)</f>
        <v>1515171.99</v>
      </c>
      <c r="L3" s="510">
        <f ca="1">_xlfn.IFNA(INDEX(CFlowFSrc,MATCH(SPTblFSrc[[#This Row],[Funding Source]],CFlowFSrcID,0)+1,MATCH(Cashflow!$S$150,INDEX(CFlowFSrc,1,),0)),0)</f>
        <v>7137229.9600000009</v>
      </c>
      <c r="M3" s="510">
        <f ca="1">_xlfn.IFNA(INDEX(CFlowFSrc,MATCH(SPTblFSrc[[#This Row],[Funding Source]],CFlowFSrcID,0)+1,SUMPRODUCT(--(INDEX(CFlowFSrc,1,)=CurrentYear),COLUMN(INDEX(CFlowFSrc,1,))-COLUMN(INDEX(CFlowFSrc,,1))-11)),0)</f>
        <v>73319.77</v>
      </c>
      <c r="N3" s="510">
        <f ca="1">_xlfn.IFNA(INDEX(CFlowFSrc,MATCH(SPTblFSrc[[#This Row],[Funding Source]],CFlowFSrcID,0)+1,SUMPRODUCT(--(INDEX(CFlowFSrc,1,)=CurrentYear),COLUMN(INDEX(CFlowFSrc,1,))-COLUMN(INDEX(CFlowFSrc,,1))-10)),0)</f>
        <v>198632.21</v>
      </c>
      <c r="O3" s="510">
        <f ca="1">_xlfn.IFNA(INDEX(CFlowFSrc,MATCH(SPTblFSrc[[#This Row],[Funding Source]],CFlowFSrcID,0)+1,SUMPRODUCT(--(INDEX(CFlowFSrc,1,)=CurrentYear),COLUMN(INDEX(CFlowFSrc,1,))-COLUMN(INDEX(CFlowFSrc,,1))-9)),0)</f>
        <v>119000</v>
      </c>
      <c r="P3" s="510">
        <f ca="1">_xlfn.IFNA(INDEX(CFlowFSrc,MATCH(SPTblFSrc[[#This Row],[Funding Source]],CFlowFSrcID,0)+1,SUMPRODUCT(--(INDEX(CFlowFSrc,1,)=CurrentYear),COLUMN(INDEX(CFlowFSrc,1,))-COLUMN(INDEX(CFlowFSrc,,1))-8)),0)</f>
        <v>492748</v>
      </c>
      <c r="Q3" s="510">
        <f ca="1">_xlfn.IFNA(INDEX(CFlowFSrc,MATCH(SPTblFSrc[[#This Row],[Funding Source]],CFlowFSrcID,0)+1,SUMPRODUCT(--(INDEX(CFlowFSrc,1,)=CurrentYear),COLUMN(INDEX(CFlowFSrc,1,))-COLUMN(INDEX(CFlowFSrc,,1))-7)),0)</f>
        <v>324210.91000000003</v>
      </c>
      <c r="R3" s="510">
        <f ca="1">_xlfn.IFNA(INDEX(CFlowFSrc,MATCH(SPTblFSrc[[#This Row],[Funding Source]],CFlowFSrcID,0)+1,SUMPRODUCT(--(INDEX(CFlowFSrc,1,)=CurrentYear),COLUMN(INDEX(CFlowFSrc,1,))-COLUMN(INDEX(CFlowFSrc,,1))-6)),0)</f>
        <v>58803</v>
      </c>
      <c r="S3" s="510">
        <f ca="1">_xlfn.IFNA(INDEX(CFlowFSrc,MATCH(SPTblFSrc[[#This Row],[Funding Source]],CFlowFSrcID,0)+1,SUMPRODUCT(--(INDEX(CFlowFSrc,1,)=CurrentYear),COLUMN(INDEX(CFlowFSrc,1,))-COLUMN(INDEX(CFlowFSrc,,1))-5)),0)</f>
        <v>18402.14</v>
      </c>
      <c r="T3" s="510">
        <f ca="1">_xlfn.IFNA(INDEX(CFlowFSrc,MATCH(SPTblFSrc[[#This Row],[Funding Source]],CFlowFSrcID,0)+1,SUMPRODUCT(--(INDEX(CFlowFSrc,1,)=CurrentYear),COLUMN(INDEX(CFlowFSrc,1,))-COLUMN(INDEX(CFlowFSrc,,1))-4)),0)</f>
        <v>0</v>
      </c>
      <c r="U3" s="510">
        <f ca="1">_xlfn.IFNA(INDEX(CFlowFSrc,MATCH(SPTblFSrc[[#This Row],[Funding Source]],CFlowFSrcID,0)+1,SUMPRODUCT(--(INDEX(CFlowFSrc,1,)=CurrentYear),COLUMN(INDEX(CFlowFSrc,1,))-COLUMN(INDEX(CFlowFSrc,,1))-3)),0)</f>
        <v>0</v>
      </c>
      <c r="V3" s="510">
        <f ca="1">_xlfn.IFNA(INDEX(CFlowFSrc,MATCH(SPTblFSrc[[#This Row],[Funding Source]],CFlowFSrcID,0)+1,SUMPRODUCT(--(INDEX(CFlowFSrc,1,)=CurrentYear),COLUMN(INDEX(CFlowFSrc,1,))-COLUMN(INDEX(CFlowFSrc,,1))-2)),0)</f>
        <v>0</v>
      </c>
      <c r="W3" s="510">
        <f ca="1">_xlfn.IFNA(INDEX(CFlowFSrc,MATCH(SPTblFSrc[[#This Row],[Funding Source]],CFlowFSrcID,0)+1,SUMPRODUCT(--(INDEX(CFlowFSrc,1,)=CurrentYear),COLUMN(INDEX(CFlowFSrc,1,))-COLUMN(INDEX(CFlowFSrc,,1))-1)),0)</f>
        <v>0</v>
      </c>
      <c r="X3" s="510">
        <f ca="1">_xlfn.IFNA(INDEX(CFlowFSrc,MATCH(SPTblFSrc[[#This Row],[Funding Source]],CFlowFSrcID,0)+1,SUMPRODUCT(--(INDEX(CFlowFSrc,1,)=CurrentYear),COLUMN(INDEX(CFlowFSrc,1,))-COLUMN(INDEX(CFlowFSrc,,1)))),0)</f>
        <v>230055.96000000002</v>
      </c>
      <c r="Y3" s="421">
        <f>Validations!O11</f>
        <v>0</v>
      </c>
      <c r="Z3" t="str">
        <f>Validations!P11</f>
        <v>B8322A-0001</v>
      </c>
      <c r="AA3" t="str">
        <f>IF(CurrentYear=0,"",CurrentYear)</f>
        <v>2025-26</v>
      </c>
      <c r="AB3" s="510">
        <f ca="1">SUMIF(EAC[Funding Source],SPTblFSrc[[#This Row],[Funding Source]],EAC[Estimate At Completion])</f>
        <v>191099999.88000011</v>
      </c>
      <c r="AC3" s="510">
        <f ca="1">IF(INDEX(CHOOSE(MATCH(SPTblFSrc[[#This Row],[Funding Source]],SPTblFSrc[Funding Source],0),FSrc1,FSrc2,FSrc3,FSrc4,FSrc5),1,4)=CurrentYear,0,SUM(INDEX(INDEX(CHOOSE(MATCH(SPTblFSrc[[#This Row],[Funding Source]],SPTblFSrc[Funding Source],0),FSrc1,FSrc2,FSrc3,FSrc4,FSrc5),,4):INDEX(CHOOSE(MATCH(SPTblFSrc[[#This Row],[Funding Source]],SPTblFSrc[Funding Source],0),FSrc1,FSrc2,FSrc3,FSrc4,FSrc5),,MATCH(CurrentYear,INDEX(CHOOSE(MATCH(SPTblFSrc[[#This Row],[Funding Source]],SPTblFSrc[Funding Source],0),FSrc1,FSrc2,FSrc3,FSrc4,FSrc5),1,),0)-1),MATCH(".F" &amp; MATCH(SPTblFSrc[[#This Row],[Funding Source]],SPTblFSrc[Funding Source],0),INDEX(CHOOSE(MATCH(SPTblFSrc[[#This Row],[Funding Source]],SPTblFSrc[Funding Source],0),FSrc1,FSrc2,FSrc3,FSrc4,FSrc5),,1),0),)))</f>
        <v>182447597.76999998</v>
      </c>
      <c r="AD3" s="510">
        <f ca="1">_xlfn.IFNA(INDEX(CFlowFSrc,MATCH(SPTblFSrc[[#This Row],[Funding Source]],CFlowFSrcID,0)+1,MATCH(LEFT(CurrentYear,4)+1&amp;"-"&amp;RIGHT(CurrentYear,2)+1,INDEX(CFlowFSrc,1,),0)),0)</f>
        <v>7137229.9600000009</v>
      </c>
      <c r="AE3" s="510">
        <f ca="1">_xlfn.IFNA(INDEX(CFlowFSrc,MATCH(SPTblFSrc[[#This Row],[Funding Source]],CFlowFSrcID,0)+1,MATCH(LEFT(CurrentYear,4)+2&amp;"-"&amp;RIGHT(CurrentYear,2)+2,INDEX(CFlowFSrc,1,),0)),0)</f>
        <v>0</v>
      </c>
      <c r="AF3" s="510">
        <f ca="1">_xlfn.IFNA(INDEX(CFlowFSrc,MATCH(SPTblFSrc[[#This Row],[Funding Source]],CFlowFSrcID,0)+1,MATCH(LEFT(CurrentYear,4)+3&amp;"-"&amp;RIGHT(CurrentYear,2)+3,INDEX(CFlowFSrc,1,),0)),0)</f>
        <v>0</v>
      </c>
      <c r="AG3" s="510">
        <f ca="1">_xlfn.IFNA(INDEX(CFlowFSrc,MATCH(SPTblFSrc[[#This Row],[Funding Source]],CFlowFSrcID,0)+1,MATCH(LEFT(CurrentYear,4)+4&amp;"-"&amp;RIGHT(CurrentYear,2)+4,INDEX(CFlowFSrc,1,),0)),0)</f>
        <v>0</v>
      </c>
      <c r="AH3" s="510">
        <f ca="1">_xlfn.IFNA(INDEX(CFlowFSrc,MATCH(SPTblFSrc[[#This Row],[Funding Source]],CFlowFSrcID,0)+1,MATCH(LEFT(CurrentYear,4)+5&amp;"-"&amp;RIGHT(CurrentYear,2)+5,INDEX(CFlowFSrc,1,),0)),0)</f>
        <v>0</v>
      </c>
      <c r="AI3" s="510">
        <f ca="1">SUMPRODUCT(--(INDEX(IFERROR(T(IF({1},CFlowMain)),0),,MATCH(Cashflow!$G$7,INDEX(CFlowMain,1,),0))=SPTblFSrc[[#This Row],[Funding Source]])*--(INDEX(IFERROR(T(IF({1},CFlowMain)),0),,MATCH(Cashflow!$D$7,INDEX(CFlowMain,1,),0))="Staff Capitalization - INFRA")*N(IF({1},INDEX(CFlowMain,,MATCH(Cashflow!$I$7,INDEX(CFlowMain,1,),0)))))</f>
        <v>3577739</v>
      </c>
      <c r="AJ3" s="510">
        <f ca="1">SUMPRODUCT(--(INDEX(IFERROR(T(IF({1},CFlowMain)),0),,MATCH(Cashflow!$G$7,INDEX(CFlowMain,1,),0))=SPTblFSrc[[#This Row],[Funding Source]])*--(INDEX(IFERROR(T(IF({1},CFlowMain)),0),,MATCH(Cashflow!$D$7,INDEX(CFlowMain,1,),0))="Staff Capitalization - INFRA")*N(IF({1},INDEX(CFlowMain,,MATCH(Cashflow!$O$7,INDEX(CFlowMain,1,),0)))))</f>
        <v>3303972.9299999997</v>
      </c>
      <c r="AK3" s="510">
        <f ca="1">SUMPRODUCT(--(INDEX(IFERROR(T(IF({1},CFlowMain)),0),,MATCH(Cashflow!$G$7,INDEX(CFlowMain,1,),0))=SPTblFSrc[[#This Row],[Funding Source]])*--(INDEX(IFERROR(T(IF({1},CFlowMain)),0),,MATCH(Cashflow!$D$7,INDEX(CFlowMain,1,),0))="Staff Capitalization - INFRA")*N(IF({1},INDEX(CFlowMain,,MATCH(Cashflow!$P$7,INDEX(CFlowMain,1,),0)))))</f>
        <v>0</v>
      </c>
      <c r="AL3" s="510">
        <f ca="1">SUMPRODUCT(--(INDEX(IFERROR(T(IF({1},CFlowMain)),0),,MATCH(Cashflow!$G$7,INDEX(CFlowMain,1,),0))=SPTblFSrc[[#This Row],[Funding Source]])*--(INDEX(IFERROR(T(IF({1},CFlowMain)),0),,MATCH(Cashflow!$D$7,INDEX(CFlowMain,1,),0))="Staff Capitalization - INFRA")*N(IF({1},INDEX(CFlowMain,,MATCH(Cashflow!$Q$7,INDEX(CFlowMain,1,),0)))))</f>
        <v>130000</v>
      </c>
      <c r="AM3" s="510">
        <f ca="1">SUMPRODUCT(--(INDEX(IFERROR(T(IF({1},CFlowMain)),0),,MATCH(Cashflow!$G$7,INDEX(CFlowMain,1,),0))=SPTblFSrc[[#This Row],[Funding Source]])*--(INDEX(IFERROR(T(IF({1},CFlowMain)),0),,MATCH(Cashflow!$D$7,INDEX(CFlowMain,1,),0))="Staff Capitalization - INFRA")*N(IF({1},INDEX(CFlowMain,,MATCH(Cashflow!$S$7,INDEX(CFlowMain,1,),0)))))</f>
        <v>143766.07</v>
      </c>
      <c r="AN3" s="510">
        <f ca="1">SUMPRODUCT(--(INDEX(IFERROR(T(IF({1},CFlowMain)),0),,MATCH(Cashflow!$G$7,INDEX(CFlowMain,1,),0))=SPTblFSrc[[#This Row],[Funding Source]])*--(INDEX(IFERROR(T(IF({1},CFlowMain)),0),,MATCH(Cashflow!$C$7,INDEX(CFlowMain,1,),0))="Management Reserve")*N(IF({1},INDEX(CFlowMain,,MATCH(Cashflow!$I$7,INDEX(CFlowMain,1,),0)))))</f>
        <v>0</v>
      </c>
      <c r="AO3" s="510">
        <f ca="1">SUMPRODUCT(--(INDEX(IFERROR(T(IF({1},CFlowMain)),0),,MATCH(Cashflow!$G$7,INDEX(CFlowMain,1,),0))=SPTblFSrc[[#This Row],[Funding Source]])*--(INDEX(IFERROR(T(IF({1},CFlowMain)),0),,MATCH(Cashflow!$C$7,INDEX(CFlowMain,1,),0))="Management Reserve")*N(IF({1},INDEX(CFlowMain,,MATCH(Cashflow!$O$7,INDEX(CFlowMain,1,),0)))))</f>
        <v>0</v>
      </c>
      <c r="AP3" s="510">
        <f ca="1">SUMPRODUCT(--(INDEX(IFERROR(T(IF({1},CFlowMain)),0),,MATCH(Cashflow!$G$7,INDEX(CFlowMain,1,),0))=SPTblFSrc[[#This Row],[Funding Source]])*--(INDEX(IFERROR(T(IF({1},CFlowMain)),0),,MATCH(Cashflow!$C$7,INDEX(CFlowMain,1,),0))="Management Reserve")*N(IF({1},INDEX(CFlowMain,,MATCH(Cashflow!$R$7,INDEX(CFlowMain,1,),0)))))</f>
        <v>0</v>
      </c>
      <c r="AQ3" s="510">
        <f ca="1">SUMPRODUCT(--(INDEX(IFERROR(T(IF({1},CFlowMain)),0),,MATCH(Cashflow!$G$7,INDEX(CFlowMain,1,),0))=SPTblFSrc[[#This Row],[Funding Source]])*--(INDEX(IFERROR(T(IF({1},CFlowMain)),0),,MATCH(Cashflow!$C$7,INDEX(CFlowMain,1,),0))="Management Reserve")*N(IF({1},INDEX(CFlowMain,,MATCH(Cashflow!$S$7,INDEX(CFlowMain,1,),0)))))</f>
        <v>0</v>
      </c>
      <c r="AR3" s="510">
        <f ca="1">SUMIF(VendorList[Funding Source],SPTblFSrc[[#This Row],[Funding Source]],VendorList[Current Commitment])</f>
        <v>185590901.88000005</v>
      </c>
      <c r="AS3" s="510">
        <f ca="1">SUMPRODUCT(--(INDEX(IFERROR(T(IF({1},CFlowMain)),0),,MATCH(Cashflow!$G$7,INDEX(CFlowMain,1,),0))=SPTblFSrc[[#This Row],[Funding Source]])*--(INDEX(IFERROR(T(IF({1},CFlowMain)),0),,MATCH(Cashflow!$C$7,INDEX(CFlowMain,1,),0))="FE_IT")*N(IF({1},INDEX(CFlowMain,,MATCH(Cashflow!$I$7,INDEX(CFlowMain,1,),0)))))</f>
        <v>7892917.71</v>
      </c>
      <c r="AT3" s="510">
        <f ca="1">SUMPRODUCT(--(INDEX(IFERROR(T(IF({1},CFlowMain)),0),,MATCH(Cashflow!$G$7,INDEX(CFlowMain,1,),0))=SPTblFSrc[[#This Row],[Funding Source]])*--(INDEX(IFERROR(T(IF({1},CFlowMain)),0),,MATCH(Cashflow!$C$7,INDEX(CFlowMain,1,),0))="FE_IT")*N(IF({1},INDEX(CFlowMain,,MATCH(Cashflow!$O$7,INDEX(CFlowMain,1,),0)))))</f>
        <v>7413611.2999999989</v>
      </c>
      <c r="AU3" s="510">
        <f ca="1">SUMPRODUCT(--(INDEX(IFERROR(T(IF({1},CFlowMain)),0),,MATCH(Cashflow!$G$7,INDEX(CFlowMain,1,),0))=SPTblFSrc[[#This Row],[Funding Source]])*--(INDEX(IFERROR(T(IF({1},CFlowMain)),0),,MATCH(Cashflow!$C$7,INDEX(CFlowMain,1,),0))="FE_IT")*N(IF({1},INDEX(CFlowMain,,MATCH(Cashflow!$P$7,INDEX(CFlowMain,1,),0)))))</f>
        <v>10912.029999999999</v>
      </c>
      <c r="AV3" s="510">
        <f ca="1">SUMPRODUCT(--(INDEX(IFERROR(T(IF({1},CFlowMain)),0),,MATCH(Cashflow!$G$7,INDEX(CFlowMain,1,),0))=SPTblFSrc[[#This Row],[Funding Source]])*--(INDEX(IFERROR(T(IF({1},CFlowMain)),0),,MATCH(Cashflow!$C$7,INDEX(CFlowMain,1,),0))="FE_IT")*N(IF({1},INDEX(CFlowMain,,MATCH(Cashflow!$Q$7,INDEX(CFlowMain,1,),0)))))</f>
        <v>68394.66</v>
      </c>
      <c r="AW3" s="510">
        <f ca="1">SUMPRODUCT(--(INDEX(IFERROR(T(IF({1},CFlowMain)),0),,MATCH(Cashflow!$G$7,INDEX(CFlowMain,1,),0))=SPTblFSrc[[#This Row],[Funding Source]])*--(INDEX(IFERROR(T(IF({1},CFlowMain)),0),,MATCH(Cashflow!$C$7,INDEX(CFlowMain,1,),0))="FE_IT")*N(IF({1},INDEX(CFlowMain,,MATCH(Cashflow!$S$7,INDEX(CFlowMain,1,),0)))))</f>
        <v>399999.72</v>
      </c>
    </row>
    <row r="4" spans="1:49">
      <c r="A4" t="str">
        <f>SUBSTITUTE(Validations!J12,"--","")</f>
        <v/>
      </c>
      <c r="B4" t="str">
        <f>T(Validations!K12)</f>
        <v>--</v>
      </c>
      <c r="C4" t="str">
        <f>T(Validations!L12)</f>
        <v>--</v>
      </c>
      <c r="D4" s="510">
        <f ca="1">_xlfn.IFNA(INDEX(FSrcApprVal,MATCH(SPTblFSrc[[#This Row],[Funding Source]],FSrcID,0)),0)</f>
        <v>0</v>
      </c>
      <c r="E4" s="510">
        <f ca="1">_xlfn.IFNA(INDEX(FSrcStartTgt,MATCH(SPTblFSrc[[#This Row],[Funding Source]],FSrcID,0)),0)</f>
        <v>0</v>
      </c>
      <c r="F4" s="510">
        <f ca="1">_xlfn.IFNA(INDEX(FSrcCYApprTgt,MATCH(SPTblFSrc[[#This Row],[Funding Source]],FSrcID,0)),0)</f>
        <v>0</v>
      </c>
      <c r="G4" s="510">
        <f ca="1">_xlfn.IFNA(INDEX(FSrcCYPropTgt,MATCH(SPTblFSrc[[#This Row],[Funding Source]],FSrcID,0)),0)</f>
        <v>0</v>
      </c>
      <c r="H4" s="510">
        <f ca="1">_xlfn.IFNA(INDEX(CFlowFSrc,MATCH(SPTblFSrc[[#This Row],[Funding Source]],CFlowFSrcID,0)+1,MATCH(Cashflow!$O$150,INDEX(CFlowFSrc,1,),0)),0)</f>
        <v>0</v>
      </c>
      <c r="I4" s="510">
        <f ca="1">_xlfn.IFNA(INDEX(CFlowFSrc,MATCH(SPTblFSrc[[#This Row],[Funding Source]],CFlowFSrcID,0)+1,MATCH(Cashflow!$P$150,INDEX(CFlowFSrc,1,),0)),0)</f>
        <v>0</v>
      </c>
      <c r="J4" s="510">
        <f ca="1">_xlfn.IFNA(INDEX(CFlowFSrc,MATCH(SPTblFSrc[[#This Row],[Funding Source]],CFlowFSrcID,0)+1,MATCH(Cashflow!$Q$150,INDEX(CFlowFSrc,1,),0)),0)</f>
        <v>0</v>
      </c>
      <c r="K4" s="510">
        <f ca="1">_xlfn.IFNA(INDEX(CFlowFSrc,MATCH(SPTblFSrc[[#This Row],[Funding Source]],CFlowFSrcID,0)+1,MATCH(Cashflow!$R$150,INDEX(CFlowFSrc,1,),0)),0)</f>
        <v>0</v>
      </c>
      <c r="L4" s="510">
        <f ca="1">_xlfn.IFNA(INDEX(CFlowFSrc,MATCH(SPTblFSrc[[#This Row],[Funding Source]],CFlowFSrcID,0)+1,MATCH(Cashflow!$S$150,INDEX(CFlowFSrc,1,),0)),0)</f>
        <v>0</v>
      </c>
      <c r="M4" s="510">
        <f ca="1">_xlfn.IFNA(INDEX(CFlowFSrc,MATCH(SPTblFSrc[[#This Row],[Funding Source]],CFlowFSrcID,0)+1,SUMPRODUCT(--(INDEX(CFlowFSrc,1,)=CurrentYear),COLUMN(INDEX(CFlowFSrc,1,))-COLUMN(INDEX(CFlowFSrc,,1))-11)),0)</f>
        <v>0</v>
      </c>
      <c r="N4" s="510">
        <f ca="1">_xlfn.IFNA(INDEX(CFlowFSrc,MATCH(SPTblFSrc[[#This Row],[Funding Source]],CFlowFSrcID,0)+1,SUMPRODUCT(--(INDEX(CFlowFSrc,1,)=CurrentYear),COLUMN(INDEX(CFlowFSrc,1,))-COLUMN(INDEX(CFlowFSrc,,1))-10)),0)</f>
        <v>0</v>
      </c>
      <c r="O4" s="510">
        <f ca="1">_xlfn.IFNA(INDEX(CFlowFSrc,MATCH(SPTblFSrc[[#This Row],[Funding Source]],CFlowFSrcID,0)+1,SUMPRODUCT(--(INDEX(CFlowFSrc,1,)=CurrentYear),COLUMN(INDEX(CFlowFSrc,1,))-COLUMN(INDEX(CFlowFSrc,,1))-9)),0)</f>
        <v>0</v>
      </c>
      <c r="P4" s="510">
        <f ca="1">_xlfn.IFNA(INDEX(CFlowFSrc,MATCH(SPTblFSrc[[#This Row],[Funding Source]],CFlowFSrcID,0)+1,SUMPRODUCT(--(INDEX(CFlowFSrc,1,)=CurrentYear),COLUMN(INDEX(CFlowFSrc,1,))-COLUMN(INDEX(CFlowFSrc,,1))-8)),0)</f>
        <v>0</v>
      </c>
      <c r="Q4" s="510">
        <f ca="1">_xlfn.IFNA(INDEX(CFlowFSrc,MATCH(SPTblFSrc[[#This Row],[Funding Source]],CFlowFSrcID,0)+1,SUMPRODUCT(--(INDEX(CFlowFSrc,1,)=CurrentYear),COLUMN(INDEX(CFlowFSrc,1,))-COLUMN(INDEX(CFlowFSrc,,1))-7)),0)</f>
        <v>0</v>
      </c>
      <c r="R4" s="510">
        <f ca="1">_xlfn.IFNA(INDEX(CFlowFSrc,MATCH(SPTblFSrc[[#This Row],[Funding Source]],CFlowFSrcID,0)+1,SUMPRODUCT(--(INDEX(CFlowFSrc,1,)=CurrentYear),COLUMN(INDEX(CFlowFSrc,1,))-COLUMN(INDEX(CFlowFSrc,,1))-6)),0)</f>
        <v>0</v>
      </c>
      <c r="S4" s="510">
        <f ca="1">_xlfn.IFNA(INDEX(CFlowFSrc,MATCH(SPTblFSrc[[#This Row],[Funding Source]],CFlowFSrcID,0)+1,SUMPRODUCT(--(INDEX(CFlowFSrc,1,)=CurrentYear),COLUMN(INDEX(CFlowFSrc,1,))-COLUMN(INDEX(CFlowFSrc,,1))-5)),0)</f>
        <v>0</v>
      </c>
      <c r="T4" s="510">
        <f ca="1">_xlfn.IFNA(INDEX(CFlowFSrc,MATCH(SPTblFSrc[[#This Row],[Funding Source]],CFlowFSrcID,0)+1,SUMPRODUCT(--(INDEX(CFlowFSrc,1,)=CurrentYear),COLUMN(INDEX(CFlowFSrc,1,))-COLUMN(INDEX(CFlowFSrc,,1))-4)),0)</f>
        <v>0</v>
      </c>
      <c r="U4" s="510">
        <f ca="1">_xlfn.IFNA(INDEX(CFlowFSrc,MATCH(SPTblFSrc[[#This Row],[Funding Source]],CFlowFSrcID,0)+1,SUMPRODUCT(--(INDEX(CFlowFSrc,1,)=CurrentYear),COLUMN(INDEX(CFlowFSrc,1,))-COLUMN(INDEX(CFlowFSrc,,1))-3)),0)</f>
        <v>0</v>
      </c>
      <c r="V4" s="510">
        <f ca="1">_xlfn.IFNA(INDEX(CFlowFSrc,MATCH(SPTblFSrc[[#This Row],[Funding Source]],CFlowFSrcID,0)+1,SUMPRODUCT(--(INDEX(CFlowFSrc,1,)=CurrentYear),COLUMN(INDEX(CFlowFSrc,1,))-COLUMN(INDEX(CFlowFSrc,,1))-2)),0)</f>
        <v>0</v>
      </c>
      <c r="W4" s="510">
        <f ca="1">_xlfn.IFNA(INDEX(CFlowFSrc,MATCH(SPTblFSrc[[#This Row],[Funding Source]],CFlowFSrcID,0)+1,SUMPRODUCT(--(INDEX(CFlowFSrc,1,)=CurrentYear),COLUMN(INDEX(CFlowFSrc,1,))-COLUMN(INDEX(CFlowFSrc,,1))-1)),0)</f>
        <v>0</v>
      </c>
      <c r="X4" s="510">
        <f ca="1">_xlfn.IFNA(INDEX(CFlowFSrc,MATCH(SPTblFSrc[[#This Row],[Funding Source]],CFlowFSrcID,0)+1,SUMPRODUCT(--(INDEX(CFlowFSrc,1,)=CurrentYear),COLUMN(INDEX(CFlowFSrc,1,))-COLUMN(INDEX(CFlowFSrc,,1)))),0)</f>
        <v>0</v>
      </c>
      <c r="Y4" s="421" t="str">
        <f>Validations!O12</f>
        <v>--</v>
      </c>
      <c r="Z4" t="str">
        <f>Validations!P12</f>
        <v>--</v>
      </c>
      <c r="AA4" t="str">
        <f>IF(CurrentYear=0,"",CurrentYear)</f>
        <v>2025-26</v>
      </c>
      <c r="AB4" s="510">
        <f ca="1">SUMIF(EAC[Funding Source],SPTblFSrc[[#This Row],[Funding Source]],EAC[Estimate At Completion])</f>
        <v>0</v>
      </c>
      <c r="AC4" s="510">
        <f ca="1">IF(INDEX(CHOOSE(MATCH(SPTblFSrc[[#This Row],[Funding Source]],SPTblFSrc[Funding Source],0),FSrc1,FSrc2,FSrc3,FSrc4,FSrc5),1,4)=CurrentYear,0,SUM(INDEX(INDEX(CHOOSE(MATCH(SPTblFSrc[[#This Row],[Funding Source]],SPTblFSrc[Funding Source],0),FSrc1,FSrc2,FSrc3,FSrc4,FSrc5),,4):INDEX(CHOOSE(MATCH(SPTblFSrc[[#This Row],[Funding Source]],SPTblFSrc[Funding Source],0),FSrc1,FSrc2,FSrc3,FSrc4,FSrc5),,MATCH(CurrentYear,INDEX(CHOOSE(MATCH(SPTblFSrc[[#This Row],[Funding Source]],SPTblFSrc[Funding Source],0),FSrc1,FSrc2,FSrc3,FSrc4,FSrc5),1,),0)-1),MATCH(".F" &amp; MATCH(SPTblFSrc[[#This Row],[Funding Source]],SPTblFSrc[Funding Source],0),INDEX(CHOOSE(MATCH(SPTblFSrc[[#This Row],[Funding Source]],SPTblFSrc[Funding Source],0),FSrc1,FSrc2,FSrc3,FSrc4,FSrc5),,1),0),)))</f>
        <v>0</v>
      </c>
      <c r="AD4" s="510">
        <f ca="1">_xlfn.IFNA(INDEX(CFlowFSrc,MATCH(SPTblFSrc[[#This Row],[Funding Source]],CFlowFSrcID,0)+1,MATCH(LEFT(CurrentYear,4)+1&amp;"-"&amp;RIGHT(CurrentYear,2)+1,INDEX(CFlowFSrc,1,),0)),0)</f>
        <v>0</v>
      </c>
      <c r="AE4" s="510">
        <f ca="1">_xlfn.IFNA(INDEX(CFlowFSrc,MATCH(SPTblFSrc[[#This Row],[Funding Source]],CFlowFSrcID,0)+1,MATCH(LEFT(CurrentYear,4)+2&amp;"-"&amp;RIGHT(CurrentYear,2)+2,INDEX(CFlowFSrc,1,),0)),0)</f>
        <v>0</v>
      </c>
      <c r="AF4" s="510">
        <f ca="1">_xlfn.IFNA(INDEX(CFlowFSrc,MATCH(SPTblFSrc[[#This Row],[Funding Source]],CFlowFSrcID,0)+1,MATCH(LEFT(CurrentYear,4)+3&amp;"-"&amp;RIGHT(CurrentYear,2)+3,INDEX(CFlowFSrc,1,),0)),0)</f>
        <v>0</v>
      </c>
      <c r="AG4" s="510">
        <f ca="1">_xlfn.IFNA(INDEX(CFlowFSrc,MATCH(SPTblFSrc[[#This Row],[Funding Source]],CFlowFSrcID,0)+1,MATCH(LEFT(CurrentYear,4)+4&amp;"-"&amp;RIGHT(CurrentYear,2)+4,INDEX(CFlowFSrc,1,),0)),0)</f>
        <v>0</v>
      </c>
      <c r="AH4" s="510">
        <f ca="1">_xlfn.IFNA(INDEX(CFlowFSrc,MATCH(SPTblFSrc[[#This Row],[Funding Source]],CFlowFSrcID,0)+1,MATCH(LEFT(CurrentYear,4)+5&amp;"-"&amp;RIGHT(CurrentYear,2)+5,INDEX(CFlowFSrc,1,),0)),0)</f>
        <v>0</v>
      </c>
      <c r="AI4" s="510">
        <f ca="1">SUMPRODUCT(--(INDEX(IFERROR(T(IF({1},CFlowMain)),0),,MATCH(Cashflow!$G$7,INDEX(CFlowMain,1,),0))=SPTblFSrc[[#This Row],[Funding Source]])*--(INDEX(IFERROR(T(IF({1},CFlowMain)),0),,MATCH(Cashflow!$D$7,INDEX(CFlowMain,1,),0))="Staff Capitalization - INFRA")*N(IF({1},INDEX(CFlowMain,,MATCH(Cashflow!$I$7,INDEX(CFlowMain,1,),0)))))</f>
        <v>0</v>
      </c>
      <c r="AJ4" s="510">
        <f ca="1">SUMPRODUCT(--(INDEX(IFERROR(T(IF({1},CFlowMain)),0),,MATCH(Cashflow!$G$7,INDEX(CFlowMain,1,),0))=SPTblFSrc[[#This Row],[Funding Source]])*--(INDEX(IFERROR(T(IF({1},CFlowMain)),0),,MATCH(Cashflow!$D$7,INDEX(CFlowMain,1,),0))="Staff Capitalization - INFRA")*N(IF({1},INDEX(CFlowMain,,MATCH(Cashflow!$O$7,INDEX(CFlowMain,1,),0)))))</f>
        <v>0</v>
      </c>
      <c r="AK4" s="510">
        <f ca="1">SUMPRODUCT(--(INDEX(IFERROR(T(IF({1},CFlowMain)),0),,MATCH(Cashflow!$G$7,INDEX(CFlowMain,1,),0))=SPTblFSrc[[#This Row],[Funding Source]])*--(INDEX(IFERROR(T(IF({1},CFlowMain)),0),,MATCH(Cashflow!$D$7,INDEX(CFlowMain,1,),0))="Staff Capitalization - INFRA")*N(IF({1},INDEX(CFlowMain,,MATCH(Cashflow!$P$7,INDEX(CFlowMain,1,),0)))))</f>
        <v>0</v>
      </c>
      <c r="AL4" s="510">
        <f ca="1">SUMPRODUCT(--(INDEX(IFERROR(T(IF({1},CFlowMain)),0),,MATCH(Cashflow!$G$7,INDEX(CFlowMain,1,),0))=SPTblFSrc[[#This Row],[Funding Source]])*--(INDEX(IFERROR(T(IF({1},CFlowMain)),0),,MATCH(Cashflow!$D$7,INDEX(CFlowMain,1,),0))="Staff Capitalization - INFRA")*N(IF({1},INDEX(CFlowMain,,MATCH(Cashflow!$Q$7,INDEX(CFlowMain,1,),0)))))</f>
        <v>0</v>
      </c>
      <c r="AM4" s="510">
        <f ca="1">SUMPRODUCT(--(INDEX(IFERROR(T(IF({1},CFlowMain)),0),,MATCH(Cashflow!$G$7,INDEX(CFlowMain,1,),0))=SPTblFSrc[[#This Row],[Funding Source]])*--(INDEX(IFERROR(T(IF({1},CFlowMain)),0),,MATCH(Cashflow!$D$7,INDEX(CFlowMain,1,),0))="Staff Capitalization - INFRA")*N(IF({1},INDEX(CFlowMain,,MATCH(Cashflow!$S$7,INDEX(CFlowMain,1,),0)))))</f>
        <v>0</v>
      </c>
      <c r="AN4" s="510">
        <f ca="1">SUMPRODUCT(--(INDEX(IFERROR(T(IF({1},CFlowMain)),0),,MATCH(Cashflow!$G$7,INDEX(CFlowMain,1,),0))=SPTblFSrc[[#This Row],[Funding Source]])*--(INDEX(IFERROR(T(IF({1},CFlowMain)),0),,MATCH(Cashflow!$C$7,INDEX(CFlowMain,1,),0))="Management Reserve")*N(IF({1},INDEX(CFlowMain,,MATCH(Cashflow!$I$7,INDEX(CFlowMain,1,),0)))))</f>
        <v>0</v>
      </c>
      <c r="AO4" s="510">
        <f ca="1">SUMPRODUCT(--(INDEX(IFERROR(T(IF({1},CFlowMain)),0),,MATCH(Cashflow!$G$7,INDEX(CFlowMain,1,),0))=SPTblFSrc[[#This Row],[Funding Source]])*--(INDEX(IFERROR(T(IF({1},CFlowMain)),0),,MATCH(Cashflow!$C$7,INDEX(CFlowMain,1,),0))="Management Reserve")*N(IF({1},INDEX(CFlowMain,,MATCH(Cashflow!$O$7,INDEX(CFlowMain,1,),0)))))</f>
        <v>0</v>
      </c>
      <c r="AP4" s="510">
        <f ca="1">SUMPRODUCT(--(INDEX(IFERROR(T(IF({1},CFlowMain)),0),,MATCH(Cashflow!$G$7,INDEX(CFlowMain,1,),0))=SPTblFSrc[[#This Row],[Funding Source]])*--(INDEX(IFERROR(T(IF({1},CFlowMain)),0),,MATCH(Cashflow!$C$7,INDEX(CFlowMain,1,),0))="Management Reserve")*N(IF({1},INDEX(CFlowMain,,MATCH(Cashflow!$R$7,INDEX(CFlowMain,1,),0)))))</f>
        <v>0</v>
      </c>
      <c r="AQ4" s="510">
        <f ca="1">SUMPRODUCT(--(INDEX(IFERROR(T(IF({1},CFlowMain)),0),,MATCH(Cashflow!$G$7,INDEX(CFlowMain,1,),0))=SPTblFSrc[[#This Row],[Funding Source]])*--(INDEX(IFERROR(T(IF({1},CFlowMain)),0),,MATCH(Cashflow!$C$7,INDEX(CFlowMain,1,),0))="Management Reserve")*N(IF({1},INDEX(CFlowMain,,MATCH(Cashflow!$S$7,INDEX(CFlowMain,1,),0)))))</f>
        <v>0</v>
      </c>
      <c r="AR4" s="510">
        <f ca="1">SUMIF(VendorList[Funding Source],SPTblFSrc[[#This Row],[Funding Source]],VendorList[Current Commitment])</f>
        <v>0</v>
      </c>
      <c r="AS4" s="510">
        <f ca="1">SUMPRODUCT(--(INDEX(IFERROR(T(IF({1},CFlowMain)),0),,MATCH(Cashflow!$G$7,INDEX(CFlowMain,1,),0))=SPTblFSrc[[#This Row],[Funding Source]])*--(INDEX(IFERROR(T(IF({1},CFlowMain)),0),,MATCH(Cashflow!$C$7,INDEX(CFlowMain,1,),0))="FE_IT")*N(IF({1},INDEX(CFlowMain,,MATCH(Cashflow!$I$7,INDEX(CFlowMain,1,),0)))))</f>
        <v>0</v>
      </c>
      <c r="AT4" s="510">
        <f ca="1">SUMPRODUCT(--(INDEX(IFERROR(T(IF({1},CFlowMain)),0),,MATCH(Cashflow!$G$7,INDEX(CFlowMain,1,),0))=SPTblFSrc[[#This Row],[Funding Source]])*--(INDEX(IFERROR(T(IF({1},CFlowMain)),0),,MATCH(Cashflow!$C$7,INDEX(CFlowMain,1,),0))="FE_IT")*N(IF({1},INDEX(CFlowMain,,MATCH(Cashflow!$O$7,INDEX(CFlowMain,1,),0)))))</f>
        <v>0</v>
      </c>
      <c r="AU4" s="510">
        <f ca="1">SUMPRODUCT(--(INDEX(IFERROR(T(IF({1},CFlowMain)),0),,MATCH(Cashflow!$G$7,INDEX(CFlowMain,1,),0))=SPTblFSrc[[#This Row],[Funding Source]])*--(INDEX(IFERROR(T(IF({1},CFlowMain)),0),,MATCH(Cashflow!$C$7,INDEX(CFlowMain,1,),0))="FE_IT")*N(IF({1},INDEX(CFlowMain,,MATCH(Cashflow!$P$7,INDEX(CFlowMain,1,),0)))))</f>
        <v>0</v>
      </c>
      <c r="AV4" s="510">
        <f ca="1">SUMPRODUCT(--(INDEX(IFERROR(T(IF({1},CFlowMain)),0),,MATCH(Cashflow!$G$7,INDEX(CFlowMain,1,),0))=SPTblFSrc[[#This Row],[Funding Source]])*--(INDEX(IFERROR(T(IF({1},CFlowMain)),0),,MATCH(Cashflow!$C$7,INDEX(CFlowMain,1,),0))="FE_IT")*N(IF({1},INDEX(CFlowMain,,MATCH(Cashflow!$Q$7,INDEX(CFlowMain,1,),0)))))</f>
        <v>0</v>
      </c>
      <c r="AW4" s="510">
        <f ca="1">SUMPRODUCT(--(INDEX(IFERROR(T(IF({1},CFlowMain)),0),,MATCH(Cashflow!$G$7,INDEX(CFlowMain,1,),0))=SPTblFSrc[[#This Row],[Funding Source]])*--(INDEX(IFERROR(T(IF({1},CFlowMain)),0),,MATCH(Cashflow!$C$7,INDEX(CFlowMain,1,),0))="FE_IT")*N(IF({1},INDEX(CFlowMain,,MATCH(Cashflow!$S$7,INDEX(CFlowMain,1,),0)))))</f>
        <v>0</v>
      </c>
    </row>
    <row r="5" spans="1:49">
      <c r="A5" t="str">
        <f>SUBSTITUTE(Validations!J13,"--","")</f>
        <v/>
      </c>
      <c r="B5" t="str">
        <f>T(Validations!K13)</f>
        <v>--</v>
      </c>
      <c r="C5" t="str">
        <f>T(Validations!L13)</f>
        <v>--</v>
      </c>
      <c r="D5" s="510">
        <f ca="1">_xlfn.IFNA(INDEX(FSrcApprVal,MATCH(SPTblFSrc[[#This Row],[Funding Source]],FSrcID,0)),0)</f>
        <v>0</v>
      </c>
      <c r="E5" s="510">
        <f ca="1">_xlfn.IFNA(INDEX(FSrcStartTgt,MATCH(SPTblFSrc[[#This Row],[Funding Source]],FSrcID,0)),0)</f>
        <v>0</v>
      </c>
      <c r="F5" s="510">
        <f ca="1">_xlfn.IFNA(INDEX(FSrcCYApprTgt,MATCH(SPTblFSrc[[#This Row],[Funding Source]],FSrcID,0)),0)</f>
        <v>0</v>
      </c>
      <c r="G5" s="510">
        <f ca="1">_xlfn.IFNA(INDEX(FSrcCYPropTgt,MATCH(SPTblFSrc[[#This Row],[Funding Source]],FSrcID,0)),0)</f>
        <v>0</v>
      </c>
      <c r="H5" s="510">
        <f ca="1">_xlfn.IFNA(INDEX(CFlowFSrc,MATCH(SPTblFSrc[[#This Row],[Funding Source]],CFlowFSrcID,0)+1,MATCH(Cashflow!$O$150,INDEX(CFlowFSrc,1,),0)),0)</f>
        <v>0</v>
      </c>
      <c r="I5" s="510">
        <f ca="1">_xlfn.IFNA(INDEX(CFlowFSrc,MATCH(SPTblFSrc[[#This Row],[Funding Source]],CFlowFSrcID,0)+1,MATCH(Cashflow!$P$150,INDEX(CFlowFSrc,1,),0)),0)</f>
        <v>0</v>
      </c>
      <c r="J5" s="510">
        <f ca="1">_xlfn.IFNA(INDEX(CFlowFSrc,MATCH(SPTblFSrc[[#This Row],[Funding Source]],CFlowFSrcID,0)+1,MATCH(Cashflow!$Q$150,INDEX(CFlowFSrc,1,),0)),0)</f>
        <v>0</v>
      </c>
      <c r="K5" s="510">
        <f ca="1">_xlfn.IFNA(INDEX(CFlowFSrc,MATCH(SPTblFSrc[[#This Row],[Funding Source]],CFlowFSrcID,0)+1,MATCH(Cashflow!$R$150,INDEX(CFlowFSrc,1,),0)),0)</f>
        <v>0</v>
      </c>
      <c r="L5" s="510">
        <f ca="1">_xlfn.IFNA(INDEX(CFlowFSrc,MATCH(SPTblFSrc[[#This Row],[Funding Source]],CFlowFSrcID,0)+1,MATCH(Cashflow!$S$150,INDEX(CFlowFSrc,1,),0)),0)</f>
        <v>0</v>
      </c>
      <c r="M5" s="510">
        <f ca="1">_xlfn.IFNA(INDEX(CFlowFSrc,MATCH(SPTblFSrc[[#This Row],[Funding Source]],CFlowFSrcID,0)+1,SUMPRODUCT(--(INDEX(CFlowFSrc,1,)=CurrentYear),COLUMN(INDEX(CFlowFSrc,1,))-COLUMN(INDEX(CFlowFSrc,,1))-11)),0)</f>
        <v>0</v>
      </c>
      <c r="N5" s="510">
        <f ca="1">_xlfn.IFNA(INDEX(CFlowFSrc,MATCH(SPTblFSrc[[#This Row],[Funding Source]],CFlowFSrcID,0)+1,SUMPRODUCT(--(INDEX(CFlowFSrc,1,)=CurrentYear),COLUMN(INDEX(CFlowFSrc,1,))-COLUMN(INDEX(CFlowFSrc,,1))-10)),0)</f>
        <v>0</v>
      </c>
      <c r="O5" s="510">
        <f ca="1">_xlfn.IFNA(INDEX(CFlowFSrc,MATCH(SPTblFSrc[[#This Row],[Funding Source]],CFlowFSrcID,0)+1,SUMPRODUCT(--(INDEX(CFlowFSrc,1,)=CurrentYear),COLUMN(INDEX(CFlowFSrc,1,))-COLUMN(INDEX(CFlowFSrc,,1))-9)),0)</f>
        <v>0</v>
      </c>
      <c r="P5" s="510">
        <f ca="1">_xlfn.IFNA(INDEX(CFlowFSrc,MATCH(SPTblFSrc[[#This Row],[Funding Source]],CFlowFSrcID,0)+1,SUMPRODUCT(--(INDEX(CFlowFSrc,1,)=CurrentYear),COLUMN(INDEX(CFlowFSrc,1,))-COLUMN(INDEX(CFlowFSrc,,1))-8)),0)</f>
        <v>0</v>
      </c>
      <c r="Q5" s="510">
        <f ca="1">_xlfn.IFNA(INDEX(CFlowFSrc,MATCH(SPTblFSrc[[#This Row],[Funding Source]],CFlowFSrcID,0)+1,SUMPRODUCT(--(INDEX(CFlowFSrc,1,)=CurrentYear),COLUMN(INDEX(CFlowFSrc,1,))-COLUMN(INDEX(CFlowFSrc,,1))-7)),0)</f>
        <v>0</v>
      </c>
      <c r="R5" s="510">
        <f ca="1">_xlfn.IFNA(INDEX(CFlowFSrc,MATCH(SPTblFSrc[[#This Row],[Funding Source]],CFlowFSrcID,0)+1,SUMPRODUCT(--(INDEX(CFlowFSrc,1,)=CurrentYear),COLUMN(INDEX(CFlowFSrc,1,))-COLUMN(INDEX(CFlowFSrc,,1))-6)),0)</f>
        <v>0</v>
      </c>
      <c r="S5" s="510">
        <f ca="1">_xlfn.IFNA(INDEX(CFlowFSrc,MATCH(SPTblFSrc[[#This Row],[Funding Source]],CFlowFSrcID,0)+1,SUMPRODUCT(--(INDEX(CFlowFSrc,1,)=CurrentYear),COLUMN(INDEX(CFlowFSrc,1,))-COLUMN(INDEX(CFlowFSrc,,1))-5)),0)</f>
        <v>0</v>
      </c>
      <c r="T5" s="510">
        <f ca="1">_xlfn.IFNA(INDEX(CFlowFSrc,MATCH(SPTblFSrc[[#This Row],[Funding Source]],CFlowFSrcID,0)+1,SUMPRODUCT(--(INDEX(CFlowFSrc,1,)=CurrentYear),COLUMN(INDEX(CFlowFSrc,1,))-COLUMN(INDEX(CFlowFSrc,,1))-4)),0)</f>
        <v>0</v>
      </c>
      <c r="U5" s="510">
        <f ca="1">_xlfn.IFNA(INDEX(CFlowFSrc,MATCH(SPTblFSrc[[#This Row],[Funding Source]],CFlowFSrcID,0)+1,SUMPRODUCT(--(INDEX(CFlowFSrc,1,)=CurrentYear),COLUMN(INDEX(CFlowFSrc,1,))-COLUMN(INDEX(CFlowFSrc,,1))-3)),0)</f>
        <v>0</v>
      </c>
      <c r="V5" s="510">
        <f ca="1">_xlfn.IFNA(INDEX(CFlowFSrc,MATCH(SPTblFSrc[[#This Row],[Funding Source]],CFlowFSrcID,0)+1,SUMPRODUCT(--(INDEX(CFlowFSrc,1,)=CurrentYear),COLUMN(INDEX(CFlowFSrc,1,))-COLUMN(INDEX(CFlowFSrc,,1))-2)),0)</f>
        <v>0</v>
      </c>
      <c r="W5" s="510">
        <f ca="1">_xlfn.IFNA(INDEX(CFlowFSrc,MATCH(SPTblFSrc[[#This Row],[Funding Source]],CFlowFSrcID,0)+1,SUMPRODUCT(--(INDEX(CFlowFSrc,1,)=CurrentYear),COLUMN(INDEX(CFlowFSrc,1,))-COLUMN(INDEX(CFlowFSrc,,1))-1)),0)</f>
        <v>0</v>
      </c>
      <c r="X5" s="510">
        <f ca="1">_xlfn.IFNA(INDEX(CFlowFSrc,MATCH(SPTblFSrc[[#This Row],[Funding Source]],CFlowFSrcID,0)+1,SUMPRODUCT(--(INDEX(CFlowFSrc,1,)=CurrentYear),COLUMN(INDEX(CFlowFSrc,1,))-COLUMN(INDEX(CFlowFSrc,,1)))),0)</f>
        <v>0</v>
      </c>
      <c r="Y5" s="421" t="str">
        <f>Validations!O13</f>
        <v>--</v>
      </c>
      <c r="Z5" t="str">
        <f>Validations!P13</f>
        <v>--</v>
      </c>
      <c r="AA5" t="str">
        <f>IF(CurrentYear=0,"",CurrentYear)</f>
        <v>2025-26</v>
      </c>
      <c r="AB5" s="510">
        <f ca="1">SUMIF(EAC[Funding Source],SPTblFSrc[[#This Row],[Funding Source]],EAC[Estimate At Completion])</f>
        <v>0</v>
      </c>
      <c r="AC5" s="510">
        <f ca="1">IF(INDEX(CHOOSE(MATCH(SPTblFSrc[[#This Row],[Funding Source]],SPTblFSrc[Funding Source],0),FSrc1,FSrc2,FSrc3,FSrc4,FSrc5),1,4)=CurrentYear,0,SUM(INDEX(INDEX(CHOOSE(MATCH(SPTblFSrc[[#This Row],[Funding Source]],SPTblFSrc[Funding Source],0),FSrc1,FSrc2,FSrc3,FSrc4,FSrc5),,4):INDEX(CHOOSE(MATCH(SPTblFSrc[[#This Row],[Funding Source]],SPTblFSrc[Funding Source],0),FSrc1,FSrc2,FSrc3,FSrc4,FSrc5),,MATCH(CurrentYear,INDEX(CHOOSE(MATCH(SPTblFSrc[[#This Row],[Funding Source]],SPTblFSrc[Funding Source],0),FSrc1,FSrc2,FSrc3,FSrc4,FSrc5),1,),0)-1),MATCH(".F" &amp; MATCH(SPTblFSrc[[#This Row],[Funding Source]],SPTblFSrc[Funding Source],0),INDEX(CHOOSE(MATCH(SPTblFSrc[[#This Row],[Funding Source]],SPTblFSrc[Funding Source],0),FSrc1,FSrc2,FSrc3,FSrc4,FSrc5),,1),0),)))</f>
        <v>0</v>
      </c>
      <c r="AD5" s="510">
        <f ca="1">_xlfn.IFNA(INDEX(CFlowFSrc,MATCH(SPTblFSrc[[#This Row],[Funding Source]],CFlowFSrcID,0)+1,MATCH(LEFT(CurrentYear,4)+1&amp;"-"&amp;RIGHT(CurrentYear,2)+1,INDEX(CFlowFSrc,1,),0)),0)</f>
        <v>0</v>
      </c>
      <c r="AE5" s="510">
        <f ca="1">_xlfn.IFNA(INDEX(CFlowFSrc,MATCH(SPTblFSrc[[#This Row],[Funding Source]],CFlowFSrcID,0)+1,MATCH(LEFT(CurrentYear,4)+2&amp;"-"&amp;RIGHT(CurrentYear,2)+2,INDEX(CFlowFSrc,1,),0)),0)</f>
        <v>0</v>
      </c>
      <c r="AF5" s="510">
        <f ca="1">_xlfn.IFNA(INDEX(CFlowFSrc,MATCH(SPTblFSrc[[#This Row],[Funding Source]],CFlowFSrcID,0)+1,MATCH(LEFT(CurrentYear,4)+3&amp;"-"&amp;RIGHT(CurrentYear,2)+3,INDEX(CFlowFSrc,1,),0)),0)</f>
        <v>0</v>
      </c>
      <c r="AG5" s="510">
        <f ca="1">_xlfn.IFNA(INDEX(CFlowFSrc,MATCH(SPTblFSrc[[#This Row],[Funding Source]],CFlowFSrcID,0)+1,MATCH(LEFT(CurrentYear,4)+4&amp;"-"&amp;RIGHT(CurrentYear,2)+4,INDEX(CFlowFSrc,1,),0)),0)</f>
        <v>0</v>
      </c>
      <c r="AH5" s="510">
        <f ca="1">_xlfn.IFNA(INDEX(CFlowFSrc,MATCH(SPTblFSrc[[#This Row],[Funding Source]],CFlowFSrcID,0)+1,MATCH(LEFT(CurrentYear,4)+5&amp;"-"&amp;RIGHT(CurrentYear,2)+5,INDEX(CFlowFSrc,1,),0)),0)</f>
        <v>0</v>
      </c>
      <c r="AI5" s="510">
        <f ca="1">SUMPRODUCT(--(INDEX(IFERROR(T(IF({1},CFlowMain)),0),,MATCH(Cashflow!$G$7,INDEX(CFlowMain,1,),0))=SPTblFSrc[[#This Row],[Funding Source]])*--(INDEX(IFERROR(T(IF({1},CFlowMain)),0),,MATCH(Cashflow!$D$7,INDEX(CFlowMain,1,),0))="Staff Capitalization - INFRA")*N(IF({1},INDEX(CFlowMain,,MATCH(Cashflow!$I$7,INDEX(CFlowMain,1,),0)))))</f>
        <v>0</v>
      </c>
      <c r="AJ5" s="510">
        <f ca="1">SUMPRODUCT(--(INDEX(IFERROR(T(IF({1},CFlowMain)),0),,MATCH(Cashflow!$G$7,INDEX(CFlowMain,1,),0))=SPTblFSrc[[#This Row],[Funding Source]])*--(INDEX(IFERROR(T(IF({1},CFlowMain)),0),,MATCH(Cashflow!$D$7,INDEX(CFlowMain,1,),0))="Staff Capitalization - INFRA")*N(IF({1},INDEX(CFlowMain,,MATCH(Cashflow!$O$7,INDEX(CFlowMain,1,),0)))))</f>
        <v>0</v>
      </c>
      <c r="AK5" s="510">
        <f ca="1">SUMPRODUCT(--(INDEX(IFERROR(T(IF({1},CFlowMain)),0),,MATCH(Cashflow!$G$7,INDEX(CFlowMain,1,),0))=SPTblFSrc[[#This Row],[Funding Source]])*--(INDEX(IFERROR(T(IF({1},CFlowMain)),0),,MATCH(Cashflow!$D$7,INDEX(CFlowMain,1,),0))="Staff Capitalization - INFRA")*N(IF({1},INDEX(CFlowMain,,MATCH(Cashflow!$P$7,INDEX(CFlowMain,1,),0)))))</f>
        <v>0</v>
      </c>
      <c r="AL5" s="510">
        <f ca="1">SUMPRODUCT(--(INDEX(IFERROR(T(IF({1},CFlowMain)),0),,MATCH(Cashflow!$G$7,INDEX(CFlowMain,1,),0))=SPTblFSrc[[#This Row],[Funding Source]])*--(INDEX(IFERROR(T(IF({1},CFlowMain)),0),,MATCH(Cashflow!$D$7,INDEX(CFlowMain,1,),0))="Staff Capitalization - INFRA")*N(IF({1},INDEX(CFlowMain,,MATCH(Cashflow!$Q$7,INDEX(CFlowMain,1,),0)))))</f>
        <v>0</v>
      </c>
      <c r="AM5" s="510">
        <f ca="1">SUMPRODUCT(--(INDEX(IFERROR(T(IF({1},CFlowMain)),0),,MATCH(Cashflow!$G$7,INDEX(CFlowMain,1,),0))=SPTblFSrc[[#This Row],[Funding Source]])*--(INDEX(IFERROR(T(IF({1},CFlowMain)),0),,MATCH(Cashflow!$D$7,INDEX(CFlowMain,1,),0))="Staff Capitalization - INFRA")*N(IF({1},INDEX(CFlowMain,,MATCH(Cashflow!$S$7,INDEX(CFlowMain,1,),0)))))</f>
        <v>0</v>
      </c>
      <c r="AN5" s="510">
        <f ca="1">SUMPRODUCT(--(INDEX(IFERROR(T(IF({1},CFlowMain)),0),,MATCH(Cashflow!$G$7,INDEX(CFlowMain,1,),0))=SPTblFSrc[[#This Row],[Funding Source]])*--(INDEX(IFERROR(T(IF({1},CFlowMain)),0),,MATCH(Cashflow!$C$7,INDEX(CFlowMain,1,),0))="Management Reserve")*N(IF({1},INDEX(CFlowMain,,MATCH(Cashflow!$I$7,INDEX(CFlowMain,1,),0)))))</f>
        <v>0</v>
      </c>
      <c r="AO5" s="510">
        <f ca="1">SUMPRODUCT(--(INDEX(IFERROR(T(IF({1},CFlowMain)),0),,MATCH(Cashflow!$G$7,INDEX(CFlowMain,1,),0))=SPTblFSrc[[#This Row],[Funding Source]])*--(INDEX(IFERROR(T(IF({1},CFlowMain)),0),,MATCH(Cashflow!$C$7,INDEX(CFlowMain,1,),0))="Management Reserve")*N(IF({1},INDEX(CFlowMain,,MATCH(Cashflow!$O$7,INDEX(CFlowMain,1,),0)))))</f>
        <v>0</v>
      </c>
      <c r="AP5" s="510">
        <f ca="1">SUMPRODUCT(--(INDEX(IFERROR(T(IF({1},CFlowMain)),0),,MATCH(Cashflow!$G$7,INDEX(CFlowMain,1,),0))=SPTblFSrc[[#This Row],[Funding Source]])*--(INDEX(IFERROR(T(IF({1},CFlowMain)),0),,MATCH(Cashflow!$C$7,INDEX(CFlowMain,1,),0))="Management Reserve")*N(IF({1},INDEX(CFlowMain,,MATCH(Cashflow!$R$7,INDEX(CFlowMain,1,),0)))))</f>
        <v>0</v>
      </c>
      <c r="AQ5" s="510">
        <f ca="1">SUMPRODUCT(--(INDEX(IFERROR(T(IF({1},CFlowMain)),0),,MATCH(Cashflow!$G$7,INDEX(CFlowMain,1,),0))=SPTblFSrc[[#This Row],[Funding Source]])*--(INDEX(IFERROR(T(IF({1},CFlowMain)),0),,MATCH(Cashflow!$C$7,INDEX(CFlowMain,1,),0))="Management Reserve")*N(IF({1},INDEX(CFlowMain,,MATCH(Cashflow!$S$7,INDEX(CFlowMain,1,),0)))))</f>
        <v>0</v>
      </c>
      <c r="AR5" s="510">
        <f ca="1">SUMIF(VendorList[Funding Source],SPTblFSrc[[#This Row],[Funding Source]],VendorList[Current Commitment])</f>
        <v>0</v>
      </c>
      <c r="AS5" s="510">
        <f ca="1">SUMPRODUCT(--(INDEX(IFERROR(T(IF({1},CFlowMain)),0),,MATCH(Cashflow!$G$7,INDEX(CFlowMain,1,),0))=SPTblFSrc[[#This Row],[Funding Source]])*--(INDEX(IFERROR(T(IF({1},CFlowMain)),0),,MATCH(Cashflow!$C$7,INDEX(CFlowMain,1,),0))="FE_IT")*N(IF({1},INDEX(CFlowMain,,MATCH(Cashflow!$I$7,INDEX(CFlowMain,1,),0)))))</f>
        <v>0</v>
      </c>
      <c r="AT5" s="510">
        <f ca="1">SUMPRODUCT(--(INDEX(IFERROR(T(IF({1},CFlowMain)),0),,MATCH(Cashflow!$G$7,INDEX(CFlowMain,1,),0))=SPTblFSrc[[#This Row],[Funding Source]])*--(INDEX(IFERROR(T(IF({1},CFlowMain)),0),,MATCH(Cashflow!$C$7,INDEX(CFlowMain,1,),0))="FE_IT")*N(IF({1},INDEX(CFlowMain,,MATCH(Cashflow!$O$7,INDEX(CFlowMain,1,),0)))))</f>
        <v>0</v>
      </c>
      <c r="AU5" s="510">
        <f ca="1">SUMPRODUCT(--(INDEX(IFERROR(T(IF({1},CFlowMain)),0),,MATCH(Cashflow!$G$7,INDEX(CFlowMain,1,),0))=SPTblFSrc[[#This Row],[Funding Source]])*--(INDEX(IFERROR(T(IF({1},CFlowMain)),0),,MATCH(Cashflow!$C$7,INDEX(CFlowMain,1,),0))="FE_IT")*N(IF({1},INDEX(CFlowMain,,MATCH(Cashflow!$P$7,INDEX(CFlowMain,1,),0)))))</f>
        <v>0</v>
      </c>
      <c r="AV5" s="510">
        <f ca="1">SUMPRODUCT(--(INDEX(IFERROR(T(IF({1},CFlowMain)),0),,MATCH(Cashflow!$G$7,INDEX(CFlowMain,1,),0))=SPTblFSrc[[#This Row],[Funding Source]])*--(INDEX(IFERROR(T(IF({1},CFlowMain)),0),,MATCH(Cashflow!$C$7,INDEX(CFlowMain,1,),0))="FE_IT")*N(IF({1},INDEX(CFlowMain,,MATCH(Cashflow!$Q$7,INDEX(CFlowMain,1,),0)))))</f>
        <v>0</v>
      </c>
      <c r="AW5" s="510">
        <f ca="1">SUMPRODUCT(--(INDEX(IFERROR(T(IF({1},CFlowMain)),0),,MATCH(Cashflow!$G$7,INDEX(CFlowMain,1,),0))=SPTblFSrc[[#This Row],[Funding Source]])*--(INDEX(IFERROR(T(IF({1},CFlowMain)),0),,MATCH(Cashflow!$C$7,INDEX(CFlowMain,1,),0))="FE_IT")*N(IF({1},INDEX(CFlowMain,,MATCH(Cashflow!$S$7,INDEX(CFlowMain,1,),0)))))</f>
        <v>0</v>
      </c>
    </row>
    <row r="6" spans="1:49">
      <c r="A6" t="str">
        <f>SUBSTITUTE(Validations!J14,"--","")</f>
        <v/>
      </c>
      <c r="B6" t="str">
        <f>T(Validations!K14)</f>
        <v>--</v>
      </c>
      <c r="C6" t="str">
        <f>T(Validations!L14)</f>
        <v>--</v>
      </c>
      <c r="D6" s="510">
        <f ca="1">_xlfn.IFNA(INDEX(FSrcApprVal,MATCH(SPTblFSrc[[#This Row],[Funding Source]],FSrcID,0)),0)</f>
        <v>0</v>
      </c>
      <c r="E6" s="510">
        <f ca="1">_xlfn.IFNA(INDEX(FSrcStartTgt,MATCH(SPTblFSrc[[#This Row],[Funding Source]],FSrcID,0)),0)</f>
        <v>0</v>
      </c>
      <c r="F6" s="510">
        <f ca="1">_xlfn.IFNA(INDEX(FSrcCYApprTgt,MATCH(SPTblFSrc[[#This Row],[Funding Source]],FSrcID,0)),0)</f>
        <v>0</v>
      </c>
      <c r="G6" s="510">
        <f ca="1">_xlfn.IFNA(INDEX(FSrcCYPropTgt,MATCH(SPTblFSrc[[#This Row],[Funding Source]],FSrcID,0)),0)</f>
        <v>0</v>
      </c>
      <c r="H6" s="510">
        <f ca="1">_xlfn.IFNA(INDEX(CFlowFSrc,MATCH(SPTblFSrc[[#This Row],[Funding Source]],CFlowFSrcID,0)+1,MATCH(Cashflow!$O$150,INDEX(CFlowFSrc,1,),0)),0)</f>
        <v>0</v>
      </c>
      <c r="I6" s="510">
        <f ca="1">_xlfn.IFNA(INDEX(CFlowFSrc,MATCH(SPTblFSrc[[#This Row],[Funding Source]],CFlowFSrcID,0)+1,MATCH(Cashflow!$P$150,INDEX(CFlowFSrc,1,),0)),0)</f>
        <v>0</v>
      </c>
      <c r="J6" s="510">
        <f ca="1">_xlfn.IFNA(INDEX(CFlowFSrc,MATCH(SPTblFSrc[[#This Row],[Funding Source]],CFlowFSrcID,0)+1,MATCH(Cashflow!$Q$150,INDEX(CFlowFSrc,1,),0)),0)</f>
        <v>0</v>
      </c>
      <c r="K6" s="510">
        <f ca="1">_xlfn.IFNA(INDEX(CFlowFSrc,MATCH(SPTblFSrc[[#This Row],[Funding Source]],CFlowFSrcID,0)+1,MATCH(Cashflow!$R$150,INDEX(CFlowFSrc,1,),0)),0)</f>
        <v>0</v>
      </c>
      <c r="L6" s="510">
        <f ca="1">_xlfn.IFNA(INDEX(CFlowFSrc,MATCH(SPTblFSrc[[#This Row],[Funding Source]],CFlowFSrcID,0)+1,MATCH(Cashflow!$S$150,INDEX(CFlowFSrc,1,),0)),0)</f>
        <v>0</v>
      </c>
      <c r="M6" s="510">
        <f ca="1">_xlfn.IFNA(INDEX(CFlowFSrc,MATCH(SPTblFSrc[[#This Row],[Funding Source]],CFlowFSrcID,0)+1,SUMPRODUCT(--(INDEX(CFlowFSrc,1,)=CurrentYear),COLUMN(INDEX(CFlowFSrc,1,))-COLUMN(INDEX(CFlowFSrc,,1))-11)),0)</f>
        <v>0</v>
      </c>
      <c r="N6" s="510">
        <f ca="1">_xlfn.IFNA(INDEX(CFlowFSrc,MATCH(SPTblFSrc[[#This Row],[Funding Source]],CFlowFSrcID,0)+1,SUMPRODUCT(--(INDEX(CFlowFSrc,1,)=CurrentYear),COLUMN(INDEX(CFlowFSrc,1,))-COLUMN(INDEX(CFlowFSrc,,1))-10)),0)</f>
        <v>0</v>
      </c>
      <c r="O6" s="510">
        <f ca="1">_xlfn.IFNA(INDEX(CFlowFSrc,MATCH(SPTblFSrc[[#This Row],[Funding Source]],CFlowFSrcID,0)+1,SUMPRODUCT(--(INDEX(CFlowFSrc,1,)=CurrentYear),COLUMN(INDEX(CFlowFSrc,1,))-COLUMN(INDEX(CFlowFSrc,,1))-9)),0)</f>
        <v>0</v>
      </c>
      <c r="P6" s="510">
        <f ca="1">_xlfn.IFNA(INDEX(CFlowFSrc,MATCH(SPTblFSrc[[#This Row],[Funding Source]],CFlowFSrcID,0)+1,SUMPRODUCT(--(INDEX(CFlowFSrc,1,)=CurrentYear),COLUMN(INDEX(CFlowFSrc,1,))-COLUMN(INDEX(CFlowFSrc,,1))-8)),0)</f>
        <v>0</v>
      </c>
      <c r="Q6" s="510">
        <f ca="1">_xlfn.IFNA(INDEX(CFlowFSrc,MATCH(SPTblFSrc[[#This Row],[Funding Source]],CFlowFSrcID,0)+1,SUMPRODUCT(--(INDEX(CFlowFSrc,1,)=CurrentYear),COLUMN(INDEX(CFlowFSrc,1,))-COLUMN(INDEX(CFlowFSrc,,1))-7)),0)</f>
        <v>0</v>
      </c>
      <c r="R6" s="510">
        <f ca="1">_xlfn.IFNA(INDEX(CFlowFSrc,MATCH(SPTblFSrc[[#This Row],[Funding Source]],CFlowFSrcID,0)+1,SUMPRODUCT(--(INDEX(CFlowFSrc,1,)=CurrentYear),COLUMN(INDEX(CFlowFSrc,1,))-COLUMN(INDEX(CFlowFSrc,,1))-6)),0)</f>
        <v>0</v>
      </c>
      <c r="S6" s="510">
        <f ca="1">_xlfn.IFNA(INDEX(CFlowFSrc,MATCH(SPTblFSrc[[#This Row],[Funding Source]],CFlowFSrcID,0)+1,SUMPRODUCT(--(INDEX(CFlowFSrc,1,)=CurrentYear),COLUMN(INDEX(CFlowFSrc,1,))-COLUMN(INDEX(CFlowFSrc,,1))-5)),0)</f>
        <v>0</v>
      </c>
      <c r="T6" s="510">
        <f ca="1">_xlfn.IFNA(INDEX(CFlowFSrc,MATCH(SPTblFSrc[[#This Row],[Funding Source]],CFlowFSrcID,0)+1,SUMPRODUCT(--(INDEX(CFlowFSrc,1,)=CurrentYear),COLUMN(INDEX(CFlowFSrc,1,))-COLUMN(INDEX(CFlowFSrc,,1))-4)),0)</f>
        <v>0</v>
      </c>
      <c r="U6" s="510">
        <f ca="1">_xlfn.IFNA(INDEX(CFlowFSrc,MATCH(SPTblFSrc[[#This Row],[Funding Source]],CFlowFSrcID,0)+1,SUMPRODUCT(--(INDEX(CFlowFSrc,1,)=CurrentYear),COLUMN(INDEX(CFlowFSrc,1,))-COLUMN(INDEX(CFlowFSrc,,1))-3)),0)</f>
        <v>0</v>
      </c>
      <c r="V6" s="510">
        <f ca="1">_xlfn.IFNA(INDEX(CFlowFSrc,MATCH(SPTblFSrc[[#This Row],[Funding Source]],CFlowFSrcID,0)+1,SUMPRODUCT(--(INDEX(CFlowFSrc,1,)=CurrentYear),COLUMN(INDEX(CFlowFSrc,1,))-COLUMN(INDEX(CFlowFSrc,,1))-2)),0)</f>
        <v>0</v>
      </c>
      <c r="W6" s="510">
        <f ca="1">_xlfn.IFNA(INDEX(CFlowFSrc,MATCH(SPTblFSrc[[#This Row],[Funding Source]],CFlowFSrcID,0)+1,SUMPRODUCT(--(INDEX(CFlowFSrc,1,)=CurrentYear),COLUMN(INDEX(CFlowFSrc,1,))-COLUMN(INDEX(CFlowFSrc,,1))-1)),0)</f>
        <v>0</v>
      </c>
      <c r="X6" s="510">
        <f ca="1">_xlfn.IFNA(INDEX(CFlowFSrc,MATCH(SPTblFSrc[[#This Row],[Funding Source]],CFlowFSrcID,0)+1,SUMPRODUCT(--(INDEX(CFlowFSrc,1,)=CurrentYear),COLUMN(INDEX(CFlowFSrc,1,))-COLUMN(INDEX(CFlowFSrc,,1)))),0)</f>
        <v>0</v>
      </c>
      <c r="Y6" s="421" t="str">
        <f>Validations!O14</f>
        <v>--</v>
      </c>
      <c r="Z6" t="str">
        <f>Validations!P14</f>
        <v>--</v>
      </c>
      <c r="AA6" t="str">
        <f>IF(CurrentYear=0,"",CurrentYear)</f>
        <v>2025-26</v>
      </c>
      <c r="AB6" s="510">
        <f ca="1">SUMIF(EAC[Funding Source],SPTblFSrc[[#This Row],[Funding Source]],EAC[Estimate At Completion])</f>
        <v>0</v>
      </c>
      <c r="AC6" s="510">
        <f ca="1">IF(INDEX(CHOOSE(MATCH(SPTblFSrc[[#This Row],[Funding Source]],SPTblFSrc[Funding Source],0),FSrc1,FSrc2,FSrc3,FSrc4,FSrc5),1,4)=CurrentYear,0,SUM(INDEX(INDEX(CHOOSE(MATCH(SPTblFSrc[[#This Row],[Funding Source]],SPTblFSrc[Funding Source],0),FSrc1,FSrc2,FSrc3,FSrc4,FSrc5),,4):INDEX(CHOOSE(MATCH(SPTblFSrc[[#This Row],[Funding Source]],SPTblFSrc[Funding Source],0),FSrc1,FSrc2,FSrc3,FSrc4,FSrc5),,MATCH(CurrentYear,INDEX(CHOOSE(MATCH(SPTblFSrc[[#This Row],[Funding Source]],SPTblFSrc[Funding Source],0),FSrc1,FSrc2,FSrc3,FSrc4,FSrc5),1,),0)-1),MATCH(".F" &amp; MATCH(SPTblFSrc[[#This Row],[Funding Source]],SPTblFSrc[Funding Source],0),INDEX(CHOOSE(MATCH(SPTblFSrc[[#This Row],[Funding Source]],SPTblFSrc[Funding Source],0),FSrc1,FSrc2,FSrc3,FSrc4,FSrc5),,1),0),)))</f>
        <v>0</v>
      </c>
      <c r="AD6" s="510">
        <f ca="1">_xlfn.IFNA(INDEX(CFlowFSrc,MATCH(SPTblFSrc[[#This Row],[Funding Source]],CFlowFSrcID,0)+1,MATCH(LEFT(CurrentYear,4)+1&amp;"-"&amp;RIGHT(CurrentYear,2)+1,INDEX(CFlowFSrc,1,),0)),0)</f>
        <v>0</v>
      </c>
      <c r="AE6" s="510">
        <f ca="1">_xlfn.IFNA(INDEX(CFlowFSrc,MATCH(SPTblFSrc[[#This Row],[Funding Source]],CFlowFSrcID,0)+1,MATCH(LEFT(CurrentYear,4)+2&amp;"-"&amp;RIGHT(CurrentYear,2)+2,INDEX(CFlowFSrc,1,),0)),0)</f>
        <v>0</v>
      </c>
      <c r="AF6" s="510">
        <f ca="1">_xlfn.IFNA(INDEX(CFlowFSrc,MATCH(SPTblFSrc[[#This Row],[Funding Source]],CFlowFSrcID,0)+1,MATCH(LEFT(CurrentYear,4)+3&amp;"-"&amp;RIGHT(CurrentYear,2)+3,INDEX(CFlowFSrc,1,),0)),0)</f>
        <v>0</v>
      </c>
      <c r="AG6" s="510">
        <f ca="1">_xlfn.IFNA(INDEX(CFlowFSrc,MATCH(SPTblFSrc[[#This Row],[Funding Source]],CFlowFSrcID,0)+1,MATCH(LEFT(CurrentYear,4)+4&amp;"-"&amp;RIGHT(CurrentYear,2)+4,INDEX(CFlowFSrc,1,),0)),0)</f>
        <v>0</v>
      </c>
      <c r="AH6" s="510">
        <f ca="1">_xlfn.IFNA(INDEX(CFlowFSrc,MATCH(SPTblFSrc[[#This Row],[Funding Source]],CFlowFSrcID,0)+1,MATCH(LEFT(CurrentYear,4)+5&amp;"-"&amp;RIGHT(CurrentYear,2)+5,INDEX(CFlowFSrc,1,),0)),0)</f>
        <v>0</v>
      </c>
      <c r="AI6" s="510">
        <f ca="1">SUMPRODUCT(--(INDEX(IFERROR(T(IF({1},CFlowMain)),0),,MATCH(Cashflow!$G$7,INDEX(CFlowMain,1,),0))=SPTblFSrc[[#This Row],[Funding Source]])*--(INDEX(IFERROR(T(IF({1},CFlowMain)),0),,MATCH(Cashflow!$D$7,INDEX(CFlowMain,1,),0))="Staff Capitalization - INFRA")*N(IF({1},INDEX(CFlowMain,,MATCH(Cashflow!$I$7,INDEX(CFlowMain,1,),0)))))</f>
        <v>0</v>
      </c>
      <c r="AJ6" s="510">
        <f ca="1">SUMPRODUCT(--(INDEX(IFERROR(T(IF({1},CFlowMain)),0),,MATCH(Cashflow!$G$7,INDEX(CFlowMain,1,),0))=SPTblFSrc[[#This Row],[Funding Source]])*--(INDEX(IFERROR(T(IF({1},CFlowMain)),0),,MATCH(Cashflow!$D$7,INDEX(CFlowMain,1,),0))="Staff Capitalization - INFRA")*N(IF({1},INDEX(CFlowMain,,MATCH(Cashflow!$O$7,INDEX(CFlowMain,1,),0)))))</f>
        <v>0</v>
      </c>
      <c r="AK6" s="510">
        <f ca="1">SUMPRODUCT(--(INDEX(IFERROR(T(IF({1},CFlowMain)),0),,MATCH(Cashflow!$G$7,INDEX(CFlowMain,1,),0))=SPTblFSrc[[#This Row],[Funding Source]])*--(INDEX(IFERROR(T(IF({1},CFlowMain)),0),,MATCH(Cashflow!$D$7,INDEX(CFlowMain,1,),0))="Staff Capitalization - INFRA")*N(IF({1},INDEX(CFlowMain,,MATCH(Cashflow!$P$7,INDEX(CFlowMain,1,),0)))))</f>
        <v>0</v>
      </c>
      <c r="AL6" s="510">
        <f ca="1">SUMPRODUCT(--(INDEX(IFERROR(T(IF({1},CFlowMain)),0),,MATCH(Cashflow!$G$7,INDEX(CFlowMain,1,),0))=SPTblFSrc[[#This Row],[Funding Source]])*--(INDEX(IFERROR(T(IF({1},CFlowMain)),0),,MATCH(Cashflow!$D$7,INDEX(CFlowMain,1,),0))="Staff Capitalization - INFRA")*N(IF({1},INDEX(CFlowMain,,MATCH(Cashflow!$Q$7,INDEX(CFlowMain,1,),0)))))</f>
        <v>0</v>
      </c>
      <c r="AM6" s="510">
        <f ca="1">SUMPRODUCT(--(INDEX(IFERROR(T(IF({1},CFlowMain)),0),,MATCH(Cashflow!$G$7,INDEX(CFlowMain,1,),0))=SPTblFSrc[[#This Row],[Funding Source]])*--(INDEX(IFERROR(T(IF({1},CFlowMain)),0),,MATCH(Cashflow!$D$7,INDEX(CFlowMain,1,),0))="Staff Capitalization - INFRA")*N(IF({1},INDEX(CFlowMain,,MATCH(Cashflow!$S$7,INDEX(CFlowMain,1,),0)))))</f>
        <v>0</v>
      </c>
      <c r="AN6" s="510">
        <f ca="1">SUMPRODUCT(--(INDEX(IFERROR(T(IF({1},CFlowMain)),0),,MATCH(Cashflow!$G$7,INDEX(CFlowMain,1,),0))=SPTblFSrc[[#This Row],[Funding Source]])*--(INDEX(IFERROR(T(IF({1},CFlowMain)),0),,MATCH(Cashflow!$C$7,INDEX(CFlowMain,1,),0))="Management Reserve")*N(IF({1},INDEX(CFlowMain,,MATCH(Cashflow!$I$7,INDEX(CFlowMain,1,),0)))))</f>
        <v>0</v>
      </c>
      <c r="AO6" s="510">
        <f ca="1">SUMPRODUCT(--(INDEX(IFERROR(T(IF({1},CFlowMain)),0),,MATCH(Cashflow!$G$7,INDEX(CFlowMain,1,),0))=SPTblFSrc[[#This Row],[Funding Source]])*--(INDEX(IFERROR(T(IF({1},CFlowMain)),0),,MATCH(Cashflow!$C$7,INDEX(CFlowMain,1,),0))="Management Reserve")*N(IF({1},INDEX(CFlowMain,,MATCH(Cashflow!$O$7,INDEX(CFlowMain,1,),0)))))</f>
        <v>0</v>
      </c>
      <c r="AP6" s="510">
        <f ca="1">SUMPRODUCT(--(INDEX(IFERROR(T(IF({1},CFlowMain)),0),,MATCH(Cashflow!$G$7,INDEX(CFlowMain,1,),0))=SPTblFSrc[[#This Row],[Funding Source]])*--(INDEX(IFERROR(T(IF({1},CFlowMain)),0),,MATCH(Cashflow!$C$7,INDEX(CFlowMain,1,),0))="Management Reserve")*N(IF({1},INDEX(CFlowMain,,MATCH(Cashflow!$R$7,INDEX(CFlowMain,1,),0)))))</f>
        <v>0</v>
      </c>
      <c r="AQ6" s="510">
        <f ca="1">SUMPRODUCT(--(INDEX(IFERROR(T(IF({1},CFlowMain)),0),,MATCH(Cashflow!$G$7,INDEX(CFlowMain,1,),0))=SPTblFSrc[[#This Row],[Funding Source]])*--(INDEX(IFERROR(T(IF({1},CFlowMain)),0),,MATCH(Cashflow!$C$7,INDEX(CFlowMain,1,),0))="Management Reserve")*N(IF({1},INDEX(CFlowMain,,MATCH(Cashflow!$S$7,INDEX(CFlowMain,1,),0)))))</f>
        <v>0</v>
      </c>
      <c r="AR6" s="510">
        <f ca="1">SUMIF(VendorList[Funding Source],SPTblFSrc[[#This Row],[Funding Source]],VendorList[Current Commitment])</f>
        <v>0</v>
      </c>
      <c r="AS6" s="510">
        <f ca="1">SUMPRODUCT(--(INDEX(IFERROR(T(IF({1},CFlowMain)),0),,MATCH(Cashflow!$G$7,INDEX(CFlowMain,1,),0))=SPTblFSrc[[#This Row],[Funding Source]])*--(INDEX(IFERROR(T(IF({1},CFlowMain)),0),,MATCH(Cashflow!$C$7,INDEX(CFlowMain,1,),0))="FE_IT")*N(IF({1},INDEX(CFlowMain,,MATCH(Cashflow!$I$7,INDEX(CFlowMain,1,),0)))))</f>
        <v>0</v>
      </c>
      <c r="AT6" s="510">
        <f ca="1">SUMPRODUCT(--(INDEX(IFERROR(T(IF({1},CFlowMain)),0),,MATCH(Cashflow!$G$7,INDEX(CFlowMain,1,),0))=SPTblFSrc[[#This Row],[Funding Source]])*--(INDEX(IFERROR(T(IF({1},CFlowMain)),0),,MATCH(Cashflow!$C$7,INDEX(CFlowMain,1,),0))="FE_IT")*N(IF({1},INDEX(CFlowMain,,MATCH(Cashflow!$O$7,INDEX(CFlowMain,1,),0)))))</f>
        <v>0</v>
      </c>
      <c r="AU6" s="510">
        <f ca="1">SUMPRODUCT(--(INDEX(IFERROR(T(IF({1},CFlowMain)),0),,MATCH(Cashflow!$G$7,INDEX(CFlowMain,1,),0))=SPTblFSrc[[#This Row],[Funding Source]])*--(INDEX(IFERROR(T(IF({1},CFlowMain)),0),,MATCH(Cashflow!$C$7,INDEX(CFlowMain,1,),0))="FE_IT")*N(IF({1},INDEX(CFlowMain,,MATCH(Cashflow!$P$7,INDEX(CFlowMain,1,),0)))))</f>
        <v>0</v>
      </c>
      <c r="AV6" s="510">
        <f ca="1">SUMPRODUCT(--(INDEX(IFERROR(T(IF({1},CFlowMain)),0),,MATCH(Cashflow!$G$7,INDEX(CFlowMain,1,),0))=SPTblFSrc[[#This Row],[Funding Source]])*--(INDEX(IFERROR(T(IF({1},CFlowMain)),0),,MATCH(Cashflow!$C$7,INDEX(CFlowMain,1,),0))="FE_IT")*N(IF({1},INDEX(CFlowMain,,MATCH(Cashflow!$Q$7,INDEX(CFlowMain,1,),0)))))</f>
        <v>0</v>
      </c>
      <c r="AW6" s="510">
        <f ca="1">SUMPRODUCT(--(INDEX(IFERROR(T(IF({1},CFlowMain)),0),,MATCH(Cashflow!$G$7,INDEX(CFlowMain,1,),0))=SPTblFSrc[[#This Row],[Funding Source]])*--(INDEX(IFERROR(T(IF({1},CFlowMain)),0),,MATCH(Cashflow!$C$7,INDEX(CFlowMain,1,),0))="FE_IT")*N(IF({1},INDEX(CFlowMain,,MATCH(Cashflow!$S$7,INDEX(CFlowMain,1,),0)))))</f>
        <v>0</v>
      </c>
    </row>
    <row r="7" spans="1:49">
      <c r="A7" t="str">
        <f>SUBSTITUTE(Validations!J15,"--","")</f>
        <v/>
      </c>
      <c r="B7" t="str">
        <f>T(Validations!K15)</f>
        <v>--</v>
      </c>
      <c r="C7" t="str">
        <f>T(Validations!L15)</f>
        <v>--</v>
      </c>
      <c r="D7" s="510">
        <f ca="1">_xlfn.IFNA(INDEX(FSrcApprVal,MATCH(SPTblFSrc[[#This Row],[Funding Source]],FSrcID,0)),0)</f>
        <v>0</v>
      </c>
      <c r="E7" s="510">
        <f ca="1">_xlfn.IFNA(INDEX(FSrcStartTgt,MATCH(SPTblFSrc[[#This Row],[Funding Source]],FSrcID,0)),0)</f>
        <v>0</v>
      </c>
      <c r="F7" s="510">
        <f ca="1">_xlfn.IFNA(INDEX(FSrcCYApprTgt,MATCH(SPTblFSrc[[#This Row],[Funding Source]],FSrcID,0)),0)</f>
        <v>0</v>
      </c>
      <c r="G7" s="510">
        <f ca="1">_xlfn.IFNA(INDEX(FSrcCYPropTgt,MATCH(SPTblFSrc[[#This Row],[Funding Source]],FSrcID,0)),0)</f>
        <v>0</v>
      </c>
      <c r="H7" s="510">
        <f ca="1">_xlfn.IFNA(INDEX(CFlowFSrc,MATCH(SPTblFSrc[[#This Row],[Funding Source]],CFlowFSrcID,0)+1,MATCH(Cashflow!$O$150,INDEX(CFlowFSrc,1,),0)),0)</f>
        <v>0</v>
      </c>
      <c r="I7" s="510">
        <f ca="1">_xlfn.IFNA(INDEX(CFlowFSrc,MATCH(SPTblFSrc[[#This Row],[Funding Source]],CFlowFSrcID,0)+1,MATCH(Cashflow!$P$150,INDEX(CFlowFSrc,1,),0)),0)</f>
        <v>0</v>
      </c>
      <c r="J7" s="510">
        <f ca="1">_xlfn.IFNA(INDEX(CFlowFSrc,MATCH(SPTblFSrc[[#This Row],[Funding Source]],CFlowFSrcID,0)+1,MATCH(Cashflow!$Q$150,INDEX(CFlowFSrc,1,),0)),0)</f>
        <v>0</v>
      </c>
      <c r="K7" s="510">
        <f ca="1">_xlfn.IFNA(INDEX(CFlowFSrc,MATCH(SPTblFSrc[[#This Row],[Funding Source]],CFlowFSrcID,0)+1,MATCH(Cashflow!$R$150,INDEX(CFlowFSrc,1,),0)),0)</f>
        <v>0</v>
      </c>
      <c r="L7" s="510">
        <f ca="1">_xlfn.IFNA(INDEX(CFlowFSrc,MATCH(SPTblFSrc[[#This Row],[Funding Source]],CFlowFSrcID,0)+1,MATCH(Cashflow!$S$150,INDEX(CFlowFSrc,1,),0)),0)</f>
        <v>0</v>
      </c>
      <c r="M7" s="510">
        <f ca="1">_xlfn.IFNA(INDEX(CFlowFSrc,MATCH(SPTblFSrc[[#This Row],[Funding Source]],CFlowFSrcID,0)+1,SUMPRODUCT(--(INDEX(CFlowFSrc,1,)=CurrentYear),COLUMN(INDEX(CFlowFSrc,1,))-COLUMN(INDEX(CFlowFSrc,,1))-11)),0)</f>
        <v>0</v>
      </c>
      <c r="N7" s="510">
        <f ca="1">_xlfn.IFNA(INDEX(CFlowFSrc,MATCH(SPTblFSrc[[#This Row],[Funding Source]],CFlowFSrcID,0)+1,SUMPRODUCT(--(INDEX(CFlowFSrc,1,)=CurrentYear),COLUMN(INDEX(CFlowFSrc,1,))-COLUMN(INDEX(CFlowFSrc,,1))-10)),0)</f>
        <v>0</v>
      </c>
      <c r="O7" s="510">
        <f ca="1">_xlfn.IFNA(INDEX(CFlowFSrc,MATCH(SPTblFSrc[[#This Row],[Funding Source]],CFlowFSrcID,0)+1,SUMPRODUCT(--(INDEX(CFlowFSrc,1,)=CurrentYear),COLUMN(INDEX(CFlowFSrc,1,))-COLUMN(INDEX(CFlowFSrc,,1))-9)),0)</f>
        <v>0</v>
      </c>
      <c r="P7" s="510">
        <f ca="1">_xlfn.IFNA(INDEX(CFlowFSrc,MATCH(SPTblFSrc[[#This Row],[Funding Source]],CFlowFSrcID,0)+1,SUMPRODUCT(--(INDEX(CFlowFSrc,1,)=CurrentYear),COLUMN(INDEX(CFlowFSrc,1,))-COLUMN(INDEX(CFlowFSrc,,1))-8)),0)</f>
        <v>0</v>
      </c>
      <c r="Q7" s="510">
        <f ca="1">_xlfn.IFNA(INDEX(CFlowFSrc,MATCH(SPTblFSrc[[#This Row],[Funding Source]],CFlowFSrcID,0)+1,SUMPRODUCT(--(INDEX(CFlowFSrc,1,)=CurrentYear),COLUMN(INDEX(CFlowFSrc,1,))-COLUMN(INDEX(CFlowFSrc,,1))-7)),0)</f>
        <v>0</v>
      </c>
      <c r="R7" s="510">
        <f ca="1">_xlfn.IFNA(INDEX(CFlowFSrc,MATCH(SPTblFSrc[[#This Row],[Funding Source]],CFlowFSrcID,0)+1,SUMPRODUCT(--(INDEX(CFlowFSrc,1,)=CurrentYear),COLUMN(INDEX(CFlowFSrc,1,))-COLUMN(INDEX(CFlowFSrc,,1))-6)),0)</f>
        <v>0</v>
      </c>
      <c r="S7" s="510">
        <f ca="1">_xlfn.IFNA(INDEX(CFlowFSrc,MATCH(SPTblFSrc[[#This Row],[Funding Source]],CFlowFSrcID,0)+1,SUMPRODUCT(--(INDEX(CFlowFSrc,1,)=CurrentYear),COLUMN(INDEX(CFlowFSrc,1,))-COLUMN(INDEX(CFlowFSrc,,1))-5)),0)</f>
        <v>0</v>
      </c>
      <c r="T7" s="510">
        <f ca="1">_xlfn.IFNA(INDEX(CFlowFSrc,MATCH(SPTblFSrc[[#This Row],[Funding Source]],CFlowFSrcID,0)+1,SUMPRODUCT(--(INDEX(CFlowFSrc,1,)=CurrentYear),COLUMN(INDEX(CFlowFSrc,1,))-COLUMN(INDEX(CFlowFSrc,,1))-4)),0)</f>
        <v>0</v>
      </c>
      <c r="U7" s="510">
        <f ca="1">_xlfn.IFNA(INDEX(CFlowFSrc,MATCH(SPTblFSrc[[#This Row],[Funding Source]],CFlowFSrcID,0)+1,SUMPRODUCT(--(INDEX(CFlowFSrc,1,)=CurrentYear),COLUMN(INDEX(CFlowFSrc,1,))-COLUMN(INDEX(CFlowFSrc,,1))-3)),0)</f>
        <v>0</v>
      </c>
      <c r="V7" s="510">
        <f ca="1">_xlfn.IFNA(INDEX(CFlowFSrc,MATCH(SPTblFSrc[[#This Row],[Funding Source]],CFlowFSrcID,0)+1,SUMPRODUCT(--(INDEX(CFlowFSrc,1,)=CurrentYear),COLUMN(INDEX(CFlowFSrc,1,))-COLUMN(INDEX(CFlowFSrc,,1))-2)),0)</f>
        <v>0</v>
      </c>
      <c r="W7" s="510">
        <f ca="1">_xlfn.IFNA(INDEX(CFlowFSrc,MATCH(SPTblFSrc[[#This Row],[Funding Source]],CFlowFSrcID,0)+1,SUMPRODUCT(--(INDEX(CFlowFSrc,1,)=CurrentYear),COLUMN(INDEX(CFlowFSrc,1,))-COLUMN(INDEX(CFlowFSrc,,1))-1)),0)</f>
        <v>0</v>
      </c>
      <c r="X7" s="510">
        <f ca="1">_xlfn.IFNA(INDEX(CFlowFSrc,MATCH(SPTblFSrc[[#This Row],[Funding Source]],CFlowFSrcID,0)+1,SUMPRODUCT(--(INDEX(CFlowFSrc,1,)=CurrentYear),COLUMN(INDEX(CFlowFSrc,1,))-COLUMN(INDEX(CFlowFSrc,,1)))),0)</f>
        <v>0</v>
      </c>
      <c r="Y7" s="421" t="str">
        <f>Validations!O15</f>
        <v>--</v>
      </c>
      <c r="Z7" t="str">
        <f>Validations!P15</f>
        <v>--</v>
      </c>
      <c r="AA7" t="str">
        <f>IF(CurrentYear=0,"",CurrentYear)</f>
        <v>2025-26</v>
      </c>
      <c r="AB7" s="510">
        <f ca="1">SUMIF(EAC[Funding Source],SPTblFSrc[[#This Row],[Funding Source]],EAC[Estimate At Completion])</f>
        <v>0</v>
      </c>
      <c r="AC7" s="510">
        <f ca="1">IF(INDEX(CHOOSE(MATCH(SPTblFSrc[[#This Row],[Funding Source]],SPTblFSrc[Funding Source],0),FSrc1,FSrc2,FSrc3,FSrc4,FSrc5),1,4)=CurrentYear,0,SUM(INDEX(INDEX(CHOOSE(MATCH(SPTblFSrc[[#This Row],[Funding Source]],SPTblFSrc[Funding Source],0),FSrc1,FSrc2,FSrc3,FSrc4,FSrc5),,4):INDEX(CHOOSE(MATCH(SPTblFSrc[[#This Row],[Funding Source]],SPTblFSrc[Funding Source],0),FSrc1,FSrc2,FSrc3,FSrc4,FSrc5),,MATCH(CurrentYear,INDEX(CHOOSE(MATCH(SPTblFSrc[[#This Row],[Funding Source]],SPTblFSrc[Funding Source],0),FSrc1,FSrc2,FSrc3,FSrc4,FSrc5),1,),0)-1),MATCH(".F" &amp; MATCH(SPTblFSrc[[#This Row],[Funding Source]],SPTblFSrc[Funding Source],0),INDEX(CHOOSE(MATCH(SPTblFSrc[[#This Row],[Funding Source]],SPTblFSrc[Funding Source],0),FSrc1,FSrc2,FSrc3,FSrc4,FSrc5),,1),0),)))</f>
        <v>0</v>
      </c>
      <c r="AD7" s="510">
        <f ca="1">_xlfn.IFNA(INDEX(CFlowFSrc,MATCH(SPTblFSrc[[#This Row],[Funding Source]],CFlowFSrcID,0)+1,MATCH(LEFT(CurrentYear,4)+1&amp;"-"&amp;RIGHT(CurrentYear,2)+1,INDEX(CFlowFSrc,1,),0)),0)</f>
        <v>0</v>
      </c>
      <c r="AE7" s="510">
        <f ca="1">_xlfn.IFNA(INDEX(CFlowFSrc,MATCH(SPTblFSrc[[#This Row],[Funding Source]],CFlowFSrcID,0)+1,MATCH(LEFT(CurrentYear,4)+2&amp;"-"&amp;RIGHT(CurrentYear,2)+2,INDEX(CFlowFSrc,1,),0)),0)</f>
        <v>0</v>
      </c>
      <c r="AF7" s="510">
        <f ca="1">_xlfn.IFNA(INDEX(CFlowFSrc,MATCH(SPTblFSrc[[#This Row],[Funding Source]],CFlowFSrcID,0)+1,MATCH(LEFT(CurrentYear,4)+3&amp;"-"&amp;RIGHT(CurrentYear,2)+3,INDEX(CFlowFSrc,1,),0)),0)</f>
        <v>0</v>
      </c>
      <c r="AG7" s="510">
        <f ca="1">_xlfn.IFNA(INDEX(CFlowFSrc,MATCH(SPTblFSrc[[#This Row],[Funding Source]],CFlowFSrcID,0)+1,MATCH(LEFT(CurrentYear,4)+4&amp;"-"&amp;RIGHT(CurrentYear,2)+4,INDEX(CFlowFSrc,1,),0)),0)</f>
        <v>0</v>
      </c>
      <c r="AH7" s="510">
        <f ca="1">_xlfn.IFNA(INDEX(CFlowFSrc,MATCH(SPTblFSrc[[#This Row],[Funding Source]],CFlowFSrcID,0)+1,MATCH(LEFT(CurrentYear,4)+5&amp;"-"&amp;RIGHT(CurrentYear,2)+5,INDEX(CFlowFSrc,1,),0)),0)</f>
        <v>0</v>
      </c>
      <c r="AI7" s="510">
        <f ca="1">SUMPRODUCT(--(INDEX(IFERROR(T(IF({1},CFlowMain)),0),,MATCH(Cashflow!$G$7,INDEX(CFlowMain,1,),0))=SPTblFSrc[[#This Row],[Funding Source]])*--(INDEX(IFERROR(T(IF({1},CFlowMain)),0),,MATCH(Cashflow!$D$7,INDEX(CFlowMain,1,),0))="Staff Capitalization - INFRA")*N(IF({1},INDEX(CFlowMain,,MATCH(Cashflow!$I$7,INDEX(CFlowMain,1,),0)))))</f>
        <v>0</v>
      </c>
      <c r="AJ7" s="510">
        <f ca="1">SUMPRODUCT(--(INDEX(IFERROR(T(IF({1},CFlowMain)),0),,MATCH(Cashflow!$G$7,INDEX(CFlowMain,1,),0))=SPTblFSrc[[#This Row],[Funding Source]])*--(INDEX(IFERROR(T(IF({1},CFlowMain)),0),,MATCH(Cashflow!$D$7,INDEX(CFlowMain,1,),0))="Staff Capitalization - INFRA")*N(IF({1},INDEX(CFlowMain,,MATCH(Cashflow!$O$7,INDEX(CFlowMain,1,),0)))))</f>
        <v>0</v>
      </c>
      <c r="AK7" s="510">
        <f ca="1">SUMPRODUCT(--(INDEX(IFERROR(T(IF({1},CFlowMain)),0),,MATCH(Cashflow!$G$7,INDEX(CFlowMain,1,),0))=SPTblFSrc[[#This Row],[Funding Source]])*--(INDEX(IFERROR(T(IF({1},CFlowMain)),0),,MATCH(Cashflow!$D$7,INDEX(CFlowMain,1,),0))="Staff Capitalization - INFRA")*N(IF({1},INDEX(CFlowMain,,MATCH(Cashflow!$P$7,INDEX(CFlowMain,1,),0)))))</f>
        <v>0</v>
      </c>
      <c r="AL7" s="510">
        <f ca="1">SUMPRODUCT(--(INDEX(IFERROR(T(IF({1},CFlowMain)),0),,MATCH(Cashflow!$G$7,INDEX(CFlowMain,1,),0))=SPTblFSrc[[#This Row],[Funding Source]])*--(INDEX(IFERROR(T(IF({1},CFlowMain)),0),,MATCH(Cashflow!$D$7,INDEX(CFlowMain,1,),0))="Staff Capitalization - INFRA")*N(IF({1},INDEX(CFlowMain,,MATCH(Cashflow!$Q$7,INDEX(CFlowMain,1,),0)))))</f>
        <v>0</v>
      </c>
      <c r="AM7" s="510">
        <f ca="1">SUMPRODUCT(--(INDEX(IFERROR(T(IF({1},CFlowMain)),0),,MATCH(Cashflow!$G$7,INDEX(CFlowMain,1,),0))=SPTblFSrc[[#This Row],[Funding Source]])*--(INDEX(IFERROR(T(IF({1},CFlowMain)),0),,MATCH(Cashflow!$D$7,INDEX(CFlowMain,1,),0))="Staff Capitalization - INFRA")*N(IF({1},INDEX(CFlowMain,,MATCH(Cashflow!$S$7,INDEX(CFlowMain,1,),0)))))</f>
        <v>0</v>
      </c>
      <c r="AN7" s="510">
        <f ca="1">SUMPRODUCT(--(INDEX(IFERROR(T(IF({1},CFlowMain)),0),,MATCH(Cashflow!$G$7,INDEX(CFlowMain,1,),0))=SPTblFSrc[[#This Row],[Funding Source]])*--(INDEX(IFERROR(T(IF({1},CFlowMain)),0),,MATCH(Cashflow!$C$7,INDEX(CFlowMain,1,),0))="Management Reserve")*N(IF({1},INDEX(CFlowMain,,MATCH(Cashflow!$I$7,INDEX(CFlowMain,1,),0)))))</f>
        <v>0</v>
      </c>
      <c r="AO7" s="510">
        <f ca="1">SUMPRODUCT(--(INDEX(IFERROR(T(IF({1},CFlowMain)),0),,MATCH(Cashflow!$G$7,INDEX(CFlowMain,1,),0))=SPTblFSrc[[#This Row],[Funding Source]])*--(INDEX(IFERROR(T(IF({1},CFlowMain)),0),,MATCH(Cashflow!$C$7,INDEX(CFlowMain,1,),0))="Management Reserve")*N(IF({1},INDEX(CFlowMain,,MATCH(Cashflow!$O$7,INDEX(CFlowMain,1,),0)))))</f>
        <v>0</v>
      </c>
      <c r="AP7" s="510">
        <f ca="1">SUMPRODUCT(--(INDEX(IFERROR(T(IF({1},CFlowMain)),0),,MATCH(Cashflow!$G$7,INDEX(CFlowMain,1,),0))=SPTblFSrc[[#This Row],[Funding Source]])*--(INDEX(IFERROR(T(IF({1},CFlowMain)),0),,MATCH(Cashflow!$C$7,INDEX(CFlowMain,1,),0))="Management Reserve")*N(IF({1},INDEX(CFlowMain,,MATCH(Cashflow!$R$7,INDEX(CFlowMain,1,),0)))))</f>
        <v>0</v>
      </c>
      <c r="AQ7" s="510">
        <f ca="1">SUMPRODUCT(--(INDEX(IFERROR(T(IF({1},CFlowMain)),0),,MATCH(Cashflow!$G$7,INDEX(CFlowMain,1,),0))=SPTblFSrc[[#This Row],[Funding Source]])*--(INDEX(IFERROR(T(IF({1},CFlowMain)),0),,MATCH(Cashflow!$C$7,INDEX(CFlowMain,1,),0))="Management Reserve")*N(IF({1},INDEX(CFlowMain,,MATCH(Cashflow!$S$7,INDEX(CFlowMain,1,),0)))))</f>
        <v>0</v>
      </c>
      <c r="AR7" s="510">
        <f ca="1">SUMIF(VendorList[Funding Source],SPTblFSrc[[#This Row],[Funding Source]],VendorList[Current Commitment])</f>
        <v>0</v>
      </c>
      <c r="AS7" s="510">
        <f ca="1">SUMPRODUCT(--(INDEX(IFERROR(T(IF({1},CFlowMain)),0),,MATCH(Cashflow!$G$7,INDEX(CFlowMain,1,),0))=SPTblFSrc[[#This Row],[Funding Source]])*--(INDEX(IFERROR(T(IF({1},CFlowMain)),0),,MATCH(Cashflow!$C$7,INDEX(CFlowMain,1,),0))="FE_IT")*N(IF({1},INDEX(CFlowMain,,MATCH(Cashflow!$I$7,INDEX(CFlowMain,1,),0)))))</f>
        <v>0</v>
      </c>
      <c r="AT7" s="510">
        <f ca="1">SUMPRODUCT(--(INDEX(IFERROR(T(IF({1},CFlowMain)),0),,MATCH(Cashflow!$G$7,INDEX(CFlowMain,1,),0))=SPTblFSrc[[#This Row],[Funding Source]])*--(INDEX(IFERROR(T(IF({1},CFlowMain)),0),,MATCH(Cashflow!$C$7,INDEX(CFlowMain,1,),0))="FE_IT")*N(IF({1},INDEX(CFlowMain,,MATCH(Cashflow!$O$7,INDEX(CFlowMain,1,),0)))))</f>
        <v>0</v>
      </c>
      <c r="AU7" s="510">
        <f ca="1">SUMPRODUCT(--(INDEX(IFERROR(T(IF({1},CFlowMain)),0),,MATCH(Cashflow!$G$7,INDEX(CFlowMain,1,),0))=SPTblFSrc[[#This Row],[Funding Source]])*--(INDEX(IFERROR(T(IF({1},CFlowMain)),0),,MATCH(Cashflow!$C$7,INDEX(CFlowMain,1,),0))="FE_IT")*N(IF({1},INDEX(CFlowMain,,MATCH(Cashflow!$P$7,INDEX(CFlowMain,1,),0)))))</f>
        <v>0</v>
      </c>
      <c r="AV7" s="510">
        <f ca="1">SUMPRODUCT(--(INDEX(IFERROR(T(IF({1},CFlowMain)),0),,MATCH(Cashflow!$G$7,INDEX(CFlowMain,1,),0))=SPTblFSrc[[#This Row],[Funding Source]])*--(INDEX(IFERROR(T(IF({1},CFlowMain)),0),,MATCH(Cashflow!$C$7,INDEX(CFlowMain,1,),0))="FE_IT")*N(IF({1},INDEX(CFlowMain,,MATCH(Cashflow!$Q$7,INDEX(CFlowMain,1,),0)))))</f>
        <v>0</v>
      </c>
      <c r="AW7" s="510">
        <f ca="1">SUMPRODUCT(--(INDEX(IFERROR(T(IF({1},CFlowMain)),0),,MATCH(Cashflow!$G$7,INDEX(CFlowMain,1,),0))=SPTblFSrc[[#This Row],[Funding Source]])*--(INDEX(IFERROR(T(IF({1},CFlowMain)),0),,MATCH(Cashflow!$C$7,INDEX(CFlowMain,1,),0))="FE_IT")*N(IF({1},INDEX(CFlowMain,,MATCH(Cashflow!$S$7,INDEX(CFlowMain,1,),0)))))</f>
        <v>0</v>
      </c>
    </row>
  </sheetData>
  <pageMargins left="0.7" right="0.7" top="0.75" bottom="0.75" header="0.3" footer="0.3"/>
  <pageSetup orientation="portrait" r:id="rId1"/>
  <headerFooter>
    <oddFooter>&amp;L&amp;1#&amp;"Calibri"&amp;11&amp;K000000Classification: Protected A</oddFooter>
  </headerFooter>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
    <tabColor theme="9" tint="-0.249977111117893"/>
  </sheetPr>
  <dimension ref="A1:Q302"/>
  <sheetViews>
    <sheetView topLeftCell="A2" workbookViewId="0">
      <selection activeCell="AB13" sqref="AB13"/>
    </sheetView>
  </sheetViews>
  <sheetFormatPr defaultRowHeight="14.1"/>
  <cols>
    <col min="1" max="1" width="35.42578125" bestFit="1" customWidth="1"/>
    <col min="2" max="3" width="80.7109375" bestFit="1" customWidth="1"/>
    <col min="4" max="4" width="20.42578125" bestFit="1" customWidth="1"/>
    <col min="5" max="5" width="12.7109375" bestFit="1" customWidth="1"/>
    <col min="6" max="6" width="80.7109375" bestFit="1" customWidth="1"/>
    <col min="7" max="7" width="21.140625" bestFit="1" customWidth="1"/>
    <col min="8" max="8" width="19.140625" bestFit="1" customWidth="1"/>
    <col min="9" max="17" width="10.7109375" bestFit="1" customWidth="1"/>
    <col min="18" max="24" width="6.42578125" bestFit="1" customWidth="1"/>
    <col min="25" max="27" width="10.42578125" bestFit="1" customWidth="1"/>
  </cols>
  <sheetData>
    <row r="1" spans="1:17">
      <c r="A1" t="s">
        <v>6833</v>
      </c>
      <c r="B1" t="s">
        <v>534</v>
      </c>
      <c r="C1" t="s">
        <v>17</v>
      </c>
      <c r="D1" t="s">
        <v>6834</v>
      </c>
      <c r="E1" t="s">
        <v>6835</v>
      </c>
      <c r="F1" t="s">
        <v>15</v>
      </c>
      <c r="G1" t="s">
        <v>18</v>
      </c>
      <c r="H1" t="s">
        <v>6836</v>
      </c>
      <c r="I1" t="s">
        <v>812</v>
      </c>
      <c r="J1" t="s">
        <v>6837</v>
      </c>
      <c r="K1" t="s">
        <v>6838</v>
      </c>
      <c r="L1" t="s">
        <v>6839</v>
      </c>
      <c r="M1" t="s">
        <v>6840</v>
      </c>
      <c r="N1" t="s">
        <v>6841</v>
      </c>
      <c r="O1" t="s">
        <v>6842</v>
      </c>
      <c r="P1" t="s">
        <v>6843</v>
      </c>
      <c r="Q1" t="s">
        <v>6844</v>
      </c>
    </row>
    <row r="2" spans="1:17">
      <c r="A2" t="s">
        <v>6845</v>
      </c>
      <c r="B2" t="s">
        <v>6846</v>
      </c>
      <c r="C2" t="s">
        <v>6847</v>
      </c>
      <c r="D2" t="s">
        <v>129</v>
      </c>
      <c r="E2" t="s">
        <v>6848</v>
      </c>
      <c r="F2" t="s">
        <v>6849</v>
      </c>
      <c r="G2" t="s">
        <v>6850</v>
      </c>
      <c r="H2" t="s">
        <v>6851</v>
      </c>
    </row>
    <row r="3" spans="1:17">
      <c r="A3" t="s">
        <v>6852</v>
      </c>
      <c r="B3" t="s">
        <v>6853</v>
      </c>
      <c r="C3" t="s">
        <v>6854</v>
      </c>
      <c r="D3" t="s">
        <v>129</v>
      </c>
      <c r="E3" t="s">
        <v>6855</v>
      </c>
      <c r="F3" t="s">
        <v>6856</v>
      </c>
      <c r="G3" t="s">
        <v>6850</v>
      </c>
      <c r="H3" t="s">
        <v>6851</v>
      </c>
    </row>
    <row r="4" spans="1:17">
      <c r="A4" t="s">
        <v>6857</v>
      </c>
      <c r="B4" t="s">
        <v>6858</v>
      </c>
      <c r="C4" t="s">
        <v>6859</v>
      </c>
      <c r="D4" t="s">
        <v>129</v>
      </c>
      <c r="E4" t="s">
        <v>6860</v>
      </c>
      <c r="F4" t="s">
        <v>6861</v>
      </c>
      <c r="G4" t="s">
        <v>6862</v>
      </c>
      <c r="H4" t="s">
        <v>6851</v>
      </c>
    </row>
    <row r="5" spans="1:17">
      <c r="A5" t="s">
        <v>6863</v>
      </c>
      <c r="B5" t="s">
        <v>6864</v>
      </c>
      <c r="C5" t="s">
        <v>6865</v>
      </c>
      <c r="D5" t="s">
        <v>129</v>
      </c>
      <c r="E5" t="s">
        <v>6866</v>
      </c>
      <c r="F5" t="s">
        <v>6861</v>
      </c>
      <c r="G5" t="s">
        <v>6862</v>
      </c>
      <c r="H5" t="s">
        <v>6851</v>
      </c>
    </row>
    <row r="6" spans="1:17">
      <c r="A6" t="s">
        <v>6867</v>
      </c>
      <c r="B6" t="s">
        <v>6868</v>
      </c>
      <c r="C6" t="s">
        <v>6869</v>
      </c>
      <c r="D6" t="s">
        <v>129</v>
      </c>
      <c r="E6" t="s">
        <v>6870</v>
      </c>
      <c r="F6" t="s">
        <v>6861</v>
      </c>
      <c r="G6" t="s">
        <v>6862</v>
      </c>
      <c r="H6" t="s">
        <v>6851</v>
      </c>
    </row>
    <row r="7" spans="1:17">
      <c r="A7" t="s">
        <v>6871</v>
      </c>
      <c r="B7" t="s">
        <v>6872</v>
      </c>
      <c r="C7" t="s">
        <v>6873</v>
      </c>
      <c r="D7" t="s">
        <v>129</v>
      </c>
      <c r="E7" t="s">
        <v>6874</v>
      </c>
      <c r="F7" t="s">
        <v>6861</v>
      </c>
      <c r="G7" t="s">
        <v>6862</v>
      </c>
      <c r="H7" t="s">
        <v>6851</v>
      </c>
    </row>
    <row r="8" spans="1:17">
      <c r="A8" t="s">
        <v>6875</v>
      </c>
      <c r="B8" t="s">
        <v>6872</v>
      </c>
      <c r="C8" t="s">
        <v>6876</v>
      </c>
      <c r="D8" t="s">
        <v>129</v>
      </c>
      <c r="E8" t="s">
        <v>6877</v>
      </c>
      <c r="F8" t="s">
        <v>6861</v>
      </c>
      <c r="G8" t="s">
        <v>6862</v>
      </c>
      <c r="H8" t="s">
        <v>6851</v>
      </c>
    </row>
    <row r="9" spans="1:17">
      <c r="A9" t="s">
        <v>6878</v>
      </c>
      <c r="B9" t="s">
        <v>6879</v>
      </c>
      <c r="C9" t="s">
        <v>6880</v>
      </c>
      <c r="D9" t="s">
        <v>129</v>
      </c>
      <c r="E9" t="s">
        <v>6881</v>
      </c>
      <c r="F9" t="s">
        <v>6861</v>
      </c>
      <c r="G9" t="s">
        <v>6862</v>
      </c>
      <c r="H9" t="s">
        <v>6851</v>
      </c>
    </row>
    <row r="10" spans="1:17">
      <c r="A10" t="s">
        <v>6882</v>
      </c>
      <c r="B10" t="s">
        <v>6883</v>
      </c>
      <c r="C10" t="s">
        <v>6884</v>
      </c>
      <c r="D10" t="s">
        <v>129</v>
      </c>
      <c r="E10" t="s">
        <v>6885</v>
      </c>
      <c r="F10" t="s">
        <v>6861</v>
      </c>
      <c r="G10" t="s">
        <v>6862</v>
      </c>
      <c r="H10" t="s">
        <v>6851</v>
      </c>
    </row>
    <row r="11" spans="1:17">
      <c r="A11" t="s">
        <v>6886</v>
      </c>
      <c r="B11" t="s">
        <v>6887</v>
      </c>
      <c r="C11" t="s">
        <v>6888</v>
      </c>
      <c r="D11" t="s">
        <v>129</v>
      </c>
      <c r="E11" t="s">
        <v>6889</v>
      </c>
      <c r="F11" t="s">
        <v>6861</v>
      </c>
      <c r="G11" t="s">
        <v>6862</v>
      </c>
      <c r="H11" t="s">
        <v>6851</v>
      </c>
    </row>
    <row r="12" spans="1:17">
      <c r="A12" t="s">
        <v>6890</v>
      </c>
      <c r="B12" t="s">
        <v>6891</v>
      </c>
      <c r="C12" t="s">
        <v>6892</v>
      </c>
      <c r="D12" t="s">
        <v>129</v>
      </c>
      <c r="E12" t="s">
        <v>6893</v>
      </c>
      <c r="F12" t="s">
        <v>6861</v>
      </c>
      <c r="G12" t="s">
        <v>6862</v>
      </c>
      <c r="H12" t="s">
        <v>6851</v>
      </c>
    </row>
    <row r="13" spans="1:17">
      <c r="A13" t="s">
        <v>6894</v>
      </c>
      <c r="B13" t="s">
        <v>6895</v>
      </c>
      <c r="C13" t="s">
        <v>6896</v>
      </c>
      <c r="D13" t="s">
        <v>129</v>
      </c>
      <c r="E13" t="s">
        <v>6897</v>
      </c>
      <c r="F13" t="s">
        <v>6861</v>
      </c>
      <c r="G13" t="s">
        <v>6862</v>
      </c>
      <c r="H13" t="s">
        <v>6851</v>
      </c>
    </row>
    <row r="14" spans="1:17">
      <c r="A14" t="s">
        <v>6898</v>
      </c>
      <c r="B14" t="s">
        <v>6899</v>
      </c>
      <c r="C14" t="s">
        <v>6900</v>
      </c>
      <c r="D14" t="s">
        <v>129</v>
      </c>
      <c r="E14" t="s">
        <v>6901</v>
      </c>
      <c r="F14" t="s">
        <v>6861</v>
      </c>
      <c r="G14" t="s">
        <v>6862</v>
      </c>
      <c r="H14" t="s">
        <v>6851</v>
      </c>
    </row>
    <row r="15" spans="1:17">
      <c r="A15" t="s">
        <v>6902</v>
      </c>
      <c r="B15" t="s">
        <v>6872</v>
      </c>
      <c r="C15" t="s">
        <v>6903</v>
      </c>
      <c r="D15" t="s">
        <v>129</v>
      </c>
      <c r="E15" t="s">
        <v>6902</v>
      </c>
      <c r="F15" t="s">
        <v>6861</v>
      </c>
      <c r="G15" t="s">
        <v>6862</v>
      </c>
      <c r="H15" t="s">
        <v>6851</v>
      </c>
    </row>
    <row r="16" spans="1:17">
      <c r="A16" t="s">
        <v>6904</v>
      </c>
      <c r="B16" t="s">
        <v>6905</v>
      </c>
      <c r="C16" t="s">
        <v>6906</v>
      </c>
      <c r="D16" t="s">
        <v>129</v>
      </c>
      <c r="E16" t="s">
        <v>6904</v>
      </c>
      <c r="F16" t="s">
        <v>6861</v>
      </c>
      <c r="G16" t="s">
        <v>6862</v>
      </c>
      <c r="H16" t="s">
        <v>6851</v>
      </c>
    </row>
    <row r="17" spans="1:8">
      <c r="A17" t="s">
        <v>6907</v>
      </c>
      <c r="B17" t="s">
        <v>6908</v>
      </c>
      <c r="C17" t="s">
        <v>6909</v>
      </c>
      <c r="D17" t="s">
        <v>129</v>
      </c>
      <c r="E17" t="s">
        <v>6910</v>
      </c>
      <c r="F17" t="s">
        <v>6911</v>
      </c>
      <c r="H17" t="s">
        <v>80</v>
      </c>
    </row>
    <row r="18" spans="1:8">
      <c r="A18" t="s">
        <v>6912</v>
      </c>
      <c r="B18" t="s">
        <v>6913</v>
      </c>
      <c r="C18" t="s">
        <v>6914</v>
      </c>
      <c r="D18" t="s">
        <v>129</v>
      </c>
      <c r="E18" t="s">
        <v>6915</v>
      </c>
      <c r="F18" t="s">
        <v>6913</v>
      </c>
      <c r="H18" t="s">
        <v>6851</v>
      </c>
    </row>
    <row r="19" spans="1:8">
      <c r="A19" t="s">
        <v>6916</v>
      </c>
      <c r="B19" t="s">
        <v>6917</v>
      </c>
      <c r="C19" t="s">
        <v>6918</v>
      </c>
      <c r="D19" t="s">
        <v>129</v>
      </c>
      <c r="E19" t="s">
        <v>6916</v>
      </c>
      <c r="F19" t="s">
        <v>6913</v>
      </c>
      <c r="H19" t="s">
        <v>6851</v>
      </c>
    </row>
    <row r="20" spans="1:8">
      <c r="A20" t="s">
        <v>6919</v>
      </c>
      <c r="B20" t="s">
        <v>6920</v>
      </c>
      <c r="C20" t="s">
        <v>6921</v>
      </c>
      <c r="D20" t="s">
        <v>129</v>
      </c>
      <c r="E20" t="s">
        <v>6919</v>
      </c>
      <c r="F20" t="s">
        <v>6920</v>
      </c>
      <c r="H20" t="s">
        <v>80</v>
      </c>
    </row>
    <row r="21" spans="1:8">
      <c r="A21" t="s">
        <v>361</v>
      </c>
      <c r="B21" t="s">
        <v>6922</v>
      </c>
      <c r="C21" t="s">
        <v>24</v>
      </c>
      <c r="D21" t="s">
        <v>129</v>
      </c>
      <c r="E21" t="s">
        <v>1630</v>
      </c>
      <c r="F21" t="s">
        <v>6922</v>
      </c>
      <c r="H21" t="s">
        <v>6851</v>
      </c>
    </row>
    <row r="22" spans="1:8">
      <c r="A22" t="s">
        <v>6923</v>
      </c>
      <c r="B22" t="s">
        <v>6924</v>
      </c>
      <c r="C22" t="s">
        <v>6925</v>
      </c>
      <c r="D22" t="s">
        <v>129</v>
      </c>
      <c r="E22" t="s">
        <v>6926</v>
      </c>
      <c r="F22" t="s">
        <v>6927</v>
      </c>
      <c r="H22" t="s">
        <v>80</v>
      </c>
    </row>
    <row r="23" spans="1:8">
      <c r="A23" t="s">
        <v>6928</v>
      </c>
      <c r="B23" t="s">
        <v>6929</v>
      </c>
      <c r="C23" t="s">
        <v>6930</v>
      </c>
      <c r="D23" t="s">
        <v>129</v>
      </c>
      <c r="E23" t="s">
        <v>6931</v>
      </c>
      <c r="F23" t="s">
        <v>6929</v>
      </c>
      <c r="H23" t="s">
        <v>6851</v>
      </c>
    </row>
    <row r="24" spans="1:8">
      <c r="A24" t="s">
        <v>6932</v>
      </c>
      <c r="B24" t="s">
        <v>6933</v>
      </c>
      <c r="C24" t="s">
        <v>6934</v>
      </c>
      <c r="D24" t="s">
        <v>129</v>
      </c>
      <c r="E24" t="s">
        <v>6935</v>
      </c>
      <c r="F24" t="s">
        <v>6936</v>
      </c>
      <c r="H24" t="s">
        <v>6851</v>
      </c>
    </row>
    <row r="25" spans="1:8">
      <c r="A25" t="s">
        <v>6937</v>
      </c>
      <c r="B25" t="s">
        <v>6938</v>
      </c>
      <c r="C25" t="s">
        <v>6939</v>
      </c>
      <c r="D25" t="s">
        <v>1827</v>
      </c>
      <c r="E25" t="s">
        <v>6940</v>
      </c>
    </row>
    <row r="26" spans="1:8">
      <c r="A26" t="s">
        <v>6941</v>
      </c>
      <c r="B26" t="s">
        <v>6942</v>
      </c>
      <c r="C26" t="s">
        <v>6943</v>
      </c>
      <c r="D26" t="s">
        <v>1827</v>
      </c>
      <c r="E26" t="s">
        <v>6944</v>
      </c>
    </row>
    <row r="27" spans="1:8">
      <c r="A27" t="s">
        <v>6945</v>
      </c>
      <c r="B27" t="s">
        <v>6946</v>
      </c>
      <c r="C27" t="s">
        <v>6947</v>
      </c>
      <c r="D27" t="s">
        <v>6948</v>
      </c>
      <c r="E27" t="s">
        <v>6945</v>
      </c>
    </row>
    <row r="28" spans="1:8">
      <c r="A28" t="s">
        <v>6949</v>
      </c>
      <c r="B28" t="s">
        <v>6950</v>
      </c>
      <c r="C28" t="s">
        <v>6951</v>
      </c>
      <c r="D28" t="s">
        <v>126</v>
      </c>
    </row>
    <row r="29" spans="1:8">
      <c r="A29" t="s">
        <v>6952</v>
      </c>
      <c r="B29" t="s">
        <v>6953</v>
      </c>
      <c r="C29" t="s">
        <v>6954</v>
      </c>
      <c r="D29" t="s">
        <v>131</v>
      </c>
      <c r="E29" t="s">
        <v>6955</v>
      </c>
      <c r="F29" t="s">
        <v>6956</v>
      </c>
      <c r="G29" t="s">
        <v>6957</v>
      </c>
      <c r="H29" t="s">
        <v>6851</v>
      </c>
    </row>
    <row r="30" spans="1:8">
      <c r="A30" t="s">
        <v>6958</v>
      </c>
      <c r="B30" t="s">
        <v>6959</v>
      </c>
      <c r="C30" t="s">
        <v>6960</v>
      </c>
      <c r="D30" t="s">
        <v>131</v>
      </c>
      <c r="E30" t="s">
        <v>6961</v>
      </c>
      <c r="F30" t="s">
        <v>6956</v>
      </c>
      <c r="G30" t="s">
        <v>6957</v>
      </c>
      <c r="H30" t="s">
        <v>6851</v>
      </c>
    </row>
    <row r="31" spans="1:8">
      <c r="A31" t="s">
        <v>6962</v>
      </c>
      <c r="B31" t="s">
        <v>6963</v>
      </c>
      <c r="C31" t="s">
        <v>6964</v>
      </c>
      <c r="D31" t="s">
        <v>131</v>
      </c>
      <c r="E31" t="s">
        <v>6965</v>
      </c>
      <c r="F31" t="s">
        <v>6956</v>
      </c>
      <c r="G31" t="s">
        <v>6957</v>
      </c>
      <c r="H31" t="s">
        <v>6851</v>
      </c>
    </row>
    <row r="32" spans="1:8">
      <c r="A32" t="s">
        <v>6966</v>
      </c>
      <c r="B32" t="s">
        <v>6967</v>
      </c>
      <c r="C32" t="s">
        <v>6968</v>
      </c>
      <c r="D32" t="s">
        <v>131</v>
      </c>
      <c r="E32" t="s">
        <v>6966</v>
      </c>
      <c r="F32" t="s">
        <v>6956</v>
      </c>
      <c r="G32" t="s">
        <v>6957</v>
      </c>
      <c r="H32" t="s">
        <v>6851</v>
      </c>
    </row>
    <row r="33" spans="1:8">
      <c r="A33" t="s">
        <v>6969</v>
      </c>
      <c r="B33" t="s">
        <v>6970</v>
      </c>
      <c r="C33" t="s">
        <v>6971</v>
      </c>
      <c r="D33" t="s">
        <v>131</v>
      </c>
      <c r="E33" t="s">
        <v>6969</v>
      </c>
      <c r="F33" t="s">
        <v>6956</v>
      </c>
      <c r="G33" t="s">
        <v>6957</v>
      </c>
      <c r="H33" t="s">
        <v>6851</v>
      </c>
    </row>
    <row r="34" spans="1:8">
      <c r="A34" t="s">
        <v>6972</v>
      </c>
      <c r="B34" t="s">
        <v>6973</v>
      </c>
      <c r="C34" t="s">
        <v>6974</v>
      </c>
      <c r="D34" t="s">
        <v>131</v>
      </c>
      <c r="E34" t="s">
        <v>6972</v>
      </c>
      <c r="F34" t="s">
        <v>6956</v>
      </c>
      <c r="G34" t="s">
        <v>6957</v>
      </c>
      <c r="H34" t="s">
        <v>6851</v>
      </c>
    </row>
    <row r="35" spans="1:8">
      <c r="A35" t="s">
        <v>6975</v>
      </c>
      <c r="B35" t="s">
        <v>6976</v>
      </c>
      <c r="C35" t="s">
        <v>6977</v>
      </c>
      <c r="D35" t="s">
        <v>126</v>
      </c>
      <c r="E35" t="s">
        <v>6978</v>
      </c>
      <c r="F35" t="s">
        <v>6976</v>
      </c>
      <c r="G35" t="s">
        <v>6979</v>
      </c>
      <c r="H35" t="s">
        <v>6851</v>
      </c>
    </row>
    <row r="36" spans="1:8">
      <c r="A36" t="s">
        <v>6980</v>
      </c>
      <c r="B36" t="s">
        <v>6981</v>
      </c>
      <c r="C36" t="s">
        <v>6982</v>
      </c>
      <c r="D36" t="s">
        <v>126</v>
      </c>
      <c r="E36" t="s">
        <v>6983</v>
      </c>
      <c r="F36" t="s">
        <v>6981</v>
      </c>
      <c r="G36" t="s">
        <v>6984</v>
      </c>
      <c r="H36" t="s">
        <v>6851</v>
      </c>
    </row>
    <row r="37" spans="1:8">
      <c r="A37" t="s">
        <v>6985</v>
      </c>
      <c r="B37" t="s">
        <v>6986</v>
      </c>
      <c r="C37" t="s">
        <v>6987</v>
      </c>
      <c r="D37" t="s">
        <v>140</v>
      </c>
      <c r="E37" t="s">
        <v>6988</v>
      </c>
      <c r="F37" t="s">
        <v>6981</v>
      </c>
      <c r="G37" t="s">
        <v>6984</v>
      </c>
      <c r="H37" t="s">
        <v>6851</v>
      </c>
    </row>
    <row r="38" spans="1:8">
      <c r="A38" t="s">
        <v>6989</v>
      </c>
      <c r="B38" t="s">
        <v>6990</v>
      </c>
      <c r="C38" t="s">
        <v>6991</v>
      </c>
      <c r="D38" t="s">
        <v>126</v>
      </c>
      <c r="E38" t="s">
        <v>6980</v>
      </c>
      <c r="F38" t="s">
        <v>6981</v>
      </c>
      <c r="G38" t="s">
        <v>6984</v>
      </c>
      <c r="H38" t="s">
        <v>6851</v>
      </c>
    </row>
    <row r="39" spans="1:8">
      <c r="A39" t="s">
        <v>6992</v>
      </c>
      <c r="B39" t="s">
        <v>6993</v>
      </c>
      <c r="C39" t="s">
        <v>6994</v>
      </c>
      <c r="D39" t="s">
        <v>126</v>
      </c>
      <c r="E39" t="s">
        <v>6995</v>
      </c>
      <c r="F39" t="s">
        <v>6993</v>
      </c>
      <c r="H39" t="s">
        <v>80</v>
      </c>
    </row>
    <row r="40" spans="1:8">
      <c r="A40" t="s">
        <v>6996</v>
      </c>
      <c r="B40" t="s">
        <v>6997</v>
      </c>
      <c r="C40" t="s">
        <v>6998</v>
      </c>
      <c r="D40" t="s">
        <v>126</v>
      </c>
      <c r="E40" t="s">
        <v>6999</v>
      </c>
      <c r="F40" t="s">
        <v>6997</v>
      </c>
      <c r="G40" t="s">
        <v>28</v>
      </c>
      <c r="H40" t="s">
        <v>6851</v>
      </c>
    </row>
    <row r="41" spans="1:8">
      <c r="A41" t="s">
        <v>7000</v>
      </c>
      <c r="B41" t="s">
        <v>7001</v>
      </c>
      <c r="C41" t="s">
        <v>7002</v>
      </c>
      <c r="D41" t="s">
        <v>126</v>
      </c>
      <c r="E41" t="s">
        <v>7003</v>
      </c>
      <c r="F41" t="s">
        <v>7001</v>
      </c>
      <c r="G41" t="s">
        <v>6984</v>
      </c>
      <c r="H41" t="s">
        <v>6851</v>
      </c>
    </row>
    <row r="42" spans="1:8">
      <c r="A42" t="s">
        <v>7004</v>
      </c>
      <c r="B42" t="s">
        <v>7005</v>
      </c>
      <c r="C42" t="s">
        <v>7006</v>
      </c>
      <c r="D42" t="s">
        <v>139</v>
      </c>
      <c r="E42" t="s">
        <v>7004</v>
      </c>
      <c r="F42" t="s">
        <v>7001</v>
      </c>
      <c r="G42" t="s">
        <v>6984</v>
      </c>
      <c r="H42" t="s">
        <v>6851</v>
      </c>
    </row>
    <row r="43" spans="1:8">
      <c r="A43" t="s">
        <v>7007</v>
      </c>
      <c r="B43" t="s">
        <v>7008</v>
      </c>
      <c r="C43" t="s">
        <v>7009</v>
      </c>
      <c r="D43" t="s">
        <v>126</v>
      </c>
      <c r="E43" t="s">
        <v>7010</v>
      </c>
      <c r="F43" t="s">
        <v>7011</v>
      </c>
      <c r="G43" t="s">
        <v>28</v>
      </c>
      <c r="H43" t="s">
        <v>6851</v>
      </c>
    </row>
    <row r="44" spans="1:8">
      <c r="A44" t="s">
        <v>7012</v>
      </c>
      <c r="B44" t="s">
        <v>7013</v>
      </c>
      <c r="C44" t="s">
        <v>7014</v>
      </c>
      <c r="D44" t="s">
        <v>126</v>
      </c>
      <c r="E44" t="s">
        <v>7015</v>
      </c>
      <c r="F44" t="s">
        <v>7016</v>
      </c>
      <c r="H44" t="s">
        <v>80</v>
      </c>
    </row>
    <row r="45" spans="1:8">
      <c r="A45" t="s">
        <v>7017</v>
      </c>
      <c r="B45" t="s">
        <v>7018</v>
      </c>
      <c r="C45" t="s">
        <v>7019</v>
      </c>
      <c r="D45" t="s">
        <v>126</v>
      </c>
      <c r="E45" t="s">
        <v>7020</v>
      </c>
      <c r="F45" t="s">
        <v>7018</v>
      </c>
      <c r="H45" t="s">
        <v>6851</v>
      </c>
    </row>
    <row r="46" spans="1:8">
      <c r="A46" t="s">
        <v>7021</v>
      </c>
      <c r="B46" t="s">
        <v>7022</v>
      </c>
      <c r="C46" t="s">
        <v>7023</v>
      </c>
      <c r="D46" t="s">
        <v>126</v>
      </c>
      <c r="E46" t="s">
        <v>7024</v>
      </c>
      <c r="F46" t="s">
        <v>7025</v>
      </c>
      <c r="G46" t="s">
        <v>28</v>
      </c>
      <c r="H46" t="s">
        <v>6851</v>
      </c>
    </row>
    <row r="47" spans="1:8">
      <c r="A47" t="s">
        <v>7026</v>
      </c>
      <c r="B47" t="s">
        <v>7027</v>
      </c>
      <c r="C47" t="s">
        <v>7028</v>
      </c>
      <c r="D47" t="s">
        <v>126</v>
      </c>
      <c r="E47" t="s">
        <v>7029</v>
      </c>
      <c r="F47" t="s">
        <v>7025</v>
      </c>
      <c r="G47" t="s">
        <v>28</v>
      </c>
      <c r="H47" t="s">
        <v>6851</v>
      </c>
    </row>
    <row r="48" spans="1:8">
      <c r="A48" t="s">
        <v>7030</v>
      </c>
      <c r="B48" t="s">
        <v>7031</v>
      </c>
      <c r="C48" t="s">
        <v>7032</v>
      </c>
      <c r="D48" t="s">
        <v>126</v>
      </c>
      <c r="E48" t="s">
        <v>7033</v>
      </c>
      <c r="F48" t="s">
        <v>7031</v>
      </c>
      <c r="G48" t="s">
        <v>28</v>
      </c>
      <c r="H48" t="s">
        <v>6851</v>
      </c>
    </row>
    <row r="49" spans="1:8">
      <c r="A49" t="s">
        <v>7034</v>
      </c>
      <c r="B49" t="s">
        <v>7035</v>
      </c>
      <c r="C49" t="s">
        <v>7036</v>
      </c>
      <c r="D49" t="s">
        <v>126</v>
      </c>
      <c r="E49" t="s">
        <v>7037</v>
      </c>
      <c r="F49" t="s">
        <v>7035</v>
      </c>
      <c r="G49" t="s">
        <v>7038</v>
      </c>
      <c r="H49" t="s">
        <v>6851</v>
      </c>
    </row>
    <row r="50" spans="1:8">
      <c r="A50" t="s">
        <v>7039</v>
      </c>
      <c r="B50" t="s">
        <v>7040</v>
      </c>
      <c r="C50" t="s">
        <v>7041</v>
      </c>
      <c r="D50" t="s">
        <v>126</v>
      </c>
      <c r="E50" t="s">
        <v>7042</v>
      </c>
      <c r="F50" t="s">
        <v>7040</v>
      </c>
      <c r="H50" t="s">
        <v>80</v>
      </c>
    </row>
    <row r="51" spans="1:8">
      <c r="A51" t="s">
        <v>7043</v>
      </c>
      <c r="B51" t="s">
        <v>7044</v>
      </c>
      <c r="C51" t="s">
        <v>7045</v>
      </c>
      <c r="D51" t="s">
        <v>126</v>
      </c>
      <c r="E51" t="s">
        <v>7046</v>
      </c>
      <c r="F51" t="s">
        <v>7044</v>
      </c>
      <c r="G51" t="s">
        <v>7038</v>
      </c>
      <c r="H51" t="s">
        <v>6851</v>
      </c>
    </row>
    <row r="52" spans="1:8">
      <c r="A52" t="s">
        <v>7047</v>
      </c>
      <c r="B52" t="s">
        <v>7048</v>
      </c>
      <c r="C52" t="s">
        <v>7049</v>
      </c>
      <c r="D52" t="s">
        <v>126</v>
      </c>
      <c r="E52" t="s">
        <v>7050</v>
      </c>
      <c r="F52" t="s">
        <v>7048</v>
      </c>
      <c r="G52" t="s">
        <v>7038</v>
      </c>
      <c r="H52" t="s">
        <v>6851</v>
      </c>
    </row>
    <row r="53" spans="1:8">
      <c r="A53" t="s">
        <v>7051</v>
      </c>
      <c r="B53" t="s">
        <v>7052</v>
      </c>
      <c r="C53" t="s">
        <v>7053</v>
      </c>
      <c r="D53" t="s">
        <v>126</v>
      </c>
      <c r="E53" t="s">
        <v>7054</v>
      </c>
      <c r="F53" t="s">
        <v>7055</v>
      </c>
      <c r="G53" t="s">
        <v>28</v>
      </c>
      <c r="H53" t="s">
        <v>6851</v>
      </c>
    </row>
    <row r="54" spans="1:8">
      <c r="A54" t="s">
        <v>7056</v>
      </c>
      <c r="B54" t="s">
        <v>7057</v>
      </c>
      <c r="C54" t="s">
        <v>7058</v>
      </c>
      <c r="D54" t="s">
        <v>126</v>
      </c>
      <c r="E54" t="s">
        <v>7056</v>
      </c>
      <c r="F54" t="s">
        <v>7059</v>
      </c>
      <c r="G54" t="s">
        <v>28</v>
      </c>
      <c r="H54" t="s">
        <v>6851</v>
      </c>
    </row>
    <row r="55" spans="1:8">
      <c r="A55" t="s">
        <v>7060</v>
      </c>
      <c r="B55" t="s">
        <v>7061</v>
      </c>
      <c r="C55" t="s">
        <v>7062</v>
      </c>
      <c r="D55" t="s">
        <v>126</v>
      </c>
      <c r="E55" t="s">
        <v>7060</v>
      </c>
      <c r="F55" t="s">
        <v>7063</v>
      </c>
      <c r="G55" t="s">
        <v>34</v>
      </c>
      <c r="H55" t="s">
        <v>6851</v>
      </c>
    </row>
    <row r="56" spans="1:8">
      <c r="A56" t="s">
        <v>7064</v>
      </c>
      <c r="B56" t="s">
        <v>7065</v>
      </c>
      <c r="C56" t="s">
        <v>7066</v>
      </c>
      <c r="D56" t="s">
        <v>126</v>
      </c>
      <c r="E56" t="s">
        <v>7064</v>
      </c>
      <c r="F56" t="s">
        <v>7067</v>
      </c>
      <c r="G56" t="s">
        <v>28</v>
      </c>
      <c r="H56" t="s">
        <v>6851</v>
      </c>
    </row>
    <row r="57" spans="1:8">
      <c r="A57" t="s">
        <v>7068</v>
      </c>
      <c r="B57" t="s">
        <v>7069</v>
      </c>
      <c r="C57" t="s">
        <v>7070</v>
      </c>
      <c r="D57" t="s">
        <v>126</v>
      </c>
      <c r="E57" t="s">
        <v>7068</v>
      </c>
      <c r="F57" t="s">
        <v>7071</v>
      </c>
      <c r="G57" t="s">
        <v>6957</v>
      </c>
      <c r="H57" t="s">
        <v>6851</v>
      </c>
    </row>
    <row r="58" spans="1:8">
      <c r="A58" t="s">
        <v>6907</v>
      </c>
      <c r="B58" t="s">
        <v>7072</v>
      </c>
      <c r="C58" t="s">
        <v>7073</v>
      </c>
      <c r="D58" t="s">
        <v>126</v>
      </c>
      <c r="E58" t="s">
        <v>6910</v>
      </c>
      <c r="F58" t="s">
        <v>7071</v>
      </c>
      <c r="G58" t="s">
        <v>6957</v>
      </c>
      <c r="H58" t="s">
        <v>6851</v>
      </c>
    </row>
    <row r="59" spans="1:8">
      <c r="A59" t="s">
        <v>7074</v>
      </c>
      <c r="B59" t="s">
        <v>7075</v>
      </c>
      <c r="C59" t="s">
        <v>7076</v>
      </c>
      <c r="D59" t="s">
        <v>126</v>
      </c>
      <c r="E59" t="s">
        <v>7077</v>
      </c>
      <c r="F59" t="s">
        <v>7071</v>
      </c>
      <c r="G59" t="s">
        <v>6957</v>
      </c>
      <c r="H59" t="s">
        <v>6851</v>
      </c>
    </row>
    <row r="60" spans="1:8">
      <c r="A60" t="s">
        <v>7078</v>
      </c>
      <c r="B60" t="s">
        <v>7079</v>
      </c>
      <c r="C60" t="s">
        <v>7080</v>
      </c>
      <c r="D60" t="s">
        <v>126</v>
      </c>
      <c r="E60" t="s">
        <v>7081</v>
      </c>
      <c r="F60" t="s">
        <v>7071</v>
      </c>
      <c r="G60" t="s">
        <v>6957</v>
      </c>
      <c r="H60" t="s">
        <v>6851</v>
      </c>
    </row>
    <row r="61" spans="1:8">
      <c r="A61" t="s">
        <v>7082</v>
      </c>
      <c r="B61" t="s">
        <v>7083</v>
      </c>
      <c r="C61" t="s">
        <v>7084</v>
      </c>
      <c r="D61" t="s">
        <v>126</v>
      </c>
      <c r="E61" t="s">
        <v>7082</v>
      </c>
      <c r="F61" t="s">
        <v>7071</v>
      </c>
      <c r="G61" t="s">
        <v>6957</v>
      </c>
      <c r="H61" t="s">
        <v>6851</v>
      </c>
    </row>
    <row r="62" spans="1:8">
      <c r="A62" t="s">
        <v>7085</v>
      </c>
      <c r="B62" t="s">
        <v>7086</v>
      </c>
      <c r="C62" t="s">
        <v>7087</v>
      </c>
      <c r="D62" t="s">
        <v>126</v>
      </c>
      <c r="E62" t="s">
        <v>7085</v>
      </c>
      <c r="F62" t="s">
        <v>7071</v>
      </c>
      <c r="G62" t="s">
        <v>6957</v>
      </c>
      <c r="H62" t="s">
        <v>6851</v>
      </c>
    </row>
    <row r="63" spans="1:8">
      <c r="A63" t="s">
        <v>7068</v>
      </c>
      <c r="B63" t="s">
        <v>7088</v>
      </c>
      <c r="C63" t="s">
        <v>7089</v>
      </c>
      <c r="D63" t="s">
        <v>126</v>
      </c>
      <c r="E63" t="s">
        <v>7068</v>
      </c>
      <c r="F63" t="s">
        <v>7071</v>
      </c>
      <c r="G63" t="s">
        <v>6957</v>
      </c>
      <c r="H63" t="s">
        <v>6851</v>
      </c>
    </row>
    <row r="64" spans="1:8">
      <c r="A64" t="s">
        <v>7090</v>
      </c>
      <c r="B64" t="s">
        <v>7091</v>
      </c>
      <c r="C64" t="s">
        <v>7092</v>
      </c>
      <c r="D64" t="s">
        <v>126</v>
      </c>
      <c r="E64" t="s">
        <v>7093</v>
      </c>
      <c r="F64" t="s">
        <v>7094</v>
      </c>
      <c r="G64" t="s">
        <v>34</v>
      </c>
      <c r="H64" t="s">
        <v>6851</v>
      </c>
    </row>
    <row r="65" spans="1:8">
      <c r="A65" t="s">
        <v>7095</v>
      </c>
      <c r="B65" t="s">
        <v>7096</v>
      </c>
      <c r="C65" t="s">
        <v>7097</v>
      </c>
      <c r="D65" t="s">
        <v>126</v>
      </c>
      <c r="E65" t="s">
        <v>7098</v>
      </c>
      <c r="F65" t="s">
        <v>7094</v>
      </c>
      <c r="G65" t="s">
        <v>34</v>
      </c>
      <c r="H65" t="s">
        <v>6851</v>
      </c>
    </row>
    <row r="66" spans="1:8">
      <c r="A66" t="s">
        <v>7099</v>
      </c>
      <c r="B66" t="s">
        <v>7100</v>
      </c>
      <c r="C66" t="s">
        <v>7101</v>
      </c>
      <c r="D66" t="s">
        <v>126</v>
      </c>
      <c r="E66" t="s">
        <v>7102</v>
      </c>
      <c r="F66" t="s">
        <v>7094</v>
      </c>
      <c r="G66" t="s">
        <v>34</v>
      </c>
      <c r="H66" t="s">
        <v>6851</v>
      </c>
    </row>
    <row r="67" spans="1:8">
      <c r="A67" t="s">
        <v>7103</v>
      </c>
      <c r="B67" t="s">
        <v>7104</v>
      </c>
      <c r="C67" t="s">
        <v>7105</v>
      </c>
      <c r="D67" t="s">
        <v>126</v>
      </c>
      <c r="E67" t="s">
        <v>7106</v>
      </c>
      <c r="F67" t="s">
        <v>7094</v>
      </c>
      <c r="G67" t="s">
        <v>34</v>
      </c>
      <c r="H67" t="s">
        <v>6851</v>
      </c>
    </row>
    <row r="68" spans="1:8">
      <c r="A68" t="s">
        <v>7107</v>
      </c>
      <c r="B68" t="s">
        <v>7108</v>
      </c>
      <c r="C68" t="s">
        <v>7109</v>
      </c>
      <c r="D68" t="s">
        <v>126</v>
      </c>
      <c r="E68" t="s">
        <v>7110</v>
      </c>
      <c r="F68" t="s">
        <v>7094</v>
      </c>
      <c r="G68" t="s">
        <v>34</v>
      </c>
      <c r="H68" t="s">
        <v>6851</v>
      </c>
    </row>
    <row r="69" spans="1:8">
      <c r="A69" t="s">
        <v>7111</v>
      </c>
      <c r="B69" t="s">
        <v>7112</v>
      </c>
      <c r="C69" t="s">
        <v>7113</v>
      </c>
      <c r="D69" t="s">
        <v>126</v>
      </c>
      <c r="E69" t="s">
        <v>7114</v>
      </c>
      <c r="F69" t="s">
        <v>7094</v>
      </c>
      <c r="G69" t="s">
        <v>34</v>
      </c>
      <c r="H69" t="s">
        <v>6851</v>
      </c>
    </row>
    <row r="70" spans="1:8">
      <c r="A70" t="s">
        <v>7115</v>
      </c>
      <c r="B70" t="s">
        <v>7116</v>
      </c>
      <c r="C70" t="s">
        <v>7117</v>
      </c>
      <c r="D70" t="s">
        <v>126</v>
      </c>
      <c r="E70" t="s">
        <v>7118</v>
      </c>
      <c r="F70" t="s">
        <v>7119</v>
      </c>
      <c r="G70" t="s">
        <v>40</v>
      </c>
      <c r="H70" t="s">
        <v>6851</v>
      </c>
    </row>
    <row r="71" spans="1:8">
      <c r="A71" t="s">
        <v>7120</v>
      </c>
      <c r="B71" t="s">
        <v>7121</v>
      </c>
      <c r="C71" t="s">
        <v>7122</v>
      </c>
      <c r="D71" t="s">
        <v>126</v>
      </c>
      <c r="E71" t="s">
        <v>7120</v>
      </c>
      <c r="F71" t="s">
        <v>7123</v>
      </c>
      <c r="H71" t="s">
        <v>6851</v>
      </c>
    </row>
    <row r="72" spans="1:8">
      <c r="A72" t="s">
        <v>7124</v>
      </c>
      <c r="B72" t="s">
        <v>7125</v>
      </c>
      <c r="C72" t="s">
        <v>7126</v>
      </c>
      <c r="D72" t="s">
        <v>126</v>
      </c>
      <c r="E72" t="s">
        <v>7127</v>
      </c>
      <c r="F72" t="s">
        <v>7123</v>
      </c>
      <c r="H72" t="s">
        <v>6851</v>
      </c>
    </row>
    <row r="73" spans="1:8">
      <c r="A73" t="s">
        <v>7128</v>
      </c>
      <c r="B73" t="s">
        <v>7129</v>
      </c>
      <c r="C73" t="s">
        <v>7130</v>
      </c>
      <c r="D73" t="s">
        <v>126</v>
      </c>
      <c r="E73" t="s">
        <v>7131</v>
      </c>
      <c r="F73" t="s">
        <v>7129</v>
      </c>
      <c r="H73" t="s">
        <v>80</v>
      </c>
    </row>
    <row r="74" spans="1:8">
      <c r="A74" t="s">
        <v>7132</v>
      </c>
      <c r="B74" t="s">
        <v>7133</v>
      </c>
      <c r="C74" t="s">
        <v>7134</v>
      </c>
      <c r="D74" t="s">
        <v>126</v>
      </c>
      <c r="E74" t="s">
        <v>7135</v>
      </c>
      <c r="F74" t="s">
        <v>7133</v>
      </c>
      <c r="H74" t="s">
        <v>80</v>
      </c>
    </row>
    <row r="75" spans="1:8">
      <c r="A75" t="s">
        <v>7136</v>
      </c>
      <c r="B75" t="s">
        <v>7137</v>
      </c>
      <c r="C75" t="s">
        <v>7138</v>
      </c>
      <c r="D75" t="s">
        <v>126</v>
      </c>
      <c r="E75" t="s">
        <v>7139</v>
      </c>
      <c r="F75" t="s">
        <v>7140</v>
      </c>
      <c r="G75" t="s">
        <v>45</v>
      </c>
      <c r="H75" t="s">
        <v>6851</v>
      </c>
    </row>
    <row r="76" spans="1:8">
      <c r="A76" t="s">
        <v>7141</v>
      </c>
      <c r="B76" t="s">
        <v>7142</v>
      </c>
      <c r="C76" t="s">
        <v>7143</v>
      </c>
      <c r="D76" t="s">
        <v>126</v>
      </c>
      <c r="E76" t="s">
        <v>7144</v>
      </c>
      <c r="F76" t="s">
        <v>7140</v>
      </c>
      <c r="G76" t="s">
        <v>45</v>
      </c>
      <c r="H76" t="s">
        <v>6851</v>
      </c>
    </row>
    <row r="77" spans="1:8">
      <c r="A77" t="s">
        <v>7145</v>
      </c>
      <c r="B77" t="s">
        <v>7146</v>
      </c>
      <c r="C77" t="s">
        <v>7147</v>
      </c>
      <c r="D77" t="s">
        <v>126</v>
      </c>
      <c r="E77" t="s">
        <v>7148</v>
      </c>
      <c r="F77" t="s">
        <v>7140</v>
      </c>
      <c r="G77" t="s">
        <v>45</v>
      </c>
      <c r="H77" t="s">
        <v>6851</v>
      </c>
    </row>
    <row r="78" spans="1:8">
      <c r="A78" t="s">
        <v>7149</v>
      </c>
      <c r="B78" t="s">
        <v>7150</v>
      </c>
      <c r="C78" t="s">
        <v>7151</v>
      </c>
      <c r="D78" t="s">
        <v>126</v>
      </c>
      <c r="E78" t="s">
        <v>7152</v>
      </c>
      <c r="F78" t="s">
        <v>7140</v>
      </c>
      <c r="G78" t="s">
        <v>45</v>
      </c>
      <c r="H78" t="s">
        <v>6851</v>
      </c>
    </row>
    <row r="79" spans="1:8">
      <c r="A79" t="s">
        <v>7153</v>
      </c>
      <c r="B79" t="s">
        <v>7154</v>
      </c>
      <c r="C79" t="s">
        <v>7155</v>
      </c>
      <c r="D79" t="s">
        <v>126</v>
      </c>
      <c r="E79" t="s">
        <v>7156</v>
      </c>
      <c r="F79" t="s">
        <v>7140</v>
      </c>
      <c r="G79" t="s">
        <v>45</v>
      </c>
      <c r="H79" t="s">
        <v>6851</v>
      </c>
    </row>
    <row r="80" spans="1:8">
      <c r="A80" t="s">
        <v>7157</v>
      </c>
      <c r="B80" t="s">
        <v>7158</v>
      </c>
      <c r="C80" t="s">
        <v>7159</v>
      </c>
      <c r="D80" t="s">
        <v>126</v>
      </c>
      <c r="E80" t="s">
        <v>7160</v>
      </c>
      <c r="F80" t="s">
        <v>7140</v>
      </c>
      <c r="G80" t="s">
        <v>45</v>
      </c>
      <c r="H80" t="s">
        <v>6851</v>
      </c>
    </row>
    <row r="81" spans="1:8">
      <c r="A81" t="s">
        <v>7161</v>
      </c>
      <c r="B81" t="s">
        <v>7162</v>
      </c>
      <c r="C81" t="s">
        <v>7163</v>
      </c>
      <c r="D81" t="s">
        <v>129</v>
      </c>
      <c r="E81" t="s">
        <v>7164</v>
      </c>
      <c r="F81" t="s">
        <v>7165</v>
      </c>
      <c r="G81" t="s">
        <v>45</v>
      </c>
      <c r="H81" t="s">
        <v>6851</v>
      </c>
    </row>
    <row r="82" spans="1:8">
      <c r="A82" t="s">
        <v>7166</v>
      </c>
      <c r="B82" t="s">
        <v>7167</v>
      </c>
      <c r="C82" t="s">
        <v>7168</v>
      </c>
      <c r="D82" t="s">
        <v>129</v>
      </c>
      <c r="E82" t="s">
        <v>7164</v>
      </c>
      <c r="F82" t="s">
        <v>7165</v>
      </c>
      <c r="G82" t="s">
        <v>45</v>
      </c>
      <c r="H82" t="s">
        <v>6851</v>
      </c>
    </row>
    <row r="83" spans="1:8">
      <c r="A83" t="s">
        <v>7169</v>
      </c>
      <c r="B83" t="s">
        <v>7170</v>
      </c>
      <c r="C83" t="s">
        <v>7171</v>
      </c>
      <c r="D83" t="s">
        <v>129</v>
      </c>
      <c r="E83" t="s">
        <v>7164</v>
      </c>
      <c r="F83" t="s">
        <v>7165</v>
      </c>
      <c r="G83" t="s">
        <v>45</v>
      </c>
      <c r="H83" t="s">
        <v>6851</v>
      </c>
    </row>
    <row r="84" spans="1:8">
      <c r="A84" t="s">
        <v>7172</v>
      </c>
      <c r="B84" t="s">
        <v>7173</v>
      </c>
      <c r="C84" t="s">
        <v>7174</v>
      </c>
      <c r="D84" t="s">
        <v>129</v>
      </c>
      <c r="E84" t="s">
        <v>7164</v>
      </c>
      <c r="F84" t="s">
        <v>7165</v>
      </c>
      <c r="G84" t="s">
        <v>45</v>
      </c>
      <c r="H84" t="s">
        <v>6851</v>
      </c>
    </row>
    <row r="85" spans="1:8">
      <c r="A85" t="s">
        <v>7175</v>
      </c>
      <c r="B85" t="s">
        <v>7176</v>
      </c>
      <c r="C85" t="s">
        <v>7177</v>
      </c>
      <c r="D85" t="s">
        <v>129</v>
      </c>
      <c r="E85" t="s">
        <v>7164</v>
      </c>
      <c r="F85" t="s">
        <v>7165</v>
      </c>
      <c r="G85" t="s">
        <v>45</v>
      </c>
      <c r="H85" t="s">
        <v>6851</v>
      </c>
    </row>
    <row r="86" spans="1:8">
      <c r="A86" t="s">
        <v>7178</v>
      </c>
      <c r="B86" t="s">
        <v>7179</v>
      </c>
      <c r="C86" t="s">
        <v>7180</v>
      </c>
      <c r="D86" t="s">
        <v>129</v>
      </c>
      <c r="E86" t="s">
        <v>7181</v>
      </c>
      <c r="F86" t="s">
        <v>7165</v>
      </c>
      <c r="G86" t="s">
        <v>45</v>
      </c>
      <c r="H86" t="s">
        <v>6851</v>
      </c>
    </row>
    <row r="87" spans="1:8">
      <c r="A87" t="s">
        <v>7182</v>
      </c>
      <c r="B87" t="s">
        <v>7183</v>
      </c>
      <c r="C87" t="s">
        <v>7184</v>
      </c>
      <c r="D87" t="s">
        <v>129</v>
      </c>
      <c r="E87" t="s">
        <v>7185</v>
      </c>
      <c r="F87" t="s">
        <v>7165</v>
      </c>
      <c r="G87" t="s">
        <v>45</v>
      </c>
      <c r="H87" t="s">
        <v>6851</v>
      </c>
    </row>
    <row r="88" spans="1:8">
      <c r="A88" t="s">
        <v>7186</v>
      </c>
      <c r="B88" t="s">
        <v>7187</v>
      </c>
      <c r="C88" t="s">
        <v>7188</v>
      </c>
      <c r="D88" t="s">
        <v>129</v>
      </c>
      <c r="E88" t="s">
        <v>7189</v>
      </c>
      <c r="F88" t="s">
        <v>7165</v>
      </c>
      <c r="G88" t="s">
        <v>45</v>
      </c>
      <c r="H88" t="s">
        <v>6851</v>
      </c>
    </row>
    <row r="89" spans="1:8">
      <c r="A89" t="s">
        <v>7190</v>
      </c>
      <c r="B89" t="s">
        <v>7191</v>
      </c>
      <c r="C89" t="s">
        <v>7192</v>
      </c>
      <c r="D89" t="s">
        <v>126</v>
      </c>
      <c r="E89" t="s">
        <v>7193</v>
      </c>
      <c r="F89" t="s">
        <v>7191</v>
      </c>
      <c r="G89" t="s">
        <v>50</v>
      </c>
      <c r="H89" t="s">
        <v>6851</v>
      </c>
    </row>
    <row r="90" spans="1:8">
      <c r="A90" t="s">
        <v>7194</v>
      </c>
      <c r="B90" t="s">
        <v>7195</v>
      </c>
      <c r="C90" t="s">
        <v>7196</v>
      </c>
      <c r="D90" t="s">
        <v>133</v>
      </c>
      <c r="E90" t="s">
        <v>7194</v>
      </c>
      <c r="F90" t="s">
        <v>7197</v>
      </c>
      <c r="G90" t="s">
        <v>7198</v>
      </c>
      <c r="H90" t="s">
        <v>6851</v>
      </c>
    </row>
    <row r="91" spans="1:8">
      <c r="A91" t="s">
        <v>7199</v>
      </c>
      <c r="B91" t="s">
        <v>7200</v>
      </c>
      <c r="C91" t="s">
        <v>7201</v>
      </c>
      <c r="D91" t="s">
        <v>126</v>
      </c>
      <c r="E91" t="s">
        <v>7199</v>
      </c>
      <c r="F91" t="s">
        <v>7202</v>
      </c>
      <c r="G91" t="s">
        <v>50</v>
      </c>
      <c r="H91" t="s">
        <v>6851</v>
      </c>
    </row>
    <row r="92" spans="1:8">
      <c r="A92" t="s">
        <v>7203</v>
      </c>
      <c r="B92" t="s">
        <v>7204</v>
      </c>
      <c r="C92" t="s">
        <v>7205</v>
      </c>
      <c r="D92" t="s">
        <v>126</v>
      </c>
      <c r="E92" t="s">
        <v>7203</v>
      </c>
      <c r="F92" t="s">
        <v>7206</v>
      </c>
      <c r="G92" t="s">
        <v>50</v>
      </c>
      <c r="H92" t="s">
        <v>6851</v>
      </c>
    </row>
    <row r="93" spans="1:8">
      <c r="A93" t="s">
        <v>7207</v>
      </c>
      <c r="B93" t="s">
        <v>7208</v>
      </c>
      <c r="C93" t="s">
        <v>7209</v>
      </c>
      <c r="D93" t="s">
        <v>126</v>
      </c>
      <c r="E93" t="s">
        <v>7207</v>
      </c>
      <c r="F93" t="s">
        <v>7208</v>
      </c>
      <c r="G93" t="s">
        <v>50</v>
      </c>
      <c r="H93" t="s">
        <v>6851</v>
      </c>
    </row>
    <row r="94" spans="1:8">
      <c r="A94" t="s">
        <v>7210</v>
      </c>
      <c r="B94" t="s">
        <v>7211</v>
      </c>
      <c r="C94" t="s">
        <v>7212</v>
      </c>
      <c r="D94" t="s">
        <v>129</v>
      </c>
      <c r="E94" t="s">
        <v>7213</v>
      </c>
      <c r="F94" t="s">
        <v>7214</v>
      </c>
      <c r="G94" t="s">
        <v>50</v>
      </c>
      <c r="H94" t="s">
        <v>6851</v>
      </c>
    </row>
    <row r="95" spans="1:8">
      <c r="A95" t="s">
        <v>7215</v>
      </c>
      <c r="B95" t="s">
        <v>7216</v>
      </c>
      <c r="C95" t="s">
        <v>7217</v>
      </c>
      <c r="D95" t="s">
        <v>129</v>
      </c>
      <c r="E95" t="s">
        <v>7218</v>
      </c>
      <c r="F95" t="s">
        <v>7216</v>
      </c>
      <c r="G95" t="s">
        <v>50</v>
      </c>
      <c r="H95" t="s">
        <v>6851</v>
      </c>
    </row>
    <row r="96" spans="1:8">
      <c r="A96" t="s">
        <v>7219</v>
      </c>
      <c r="B96" t="s">
        <v>7220</v>
      </c>
      <c r="C96" t="s">
        <v>7221</v>
      </c>
      <c r="D96" t="s">
        <v>126</v>
      </c>
      <c r="E96" t="s">
        <v>7219</v>
      </c>
      <c r="F96" t="s">
        <v>7220</v>
      </c>
      <c r="G96" t="s">
        <v>50</v>
      </c>
      <c r="H96" t="s">
        <v>6851</v>
      </c>
    </row>
    <row r="97" spans="1:8">
      <c r="A97" t="s">
        <v>7222</v>
      </c>
      <c r="B97" t="s">
        <v>7223</v>
      </c>
      <c r="C97" t="s">
        <v>7224</v>
      </c>
      <c r="D97" t="s">
        <v>126</v>
      </c>
      <c r="E97" t="s">
        <v>7222</v>
      </c>
      <c r="F97" t="s">
        <v>7225</v>
      </c>
      <c r="G97" t="s">
        <v>45</v>
      </c>
      <c r="H97" t="s">
        <v>6851</v>
      </c>
    </row>
    <row r="98" spans="1:8">
      <c r="A98" t="s">
        <v>7226</v>
      </c>
      <c r="B98" t="s">
        <v>7227</v>
      </c>
      <c r="C98" t="s">
        <v>7228</v>
      </c>
      <c r="D98" t="s">
        <v>129</v>
      </c>
      <c r="E98" t="s">
        <v>7229</v>
      </c>
      <c r="F98" t="s">
        <v>7230</v>
      </c>
      <c r="G98" t="s">
        <v>7231</v>
      </c>
      <c r="H98" t="s">
        <v>6851</v>
      </c>
    </row>
    <row r="99" spans="1:8">
      <c r="A99" t="s">
        <v>7232</v>
      </c>
      <c r="B99" t="s">
        <v>7233</v>
      </c>
      <c r="C99" t="s">
        <v>7234</v>
      </c>
      <c r="D99" t="s">
        <v>1827</v>
      </c>
      <c r="E99" t="s">
        <v>7232</v>
      </c>
      <c r="F99" t="s">
        <v>7235</v>
      </c>
      <c r="G99" t="s">
        <v>7236</v>
      </c>
      <c r="H99" t="s">
        <v>80</v>
      </c>
    </row>
    <row r="100" spans="1:8">
      <c r="A100" t="s">
        <v>7237</v>
      </c>
      <c r="B100" t="s">
        <v>7238</v>
      </c>
      <c r="C100" t="s">
        <v>7239</v>
      </c>
      <c r="D100" t="s">
        <v>129</v>
      </c>
      <c r="E100" t="s">
        <v>7240</v>
      </c>
      <c r="F100" t="s">
        <v>7238</v>
      </c>
      <c r="G100" t="s">
        <v>53</v>
      </c>
      <c r="H100" t="s">
        <v>6851</v>
      </c>
    </row>
    <row r="101" spans="1:8">
      <c r="A101" t="s">
        <v>7241</v>
      </c>
      <c r="B101" t="s">
        <v>7242</v>
      </c>
      <c r="C101" t="s">
        <v>7243</v>
      </c>
      <c r="D101" t="s">
        <v>129</v>
      </c>
      <c r="E101" t="s">
        <v>7241</v>
      </c>
      <c r="F101" t="s">
        <v>7242</v>
      </c>
      <c r="G101" t="s">
        <v>53</v>
      </c>
      <c r="H101" t="s">
        <v>6851</v>
      </c>
    </row>
    <row r="102" spans="1:8">
      <c r="A102" t="s">
        <v>7244</v>
      </c>
      <c r="B102" t="s">
        <v>7245</v>
      </c>
      <c r="C102" t="s">
        <v>7246</v>
      </c>
      <c r="D102" t="s">
        <v>129</v>
      </c>
      <c r="E102" t="s">
        <v>7244</v>
      </c>
      <c r="F102" t="s">
        <v>7247</v>
      </c>
      <c r="G102" t="s">
        <v>53</v>
      </c>
      <c r="H102" t="s">
        <v>6851</v>
      </c>
    </row>
    <row r="103" spans="1:8">
      <c r="A103" t="s">
        <v>7248</v>
      </c>
      <c r="B103" t="s">
        <v>7249</v>
      </c>
      <c r="C103" t="s">
        <v>7250</v>
      </c>
      <c r="D103" t="s">
        <v>133</v>
      </c>
      <c r="F103" t="s">
        <v>7249</v>
      </c>
      <c r="G103" t="s">
        <v>7198</v>
      </c>
      <c r="H103" t="s">
        <v>6851</v>
      </c>
    </row>
    <row r="104" spans="1:8">
      <c r="A104" t="s">
        <v>7251</v>
      </c>
      <c r="B104" t="s">
        <v>7252</v>
      </c>
      <c r="C104" t="s">
        <v>7253</v>
      </c>
      <c r="D104" t="s">
        <v>1827</v>
      </c>
      <c r="E104" t="s">
        <v>7251</v>
      </c>
      <c r="F104" t="s">
        <v>7254</v>
      </c>
      <c r="G104" t="s">
        <v>53</v>
      </c>
      <c r="H104" t="s">
        <v>6851</v>
      </c>
    </row>
    <row r="105" spans="1:8">
      <c r="A105" t="s">
        <v>7255</v>
      </c>
      <c r="B105" t="s">
        <v>7256</v>
      </c>
      <c r="C105" t="s">
        <v>7257</v>
      </c>
      <c r="D105" t="s">
        <v>126</v>
      </c>
      <c r="E105" t="s">
        <v>7258</v>
      </c>
      <c r="F105" t="s">
        <v>7259</v>
      </c>
      <c r="G105" t="s">
        <v>53</v>
      </c>
      <c r="H105" t="s">
        <v>6851</v>
      </c>
    </row>
    <row r="106" spans="1:8">
      <c r="A106" t="s">
        <v>7260</v>
      </c>
      <c r="B106" t="s">
        <v>7261</v>
      </c>
      <c r="C106" t="s">
        <v>7262</v>
      </c>
      <c r="D106" t="s">
        <v>126</v>
      </c>
      <c r="E106" t="s">
        <v>7260</v>
      </c>
      <c r="F106" t="s">
        <v>7259</v>
      </c>
      <c r="G106" t="s">
        <v>53</v>
      </c>
      <c r="H106" t="s">
        <v>6851</v>
      </c>
    </row>
    <row r="107" spans="1:8">
      <c r="A107" t="s">
        <v>7263</v>
      </c>
      <c r="B107" t="s">
        <v>7264</v>
      </c>
      <c r="C107" t="s">
        <v>7265</v>
      </c>
      <c r="D107" t="s">
        <v>133</v>
      </c>
      <c r="F107" t="s">
        <v>7266</v>
      </c>
      <c r="G107" t="s">
        <v>7267</v>
      </c>
      <c r="H107" t="s">
        <v>6851</v>
      </c>
    </row>
    <row r="108" spans="1:8">
      <c r="A108" t="s">
        <v>7268</v>
      </c>
      <c r="B108" t="s">
        <v>7269</v>
      </c>
      <c r="C108" t="s">
        <v>7270</v>
      </c>
      <c r="D108" t="s">
        <v>133</v>
      </c>
      <c r="F108" t="s">
        <v>7266</v>
      </c>
      <c r="G108" t="s">
        <v>7267</v>
      </c>
      <c r="H108" t="s">
        <v>6851</v>
      </c>
    </row>
    <row r="109" spans="1:8">
      <c r="A109" t="s">
        <v>7271</v>
      </c>
      <c r="B109" t="s">
        <v>7272</v>
      </c>
      <c r="C109" t="s">
        <v>7273</v>
      </c>
      <c r="D109" t="s">
        <v>133</v>
      </c>
      <c r="F109" t="s">
        <v>7266</v>
      </c>
      <c r="G109" t="s">
        <v>7267</v>
      </c>
      <c r="H109" t="s">
        <v>6851</v>
      </c>
    </row>
    <row r="110" spans="1:8">
      <c r="A110" t="s">
        <v>7274</v>
      </c>
      <c r="B110" t="s">
        <v>7275</v>
      </c>
      <c r="C110" t="s">
        <v>7276</v>
      </c>
      <c r="D110" t="s">
        <v>133</v>
      </c>
      <c r="F110" t="s">
        <v>7266</v>
      </c>
      <c r="G110" t="s">
        <v>7267</v>
      </c>
      <c r="H110" t="s">
        <v>6851</v>
      </c>
    </row>
    <row r="111" spans="1:8">
      <c r="A111" t="s">
        <v>7277</v>
      </c>
      <c r="B111" t="s">
        <v>7278</v>
      </c>
      <c r="C111" t="s">
        <v>7279</v>
      </c>
      <c r="D111" t="s">
        <v>133</v>
      </c>
      <c r="F111" t="s">
        <v>7266</v>
      </c>
      <c r="G111" t="s">
        <v>7267</v>
      </c>
      <c r="H111" t="s">
        <v>6851</v>
      </c>
    </row>
    <row r="112" spans="1:8">
      <c r="A112" t="s">
        <v>7280</v>
      </c>
      <c r="B112" t="s">
        <v>7281</v>
      </c>
      <c r="C112" t="s">
        <v>7282</v>
      </c>
      <c r="D112" t="s">
        <v>133</v>
      </c>
      <c r="F112" t="s">
        <v>7266</v>
      </c>
      <c r="G112" t="s">
        <v>7267</v>
      </c>
      <c r="H112" t="s">
        <v>6851</v>
      </c>
    </row>
    <row r="113" spans="1:8">
      <c r="A113" t="s">
        <v>7283</v>
      </c>
      <c r="B113" t="s">
        <v>7284</v>
      </c>
      <c r="C113" t="s">
        <v>7285</v>
      </c>
      <c r="D113" t="s">
        <v>133</v>
      </c>
      <c r="F113" t="s">
        <v>7266</v>
      </c>
      <c r="G113" t="s">
        <v>7267</v>
      </c>
      <c r="H113" t="s">
        <v>6851</v>
      </c>
    </row>
    <row r="114" spans="1:8">
      <c r="A114" t="s">
        <v>7286</v>
      </c>
      <c r="B114" t="s">
        <v>7287</v>
      </c>
      <c r="C114" t="s">
        <v>7288</v>
      </c>
      <c r="D114" t="s">
        <v>133</v>
      </c>
      <c r="F114" t="s">
        <v>7266</v>
      </c>
      <c r="G114" t="s">
        <v>7267</v>
      </c>
      <c r="H114" t="s">
        <v>6851</v>
      </c>
    </row>
    <row r="115" spans="1:8">
      <c r="A115" t="s">
        <v>7289</v>
      </c>
      <c r="B115" t="s">
        <v>7290</v>
      </c>
      <c r="C115" t="s">
        <v>7291</v>
      </c>
      <c r="D115" t="s">
        <v>133</v>
      </c>
      <c r="E115" t="s">
        <v>7289</v>
      </c>
      <c r="F115" t="s">
        <v>7266</v>
      </c>
      <c r="G115" t="s">
        <v>7267</v>
      </c>
      <c r="H115" t="s">
        <v>6851</v>
      </c>
    </row>
    <row r="116" spans="1:8">
      <c r="A116" t="s">
        <v>7292</v>
      </c>
      <c r="B116" t="s">
        <v>7293</v>
      </c>
      <c r="C116" t="s">
        <v>7294</v>
      </c>
      <c r="D116" t="s">
        <v>133</v>
      </c>
      <c r="F116" t="s">
        <v>7266</v>
      </c>
      <c r="G116" t="s">
        <v>7267</v>
      </c>
      <c r="H116" t="s">
        <v>6851</v>
      </c>
    </row>
    <row r="117" spans="1:8">
      <c r="A117" t="s">
        <v>7295</v>
      </c>
      <c r="B117" t="s">
        <v>7296</v>
      </c>
      <c r="C117" t="s">
        <v>7297</v>
      </c>
      <c r="D117" t="s">
        <v>133</v>
      </c>
      <c r="E117" t="s">
        <v>7295</v>
      </c>
      <c r="F117" t="s">
        <v>7266</v>
      </c>
      <c r="G117" t="s">
        <v>7267</v>
      </c>
      <c r="H117" t="s">
        <v>6851</v>
      </c>
    </row>
    <row r="118" spans="1:8">
      <c r="A118" t="s">
        <v>7298</v>
      </c>
      <c r="B118" t="s">
        <v>7299</v>
      </c>
      <c r="C118" t="s">
        <v>7300</v>
      </c>
      <c r="D118" t="s">
        <v>133</v>
      </c>
      <c r="F118" t="s">
        <v>7266</v>
      </c>
      <c r="G118" t="s">
        <v>7267</v>
      </c>
      <c r="H118" t="s">
        <v>6851</v>
      </c>
    </row>
    <row r="119" spans="1:8">
      <c r="A119" t="s">
        <v>7301</v>
      </c>
      <c r="B119" t="s">
        <v>7302</v>
      </c>
      <c r="C119" t="s">
        <v>7303</v>
      </c>
      <c r="D119" t="s">
        <v>133</v>
      </c>
      <c r="F119" t="s">
        <v>7266</v>
      </c>
      <c r="G119" t="s">
        <v>7267</v>
      </c>
      <c r="H119" t="s">
        <v>6851</v>
      </c>
    </row>
    <row r="120" spans="1:8">
      <c r="A120" t="s">
        <v>7304</v>
      </c>
      <c r="B120" t="s">
        <v>7305</v>
      </c>
      <c r="C120" t="s">
        <v>7306</v>
      </c>
      <c r="D120" t="s">
        <v>133</v>
      </c>
      <c r="F120" t="s">
        <v>7266</v>
      </c>
      <c r="G120" t="s">
        <v>7267</v>
      </c>
      <c r="H120" t="s">
        <v>6851</v>
      </c>
    </row>
    <row r="121" spans="1:8">
      <c r="A121" t="s">
        <v>7307</v>
      </c>
      <c r="B121" t="s">
        <v>7308</v>
      </c>
      <c r="C121" t="s">
        <v>7309</v>
      </c>
      <c r="D121" t="s">
        <v>133</v>
      </c>
      <c r="F121" t="s">
        <v>7266</v>
      </c>
      <c r="G121" t="s">
        <v>7267</v>
      </c>
      <c r="H121" t="s">
        <v>6851</v>
      </c>
    </row>
    <row r="122" spans="1:8">
      <c r="A122" t="s">
        <v>7310</v>
      </c>
      <c r="B122" t="s">
        <v>7311</v>
      </c>
      <c r="C122" t="s">
        <v>7312</v>
      </c>
      <c r="D122" t="s">
        <v>133</v>
      </c>
      <c r="E122" t="s">
        <v>7310</v>
      </c>
      <c r="F122" t="s">
        <v>7266</v>
      </c>
      <c r="G122" t="s">
        <v>7267</v>
      </c>
      <c r="H122" t="s">
        <v>6851</v>
      </c>
    </row>
    <row r="123" spans="1:8">
      <c r="A123" t="s">
        <v>7313</v>
      </c>
      <c r="B123" t="s">
        <v>7314</v>
      </c>
      <c r="C123" t="s">
        <v>7315</v>
      </c>
      <c r="D123" t="s">
        <v>133</v>
      </c>
      <c r="F123" t="s">
        <v>7266</v>
      </c>
      <c r="G123" t="s">
        <v>7267</v>
      </c>
      <c r="H123" t="s">
        <v>6851</v>
      </c>
    </row>
    <row r="124" spans="1:8">
      <c r="A124" t="s">
        <v>7316</v>
      </c>
      <c r="B124" t="s">
        <v>7317</v>
      </c>
      <c r="C124" t="s">
        <v>7318</v>
      </c>
      <c r="D124" t="s">
        <v>133</v>
      </c>
      <c r="F124" t="s">
        <v>7266</v>
      </c>
      <c r="G124" t="s">
        <v>7267</v>
      </c>
      <c r="H124" t="s">
        <v>6851</v>
      </c>
    </row>
    <row r="125" spans="1:8">
      <c r="A125" t="s">
        <v>7319</v>
      </c>
      <c r="B125" t="s">
        <v>7320</v>
      </c>
      <c r="C125" t="s">
        <v>7321</v>
      </c>
      <c r="D125" t="s">
        <v>133</v>
      </c>
      <c r="F125" t="s">
        <v>7266</v>
      </c>
      <c r="G125" t="s">
        <v>7267</v>
      </c>
      <c r="H125" t="s">
        <v>6851</v>
      </c>
    </row>
    <row r="126" spans="1:8">
      <c r="A126" t="s">
        <v>7322</v>
      </c>
      <c r="B126" t="s">
        <v>7323</v>
      </c>
      <c r="C126" t="s">
        <v>7324</v>
      </c>
      <c r="D126" t="s">
        <v>133</v>
      </c>
      <c r="F126" t="s">
        <v>7266</v>
      </c>
      <c r="G126" t="s">
        <v>7267</v>
      </c>
      <c r="H126" t="s">
        <v>6851</v>
      </c>
    </row>
    <row r="127" spans="1:8">
      <c r="A127" t="s">
        <v>7325</v>
      </c>
      <c r="B127" t="s">
        <v>7326</v>
      </c>
      <c r="C127" t="s">
        <v>7327</v>
      </c>
      <c r="D127" t="s">
        <v>133</v>
      </c>
      <c r="F127" t="s">
        <v>7266</v>
      </c>
      <c r="G127" t="s">
        <v>7267</v>
      </c>
      <c r="H127" t="s">
        <v>6851</v>
      </c>
    </row>
    <row r="128" spans="1:8">
      <c r="A128" t="s">
        <v>7328</v>
      </c>
      <c r="B128" t="s">
        <v>7329</v>
      </c>
      <c r="C128" t="s">
        <v>7330</v>
      </c>
      <c r="D128" t="s">
        <v>133</v>
      </c>
      <c r="F128" t="s">
        <v>7266</v>
      </c>
      <c r="G128" t="s">
        <v>7267</v>
      </c>
      <c r="H128" t="s">
        <v>6851</v>
      </c>
    </row>
    <row r="129" spans="1:8">
      <c r="A129" t="s">
        <v>7331</v>
      </c>
      <c r="B129" t="s">
        <v>7332</v>
      </c>
      <c r="C129" t="s">
        <v>7333</v>
      </c>
      <c r="D129" t="s">
        <v>133</v>
      </c>
      <c r="F129" t="s">
        <v>7266</v>
      </c>
      <c r="G129" t="s">
        <v>7267</v>
      </c>
      <c r="H129" t="s">
        <v>6851</v>
      </c>
    </row>
    <row r="130" spans="1:8">
      <c r="A130" t="s">
        <v>7334</v>
      </c>
      <c r="B130" t="s">
        <v>7335</v>
      </c>
      <c r="C130" t="s">
        <v>7336</v>
      </c>
      <c r="D130" t="s">
        <v>133</v>
      </c>
      <c r="F130" t="s">
        <v>7266</v>
      </c>
      <c r="G130" t="s">
        <v>7267</v>
      </c>
      <c r="H130" t="s">
        <v>6851</v>
      </c>
    </row>
    <row r="131" spans="1:8">
      <c r="A131" t="s">
        <v>7337</v>
      </c>
      <c r="B131" t="s">
        <v>7338</v>
      </c>
      <c r="C131" t="s">
        <v>7339</v>
      </c>
      <c r="D131" t="s">
        <v>133</v>
      </c>
      <c r="F131" t="s">
        <v>7266</v>
      </c>
      <c r="G131" t="s">
        <v>7267</v>
      </c>
      <c r="H131" t="s">
        <v>6851</v>
      </c>
    </row>
    <row r="132" spans="1:8">
      <c r="A132" t="s">
        <v>7340</v>
      </c>
      <c r="B132" t="s">
        <v>7341</v>
      </c>
      <c r="C132" t="s">
        <v>7342</v>
      </c>
      <c r="D132" t="s">
        <v>133</v>
      </c>
      <c r="F132" t="s">
        <v>7266</v>
      </c>
      <c r="G132" t="s">
        <v>7267</v>
      </c>
      <c r="H132" t="s">
        <v>6851</v>
      </c>
    </row>
    <row r="133" spans="1:8">
      <c r="A133" t="s">
        <v>7343</v>
      </c>
      <c r="B133" t="s">
        <v>7344</v>
      </c>
      <c r="C133" t="s">
        <v>7345</v>
      </c>
      <c r="D133" t="s">
        <v>133</v>
      </c>
      <c r="F133" t="s">
        <v>7266</v>
      </c>
      <c r="G133" t="s">
        <v>7267</v>
      </c>
      <c r="H133" t="s">
        <v>6851</v>
      </c>
    </row>
    <row r="134" spans="1:8">
      <c r="A134" t="s">
        <v>7346</v>
      </c>
      <c r="B134" t="s">
        <v>7347</v>
      </c>
      <c r="C134" t="s">
        <v>7348</v>
      </c>
      <c r="D134" t="s">
        <v>133</v>
      </c>
      <c r="F134" t="s">
        <v>7266</v>
      </c>
      <c r="G134" t="s">
        <v>7267</v>
      </c>
      <c r="H134" t="s">
        <v>6851</v>
      </c>
    </row>
    <row r="135" spans="1:8">
      <c r="A135" t="s">
        <v>7349</v>
      </c>
      <c r="B135" t="s">
        <v>7350</v>
      </c>
      <c r="C135" t="s">
        <v>7351</v>
      </c>
      <c r="D135" t="s">
        <v>133</v>
      </c>
      <c r="E135" t="s">
        <v>7349</v>
      </c>
      <c r="F135" t="s">
        <v>7266</v>
      </c>
      <c r="G135" t="s">
        <v>7267</v>
      </c>
      <c r="H135" t="s">
        <v>6851</v>
      </c>
    </row>
    <row r="136" spans="1:8">
      <c r="A136" t="s">
        <v>7352</v>
      </c>
      <c r="B136" t="s">
        <v>7353</v>
      </c>
      <c r="C136" t="s">
        <v>7354</v>
      </c>
      <c r="D136" t="s">
        <v>126</v>
      </c>
      <c r="E136" t="s">
        <v>7352</v>
      </c>
      <c r="F136" t="s">
        <v>7225</v>
      </c>
      <c r="G136" t="s">
        <v>45</v>
      </c>
      <c r="H136" t="s">
        <v>6851</v>
      </c>
    </row>
    <row r="137" spans="1:8">
      <c r="A137" t="s">
        <v>7355</v>
      </c>
      <c r="B137" t="s">
        <v>7356</v>
      </c>
      <c r="C137" t="s">
        <v>7357</v>
      </c>
      <c r="D137" t="s">
        <v>133</v>
      </c>
      <c r="E137" t="s">
        <v>7355</v>
      </c>
      <c r="F137" t="s">
        <v>7358</v>
      </c>
      <c r="G137" t="s">
        <v>7236</v>
      </c>
      <c r="H137" t="s">
        <v>6851</v>
      </c>
    </row>
    <row r="138" spans="1:8">
      <c r="A138" t="s">
        <v>7359</v>
      </c>
      <c r="B138" t="s">
        <v>7360</v>
      </c>
      <c r="C138" t="s">
        <v>7361</v>
      </c>
      <c r="D138" t="s">
        <v>133</v>
      </c>
      <c r="E138" t="s">
        <v>7359</v>
      </c>
      <c r="F138" t="s">
        <v>7358</v>
      </c>
      <c r="G138" t="s">
        <v>7236</v>
      </c>
      <c r="H138" t="s">
        <v>6851</v>
      </c>
    </row>
    <row r="139" spans="1:8">
      <c r="A139" t="s">
        <v>7362</v>
      </c>
      <c r="B139" t="s">
        <v>7363</v>
      </c>
      <c r="C139" t="s">
        <v>7364</v>
      </c>
      <c r="D139" t="s">
        <v>129</v>
      </c>
      <c r="E139" t="s">
        <v>7362</v>
      </c>
      <c r="F139" t="s">
        <v>7365</v>
      </c>
      <c r="G139" t="s">
        <v>7366</v>
      </c>
      <c r="H139" t="s">
        <v>6851</v>
      </c>
    </row>
    <row r="140" spans="1:8">
      <c r="A140" t="s">
        <v>7367</v>
      </c>
      <c r="B140" t="s">
        <v>7368</v>
      </c>
      <c r="C140" t="s">
        <v>7369</v>
      </c>
      <c r="D140" t="s">
        <v>129</v>
      </c>
      <c r="E140" t="s">
        <v>7367</v>
      </c>
      <c r="F140" t="s">
        <v>7368</v>
      </c>
      <c r="G140" t="s">
        <v>7366</v>
      </c>
      <c r="H140" t="s">
        <v>6851</v>
      </c>
    </row>
    <row r="141" spans="1:8">
      <c r="A141" t="s">
        <v>7370</v>
      </c>
      <c r="B141" t="s">
        <v>7371</v>
      </c>
      <c r="C141" t="s">
        <v>7372</v>
      </c>
      <c r="D141" t="s">
        <v>129</v>
      </c>
      <c r="E141" t="s">
        <v>7370</v>
      </c>
      <c r="F141" t="s">
        <v>7373</v>
      </c>
      <c r="G141" t="s">
        <v>7366</v>
      </c>
      <c r="H141" t="s">
        <v>6851</v>
      </c>
    </row>
    <row r="142" spans="1:8">
      <c r="A142" t="s">
        <v>7374</v>
      </c>
      <c r="B142" t="s">
        <v>7375</v>
      </c>
      <c r="C142" t="s">
        <v>7376</v>
      </c>
      <c r="D142" t="s">
        <v>129</v>
      </c>
      <c r="E142" t="s">
        <v>7374</v>
      </c>
      <c r="F142" t="s">
        <v>7165</v>
      </c>
      <c r="G142" t="s">
        <v>45</v>
      </c>
      <c r="H142" t="s">
        <v>6851</v>
      </c>
    </row>
    <row r="143" spans="1:8">
      <c r="A143" t="s">
        <v>7377</v>
      </c>
      <c r="B143" t="s">
        <v>7378</v>
      </c>
      <c r="C143" t="s">
        <v>7379</v>
      </c>
      <c r="D143" t="s">
        <v>129</v>
      </c>
      <c r="E143" t="s">
        <v>7380</v>
      </c>
      <c r="F143" t="s">
        <v>7165</v>
      </c>
      <c r="G143" t="s">
        <v>45</v>
      </c>
      <c r="H143" t="s">
        <v>6851</v>
      </c>
    </row>
    <row r="144" spans="1:8">
      <c r="A144" t="s">
        <v>7381</v>
      </c>
      <c r="B144" t="s">
        <v>7382</v>
      </c>
      <c r="C144" t="s">
        <v>7383</v>
      </c>
      <c r="D144" t="s">
        <v>129</v>
      </c>
      <c r="E144" t="s">
        <v>7381</v>
      </c>
      <c r="F144" t="s">
        <v>7165</v>
      </c>
      <c r="G144" t="s">
        <v>45</v>
      </c>
      <c r="H144" t="s">
        <v>6851</v>
      </c>
    </row>
    <row r="145" spans="1:8">
      <c r="A145" t="s">
        <v>7384</v>
      </c>
      <c r="B145" t="s">
        <v>7385</v>
      </c>
      <c r="C145" t="s">
        <v>7386</v>
      </c>
      <c r="D145" t="s">
        <v>126</v>
      </c>
      <c r="F145" t="s">
        <v>7140</v>
      </c>
      <c r="G145" t="s">
        <v>45</v>
      </c>
      <c r="H145" t="s">
        <v>6851</v>
      </c>
    </row>
    <row r="146" spans="1:8">
      <c r="A146" t="s">
        <v>7387</v>
      </c>
      <c r="B146" t="s">
        <v>7388</v>
      </c>
      <c r="C146" t="s">
        <v>7389</v>
      </c>
      <c r="D146" t="s">
        <v>126</v>
      </c>
      <c r="F146" t="s">
        <v>7140</v>
      </c>
      <c r="G146" t="s">
        <v>45</v>
      </c>
      <c r="H146" t="s">
        <v>6851</v>
      </c>
    </row>
    <row r="147" spans="1:8">
      <c r="A147" t="s">
        <v>7390</v>
      </c>
      <c r="B147" t="s">
        <v>7391</v>
      </c>
      <c r="C147" t="s">
        <v>7392</v>
      </c>
      <c r="D147" t="s">
        <v>126</v>
      </c>
      <c r="F147" t="s">
        <v>7140</v>
      </c>
      <c r="G147" t="s">
        <v>45</v>
      </c>
      <c r="H147" t="s">
        <v>6851</v>
      </c>
    </row>
    <row r="148" spans="1:8">
      <c r="A148" t="s">
        <v>7393</v>
      </c>
      <c r="B148" t="s">
        <v>7394</v>
      </c>
      <c r="C148" t="s">
        <v>7395</v>
      </c>
      <c r="D148" t="s">
        <v>126</v>
      </c>
      <c r="E148" t="s">
        <v>7393</v>
      </c>
      <c r="F148" t="s">
        <v>7140</v>
      </c>
      <c r="G148" t="s">
        <v>45</v>
      </c>
      <c r="H148" t="s">
        <v>6851</v>
      </c>
    </row>
    <row r="149" spans="1:8">
      <c r="A149" t="s">
        <v>7396</v>
      </c>
      <c r="B149" t="s">
        <v>7397</v>
      </c>
      <c r="C149" t="s">
        <v>7398</v>
      </c>
      <c r="D149" t="s">
        <v>126</v>
      </c>
      <c r="E149" t="s">
        <v>7396</v>
      </c>
      <c r="F149" t="s">
        <v>7094</v>
      </c>
      <c r="G149" t="s">
        <v>34</v>
      </c>
      <c r="H149" t="s">
        <v>6851</v>
      </c>
    </row>
    <row r="150" spans="1:8">
      <c r="A150" t="s">
        <v>7399</v>
      </c>
      <c r="B150" t="s">
        <v>7400</v>
      </c>
      <c r="C150" t="s">
        <v>7401</v>
      </c>
      <c r="D150" t="s">
        <v>126</v>
      </c>
      <c r="F150" t="s">
        <v>7067</v>
      </c>
      <c r="G150" t="s">
        <v>28</v>
      </c>
      <c r="H150" t="s">
        <v>6851</v>
      </c>
    </row>
    <row r="151" spans="1:8">
      <c r="A151" t="s">
        <v>7402</v>
      </c>
      <c r="B151" t="s">
        <v>7403</v>
      </c>
      <c r="C151" t="s">
        <v>7404</v>
      </c>
      <c r="D151" t="s">
        <v>129</v>
      </c>
      <c r="E151" t="s">
        <v>7402</v>
      </c>
      <c r="F151" t="s">
        <v>7403</v>
      </c>
      <c r="G151" t="s">
        <v>7366</v>
      </c>
      <c r="H151" t="s">
        <v>6851</v>
      </c>
    </row>
    <row r="152" spans="1:8">
      <c r="A152" t="s">
        <v>7405</v>
      </c>
      <c r="B152" t="s">
        <v>7406</v>
      </c>
      <c r="C152" t="s">
        <v>7407</v>
      </c>
      <c r="D152" t="s">
        <v>129</v>
      </c>
      <c r="E152" t="s">
        <v>7405</v>
      </c>
      <c r="F152" t="s">
        <v>7406</v>
      </c>
      <c r="G152" t="s">
        <v>7366</v>
      </c>
      <c r="H152" t="s">
        <v>6851</v>
      </c>
    </row>
    <row r="153" spans="1:8">
      <c r="A153" t="s">
        <v>7408</v>
      </c>
      <c r="B153" t="s">
        <v>7409</v>
      </c>
      <c r="C153" t="s">
        <v>7410</v>
      </c>
      <c r="D153" t="s">
        <v>126</v>
      </c>
      <c r="F153" t="s">
        <v>7094</v>
      </c>
      <c r="G153" t="s">
        <v>34</v>
      </c>
      <c r="H153" t="s">
        <v>6851</v>
      </c>
    </row>
    <row r="154" spans="1:8">
      <c r="A154" t="s">
        <v>7411</v>
      </c>
      <c r="B154" t="s">
        <v>7412</v>
      </c>
      <c r="C154" t="s">
        <v>7413</v>
      </c>
      <c r="D154" t="s">
        <v>126</v>
      </c>
      <c r="F154" t="s">
        <v>7412</v>
      </c>
      <c r="G154" t="s">
        <v>58</v>
      </c>
      <c r="H154" t="s">
        <v>6851</v>
      </c>
    </row>
    <row r="155" spans="1:8">
      <c r="A155" t="s">
        <v>7414</v>
      </c>
      <c r="B155" t="s">
        <v>7415</v>
      </c>
      <c r="C155" t="s">
        <v>7416</v>
      </c>
      <c r="D155" t="s">
        <v>126</v>
      </c>
      <c r="F155" t="s">
        <v>7140</v>
      </c>
      <c r="G155" t="s">
        <v>45</v>
      </c>
      <c r="H155" t="s">
        <v>6851</v>
      </c>
    </row>
    <row r="156" spans="1:8">
      <c r="A156" t="s">
        <v>7417</v>
      </c>
      <c r="B156" t="s">
        <v>7418</v>
      </c>
      <c r="C156" t="s">
        <v>7419</v>
      </c>
      <c r="D156" t="s">
        <v>126</v>
      </c>
      <c r="F156" t="s">
        <v>7094</v>
      </c>
      <c r="G156" t="s">
        <v>34</v>
      </c>
      <c r="H156" t="s">
        <v>6851</v>
      </c>
    </row>
    <row r="157" spans="1:8">
      <c r="A157" t="s">
        <v>7420</v>
      </c>
      <c r="B157" t="s">
        <v>7421</v>
      </c>
      <c r="C157" t="s">
        <v>7422</v>
      </c>
      <c r="D157" t="s">
        <v>126</v>
      </c>
      <c r="F157" t="s">
        <v>7094</v>
      </c>
      <c r="G157" t="s">
        <v>34</v>
      </c>
      <c r="H157" t="s">
        <v>6851</v>
      </c>
    </row>
    <row r="158" spans="1:8">
      <c r="A158" t="s">
        <v>7423</v>
      </c>
      <c r="B158" t="s">
        <v>7424</v>
      </c>
      <c r="C158" t="s">
        <v>7425</v>
      </c>
      <c r="D158" t="s">
        <v>126</v>
      </c>
      <c r="F158" t="s">
        <v>7426</v>
      </c>
      <c r="G158" t="s">
        <v>58</v>
      </c>
      <c r="H158" t="s">
        <v>6851</v>
      </c>
    </row>
    <row r="159" spans="1:8">
      <c r="A159" t="s">
        <v>7427</v>
      </c>
      <c r="B159" t="s">
        <v>7428</v>
      </c>
      <c r="C159" t="s">
        <v>7429</v>
      </c>
      <c r="D159" t="s">
        <v>126</v>
      </c>
      <c r="F159" t="s">
        <v>7140</v>
      </c>
      <c r="G159" t="s">
        <v>45</v>
      </c>
      <c r="H159" t="s">
        <v>6851</v>
      </c>
    </row>
    <row r="160" spans="1:8">
      <c r="A160" t="s">
        <v>7430</v>
      </c>
      <c r="B160" t="s">
        <v>7431</v>
      </c>
      <c r="C160" t="s">
        <v>7432</v>
      </c>
      <c r="D160" t="s">
        <v>126</v>
      </c>
      <c r="E160" t="s">
        <v>7430</v>
      </c>
      <c r="F160" t="s">
        <v>7140</v>
      </c>
      <c r="G160" t="s">
        <v>45</v>
      </c>
      <c r="H160" t="s">
        <v>6851</v>
      </c>
    </row>
    <row r="161" spans="1:8">
      <c r="A161" t="s">
        <v>7433</v>
      </c>
      <c r="B161" t="s">
        <v>7434</v>
      </c>
      <c r="C161" t="s">
        <v>7435</v>
      </c>
      <c r="D161" t="s">
        <v>126</v>
      </c>
      <c r="E161" t="s">
        <v>7433</v>
      </c>
      <c r="F161" t="s">
        <v>7140</v>
      </c>
      <c r="G161" t="s">
        <v>45</v>
      </c>
      <c r="H161" t="s">
        <v>6851</v>
      </c>
    </row>
    <row r="162" spans="1:8">
      <c r="A162" t="s">
        <v>7436</v>
      </c>
      <c r="B162" t="s">
        <v>7437</v>
      </c>
      <c r="C162" t="s">
        <v>7438</v>
      </c>
      <c r="D162" t="s">
        <v>126</v>
      </c>
      <c r="E162" t="s">
        <v>7436</v>
      </c>
      <c r="F162" t="s">
        <v>7140</v>
      </c>
      <c r="G162" t="s">
        <v>45</v>
      </c>
      <c r="H162" t="s">
        <v>6851</v>
      </c>
    </row>
    <row r="163" spans="1:8">
      <c r="A163" t="s">
        <v>7439</v>
      </c>
      <c r="B163" t="s">
        <v>7440</v>
      </c>
      <c r="C163" t="s">
        <v>7441</v>
      </c>
      <c r="D163" t="s">
        <v>126</v>
      </c>
      <c r="E163" t="s">
        <v>7439</v>
      </c>
      <c r="F163" t="s">
        <v>7442</v>
      </c>
      <c r="G163" t="s">
        <v>58</v>
      </c>
      <c r="H163" t="s">
        <v>6851</v>
      </c>
    </row>
    <row r="164" spans="1:8">
      <c r="A164" t="s">
        <v>7443</v>
      </c>
      <c r="B164" t="s">
        <v>7444</v>
      </c>
      <c r="C164" t="s">
        <v>7445</v>
      </c>
      <c r="D164" t="s">
        <v>126</v>
      </c>
      <c r="E164" t="s">
        <v>7446</v>
      </c>
      <c r="F164" t="s">
        <v>7447</v>
      </c>
      <c r="G164" t="s">
        <v>58</v>
      </c>
      <c r="H164" t="s">
        <v>6851</v>
      </c>
    </row>
    <row r="165" spans="1:8">
      <c r="A165" t="s">
        <v>7448</v>
      </c>
      <c r="B165" t="s">
        <v>7449</v>
      </c>
      <c r="C165" t="s">
        <v>7450</v>
      </c>
      <c r="D165" t="s">
        <v>126</v>
      </c>
      <c r="E165" t="s">
        <v>7448</v>
      </c>
      <c r="F165" t="s">
        <v>7447</v>
      </c>
      <c r="G165" t="s">
        <v>58</v>
      </c>
      <c r="H165" t="s">
        <v>6851</v>
      </c>
    </row>
    <row r="166" spans="1:8">
      <c r="A166" t="s">
        <v>7451</v>
      </c>
      <c r="B166" t="s">
        <v>7452</v>
      </c>
      <c r="C166" t="s">
        <v>7453</v>
      </c>
      <c r="D166" t="s">
        <v>126</v>
      </c>
      <c r="E166" t="s">
        <v>7118</v>
      </c>
      <c r="F166" t="s">
        <v>7119</v>
      </c>
      <c r="G166" t="s">
        <v>40</v>
      </c>
      <c r="H166" t="s">
        <v>6851</v>
      </c>
    </row>
    <row r="167" spans="1:8">
      <c r="A167" t="s">
        <v>7454</v>
      </c>
      <c r="B167" t="s">
        <v>7455</v>
      </c>
      <c r="C167" t="s">
        <v>7456</v>
      </c>
      <c r="D167" t="s">
        <v>126</v>
      </c>
      <c r="F167" t="s">
        <v>7457</v>
      </c>
      <c r="G167" t="s">
        <v>58</v>
      </c>
      <c r="H167" t="s">
        <v>6851</v>
      </c>
    </row>
    <row r="168" spans="1:8">
      <c r="A168" t="s">
        <v>7458</v>
      </c>
      <c r="B168" t="s">
        <v>7459</v>
      </c>
      <c r="C168" t="s">
        <v>7460</v>
      </c>
      <c r="D168" t="s">
        <v>126</v>
      </c>
      <c r="F168" t="s">
        <v>7459</v>
      </c>
      <c r="G168" t="s">
        <v>58</v>
      </c>
      <c r="H168" t="s">
        <v>6851</v>
      </c>
    </row>
    <row r="169" spans="1:8">
      <c r="A169" t="s">
        <v>7461</v>
      </c>
      <c r="B169" t="s">
        <v>7462</v>
      </c>
      <c r="C169" t="s">
        <v>7463</v>
      </c>
      <c r="D169" t="s">
        <v>126</v>
      </c>
      <c r="F169" t="s">
        <v>7447</v>
      </c>
      <c r="G169" t="s">
        <v>58</v>
      </c>
      <c r="H169" t="s">
        <v>6851</v>
      </c>
    </row>
    <row r="170" spans="1:8">
      <c r="A170" t="s">
        <v>7464</v>
      </c>
      <c r="B170" t="s">
        <v>7465</v>
      </c>
      <c r="C170" t="s">
        <v>7466</v>
      </c>
      <c r="D170" t="s">
        <v>126</v>
      </c>
      <c r="E170" t="s">
        <v>7467</v>
      </c>
      <c r="F170" t="s">
        <v>7468</v>
      </c>
      <c r="G170" t="s">
        <v>58</v>
      </c>
      <c r="H170" t="s">
        <v>6851</v>
      </c>
    </row>
    <row r="171" spans="1:8">
      <c r="A171" t="s">
        <v>7469</v>
      </c>
      <c r="B171" t="s">
        <v>7428</v>
      </c>
      <c r="C171" t="s">
        <v>7470</v>
      </c>
      <c r="D171" t="s">
        <v>126</v>
      </c>
      <c r="E171" t="s">
        <v>7469</v>
      </c>
      <c r="F171" t="s">
        <v>7140</v>
      </c>
      <c r="G171" t="s">
        <v>45</v>
      </c>
      <c r="H171" t="s">
        <v>6851</v>
      </c>
    </row>
    <row r="172" spans="1:8">
      <c r="A172" t="s">
        <v>7471</v>
      </c>
      <c r="B172" t="s">
        <v>7472</v>
      </c>
      <c r="C172" t="s">
        <v>7473</v>
      </c>
      <c r="D172" t="s">
        <v>126</v>
      </c>
      <c r="E172" t="s">
        <v>7471</v>
      </c>
      <c r="F172" t="s">
        <v>7140</v>
      </c>
      <c r="G172" t="s">
        <v>45</v>
      </c>
      <c r="H172" t="s">
        <v>6851</v>
      </c>
    </row>
    <row r="173" spans="1:8">
      <c r="A173" t="s">
        <v>7474</v>
      </c>
      <c r="B173" t="s">
        <v>7475</v>
      </c>
      <c r="C173" t="s">
        <v>7476</v>
      </c>
      <c r="D173" t="s">
        <v>1827</v>
      </c>
      <c r="E173" t="s">
        <v>7477</v>
      </c>
      <c r="F173" t="s">
        <v>7475</v>
      </c>
      <c r="G173" t="s">
        <v>58</v>
      </c>
      <c r="H173" t="s">
        <v>6851</v>
      </c>
    </row>
    <row r="174" spans="1:8">
      <c r="A174" t="s">
        <v>7478</v>
      </c>
      <c r="B174" t="s">
        <v>7479</v>
      </c>
      <c r="C174" t="s">
        <v>7480</v>
      </c>
      <c r="D174" t="s">
        <v>129</v>
      </c>
      <c r="E174" t="s">
        <v>7478</v>
      </c>
      <c r="F174" t="s">
        <v>7165</v>
      </c>
      <c r="G174" t="s">
        <v>45</v>
      </c>
      <c r="H174" t="s">
        <v>6851</v>
      </c>
    </row>
    <row r="175" spans="1:8">
      <c r="A175" t="s">
        <v>7481</v>
      </c>
      <c r="B175" t="s">
        <v>7482</v>
      </c>
      <c r="C175" t="s">
        <v>7483</v>
      </c>
      <c r="D175" t="s">
        <v>126</v>
      </c>
      <c r="F175" t="s">
        <v>7140</v>
      </c>
      <c r="G175" t="s">
        <v>45</v>
      </c>
      <c r="H175" t="s">
        <v>6851</v>
      </c>
    </row>
    <row r="176" spans="1:8">
      <c r="A176" t="s">
        <v>7484</v>
      </c>
      <c r="B176" t="s">
        <v>7485</v>
      </c>
      <c r="C176" t="s">
        <v>7486</v>
      </c>
      <c r="D176" t="s">
        <v>126</v>
      </c>
      <c r="F176" t="s">
        <v>7140</v>
      </c>
      <c r="G176" t="s">
        <v>45</v>
      </c>
      <c r="H176" t="s">
        <v>6851</v>
      </c>
    </row>
    <row r="177" spans="1:8">
      <c r="A177" t="s">
        <v>7487</v>
      </c>
      <c r="B177" t="s">
        <v>7488</v>
      </c>
      <c r="C177" t="s">
        <v>7489</v>
      </c>
      <c r="D177" t="s">
        <v>129</v>
      </c>
      <c r="E177" t="s">
        <v>7487</v>
      </c>
      <c r="F177" t="s">
        <v>7490</v>
      </c>
      <c r="G177" t="s">
        <v>63</v>
      </c>
      <c r="H177" t="s">
        <v>6851</v>
      </c>
    </row>
    <row r="178" spans="1:8">
      <c r="A178" t="s">
        <v>7491</v>
      </c>
      <c r="B178" t="s">
        <v>7492</v>
      </c>
      <c r="C178" t="s">
        <v>7493</v>
      </c>
      <c r="D178" t="s">
        <v>129</v>
      </c>
      <c r="E178" t="s">
        <v>7491</v>
      </c>
      <c r="F178" t="s">
        <v>7490</v>
      </c>
      <c r="G178" t="s">
        <v>63</v>
      </c>
      <c r="H178" t="s">
        <v>6851</v>
      </c>
    </row>
    <row r="179" spans="1:8">
      <c r="A179" t="s">
        <v>7494</v>
      </c>
      <c r="B179" t="s">
        <v>7495</v>
      </c>
      <c r="C179" t="s">
        <v>7496</v>
      </c>
      <c r="D179" t="s">
        <v>126</v>
      </c>
      <c r="F179" t="s">
        <v>7447</v>
      </c>
      <c r="G179" t="s">
        <v>58</v>
      </c>
      <c r="H179" t="s">
        <v>6851</v>
      </c>
    </row>
    <row r="180" spans="1:8">
      <c r="A180" t="s">
        <v>7497</v>
      </c>
      <c r="B180" t="s">
        <v>7498</v>
      </c>
      <c r="C180" t="s">
        <v>7499</v>
      </c>
      <c r="D180" t="s">
        <v>133</v>
      </c>
      <c r="F180" t="s">
        <v>7500</v>
      </c>
      <c r="H180" t="s">
        <v>6851</v>
      </c>
    </row>
    <row r="181" spans="1:8">
      <c r="A181" t="s">
        <v>7501</v>
      </c>
      <c r="B181" t="s">
        <v>7502</v>
      </c>
      <c r="C181" t="s">
        <v>7503</v>
      </c>
      <c r="D181" t="s">
        <v>133</v>
      </c>
      <c r="F181" t="s">
        <v>7500</v>
      </c>
      <c r="H181" t="s">
        <v>6851</v>
      </c>
    </row>
    <row r="182" spans="1:8">
      <c r="A182" t="s">
        <v>7504</v>
      </c>
      <c r="B182" t="s">
        <v>7505</v>
      </c>
      <c r="C182" t="s">
        <v>7506</v>
      </c>
      <c r="D182" t="s">
        <v>126</v>
      </c>
      <c r="F182" t="s">
        <v>7140</v>
      </c>
      <c r="G182" t="s">
        <v>45</v>
      </c>
      <c r="H182" t="s">
        <v>6851</v>
      </c>
    </row>
    <row r="183" spans="1:8">
      <c r="A183" t="s">
        <v>7507</v>
      </c>
      <c r="B183" t="s">
        <v>7508</v>
      </c>
      <c r="C183" t="s">
        <v>7509</v>
      </c>
      <c r="D183" t="s">
        <v>126</v>
      </c>
      <c r="F183" t="s">
        <v>7140</v>
      </c>
      <c r="G183" t="s">
        <v>45</v>
      </c>
      <c r="H183" t="s">
        <v>6851</v>
      </c>
    </row>
    <row r="184" spans="1:8">
      <c r="A184" t="s">
        <v>7510</v>
      </c>
      <c r="B184" t="s">
        <v>7511</v>
      </c>
      <c r="C184" t="s">
        <v>7512</v>
      </c>
      <c r="D184" t="s">
        <v>129</v>
      </c>
      <c r="E184" t="s">
        <v>7513</v>
      </c>
      <c r="F184" t="s">
        <v>7511</v>
      </c>
      <c r="G184" t="s">
        <v>7514</v>
      </c>
      <c r="H184" t="s">
        <v>6851</v>
      </c>
    </row>
    <row r="185" spans="1:8">
      <c r="A185" t="s">
        <v>7515</v>
      </c>
      <c r="B185" t="s">
        <v>7516</v>
      </c>
      <c r="C185" t="s">
        <v>7517</v>
      </c>
      <c r="D185" t="s">
        <v>1827</v>
      </c>
      <c r="E185" t="s">
        <v>7518</v>
      </c>
      <c r="F185" t="s">
        <v>7519</v>
      </c>
      <c r="G185" t="s">
        <v>7514</v>
      </c>
      <c r="H185" t="s">
        <v>6851</v>
      </c>
    </row>
    <row r="186" spans="1:8">
      <c r="A186" t="s">
        <v>7520</v>
      </c>
      <c r="B186" t="s">
        <v>7521</v>
      </c>
      <c r="C186" t="s">
        <v>7522</v>
      </c>
      <c r="D186" t="s">
        <v>126</v>
      </c>
      <c r="E186" t="s">
        <v>7520</v>
      </c>
      <c r="F186" t="s">
        <v>7140</v>
      </c>
      <c r="G186" t="s">
        <v>45</v>
      </c>
      <c r="H186" t="s">
        <v>6851</v>
      </c>
    </row>
    <row r="187" spans="1:8">
      <c r="A187" t="s">
        <v>7523</v>
      </c>
      <c r="B187" t="s">
        <v>7524</v>
      </c>
      <c r="C187" t="s">
        <v>7525</v>
      </c>
      <c r="D187" t="s">
        <v>133</v>
      </c>
      <c r="E187" t="s">
        <v>7523</v>
      </c>
      <c r="F187" t="s">
        <v>7526</v>
      </c>
      <c r="G187" t="s">
        <v>7527</v>
      </c>
      <c r="H187" t="s">
        <v>6851</v>
      </c>
    </row>
    <row r="188" spans="1:8">
      <c r="A188" t="s">
        <v>7528</v>
      </c>
      <c r="B188" t="s">
        <v>7529</v>
      </c>
      <c r="C188" t="s">
        <v>7530</v>
      </c>
      <c r="D188" t="s">
        <v>133</v>
      </c>
      <c r="E188" t="s">
        <v>7528</v>
      </c>
      <c r="F188" t="s">
        <v>7526</v>
      </c>
      <c r="G188" t="s">
        <v>7527</v>
      </c>
      <c r="H188" t="s">
        <v>6851</v>
      </c>
    </row>
    <row r="189" spans="1:8">
      <c r="A189" t="s">
        <v>7531</v>
      </c>
      <c r="B189" t="s">
        <v>7532</v>
      </c>
      <c r="C189" t="s">
        <v>7533</v>
      </c>
      <c r="D189" t="s">
        <v>133</v>
      </c>
      <c r="E189" t="s">
        <v>7531</v>
      </c>
      <c r="F189" t="s">
        <v>7526</v>
      </c>
      <c r="G189" t="s">
        <v>7527</v>
      </c>
      <c r="H189" t="s">
        <v>6851</v>
      </c>
    </row>
    <row r="190" spans="1:8">
      <c r="A190" t="s">
        <v>7534</v>
      </c>
      <c r="B190" t="s">
        <v>7535</v>
      </c>
      <c r="C190" t="s">
        <v>7536</v>
      </c>
      <c r="D190" t="s">
        <v>133</v>
      </c>
      <c r="E190" t="s">
        <v>7534</v>
      </c>
      <c r="F190" t="s">
        <v>7526</v>
      </c>
      <c r="G190" t="s">
        <v>7527</v>
      </c>
      <c r="H190" t="s">
        <v>6851</v>
      </c>
    </row>
    <row r="191" spans="1:8">
      <c r="A191" t="s">
        <v>7537</v>
      </c>
      <c r="B191" t="s">
        <v>7538</v>
      </c>
      <c r="C191" t="s">
        <v>7539</v>
      </c>
      <c r="D191" t="s">
        <v>133</v>
      </c>
      <c r="E191" t="s">
        <v>7537</v>
      </c>
      <c r="F191" t="s">
        <v>7526</v>
      </c>
      <c r="G191" t="s">
        <v>7527</v>
      </c>
      <c r="H191" t="s">
        <v>6851</v>
      </c>
    </row>
    <row r="192" spans="1:8">
      <c r="A192" t="s">
        <v>7540</v>
      </c>
      <c r="B192" t="s">
        <v>7541</v>
      </c>
      <c r="C192" t="s">
        <v>7542</v>
      </c>
      <c r="D192" t="s">
        <v>133</v>
      </c>
      <c r="E192" t="s">
        <v>7540</v>
      </c>
      <c r="F192" t="s">
        <v>7526</v>
      </c>
      <c r="G192" t="s">
        <v>7527</v>
      </c>
      <c r="H192" t="s">
        <v>6851</v>
      </c>
    </row>
    <row r="193" spans="1:8">
      <c r="A193" t="s">
        <v>7543</v>
      </c>
      <c r="B193" t="s">
        <v>7544</v>
      </c>
      <c r="C193" t="s">
        <v>7545</v>
      </c>
      <c r="D193" t="s">
        <v>133</v>
      </c>
      <c r="E193" t="s">
        <v>7543</v>
      </c>
      <c r="F193" t="s">
        <v>7526</v>
      </c>
      <c r="G193" t="s">
        <v>7527</v>
      </c>
      <c r="H193" t="s">
        <v>6851</v>
      </c>
    </row>
    <row r="194" spans="1:8">
      <c r="A194" t="s">
        <v>7546</v>
      </c>
      <c r="B194" t="s">
        <v>7547</v>
      </c>
      <c r="C194" t="s">
        <v>7548</v>
      </c>
      <c r="D194" t="s">
        <v>133</v>
      </c>
      <c r="E194" t="s">
        <v>7546</v>
      </c>
      <c r="F194" t="s">
        <v>7526</v>
      </c>
      <c r="G194" t="s">
        <v>7527</v>
      </c>
      <c r="H194" t="s">
        <v>6851</v>
      </c>
    </row>
    <row r="195" spans="1:8">
      <c r="A195" t="s">
        <v>7549</v>
      </c>
      <c r="B195" t="s">
        <v>7252</v>
      </c>
      <c r="C195" t="s">
        <v>7550</v>
      </c>
      <c r="D195" t="s">
        <v>1827</v>
      </c>
      <c r="E195" t="s">
        <v>7549</v>
      </c>
      <c r="F195" t="s">
        <v>7254</v>
      </c>
      <c r="G195" t="s">
        <v>53</v>
      </c>
      <c r="H195" t="s">
        <v>6851</v>
      </c>
    </row>
    <row r="196" spans="1:8">
      <c r="A196" t="s">
        <v>7551</v>
      </c>
      <c r="B196" t="s">
        <v>7252</v>
      </c>
      <c r="C196" t="s">
        <v>7552</v>
      </c>
      <c r="D196" t="s">
        <v>1827</v>
      </c>
      <c r="E196" t="s">
        <v>7551</v>
      </c>
      <c r="F196" t="s">
        <v>7254</v>
      </c>
      <c r="G196" t="s">
        <v>53</v>
      </c>
      <c r="H196" t="s">
        <v>6851</v>
      </c>
    </row>
    <row r="197" spans="1:8">
      <c r="A197" t="s">
        <v>7553</v>
      </c>
      <c r="B197" t="s">
        <v>7554</v>
      </c>
      <c r="C197" t="s">
        <v>7555</v>
      </c>
      <c r="D197" t="s">
        <v>133</v>
      </c>
      <c r="E197" t="s">
        <v>7553</v>
      </c>
      <c r="F197" t="s">
        <v>7526</v>
      </c>
      <c r="G197" t="s">
        <v>7527</v>
      </c>
      <c r="H197" t="s">
        <v>6851</v>
      </c>
    </row>
    <row r="198" spans="1:8">
      <c r="A198" t="s">
        <v>7556</v>
      </c>
      <c r="B198" t="s">
        <v>7557</v>
      </c>
      <c r="C198" t="s">
        <v>7558</v>
      </c>
      <c r="D198" t="s">
        <v>133</v>
      </c>
      <c r="E198" t="s">
        <v>7556</v>
      </c>
      <c r="F198" t="s">
        <v>7266</v>
      </c>
      <c r="G198" t="s">
        <v>7267</v>
      </c>
      <c r="H198" t="s">
        <v>6851</v>
      </c>
    </row>
    <row r="199" spans="1:8">
      <c r="A199" t="s">
        <v>7559</v>
      </c>
      <c r="B199" t="s">
        <v>7560</v>
      </c>
      <c r="C199" t="s">
        <v>7561</v>
      </c>
      <c r="D199" t="s">
        <v>133</v>
      </c>
      <c r="E199" t="s">
        <v>7559</v>
      </c>
      <c r="F199" t="s">
        <v>7526</v>
      </c>
      <c r="G199" t="s">
        <v>7527</v>
      </c>
      <c r="H199" t="s">
        <v>6851</v>
      </c>
    </row>
    <row r="200" spans="1:8">
      <c r="A200" t="s">
        <v>7562</v>
      </c>
      <c r="B200" t="s">
        <v>7563</v>
      </c>
      <c r="C200" t="s">
        <v>7564</v>
      </c>
      <c r="D200" t="s">
        <v>133</v>
      </c>
      <c r="E200" t="s">
        <v>7562</v>
      </c>
      <c r="F200" t="s">
        <v>7526</v>
      </c>
      <c r="G200" t="s">
        <v>7527</v>
      </c>
      <c r="H200" t="s">
        <v>6851</v>
      </c>
    </row>
    <row r="201" spans="1:8">
      <c r="A201" t="s">
        <v>7565</v>
      </c>
      <c r="B201" t="s">
        <v>7566</v>
      </c>
      <c r="C201" t="s">
        <v>7567</v>
      </c>
      <c r="D201" t="s">
        <v>133</v>
      </c>
      <c r="E201" t="s">
        <v>7565</v>
      </c>
      <c r="F201" t="s">
        <v>7526</v>
      </c>
      <c r="G201" t="s">
        <v>7527</v>
      </c>
      <c r="H201" t="s">
        <v>6851</v>
      </c>
    </row>
    <row r="202" spans="1:8">
      <c r="A202" t="s">
        <v>7568</v>
      </c>
      <c r="B202" t="s">
        <v>7569</v>
      </c>
      <c r="C202" t="s">
        <v>7570</v>
      </c>
      <c r="D202" t="s">
        <v>133</v>
      </c>
      <c r="E202" t="s">
        <v>7568</v>
      </c>
      <c r="F202" t="s">
        <v>7526</v>
      </c>
      <c r="G202" t="s">
        <v>7527</v>
      </c>
      <c r="H202" t="s">
        <v>6851</v>
      </c>
    </row>
    <row r="203" spans="1:8">
      <c r="A203" t="s">
        <v>7571</v>
      </c>
      <c r="B203" t="s">
        <v>7572</v>
      </c>
      <c r="C203" t="s">
        <v>7573</v>
      </c>
      <c r="D203" t="s">
        <v>133</v>
      </c>
      <c r="E203" t="s">
        <v>7571</v>
      </c>
      <c r="F203" t="s">
        <v>7526</v>
      </c>
      <c r="G203" t="s">
        <v>7527</v>
      </c>
      <c r="H203" t="s">
        <v>6851</v>
      </c>
    </row>
    <row r="204" spans="1:8">
      <c r="A204" t="s">
        <v>7574</v>
      </c>
      <c r="B204" t="s">
        <v>7575</v>
      </c>
      <c r="C204" t="s">
        <v>7576</v>
      </c>
      <c r="D204" t="s">
        <v>133</v>
      </c>
      <c r="E204" t="s">
        <v>7574</v>
      </c>
      <c r="F204" t="s">
        <v>7526</v>
      </c>
      <c r="G204" t="s">
        <v>7527</v>
      </c>
      <c r="H204" t="s">
        <v>6851</v>
      </c>
    </row>
    <row r="205" spans="1:8">
      <c r="A205" t="s">
        <v>7577</v>
      </c>
      <c r="B205" t="s">
        <v>7578</v>
      </c>
      <c r="C205" t="s">
        <v>7579</v>
      </c>
      <c r="D205" t="s">
        <v>133</v>
      </c>
      <c r="E205" t="s">
        <v>7577</v>
      </c>
      <c r="F205" t="s">
        <v>7526</v>
      </c>
      <c r="G205" t="s">
        <v>7527</v>
      </c>
      <c r="H205" t="s">
        <v>6851</v>
      </c>
    </row>
    <row r="206" spans="1:8">
      <c r="A206" t="s">
        <v>7580</v>
      </c>
      <c r="B206" t="s">
        <v>7581</v>
      </c>
      <c r="C206" t="s">
        <v>7582</v>
      </c>
      <c r="D206" t="s">
        <v>133</v>
      </c>
      <c r="E206" t="s">
        <v>7580</v>
      </c>
      <c r="F206" t="s">
        <v>7526</v>
      </c>
      <c r="G206" t="s">
        <v>7527</v>
      </c>
      <c r="H206" t="s">
        <v>6851</v>
      </c>
    </row>
    <row r="207" spans="1:8">
      <c r="A207" t="s">
        <v>7583</v>
      </c>
      <c r="B207" t="s">
        <v>7584</v>
      </c>
      <c r="C207" t="s">
        <v>7585</v>
      </c>
      <c r="D207" t="s">
        <v>133</v>
      </c>
      <c r="E207" t="s">
        <v>7583</v>
      </c>
      <c r="F207" t="s">
        <v>7526</v>
      </c>
      <c r="G207" t="s">
        <v>7527</v>
      </c>
      <c r="H207" t="s">
        <v>6851</v>
      </c>
    </row>
    <row r="208" spans="1:8">
      <c r="A208" t="s">
        <v>7586</v>
      </c>
      <c r="B208" t="s">
        <v>7587</v>
      </c>
      <c r="C208" t="s">
        <v>7588</v>
      </c>
      <c r="D208" t="s">
        <v>133</v>
      </c>
      <c r="E208" t="s">
        <v>7586</v>
      </c>
      <c r="F208" t="s">
        <v>7526</v>
      </c>
      <c r="G208" t="s">
        <v>7527</v>
      </c>
      <c r="H208" t="s">
        <v>6851</v>
      </c>
    </row>
    <row r="209" spans="1:8">
      <c r="A209" t="s">
        <v>7589</v>
      </c>
      <c r="B209" t="s">
        <v>7590</v>
      </c>
      <c r="C209" t="s">
        <v>7591</v>
      </c>
      <c r="D209" t="s">
        <v>133</v>
      </c>
      <c r="E209" t="s">
        <v>7589</v>
      </c>
      <c r="F209" t="s">
        <v>7526</v>
      </c>
      <c r="G209" t="s">
        <v>7527</v>
      </c>
      <c r="H209" t="s">
        <v>6851</v>
      </c>
    </row>
    <row r="210" spans="1:8">
      <c r="A210" t="s">
        <v>7592</v>
      </c>
      <c r="B210" t="s">
        <v>7593</v>
      </c>
      <c r="C210" t="s">
        <v>7594</v>
      </c>
      <c r="D210" t="s">
        <v>133</v>
      </c>
      <c r="E210" t="s">
        <v>7592</v>
      </c>
      <c r="F210" t="s">
        <v>7526</v>
      </c>
      <c r="G210" t="s">
        <v>7527</v>
      </c>
      <c r="H210" t="s">
        <v>6851</v>
      </c>
    </row>
    <row r="211" spans="1:8">
      <c r="A211" t="s">
        <v>7595</v>
      </c>
      <c r="B211" t="s">
        <v>7596</v>
      </c>
      <c r="C211" t="s">
        <v>7597</v>
      </c>
      <c r="D211" t="s">
        <v>133</v>
      </c>
      <c r="E211" t="s">
        <v>7595</v>
      </c>
      <c r="F211" t="s">
        <v>7526</v>
      </c>
      <c r="G211" t="s">
        <v>7527</v>
      </c>
      <c r="H211" t="s">
        <v>6851</v>
      </c>
    </row>
    <row r="212" spans="1:8">
      <c r="A212" t="s">
        <v>7598</v>
      </c>
      <c r="B212" t="s">
        <v>7599</v>
      </c>
      <c r="C212" t="s">
        <v>7600</v>
      </c>
      <c r="D212" t="s">
        <v>133</v>
      </c>
      <c r="E212" t="s">
        <v>7598</v>
      </c>
      <c r="F212" t="s">
        <v>7526</v>
      </c>
      <c r="G212" t="s">
        <v>7527</v>
      </c>
      <c r="H212" t="s">
        <v>6851</v>
      </c>
    </row>
    <row r="213" spans="1:8">
      <c r="A213" t="s">
        <v>7601</v>
      </c>
      <c r="B213" t="s">
        <v>7602</v>
      </c>
      <c r="C213" t="s">
        <v>7603</v>
      </c>
      <c r="D213" t="s">
        <v>133</v>
      </c>
      <c r="E213" t="s">
        <v>7601</v>
      </c>
      <c r="F213" t="s">
        <v>7526</v>
      </c>
      <c r="G213" t="s">
        <v>7527</v>
      </c>
      <c r="H213" t="s">
        <v>6851</v>
      </c>
    </row>
    <row r="214" spans="1:8">
      <c r="A214" t="s">
        <v>7604</v>
      </c>
      <c r="B214" t="s">
        <v>7605</v>
      </c>
      <c r="C214" t="s">
        <v>7606</v>
      </c>
      <c r="D214" t="s">
        <v>133</v>
      </c>
      <c r="E214" t="s">
        <v>7604</v>
      </c>
      <c r="F214" t="s">
        <v>7526</v>
      </c>
      <c r="G214" t="s">
        <v>7527</v>
      </c>
      <c r="H214" t="s">
        <v>6851</v>
      </c>
    </row>
    <row r="215" spans="1:8">
      <c r="A215" t="s">
        <v>7607</v>
      </c>
      <c r="B215" t="s">
        <v>7608</v>
      </c>
      <c r="C215" t="s">
        <v>7609</v>
      </c>
      <c r="D215" t="s">
        <v>133</v>
      </c>
      <c r="E215" t="s">
        <v>7607</v>
      </c>
      <c r="F215" t="s">
        <v>7526</v>
      </c>
      <c r="G215" t="s">
        <v>7527</v>
      </c>
      <c r="H215" t="s">
        <v>6851</v>
      </c>
    </row>
    <row r="216" spans="1:8">
      <c r="A216" t="s">
        <v>7610</v>
      </c>
      <c r="B216" t="s">
        <v>7611</v>
      </c>
      <c r="C216" t="s">
        <v>7612</v>
      </c>
      <c r="D216" t="s">
        <v>133</v>
      </c>
      <c r="E216" t="s">
        <v>7610</v>
      </c>
      <c r="F216" t="s">
        <v>7526</v>
      </c>
      <c r="G216" t="s">
        <v>7527</v>
      </c>
      <c r="H216" t="s">
        <v>6851</v>
      </c>
    </row>
    <row r="217" spans="1:8">
      <c r="A217" t="s">
        <v>7613</v>
      </c>
      <c r="B217" t="s">
        <v>7614</v>
      </c>
      <c r="C217" t="s">
        <v>7615</v>
      </c>
      <c r="D217" t="s">
        <v>133</v>
      </c>
      <c r="E217" t="s">
        <v>7613</v>
      </c>
      <c r="F217" t="s">
        <v>7526</v>
      </c>
      <c r="G217" t="s">
        <v>7527</v>
      </c>
      <c r="H217" t="s">
        <v>6851</v>
      </c>
    </row>
    <row r="218" spans="1:8">
      <c r="A218" t="s">
        <v>7616</v>
      </c>
      <c r="B218" t="s">
        <v>7617</v>
      </c>
      <c r="C218" t="s">
        <v>7618</v>
      </c>
      <c r="D218" t="s">
        <v>133</v>
      </c>
      <c r="E218" t="s">
        <v>7616</v>
      </c>
      <c r="F218" t="s">
        <v>7526</v>
      </c>
      <c r="G218" t="s">
        <v>7527</v>
      </c>
      <c r="H218" t="s">
        <v>6851</v>
      </c>
    </row>
    <row r="219" spans="1:8">
      <c r="A219" t="s">
        <v>7619</v>
      </c>
      <c r="B219" t="s">
        <v>7620</v>
      </c>
      <c r="C219" t="s">
        <v>7621</v>
      </c>
      <c r="D219" t="s">
        <v>133</v>
      </c>
      <c r="E219" t="s">
        <v>7619</v>
      </c>
      <c r="F219" t="s">
        <v>7526</v>
      </c>
      <c r="G219" t="s">
        <v>7527</v>
      </c>
      <c r="H219" t="s">
        <v>6851</v>
      </c>
    </row>
    <row r="220" spans="1:8">
      <c r="A220" t="s">
        <v>7622</v>
      </c>
      <c r="B220" t="s">
        <v>7623</v>
      </c>
      <c r="C220" t="s">
        <v>7624</v>
      </c>
      <c r="D220" t="s">
        <v>133</v>
      </c>
      <c r="E220" t="s">
        <v>7622</v>
      </c>
      <c r="F220" t="s">
        <v>7526</v>
      </c>
      <c r="G220" t="s">
        <v>7527</v>
      </c>
      <c r="H220" t="s">
        <v>6851</v>
      </c>
    </row>
    <row r="221" spans="1:8">
      <c r="A221" t="s">
        <v>7625</v>
      </c>
      <c r="B221" t="s">
        <v>7626</v>
      </c>
      <c r="C221" t="s">
        <v>7627</v>
      </c>
      <c r="D221" t="s">
        <v>126</v>
      </c>
      <c r="F221" t="s">
        <v>7447</v>
      </c>
      <c r="G221" t="s">
        <v>58</v>
      </c>
      <c r="H221" t="s">
        <v>6851</v>
      </c>
    </row>
    <row r="222" spans="1:8">
      <c r="A222" t="s">
        <v>7628</v>
      </c>
      <c r="B222" t="s">
        <v>7629</v>
      </c>
      <c r="C222" t="s">
        <v>7630</v>
      </c>
      <c r="D222" t="s">
        <v>126</v>
      </c>
      <c r="E222" t="s">
        <v>7628</v>
      </c>
      <c r="F222" t="s">
        <v>7631</v>
      </c>
      <c r="G222" t="s">
        <v>63</v>
      </c>
      <c r="H222" t="s">
        <v>6851</v>
      </c>
    </row>
    <row r="223" spans="1:8">
      <c r="A223" t="s">
        <v>7632</v>
      </c>
      <c r="B223" t="s">
        <v>7633</v>
      </c>
      <c r="C223" t="s">
        <v>7634</v>
      </c>
      <c r="D223" t="s">
        <v>126</v>
      </c>
      <c r="E223" t="s">
        <v>7632</v>
      </c>
      <c r="F223" t="s">
        <v>7631</v>
      </c>
      <c r="G223" t="s">
        <v>63</v>
      </c>
      <c r="H223" t="s">
        <v>6851</v>
      </c>
    </row>
    <row r="224" spans="1:8">
      <c r="A224" t="s">
        <v>7635</v>
      </c>
      <c r="B224" t="s">
        <v>7636</v>
      </c>
      <c r="C224" t="s">
        <v>7637</v>
      </c>
      <c r="D224" t="s">
        <v>126</v>
      </c>
      <c r="E224" t="s">
        <v>7635</v>
      </c>
      <c r="F224" t="s">
        <v>7631</v>
      </c>
      <c r="G224" t="s">
        <v>63</v>
      </c>
      <c r="H224" t="s">
        <v>6851</v>
      </c>
    </row>
    <row r="225" spans="1:8">
      <c r="A225" t="s">
        <v>7638</v>
      </c>
      <c r="B225" t="s">
        <v>7639</v>
      </c>
      <c r="C225" t="s">
        <v>7640</v>
      </c>
      <c r="D225" t="s">
        <v>126</v>
      </c>
      <c r="E225" t="s">
        <v>7638</v>
      </c>
      <c r="F225" t="s">
        <v>7631</v>
      </c>
      <c r="G225" t="s">
        <v>63</v>
      </c>
      <c r="H225" t="s">
        <v>6851</v>
      </c>
    </row>
    <row r="226" spans="1:8">
      <c r="A226" t="s">
        <v>7641</v>
      </c>
      <c r="B226" t="s">
        <v>7642</v>
      </c>
      <c r="C226" t="s">
        <v>7643</v>
      </c>
      <c r="D226" t="s">
        <v>1827</v>
      </c>
    </row>
    <row r="227" spans="1:8">
      <c r="A227" t="s">
        <v>7644</v>
      </c>
      <c r="B227" t="s">
        <v>7645</v>
      </c>
      <c r="C227" t="s">
        <v>7646</v>
      </c>
      <c r="D227" t="s">
        <v>133</v>
      </c>
      <c r="E227" t="s">
        <v>7644</v>
      </c>
      <c r="F227" t="s">
        <v>7526</v>
      </c>
      <c r="G227" t="s">
        <v>7527</v>
      </c>
      <c r="H227" t="s">
        <v>6851</v>
      </c>
    </row>
    <row r="228" spans="1:8">
      <c r="A228" t="s">
        <v>7647</v>
      </c>
      <c r="B228" t="s">
        <v>7648</v>
      </c>
      <c r="C228" t="s">
        <v>7649</v>
      </c>
      <c r="D228" t="s">
        <v>126</v>
      </c>
      <c r="E228" t="s">
        <v>7647</v>
      </c>
      <c r="F228" t="s">
        <v>7648</v>
      </c>
      <c r="G228" t="s">
        <v>63</v>
      </c>
      <c r="H228" t="s">
        <v>6851</v>
      </c>
    </row>
    <row r="229" spans="1:8">
      <c r="A229" t="s">
        <v>7650</v>
      </c>
      <c r="B229" t="s">
        <v>7651</v>
      </c>
      <c r="C229" t="s">
        <v>7652</v>
      </c>
      <c r="D229" t="s">
        <v>129</v>
      </c>
      <c r="E229" t="s">
        <v>7650</v>
      </c>
      <c r="F229" t="s">
        <v>7490</v>
      </c>
      <c r="G229" t="s">
        <v>63</v>
      </c>
      <c r="H229" t="s">
        <v>6851</v>
      </c>
    </row>
    <row r="230" spans="1:8">
      <c r="A230" t="s">
        <v>7653</v>
      </c>
      <c r="B230" t="s">
        <v>7654</v>
      </c>
      <c r="C230" t="s">
        <v>7655</v>
      </c>
      <c r="D230" t="s">
        <v>129</v>
      </c>
      <c r="E230" t="s">
        <v>7653</v>
      </c>
      <c r="F230" t="s">
        <v>7490</v>
      </c>
      <c r="G230" t="s">
        <v>63</v>
      </c>
      <c r="H230" t="s">
        <v>6851</v>
      </c>
    </row>
    <row r="231" spans="1:8">
      <c r="A231" t="s">
        <v>7656</v>
      </c>
      <c r="B231" t="s">
        <v>7657</v>
      </c>
      <c r="C231" t="s">
        <v>7658</v>
      </c>
      <c r="D231" t="s">
        <v>133</v>
      </c>
      <c r="E231" t="s">
        <v>7656</v>
      </c>
    </row>
    <row r="232" spans="1:8">
      <c r="A232" t="s">
        <v>7659</v>
      </c>
      <c r="B232" t="s">
        <v>7660</v>
      </c>
      <c r="C232" t="s">
        <v>7661</v>
      </c>
      <c r="D232" t="s">
        <v>126</v>
      </c>
      <c r="E232" t="s">
        <v>7659</v>
      </c>
      <c r="F232" t="s">
        <v>7662</v>
      </c>
      <c r="G232" t="s">
        <v>67</v>
      </c>
      <c r="H232" t="s">
        <v>6851</v>
      </c>
    </row>
    <row r="233" spans="1:8">
      <c r="A233" t="s">
        <v>7663</v>
      </c>
      <c r="B233" t="s">
        <v>7664</v>
      </c>
      <c r="C233" t="s">
        <v>7665</v>
      </c>
      <c r="D233" t="s">
        <v>126</v>
      </c>
      <c r="F233" t="s">
        <v>7447</v>
      </c>
      <c r="G233" t="s">
        <v>58</v>
      </c>
      <c r="H233" t="s">
        <v>6851</v>
      </c>
    </row>
    <row r="234" spans="1:8">
      <c r="A234" t="s">
        <v>7666</v>
      </c>
      <c r="B234" t="s">
        <v>7667</v>
      </c>
      <c r="C234" t="s">
        <v>7668</v>
      </c>
      <c r="D234" t="s">
        <v>133</v>
      </c>
      <c r="E234" t="s">
        <v>7666</v>
      </c>
      <c r="F234" t="s">
        <v>7669</v>
      </c>
      <c r="G234" t="s">
        <v>67</v>
      </c>
      <c r="H234" t="s">
        <v>6851</v>
      </c>
    </row>
    <row r="235" spans="1:8">
      <c r="A235" t="s">
        <v>7670</v>
      </c>
      <c r="B235" t="s">
        <v>7671</v>
      </c>
      <c r="C235" t="s">
        <v>7672</v>
      </c>
      <c r="D235" t="s">
        <v>126</v>
      </c>
      <c r="E235" t="s">
        <v>7670</v>
      </c>
      <c r="F235" t="s">
        <v>7447</v>
      </c>
      <c r="G235" t="s">
        <v>58</v>
      </c>
      <c r="H235" t="s">
        <v>6851</v>
      </c>
    </row>
    <row r="236" spans="1:8">
      <c r="A236" t="s">
        <v>7673</v>
      </c>
      <c r="B236" t="s">
        <v>7674</v>
      </c>
      <c r="C236" t="s">
        <v>7675</v>
      </c>
      <c r="D236" t="s">
        <v>126</v>
      </c>
      <c r="E236" t="s">
        <v>7673</v>
      </c>
      <c r="F236" t="s">
        <v>7447</v>
      </c>
      <c r="G236" t="s">
        <v>58</v>
      </c>
      <c r="H236" t="s">
        <v>6851</v>
      </c>
    </row>
    <row r="237" spans="1:8">
      <c r="A237" t="s">
        <v>7676</v>
      </c>
      <c r="B237" t="s">
        <v>7677</v>
      </c>
      <c r="C237" t="s">
        <v>7678</v>
      </c>
      <c r="D237" t="s">
        <v>133</v>
      </c>
      <c r="E237" t="s">
        <v>7676</v>
      </c>
      <c r="F237" t="s">
        <v>7526</v>
      </c>
      <c r="G237" t="s">
        <v>7527</v>
      </c>
      <c r="H237" t="s">
        <v>6851</v>
      </c>
    </row>
    <row r="238" spans="1:8">
      <c r="A238" t="s">
        <v>7679</v>
      </c>
      <c r="B238" t="s">
        <v>7680</v>
      </c>
      <c r="C238" t="s">
        <v>7681</v>
      </c>
      <c r="D238" t="s">
        <v>126</v>
      </c>
      <c r="E238" t="s">
        <v>7679</v>
      </c>
      <c r="F238" t="s">
        <v>7447</v>
      </c>
      <c r="G238" t="s">
        <v>58</v>
      </c>
      <c r="H238" t="s">
        <v>6851</v>
      </c>
    </row>
    <row r="239" spans="1:8">
      <c r="A239" t="s">
        <v>7682</v>
      </c>
      <c r="B239" t="s">
        <v>7683</v>
      </c>
      <c r="C239" t="s">
        <v>7684</v>
      </c>
      <c r="D239" t="s">
        <v>6948</v>
      </c>
      <c r="F239" t="s">
        <v>7685</v>
      </c>
      <c r="G239" t="s">
        <v>7686</v>
      </c>
      <c r="H239" t="s">
        <v>6851</v>
      </c>
    </row>
    <row r="240" spans="1:8">
      <c r="A240" t="s">
        <v>7687</v>
      </c>
      <c r="B240" t="s">
        <v>7688</v>
      </c>
      <c r="C240" t="s">
        <v>7689</v>
      </c>
      <c r="D240" t="s">
        <v>126</v>
      </c>
      <c r="E240" t="s">
        <v>7687</v>
      </c>
      <c r="F240" t="s">
        <v>7690</v>
      </c>
      <c r="G240" t="s">
        <v>67</v>
      </c>
      <c r="H240" t="s">
        <v>6851</v>
      </c>
    </row>
    <row r="241" spans="1:8">
      <c r="A241" t="s">
        <v>7691</v>
      </c>
      <c r="B241" t="s">
        <v>7692</v>
      </c>
      <c r="C241" t="s">
        <v>7693</v>
      </c>
      <c r="D241" t="s">
        <v>126</v>
      </c>
      <c r="E241" t="s">
        <v>7691</v>
      </c>
      <c r="F241" t="s">
        <v>7690</v>
      </c>
      <c r="G241" t="s">
        <v>67</v>
      </c>
      <c r="H241" t="s">
        <v>6851</v>
      </c>
    </row>
    <row r="242" spans="1:8">
      <c r="A242" t="s">
        <v>7694</v>
      </c>
      <c r="B242" t="s">
        <v>7695</v>
      </c>
      <c r="C242" t="s">
        <v>7696</v>
      </c>
      <c r="D242" t="s">
        <v>126</v>
      </c>
      <c r="E242" t="s">
        <v>7694</v>
      </c>
      <c r="F242" t="s">
        <v>7697</v>
      </c>
      <c r="G242" t="s">
        <v>67</v>
      </c>
      <c r="H242" t="s">
        <v>6851</v>
      </c>
    </row>
    <row r="243" spans="1:8">
      <c r="A243" t="s">
        <v>7698</v>
      </c>
      <c r="B243" t="s">
        <v>7699</v>
      </c>
      <c r="C243" t="s">
        <v>7700</v>
      </c>
      <c r="D243" t="s">
        <v>133</v>
      </c>
      <c r="E243" t="s">
        <v>7698</v>
      </c>
      <c r="F243" t="s">
        <v>7669</v>
      </c>
      <c r="G243" t="s">
        <v>67</v>
      </c>
      <c r="H243" t="s">
        <v>6851</v>
      </c>
    </row>
    <row r="244" spans="1:8">
      <c r="A244" t="s">
        <v>7701</v>
      </c>
      <c r="B244" t="s">
        <v>7702</v>
      </c>
      <c r="C244" t="s">
        <v>7703</v>
      </c>
      <c r="D244" t="s">
        <v>133</v>
      </c>
      <c r="E244" t="s">
        <v>7701</v>
      </c>
      <c r="F244" t="s">
        <v>7669</v>
      </c>
      <c r="G244" t="s">
        <v>67</v>
      </c>
      <c r="H244" t="s">
        <v>6851</v>
      </c>
    </row>
    <row r="245" spans="1:8">
      <c r="A245" t="s">
        <v>7704</v>
      </c>
      <c r="B245" t="s">
        <v>7705</v>
      </c>
      <c r="C245" t="s">
        <v>7706</v>
      </c>
      <c r="D245" t="s">
        <v>133</v>
      </c>
      <c r="E245" t="s">
        <v>7704</v>
      </c>
      <c r="F245" t="s">
        <v>7669</v>
      </c>
      <c r="G245" t="s">
        <v>67</v>
      </c>
      <c r="H245" t="s">
        <v>6851</v>
      </c>
    </row>
    <row r="246" spans="1:8">
      <c r="A246" t="s">
        <v>7707</v>
      </c>
      <c r="B246" t="s">
        <v>7708</v>
      </c>
      <c r="C246" t="s">
        <v>7709</v>
      </c>
      <c r="D246" t="s">
        <v>133</v>
      </c>
      <c r="E246" t="s">
        <v>7707</v>
      </c>
      <c r="F246" t="s">
        <v>7669</v>
      </c>
      <c r="G246" t="s">
        <v>67</v>
      </c>
      <c r="H246" t="s">
        <v>6851</v>
      </c>
    </row>
    <row r="247" spans="1:8">
      <c r="A247" t="s">
        <v>7710</v>
      </c>
      <c r="B247" t="s">
        <v>7711</v>
      </c>
      <c r="C247" t="s">
        <v>7712</v>
      </c>
      <c r="D247" t="s">
        <v>133</v>
      </c>
      <c r="E247" t="s">
        <v>7710</v>
      </c>
      <c r="F247" t="s">
        <v>7669</v>
      </c>
      <c r="G247" t="s">
        <v>67</v>
      </c>
      <c r="H247" t="s">
        <v>6851</v>
      </c>
    </row>
    <row r="248" spans="1:8">
      <c r="A248" t="s">
        <v>7713</v>
      </c>
      <c r="B248" t="s">
        <v>7714</v>
      </c>
      <c r="C248" t="s">
        <v>7715</v>
      </c>
      <c r="D248" t="s">
        <v>126</v>
      </c>
      <c r="E248" t="s">
        <v>7713</v>
      </c>
      <c r="F248" t="s">
        <v>7669</v>
      </c>
      <c r="G248" t="s">
        <v>67</v>
      </c>
      <c r="H248" t="s">
        <v>6851</v>
      </c>
    </row>
    <row r="249" spans="1:8">
      <c r="A249" t="s">
        <v>7716</v>
      </c>
      <c r="B249" t="s">
        <v>7717</v>
      </c>
      <c r="C249" t="s">
        <v>7718</v>
      </c>
      <c r="D249" t="s">
        <v>133</v>
      </c>
      <c r="E249" t="s">
        <v>7716</v>
      </c>
      <c r="F249" t="s">
        <v>7669</v>
      </c>
      <c r="G249" t="s">
        <v>67</v>
      </c>
      <c r="H249" t="s">
        <v>6851</v>
      </c>
    </row>
    <row r="250" spans="1:8">
      <c r="A250" t="s">
        <v>7719</v>
      </c>
      <c r="B250" t="s">
        <v>7720</v>
      </c>
      <c r="C250" t="s">
        <v>7721</v>
      </c>
      <c r="D250" t="s">
        <v>133</v>
      </c>
      <c r="E250" t="s">
        <v>7719</v>
      </c>
      <c r="F250" t="s">
        <v>7669</v>
      </c>
      <c r="G250" t="s">
        <v>67</v>
      </c>
      <c r="H250" t="s">
        <v>6851</v>
      </c>
    </row>
    <row r="251" spans="1:8">
      <c r="A251" t="s">
        <v>7722</v>
      </c>
      <c r="B251" t="s">
        <v>7723</v>
      </c>
      <c r="C251" t="s">
        <v>7724</v>
      </c>
      <c r="D251" t="s">
        <v>133</v>
      </c>
      <c r="E251" t="s">
        <v>7722</v>
      </c>
      <c r="F251" t="s">
        <v>7669</v>
      </c>
      <c r="G251" t="s">
        <v>67</v>
      </c>
      <c r="H251" t="s">
        <v>6851</v>
      </c>
    </row>
    <row r="252" spans="1:8">
      <c r="A252" t="s">
        <v>7725</v>
      </c>
      <c r="B252" t="s">
        <v>7726</v>
      </c>
      <c r="C252" t="s">
        <v>7727</v>
      </c>
      <c r="D252" t="s">
        <v>133</v>
      </c>
      <c r="E252" t="s">
        <v>7725</v>
      </c>
      <c r="F252" t="s">
        <v>7669</v>
      </c>
      <c r="G252" t="s">
        <v>67</v>
      </c>
      <c r="H252" t="s">
        <v>6851</v>
      </c>
    </row>
    <row r="253" spans="1:8">
      <c r="A253" t="s">
        <v>7728</v>
      </c>
      <c r="B253" t="s">
        <v>7729</v>
      </c>
      <c r="C253" t="s">
        <v>7730</v>
      </c>
      <c r="D253" t="s">
        <v>133</v>
      </c>
      <c r="E253" t="s">
        <v>7728</v>
      </c>
      <c r="F253" t="s">
        <v>7669</v>
      </c>
      <c r="G253" t="s">
        <v>67</v>
      </c>
      <c r="H253" t="s">
        <v>6851</v>
      </c>
    </row>
    <row r="254" spans="1:8">
      <c r="A254" t="s">
        <v>7731</v>
      </c>
      <c r="B254" t="s">
        <v>7732</v>
      </c>
      <c r="C254" t="s">
        <v>7733</v>
      </c>
      <c r="D254" t="s">
        <v>126</v>
      </c>
      <c r="E254" t="s">
        <v>7731</v>
      </c>
      <c r="F254" t="s">
        <v>7732</v>
      </c>
      <c r="G254" t="s">
        <v>67</v>
      </c>
      <c r="H254" t="s">
        <v>6851</v>
      </c>
    </row>
    <row r="255" spans="1:8">
      <c r="A255" t="s">
        <v>7734</v>
      </c>
      <c r="B255" t="s">
        <v>7735</v>
      </c>
      <c r="C255" t="s">
        <v>7736</v>
      </c>
      <c r="D255" t="s">
        <v>133</v>
      </c>
      <c r="E255" t="s">
        <v>7734</v>
      </c>
      <c r="F255" t="s">
        <v>7669</v>
      </c>
      <c r="G255" t="s">
        <v>67</v>
      </c>
      <c r="H255" t="s">
        <v>6851</v>
      </c>
    </row>
    <row r="256" spans="1:8">
      <c r="A256" t="s">
        <v>7737</v>
      </c>
      <c r="B256" t="s">
        <v>7738</v>
      </c>
      <c r="C256" t="s">
        <v>7739</v>
      </c>
      <c r="D256" t="s">
        <v>133</v>
      </c>
      <c r="E256" t="s">
        <v>7737</v>
      </c>
      <c r="F256" t="s">
        <v>7669</v>
      </c>
      <c r="G256" t="s">
        <v>67</v>
      </c>
      <c r="H256" t="s">
        <v>6851</v>
      </c>
    </row>
    <row r="257" spans="1:8">
      <c r="A257" t="s">
        <v>7740</v>
      </c>
      <c r="B257" t="s">
        <v>7741</v>
      </c>
      <c r="C257" t="s">
        <v>7742</v>
      </c>
      <c r="D257" t="s">
        <v>126</v>
      </c>
      <c r="E257" t="s">
        <v>7740</v>
      </c>
      <c r="F257" t="s">
        <v>7631</v>
      </c>
      <c r="G257" t="s">
        <v>63</v>
      </c>
      <c r="H257" t="s">
        <v>6851</v>
      </c>
    </row>
    <row r="258" spans="1:8">
      <c r="A258" t="s">
        <v>7743</v>
      </c>
      <c r="B258" t="s">
        <v>7744</v>
      </c>
      <c r="C258" t="s">
        <v>7745</v>
      </c>
      <c r="D258" t="s">
        <v>129</v>
      </c>
      <c r="F258" t="s">
        <v>7746</v>
      </c>
      <c r="G258" t="s">
        <v>67</v>
      </c>
      <c r="H258" t="s">
        <v>6851</v>
      </c>
    </row>
    <row r="259" spans="1:8">
      <c r="A259" t="s">
        <v>7747</v>
      </c>
      <c r="B259" t="s">
        <v>7748</v>
      </c>
      <c r="C259" t="s">
        <v>7749</v>
      </c>
      <c r="D259" t="s">
        <v>126</v>
      </c>
      <c r="E259" t="s">
        <v>7670</v>
      </c>
      <c r="F259" t="s">
        <v>7748</v>
      </c>
      <c r="G259" t="s">
        <v>67</v>
      </c>
      <c r="H259" t="s">
        <v>6851</v>
      </c>
    </row>
    <row r="260" spans="1:8">
      <c r="A260" t="s">
        <v>7750</v>
      </c>
      <c r="B260" t="s">
        <v>7751</v>
      </c>
      <c r="C260" t="s">
        <v>7752</v>
      </c>
      <c r="D260" t="s">
        <v>133</v>
      </c>
      <c r="E260" t="s">
        <v>7750</v>
      </c>
      <c r="F260" t="s">
        <v>7669</v>
      </c>
      <c r="G260" t="s">
        <v>67</v>
      </c>
      <c r="H260" t="s">
        <v>6851</v>
      </c>
    </row>
    <row r="261" spans="1:8">
      <c r="A261" t="s">
        <v>7753</v>
      </c>
      <c r="B261" t="s">
        <v>7754</v>
      </c>
      <c r="C261" t="s">
        <v>7755</v>
      </c>
      <c r="D261" t="s">
        <v>133</v>
      </c>
      <c r="E261" t="s">
        <v>7753</v>
      </c>
      <c r="F261" t="s">
        <v>7669</v>
      </c>
      <c r="G261" t="s">
        <v>67</v>
      </c>
      <c r="H261" t="s">
        <v>6851</v>
      </c>
    </row>
    <row r="262" spans="1:8">
      <c r="A262" t="s">
        <v>7756</v>
      </c>
      <c r="B262" t="s">
        <v>7757</v>
      </c>
      <c r="C262" t="s">
        <v>7758</v>
      </c>
      <c r="D262" t="s">
        <v>133</v>
      </c>
      <c r="E262" t="s">
        <v>7756</v>
      </c>
      <c r="F262" t="s">
        <v>7669</v>
      </c>
      <c r="G262" t="s">
        <v>67</v>
      </c>
      <c r="H262" t="s">
        <v>6851</v>
      </c>
    </row>
    <row r="263" spans="1:8">
      <c r="A263" t="s">
        <v>7759</v>
      </c>
      <c r="B263" t="s">
        <v>7760</v>
      </c>
      <c r="C263" t="s">
        <v>7761</v>
      </c>
      <c r="D263" t="s">
        <v>133</v>
      </c>
      <c r="E263" t="s">
        <v>7759</v>
      </c>
      <c r="F263" t="s">
        <v>7669</v>
      </c>
      <c r="G263" t="s">
        <v>67</v>
      </c>
      <c r="H263" t="s">
        <v>6851</v>
      </c>
    </row>
    <row r="264" spans="1:8">
      <c r="A264" t="s">
        <v>7762</v>
      </c>
      <c r="B264" t="s">
        <v>7763</v>
      </c>
      <c r="C264" t="s">
        <v>7764</v>
      </c>
      <c r="D264" t="s">
        <v>133</v>
      </c>
      <c r="E264" t="s">
        <v>7765</v>
      </c>
      <c r="F264" t="s">
        <v>7669</v>
      </c>
      <c r="G264" t="s">
        <v>67</v>
      </c>
      <c r="H264" t="s">
        <v>6851</v>
      </c>
    </row>
    <row r="265" spans="1:8">
      <c r="A265" t="s">
        <v>7766</v>
      </c>
      <c r="B265" t="s">
        <v>7767</v>
      </c>
      <c r="C265" t="s">
        <v>7768</v>
      </c>
      <c r="D265" t="s">
        <v>133</v>
      </c>
      <c r="F265" t="s">
        <v>7669</v>
      </c>
      <c r="G265" t="s">
        <v>67</v>
      </c>
      <c r="H265" t="s">
        <v>6851</v>
      </c>
    </row>
    <row r="266" spans="1:8">
      <c r="A266" t="s">
        <v>7769</v>
      </c>
      <c r="B266" t="s">
        <v>7770</v>
      </c>
      <c r="C266" t="s">
        <v>7771</v>
      </c>
      <c r="D266" t="s">
        <v>133</v>
      </c>
      <c r="E266" t="s">
        <v>7769</v>
      </c>
      <c r="F266" t="s">
        <v>7669</v>
      </c>
      <c r="G266" t="s">
        <v>67</v>
      </c>
      <c r="H266" t="s">
        <v>6851</v>
      </c>
    </row>
    <row r="267" spans="1:8">
      <c r="A267" t="s">
        <v>7772</v>
      </c>
      <c r="B267" t="s">
        <v>7773</v>
      </c>
      <c r="C267" t="s">
        <v>7774</v>
      </c>
      <c r="D267" t="s">
        <v>133</v>
      </c>
      <c r="E267" t="s">
        <v>7772</v>
      </c>
      <c r="F267" t="s">
        <v>7669</v>
      </c>
      <c r="G267" t="s">
        <v>67</v>
      </c>
      <c r="H267" t="s">
        <v>6851</v>
      </c>
    </row>
    <row r="268" spans="1:8">
      <c r="A268" t="s">
        <v>7775</v>
      </c>
      <c r="B268" t="s">
        <v>7776</v>
      </c>
      <c r="C268" t="s">
        <v>7777</v>
      </c>
      <c r="D268" t="s">
        <v>133</v>
      </c>
      <c r="E268" t="s">
        <v>7775</v>
      </c>
      <c r="F268" t="s">
        <v>7669</v>
      </c>
      <c r="G268" t="s">
        <v>67</v>
      </c>
      <c r="H268" t="s">
        <v>6851</v>
      </c>
    </row>
    <row r="269" spans="1:8">
      <c r="A269" t="s">
        <v>7778</v>
      </c>
      <c r="B269" t="s">
        <v>7779</v>
      </c>
      <c r="C269" t="s">
        <v>7780</v>
      </c>
      <c r="D269" t="s">
        <v>133</v>
      </c>
      <c r="E269" t="s">
        <v>7778</v>
      </c>
      <c r="F269" t="s">
        <v>7669</v>
      </c>
      <c r="G269" t="s">
        <v>67</v>
      </c>
      <c r="H269" t="s">
        <v>6851</v>
      </c>
    </row>
    <row r="270" spans="1:8">
      <c r="A270" t="s">
        <v>7781</v>
      </c>
      <c r="B270" t="s">
        <v>7782</v>
      </c>
      <c r="C270" t="s">
        <v>7783</v>
      </c>
      <c r="D270" t="s">
        <v>133</v>
      </c>
      <c r="E270" t="s">
        <v>7781</v>
      </c>
      <c r="F270" t="s">
        <v>7669</v>
      </c>
      <c r="G270" t="s">
        <v>67</v>
      </c>
      <c r="H270" t="s">
        <v>6851</v>
      </c>
    </row>
    <row r="271" spans="1:8">
      <c r="A271" t="s">
        <v>7784</v>
      </c>
      <c r="B271" t="s">
        <v>7785</v>
      </c>
      <c r="C271" t="s">
        <v>7786</v>
      </c>
      <c r="D271" t="s">
        <v>133</v>
      </c>
      <c r="E271" t="s">
        <v>7784</v>
      </c>
      <c r="F271" t="s">
        <v>7669</v>
      </c>
      <c r="G271" t="s">
        <v>67</v>
      </c>
      <c r="H271" t="s">
        <v>6851</v>
      </c>
    </row>
    <row r="272" spans="1:8">
      <c r="A272" t="s">
        <v>7787</v>
      </c>
      <c r="B272" t="s">
        <v>7788</v>
      </c>
      <c r="C272" t="s">
        <v>7789</v>
      </c>
      <c r="D272" t="s">
        <v>133</v>
      </c>
      <c r="E272" t="s">
        <v>7787</v>
      </c>
      <c r="F272" t="s">
        <v>7669</v>
      </c>
      <c r="G272" t="s">
        <v>67</v>
      </c>
      <c r="H272" t="s">
        <v>6851</v>
      </c>
    </row>
    <row r="273" spans="1:8">
      <c r="A273" t="s">
        <v>7790</v>
      </c>
      <c r="B273" t="s">
        <v>7791</v>
      </c>
      <c r="C273" t="s">
        <v>7792</v>
      </c>
      <c r="D273" t="s">
        <v>133</v>
      </c>
      <c r="E273" t="s">
        <v>7790</v>
      </c>
      <c r="F273" t="s">
        <v>7669</v>
      </c>
      <c r="G273" t="s">
        <v>67</v>
      </c>
      <c r="H273" t="s">
        <v>6851</v>
      </c>
    </row>
    <row r="274" spans="1:8">
      <c r="A274" t="s">
        <v>7793</v>
      </c>
      <c r="B274" t="s">
        <v>7794</v>
      </c>
      <c r="C274" t="s">
        <v>7795</v>
      </c>
      <c r="D274" t="s">
        <v>133</v>
      </c>
      <c r="E274" t="s">
        <v>7793</v>
      </c>
      <c r="F274" t="s">
        <v>7669</v>
      </c>
      <c r="G274" t="s">
        <v>67</v>
      </c>
      <c r="H274" t="s">
        <v>6851</v>
      </c>
    </row>
    <row r="275" spans="1:8">
      <c r="A275" t="s">
        <v>7796</v>
      </c>
      <c r="B275" t="s">
        <v>7797</v>
      </c>
      <c r="C275" t="s">
        <v>7798</v>
      </c>
      <c r="D275" t="s">
        <v>133</v>
      </c>
      <c r="E275" t="s">
        <v>7796</v>
      </c>
      <c r="F275" t="s">
        <v>7669</v>
      </c>
      <c r="G275" t="s">
        <v>67</v>
      </c>
      <c r="H275" t="s">
        <v>6851</v>
      </c>
    </row>
    <row r="276" spans="1:8">
      <c r="A276" t="s">
        <v>7799</v>
      </c>
      <c r="B276" t="s">
        <v>7800</v>
      </c>
      <c r="C276" t="s">
        <v>7801</v>
      </c>
      <c r="D276" t="s">
        <v>133</v>
      </c>
      <c r="E276" t="s">
        <v>7799</v>
      </c>
      <c r="F276" t="s">
        <v>7669</v>
      </c>
      <c r="G276" t="s">
        <v>67</v>
      </c>
      <c r="H276" t="s">
        <v>6851</v>
      </c>
    </row>
    <row r="277" spans="1:8">
      <c r="A277" t="s">
        <v>7802</v>
      </c>
      <c r="B277" t="s">
        <v>7803</v>
      </c>
      <c r="C277" t="s">
        <v>7804</v>
      </c>
      <c r="D277" t="s">
        <v>133</v>
      </c>
      <c r="E277" t="s">
        <v>7802</v>
      </c>
      <c r="F277" t="s">
        <v>7669</v>
      </c>
      <c r="G277" t="s">
        <v>67</v>
      </c>
      <c r="H277" t="s">
        <v>6851</v>
      </c>
    </row>
    <row r="278" spans="1:8">
      <c r="A278" t="s">
        <v>7805</v>
      </c>
      <c r="B278" t="s">
        <v>7806</v>
      </c>
      <c r="C278" t="s">
        <v>7807</v>
      </c>
      <c r="D278" t="s">
        <v>133</v>
      </c>
      <c r="E278" t="s">
        <v>7805</v>
      </c>
      <c r="F278" t="s">
        <v>7669</v>
      </c>
      <c r="G278" t="s">
        <v>67</v>
      </c>
      <c r="H278" t="s">
        <v>6851</v>
      </c>
    </row>
    <row r="279" spans="1:8">
      <c r="A279" t="s">
        <v>7808</v>
      </c>
      <c r="B279" t="s">
        <v>7809</v>
      </c>
      <c r="C279" t="s">
        <v>7810</v>
      </c>
      <c r="D279" t="s">
        <v>133</v>
      </c>
      <c r="E279" t="s">
        <v>7808</v>
      </c>
      <c r="F279" t="s">
        <v>7669</v>
      </c>
      <c r="G279" t="s">
        <v>67</v>
      </c>
      <c r="H279" t="s">
        <v>6851</v>
      </c>
    </row>
    <row r="280" spans="1:8">
      <c r="A280" t="s">
        <v>7811</v>
      </c>
      <c r="B280" t="s">
        <v>7812</v>
      </c>
      <c r="C280" t="s">
        <v>7813</v>
      </c>
      <c r="D280" t="s">
        <v>133</v>
      </c>
      <c r="E280" t="s">
        <v>7811</v>
      </c>
      <c r="F280" t="s">
        <v>7669</v>
      </c>
      <c r="G280" t="s">
        <v>67</v>
      </c>
      <c r="H280" t="s">
        <v>6851</v>
      </c>
    </row>
    <row r="281" spans="1:8">
      <c r="A281" t="s">
        <v>7814</v>
      </c>
      <c r="B281" t="s">
        <v>7815</v>
      </c>
      <c r="C281" t="s">
        <v>7816</v>
      </c>
      <c r="D281" t="s">
        <v>133</v>
      </c>
      <c r="E281" t="s">
        <v>7814</v>
      </c>
      <c r="F281" t="s">
        <v>7669</v>
      </c>
      <c r="G281" t="s">
        <v>67</v>
      </c>
      <c r="H281" t="s">
        <v>6851</v>
      </c>
    </row>
    <row r="282" spans="1:8">
      <c r="A282" t="s">
        <v>7817</v>
      </c>
      <c r="B282" t="s">
        <v>7818</v>
      </c>
      <c r="C282" t="s">
        <v>7819</v>
      </c>
      <c r="D282" t="s">
        <v>133</v>
      </c>
      <c r="E282" t="s">
        <v>7817</v>
      </c>
      <c r="F282" t="s">
        <v>7669</v>
      </c>
      <c r="G282" t="s">
        <v>67</v>
      </c>
      <c r="H282" t="s">
        <v>6851</v>
      </c>
    </row>
    <row r="283" spans="1:8">
      <c r="A283" t="s">
        <v>7820</v>
      </c>
      <c r="B283" t="s">
        <v>7821</v>
      </c>
      <c r="C283" t="s">
        <v>7822</v>
      </c>
      <c r="D283" t="s">
        <v>133</v>
      </c>
      <c r="E283" t="s">
        <v>7820</v>
      </c>
      <c r="F283" t="s">
        <v>7669</v>
      </c>
      <c r="G283" t="s">
        <v>67</v>
      </c>
      <c r="H283" t="s">
        <v>6851</v>
      </c>
    </row>
    <row r="284" spans="1:8">
      <c r="A284" t="s">
        <v>7823</v>
      </c>
      <c r="B284" t="s">
        <v>7824</v>
      </c>
      <c r="C284" t="s">
        <v>7825</v>
      </c>
      <c r="D284" t="s">
        <v>133</v>
      </c>
      <c r="E284" t="s">
        <v>7823</v>
      </c>
      <c r="F284" t="s">
        <v>7669</v>
      </c>
      <c r="G284" t="s">
        <v>67</v>
      </c>
      <c r="H284" t="s">
        <v>6851</v>
      </c>
    </row>
    <row r="285" spans="1:8">
      <c r="A285" t="s">
        <v>7826</v>
      </c>
      <c r="B285" t="s">
        <v>7827</v>
      </c>
      <c r="C285" t="s">
        <v>7828</v>
      </c>
      <c r="D285" t="s">
        <v>133</v>
      </c>
      <c r="E285" t="s">
        <v>7826</v>
      </c>
      <c r="F285" t="s">
        <v>7669</v>
      </c>
      <c r="G285" t="s">
        <v>67</v>
      </c>
      <c r="H285" t="s">
        <v>6851</v>
      </c>
    </row>
    <row r="286" spans="1:8">
      <c r="A286" t="s">
        <v>7829</v>
      </c>
      <c r="B286" t="s">
        <v>7830</v>
      </c>
      <c r="C286" t="s">
        <v>7831</v>
      </c>
      <c r="D286" t="s">
        <v>133</v>
      </c>
      <c r="E286" t="s">
        <v>7829</v>
      </c>
      <c r="F286" t="s">
        <v>7669</v>
      </c>
      <c r="G286" t="s">
        <v>67</v>
      </c>
      <c r="H286" t="s">
        <v>6851</v>
      </c>
    </row>
    <row r="287" spans="1:8">
      <c r="A287" t="s">
        <v>7832</v>
      </c>
      <c r="B287" t="s">
        <v>7833</v>
      </c>
      <c r="C287" t="s">
        <v>7834</v>
      </c>
      <c r="D287" t="s">
        <v>126</v>
      </c>
      <c r="E287" t="s">
        <v>7832</v>
      </c>
      <c r="F287" t="s">
        <v>7631</v>
      </c>
      <c r="G287" t="s">
        <v>63</v>
      </c>
      <c r="H287" t="s">
        <v>6851</v>
      </c>
    </row>
    <row r="288" spans="1:8">
      <c r="A288" t="s">
        <v>7835</v>
      </c>
      <c r="B288" t="s">
        <v>7836</v>
      </c>
      <c r="C288" t="s">
        <v>7837</v>
      </c>
      <c r="D288" t="s">
        <v>126</v>
      </c>
      <c r="F288" t="s">
        <v>7838</v>
      </c>
      <c r="G288" t="s">
        <v>67</v>
      </c>
      <c r="H288" t="s">
        <v>6851</v>
      </c>
    </row>
    <row r="289" spans="1:8">
      <c r="A289" t="s">
        <v>7839</v>
      </c>
      <c r="B289" t="s">
        <v>7840</v>
      </c>
      <c r="C289" t="s">
        <v>7841</v>
      </c>
      <c r="D289" t="s">
        <v>129</v>
      </c>
      <c r="E289" t="s">
        <v>7839</v>
      </c>
      <c r="F289" t="s">
        <v>7840</v>
      </c>
      <c r="G289" t="s">
        <v>67</v>
      </c>
      <c r="H289" t="s">
        <v>6851</v>
      </c>
    </row>
    <row r="290" spans="1:8">
      <c r="A290" t="s">
        <v>7842</v>
      </c>
      <c r="B290" t="s">
        <v>7843</v>
      </c>
      <c r="C290" t="s">
        <v>7844</v>
      </c>
      <c r="D290" t="s">
        <v>126</v>
      </c>
      <c r="E290" t="s">
        <v>7842</v>
      </c>
      <c r="F290" t="s">
        <v>7631</v>
      </c>
      <c r="G290" t="s">
        <v>63</v>
      </c>
      <c r="H290" t="s">
        <v>6851</v>
      </c>
    </row>
    <row r="291" spans="1:8">
      <c r="A291" t="s">
        <v>7845</v>
      </c>
      <c r="B291" t="s">
        <v>7846</v>
      </c>
      <c r="C291" t="s">
        <v>7847</v>
      </c>
      <c r="D291" t="s">
        <v>126</v>
      </c>
      <c r="F291" t="s">
        <v>7848</v>
      </c>
      <c r="G291" t="s">
        <v>67</v>
      </c>
      <c r="H291" t="s">
        <v>6851</v>
      </c>
    </row>
    <row r="292" spans="1:8">
      <c r="A292" t="s">
        <v>7849</v>
      </c>
      <c r="B292" t="s">
        <v>7850</v>
      </c>
      <c r="C292" t="s">
        <v>7851</v>
      </c>
      <c r="D292" t="s">
        <v>129</v>
      </c>
      <c r="E292" t="s">
        <v>7849</v>
      </c>
      <c r="F292" t="s">
        <v>7850</v>
      </c>
      <c r="G292" t="s">
        <v>67</v>
      </c>
      <c r="H292" t="s">
        <v>6851</v>
      </c>
    </row>
    <row r="293" spans="1:8">
      <c r="A293" t="s">
        <v>7852</v>
      </c>
      <c r="B293" t="s">
        <v>7853</v>
      </c>
      <c r="C293" t="s">
        <v>7854</v>
      </c>
      <c r="D293" t="s">
        <v>133</v>
      </c>
      <c r="E293" t="s">
        <v>7855</v>
      </c>
      <c r="F293" t="s">
        <v>7266</v>
      </c>
      <c r="G293" t="s">
        <v>7267</v>
      </c>
      <c r="H293" t="s">
        <v>6851</v>
      </c>
    </row>
    <row r="294" spans="1:8">
      <c r="A294" t="s">
        <v>7856</v>
      </c>
      <c r="B294" t="s">
        <v>7857</v>
      </c>
      <c r="C294" t="s">
        <v>7858</v>
      </c>
      <c r="D294" t="s">
        <v>133</v>
      </c>
      <c r="E294" t="s">
        <v>7856</v>
      </c>
      <c r="F294" t="s">
        <v>7266</v>
      </c>
      <c r="G294" t="s">
        <v>7267</v>
      </c>
      <c r="H294" t="s">
        <v>6851</v>
      </c>
    </row>
    <row r="295" spans="1:8">
      <c r="A295" t="s">
        <v>7859</v>
      </c>
      <c r="B295" t="s">
        <v>7860</v>
      </c>
      <c r="C295" t="s">
        <v>7861</v>
      </c>
      <c r="D295" t="s">
        <v>133</v>
      </c>
      <c r="E295" t="s">
        <v>7859</v>
      </c>
      <c r="F295" t="s">
        <v>7266</v>
      </c>
      <c r="G295" t="s">
        <v>7267</v>
      </c>
      <c r="H295" t="s">
        <v>6851</v>
      </c>
    </row>
    <row r="296" spans="1:8">
      <c r="A296" t="s">
        <v>7862</v>
      </c>
      <c r="B296" t="s">
        <v>7863</v>
      </c>
      <c r="C296" t="s">
        <v>7864</v>
      </c>
      <c r="D296" t="s">
        <v>133</v>
      </c>
      <c r="E296" t="s">
        <v>7862</v>
      </c>
      <c r="F296" t="s">
        <v>7266</v>
      </c>
      <c r="G296" t="s">
        <v>7267</v>
      </c>
      <c r="H296" t="s">
        <v>6851</v>
      </c>
    </row>
    <row r="297" spans="1:8">
      <c r="A297" t="s">
        <v>7865</v>
      </c>
      <c r="B297" t="s">
        <v>7866</v>
      </c>
      <c r="C297" t="s">
        <v>7867</v>
      </c>
      <c r="D297" t="s">
        <v>133</v>
      </c>
      <c r="E297" t="s">
        <v>7865</v>
      </c>
      <c r="F297" t="s">
        <v>7266</v>
      </c>
      <c r="G297" t="s">
        <v>7267</v>
      </c>
      <c r="H297" t="s">
        <v>6851</v>
      </c>
    </row>
    <row r="298" spans="1:8">
      <c r="A298" t="s">
        <v>7868</v>
      </c>
      <c r="B298" t="s">
        <v>7869</v>
      </c>
      <c r="C298" t="s">
        <v>7870</v>
      </c>
      <c r="D298" t="s">
        <v>133</v>
      </c>
      <c r="E298" t="s">
        <v>7868</v>
      </c>
      <c r="F298" t="s">
        <v>7266</v>
      </c>
      <c r="G298" t="s">
        <v>7267</v>
      </c>
      <c r="H298" t="s">
        <v>6851</v>
      </c>
    </row>
    <row r="299" spans="1:8">
      <c r="A299" t="s">
        <v>7871</v>
      </c>
      <c r="B299" t="s">
        <v>7872</v>
      </c>
      <c r="C299" t="s">
        <v>7873</v>
      </c>
      <c r="D299" t="s">
        <v>133</v>
      </c>
      <c r="E299" t="s">
        <v>7871</v>
      </c>
      <c r="F299" t="s">
        <v>7266</v>
      </c>
      <c r="G299" t="s">
        <v>7267</v>
      </c>
      <c r="H299" t="s">
        <v>6851</v>
      </c>
    </row>
    <row r="300" spans="1:8">
      <c r="A300" t="s">
        <v>7874</v>
      </c>
      <c r="B300" t="s">
        <v>7875</v>
      </c>
      <c r="C300" t="s">
        <v>7876</v>
      </c>
      <c r="D300" t="s">
        <v>126</v>
      </c>
      <c r="E300" t="s">
        <v>7874</v>
      </c>
      <c r="F300" t="s">
        <v>7631</v>
      </c>
      <c r="G300" t="s">
        <v>63</v>
      </c>
      <c r="H300" t="s">
        <v>6851</v>
      </c>
    </row>
    <row r="301" spans="1:8">
      <c r="A301" t="s">
        <v>7877</v>
      </c>
      <c r="B301" t="s">
        <v>7878</v>
      </c>
      <c r="C301" t="s">
        <v>7879</v>
      </c>
      <c r="D301" t="s">
        <v>126</v>
      </c>
      <c r="E301" t="s">
        <v>7880</v>
      </c>
      <c r="F301" t="s">
        <v>7631</v>
      </c>
      <c r="G301" t="s">
        <v>63</v>
      </c>
      <c r="H301" t="s">
        <v>6851</v>
      </c>
    </row>
    <row r="302" spans="1:8">
      <c r="A302" t="s">
        <v>7881</v>
      </c>
      <c r="B302" t="s">
        <v>7882</v>
      </c>
      <c r="C302" t="s">
        <v>7883</v>
      </c>
      <c r="D302" t="s">
        <v>1827</v>
      </c>
      <c r="E302" t="s">
        <v>7881</v>
      </c>
      <c r="F302" t="s">
        <v>7882</v>
      </c>
      <c r="G302" t="s">
        <v>67</v>
      </c>
      <c r="H302" t="s">
        <v>6851</v>
      </c>
    </row>
  </sheetData>
  <phoneticPr fontId="76" type="noConversion"/>
  <pageMargins left="0.7" right="0.7" top="0.75" bottom="0.75" header="0.3" footer="0.3"/>
  <pageSetup orientation="portrait" r:id="rId1"/>
  <headerFooter>
    <oddFooter>&amp;L&amp;1#&amp;"Calibri"&amp;11&amp;K000000Classification: Protected A</oddFooter>
  </headerFooter>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tabColor theme="2" tint="-0.499984740745262"/>
    <pageSetUpPr fitToPage="1"/>
  </sheetPr>
  <dimension ref="B1:C47"/>
  <sheetViews>
    <sheetView zoomScaleNormal="100" workbookViewId="0">
      <selection activeCell="C17" sqref="C17"/>
    </sheetView>
  </sheetViews>
  <sheetFormatPr defaultColWidth="9.42578125" defaultRowHeight="14.1"/>
  <cols>
    <col min="1" max="1" width="2.42578125" style="1" customWidth="1"/>
    <col min="2" max="2" width="21.42578125" style="1" bestFit="1" customWidth="1"/>
    <col min="3" max="3" width="113.42578125" style="1" customWidth="1"/>
    <col min="4" max="4" width="27.42578125" style="1" customWidth="1"/>
    <col min="5" max="16384" width="9.42578125" style="1"/>
  </cols>
  <sheetData>
    <row r="1" spans="2:3" ht="7.5" customHeight="1"/>
    <row r="2" spans="2:3" ht="25.9">
      <c r="B2" s="125" t="s">
        <v>7884</v>
      </c>
      <c r="C2" s="125"/>
    </row>
    <row r="3" spans="2:3" ht="4.9000000000000004" customHeight="1">
      <c r="B3" s="125"/>
      <c r="C3" s="125"/>
    </row>
    <row r="4" spans="2:3">
      <c r="B4" s="235" t="s">
        <v>7885</v>
      </c>
      <c r="C4" s="236" t="s">
        <v>7886</v>
      </c>
    </row>
    <row r="5" spans="2:3" s="4" customFormat="1">
      <c r="B5" s="238" t="s">
        <v>127</v>
      </c>
      <c r="C5" s="240" t="s">
        <v>7887</v>
      </c>
    </row>
    <row r="6" spans="2:3" s="100" customFormat="1">
      <c r="B6" s="238" t="s">
        <v>33</v>
      </c>
      <c r="C6" s="239" t="s">
        <v>2209</v>
      </c>
    </row>
    <row r="7" spans="2:3" s="100" customFormat="1">
      <c r="B7" s="238" t="s">
        <v>7888</v>
      </c>
      <c r="C7" s="239" t="s">
        <v>6563</v>
      </c>
    </row>
    <row r="8" spans="2:3" s="100" customFormat="1">
      <c r="B8" s="238" t="s">
        <v>7889</v>
      </c>
      <c r="C8" s="239" t="s">
        <v>7890</v>
      </c>
    </row>
    <row r="9" spans="2:3" s="100" customFormat="1">
      <c r="B9" s="238" t="s">
        <v>7891</v>
      </c>
      <c r="C9" s="239" t="s">
        <v>2207</v>
      </c>
    </row>
    <row r="10" spans="2:3" s="4" customFormat="1" ht="15" customHeight="1">
      <c r="B10" s="238" t="s">
        <v>2144</v>
      </c>
      <c r="C10" s="239" t="s">
        <v>2205</v>
      </c>
    </row>
    <row r="11" spans="2:3" s="4" customFormat="1">
      <c r="B11" s="238" t="s">
        <v>7892</v>
      </c>
      <c r="C11" s="239" t="s">
        <v>7893</v>
      </c>
    </row>
    <row r="12" spans="2:3" s="4" customFormat="1" ht="15" customHeight="1">
      <c r="B12" s="238" t="s">
        <v>7894</v>
      </c>
      <c r="C12" s="239" t="s">
        <v>7895</v>
      </c>
    </row>
    <row r="13" spans="2:3" s="4" customFormat="1">
      <c r="B13" s="238" t="s">
        <v>7896</v>
      </c>
      <c r="C13" s="239" t="s">
        <v>2211</v>
      </c>
    </row>
    <row r="14" spans="2:3" s="4" customFormat="1">
      <c r="B14" s="238" t="s">
        <v>2149</v>
      </c>
      <c r="C14" s="239" t="s">
        <v>2210</v>
      </c>
    </row>
    <row r="15" spans="2:3" s="4" customFormat="1" ht="15" customHeight="1">
      <c r="B15" s="238" t="s">
        <v>2145</v>
      </c>
      <c r="C15" s="239" t="s">
        <v>2206</v>
      </c>
    </row>
    <row r="16" spans="2:3" s="4" customFormat="1" ht="15" customHeight="1">
      <c r="B16" s="238" t="s">
        <v>2146</v>
      </c>
      <c r="C16" s="239" t="s">
        <v>2208</v>
      </c>
    </row>
    <row r="17" spans="2:3" s="4" customFormat="1">
      <c r="B17" s="238" t="s">
        <v>125</v>
      </c>
      <c r="C17" s="240" t="s">
        <v>7897</v>
      </c>
    </row>
    <row r="18" spans="2:3" s="4" customFormat="1">
      <c r="B18" s="238" t="s">
        <v>396</v>
      </c>
      <c r="C18" s="239" t="s">
        <v>1571</v>
      </c>
    </row>
    <row r="19" spans="2:3" s="4" customFormat="1">
      <c r="B19" s="238" t="s">
        <v>7898</v>
      </c>
      <c r="C19" s="239" t="s">
        <v>7899</v>
      </c>
    </row>
    <row r="20" spans="2:3" s="4" customFormat="1" ht="15" customHeight="1">
      <c r="B20" s="238" t="s">
        <v>137</v>
      </c>
      <c r="C20" s="239" t="s">
        <v>7900</v>
      </c>
    </row>
    <row r="21" spans="2:3" s="4" customFormat="1">
      <c r="B21" s="238" t="s">
        <v>139</v>
      </c>
      <c r="C21" s="239" t="s">
        <v>7901</v>
      </c>
    </row>
    <row r="22" spans="2:3" s="4" customFormat="1" ht="15" customHeight="1">
      <c r="B22" s="238" t="s">
        <v>7902</v>
      </c>
      <c r="C22" s="239" t="s">
        <v>7903</v>
      </c>
    </row>
    <row r="23" spans="2:3" s="4" customFormat="1">
      <c r="B23" s="238" t="s">
        <v>129</v>
      </c>
      <c r="C23" s="239" t="s">
        <v>7904</v>
      </c>
    </row>
    <row r="24" spans="2:3" s="4" customFormat="1">
      <c r="B24" s="238" t="s">
        <v>136</v>
      </c>
      <c r="C24" s="239" t="s">
        <v>7905</v>
      </c>
    </row>
    <row r="25" spans="2:3" s="4" customFormat="1">
      <c r="B25" s="238" t="s">
        <v>126</v>
      </c>
      <c r="C25" s="239" t="s">
        <v>7906</v>
      </c>
    </row>
    <row r="26" spans="2:3" s="4" customFormat="1">
      <c r="B26" s="238" t="s">
        <v>536</v>
      </c>
      <c r="C26" s="239" t="s">
        <v>7907</v>
      </c>
    </row>
    <row r="27" spans="2:3" s="4" customFormat="1">
      <c r="B27" s="238" t="s">
        <v>131</v>
      </c>
      <c r="C27" s="239" t="s">
        <v>7908</v>
      </c>
    </row>
    <row r="28" spans="2:3" s="4" customFormat="1">
      <c r="B28" s="238" t="s">
        <v>7909</v>
      </c>
      <c r="C28" s="239" t="s">
        <v>199</v>
      </c>
    </row>
    <row r="29" spans="2:3" s="4" customFormat="1">
      <c r="B29" s="238" t="s">
        <v>39</v>
      </c>
      <c r="C29" s="239" t="s">
        <v>7910</v>
      </c>
    </row>
    <row r="30" spans="2:3" s="4" customFormat="1">
      <c r="B30" s="238" t="s">
        <v>140</v>
      </c>
      <c r="C30" s="239" t="s">
        <v>7911</v>
      </c>
    </row>
    <row r="31" spans="2:3" s="4" customFormat="1">
      <c r="B31" s="238" t="s">
        <v>338</v>
      </c>
      <c r="C31" s="239" t="s">
        <v>7912</v>
      </c>
    </row>
    <row r="32" spans="2:3" s="4" customFormat="1">
      <c r="B32" s="238" t="s">
        <v>7913</v>
      </c>
      <c r="C32" s="239" t="s">
        <v>183</v>
      </c>
    </row>
    <row r="33" spans="2:3" s="4" customFormat="1">
      <c r="B33" s="238" t="s">
        <v>7914</v>
      </c>
      <c r="C33" s="239" t="s">
        <v>7915</v>
      </c>
    </row>
    <row r="34" spans="2:3" s="4" customFormat="1">
      <c r="B34" s="238" t="s">
        <v>7916</v>
      </c>
      <c r="C34" s="239" t="s">
        <v>7917</v>
      </c>
    </row>
    <row r="35" spans="2:3" s="4" customFormat="1">
      <c r="B35" s="238" t="s">
        <v>7918</v>
      </c>
      <c r="C35" s="239" t="s">
        <v>7919</v>
      </c>
    </row>
    <row r="36" spans="2:3" s="4" customFormat="1">
      <c r="B36" s="238" t="s">
        <v>1831</v>
      </c>
      <c r="C36" s="239" t="s">
        <v>32</v>
      </c>
    </row>
    <row r="37" spans="2:3" s="4" customFormat="1">
      <c r="B37" s="238" t="s">
        <v>7920</v>
      </c>
      <c r="C37" s="239" t="s">
        <v>7921</v>
      </c>
    </row>
    <row r="38" spans="2:3" s="4" customFormat="1">
      <c r="B38" s="238" t="s">
        <v>7922</v>
      </c>
      <c r="C38" s="239" t="s">
        <v>7923</v>
      </c>
    </row>
    <row r="39" spans="2:3" s="4" customFormat="1">
      <c r="B39" s="238" t="s">
        <v>7924</v>
      </c>
      <c r="C39" s="239" t="s">
        <v>7925</v>
      </c>
    </row>
    <row r="40" spans="2:3" s="4" customFormat="1">
      <c r="B40" s="238" t="s">
        <v>2204</v>
      </c>
      <c r="C40" s="239" t="s">
        <v>7926</v>
      </c>
    </row>
    <row r="41" spans="2:3" s="4" customFormat="1">
      <c r="B41" s="238" t="s">
        <v>7927</v>
      </c>
      <c r="C41" s="239" t="s">
        <v>7928</v>
      </c>
    </row>
    <row r="42" spans="2:3" s="4" customFormat="1">
      <c r="B42" s="238" t="s">
        <v>7929</v>
      </c>
      <c r="C42" s="239" t="s">
        <v>7930</v>
      </c>
    </row>
    <row r="43" spans="2:3" s="4" customFormat="1">
      <c r="B43" s="238" t="s">
        <v>7931</v>
      </c>
      <c r="C43" s="239" t="s">
        <v>7932</v>
      </c>
    </row>
    <row r="44" spans="2:3" s="4" customFormat="1">
      <c r="B44" s="238" t="s">
        <v>27</v>
      </c>
      <c r="C44" s="239" t="s">
        <v>2176</v>
      </c>
    </row>
    <row r="45" spans="2:3" s="4" customFormat="1">
      <c r="B45" s="238" t="s">
        <v>7933</v>
      </c>
      <c r="C45" s="239" t="s">
        <v>7934</v>
      </c>
    </row>
    <row r="46" spans="2:3" s="4" customFormat="1">
      <c r="B46" s="12"/>
    </row>
    <row r="47" spans="2:3">
      <c r="C47" s="237"/>
    </row>
  </sheetData>
  <sortState xmlns:xlrd2="http://schemas.microsoft.com/office/spreadsheetml/2017/richdata2" ref="B5:C43">
    <sortCondition ref="B4"/>
  </sortState>
  <pageMargins left="0.23622047244094491" right="0.23622047244094491" top="0.74803149606299213" bottom="0.74803149606299213" header="0.31496062992125984" footer="0.31496062992125984"/>
  <pageSetup scale="80" orientation="portrait" r:id="rId1"/>
  <headerFooter>
    <oddFooter>&amp;L&amp;1#&amp;"Calibri"&amp;11&amp;K000000Classification: Protected A</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B2:B5"/>
  <sheetViews>
    <sheetView workbookViewId="0">
      <selection activeCell="B7" sqref="B7"/>
    </sheetView>
  </sheetViews>
  <sheetFormatPr defaultRowHeight="14.1"/>
  <cols>
    <col min="2" max="2" width="15.28515625" customWidth="1"/>
  </cols>
  <sheetData>
    <row r="2" spans="2:2">
      <c r="B2">
        <f>8670623+310757.82</f>
        <v>8981380.8200000003</v>
      </c>
    </row>
    <row r="5" spans="2:2">
      <c r="B5" t="s">
        <v>7935</v>
      </c>
    </row>
  </sheetData>
  <pageMargins left="0.7" right="0.7" top="0.75" bottom="0.75" header="0.3" footer="0.3"/>
  <pageSetup orientation="portrait" r:id="rId1"/>
  <headerFooter>
    <oddFooter>&amp;L&amp;1#&amp;"Calibri"&amp;11&amp;K000000Classification: Protected A</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
  <sheetViews>
    <sheetView workbookViewId="0"/>
  </sheetViews>
  <sheetFormatPr defaultRowHeight="14.1"/>
  <sheetData/>
  <pageMargins left="0.7" right="0.7" top="0.75" bottom="0.75" header="0.3" footer="0.3"/>
  <pageSetup orientation="portrait" r:id="rId1"/>
  <headerFooter>
    <oddFooter>&amp;L&amp;1#&amp;"Calibri"&amp;11&amp;K000000Classification: Protected A</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
  <sheetViews>
    <sheetView workbookViewId="0">
      <selection activeCell="A2" sqref="A2"/>
    </sheetView>
  </sheetViews>
  <sheetFormatPr defaultRowHeight="14.1"/>
  <sheetData/>
  <pageMargins left="0.7" right="0.7" top="0.75" bottom="0.75" header="0.3" footer="0.3"/>
  <pageSetup orientation="portrait" r:id="rId1"/>
  <headerFooter>
    <oddFooter>&amp;L&amp;1#&amp;"Calibri"&amp;11&amp;K000000Classification: Protected A</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item1.xml>�� 
</file>

<file path=customXml/item2.xml>�� 
</file>

<file path=customXml/item3.xml><?xml version="1.0" encoding="utf-8"?>
<ct:contentTypeSchema xmlns:ct="http://schemas.microsoft.com/office/2006/metadata/contentType" xmlns:ma="http://schemas.microsoft.com/office/2006/metadata/properties/metaAttributes" ct:_="" ma:_="" ma:contentTypeName="Document GoA" ma:contentTypeID="0x010100B6FCA605DBB3BD43929E639BB88658FC00212CDFCAAD5F274DA453D4ABA0C34799" ma:contentTypeVersion="5" ma:contentTypeDescription="" ma:contentTypeScope="" ma:versionID="ca1317ded10d2e3e836a31917aeadda5">
  <xsd:schema xmlns:xsd="http://www.w3.org/2001/XMLSchema" xmlns:xs="http://www.w3.org/2001/XMLSchema" xmlns:p="http://schemas.microsoft.com/office/2006/metadata/properties" xmlns:ns2="350c7f2d-22b5-4c05-88ab-16906deb3555" xmlns:ns3="bf1ac7dc-0d76-4195-9a08-1413123a4844" targetNamespace="http://schemas.microsoft.com/office/2006/metadata/properties" ma:root="true" ma:fieldsID="435c8e905e3d4a99f293a6963618d676" ns2:_="" ns3:_="">
    <xsd:import namespace="350c7f2d-22b5-4c05-88ab-16906deb3555"/>
    <xsd:import namespace="bf1ac7dc-0d76-4195-9a08-1413123a4844"/>
    <xsd:element name="properties">
      <xsd:complexType>
        <xsd:sequence>
          <xsd:element name="documentManagement">
            <xsd:complexType>
              <xsd:all>
                <xsd:element ref="ns2:Description_x0020_GoA" minOccurs="0"/>
                <xsd:element ref="ns2:Subject_x0020_GoA" minOccurs="0"/>
                <xsd:element ref="ns2:Closure_x0020_Date_x0020_GoA" minOccurs="0"/>
                <xsd:element ref="ns2:TaxCatchAllLabel" minOccurs="0"/>
                <xsd:element ref="ns2:e14f78495b6d4881b0a4f259bbfaac0a" minOccurs="0"/>
                <xsd:element ref="ns2:b10e50595339447db3b0d16aff0e3d79" minOccurs="0"/>
                <xsd:element ref="ns2:e4e1391327164fcf9b36427592ef5372" minOccurs="0"/>
                <xsd:element ref="ns2:TaxCatchAll" minOccurs="0"/>
                <xsd:element ref="ns2:h5c22b25fd914590af6f7504dd8d5e82" minOccurs="0"/>
                <xsd:element ref="ns2:iec6cfa028bf4e91bd7258a6733aefa5"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0c7f2d-22b5-4c05-88ab-16906deb3555" elementFormDefault="qualified">
    <xsd:import namespace="http://schemas.microsoft.com/office/2006/documentManagement/types"/>
    <xsd:import namespace="http://schemas.microsoft.com/office/infopath/2007/PartnerControls"/>
    <xsd:element name="Description_x0020_GoA" ma:index="5" nillable="true" ma:displayName="Description GoA" ma:description="A concise narrative of the content of an information resource." ma:internalName="Description_x0020_GoA" ma:readOnly="false">
      <xsd:simpleType>
        <xsd:restriction base="dms:Note">
          <xsd:maxLength value="255"/>
        </xsd:restriction>
      </xsd:simpleType>
    </xsd:element>
    <xsd:element name="Subject_x0020_GoA" ma:index="6" nillable="true" ma:displayName="Subject GoA" ma:description="A controlled term that expresses the main topical content of an information resource." ma:format="Dropdown" ma:internalName="Subject_x0020_GoA" ma:readOnly="false">
      <xsd:simpleType>
        <xsd:union memberTypes="dms:Text">
          <xsd:simpleType>
            <xsd:restriction base="dms:Choice">
              <xsd:enumeration value="Can be updated by site manager"/>
            </xsd:restriction>
          </xsd:simpleType>
        </xsd:union>
      </xsd:simpleType>
    </xsd:element>
    <xsd:element name="Closure_x0020_Date_x0020_GoA" ma:index="9" nillable="true" ma:displayName="Closure Date GoA" ma:format="DateOnly" ma:internalName="Closure_x0020_Date_x0020_GoA">
      <xsd:simpleType>
        <xsd:restriction base="dms:DateTime"/>
      </xsd:simpleType>
    </xsd:element>
    <xsd:element name="TaxCatchAllLabel" ma:index="12" nillable="true" ma:displayName="Taxonomy Catch All Column1" ma:hidden="true" ma:list="{c74290f4-060a-404a-b586-43ff92f66092}" ma:internalName="TaxCatchAllLabel" ma:readOnly="true" ma:showField="CatchAllDataLabel" ma:web="bf1ac7dc-0d76-4195-9a08-1413123a4844">
      <xsd:complexType>
        <xsd:complexContent>
          <xsd:extension base="dms:MultiChoiceLookup">
            <xsd:sequence>
              <xsd:element name="Value" type="dms:Lookup" maxOccurs="unbounded" minOccurs="0" nillable="true"/>
            </xsd:sequence>
          </xsd:extension>
        </xsd:complexContent>
      </xsd:complexType>
    </xsd:element>
    <xsd:element name="e14f78495b6d4881b0a4f259bbfaac0a" ma:index="15" nillable="true" ma:taxonomy="true" ma:internalName="e14f78495b6d4881b0a4f259bbfaac0a" ma:taxonomyFieldName="Status_x0020_GoA" ma:displayName="Status GoA" ma:readOnly="false" ma:fieldId="{e14f7849-5b6d-4881-b0a4-f259bbfaac0a}" ma:sspId="a58cdee2-a078-4dcf-a938-a5ffeea6d2ec" ma:termSetId="77344222-8eaa-4686-b05e-9f0d89a1d511" ma:anchorId="00000000-0000-0000-0000-000000000000" ma:open="false" ma:isKeyword="false">
      <xsd:complexType>
        <xsd:sequence>
          <xsd:element ref="pc:Terms" minOccurs="0" maxOccurs="1"/>
        </xsd:sequence>
      </xsd:complexType>
    </xsd:element>
    <xsd:element name="b10e50595339447db3b0d16aff0e3d79" ma:index="16" nillable="true" ma:taxonomy="true" ma:internalName="b10e50595339447db3b0d16aff0e3d79" ma:taxonomyFieldName="Document_x0020_Type_x0020_GoA" ma:displayName="Document Type GoA" ma:readOnly="false" ma:default="" ma:fieldId="{b10e5059-5339-447d-b3b0-d16aff0e3d79}" ma:sspId="a58cdee2-a078-4dcf-a938-a5ffeea6d2ec" ma:termSetId="8e47272f-2430-495c-9e38-3fc9fb7cf148" ma:anchorId="00000000-0000-0000-0000-000000000000" ma:open="false" ma:isKeyword="false">
      <xsd:complexType>
        <xsd:sequence>
          <xsd:element ref="pc:Terms" minOccurs="0" maxOccurs="1"/>
        </xsd:sequence>
      </xsd:complexType>
    </xsd:element>
    <xsd:element name="e4e1391327164fcf9b36427592ef5372" ma:index="17" nillable="true" ma:taxonomy="true" ma:internalName="e4e1391327164fcf9b36427592ef5372" ma:taxonomyFieldName="Function_x0020_GoA" ma:displayName="Functional Class GoA" ma:readOnly="false" ma:default="" ma:fieldId="{e4e13913-2716-4fcf-9b36-427592ef5372}" ma:sspId="a58cdee2-a078-4dcf-a938-a5ffeea6d2ec" ma:termSetId="5b7505f6-1a47-4924-b6b6-6946ebca18f9" ma:anchorId="00000000-0000-0000-0000-000000000000" ma:open="false" ma:isKeyword="false">
      <xsd:complexType>
        <xsd:sequence>
          <xsd:element ref="pc:Terms" minOccurs="0" maxOccurs="1"/>
        </xsd:sequence>
      </xsd:complexType>
    </xsd:element>
    <xsd:element name="TaxCatchAll" ma:index="20" nillable="true" ma:displayName="Taxonomy Catch All Column" ma:hidden="true" ma:list="{c74290f4-060a-404a-b586-43ff92f66092}" ma:internalName="TaxCatchAll" ma:readOnly="false" ma:showField="CatchAllData" ma:web="bf1ac7dc-0d76-4195-9a08-1413123a4844">
      <xsd:complexType>
        <xsd:complexContent>
          <xsd:extension base="dms:MultiChoiceLookup">
            <xsd:sequence>
              <xsd:element name="Value" type="dms:Lookup" maxOccurs="unbounded" minOccurs="0" nillable="true"/>
            </xsd:sequence>
          </xsd:extension>
        </xsd:complexContent>
      </xsd:complexType>
    </xsd:element>
    <xsd:element name="h5c22b25fd914590af6f7504dd8d5e82" ma:index="21" nillable="true" ma:taxonomy="true" ma:internalName="h5c22b25fd914590af6f7504dd8d5e82" ma:taxonomyFieldName="Closure_x0020_Criteria_x0020_Met" ma:displayName="Closure Criteria Met GoA" ma:readOnly="false" ma:default="1;#No|7a3957b4-6333-4b3f-aca5-11043f0480fb" ma:fieldId="{15c22b25-fd91-4590-af6f-7504dd8d5e82}" ma:sspId="a58cdee2-a078-4dcf-a938-a5ffeea6d2ec" ma:termSetId="ba7140a2-bf7f-4ec2-b58b-c905b47cdb9c" ma:anchorId="00000000-0000-0000-0000-000000000000" ma:open="false" ma:isKeyword="false">
      <xsd:complexType>
        <xsd:sequence>
          <xsd:element ref="pc:Terms" minOccurs="0" maxOccurs="1"/>
        </xsd:sequence>
      </xsd:complexType>
    </xsd:element>
    <xsd:element name="iec6cfa028bf4e91bd7258a6733aefa5" ma:index="22" nillable="true" ma:taxonomy="true" ma:internalName="iec6cfa028bf4e91bd7258a6733aefa5" ma:taxonomyFieldName="Organization_x0020_GoA" ma:displayName="Organization GoA" ma:readOnly="false" ma:fieldId="{2ec6cfa0-28bf-4e91-bd72-58a6733aefa5}" ma:taxonomyMulti="true" ma:sspId="a58cdee2-a078-4dcf-a938-a5ffeea6d2ec" ma:termSetId="4f7bc610-b832-4b4c-9a7b-de0011e246d1"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f1ac7dc-0d76-4195-9a08-1413123a4844" elementFormDefault="qualified">
    <xsd:import namespace="http://schemas.microsoft.com/office/2006/documentManagement/types"/>
    <xsd:import namespace="http://schemas.microsoft.com/office/infopath/2007/PartnerControls"/>
    <xsd:element name="_dlc_DocId" ma:index="23" nillable="true" ma:displayName="Document ID Value" ma:description="The value of the document ID assigned to this item." ma:indexed="true" ma:internalName="_dlc_DocId" ma:readOnly="true">
      <xsd:simpleType>
        <xsd:restriction base="dms:Text"/>
      </xsd:simpleType>
    </xsd:element>
    <xsd:element name="_dlc_DocIdUrl" ma:index="24"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5"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ubject_x0020_GoA xmlns="350c7f2d-22b5-4c05-88ab-16906deb3555" xsi:nil="true"/>
    <h5c22b25fd914590af6f7504dd8d5e82 xmlns="350c7f2d-22b5-4c05-88ab-16906deb3555">
      <Terms xmlns="http://schemas.microsoft.com/office/infopath/2007/PartnerControls">
        <TermInfo xmlns="http://schemas.microsoft.com/office/infopath/2007/PartnerControls">
          <TermName xmlns="http://schemas.microsoft.com/office/infopath/2007/PartnerControls">No</TermName>
          <TermId xmlns="http://schemas.microsoft.com/office/infopath/2007/PartnerControls">7a3957b4-6333-4b3f-aca5-11043f0480fb</TermId>
        </TermInfo>
      </Terms>
    </h5c22b25fd914590af6f7504dd8d5e82>
    <TaxCatchAll xmlns="350c7f2d-22b5-4c05-88ab-16906deb3555">
      <Value>1</Value>
    </TaxCatchAll>
    <b10e50595339447db3b0d16aff0e3d79 xmlns="350c7f2d-22b5-4c05-88ab-16906deb3555">
      <Terms xmlns="http://schemas.microsoft.com/office/infopath/2007/PartnerControls"/>
    </b10e50595339447db3b0d16aff0e3d79>
    <iec6cfa028bf4e91bd7258a6733aefa5 xmlns="350c7f2d-22b5-4c05-88ab-16906deb3555">
      <Terms xmlns="http://schemas.microsoft.com/office/infopath/2007/PartnerControls"/>
    </iec6cfa028bf4e91bd7258a6733aefa5>
    <Closure_x0020_Date_x0020_GoA xmlns="350c7f2d-22b5-4c05-88ab-16906deb3555" xsi:nil="true"/>
    <e4e1391327164fcf9b36427592ef5372 xmlns="350c7f2d-22b5-4c05-88ab-16906deb3555">
      <Terms xmlns="http://schemas.microsoft.com/office/infopath/2007/PartnerControls"/>
    </e4e1391327164fcf9b36427592ef5372>
    <Description_x0020_GoA xmlns="350c7f2d-22b5-4c05-88ab-16906deb3555" xsi:nil="true"/>
    <e14f78495b6d4881b0a4f259bbfaac0a xmlns="350c7f2d-22b5-4c05-88ab-16906deb3555">
      <Terms xmlns="http://schemas.microsoft.com/office/infopath/2007/PartnerControls"/>
    </e14f78495b6d4881b0a4f259bbfaac0a>
    <_dlc_DocId xmlns="bf1ac7dc-0d76-4195-9a08-1413123a4844">7ZQU3MPCPP3N-1834710919-154</_dlc_DocId>
    <_dlc_DocIdUrl xmlns="bf1ac7dc-0d76-4195-9a08-1413123a4844">
      <Url>https://abgov.sharepoint.com/sites/G-AIMCOMMSTEAM/_layouts/15/DocIdRedir.aspx?ID=7ZQU3MPCPP3N-1834710919-154</Url>
      <Description>7ZQU3MPCPP3N-1834710919-154</Description>
    </_dlc_DocIdUrl>
  </documentManagement>
</p:properties>
</file>

<file path=customXml/item5.xml>�� 
</file>

<file path=customXml/item6.xml><?xml version="1.0" encoding="utf-8"?>
<?mso-contentType ?>
<SharedContentType xmlns="Microsoft.SharePoint.Taxonomy.ContentTypeSync" SourceId="a58cdee2-a078-4dcf-a938-a5ffeea6d2ec" ContentTypeId="0x010100B6FCA605DBB3BD43929E639BB88658FC" PreviousValue="false" LastSyncTimeStamp="2024-12-20T17:12:09.84Z"/>
</file>

<file path=customXml/item7.xml>�� 
</file>

<file path=customXml/item8.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Props1.xml><?xml version="1.0" encoding="utf-8"?>
<ds:datastoreItem xmlns:ds="http://schemas.openxmlformats.org/officeDocument/2006/customXml" ds:itemID="{C8D4279E-276F-456A-8D76-31226A0467C9}"/>
</file>

<file path=customXml/itemProps2.xml><?xml version="1.0" encoding="utf-8"?>
<ds:datastoreItem xmlns:ds="http://schemas.openxmlformats.org/officeDocument/2006/customXml" ds:itemID="{3F375544-39C5-44E3-B9E2-A09599D12A97}"/>
</file>

<file path=customXml/itemProps3.xml><?xml version="1.0" encoding="utf-8"?>
<ds:datastoreItem xmlns:ds="http://schemas.openxmlformats.org/officeDocument/2006/customXml" ds:itemID="{19CB8167-F3E6-4528-9648-D71DB4F9EDA0}"/>
</file>

<file path=customXml/itemProps4.xml><?xml version="1.0" encoding="utf-8"?>
<ds:datastoreItem xmlns:ds="http://schemas.openxmlformats.org/officeDocument/2006/customXml" ds:itemID="{D1714BD2-2018-4953-8115-C86AFDCEFCBD}"/>
</file>

<file path=customXml/itemProps5.xml><?xml version="1.0" encoding="utf-8"?>
<ds:datastoreItem xmlns:ds="http://schemas.openxmlformats.org/officeDocument/2006/customXml" ds:itemID="{AEBC10F4-5252-4C69-8486-52488BD8906E}"/>
</file>

<file path=customXml/itemProps6.xml><?xml version="1.0" encoding="utf-8"?>
<ds:datastoreItem xmlns:ds="http://schemas.openxmlformats.org/officeDocument/2006/customXml" ds:itemID="{551E72D6-6A71-410F-990F-0FAB0614843C}"/>
</file>

<file path=customXml/itemProps7.xml><?xml version="1.0" encoding="utf-8"?>
<ds:datastoreItem xmlns:ds="http://schemas.openxmlformats.org/officeDocument/2006/customXml" ds:itemID="{5D06B6A3-306E-4FC3-AE62-1A53B8DB72AF}"/>
</file>

<file path=customXml/itemProps8.xml><?xml version="1.0" encoding="utf-8"?>
<ds:datastoreItem xmlns:ds="http://schemas.openxmlformats.org/officeDocument/2006/customXml" ds:itemID="{68AF45E6-D869-467B-9839-CF6128646BBC}"/>
</file>

<file path=customXml/itemProps9.xml><?xml version="1.0" encoding="utf-8"?>
<ds:datastoreItem xmlns:ds="http://schemas.openxmlformats.org/officeDocument/2006/customXml" ds:itemID="{B6D70138-6F0C-4508-9EAA-CB8343531E24}"/>
</file>

<file path=customXml/itemProps10.xml><?xml version="1.0" encoding="utf-8"?>
<ds:datastoreItem xmlns:ds="http://schemas.openxmlformats.org/officeDocument/2006/customXml" ds:itemID="{7C9A3B1D-777D-4E3C-8BAE-64AB53DFCB77}"/>
</file>

<file path=customXml/itemProps11.xml><?xml version="1.0" encoding="utf-8"?>
<ds:datastoreItem xmlns:ds="http://schemas.openxmlformats.org/officeDocument/2006/customXml" ds:itemID="{408BF528-666E-433A-A707-F9E2926E3FB1}"/>
</file>

<file path=customXml/itemProps12.xml><?xml version="1.0" encoding="utf-8"?>
<ds:datastoreItem xmlns:ds="http://schemas.openxmlformats.org/officeDocument/2006/customXml" ds:itemID="{C45F4483-3C2D-4D44-BBF1-D387F253D19B}"/>
</file>

<file path=docProps/app.xml><?xml version="1.0" encoding="utf-8"?>
<Properties xmlns="http://schemas.openxmlformats.org/officeDocument/2006/extended-properties" xmlns:vt="http://schemas.openxmlformats.org/officeDocument/2006/docPropsVTypes">
  <Application>Microsoft Excel Online</Application>
  <Manager/>
  <Company>GOA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Red Deer - Red Deer Justice Centre</dc:title>
  <dc:subject>PFMT Rev2018.12.6 KD</dc:subject>
  <dc:creator>spencer.shandro</dc:creator>
  <cp:keywords/>
  <dc:description/>
  <cp:lastModifiedBy>Cohen Mcleod</cp:lastModifiedBy>
  <cp:revision/>
  <dcterms:created xsi:type="dcterms:W3CDTF">2017-02-16T19:54:27Z</dcterms:created>
  <dcterms:modified xsi:type="dcterms:W3CDTF">2025-06-03T14:45:07Z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0x010100B6FCA605DBB3BD43929E639BB88658FC00212CDFCAAD5F274DA453D4ABA0C34799</vt:lpwstr>
  </property>
  <property fmtid="{D5CDD505-2E9C-101B-9397-08002B2CF9AE}" pid="3" name="Information Organization Scheme">
    <vt:lpwstr/>
  </property>
  <property fmtid="{D5CDD505-2E9C-101B-9397-08002B2CF9AE}" pid="4" name="Organization">
    <vt:lpwstr/>
  </property>
  <property fmtid="{D5CDD505-2E9C-101B-9397-08002B2CF9AE}" pid="5" name="MMS Status">
    <vt:lpwstr>51;#Draft|bb5bd2d4-36d4-434b-b11d-a9b052225e87</vt:lpwstr>
  </property>
  <property fmtid="{D5CDD505-2E9C-101B-9397-08002B2CF9AE}" pid="6" name="Document Type">
    <vt:lpwstr/>
  </property>
  <property fmtid="{D5CDD505-2E9C-101B-9397-08002B2CF9AE}" pid="7" name="WorkflowChangePath">
    <vt:lpwstr>affe639f-84d8-4ad4-b1ea-e05ebc90c80a,78;affe639f-84d8-4ad4-b1ea-e05ebc90c80a,78;affe639f-84d8-4ad4-b1ea-e05ebc90c80a,127;affe639f-84d8-4ad4-b1ea-e05ebc90c80a,127;affe639f-84d8-4ad4-b1ea-e05ebc90c80a,148;affe639f-84d8-4ad4-b1ea-e05ebc90c80a,148;affe639f-84affe639f-84d8-4ad4-b1ea-e05ebc90c80a,2574;affe639f-84d8-4ad4-b1ea-e05ebc90c80a,2574;affe639f-84d8-4ad4-b1ea-e05ebc90c80a,2628;affe639f-84d8-4ad4-b1ea-e05ebc90c80a,2628;affe639f-84d8-4ad4-b1ea-e05ebc90c80a,2654;affe639f-84d8-4ad4-b1ea-e05ebc90c80a,2654;affe639f-84d8-4ad4-b1ea-e05ebc90c80a,2684;affe639f-84d8-4ad4-b1ea-e05ebc90c80a,2684;affe639f-84d8-4ad4-b1ea-e05ebc90c80a,2727;affe639f-84d8-4ad4-b1ea-e05ebc90c80a,2727;affe639f-84d8-4ad4-b1ea-e05ebc90c80a,2750;affe639f-84d8-4ad4-b1ea-e05ebc90c80a,2750;affe639f-84d8-4ad4-b1ea-e05ebc90c80a,2784;affe639f-84d8-4ad4-b1ea-e05ebc90c80a,2784;affe639f-84d8-4ad4-b1ea-e05ebc90c80a,2816;affe639f-84d8-4ad4-b1ea-e05ebc90c80a,2816;affe639f-84d8-4ad4-b1ea-e05ebc90c80a,2877;affe639f-84d8-4ad4-b1ea-e05ebc90c80a,2877;</vt:lpwstr>
  </property>
  <property fmtid="{D5CDD505-2E9C-101B-9397-08002B2CF9AE}" pid="8" name="Macro Update Completed">
    <vt:lpwstr>Yes</vt:lpwstr>
  </property>
  <property fmtid="{D5CDD505-2E9C-101B-9397-08002B2CF9AE}" pid="9" name="MSIP_Label_abf2ea38-542c-4b75-bd7d-582ec36a519f_Enabled">
    <vt:lpwstr>true</vt:lpwstr>
  </property>
  <property fmtid="{D5CDD505-2E9C-101B-9397-08002B2CF9AE}" pid="10" name="MSIP_Label_abf2ea38-542c-4b75-bd7d-582ec36a519f_SetDate">
    <vt:lpwstr>2024-09-26T17:05:37Z</vt:lpwstr>
  </property>
  <property fmtid="{D5CDD505-2E9C-101B-9397-08002B2CF9AE}" pid="11" name="MSIP_Label_abf2ea38-542c-4b75-bd7d-582ec36a519f_Method">
    <vt:lpwstr>Standard</vt:lpwstr>
  </property>
  <property fmtid="{D5CDD505-2E9C-101B-9397-08002B2CF9AE}" pid="12" name="MSIP_Label_abf2ea38-542c-4b75-bd7d-582ec36a519f_Name">
    <vt:lpwstr>Protected A</vt:lpwstr>
  </property>
  <property fmtid="{D5CDD505-2E9C-101B-9397-08002B2CF9AE}" pid="13" name="MSIP_Label_abf2ea38-542c-4b75-bd7d-582ec36a519f_SiteId">
    <vt:lpwstr>2bb51c06-af9b-42c5-8bf5-3c3b7b10850b</vt:lpwstr>
  </property>
  <property fmtid="{D5CDD505-2E9C-101B-9397-08002B2CF9AE}" pid="14" name="MSIP_Label_abf2ea38-542c-4b75-bd7d-582ec36a519f_ActionId">
    <vt:lpwstr>0d6a98e7-80f8-4f80-a140-a02036fd9e0e</vt:lpwstr>
  </property>
  <property fmtid="{D5CDD505-2E9C-101B-9397-08002B2CF9AE}" pid="15" name="MSIP_Label_abf2ea38-542c-4b75-bd7d-582ec36a519f_ContentBits">
    <vt:lpwstr>2</vt:lpwstr>
  </property>
  <property fmtid="{D5CDD505-2E9C-101B-9397-08002B2CF9AE}" pid="16" name="_dlc_DocIdItemGuid">
    <vt:lpwstr>fe98829a-933d-4144-b3c0-36fcb548a9c4</vt:lpwstr>
  </property>
  <property fmtid="{D5CDD505-2E9C-101B-9397-08002B2CF9AE}" pid="17" name="Closure Criteria Met">
    <vt:lpwstr>1;#No|7a3957b4-6333-4b3f-aca5-11043f0480fb</vt:lpwstr>
  </property>
  <property fmtid="{D5CDD505-2E9C-101B-9397-08002B2CF9AE}" pid="18" name="Organization_x0020_GoA">
    <vt:lpwstr/>
  </property>
  <property fmtid="{D5CDD505-2E9C-101B-9397-08002B2CF9AE}" pid="19" name="Document_x0020_Type_x0020_GoA">
    <vt:lpwstr/>
  </property>
  <property fmtid="{D5CDD505-2E9C-101B-9397-08002B2CF9AE}" pid="20" name="Function_x0020_GoA">
    <vt:lpwstr/>
  </property>
  <property fmtid="{D5CDD505-2E9C-101B-9397-08002B2CF9AE}" pid="22" name="Closure_x0020_Criteria_x0020_Met">
    <vt:lpwstr>1;#No|7a3957b4-6333-4b3f-aca5-11043f0480fb</vt:lpwstr>
  </property>
  <property fmtid="{D5CDD505-2E9C-101B-9397-08002B2CF9AE}" pid="25" name="Status_x0020_GoA">
    <vt:lpwstr/>
  </property>
  <property fmtid="{D5CDD505-2E9C-101B-9397-08002B2CF9AE}" pid="26" name="Status GoA">
    <vt:lpwstr/>
  </property>
  <property fmtid="{D5CDD505-2E9C-101B-9397-08002B2CF9AE}" pid="27" name="Function GoA">
    <vt:lpwstr/>
  </property>
  <property fmtid="{D5CDD505-2E9C-101B-9397-08002B2CF9AE}" pid="28" name="Organization GoA">
    <vt:lpwstr/>
  </property>
  <property fmtid="{D5CDD505-2E9C-101B-9397-08002B2CF9AE}" pid="29" name="Document Type GoA">
    <vt:lpwstr/>
  </property>
</Properties>
</file>